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26.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29.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28.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ções" sheetId="1" r:id="rId4"/>
    <sheet state="visible" name="Codebook 1" sheetId="2" r:id="rId5"/>
    <sheet state="visible" name="Setor_ações" sheetId="3" r:id="rId6"/>
    <sheet state="visible" name="Revisão" sheetId="4" r:id="rId7"/>
    <sheet state="visible" name="Tipo" sheetId="5" r:id="rId8"/>
    <sheet state="visible" name="Stakeholders" sheetId="6" r:id="rId9"/>
    <sheet state="visible" name="Público-alvo" sheetId="7" r:id="rId10"/>
    <sheet state="visible" name="VIGISANSOFI" sheetId="8" r:id="rId11"/>
    <sheet state="visible" name="Stakeholders+VIGISANSOFI" sheetId="9" r:id="rId12"/>
    <sheet state="visible" name="Objetivo" sheetId="10" r:id="rId13"/>
    <sheet state="visible" name="ESG" sheetId="11" r:id="rId14"/>
    <sheet state="visible" name="ESG_elo" sheetId="12" r:id="rId15"/>
    <sheet state="visible" name="ESGsetor" sheetId="13" r:id="rId16"/>
    <sheet state="visible" name="Mecanismo" sheetId="14" r:id="rId17"/>
    <sheet state="visible" name="Financiamento" sheetId="15" r:id="rId18"/>
    <sheet state="visible" name="Anos iníciofim" sheetId="16" r:id="rId19"/>
    <sheet state="visible" name="Status" sheetId="17" r:id="rId20"/>
    <sheet state="visible" name="Duração" sheetId="18" r:id="rId21"/>
    <sheet state="visible" name="Emergencial" sheetId="19" r:id="rId22"/>
    <sheet state="visible" name="Parceiros" sheetId="20" r:id="rId23"/>
    <sheet state="visible" name="Elos_ações" sheetId="21" r:id="rId24"/>
    <sheet state="visible" name="Apoio institucional" sheetId="22" r:id="rId25"/>
    <sheet state="visible" name="Estados" sheetId="23" r:id="rId26"/>
    <sheet state="visible" name="Regiões" sheetId="24" r:id="rId27"/>
    <sheet state="visible" name="ODS" sheetId="25" r:id="rId28"/>
    <sheet state="visible" name="Ações2022" sheetId="26" r:id="rId29"/>
    <sheet state="visible" name="Categorias empresas" sheetId="27" r:id="rId30"/>
    <sheet state="visible" name="Codebook 2" sheetId="28" r:id="rId31"/>
    <sheet state="visible" name="Certificadosassociaçõespactos" sheetId="29" r:id="rId32"/>
    <sheet state="visible" name="Codebook 3" sheetId="30" r:id="rId33"/>
    <sheet state="visible" name="Coops e Multinacionais" sheetId="31" r:id="rId34"/>
    <sheet state="visible" name="Setor_empresas" sheetId="32" r:id="rId35"/>
    <sheet state="visible" name="Elos_empresas" sheetId="33" r:id="rId36"/>
    <sheet state="visible" name="Fundações" sheetId="34" r:id="rId37"/>
    <sheet state="visible" name="FundESG" sheetId="35" r:id="rId38"/>
    <sheet state="visible" name="Eloselos" sheetId="36" r:id="rId39"/>
    <sheet state="visible" name="Comparações elos" sheetId="37" r:id="rId40"/>
    <sheet state="visible" name="ESGElo empresa" sheetId="38" r:id="rId41"/>
    <sheet state="visible" name="Setor_Vigisansofi" sheetId="39" r:id="rId42"/>
    <sheet state="visible" name="Leitura relatórios" sheetId="40" r:id="rId43"/>
    <sheet state="visible" name="Valor original" sheetId="41" r:id="rId44"/>
    <sheet state="visible" name="B3 selecionada" sheetId="42" r:id="rId45"/>
    <sheet state="visible" name="B3 original" sheetId="43" r:id="rId46"/>
    <sheet state="visible" name="Possíveis fontes" sheetId="44" r:id="rId47"/>
    <sheet state="visible" name="Teste" sheetId="45" r:id="rId48"/>
    <sheet state="visible" name="Mapeamento antigo" sheetId="46" r:id="rId49"/>
  </sheets>
  <definedNames>
    <definedName hidden="1" localSheetId="0" name="_xlnm._FilterDatabase">'Ações'!$A$1:$CH$1523</definedName>
    <definedName hidden="1" localSheetId="3" name="_xlnm._FilterDatabase">'Revisão'!$A$1:$Y$1001</definedName>
    <definedName hidden="1" localSheetId="4" name="_xlnm._FilterDatabase">Tipo!$B$2:$D$7</definedName>
    <definedName hidden="1" localSheetId="8" name="_xlnm._FilterDatabase">'Stakeholders+VIGISANSOFI'!$B$9:$D$17</definedName>
    <definedName hidden="1" localSheetId="13" name="_xlnm._FilterDatabase">Mecanismo!$B$3:$D$10</definedName>
    <definedName hidden="1" localSheetId="16" name="_xlnm._FilterDatabase">Status!$B$3:$D$7</definedName>
    <definedName hidden="1" localSheetId="20" name="_xlnm._FilterDatabase">'Elos_ações'!$A$2:$C$8</definedName>
    <definedName hidden="1" localSheetId="22" name="_xlnm._FilterDatabase">Estados!$B$3:$C$32</definedName>
    <definedName hidden="1" localSheetId="24" name="_xlnm._FilterDatabase">ODS!$A$2:$C$13</definedName>
    <definedName hidden="1" localSheetId="26" name="_xlnm._FilterDatabase">'Categorias empresas'!$A$1:$AV$1029</definedName>
    <definedName hidden="1" localSheetId="28" name="_xlnm._FilterDatabase">'Certificadosassociaçõespactos'!$A$1:$E$214</definedName>
    <definedName hidden="1" localSheetId="36" name="_xlnm._FilterDatabase">'Comparações elos'!$B$3:$D$10</definedName>
    <definedName hidden="1" localSheetId="41" name="_xlnm._FilterDatabase">'B3 selecionada'!$A$2:$G$60</definedName>
    <definedName hidden="1" localSheetId="0" name="Z_07738AB0_1CB0_45BD_AE14_76864ECFBC79_.wvu.FilterData">'Ações'!$A$1:$CH$548</definedName>
    <definedName hidden="1" localSheetId="0" name="Z_AA209943_3BEB_4739_8029_4848CD382CE0_.wvu.FilterData">'Ações'!$A$1:$CH$548</definedName>
    <definedName hidden="1" localSheetId="0" name="Z_36C5713E_D1E9_4B2E_B864_6D5F04AA05F5_.wvu.FilterData">'Ações'!$A$1:$CH$1523</definedName>
    <definedName hidden="1" localSheetId="0" name="Z_183F7F4F_8C3A_4BBF_82C8_B8B0510D3018_.wvu.FilterData">'Ações'!$A$1:$CG$298</definedName>
    <definedName hidden="1" localSheetId="0" name="Z_3367D11E_D6B6_42A0_85D7_EE8FE1DD7D41_.wvu.FilterData">'Ações'!$E$1:$CG$76</definedName>
    <definedName hidden="1" localSheetId="45" name="Z_3367D11E_D6B6_42A0_85D7_EE8FE1DD7D41_.wvu.FilterData">'Mapeamento antigo'!$C$1:$BR$446</definedName>
    <definedName hidden="1" localSheetId="0" name="Z_2B026BF7_FB94_4C2F_849D_23A9940D3325_.wvu.FilterData">'Ações'!$A$1:$CH$1523</definedName>
    <definedName hidden="1" localSheetId="0" name="Z_DFDF6260_F91E_493B_A038_971CF9EE3ABF_.wvu.FilterData">'Ações'!$A$1:$CH$548</definedName>
    <definedName hidden="1" localSheetId="0" name="Z_949B0593_BF4C_4693_822C_D9E7979550CE_.wvu.FilterData">'Ações'!$A$1:$CH$697</definedName>
    <definedName hidden="1" localSheetId="26" name="Z_949B0593_BF4C_4693_822C_D9E7979550CE_.wvu.FilterData">'Categorias empresas'!$A$1:$AV$1029</definedName>
    <definedName hidden="1" localSheetId="40" name="Z_949B0593_BF4C_4693_822C_D9E7979550CE_.wvu.FilterData">'Valor original'!$A$1:$AA$1003</definedName>
    <definedName hidden="1" localSheetId="0" name="Z_EB95883B_42D8_4BFF_855C_11D499935296_.wvu.FilterData">'Ações'!$A$1:$CH$548</definedName>
    <definedName hidden="1" localSheetId="0" name="Z_606D9526_F0BB_42C5_BA71_DAD00CB6A54A_.wvu.FilterData">'Ações'!$A$1:$CH$548</definedName>
    <definedName hidden="1" localSheetId="0" name="Z_8BC9474C_83F0_43FD_8739_4C4133798F09_.wvu.FilterData">'Ações'!$A$1:$CH$548</definedName>
    <definedName hidden="1" localSheetId="0" name="Z_C6B3F11B_2522_4E94_9D39_1741B02ABB90_.wvu.FilterData">'Ações'!$E$1:$CG$76</definedName>
    <definedName hidden="1" localSheetId="45" name="Z_C6B3F11B_2522_4E94_9D39_1741B02ABB90_.wvu.FilterData">'Mapeamento antigo'!$C$1:$BR$446</definedName>
    <definedName hidden="1" localSheetId="0" name="Z_5D705EFB_48DA_4FF1_83D5_C18327134C6B_.wvu.FilterData">'Ações'!$A$1:$CH$548</definedName>
    <definedName hidden="1" localSheetId="0" name="Z_0054567D_5271_4953_BD93_25C0B4509CFA_.wvu.FilterData">'Ações'!$A$1:$CG$298</definedName>
    <definedName hidden="1" localSheetId="0" name="Z_BF0B105D_4F3A_48FF_94FD_D4D00CCC57EF_.wvu.FilterData">'Ações'!$A$1:$CH$548</definedName>
  </definedNames>
  <calcPr/>
  <customWorkbookViews>
    <customWorkbookView activeSheetId="0" maximized="1" windowHeight="0" windowWidth="0" guid="{5D705EFB-48DA-4FF1-83D5-C18327134C6B}" name="Filtro 8"/>
    <customWorkbookView activeSheetId="0" maximized="1" windowHeight="0" windowWidth="0" guid="{EB95883B-42D8-4BFF-855C-11D499935296}" name="Filtro 9"/>
    <customWorkbookView activeSheetId="0" maximized="1" windowHeight="0" windowWidth="0" guid="{949B0593-BF4C-4693-822C-D9E7979550CE}" name="Visualização Peter"/>
    <customWorkbookView activeSheetId="0" maximized="1" windowHeight="0" windowWidth="0" guid="{8BC9474C-83F0-43FD-8739-4C4133798F09}" name="Filtro 11"/>
    <customWorkbookView activeSheetId="0" maximized="1" windowHeight="0" windowWidth="0" guid="{BF0B105D-4F3A-48FF-94FD-D4D00CCC57EF}" name="Filtro 12"/>
    <customWorkbookView activeSheetId="0" maximized="1" windowHeight="0" windowWidth="0" guid="{07738AB0-1CB0-45BD-AE14-76864ECFBC79}" name="Filtro 10"/>
    <customWorkbookView activeSheetId="0" maximized="1" windowHeight="0" windowWidth="0" guid="{36C5713E-D1E9-4B2E-B864-6D5F04AA05F5}" name="Filter 2"/>
    <customWorkbookView activeSheetId="0" maximized="1" windowHeight="0" windowWidth="0" guid="{2B026BF7-FB94-4C2F-849D-23A9940D3325}" name="Filter 1"/>
    <customWorkbookView activeSheetId="0" maximized="1" windowHeight="0" windowWidth="0" guid="{0054567D-5271-4953-BD93-25C0B4509CFA}" name="Filtro 4"/>
    <customWorkbookView activeSheetId="0" maximized="1" windowHeight="0" windowWidth="0" guid="{606D9526-F0BB-42C5-BA71-DAD00CB6A54A}" name="Filtro 5"/>
    <customWorkbookView activeSheetId="0" maximized="1" windowHeight="0" windowWidth="0" guid="{DFDF6260-F91E-493B-A038-971CF9EE3ABF}" name="Filtro 6"/>
    <customWorkbookView activeSheetId="0" maximized="1" windowHeight="0" windowWidth="0" guid="{AA209943-3BEB-4739-8029-4848CD382CE0}" name="Filtro 7"/>
    <customWorkbookView activeSheetId="0" maximized="1" windowHeight="0" windowWidth="0" guid="{C6B3F11B-2522-4E94-9D39-1741B02ABB90}" name="Filtro 1"/>
    <customWorkbookView activeSheetId="0" maximized="1" windowHeight="0" windowWidth="0" guid="{3367D11E-D6B6-42A0-85D7-EE8FE1DD7D41}" name="Filtro 2"/>
    <customWorkbookView activeSheetId="0" maximized="1" windowHeight="0" windowWidth="0" guid="{183F7F4F-8C3A-4BBF-82C8-B8B0510D3018}" name="Filtro 3"/>
  </customWorkbookViews>
  <extLst>
    <ext uri="GoogleSheetsCustomDataVersion2">
      <go:sheetsCustomData xmlns:go="http://customooxmlschemas.google.com/" r:id="rId50" roundtripDataChecksum="NavKsHVFyU9/ToaEA9iKYCPl5fmVh00nTlb5K2bMyCw="/>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05">
      <text>
        <t xml:space="preserve">======
ID#AAABdqwoTZc
Maria Victória Vilela    (2025-02-11 20:02:09)
mesmo caso do dia c. igual a 411. classificadas diferentes pq as empresas executam ações distintas.</t>
      </text>
    </comment>
    <comment authorId="0" ref="CD88">
      <text>
        <t xml:space="preserve">======
ID#AAABdIo0oic
Filantropia e desenvolvimento    (2025-02-03 15:55:19)
? relatório da Cooperalfa</t>
      </text>
    </comment>
    <comment authorId="0" ref="BK668">
      <text>
        <t xml:space="preserve">======
ID#AAABZC_DvEQ
Pedro Luiz    (2024-11-21 19:36:50)
Por falar de mais de uma organização para apoio institucional, não é melhor o considerar o estado sede de todas?
------
ID#AAABaAodVG8
Maria Victória Vilela    (2024-12-09 15:14:14)
é pq só entra na 2.1 o apoio a ação da cidadania...</t>
      </text>
    </comment>
    <comment authorId="0" ref="J1">
      <text>
        <t xml:space="preserve">======
ID#AAABYZsUq3s
Filantropia e desenvolvimento    (2024-11-12 22:50:10)
quando a ação não citar nenhum commodity, verificar se ela realmente está relacionada à produção de commodity
------
ID#AAABYZsUq38
Filantropia e desenvolvimento    (2024-11-12 22:58:53)
talvez o melhor nome para essa categoria seria: envolve commodity?</t>
      </text>
    </comment>
    <comment authorId="0" ref="L1">
      <text>
        <t xml:space="preserve">======
ID#AAABYZsjMls
Filantropia e desenvolvimento    (2024-11-12 19:54:26)
quando a ação não especificar se é para os fornecedores/cooperados, ver se de fato ela envolveu eles (ocorreu no mesmo local? Produzia o que a empresa produz?)</t>
      </text>
    </comment>
  </commentList>
  <extLst>
    <ext uri="GoogleSheetsCustomDataVersion2">
      <go:sheetsCustomData xmlns:go="http://customooxmlschemas.google.com/" r:id="rId1" roundtripDataSignature="AMtx7mjhf22MiZk/kpOTFlkP38+tV2V5L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9">
      <text>
        <t xml:space="preserve">======
ID#AAABUDWizEI
Filantropia e desenvolvimento    (2024-10-29 18:20:02)
sem considerar saneamento</t>
      </text>
    </comment>
    <comment authorId="0" ref="B18">
      <text>
        <t xml:space="preserve">======
ID#AAABT0S4VO8
Filantropia e desenvolvimento    (2024-10-16 18:37:49)
colocar a parte de n/a no documento de categorias</t>
      </text>
    </comment>
  </commentList>
  <extLst>
    <ext uri="GoogleSheetsCustomDataVersion2">
      <go:sheetsCustomData xmlns:go="http://customooxmlschemas.google.com/" r:id="rId1" roundtripDataSignature="AMtx7mhWmwh4Anp810TydNBBuv7S7wuZe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J3">
      <text>
        <t xml:space="preserve">======
ID#AAABUGHprBs
Filantropia e desenvolvimento    (2024-11-04 02:10:09)
fazer</t>
      </text>
    </comment>
  </commentList>
  <extLst>
    <ext uri="GoogleSheetsCustomDataVersion2">
      <go:sheetsCustomData xmlns:go="http://customooxmlschemas.google.com/" r:id="rId1" roundtripDataSignature="AMtx7miBx7BW84DdCECwtbTZR0QKRyyH2w=="/>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7">
      <text>
        <t xml:space="preserve">======
ID#AAABdqwnhjI
Pedro Luiz    (2025-02-11 19:17:07)
a fórmula está contanto 1 a mais, o número na aba ações é de 11</t>
      </text>
    </comment>
  </commentList>
  <extLst>
    <ext uri="GoogleSheetsCustomDataVersion2">
      <go:sheetsCustomData xmlns:go="http://customooxmlschemas.google.com/" r:id="rId1" roundtripDataSignature="AMtx7mhEEtBI/bO7xgVqef44ZFnOLVHkxg=="/>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Z1">
      <text>
        <t xml:space="preserve">======
ID#AAABUF2DtPY
Filantropia e desenvolvimento    (2024-11-04 14:44:54)
essa coluna está atualizada?</t>
      </text>
    </comment>
    <comment authorId="0" ref="G94">
      <text>
        <t xml:space="preserve">======
ID#AAABT3QwPpA
Pedro Luiz    (2024-08-12 19:23:47)
Ver amanhã resposta do Pietro</t>
      </text>
    </comment>
    <comment authorId="0" ref="X1">
      <text>
        <t xml:space="preserve">======
ID#AAABRF3LReA
Pedro Luiz    (2024-07-12 20:47:50)
https://registropublicodeemissoes.fgv.br/participantes
Esse site da FGV desse programa de moniotramento de GEEs nacional tem uma base dados bem boa, com muitas empresas que a gente tá analisando nele, pode ajudar para ver se a empresa tme inventário de GEE e os anos que eles fizeram!
@laurasimoes1999@usp.br 
@mvictoria.vilela@gmail.com</t>
      </text>
    </comment>
    <comment authorId="0" ref="AG1">
      <text>
        <t xml:space="preserve">======
ID#AAABN6z3QdI
    (2024-05-22 13:09:23)
tirar @pietrocsr@gmail.com
	-Laura Simoes Camargo
sim
	-Pietro Rodrigues</t>
      </text>
    </comment>
    <comment authorId="0" ref="P1">
      <text>
        <t xml:space="preserve">======
ID#AAABN6z3QcA
    (2024-05-22 13:09:23)
prestar atenção se a cooperativa tem produção ou se apenas compra dos cooperados ou terceiros. Só será "sim" nesta coluna se a produção for da própria cooperativa/empresa! @mvictoria.vilela@gmail.com @pedroluiz170701@gmail.com
_Atribuído a mvictoria.vilela@gmail.com_
	-Laura Simoes Camargo</t>
      </text>
    </comment>
    <comment authorId="0" ref="C1">
      <text>
        <t xml:space="preserve">======
ID#AAABN6z3QYM
    (2024-05-22 13:09:23)
ver pelo site
	-Laura Simoes Camargo
https://solucoes.receita.fazenda.gov.br/Servicos/cnpjreva/Cnpjreva_Solicitacao.asp
	-Laura Simoes Camargo</t>
      </text>
    </comment>
    <comment authorId="0" ref="V1">
      <text>
        <t xml:space="preserve">======
ID#AAABN6z3QYI
    (2024-05-22 13:09:23)
rever
	-Maria Victória Vilela</t>
      </text>
    </comment>
    <comment authorId="0" ref="Q1">
      <text>
        <t xml:space="preserve">======
ID#AAABN6z3QYA
    (2024-05-22 13:09:23)
@mvictoria.vilela@gmail.com só se a empresa tem fazenda e produz
_Atribuído a mvictoria.vilela@gmail.com_
	-Laura Simoes Camargo
cooperativas contam como produção ou não?
	-Maria Victória Vilela
coloquei que sim, mas agora fiquei em dúvida
	-Maria Victória Vilela
as cooperativas não têm fazenda própria? Se as fazendas forem só dos terceirizados, não
	-Laura Simoes Camargo
ok! revisar
	-Maria Victória Vilela
prestar atenção se a cooperativa tem produção ou se apenas compra dos cooperados ou terceiros. Só será "sim" nesta coluna se a produção for da própria cooperativa/empresa!
	-Laura Simoes Camargo</t>
      </text>
    </comment>
    <comment authorId="0" ref="U1">
      <text>
        <t xml:space="preserve">======
ID#AAABN6z3QXQ
    (2024-05-22 13:09:23)
rever
	-Maria Victória Vilela</t>
      </text>
    </comment>
    <comment authorId="0" ref="AC1">
      <text>
        <t xml:space="preserve">======
ID#AAABN6z3QU8
    (2024-05-22 13:09:23)
@mvictoria.vilela@gmail.com procurar pelo ODS 2. Se não tiver, ler na parte de materialidade e/ou procurar por "segurança nutricional/alimentar"
_Atribuído a mvictoria.vilela@gmail.com_
	-Laura Simoes Camargo</t>
      </text>
    </comment>
    <comment authorId="0" ref="AH1">
      <text>
        <t xml:space="preserve">======
ID#AAABN6z3QSw
    (2024-05-22 13:09:22)
tirar @pietrocsr@gmail.com
	-Laura Simoes Camargo
sim
	-Pietro Rodrigues</t>
      </text>
    </comment>
    <comment authorId="0" ref="AJ1">
      <text>
        <t xml:space="preserve">======
ID#AAABN6zCVgs
    (2024-05-22 13:09:22)
tirar @pietrocsr@gmail.com
	-Laura Simoes Camargo
redundante? se sim, de acorod
	-Pietro Rodrigues</t>
      </text>
    </comment>
  </commentList>
  <extLst>
    <ext uri="GoogleSheetsCustomDataVersion2">
      <go:sheetsCustomData xmlns:go="http://customooxmlschemas.google.com/" r:id="rId1" roundtripDataSignature="AMtx7miFLPh6YbkN9v/cQLGRLrh1r0x1gg=="/>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4">
      <text>
        <t xml:space="preserve">======
ID#AAABU3irpn0
Laura Simões Camargo    (2024-09-04 14:00:15)
tirar? Imprecisas</t>
      </text>
    </comment>
  </commentList>
  <extLst>
    <ext uri="GoogleSheetsCustomDataVersion2">
      <go:sheetsCustomData xmlns:go="http://customooxmlschemas.google.com/" r:id="rId1" roundtripDataSignature="AMtx7mg59r43IWM68MgLudwTdsYRsUs0QA=="/>
    </ext>
  </extL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ID#AAABU_ZMXuk
Filantropia e desenvolvimento    (2024-11-06 06:00:25)
@maria.vilela@fundacaojles.org.br joguei as fórmulas da outra tabela aqui e mudaram um pouco os resultados
_Assigned to maria.vilela@fundacaojles.org.br_</t>
      </text>
    </comment>
  </commentList>
  <extLst>
    <ext uri="GoogleSheetsCustomDataVersion2">
      <go:sheetsCustomData xmlns:go="http://customooxmlschemas.google.com/" r:id="rId1" roundtripDataSignature="AMtx7mjHfnYKyjUPXEPn1ApouKKVvuuYzA=="/>
    </ext>
  </extL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0">
      <text>
        <t xml:space="preserve">======
ID#AAABN6z3Qco
    (2024-05-22 13:09:23)
termo aparece muitas vezes, não sei se é relevante
	-Maria Victória Vilela</t>
      </text>
    </comment>
    <comment authorId="0" ref="A5">
      <text>
        <t xml:space="preserve">======
ID#AAABN6z3QTg
    (2024-05-22 13:09:22)
Uma dica é procurar por "aliment" e ver o que aparece
	-Laura Simoes Camargo</t>
      </text>
    </comment>
    <comment authorId="0" ref="B5">
      <text>
        <t xml:space="preserve">======
ID#AAABN6zCVgE
    (2024-05-22 13:09:22)
não sei se precisamos dessa porque sempre abrange outros tipos de segurança, como segurança do trabalho. Quando é segurança alimentar já vai estar mapeado por "alimento". @laurasimoes1999@usp.br o que acha?
_Atribuído a laurasimoes1999@usp.br_
	-Maria Victória Vilela</t>
      </text>
    </comment>
  </commentList>
  <extLst>
    <ext uri="GoogleSheetsCustomDataVersion2">
      <go:sheetsCustomData xmlns:go="http://customooxmlschemas.google.com/" r:id="rId1" roundtripDataSignature="AMtx7mia/0+LvRutp0jLbCHwakBDUuBDzQ=="/>
    </ext>
  </extL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67">
      <text>
        <t xml:space="preserve">======
ID#AAABdZR__2s
Filantropia e desenvolvimento    (2025-02-06 20:37:09)
sem relatório</t>
      </text>
    </comment>
    <comment authorId="0" ref="D779">
      <text>
        <t xml:space="preserve">======
ID#AAABUWS3GYo
Maria Victória Vilela    (2024-08-23 15:08:11)
não tem</t>
      </text>
    </comment>
    <comment authorId="0" ref="D752">
      <text>
        <t xml:space="preserve">======
ID#AAABUWS3GYk
Maria Victória Vilela    (2024-08-23 15:08:07)
não tem</t>
      </text>
    </comment>
    <comment authorId="0" ref="D759">
      <text>
        <t xml:space="preserve">======
ID#AAABUWS3GYg
Maria Victória Vilela    (2024-08-23 15:08:04)
não tem</t>
      </text>
    </comment>
    <comment authorId="0" ref="D730">
      <text>
        <t xml:space="preserve">======
ID#AAABUWS3GYc
Maria Victória Vilela    (2024-08-23 15:08:00)
não tem</t>
      </text>
    </comment>
    <comment authorId="0" ref="D729">
      <text>
        <t xml:space="preserve">======
ID#AAABUWS3GYY
Maria Victória Vilela    (2024-08-23 15:07:57)
não tem</t>
      </text>
    </comment>
    <comment authorId="0" ref="D674">
      <text>
        <t xml:space="preserve">======
ID#AAABUWS3GYU
Maria Victória Vilela    (2024-08-23 15:07:50)
não tem</t>
      </text>
    </comment>
    <comment authorId="0" ref="D658">
      <text>
        <t xml:space="preserve">======
ID#AAABUWS3GYQ
Maria Victória Vilela    (2024-08-23 15:07:28)
não tem</t>
      </text>
    </comment>
    <comment authorId="0" ref="D653">
      <text>
        <t xml:space="preserve">======
ID#AAABUWS3GYM
Maria Victória Vilela    (2024-08-23 15:06:42)
não tem</t>
      </text>
    </comment>
    <comment authorId="0" ref="D594">
      <text>
        <t xml:space="preserve">======
ID#AAABUWS3GYI
Maria Victória Vilela    (2024-08-23 15:05:51)
não encontrei</t>
      </text>
    </comment>
    <comment authorId="0" ref="D577">
      <text>
        <t xml:space="preserve">======
ID#AAABUWS3GYE
Maria Victória Vilela    (2024-08-23 15:05:26)
não encontrei</t>
      </text>
    </comment>
    <comment authorId="0" ref="D512">
      <text>
        <t xml:space="preserve">======
ID#AAABUWS3GYA
Maria Victória Vilela    (2024-08-23 15:04:32)
não encontrei</t>
      </text>
    </comment>
    <comment authorId="0" ref="D416">
      <text>
        <t xml:space="preserve">======
ID#AAABUWS3GX8
Maria Victória Vilela    (2024-08-23 15:03:31)
não encontrei</t>
      </text>
    </comment>
    <comment authorId="0" ref="D454">
      <text>
        <t xml:space="preserve">======
ID#AAABUWS3GX4
Maria Victória Vilela    (2024-08-23 15:03:21)
não encontrei</t>
      </text>
    </comment>
    <comment authorId="0" ref="D303">
      <text>
        <t xml:space="preserve">======
ID#AAABUWS3GX0
Maria Victória Vilela    (2024-08-23 15:01:45)
virou prima foods, parece que tem relatório mas não consegui abrir</t>
      </text>
    </comment>
    <comment authorId="0" ref="D327">
      <text>
        <t xml:space="preserve">======
ID#AAABUWS3GXw
Maria Victória Vilela    (2024-08-23 15:01:25)
não tem relatório e no site institucional não tem ações relacionadas a seg alimentar</t>
      </text>
    </comment>
    <comment authorId="0" ref="D362">
      <text>
        <t xml:space="preserve">======
ID#AAABUWS3GXs
Maria Victória Vilela    (2024-08-23 15:00:45)
não encontrei nada</t>
      </text>
    </comment>
    <comment authorId="0" ref="D67">
      <text>
        <t xml:space="preserve">======
ID#AAABUWS3GXo
Maria Victória Vilela    (2024-08-23 14:04:42)
continua sem</t>
      </text>
    </comment>
    <comment authorId="0" ref="D312">
      <text>
        <t xml:space="preserve">======
ID#AAABUZ4CTCE
Maria Victória Vilela    (2024-08-22 21:49:25)
tb não achei nada</t>
      </text>
    </comment>
    <comment authorId="0" ref="D290">
      <text>
        <t xml:space="preserve">======
ID#AAABUZ4CTCA
Maria Victória Vilela    (2024-08-22 21:38:53)
não encontrei os relatórios</t>
      </text>
    </comment>
    <comment authorId="0" ref="D262">
      <text>
        <t xml:space="preserve">======
ID#AAABUZ4CTB8
Maria Victória Vilela    (2024-08-22 21:37:20)
sem relatório</t>
      </text>
    </comment>
    <comment authorId="0" ref="D821">
      <text>
        <t xml:space="preserve">======
ID#AAABTRz5y5A
Maria Victória Vilela    (2024-08-05 23:53:20)
acaba aqui
------
ID#AAABPdEaews
Maria Victória Vilela    (2024-08-08 19:03:12)
não tem relatório e nem ações no site</t>
      </text>
    </comment>
    <comment authorId="0" ref="D459">
      <text>
        <t xml:space="preserve">======
ID#AAABTRz5y44
Maria Victória Vilela    (2024-08-05 23:49:17)
não tem relatório e não tem ações no site</t>
      </text>
    </comment>
    <comment authorId="0" ref="D456">
      <text>
        <t xml:space="preserve">======
ID#AAABTRz5y2o
Maria Victória Vilela    (2024-08-05 23:38:46)
não tem relatório e não tem ações no site</t>
      </text>
    </comment>
    <comment authorId="0" ref="D444">
      <text>
        <t xml:space="preserve">======
ID#AAABTRONUeg
Maria Victória Vilela    (2024-08-05 17:54:33)
não tem relatório e não tem ações no site</t>
      </text>
    </comment>
    <comment authorId="0" ref="D441">
      <text>
        <t xml:space="preserve">======
ID#AAABTRONUec
Maria Victória Vilela    (2024-08-05 17:52:31)
não tem relatório e não tem ações no site</t>
      </text>
    </comment>
    <comment authorId="0" ref="D433">
      <text>
        <t xml:space="preserve">======
ID#AAABTRBMlYk
Maria Victória Vilela    (2024-08-05 17:50:05)
não tem relatório e não tem ações no site</t>
      </text>
    </comment>
    <comment authorId="0" ref="D404">
      <text>
        <t xml:space="preserve">======
ID#AAABTRBMlYc
Maria Victória Vilela    (2024-08-05 17:46:59)
não tem relatório e não tem ações no site</t>
      </text>
    </comment>
    <comment authorId="0" ref="D399">
      <text>
        <t xml:space="preserve">======
ID#AAABS8pe6JU
Maria Victória Vilela    (2024-08-02 17:17:07)
não tem relatório nem ações no site</t>
      </text>
    </comment>
    <comment authorId="0" ref="D397">
      <text>
        <t xml:space="preserve">======
ID#AAABS0v2qDU
Maria Victória Vilela    (2024-08-01 23:01:03)
só tem relatório 2024</t>
      </text>
    </comment>
    <comment authorId="0" ref="D390">
      <text>
        <t xml:space="preserve">======
ID#AAABS0v2qDQ
Maria Victória Vilela    (2024-08-01 22:58:26)
não tem relatório</t>
      </text>
    </comment>
    <comment authorId="0" ref="D381">
      <text>
        <t xml:space="preserve">======
ID#AAABS0v2qDM
Maria Victória Vilela    (2024-08-01 22:58:03)
não tem relatório</t>
      </text>
    </comment>
    <comment authorId="0" ref="D336">
      <text>
        <t xml:space="preserve">======
ID#AAABS0v2qDI
Maria Victória Vilela    (2024-08-01 22:57:55)
não tem relatório</t>
      </text>
    </comment>
    <comment authorId="0" ref="D332">
      <text>
        <t xml:space="preserve">======
ID#AAABS0v2j3E
Maria Victória Vilela    (2024-08-01 16:09:00)
não tem relatório nem nada no site</t>
      </text>
    </comment>
    <comment authorId="0" ref="D325">
      <text>
        <t xml:space="preserve">======
ID#AAABS0v2j3A
Maria Victoria Pereira Vilela    (2024-08-01 16:04:49)
não tem relatório nem nada no site</t>
      </text>
    </comment>
    <comment authorId="0" ref="D306">
      <text>
        <t xml:space="preserve">======
ID#AAABS0v2j2w
Maria Victória Vilela    (2024-08-01 14:48:01)
não tem relatatório</t>
      </text>
    </comment>
    <comment authorId="0" ref="D294">
      <text>
        <t xml:space="preserve">======
ID#AAABS3XfgyM
Maria Victória Vilela    (2024-07-31 20:33:01)
não tem relatório e não tem nada no site</t>
      </text>
    </comment>
    <comment authorId="0" ref="D251">
      <text>
        <t xml:space="preserve">======
ID#AAABL16rJaU
Maria Victória Vilela    (2024-07-29 01:39:02)
tem um relatório, mas não tem nenhuma ação de segurança alimentar</t>
      </text>
    </comment>
    <comment authorId="0" ref="D236">
      <text>
        <t xml:space="preserve">======
ID#AAABL16rJaQ
Maria Victória Vilela    (2024-07-29 01:38:42)
não tem relatório</t>
      </text>
    </comment>
    <comment authorId="0" ref="D176">
      <text>
        <t xml:space="preserve">======
ID#AAABL16rJaM
Maria Victória Vilela    (2024-07-29 01:38:26)
não tem relatório</t>
      </text>
    </comment>
    <comment authorId="0" ref="D172">
      <text>
        <t xml:space="preserve">======
ID#AAABL16rJZ4
Maria Victória Vilela    (2024-07-29 01:38:15)
não tem relatório</t>
      </text>
    </comment>
    <comment authorId="0" ref="D111">
      <text>
        <t xml:space="preserve">======
ID#AAABL16rJZ0
Maria Victória Vilela    (2024-07-29 01:38:05)
não tem relatório</t>
      </text>
    </comment>
    <comment authorId="0" ref="D64">
      <text>
        <t xml:space="preserve">======
ID#AAABL16rJZw
Maria Victória Vilela    (2024-07-29 01:37:52)
não tem relatório</t>
      </text>
    </comment>
    <comment authorId="0" ref="D484">
      <text>
        <t xml:space="preserve">======
ID#AAABQ3YTj7s
Maria Victória Vilela    (2024-07-04 19:59:37)
acaba aqui
------
ID#AAABTRz5y48
Maria Victória Vilela    (2024-08-05 23:52:13)
sem relatório e sem ação SAN no site</t>
      </text>
    </comment>
    <comment authorId="0" ref="D328">
      <text>
        <t xml:space="preserve">======
ID#AAABQQ4-TsI
Maria Victória Vilela    (2024-06-25 17:51:46)
não achei nenhuma informação sobre essa empresa
------
ID#AAABQoh81b4
Laura Simões Camargo    (2024-07-02 17:42:51)
também não achei</t>
      </text>
    </comment>
    <comment authorId="0" ref="D185">
      <text>
        <t xml:space="preserve">======
ID#AAABN6z3QdY
    (2024-05-22 13:09:23)
Não tem relatórios
	-Laura Simoes Camargo
------
ID#AAABUZ4CTB0
Maria Victória Vilela    (2024-08-22 21:30:52)
segue sem</t>
      </text>
    </comment>
    <comment authorId="0" ref="D120">
      <text>
        <t xml:space="preserve">======
ID#AAABN6z3QbE
    (2024-05-22 13:09:23)
@laurasimoes1999@usp.br não tem relatório
_Atribuído a laurasimoes1999@usp.br_
	-Maria Victória Vilela
mesma coisa da Coamo
	-Laura Simoes Camargo
------
ID#AAABUZ4CPI0
Maria Victória Vilela    (2024-08-22 21:18:47)
segue sem</t>
      </text>
    </comment>
    <comment authorId="0" ref="D162">
      <text>
        <t xml:space="preserve">======
ID#AAABN6z3QVA
    (2024-05-22 13:09:23)
não encontrei nada
	-Maria Victória Vilela</t>
      </text>
    </comment>
    <comment authorId="0" ref="D259">
      <text>
        <t xml:space="preserve">======
ID#AAABN6z3QU0
    (2024-05-22 13:09:23)
Não tem relatórios
	-Laura Simoes Camargo
------
ID#AAABUZ4CTB4
Maria Victória Vilela    (2024-08-22 21:36:24)
ainda sem</t>
      </text>
    </comment>
    <comment authorId="0" ref="D169">
      <text>
        <t xml:space="preserve">======
ID#AAABN6z3QTE
    (2024-05-22 13:09:22)
não tem relatórios
	-Maria Victória Vilela
------
ID#AAABUZ4CPI4
Maria Victória Vilela    (2024-08-22 21:29:51)
segue sem</t>
      </text>
    </comment>
    <comment authorId="0" ref="D53">
      <text>
        <t xml:space="preserve">======
ID#AAABN6zCVgk
    (2024-05-22 13:09:22)
Não tem relatórios
	-Laura Simoes Camargo
------
ID#AAABUZ4CPIw
Maria Victória Vilela    (2024-08-22 21:16:47)
não tem relatorio</t>
      </text>
    </comment>
  </commentList>
  <extLst>
    <ext uri="GoogleSheetsCustomDataVersion2">
      <go:sheetsCustomData xmlns:go="http://customooxmlschemas.google.com/" r:id="rId1" roundtripDataSignature="AMtx7mhD9TP6CdIlbBjCM/30IxWgOtTgGQ=="/>
    </ext>
  </extL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R1">
      <text>
        <t xml:space="preserve">======
ID#AAABN6z3QdE
    (2024-05-22 13:09:23)
tirar? É para ter só empresa
	-Laura Simoes Camargo</t>
      </text>
    </comment>
    <comment authorId="0" ref="AJ6">
      <text>
        <t xml:space="preserve">======
ID#AAABN6z3Qcs
    (2024-05-22 13:09:23)
Discutir se quando a rede varejista entra apenas como doadora de produtos na iniciativa, coloca o Varejo como elo envolvido ou não... eu acredito que não
	-isabella esteves
Sim, pode colocar Varejo e Consumo, por favor
	-Laura Simoes Camargo</t>
      </text>
    </comment>
    <comment authorId="0" ref="D15">
      <text>
        <t xml:space="preserve">======
ID#AAABN6z3Qb0
    (2024-05-22 13:09:23)
Vamos mapear as ações do programa Avião Solidário de forma separada mesmo?
	-isabella esteves
Acho que sim. Por que não seria assim?
	-Laura Simoes Camargo
Ah, não sei.. poderia ser uma única linha, com as localidades diferentes, mas acho que assim é melhor mesmo
	-isabella esteves</t>
      </text>
    </comment>
    <comment authorId="0" ref="U1">
      <text>
        <t xml:space="preserve">======
ID#AAABN6z3Qbs
    (2024-05-22 13:09:23)
Não estou tendo certeza quanto aos elos que a empresa atua, depois conferir por empresa
	-isabella esteves</t>
      </text>
    </comment>
    <comment authorId="0" ref="AT1">
      <text>
        <t xml:space="preserve">======
ID#AAABN6z3Qbo
    (2024-05-22 13:09:23)
tirar
	-Laura Simoes Camargo</t>
      </text>
    </comment>
    <comment authorId="0" ref="BA239">
      <text>
        <t xml:space="preserve">======
ID#AAABN6z3Qbg
    (2024-05-22 13:09:23)
Nessas iniciativas que visam educar sobre alimentação saudável, etc, estou colocando sim para esse ODS, concorda?
	-isabella esteves</t>
      </text>
    </comment>
    <comment authorId="0" ref="AB1">
      <text>
        <t xml:space="preserve">======
ID#AAABN6z3QbU
    (2024-05-22 13:09:23)
colocaria no codebook
	-Laura Simoes Camargo</t>
      </text>
    </comment>
    <comment authorId="0" ref="Q213">
      <text>
        <t xml:space="preserve">======
ID#AAABN6z3QbI
    (2024-05-22 13:09:23)
Referente ao apoio institucional da Camil e não à existência do CREN, certo?
	-isabella esteves</t>
      </text>
    </comment>
    <comment authorId="0" ref="H1">
      <text>
        <t xml:space="preserve">======
ID#AAABN6z3QZs
    (2024-05-22 13:09:23)
definir o que é redução de perda/desperdício
	-Laura Simoes Camargo</t>
      </text>
    </comment>
    <comment authorId="0" ref="BL1">
      <text>
        <t xml:space="preserve">======
ID#AAABN6z3QZU
    (2024-05-22 13:09:23)
?
	-Laura Simoes Camargo</t>
      </text>
    </comment>
    <comment authorId="0" ref="AR1">
      <text>
        <t xml:space="preserve">======
ID#AAABN6z3QX0
    (2024-05-22 13:09:23)
tirar
	-Laura Simoes Camargo</t>
      </text>
    </comment>
    <comment authorId="0" ref="D204">
      <text>
        <t xml:space="preserve">======
ID#AAABN6z3QXc
    (2024-05-22 13:09:23)
Idem
	-isabella esteves</t>
      </text>
    </comment>
    <comment authorId="0" ref="B205">
      <text>
        <t xml:space="preserve">======
ID#AAABN6z3QW4
    (2024-05-22 13:09:23)
Essas empresas grandes que são vinculadas a Institutos, acabam deixando essa parte social toda pra eles... é o caso da BRF, eles tem muitas ações, mas via Instituto, vai ser bom ressaltar isso na análise final
	-isabella esteves</t>
      </text>
    </comment>
    <comment authorId="0" ref="A1">
      <text>
        <t xml:space="preserve">======
ID#AAABN6z3QW0
    (2024-05-22 13:09:23)
@laurasimoes1999@usp.br Não sei se essas iniciativas sobre a revitalização de nascentes que abastacem cidades entram. Tem algumas outras que eu adicionei na tabela.
_Atribuído a laurasimoes1999@usp.br_
	-Maria Victória Vilela</t>
      </text>
    </comment>
    <comment authorId="0" ref="E213">
      <text>
        <t xml:space="preserve">======
ID#AAABN6z3QWg
    (2024-05-22 13:09:23)
Na dúvida do que colocar... é um apoio institucional a essa organização.
	-isabella esteves</t>
      </text>
    </comment>
    <comment authorId="0" ref="L230">
      <text>
        <t xml:space="preserve">======
ID#AAABN6z3QWQ
    (2024-05-22 13:09:23)
Só fala que o Carrefour é parceiro, então não dá pra saber se foram em todos os anos...
	-isabella esteves</t>
      </text>
    </comment>
    <comment authorId="0" ref="F158">
      <text>
        <t xml:space="preserve">======
ID#AAABN6z3QVg
    (2024-05-22 13:09:23)
Lê a descrição aqui, achei bem legal a provocação que fizeram pra empresa
	-isabella esteves</t>
      </text>
    </comment>
    <comment authorId="0" ref="AF191">
      <text>
        <t xml:space="preserve">======
ID#AAABN6z3QUE
    (2024-05-22 13:09:23)
Não tem muita info, fala só que é gerida pelos colaboradores da empresa em benefício dos projetos da Fundação, creches etc... deixa a empresa mesmo como executora?
	-isabella esteves</t>
      </text>
    </comment>
    <comment authorId="0" ref="AJ1">
      <text>
        <t xml:space="preserve">======
ID#AAABN6z3QTk
    (2024-05-22 13:09:22)
tirar
	-Laura Simoes Camargo
depois
	-Laura Simoes Camargo</t>
      </text>
    </comment>
    <comment authorId="0" ref="BA1">
      <text>
        <t xml:space="preserve">======
ID#AAABN6z3QTA
    (2024-05-22 13:09:22)
pode colocar sim mesmo se for para outros públicos
	-Laura Simoes Camargo</t>
      </text>
    </comment>
    <comment authorId="0" ref="D203">
      <text>
        <t xml:space="preserve">======
ID#AAABN6z3QSU
    (2024-05-22 13:09:22)
Não tenho certeza se entra, pois não sei se foi realizado via Instituto deles exclusivamente ou com parceria com a empresa
	-isabella esteves
"Até 2020, as iniciativas da BrasilAgro eram
pontuais e realizadas em regiões distintas,
com foco em envolver crianças, adolescentes e
adultos em situação de vulnerabilidade social.
Também há o apoio em projetos sólidos, como
Amigos do Bem, Casa do Zezinho, Associação
Precavi, Instituto Adus, e foram feitas reformas e
a construção de escolas – uma delas em parceria
com o Governo do Maranhão.
Com a necessidade de uma frente de trabalho mais
perene e consistente, a empresa criou o Instituto
BrasilAgro, em julho de 2020, para coordenar
todas as iniciativas sociais da Companhia."
	-isabella esteves</t>
      </text>
    </comment>
    <comment authorId="0" ref="AI1">
      <text>
        <t xml:space="preserve">======
ID#AAABN6zCVgY
    (2024-05-22 13:09:22)
e se forem várias executoras?
	-Laura Simoes Camargo
tirar?
	-Laura Simoes Camargo</t>
      </text>
    </comment>
    <comment authorId="0" ref="S1">
      <text>
        <t xml:space="preserve">======
ID#AAABN6zCVgM
    (2024-05-22 13:09:22)
essas colunas não podem estar no codebook?
	-Laura Simoes Camargo</t>
      </text>
    </comment>
  </commentList>
  <extLst>
    <ext uri="GoogleSheetsCustomDataVersion2">
      <go:sheetsCustomData xmlns:go="http://customooxmlschemas.google.com/" r:id="rId1" roundtripDataSignature="AMtx7mhHSDvoTHxE9nkZnD8z9LW8M9UeFg=="/>
    </ext>
  </extLst>
</comments>
</file>

<file path=xl/sharedStrings.xml><?xml version="1.0" encoding="utf-8"?>
<sst xmlns="http://schemas.openxmlformats.org/spreadsheetml/2006/main" count="77814" uniqueCount="8027">
  <si>
    <t>empresa</t>
  </si>
  <si>
    <t>id_emp</t>
  </si>
  <si>
    <t>setor</t>
  </si>
  <si>
    <t>id_ini</t>
  </si>
  <si>
    <t>id_mob</t>
  </si>
  <si>
    <t>iniciativa</t>
  </si>
  <si>
    <t>tipo</t>
  </si>
  <si>
    <t>descricao</t>
  </si>
  <si>
    <t>commodity</t>
  </si>
  <si>
    <t>part_int_cli</t>
  </si>
  <si>
    <t>part_int_for</t>
  </si>
  <si>
    <t>part_int_com</t>
  </si>
  <si>
    <t>part_int_func</t>
  </si>
  <si>
    <t>gru_agri_fam</t>
  </si>
  <si>
    <t>gru_dem_esp</t>
  </si>
  <si>
    <t>gru_vul_eco</t>
  </si>
  <si>
    <t>gru_cri_ado</t>
  </si>
  <si>
    <t>obj_prod_ali</t>
  </si>
  <si>
    <t>obj_seg_nutri</t>
  </si>
  <si>
    <t>obj_ali_fome</t>
  </si>
  <si>
    <t>obj_red_perda</t>
  </si>
  <si>
    <t>obj_red_desp</t>
  </si>
  <si>
    <t>obj_reap</t>
  </si>
  <si>
    <t>obj_ace_agua</t>
  </si>
  <si>
    <t>obj_res_emp</t>
  </si>
  <si>
    <t>obj_agri_fam</t>
  </si>
  <si>
    <t>social</t>
  </si>
  <si>
    <t>ambiental</t>
  </si>
  <si>
    <t>governanca</t>
  </si>
  <si>
    <t>mecanismo</t>
  </si>
  <si>
    <t>tech</t>
  </si>
  <si>
    <t>qual_tech</t>
  </si>
  <si>
    <t>inicio</t>
  </si>
  <si>
    <t>ano20</t>
  </si>
  <si>
    <t>ano21</t>
  </si>
  <si>
    <t>ano22</t>
  </si>
  <si>
    <t>ano23</t>
  </si>
  <si>
    <t>fim</t>
  </si>
  <si>
    <t>status</t>
  </si>
  <si>
    <t>long_dur</t>
  </si>
  <si>
    <t>emergencial</t>
  </si>
  <si>
    <t>coop</t>
  </si>
  <si>
    <t>emp_insum</t>
  </si>
  <si>
    <t>emp_prod_ali</t>
  </si>
  <si>
    <t>emp_armaz</t>
  </si>
  <si>
    <t>emp_trans_log</t>
  </si>
  <si>
    <t>emp_process</t>
  </si>
  <si>
    <t>emp_var_atac</t>
  </si>
  <si>
    <t>emp_consu</t>
  </si>
  <si>
    <t>parceiro</t>
  </si>
  <si>
    <t>multi_finan</t>
  </si>
  <si>
    <t>org_exec</t>
  </si>
  <si>
    <t>tipo_exec</t>
  </si>
  <si>
    <t>multi_exec</t>
  </si>
  <si>
    <t>elo_prod_ali</t>
  </si>
  <si>
    <t>elo_armaz</t>
  </si>
  <si>
    <t>elo_trans_log</t>
  </si>
  <si>
    <t>elo_process</t>
  </si>
  <si>
    <t>elo_var_atac</t>
  </si>
  <si>
    <t>elo_consu</t>
  </si>
  <si>
    <t>apoio_insti</t>
  </si>
  <si>
    <t>estado_atua</t>
  </si>
  <si>
    <t>reg_co</t>
  </si>
  <si>
    <t>reg_ne</t>
  </si>
  <si>
    <t>reg_n</t>
  </si>
  <si>
    <t>reg_se</t>
  </si>
  <si>
    <t>reg_s</t>
  </si>
  <si>
    <t>ods_2.1</t>
  </si>
  <si>
    <t>ods_2.2</t>
  </si>
  <si>
    <t>ods_2.3</t>
  </si>
  <si>
    <t>ods_2.4</t>
  </si>
  <si>
    <t>ods_2.5</t>
  </si>
  <si>
    <t>ods_12.2</t>
  </si>
  <si>
    <t>ods_12.3</t>
  </si>
  <si>
    <t>ods_12.4</t>
  </si>
  <si>
    <t>ods_12.5</t>
  </si>
  <si>
    <t>ods_12.6</t>
  </si>
  <si>
    <t>ods_12.8</t>
  </si>
  <si>
    <t>fonte01</t>
  </si>
  <si>
    <t>fonte02</t>
  </si>
  <si>
    <t>fonte03</t>
  </si>
  <si>
    <t>fonte04</t>
  </si>
  <si>
    <t>fonte05</t>
  </si>
  <si>
    <t>fonte06</t>
  </si>
  <si>
    <t>fonte07</t>
  </si>
  <si>
    <t>3tentos</t>
  </si>
  <si>
    <t>emp_001</t>
  </si>
  <si>
    <t>Agronegócio</t>
  </si>
  <si>
    <t>ini_001</t>
  </si>
  <si>
    <t>Doação de alimentos não perecíveis para a unidade de tratamento a pacientes da Covid-19</t>
  </si>
  <si>
    <t>Projeto</t>
  </si>
  <si>
    <t>"Também realizamos a doação de alimentos não perecíveis e ar-condicionado para a unidade de tratamento a pacientes da Covid-19 no Hospital São Vicente de Paulo, em Cruz Alta (RS)."</t>
  </si>
  <si>
    <t>Não</t>
  </si>
  <si>
    <t>Sim</t>
  </si>
  <si>
    <t>Doação de alimentos</t>
  </si>
  <si>
    <t>n/a</t>
  </si>
  <si>
    <t>Concluído</t>
  </si>
  <si>
    <t>Sociedade anônima aberta</t>
  </si>
  <si>
    <t>RS</t>
  </si>
  <si>
    <t>Relatório de sustentabilidade 2020</t>
  </si>
  <si>
    <t>ini_007</t>
  </si>
  <si>
    <t>Academia do campo</t>
  </si>
  <si>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</si>
  <si>
    <t xml:space="preserve">Produção e/ou disseminação de conhecimento </t>
  </si>
  <si>
    <t>Plataforma on-line</t>
  </si>
  <si>
    <t>s/i</t>
  </si>
  <si>
    <t>Relatório 2022</t>
  </si>
  <si>
    <t>https://www.3tentos.com.br/assets/esg/relatorioesg2021.pdf</t>
  </si>
  <si>
    <t>ini_016</t>
  </si>
  <si>
    <t>Produzir+</t>
  </si>
  <si>
    <t>Programa</t>
  </si>
  <si>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</si>
  <si>
    <t>Produção/disseminação/implementação de práticas sustentáveis</t>
  </si>
  <si>
    <t>Plataforma online de monitoramento</t>
  </si>
  <si>
    <t>Em andamento</t>
  </si>
  <si>
    <t>Relatório 2021</t>
  </si>
  <si>
    <t>Relatório 2023</t>
  </si>
  <si>
    <t>https://www.3tentos.com.br/produzir</t>
  </si>
  <si>
    <t>ini_017</t>
  </si>
  <si>
    <t>Primeiro as Damas</t>
  </si>
  <si>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</si>
  <si>
    <t>https://www.3tentos.com.br/cropshow</t>
  </si>
  <si>
    <t>ini_018</t>
  </si>
  <si>
    <t>1° Semana dos Biológicos</t>
  </si>
  <si>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</si>
  <si>
    <t>ini_019</t>
  </si>
  <si>
    <t>Selo Carbono 3tentos</t>
  </si>
  <si>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</si>
  <si>
    <t xml:space="preserve">3tentos </t>
  </si>
  <si>
    <t>Relatório de Sustentabilidade 2021</t>
  </si>
  <si>
    <t>ini_020</t>
  </si>
  <si>
    <t>Elas no Agro</t>
  </si>
  <si>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</si>
  <si>
    <t>Relatório de Sustentabilidade - 2022</t>
  </si>
  <si>
    <t>ini_021</t>
  </si>
  <si>
    <t xml:space="preserve">Energia Limpa </t>
  </si>
  <si>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</si>
  <si>
    <t>3Tentos</t>
  </si>
  <si>
    <t>MT; RS</t>
  </si>
  <si>
    <t>ini_022</t>
  </si>
  <si>
    <t>Doação de cestas básicas para APAE</t>
  </si>
  <si>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</si>
  <si>
    <t>APAE</t>
  </si>
  <si>
    <t>Associação privada</t>
  </si>
  <si>
    <t>Relatório de sustantabilidade 2022</t>
  </si>
  <si>
    <t>ini_023</t>
  </si>
  <si>
    <t>Doação de kits de alimentos para Associação de Combate ao Câncer de Santa Bárbara</t>
  </si>
  <si>
    <t>"Doamos para a Associação de Combate ao Câncer de Santa Bárbara, mais de 50 kits com produtos como panetone, lentilha e latas de pêssegos para serem distribuídos aos usuários assistidos pela instituição."</t>
  </si>
  <si>
    <t>Doação de recursos</t>
  </si>
  <si>
    <t xml:space="preserve">Agrária </t>
  </si>
  <si>
    <t>emp_022</t>
  </si>
  <si>
    <t>ini_024</t>
  </si>
  <si>
    <t xml:space="preserve">Doação de cestas básicas </t>
  </si>
  <si>
    <t xml:space="preserve">"Ações para a comunidade doação de cestas básicas para entidades e comunidades do Distrito Entre Rios e das cidades de Guarapuava e Pinhão." </t>
  </si>
  <si>
    <t>Agrária</t>
  </si>
  <si>
    <t>Cooperativa</t>
  </si>
  <si>
    <t>PR</t>
  </si>
  <si>
    <t>Relatório Sustentabilidade 2020</t>
  </si>
  <si>
    <t>ini_025</t>
  </si>
  <si>
    <t>Matriz Energética</t>
  </si>
  <si>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</si>
  <si>
    <t>Santa Maria Papel e Celulose</t>
  </si>
  <si>
    <t>Usina Hidrelétrica Salto Curucaca</t>
  </si>
  <si>
    <t>Consórcio de Sociedades</t>
  </si>
  <si>
    <t>ini_026</t>
  </si>
  <si>
    <t xml:space="preserve">Doação farinha </t>
  </si>
  <si>
    <t>"Em 2020 mais de 9 mil quilos de farinha foram doados pela Agrária, beneficiando 12 entidades assistenciais de Guarapuava e Pinhão."</t>
  </si>
  <si>
    <t>ini_027</t>
  </si>
  <si>
    <t>Programa Agrária de Gestão Rural - PAGR</t>
  </si>
  <si>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</si>
  <si>
    <t>Relatório Sustentabilidade 2021</t>
  </si>
  <si>
    <t>ini_028</t>
  </si>
  <si>
    <t>Bioinsumos</t>
  </si>
  <si>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</si>
  <si>
    <t>ini_029</t>
  </si>
  <si>
    <t>Programa Agraria de Integraçao Solidária</t>
  </si>
  <si>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</si>
  <si>
    <t>ACPAC (Associação Casa de Passagem e Apoio a pessoa com Câncer);  Albergue Noturno Francisco Ozanam; APAE Guarapuva; Lar do Idoso São Francisco de Assis; Projeção; Projeto Anjos Inocentes; S.O.S Airton Haenisch; Vidas por Vidas</t>
  </si>
  <si>
    <t>Relatório 2020</t>
  </si>
  <si>
    <t>https://www.agraria.com.br/noticia/4820/ao-completar-20-anos-pais-retoma-atividades-em-equipes</t>
  </si>
  <si>
    <t>https://anjosinocentes.com.br/</t>
  </si>
  <si>
    <t>ini_030</t>
  </si>
  <si>
    <t>Brasil sem Frestas</t>
  </si>
  <si>
    <t>"Voluntárias do projeto Brasil sem Frestas confeccionaram máscaras que foram dadas à população em troca de alimentos não perecíveis. Os alimentos foram destinados à unidade de saúde"</t>
  </si>
  <si>
    <t>Unidade de saúde</t>
  </si>
  <si>
    <t>Unidade/Órgão Público</t>
  </si>
  <si>
    <t>ini_031</t>
  </si>
  <si>
    <t>mob_04</t>
  </si>
  <si>
    <t>Dia de Cooperar</t>
  </si>
  <si>
    <t>Campanha</t>
  </si>
  <si>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</si>
  <si>
    <t>Colégio Imperatriz Dona Leopoldina; Núcleo Feminino da Agrária; OCB (Organização das Cooperativas do Brasil)</t>
  </si>
  <si>
    <t>ini_032</t>
  </si>
  <si>
    <t>Prosolo</t>
  </si>
  <si>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</si>
  <si>
    <t>Agentes privados; Universidades locais</t>
  </si>
  <si>
    <t>Agentes privados; Agrária; Universidades locais</t>
  </si>
  <si>
    <t>ini_033</t>
  </si>
  <si>
    <t>Projeto Fundiário da Agrária</t>
  </si>
  <si>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</si>
  <si>
    <t>ini_034</t>
  </si>
  <si>
    <t>Reflorestamento para energia - Agrária</t>
  </si>
  <si>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</si>
  <si>
    <t>Agrogalaxy</t>
  </si>
  <si>
    <t>emp_005</t>
  </si>
  <si>
    <t>ini_035</t>
  </si>
  <si>
    <t>Programa de nutrição social</t>
  </si>
  <si>
    <t>"Em parceria com a universidade Unifil, em Londrina (PR), a empresa implantou um programa de nutrição social para orientá-los [colaboradores] na busca por uma alimentação saudável e pretende estender o projeto para todas as suas filiais."</t>
  </si>
  <si>
    <t>AgroGalaxy; Unifil</t>
  </si>
  <si>
    <t>ini_036</t>
  </si>
  <si>
    <t>Energia de fontes renováveis no mercado livre</t>
  </si>
  <si>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</si>
  <si>
    <t>AgroGalaxy</t>
  </si>
  <si>
    <t>Sociedade Anônima Fechada</t>
  </si>
  <si>
    <t>AC; BA; GO; MA; MT; MS; MG; PA; PR; PI; RO; SC; SP; TO</t>
  </si>
  <si>
    <t>ini_037</t>
  </si>
  <si>
    <t>Doação de sementes</t>
  </si>
  <si>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</si>
  <si>
    <t>ini_038</t>
  </si>
  <si>
    <t>Política de Crédito</t>
  </si>
  <si>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</si>
  <si>
    <t>ini_039</t>
  </si>
  <si>
    <t>Ourotec (Grão de Ouro)</t>
  </si>
  <si>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</si>
  <si>
    <t>AgroGalaxy; Grão de Ouro</t>
  </si>
  <si>
    <t>ini_040</t>
  </si>
  <si>
    <t>PTAs verdes</t>
  </si>
  <si>
    <t xml:space="preserve">"Já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 </t>
  </si>
  <si>
    <t>ini_041</t>
  </si>
  <si>
    <t>GreenGalaxy</t>
  </si>
  <si>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</si>
  <si>
    <t>Empréstimos e subsídios</t>
  </si>
  <si>
    <t xml:space="preserve">Amaggi </t>
  </si>
  <si>
    <t>emp_009</t>
  </si>
  <si>
    <t>ini_042</t>
  </si>
  <si>
    <t>Um Por Todos e Todos Contra a COVID-19</t>
  </si>
  <si>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</si>
  <si>
    <t>Fundação André e Lucia Maggi (FALM)</t>
  </si>
  <si>
    <t>Fundação privada</t>
  </si>
  <si>
    <t>AM; MT; RO</t>
  </si>
  <si>
    <t xml:space="preserve">Relatório 2020 </t>
  </si>
  <si>
    <t>Relatório 2020 Progresso</t>
  </si>
  <si>
    <t>ini_043</t>
  </si>
  <si>
    <t>Desenvolvimento PEAA</t>
  </si>
  <si>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</si>
  <si>
    <t>Pacto Global; 20 organizações do setor privado mundial</t>
  </si>
  <si>
    <t xml:space="preserve">Pacto Global </t>
  </si>
  <si>
    <t>Relatório 2021 ESG</t>
  </si>
  <si>
    <t>Relatório 2021 Progresso</t>
  </si>
  <si>
    <t>Notícias Pacto Global</t>
  </si>
  <si>
    <t>Principios PEEA</t>
  </si>
  <si>
    <t>ini_044</t>
  </si>
  <si>
    <t>Earth Innovation Institute e Balikpapan Challenge</t>
  </si>
  <si>
    <t>Suporte Institucional</t>
  </si>
  <si>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</si>
  <si>
    <t>Earth Innovation Institute</t>
  </si>
  <si>
    <t>https://earthinnovation.org/regions/brazil</t>
  </si>
  <si>
    <t>ini_045</t>
  </si>
  <si>
    <t>Ação Emergencial</t>
  </si>
  <si>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</si>
  <si>
    <t>Amaggi</t>
  </si>
  <si>
    <t>Sociedade Empresária Limitada</t>
  </si>
  <si>
    <t>ini_004</t>
  </si>
  <si>
    <t>AMAGGI Regenera</t>
  </si>
  <si>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</si>
  <si>
    <t>Embrapa; Instituto de Pesquisa Ambiental da Amazônia (IPAM); reNature</t>
  </si>
  <si>
    <t>https://www.amaggi.com.br/amaggi_regenera/</t>
  </si>
  <si>
    <t>https://www.amaggi.com.br/clima-e-floresta/</t>
  </si>
  <si>
    <t>https://www.amaggi.com.br/wp-content/uploads/2023/06/AmaggiRegenera_PT-azul.pdf</t>
  </si>
  <si>
    <t>Relatório 2022 ESG</t>
  </si>
  <si>
    <t>ini_046</t>
  </si>
  <si>
    <t>Caminhos da semente</t>
  </si>
  <si>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</si>
  <si>
    <t xml:space="preserve"> Associação Rede de Sementes do Xingu</t>
  </si>
  <si>
    <t>MT</t>
  </si>
  <si>
    <t>ini_047</t>
  </si>
  <si>
    <t>Programa ORIGINS</t>
  </si>
  <si>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</si>
  <si>
    <t>Programa digital desenvolvido pela empresa</t>
  </si>
  <si>
    <t>ini_048</t>
  </si>
  <si>
    <t>Projeto de Monitoramento de Biodiversidade</t>
  </si>
  <si>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</si>
  <si>
    <t>IPAM</t>
  </si>
  <si>
    <t>https://ipam.org.br/o-ipam/proposito/</t>
  </si>
  <si>
    <t>ini_049</t>
  </si>
  <si>
    <t>Parceria com a The Nature Conservancy (TNC)</t>
  </si>
  <si>
    <t>"Em parceria com a TNC, a AMAGGI realiza projetos para engajamento de produtores para incentivar práticas sustentáveis na produção de soja, incluindo a recuperação de áreas degradadas, o uso responsável de insumos agrícolas e a proteção de áreas naturais."</t>
  </si>
  <si>
    <t>Produção de alimentos</t>
  </si>
  <si>
    <t>The Nature Conservancy (TNC)</t>
  </si>
  <si>
    <t>Amaggi; The Nature Conservancy (TNC)</t>
  </si>
  <si>
    <t>ini_050</t>
  </si>
  <si>
    <t>Cultivando o Futuro</t>
  </si>
  <si>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</si>
  <si>
    <t>Amaggi; FALM</t>
  </si>
  <si>
    <t>AM; MT</t>
  </si>
  <si>
    <t>Relatório 2020 ESG</t>
  </si>
  <si>
    <t>ini_051</t>
  </si>
  <si>
    <t xml:space="preserve">Originar 2.0 </t>
  </si>
  <si>
    <t xml:space="preserve">"A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 </t>
  </si>
  <si>
    <t>Plataforma online</t>
  </si>
  <si>
    <t>ini_052</t>
  </si>
  <si>
    <t>Energia</t>
  </si>
  <si>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</si>
  <si>
    <t>ini_053</t>
  </si>
  <si>
    <t>Reflorestamento para energia</t>
  </si>
  <si>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</si>
  <si>
    <t>ini_054</t>
  </si>
  <si>
    <t>Estratégia MT - Produzir, Conservar e Incluir (PCI)</t>
  </si>
  <si>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</si>
  <si>
    <t>Amaggi; PCI</t>
  </si>
  <si>
    <t>ini_055</t>
  </si>
  <si>
    <t>Fazenda-Modelo de Agricultura Regenerativa</t>
  </si>
  <si>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</si>
  <si>
    <t>Ammagi; Embrapa</t>
  </si>
  <si>
    <t>Belagrícola</t>
  </si>
  <si>
    <t>emp_021</t>
  </si>
  <si>
    <t>ini_056</t>
  </si>
  <si>
    <t xml:space="preserve">Viva Mais </t>
  </si>
  <si>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</si>
  <si>
    <t>Clínicas médicas; nutricionistas; psicólogas; assistente social; instituições financeiras</t>
  </si>
  <si>
    <t>PR; SC; SP</t>
  </si>
  <si>
    <t xml:space="preserve">Relatório 2022 </t>
  </si>
  <si>
    <t>https://materiais.belagricola.com.br/sustentabilidade</t>
  </si>
  <si>
    <t>ini_057</t>
  </si>
  <si>
    <t>Natal Solidário - Belagrícola</t>
  </si>
  <si>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</si>
  <si>
    <t>Asilo São Vicente; Bom Samaritano; Centros Esperança por Amor Social (CEPAS) João Turquino</t>
  </si>
  <si>
    <t>ini_058</t>
  </si>
  <si>
    <t>Energia Solar em Minas Gerais</t>
  </si>
  <si>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</si>
  <si>
    <t>Sou Vagalume</t>
  </si>
  <si>
    <t>Agrozap; Lavoro; Produttiva; Produtec; Qualicitrus</t>
  </si>
  <si>
    <t>MG</t>
  </si>
  <si>
    <t>Relatório 2021/2022</t>
  </si>
  <si>
    <t>ini_059</t>
  </si>
  <si>
    <t xml:space="preserve">Energias Renováveis </t>
  </si>
  <si>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</si>
  <si>
    <t>Brasilagro</t>
  </si>
  <si>
    <t>emp_002</t>
  </si>
  <si>
    <t>ini_060</t>
  </si>
  <si>
    <t>Projeto Técnico Agrícola</t>
  </si>
  <si>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</si>
  <si>
    <t xml:space="preserve">Amigos do Bem </t>
  </si>
  <si>
    <t>AL; CE; PE</t>
  </si>
  <si>
    <t>ini_061</t>
  </si>
  <si>
    <t>Projeto Agricultura Regenerativa Solubio</t>
  </si>
  <si>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</si>
  <si>
    <t>Bayer; Empresa Brasileira de Pesquisa Agropecuária (Embrapa)</t>
  </si>
  <si>
    <t>BrasilAgro</t>
  </si>
  <si>
    <t>BA</t>
  </si>
  <si>
    <t>ini_013</t>
  </si>
  <si>
    <t>Projeto Agricultura Regenerativa Bunge-Orígeo</t>
  </si>
  <si>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</si>
  <si>
    <t>plataforma eletrônica</t>
  </si>
  <si>
    <t xml:space="preserve"> Bunge; Orígeo</t>
  </si>
  <si>
    <t>ini_062</t>
  </si>
  <si>
    <t>Conscientização dos colaboradores</t>
  </si>
  <si>
    <t>"Visando conscientizar sobre diferentes temas, enviamos comunicados por e-mail para todos os colaboradores sobre alimentação saudável, ergonomia, saúde mental e relacionamento com a família, entre outros. "</t>
  </si>
  <si>
    <t>BA; GO; MA; MT; MG; PI</t>
  </si>
  <si>
    <t>ini_063</t>
  </si>
  <si>
    <t xml:space="preserve">Doação de alimentos </t>
  </si>
  <si>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</si>
  <si>
    <t>BrasilAgro; Secretaria de Assistência Social; Secretaria de Saúde</t>
  </si>
  <si>
    <t>ini_064</t>
  </si>
  <si>
    <t>Projeto Cultivar</t>
  </si>
  <si>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</si>
  <si>
    <t>Instituto BrasilAgro; Precavi - Preparação da Criança e do Adolescente para a Vida</t>
  </si>
  <si>
    <t>MA</t>
  </si>
  <si>
    <t>https://www.institutobrasil-agro.org.br/iniciativas</t>
  </si>
  <si>
    <t>ini_065</t>
  </si>
  <si>
    <t>Projeto Sexta Verde</t>
  </si>
  <si>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</si>
  <si>
    <t>Instituto BrasilAgro; Associação dos Pequenos Produtores Rurais e Agricultores Familiares de Catulé Pequeno</t>
  </si>
  <si>
    <t>ini_066</t>
  </si>
  <si>
    <t>Projeto Expoente</t>
  </si>
  <si>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</si>
  <si>
    <t>lives</t>
  </si>
  <si>
    <t>Associação Preparação da Criança e do Adolescente para a Vida (Precavi)</t>
  </si>
  <si>
    <t>Bunge</t>
  </si>
  <si>
    <t>emp_006</t>
  </si>
  <si>
    <t>ini_067</t>
  </si>
  <si>
    <t>Doação de produtos Bunge para combate à fome no Brasil</t>
  </si>
  <si>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</si>
  <si>
    <t>BA; ES; GO; MA; MG; MS; MT; PA; PE; PR; RJ; SC; SP; TO;</t>
  </si>
  <si>
    <t>https://delivery.bunge.com/-/media/Files/Brazil/Relatorios/Bunge_global-RA21-20.ashx</t>
  </si>
  <si>
    <t>ini_068</t>
  </si>
  <si>
    <t>Agricultura Regenerativa</t>
  </si>
  <si>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</si>
  <si>
    <t>https://www.bunge.com.br/Sustentabilidade/Agricultura-Regenerativa</t>
  </si>
  <si>
    <t>ini_069</t>
  </si>
  <si>
    <t>Projeto Semêa</t>
  </si>
  <si>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</si>
  <si>
    <t>Fundação Bunge</t>
  </si>
  <si>
    <t>ini_070</t>
  </si>
  <si>
    <t>Programa Agroideal.org</t>
  </si>
  <si>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</si>
  <si>
    <t>digital</t>
  </si>
  <si>
    <t>The Nature Conservancy (TNC) em coalizão com outros 16 parceiros</t>
  </si>
  <si>
    <t>Bunge; EMBRAPA; The Nature Conservancy (TNC)</t>
  </si>
  <si>
    <t>ini_071</t>
  </si>
  <si>
    <t>Agroapp Bunge</t>
  </si>
  <si>
    <t>"Aplicativo móvel que atua como um centro de informações e ferramentas de apoio à produção sustentável, além de oferecer aos agricultores acesso fácil aos dados do Cadastro Ambiental Rural (CAR) de suas propriedades."</t>
  </si>
  <si>
    <t xml:space="preserve">Aplicativo móvel </t>
  </si>
  <si>
    <t>ini_072</t>
  </si>
  <si>
    <t>Financiamento de longo prazo</t>
  </si>
  <si>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</si>
  <si>
    <t xml:space="preserve"> Banco Santander; Bunge; The Nature Conservancy</t>
  </si>
  <si>
    <t>ini_073</t>
  </si>
  <si>
    <t>Parceria Sustentável Bunge</t>
  </si>
  <si>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</si>
  <si>
    <t>Sistema de monitoramento geoespacial</t>
  </si>
  <si>
    <t>Orígeo</t>
  </si>
  <si>
    <t>ini_015</t>
  </si>
  <si>
    <t>Programa Soja de Baixo Carbono</t>
  </si>
  <si>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</si>
  <si>
    <t>Embrapa</t>
  </si>
  <si>
    <t>Empresa Pública</t>
  </si>
  <si>
    <r>
      <rPr>
        <rFont val="docs-Calibri"/>
        <color rgb="FF000000"/>
        <sz val="11.0"/>
      </rPr>
      <t>C.Vale</t>
    </r>
  </si>
  <si>
    <t>emp_011</t>
  </si>
  <si>
    <t>ini_074</t>
  </si>
  <si>
    <t>Incentivo ao bom uso da água, solo e ar</t>
  </si>
  <si>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</si>
  <si>
    <t>C.Vale</t>
  </si>
  <si>
    <t>ini_075</t>
  </si>
  <si>
    <t>Economia de Energia</t>
  </si>
  <si>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</si>
  <si>
    <t>Relatório ESG 2022/2023</t>
  </si>
  <si>
    <r>
      <rPr>
        <rFont val="docs-Calibri"/>
        <color rgb="FF000000"/>
        <sz val="11.0"/>
      </rPr>
      <t>C.Vale</t>
    </r>
  </si>
  <si>
    <t>ini_076</t>
  </si>
  <si>
    <t>Matas Ciliares</t>
  </si>
  <si>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</si>
  <si>
    <r>
      <rPr>
        <rFont val="docs-Calibri"/>
        <color rgb="FF000000"/>
        <sz val="11.0"/>
      </rPr>
      <t>C.Vale</t>
    </r>
  </si>
  <si>
    <t>ini_077</t>
  </si>
  <si>
    <t xml:space="preserve">Reflorestamento </t>
  </si>
  <si>
    <t>"Ao mesmo tempo, uma área de 1.500 hectares de reflorestamento fornece lenha para abastecer caldeiras das indústrias e secadores nas unidades de recebimento de grãos da cooperativa. Os produtores de frango também utilizam lenha de reflorestamento para aquecer os aviários."</t>
  </si>
  <si>
    <t>Capal</t>
  </si>
  <si>
    <t>emp_033</t>
  </si>
  <si>
    <t>ini_078</t>
  </si>
  <si>
    <t>Programa Capal de Gestão Rural (PCGR)</t>
  </si>
  <si>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</si>
  <si>
    <t>Farm Sustainability Assessment – by SAI Plataform</t>
  </si>
  <si>
    <t xml:space="preserve">n/a </t>
  </si>
  <si>
    <t>Relatório Anual 2023</t>
  </si>
  <si>
    <t>ini_079</t>
  </si>
  <si>
    <t>Horta para crianças</t>
  </si>
  <si>
    <t>"Horta para alimentação das crianças carentes no projeto de educação e teatro PET de Carlópolis - Instituição Irmãos Caçula."</t>
  </si>
  <si>
    <t>ini_080</t>
  </si>
  <si>
    <t xml:space="preserve">Arrecadação de alimentos </t>
  </si>
  <si>
    <t>"Arrecadação de alimentos entregues no CRAS de Pinhalão para famílias carentes."</t>
  </si>
  <si>
    <t>CRAS - Pinhalão</t>
  </si>
  <si>
    <t>ini_081</t>
  </si>
  <si>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</si>
  <si>
    <t>Ceral; Sicredi</t>
  </si>
  <si>
    <t>PR; SP</t>
  </si>
  <si>
    <t>Relatório Anual 2020</t>
  </si>
  <si>
    <t>Relatório Anual 2021</t>
  </si>
  <si>
    <t>Relatório Anual 2022</t>
  </si>
  <si>
    <t>ini_082</t>
  </si>
  <si>
    <t>Projeto Cooperar</t>
  </si>
  <si>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</si>
  <si>
    <t>Associação dos Pais e Amigos dos Excepcionais (APAE)</t>
  </si>
  <si>
    <t>ini_083</t>
  </si>
  <si>
    <t>Programa de Boas Práticas Agrícolas do Café (PBPA)</t>
  </si>
  <si>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</si>
  <si>
    <t>https://www.capal.coop.br/pdf/Arquivo-2023-01-13-17-18-50.pdf</t>
  </si>
  <si>
    <t>ini_084</t>
  </si>
  <si>
    <t>"Carlópolis/PR - Identificação de famílias necessitadas e arrecadação de alimentos e produtos de higiene por colaboradores, cooperados e comunidade."</t>
  </si>
  <si>
    <t>ini_085</t>
  </si>
  <si>
    <t>Arrecadação de alimentos</t>
  </si>
  <si>
    <t>"Curiúva/PR - Arrecadação de alimentos, formando 12 cestas básicas doadas diretamente a famílias carentes"</t>
  </si>
  <si>
    <t>ini_086</t>
  </si>
  <si>
    <t>Arrecadação de leite</t>
  </si>
  <si>
    <t>"Ibaiti/PR - Arrecadação de leite, alimentos não perecíveis e artigos de higiene pessoal para a Casa Lar Menino Jesus"</t>
  </si>
  <si>
    <t>Casa Lar Menino Jesus</t>
  </si>
  <si>
    <t>ini_002</t>
  </si>
  <si>
    <t>Energik</t>
  </si>
  <si>
    <t>"Entra em operação a Energik para a produção de energias renováveis, com capacidade instalada de 1,2 MW de energia e 316m3/h de biometano, permitindo a redução de emissões de gases e resíduos de nossas indústrias"</t>
  </si>
  <si>
    <t>Capal; Castrolanda; Frísia;</t>
  </si>
  <si>
    <t>ini_087</t>
  </si>
  <si>
    <t xml:space="preserve">Arrecadação de leite </t>
  </si>
  <si>
    <t>"Fartura/SP - Arrecadação de 500 L de leite para o grupo de apoio a portadores de câncer e Santa Casa"</t>
  </si>
  <si>
    <t>Grupo de apoio a portadores de câncer; Santa Casa</t>
  </si>
  <si>
    <t>SP</t>
  </si>
  <si>
    <t>ini_006</t>
  </si>
  <si>
    <t>Programa Liderança Feminina no Agronegócio</t>
  </si>
  <si>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</si>
  <si>
    <t>Plataforma de videoconferência</t>
  </si>
  <si>
    <t>Castrolanda</t>
  </si>
  <si>
    <t>ini_088</t>
  </si>
  <si>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</si>
  <si>
    <t>Caramuru Alimentos</t>
  </si>
  <si>
    <t>emp_018</t>
  </si>
  <si>
    <t>ini_089</t>
  </si>
  <si>
    <t>Contribuição para Sociedade</t>
  </si>
  <si>
    <t>"Indicadores Sociais Externos: Contribuições para a Sociedade - Combate à Fome e Segurança Alimentar R$ 87.257"</t>
  </si>
  <si>
    <t>ini_090</t>
  </si>
  <si>
    <t xml:space="preserve">Energia </t>
  </si>
  <si>
    <t xml:space="preserve">"Parte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 </t>
  </si>
  <si>
    <t>GO; MT</t>
  </si>
  <si>
    <t>ini_091</t>
  </si>
  <si>
    <t xml:space="preserve">Doações de alimentos - Caramuru </t>
  </si>
  <si>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</si>
  <si>
    <t>AP; GO; MT; PR; PA; SP</t>
  </si>
  <si>
    <t>Cooperalfa</t>
  </si>
  <si>
    <t>emp_019</t>
  </si>
  <si>
    <t>ini_092</t>
  </si>
  <si>
    <t>Dia Internacional do Cooperativismo, Dia “C”</t>
  </si>
  <si>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</si>
  <si>
    <t>Entidades filantrópicas</t>
  </si>
  <si>
    <t xml:space="preserve">https://www.linkedin.com/posts/cooperativa-agroindustrial-alfa_dia-c-2022-activity-6950084511103651840-eShC?utm_source=share&amp;utm_medium=member_desktop </t>
  </si>
  <si>
    <t>ini_093</t>
  </si>
  <si>
    <t>Encadeamento Produtivo</t>
  </si>
  <si>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</si>
  <si>
    <t xml:space="preserve"> AURORA COOP; Sebrae</t>
  </si>
  <si>
    <t>ini_094</t>
  </si>
  <si>
    <t>Programa Sustentar</t>
  </si>
  <si>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</si>
  <si>
    <t>ini_095</t>
  </si>
  <si>
    <t>"Doação de 36.122,76kg de produtos, enviados para associações, entidades sem fins lucrativos, instituições de ensino, asilos, centros comunitários, hospitais e prefeituras."</t>
  </si>
  <si>
    <t>Cargill</t>
  </si>
  <si>
    <t>emp_007</t>
  </si>
  <si>
    <t>ini_096</t>
  </si>
  <si>
    <t>"R$ 5 milhões em doações de alimentos para mais de 324 mil pessoas impactadas pela pandemia de covid-19"</t>
  </si>
  <si>
    <t>https://www.cargill.com.br/pt_BR/doc/1432224625088/2020-cargill-annual-report-brazil-brz.pdf</t>
  </si>
  <si>
    <t>ini_097</t>
  </si>
  <si>
    <t>Doação de alimentos Liza, Maria e Tarantella</t>
  </si>
  <si>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</si>
  <si>
    <t>Liza; Maria; Tarantella</t>
  </si>
  <si>
    <t>ini_098</t>
  </si>
  <si>
    <t>Doação para o Mesa Brasil Sesc</t>
  </si>
  <si>
    <t>"Por meio da parceria global entre Cargill e Global Foodbanking Network (GFN), US$ 50 mil foram doados para o Mesa Brasil Sesc, organização nacional de bancos de alimentos contra a fome e o desperdício no Brasil"</t>
  </si>
  <si>
    <t>Global Foodbanking Network (GFN)</t>
  </si>
  <si>
    <t>SESC Mesa Brasil</t>
  </si>
  <si>
    <t>Serviço Social Autônomo</t>
  </si>
  <si>
    <t>https://www.sesc.com.br/atuacoes/assistencia/sesc-mesa-brasil/entenda/</t>
  </si>
  <si>
    <t>https://portaldev.sesc.com.br/mesabrasil/historico.html#:~:text=Desde%202003%2C%20o%20Programa%20Mesa,Sopa%20e%20P%C3%A3o%2C%20no%20Paran%C3%A1.</t>
  </si>
  <si>
    <t>ini_099</t>
  </si>
  <si>
    <t>Doação para São Paulo, Mairinque e Goiânia</t>
  </si>
  <si>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</si>
  <si>
    <t>12 organizações sociais</t>
  </si>
  <si>
    <t>GO; SP</t>
  </si>
  <si>
    <t>ini_100</t>
  </si>
  <si>
    <t>Doação para PPA Solidariedade</t>
  </si>
  <si>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</si>
  <si>
    <t>USAID do povo dos Estados Unidos; Expand; Sitawi; Alcoa Foundation; Bank of America; Beraca; Caterpillar Foundation; Fundo Vale; Hydro; Vale; Mineração Rio do Norte; Trench Rossi Watanabe; Suzano; Fundação Vale; Fundo de Sustentabilidade Hydro; Territórios sustentáveis</t>
  </si>
  <si>
    <t>Parceiros pela Amazônia (PPA); Agenda pública; Conexsus; Ecam; Asta; Instituto Beraca; Instituto Juruti Sustentável; Instituto Peabiru; Máscara + renda; +Unidos</t>
  </si>
  <si>
    <t>PA</t>
  </si>
  <si>
    <t>https://ppa.org.br/ppa-solidariedade/</t>
  </si>
  <si>
    <t>ini_101</t>
  </si>
  <si>
    <t>Restauração de terra alterada</t>
  </si>
  <si>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</si>
  <si>
    <t>BA; MA; PI; TO</t>
  </si>
  <si>
    <t>https://www.cargill.com/doc/1432226681760/esg-2022-portuguese-report.pdf</t>
  </si>
  <si>
    <t>https://www.cargill.com/story/trees-are-our-common-heritage-how-cargill-empowers-farm-pt_br</t>
  </si>
  <si>
    <t>ini_102</t>
  </si>
  <si>
    <t>Cargill Currents</t>
  </si>
  <si>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</si>
  <si>
    <t>Global Water Challenge</t>
  </si>
  <si>
    <t>Estabelecimento, no Brasil, de Fundação ou Associação Estrangeiras</t>
  </si>
  <si>
    <t xml:space="preserve">BA; GO; MT; PA; RO </t>
  </si>
  <si>
    <t>https://www.cargill.com.br/sites/Satellite?c=CGL_PressRelease_C&amp;childpagename=CSF_BR%2FCGL_PressRelease_C%2FCCOM%2FNav1Layout&amp;cid=1432232371656&amp;pagename=CCOM_Wrapper</t>
  </si>
  <si>
    <t>https://globalwaterchallenge.org/cargill-currents/</t>
  </si>
  <si>
    <t>ini_103</t>
  </si>
  <si>
    <t>Landscape Tomé-Açu</t>
  </si>
  <si>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</si>
  <si>
    <t>Agropalma; Alter-Eco Foundation; Belem Bionergia Brasil (BBB); CNHi; General Mills; Givaudan; Lavazza; Natura; World Forestry Centre (ICRAF)</t>
  </si>
  <si>
    <t>Earthworm Foundation</t>
  </si>
  <si>
    <t>https://www.earthworm.org/pt/our-work/projects/tome-acu-brazil</t>
  </si>
  <si>
    <t>https://www.linkedin.com/posts/earthworm-foundation-brasil_projeto-landscape-activity-7059983204253843456-mKHQ/?originalSubdomain=br</t>
  </si>
  <si>
    <t>ini_008</t>
  </si>
  <si>
    <t>Regenera Cerrado</t>
  </si>
  <si>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</si>
  <si>
    <t xml:space="preserve"> Embrapa; Federal Institute of Goias (IF Goiano); Federal University of Lavras (UFLA); Institute BioSistêmico (IBS); Instituto Forum do Futuro</t>
  </si>
  <si>
    <t>Instituto BioSistêmico (IBS)</t>
  </si>
  <si>
    <t>GO</t>
  </si>
  <si>
    <t>https://www.cargill.com.br/sites/Satellite?c=CGL_PressRelease_C&amp;childpagename=CSF_BR%2FCGL_PressRelease_C%2FCCOM%2FNav1Layout&amp;cid=1432238272600&amp;pagename=CCOM_Wrapper</t>
  </si>
  <si>
    <t>ini_104</t>
  </si>
  <si>
    <t>SustentAgro</t>
  </si>
  <si>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</si>
  <si>
    <t>The ILPF Network Association</t>
  </si>
  <si>
    <t>GO; MT; MS</t>
  </si>
  <si>
    <t>https://redeilpf.org.br/tag/sustentagro/</t>
  </si>
  <si>
    <t>ini_105</t>
  </si>
  <si>
    <t>Climate-smart and sustainable landscapes in western Mato Grosso</t>
  </si>
  <si>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</si>
  <si>
    <t>Produzindo Certo; ProForest; The Amazon Environmental Research Institute (IPAM)</t>
  </si>
  <si>
    <t>ini_106</t>
  </si>
  <si>
    <t xml:space="preserve">Forest Carbon Incentives
</t>
  </si>
  <si>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</si>
  <si>
    <t>Earth Innovation Institute (EII); Produzindo Certo; Taxo Agroambiental"</t>
  </si>
  <si>
    <t>TO</t>
  </si>
  <si>
    <t>ini_107</t>
  </si>
  <si>
    <t>Aggregator Refinery Transformation (ART) action plan</t>
  </si>
  <si>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</si>
  <si>
    <t>ini_108</t>
  </si>
  <si>
    <t>Restoring degraded land in the Tijuco River watershed</t>
  </si>
  <si>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</si>
  <si>
    <t>ini_109</t>
  </si>
  <si>
    <t>Expanding the market for sustainable cocoa in Mato Grasso</t>
  </si>
  <si>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</si>
  <si>
    <t>Belterra</t>
  </si>
  <si>
    <t>ini_110</t>
  </si>
  <si>
    <t>mob_03</t>
  </si>
  <si>
    <t xml:space="preserve">WASH initiative </t>
  </si>
  <si>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</si>
  <si>
    <t>ini_111</t>
  </si>
  <si>
    <t xml:space="preserve">Helping farmers comply with the Forest Code
</t>
  </si>
  <si>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</si>
  <si>
    <t>BA; MA</t>
  </si>
  <si>
    <t>ini_010</t>
  </si>
  <si>
    <t xml:space="preserve">Defining a protocol for low-carbon soy
</t>
  </si>
  <si>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</si>
  <si>
    <t>ini_112</t>
  </si>
  <si>
    <t>Blocked farms</t>
  </si>
  <si>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</si>
  <si>
    <t>BA; GO; MG; MS; MT; PA; PR; RO; SC; SP; TO</t>
  </si>
  <si>
    <t>ini_113</t>
  </si>
  <si>
    <t>Programa de Produção Sustentável de Bezerros do Pantanal</t>
  </si>
  <si>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</si>
  <si>
    <t>ini_114</t>
  </si>
  <si>
    <t>Nutron Bem + Leite</t>
  </si>
  <si>
    <t>"Voltado para bovinos de leite, o Nutron Bem + Leite é um programa de certificação em bem-estar animal realizado em parceria com a QIMA/QWS e reconhece os produtores de leite que prezam pela produção sustentável e pelo bem-estar animal."</t>
  </si>
  <si>
    <t>QIMA/QWS</t>
  </si>
  <si>
    <t>ini_115</t>
  </si>
  <si>
    <t>Projeto Farmforce</t>
  </si>
  <si>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</si>
  <si>
    <t>Aplicativo</t>
  </si>
  <si>
    <t>ini_116</t>
  </si>
  <si>
    <t>Cacau Fértil</t>
  </si>
  <si>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</si>
  <si>
    <t xml:space="preserve"> Coopercau</t>
  </si>
  <si>
    <t>Solidaridad</t>
  </si>
  <si>
    <t>ini_117</t>
  </si>
  <si>
    <t>Projeto Escola de empreendedorismo das Mulheres do Xingu</t>
  </si>
  <si>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</si>
  <si>
    <t>Associação das Mulheres Produtores de Polpa de Fruta (AMPPF)</t>
  </si>
  <si>
    <t>Imaflora</t>
  </si>
  <si>
    <t>ini_118</t>
  </si>
  <si>
    <t xml:space="preserve">Programa 3S </t>
  </si>
  <si>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</si>
  <si>
    <t>ini_119</t>
  </si>
  <si>
    <t>Essencial Para Você</t>
  </si>
  <si>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</si>
  <si>
    <t>Gympass</t>
  </si>
  <si>
    <t>ini_120</t>
  </si>
  <si>
    <t>100% de energia renovável</t>
  </si>
  <si>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</si>
  <si>
    <t>BA; SP</t>
  </si>
  <si>
    <t>ini_121</t>
  </si>
  <si>
    <t>Reflorestamento para energia - Cargill</t>
  </si>
  <si>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</si>
  <si>
    <t>tecnologia em vídeo</t>
  </si>
  <si>
    <t>emp_023</t>
  </si>
  <si>
    <t>ini_122</t>
  </si>
  <si>
    <t>Doações para os órgãos públicos e famílias em vulnerabilidade social</t>
  </si>
  <si>
    <t xml:space="preserve">"Mais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 </t>
  </si>
  <si>
    <t>Secretarias de Saúde dos municípios de Castro, Piraí do Sul, Ponta Grossa, Ventania no Paraná e Itaberá, Itapetininga e Itararé em São Paulo</t>
  </si>
  <si>
    <t>ini_123</t>
  </si>
  <si>
    <t>Planta modelo de energia solar</t>
  </si>
  <si>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</si>
  <si>
    <t>Relatório de Sustentabilidade 2023</t>
  </si>
  <si>
    <t>"Entra em operação a Energik para a produção de energias renováveis, com capacidade instalada de 1,2 MW de energia e 316m3/h de biometano, permitindo a redução de emissões de gases e resíduos de nossas indústrias."</t>
  </si>
  <si>
    <t>ini_124</t>
  </si>
  <si>
    <t>Minicozinha Industrial</t>
  </si>
  <si>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</si>
  <si>
    <t>Instituição que atende crianças e jovens em vulnerabilidade</t>
  </si>
  <si>
    <t>ini_125</t>
  </si>
  <si>
    <t xml:space="preserve">Cuidar, Envolver e Amar </t>
  </si>
  <si>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</si>
  <si>
    <t>Alegra; Associação de Funcionários (AFCC); Associação dos Veteranos do 5º Esquadrão de Cavalaria Mecanizada;  BASF;  Brasil Borges e Pigatto Monteiro Schuster; Lagoa Bonita Sementes; Sicredi; Unimed</t>
  </si>
  <si>
    <t>Associação dos Veteranos do 5º Esquadrão de Cavalaria Mecanizada; Castrolanda; Hospital da Cruz Vermelha de Castro; Hospital Universitário da Universidade Estadual de Ponta Grossa (HU-UEPG)</t>
  </si>
  <si>
    <t>ini_126</t>
  </si>
  <si>
    <t>Programa de Doações</t>
  </si>
  <si>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</si>
  <si>
    <t>Unium</t>
  </si>
  <si>
    <t>ini_127</t>
  </si>
  <si>
    <t>Biogás</t>
  </si>
  <si>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</si>
  <si>
    <t>ini_128</t>
  </si>
  <si>
    <t>Programa de eficiência na queima de biomassa</t>
  </si>
  <si>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</si>
  <si>
    <t>Citrosuco</t>
  </si>
  <si>
    <t>emp_036</t>
  </si>
  <si>
    <t>ini_129</t>
  </si>
  <si>
    <t>Oferta de vale-alimentação</t>
  </si>
  <si>
    <t>"Oferta de vale-alimentação no valor total deR$ 227 mil a 630 famílias em situação de vulnerabilidade social em sete municípios."</t>
  </si>
  <si>
    <t>Relatório de Sustentabilidade - 2019/20</t>
  </si>
  <si>
    <t>ini_130</t>
  </si>
  <si>
    <t>Viveiro de Mudas Nativas</t>
  </si>
  <si>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</si>
  <si>
    <t>Relatório de Sustentabilidade 2021/22</t>
  </si>
  <si>
    <t>Relatório de Sustentabilidade 2022/23</t>
  </si>
  <si>
    <t>ini_131</t>
  </si>
  <si>
    <t>Plano de Proteção e Conservação da Biodiversidade</t>
  </si>
  <si>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</si>
  <si>
    <t>Relatório de Sustentabilidade - 2020/21</t>
  </si>
  <si>
    <t>ini_132</t>
  </si>
  <si>
    <t>Biomassa de Laranjeira</t>
  </si>
  <si>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</si>
  <si>
    <t>SP; MG</t>
  </si>
  <si>
    <t>ini_133</t>
  </si>
  <si>
    <t xml:space="preserve">Energias renováveis </t>
  </si>
  <si>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</si>
  <si>
    <t>Votorantim Energia</t>
  </si>
  <si>
    <t>ini_134</t>
  </si>
  <si>
    <t xml:space="preserve">Reuso de Água </t>
  </si>
  <si>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</si>
  <si>
    <t>ini_135</t>
  </si>
  <si>
    <t>Sustainable Juice Covenant (SJC)</t>
  </si>
  <si>
    <t>Articulação multissetorial</t>
  </si>
  <si>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</si>
  <si>
    <t>ini_136</t>
  </si>
  <si>
    <t>Programa Trilhar</t>
  </si>
  <si>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</si>
  <si>
    <t>ini_137</t>
  </si>
  <si>
    <t>Suporte á Agricultura Familiar</t>
  </si>
  <si>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</si>
  <si>
    <t>Cooperfam</t>
  </si>
  <si>
    <t>ini_138</t>
  </si>
  <si>
    <t>Programa Citroapis</t>
  </si>
  <si>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</si>
  <si>
    <t>CJ Selecta</t>
  </si>
  <si>
    <t>emp_034</t>
  </si>
  <si>
    <t>ini_139</t>
  </si>
  <si>
    <t>Efluentes</t>
  </si>
  <si>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</si>
  <si>
    <t>ini_140</t>
  </si>
  <si>
    <t>Horta comunitária</t>
  </si>
  <si>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</si>
  <si>
    <t>Coagril</t>
  </si>
  <si>
    <t>emp_037</t>
  </si>
  <si>
    <t>ini_141</t>
  </si>
  <si>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</si>
  <si>
    <t>Coagril; Sicoob Credigerais; Sicoob Noroeste; Sebrae</t>
  </si>
  <si>
    <t>ini_142</t>
  </si>
  <si>
    <t>Doações comercial do feijão</t>
  </si>
  <si>
    <t>"Uma parceria firmada entre a cooperativa e os cooperados que comercializam o feijão permite que as amostras usadas para avaliar a qualidade do feijão à venda sejam destinadas a instituições beneficentes da cidade de Unaí."</t>
  </si>
  <si>
    <t>Coasul</t>
  </si>
  <si>
    <t>emp_030</t>
  </si>
  <si>
    <t>ini_143</t>
  </si>
  <si>
    <t xml:space="preserve">Semana do Conhecimento </t>
  </si>
  <si>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</si>
  <si>
    <t>plataformas digitais</t>
  </si>
  <si>
    <t xml:space="preserve">Coasul </t>
  </si>
  <si>
    <t>ini_144</t>
  </si>
  <si>
    <t xml:space="preserve">Jantar da Solidariedade </t>
  </si>
  <si>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</si>
  <si>
    <t>Coasul; Movimento Solidário de Combate ao Câncer de São Jorge d’Oeste; Oncvida</t>
  </si>
  <si>
    <t>ini_145</t>
  </si>
  <si>
    <t>Comunidade Terapêutica Betel</t>
  </si>
  <si>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</si>
  <si>
    <t>ini_146</t>
  </si>
  <si>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</si>
  <si>
    <t xml:space="preserve"> Sicredi Grandes Lagos PR/SP</t>
  </si>
  <si>
    <t>Entidades carentes</t>
  </si>
  <si>
    <t>ini_147</t>
  </si>
  <si>
    <t xml:space="preserve">Doação de Cestas de Páscoa para Pastoral da Solidariedade em São João </t>
  </si>
  <si>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</si>
  <si>
    <t>Pastoral da Solidariedade de São João</t>
  </si>
  <si>
    <t>Cocamar</t>
  </si>
  <si>
    <t>emp_015</t>
  </si>
  <si>
    <t>ini_148</t>
  </si>
  <si>
    <t xml:space="preserve">Solidariedade em Dobro </t>
  </si>
  <si>
    <t xml:space="preserve">"A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 </t>
  </si>
  <si>
    <t>Cocamar; Entidades da região</t>
  </si>
  <si>
    <t>GO; MT; MS; SP; PR</t>
  </si>
  <si>
    <t>Relatório ESG 2022</t>
  </si>
  <si>
    <t>ini_149</t>
  </si>
  <si>
    <t xml:space="preserve">Campanha Solidária de Natal </t>
  </si>
  <si>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</si>
  <si>
    <t>ini_150</t>
  </si>
  <si>
    <t>Projeto 04/2022 Lean Six Sigma - Projeto Água Limpa – Conservação de Nascentes</t>
  </si>
  <si>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</si>
  <si>
    <t>ini_151</t>
  </si>
  <si>
    <t xml:space="preserve">Doação Alimentos </t>
  </si>
  <si>
    <t>"Alimentos doados 66 toneladas"</t>
  </si>
  <si>
    <t xml:space="preserve"> s/i</t>
  </si>
  <si>
    <t>Relatório de Contas 2023</t>
  </si>
  <si>
    <t>ini_152</t>
  </si>
  <si>
    <t>Rastreabilidade da Cadeia de Suprimentos</t>
  </si>
  <si>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</si>
  <si>
    <t>Certificação Internacional de Sustentabilidade e Carbono;  GMP+FSA; Rainforest-Café; Renovabio-Biodiesel</t>
  </si>
  <si>
    <t>https://rs.cocamar.com.br/9588_Cocamar_RelatorioGRI_2023_Portugues.pdf</t>
  </si>
  <si>
    <t>ini_153</t>
  </si>
  <si>
    <t>Fornecimento de calcário</t>
  </si>
  <si>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</si>
  <si>
    <t>ini_154</t>
  </si>
  <si>
    <t>Agricultura de precisão</t>
  </si>
  <si>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</si>
  <si>
    <t>ini_155</t>
  </si>
  <si>
    <t>Super parceiro</t>
  </si>
  <si>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</si>
  <si>
    <t>ini_156</t>
  </si>
  <si>
    <t xml:space="preserve">Dias de Campo de Inverno </t>
  </si>
  <si>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</si>
  <si>
    <t>ini_157</t>
  </si>
  <si>
    <t>Florada Consciente</t>
  </si>
  <si>
    <t>"Florada Consciente: incorporação de abelhas em ambientes de produção de laranja, diminuindo o risco de extinção de abelhas e aumentando a qualidade da fruta;"</t>
  </si>
  <si>
    <t>ini_158</t>
  </si>
  <si>
    <t>Programa Cultivar</t>
  </si>
  <si>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</si>
  <si>
    <t xml:space="preserve">Cocari </t>
  </si>
  <si>
    <t>emp_028</t>
  </si>
  <si>
    <t>ini_159</t>
  </si>
  <si>
    <t>Olho D’Água</t>
  </si>
  <si>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</si>
  <si>
    <t>Emater; Instituto Ambiental do Paraná (IAP); Secretaria de Estado do Meio Ambiente e Recursos Hídricos (Sema)</t>
  </si>
  <si>
    <t xml:space="preserve">Cocari; Nortox </t>
  </si>
  <si>
    <t>https://www.cocari.com.br/detalhe-projeto.php?ID=1</t>
  </si>
  <si>
    <t>ini_160</t>
  </si>
  <si>
    <t>Programa de Identificação e Recuperação de Nascentes</t>
  </si>
  <si>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</si>
  <si>
    <t xml:space="preserve">Cocari; Secretaria Municipal de Meio Ambiente de Maringá </t>
  </si>
  <si>
    <t>http://www.maringa.pr.gov.br/site/noticias/2013/03/18/prefeitura-e-cocari-lancam-programa-de-identificacao-e-recuperacao-de-nascentes/18960</t>
  </si>
  <si>
    <t>https://www3.maringa.pr.gov.br/site/imprensa/impressao.php?id=18960</t>
  </si>
  <si>
    <t>ini_161</t>
  </si>
  <si>
    <t>Programa Mata Ciliar</t>
  </si>
  <si>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</si>
  <si>
    <t>Instituto Ambiental do Paraná (IAP)</t>
  </si>
  <si>
    <t>Cocari; Instituto Ambiental do Paraná (IAP)</t>
  </si>
  <si>
    <t>https://www.cocari.com.br/detalhe-projeto.php?ID=4</t>
  </si>
  <si>
    <t>ini_162</t>
  </si>
  <si>
    <t xml:space="preserve">ONG - Aliança </t>
  </si>
  <si>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</si>
  <si>
    <t>Associação Atlética Cocari; Cocari; Em­ployer; Escolinha de Atletismo de Mandaguari; Minorgan e Romag­nole; Prefeitura Municipal de Mandaguari; Sicredi Agroempresarial PR; Syngenta</t>
  </si>
  <si>
    <t>Aliança Esportiva e Social de Mandaguari (AESM)</t>
  </si>
  <si>
    <t>https://www.cocari.com.br/detalhe-projeto.php?ID=8</t>
  </si>
  <si>
    <t>https://cnpj.biz/05588805000111</t>
  </si>
  <si>
    <t xml:space="preserve">COFCO Internacional </t>
  </si>
  <si>
    <t>emp_008</t>
  </si>
  <si>
    <t>ini_163</t>
  </si>
  <si>
    <t>Safeguarding water systems in the Cerrado</t>
  </si>
  <si>
    <t xml:space="preserve">"Protecting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 </t>
  </si>
  <si>
    <t>Cerrado Waters Consortium (CWC)</t>
  </si>
  <si>
    <t>ini_164</t>
  </si>
  <si>
    <t>Viveiro de Atitude</t>
  </si>
  <si>
    <t>"We also continued to support the Viveiro de Atitude reforestation and social impact project in the Cerrado, which is engaging with local communities to plant over 100 species of native trees"</t>
  </si>
  <si>
    <t>Monteccer - Cooperativa dos Cafeicultores do Cerrado de Monte Carmelo Ltda</t>
  </si>
  <si>
    <t>ini_165</t>
  </si>
  <si>
    <t>Prioritising energy from renewable sources</t>
  </si>
  <si>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</si>
  <si>
    <t>Relatório 2021 PT</t>
  </si>
  <si>
    <t>ini_166</t>
  </si>
  <si>
    <t>Fauna and Flora Monitoring Programme</t>
  </si>
  <si>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</si>
  <si>
    <t>Agência Ambiental do Estado de São Paulo (CETESB)</t>
  </si>
  <si>
    <t>Relatório 2022 COFCO International</t>
  </si>
  <si>
    <t>ini_167</t>
  </si>
  <si>
    <t>Promover a eficiência e a qualidade da água</t>
  </si>
  <si>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</si>
  <si>
    <t>ini_168</t>
  </si>
  <si>
    <t>Pollinate Programme</t>
  </si>
  <si>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</si>
  <si>
    <t>ini_169</t>
  </si>
  <si>
    <t>Open Doors’ programme</t>
  </si>
  <si>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</si>
  <si>
    <t>ini_170</t>
  </si>
  <si>
    <t xml:space="preserve">Protecting Nature to Promote Food Security        </t>
  </si>
  <si>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</si>
  <si>
    <t>ini_171</t>
  </si>
  <si>
    <t>Empowering women farmers to lead on soy sustainability</t>
  </si>
  <si>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</si>
  <si>
    <t xml:space="preserve">Instituto Federal Catarinense (IFC); SENAR </t>
  </si>
  <si>
    <t>BA; MG; MT</t>
  </si>
  <si>
    <t>ini_172</t>
  </si>
  <si>
    <t>Coffee Responsible Origin Programme (CROP)</t>
  </si>
  <si>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</si>
  <si>
    <t>JDE Peets; NGO Enveritas</t>
  </si>
  <si>
    <t xml:space="preserve">ES; MG </t>
  </si>
  <si>
    <t>ini_173</t>
  </si>
  <si>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</si>
  <si>
    <t>ini_174</t>
  </si>
  <si>
    <t>AgroValquírias</t>
  </si>
  <si>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</si>
  <si>
    <t>As Valquírias; Raiz Nova</t>
  </si>
  <si>
    <t xml:space="preserve">SP </t>
  </si>
  <si>
    <t>Relatório 2021 EN</t>
  </si>
  <si>
    <t>ini_175</t>
  </si>
  <si>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</si>
  <si>
    <t>https://www.cofcointernational.com/sustainability/sustainability-reporting/2021-sustainability-report/</t>
  </si>
  <si>
    <t>ini_176</t>
  </si>
  <si>
    <t>Doação de suprimentos</t>
  </si>
  <si>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</si>
  <si>
    <t>https://www.cofcointernational.com/sustainability/sustainability-reporting/2022-sustainability-report/</t>
  </si>
  <si>
    <t>Comigo</t>
  </si>
  <si>
    <t>emp_014</t>
  </si>
  <si>
    <t>ini_177</t>
  </si>
  <si>
    <t xml:space="preserve">Impureza </t>
  </si>
  <si>
    <t>"Impureza vegetal gerada na limpeza e pré-limpeza dos grãos recebidos dos cooperados: 14.932 toneladas doadas para os cooperados, tendo como destino a alimentação animal e compostagem."</t>
  </si>
  <si>
    <t>Cooperados</t>
  </si>
  <si>
    <t>ini_178</t>
  </si>
  <si>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</si>
  <si>
    <t>BASF</t>
  </si>
  <si>
    <t>BASF; Cooperativa Comigo</t>
  </si>
  <si>
    <t>Relatório Balanço 2022</t>
  </si>
  <si>
    <t>ini_179</t>
  </si>
  <si>
    <t>Arraiá do Bem</t>
  </si>
  <si>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</si>
  <si>
    <t>Anjos da Rua; CUFA – Central Única das Favelas de Rio Verde; Maternidade Augusta Bastos; Nova Vida; Novo Caminho; Posto de Assistência Maria do Rosário; Renascer; 4 Casas de Saúde Mental.</t>
  </si>
  <si>
    <t>ini_180</t>
  </si>
  <si>
    <t xml:space="preserve">Medida Certa </t>
  </si>
  <si>
    <t>"A COMIGO em parceria com a UNIMED realizou em 2022 diferentes ações voltadas para a saúde do colaborador (...). Ainda foram desenvolvidos dois programas: Medida Certa, visando a promoção à saúde com ações educativas referentes à alimentação saudável [...]."</t>
  </si>
  <si>
    <t>UNIMED</t>
  </si>
  <si>
    <t xml:space="preserve">Comigo </t>
  </si>
  <si>
    <t>ini_181</t>
  </si>
  <si>
    <t>Projeto Saúde Complementar/ Projeto Bem Viver</t>
  </si>
  <si>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</si>
  <si>
    <t>Fundo do Adolescente e do Idoso; Fundos Municipal da Criança</t>
  </si>
  <si>
    <t>Relatório Balanço 2023</t>
  </si>
  <si>
    <t>ini_182</t>
  </si>
  <si>
    <t xml:space="preserve">Usina Solar </t>
  </si>
  <si>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</si>
  <si>
    <t>ini_183</t>
  </si>
  <si>
    <t>Proteção e Conservação de Nascentes e Minas</t>
  </si>
  <si>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</si>
  <si>
    <t>ini_184</t>
  </si>
  <si>
    <t xml:space="preserve">Assistência aos cooperados </t>
  </si>
  <si>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</si>
  <si>
    <t>ini_185</t>
  </si>
  <si>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</si>
  <si>
    <t>ini_186</t>
  </si>
  <si>
    <t>Fazenda Monte Alegre</t>
  </si>
  <si>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</si>
  <si>
    <t xml:space="preserve">Coopavel </t>
  </si>
  <si>
    <t>emp_029</t>
  </si>
  <si>
    <t>ini_187</t>
  </si>
  <si>
    <t>"Na unidade de Produção de Leitões da Cooperativa, foram economizados cerca de 487 mil reais em energia elétrica, através do aproveitamento da energia produzida pelo biogás gerado no sistema de tratamento de dejetos da granja."</t>
  </si>
  <si>
    <t>Copavel</t>
  </si>
  <si>
    <t>ini_188</t>
  </si>
  <si>
    <t xml:space="preserve">Água viva </t>
  </si>
  <si>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</si>
  <si>
    <t xml:space="preserve">Syngenta </t>
  </si>
  <si>
    <t xml:space="preserve">Coopavel; Syngenta </t>
  </si>
  <si>
    <t>https://coopavel.com.br/a-coopavel/</t>
  </si>
  <si>
    <t>https://braziliansustainableprotein.com/pt/coopavel-projeto-agua-viva-recupera-nascentes-no-brasil-e-no-exterior/</t>
  </si>
  <si>
    <t>https://coopavel.com.br/wp-content/uploads/2017/02/Revista_Coopavel_Ed411-min1.pdf</t>
  </si>
  <si>
    <t>ini_189</t>
  </si>
  <si>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</si>
  <si>
    <t>Copavel; Instituto Amigos da Terra (IAT)</t>
  </si>
  <si>
    <t>Coopercitrus</t>
  </si>
  <si>
    <t>emp_017</t>
  </si>
  <si>
    <t>ini_190</t>
  </si>
  <si>
    <t>Energia Fotovoltaica</t>
  </si>
  <si>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</si>
  <si>
    <t xml:space="preserve">Coopercitrus </t>
  </si>
  <si>
    <t xml:space="preserve">MG; SP </t>
  </si>
  <si>
    <t>ini_191</t>
  </si>
  <si>
    <t>Restauração florestal e de áreas degradadas</t>
  </si>
  <si>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</si>
  <si>
    <t xml:space="preserve">Banco Macquarie; BASF; inpEV </t>
  </si>
  <si>
    <t>ini_192</t>
  </si>
  <si>
    <t>Espaço HF</t>
  </si>
  <si>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</si>
  <si>
    <t>Casa de Santa Clara; Casa de Santo Expedito;  Lar do Idoso Servas do Senhor; Vila Lucas Evangelista; Recanto São Vicente de Paulo; Vila Vicentina</t>
  </si>
  <si>
    <t>ini_193</t>
  </si>
  <si>
    <t>Corrente do Bem do Agro</t>
  </si>
  <si>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</si>
  <si>
    <t>Usina Açucareira Guaíra; Yara Fertilizantes</t>
  </si>
  <si>
    <t>ALAR; APAE; Asilo; Casa da Sopa; Centro dos Idosos; Chácara Coração de Mãe; Chica do Cerrada</t>
  </si>
  <si>
    <t>GO; MG; SP</t>
  </si>
  <si>
    <t>https://oguaira.com.br/usina-acucareira-guaira-cria-corrente-do-bem-do-agro-e-arrecada-alimentosas-entidades-do-municipio/</t>
  </si>
  <si>
    <t>ini_194</t>
  </si>
  <si>
    <t>Dia do Campo Limpo</t>
  </si>
  <si>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</si>
  <si>
    <t>Sistema Campo Limpo</t>
  </si>
  <si>
    <t>Coopercitrus; Fundo Social de Solidariedade</t>
  </si>
  <si>
    <t>ini_195</t>
  </si>
  <si>
    <t>Cooper Nascentes</t>
  </si>
  <si>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</si>
  <si>
    <t>Nortox</t>
  </si>
  <si>
    <t>Coopercitrus; Nortox</t>
  </si>
  <si>
    <t>ini_196</t>
  </si>
  <si>
    <t>Nucoffee</t>
  </si>
  <si>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</si>
  <si>
    <t>Universidade Federal de Lavras</t>
  </si>
  <si>
    <t xml:space="preserve">GO; MG; SP </t>
  </si>
  <si>
    <t>ini_197</t>
  </si>
  <si>
    <t>Cooperativa de Produtores Rurais de Agricultura Familiar</t>
  </si>
  <si>
    <t xml:space="preserve">"Com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 </t>
  </si>
  <si>
    <t>Coopercitruse; Sebrae Barretos</t>
  </si>
  <si>
    <t xml:space="preserve">Cooperativa de Produtores Rurais de Agricultura Familiar (Coperfam) </t>
  </si>
  <si>
    <t>ini_198</t>
  </si>
  <si>
    <t xml:space="preserve">Armazenagem </t>
  </si>
  <si>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</si>
  <si>
    <t>ini_199</t>
  </si>
  <si>
    <t xml:space="preserve">Cursos de Qualificação Profissional </t>
  </si>
  <si>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</si>
  <si>
    <t>Instituto Agronômico (IAC);  Serviço Nacional de Aprendizagem Rural (Senar); Sindicato Rural de Bebedouro</t>
  </si>
  <si>
    <t>Fundação Coopercitrus Credicitrus</t>
  </si>
  <si>
    <t>ini_200</t>
  </si>
  <si>
    <t>Mulheres do Campo - O agro é delas</t>
  </si>
  <si>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</si>
  <si>
    <t>GO; MG</t>
  </si>
  <si>
    <t>https://coopercitrus.com.br/release/mulheres-do-campo-coopercitrus-realiza-encontros-sobre-protagonismo-feminino/#:~:text=Ap%C3%B3s%20seu%20lan%C3%A7amento%20durante%20a,Coopercitrus%20%E2%80%93%20Cooperativa%20de%20Produtores%20Rurais.</t>
  </si>
  <si>
    <t>Cooxupé</t>
  </si>
  <si>
    <t>emp_016</t>
  </si>
  <si>
    <t>ini_201</t>
  </si>
  <si>
    <t xml:space="preserve">Band Contra Fome </t>
  </si>
  <si>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</si>
  <si>
    <t>Band</t>
  </si>
  <si>
    <t xml:space="preserve">Amigos do Bem; Central Única das Favelas (CUFA); Gerando Falcões </t>
  </si>
  <si>
    <t>Relatório 2020 e 2021</t>
  </si>
  <si>
    <t>ini_202</t>
  </si>
  <si>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</si>
  <si>
    <t>Sicoob Agrocredi</t>
  </si>
  <si>
    <t>Casa do Caminho Bezerra de Menezes - Associação Espírita Beneficente; Casa da Criança; Colo de Mãe Pastoral Social; Comunidade Católica; Lar das Crianças Nossa Senhora do Carmo; Lar de Idosos Santo Antônio</t>
  </si>
  <si>
    <t>Relatório 2022 e 2023</t>
  </si>
  <si>
    <t>https://hubdocafe.cooxupe.com.br/dia-c-sera-comemorado-em-2-de-julho/#:~:text=Em%202009%2C%20o%20Sistema%20OCEMG,ser%C3%A1%20em%2002%20de%20julho</t>
  </si>
  <si>
    <t>ini_203</t>
  </si>
  <si>
    <t>Minas D'Água</t>
  </si>
  <si>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</si>
  <si>
    <t>Balcoffce; Coffee America; Mother Parkers</t>
  </si>
  <si>
    <t>ini_204</t>
  </si>
  <si>
    <t>Dias do Conhecimento</t>
  </si>
  <si>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</si>
  <si>
    <t>Entidades da região</t>
  </si>
  <si>
    <t>ini_205</t>
  </si>
  <si>
    <t xml:space="preserve">Nascentes da Mata do Sino (Bell Springs) </t>
  </si>
  <si>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</si>
  <si>
    <t>https://www.cooxupe.com.br/noticias/comeca-a-implementacao-do-nascentes-da-mata-do-sino/</t>
  </si>
  <si>
    <t>ini_206</t>
  </si>
  <si>
    <t xml:space="preserve">Donas do Cafe </t>
  </si>
  <si>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</si>
  <si>
    <t xml:space="preserve">evento online </t>
  </si>
  <si>
    <t>SMC Specialty Coffees</t>
  </si>
  <si>
    <t>ini_207</t>
  </si>
  <si>
    <t xml:space="preserve">Investimento em sistema de aproveitamento de água da chuva </t>
  </si>
  <si>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</si>
  <si>
    <t>Cooxupé; SMC Specialty Coffees</t>
  </si>
  <si>
    <t>ini_208</t>
  </si>
  <si>
    <t xml:space="preserve">Tratamento de efluentes líquidos e atmosféricos </t>
  </si>
  <si>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</si>
  <si>
    <t>ini_209</t>
  </si>
  <si>
    <t>Linhas de Crédito e Barter</t>
  </si>
  <si>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</si>
  <si>
    <t>ini_210</t>
  </si>
  <si>
    <t>Inauguração usina fotovoltaica</t>
  </si>
  <si>
    <t>"Cooxupé inaugura usina fotovoltaica para geração de energia solar Com seu novo projeto, a cooperativa cafeeira passou a produzir energia limpa para atender à maioria de suas unidades localizadas em Minas Gerais."</t>
  </si>
  <si>
    <t>https://www.cooxupe.com.br/wp-content/uploads/2023/10/Folha-Rural_ed535-SETEMBRO-23-.pdf</t>
  </si>
  <si>
    <t>Copasul</t>
  </si>
  <si>
    <t>emp_038</t>
  </si>
  <si>
    <t>ini_211</t>
  </si>
  <si>
    <t>Construindo Solos</t>
  </si>
  <si>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</si>
  <si>
    <t>MS</t>
  </si>
  <si>
    <t>Sustantabilidade 2022</t>
  </si>
  <si>
    <t>ini_212</t>
  </si>
  <si>
    <t>Energia Limpa</t>
  </si>
  <si>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</si>
  <si>
    <t>ini_213</t>
  </si>
  <si>
    <t>AgroGestão</t>
  </si>
  <si>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</si>
  <si>
    <t>ini_214</t>
  </si>
  <si>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</si>
  <si>
    <t>ini_215</t>
  </si>
  <si>
    <t>45 anos, 45 ações</t>
  </si>
  <si>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</si>
  <si>
    <t>ini_216</t>
  </si>
  <si>
    <t>Rastreabilidade</t>
  </si>
  <si>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</si>
  <si>
    <t>Software</t>
  </si>
  <si>
    <t>Merx</t>
  </si>
  <si>
    <t>Copercampos</t>
  </si>
  <si>
    <t>emp_095</t>
  </si>
  <si>
    <t>ini_217</t>
  </si>
  <si>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</si>
  <si>
    <t>RS; SC</t>
  </si>
  <si>
    <t>ini_218</t>
  </si>
  <si>
    <t>Comissão Interna de Prevenção de Acidentes – CIPA</t>
  </si>
  <si>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</si>
  <si>
    <t>Campos Novos</t>
  </si>
  <si>
    <t>ini_219</t>
  </si>
  <si>
    <t>Cestas Natalinas</t>
  </si>
  <si>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</si>
  <si>
    <t>Hospital Dr. José Athanásio</t>
  </si>
  <si>
    <t>SC</t>
  </si>
  <si>
    <t>ini_220</t>
  </si>
  <si>
    <t>Magia do Natal</t>
  </si>
  <si>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</si>
  <si>
    <t>ini_221</t>
  </si>
  <si>
    <t>Propriedades Sustentáveis</t>
  </si>
  <si>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</si>
  <si>
    <t>Embrapa Trigo</t>
  </si>
  <si>
    <t>Copercampos; Embrapa Trigo</t>
  </si>
  <si>
    <t>ini_009</t>
  </si>
  <si>
    <t>Programa Clube do Carbono</t>
  </si>
  <si>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</si>
  <si>
    <t>Bayer; Embrapa; Mosaic; Rizobacter</t>
  </si>
  <si>
    <t>ini_011</t>
  </si>
  <si>
    <t>Avaliações das áreas</t>
  </si>
  <si>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</si>
  <si>
    <t>ini_222</t>
  </si>
  <si>
    <t xml:space="preserve">Controle de Resíduos Sólidos
</t>
  </si>
  <si>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</si>
  <si>
    <t>ini_223</t>
  </si>
  <si>
    <t>Usina Fotovoltaica</t>
  </si>
  <si>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</si>
  <si>
    <t>ini_224</t>
  </si>
  <si>
    <t>Tratamento de efluentes</t>
  </si>
  <si>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</si>
  <si>
    <t>ini_225</t>
  </si>
  <si>
    <t>Biodigestores</t>
  </si>
  <si>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</si>
  <si>
    <t xml:space="preserve">Copercana </t>
  </si>
  <si>
    <t>emp_031</t>
  </si>
  <si>
    <t>ini_226</t>
  </si>
  <si>
    <t>Composteira</t>
  </si>
  <si>
    <t xml:space="preserve">"Localizada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 </t>
  </si>
  <si>
    <t>Relatório ESG 2021</t>
  </si>
  <si>
    <t>ini_227</t>
  </si>
  <si>
    <t>Live Solidária – 17ª Agronegócios Copercana</t>
  </si>
  <si>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</si>
  <si>
    <t>ini_228</t>
  </si>
  <si>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</si>
  <si>
    <t>Coperdia</t>
  </si>
  <si>
    <t>emp_035</t>
  </si>
  <si>
    <t>ini_229</t>
  </si>
  <si>
    <t>Propriedade Rural Sustentável Aurora</t>
  </si>
  <si>
    <t xml:space="preserve">"O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 </t>
  </si>
  <si>
    <t>Aurora</t>
  </si>
  <si>
    <t>Ecopérdia</t>
  </si>
  <si>
    <t>ini_230</t>
  </si>
  <si>
    <t>Energia Solar</t>
  </si>
  <si>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</si>
  <si>
    <t xml:space="preserve">SC </t>
  </si>
  <si>
    <t>https://portal.coperdia.com.br/energia-solar/</t>
  </si>
  <si>
    <t>ini_231</t>
  </si>
  <si>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</si>
  <si>
    <t>PR; RS; SC</t>
  </si>
  <si>
    <t>https://portal.coperdia.com.br/acoes-ambientais/</t>
  </si>
  <si>
    <t xml:space="preserve">Cotrijal </t>
  </si>
  <si>
    <t>emp_026</t>
  </si>
  <si>
    <t>ini_232</t>
  </si>
  <si>
    <t>Expodireto Cotrijal</t>
  </si>
  <si>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</si>
  <si>
    <t>Conexão entre atores</t>
  </si>
  <si>
    <t xml:space="preserve">Evento com formato híbrido </t>
  </si>
  <si>
    <t xml:space="preserve">RS </t>
  </si>
  <si>
    <t>ini_233</t>
  </si>
  <si>
    <t>Programa Mais Elas</t>
  </si>
  <si>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</si>
  <si>
    <t>ini_234</t>
  </si>
  <si>
    <t>Assistência Técnica</t>
  </si>
  <si>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</si>
  <si>
    <t>Relatório 2019/2020</t>
  </si>
  <si>
    <t>ini_235</t>
  </si>
  <si>
    <t>Pedal Solidário</t>
  </si>
  <si>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</si>
  <si>
    <t>ini_236</t>
  </si>
  <si>
    <t>Programa Ciclus de Agricultura de Precisão</t>
  </si>
  <si>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</si>
  <si>
    <t>ini_237</t>
  </si>
  <si>
    <t xml:space="preserve">Programa Supernova </t>
  </si>
  <si>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</si>
  <si>
    <t xml:space="preserve">Plataforma dinâmica e interativa com jogos e aulas online </t>
  </si>
  <si>
    <t>Escoop – Escola de Tecnologia do Cooperativismo</t>
  </si>
  <si>
    <t>Cotrijal ; Escoop – Escola de Tecnologia do Cooperativismo</t>
  </si>
  <si>
    <t>Cotrisal</t>
  </si>
  <si>
    <t>emp_096</t>
  </si>
  <si>
    <t>ini_238</t>
  </si>
  <si>
    <t>Doações Projeto Ombro Amigo</t>
  </si>
  <si>
    <t>"Os alimentos doados por funcionários da Cotrisal foram entregues ao Projeto Ombro Amigo, do Rotary Club Sarandi. O Projeto Ombro Amigo tem por objetivo oferecer assistência e apoio às pessoas que estão enfrentando o desafiador diagnóstico de câncer."</t>
  </si>
  <si>
    <t>Rotary Club Sarandi</t>
  </si>
  <si>
    <t>Relatório de Gestão 2023.</t>
  </si>
  <si>
    <t>ini_239</t>
  </si>
  <si>
    <t>Doações lares de idosos</t>
  </si>
  <si>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</si>
  <si>
    <t>Auriverde; Certhil; Cresol; Cooperdomhermeto; Cooperhermeto; Coopersenap; Cotrisal; Cooper União; Sicredi; Unimed; Unitec</t>
  </si>
  <si>
    <t>ini_014</t>
  </si>
  <si>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</si>
  <si>
    <t>Cresol; Cotrisal; Sicredi; Sicoob</t>
  </si>
  <si>
    <t>Cresol; Coagril; Cotrisal; Sicredi; Sicoob</t>
  </si>
  <si>
    <t>Cresol; Coagril; Sicredi; Sicoob</t>
  </si>
  <si>
    <t>ini_240</t>
  </si>
  <si>
    <t>"Em Palmeira das Missões, a ação envolveu as cooperativas que arrecadaram uma tonelada de alimentos que foram distribuídos nos bairros da cidade."</t>
  </si>
  <si>
    <t>Cooperativas; Cotrisal</t>
  </si>
  <si>
    <t>ini_241</t>
  </si>
  <si>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</si>
  <si>
    <t>Jeep Clube; Prefeitura Municipal de Honrizontina; Sicred</t>
  </si>
  <si>
    <t>Avipae; Hospital de Horizontina</t>
  </si>
  <si>
    <t>ini_242</t>
  </si>
  <si>
    <t>Programa Mulheres Cooperativistas Cotrisal</t>
  </si>
  <si>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</si>
  <si>
    <t xml:space="preserve">DSM </t>
  </si>
  <si>
    <t>emp_032</t>
  </si>
  <si>
    <t>ini_243</t>
  </si>
  <si>
    <t>Supporting our stakeholders during COVID-19</t>
  </si>
  <si>
    <t>"In collaboration with some of our main customers, we provided at low, or no cost, ‘DSM Baskets’ containing food and hygiene items for people in need in Brazil. We also donated 70,000 fortified milk cans for social distribution in poor communities."</t>
  </si>
  <si>
    <t>costumers (empresas)</t>
  </si>
  <si>
    <t>Relatório de Sustentabilidade 2020</t>
  </si>
  <si>
    <t>ini_244</t>
  </si>
  <si>
    <t>Joining Forces for Last-Mile Nutrition</t>
  </si>
  <si>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</si>
  <si>
    <t xml:space="preserve"> Sight and Life; World Vision</t>
  </si>
  <si>
    <t>DSM; Sight and Life; World Vision</t>
  </si>
  <si>
    <t>Relatório de Sustentabilidade 2022</t>
  </si>
  <si>
    <t>ini_245</t>
  </si>
  <si>
    <t>Accessibility of nutritious products</t>
  </si>
  <si>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</si>
  <si>
    <t>CE</t>
  </si>
  <si>
    <t>ini_246</t>
  </si>
  <si>
    <t>Educational initiatives</t>
  </si>
  <si>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</si>
  <si>
    <t>Municipal Department of Education of Mairinque; Tortuga Institute</t>
  </si>
  <si>
    <t>Gastromotiva</t>
  </si>
  <si>
    <t>https://publique.com/dsm-e-gastromotiva-promovem-gastronomia-social/</t>
  </si>
  <si>
    <t>ini_247</t>
  </si>
  <si>
    <t>Renewable electricity in the rest of the world</t>
  </si>
  <si>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</si>
  <si>
    <t>Relatório Integrado Anual 2023</t>
  </si>
  <si>
    <t>ini_248</t>
  </si>
  <si>
    <t xml:space="preserve">Partnerships </t>
  </si>
  <si>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</si>
  <si>
    <t xml:space="preserve">Africa Improved Foods (AIF); UNICEF; World Food Programme (WFP); World Vision </t>
  </si>
  <si>
    <t>ini_249</t>
  </si>
  <si>
    <t>Food &amp; Nature Program</t>
  </si>
  <si>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</si>
  <si>
    <t xml:space="preserve"> EAT-Lancet; FABLE; FOLU; WHO-FAO; WRI</t>
  </si>
  <si>
    <t xml:space="preserve"> DSM</t>
  </si>
  <si>
    <t>ini_250</t>
  </si>
  <si>
    <t>Improving Nutrition, Improving Lives</t>
  </si>
  <si>
    <t xml:space="preserve">"UN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 </t>
  </si>
  <si>
    <t xml:space="preserve"> DSM; UN World Food Programme (WFP)</t>
  </si>
  <si>
    <t>https://centrodeexcelencia.org.br/seminario/#:~:text=A%20DSM%20%C3%A9%20uma%20parceira,80%20pa%C3%ADses%20todos%20os%20anos.</t>
  </si>
  <si>
    <t>ini_251</t>
  </si>
  <si>
    <t xml:space="preserve">CO2REDUCE </t>
  </si>
  <si>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</si>
  <si>
    <t>DSM; fornecedores</t>
  </si>
  <si>
    <t>ini_252</t>
  </si>
  <si>
    <t xml:space="preserve">Biodiversity </t>
  </si>
  <si>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</si>
  <si>
    <t xml:space="preserve"> One Planet Business for Biodiversity (OP2B)</t>
  </si>
  <si>
    <t>ini_253</t>
  </si>
  <si>
    <t>Animal Nutrition &amp; Health</t>
  </si>
  <si>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</si>
  <si>
    <t>ini_254</t>
  </si>
  <si>
    <t xml:space="preserve">Development of Sustainability Service and Precision Nutrition platform </t>
  </si>
  <si>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</si>
  <si>
    <t>Development of Sustainability Service and Precision Nutrition platform</t>
  </si>
  <si>
    <t>ini_255</t>
  </si>
  <si>
    <t>Multiple micronutrient supplementation (MMS)</t>
  </si>
  <si>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</si>
  <si>
    <t>UNICEF</t>
  </si>
  <si>
    <t>ini_256</t>
  </si>
  <si>
    <t xml:space="preserve">Supplier Code of Conduct (SCoC) </t>
  </si>
  <si>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</si>
  <si>
    <t xml:space="preserve"> DSM; fornecedores</t>
  </si>
  <si>
    <t>https://www.dsm.com/content/dam/dsm/suppliers/en/documents/supplier-code-of-conduct-en.pdf</t>
  </si>
  <si>
    <t>ini_257</t>
  </si>
  <si>
    <t xml:space="preserve">Together for Sustainability (TfS) </t>
  </si>
  <si>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</si>
  <si>
    <t>ini_258</t>
  </si>
  <si>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</si>
  <si>
    <t xml:space="preserve"> Assistance institutions; DSM</t>
  </si>
  <si>
    <t xml:space="preserve">CE; GO; MG; MS; MT; PA; RJ; RO; SC; SP </t>
  </si>
  <si>
    <t>ini_259</t>
  </si>
  <si>
    <t>Composting of organic waste</t>
  </si>
  <si>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</si>
  <si>
    <t>ini_260</t>
  </si>
  <si>
    <t>Rice</t>
  </si>
  <si>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</si>
  <si>
    <t>Brand owners; Donors; DSM; Employers; Governments; Non-governmental organizations (NGOs); UN agencies</t>
  </si>
  <si>
    <t>ini_261</t>
  </si>
  <si>
    <t>Business measures supporting our climate approach</t>
  </si>
  <si>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</si>
  <si>
    <t>ini_262</t>
  </si>
  <si>
    <t>Food System Commitments</t>
  </si>
  <si>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</si>
  <si>
    <t>ini_263</t>
  </si>
  <si>
    <t>Nutritional solutions</t>
  </si>
  <si>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</si>
  <si>
    <t xml:space="preserve"> DSM; UNICEF; World Food Programme (WFP); World Vision </t>
  </si>
  <si>
    <t>ini_264</t>
  </si>
  <si>
    <t>Solidarity Campaigns</t>
  </si>
  <si>
    <t>"Providing education and mentoring opportunities in Brazil. (...) Our ‘Solidarity Campaigns’ provided donations of food, personal and cleaning products, and warm clothing to local communities in need."</t>
  </si>
  <si>
    <t>ini_265</t>
  </si>
  <si>
    <t xml:space="preserve">EcoVadis </t>
  </si>
  <si>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</si>
  <si>
    <t>ini_266</t>
  </si>
  <si>
    <t>TfS Academy</t>
  </si>
  <si>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</si>
  <si>
    <t xml:space="preserve">online courses </t>
  </si>
  <si>
    <t>ini_267</t>
  </si>
  <si>
    <t>Project B.E.N.®</t>
  </si>
  <si>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</si>
  <si>
    <t>DSM</t>
  </si>
  <si>
    <t>EISA Interagrícola</t>
  </si>
  <si>
    <t>emp_025</t>
  </si>
  <si>
    <t>ini_268</t>
  </si>
  <si>
    <t xml:space="preserve">Resilient and Social Impact </t>
  </si>
  <si>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</si>
  <si>
    <t xml:space="preserve">EISA/ECOM </t>
  </si>
  <si>
    <t xml:space="preserve">Relatório Sustentabilidade 2020 </t>
  </si>
  <si>
    <t>ini_269</t>
  </si>
  <si>
    <t xml:space="preserve">Farm Produtivity </t>
  </si>
  <si>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</si>
  <si>
    <t>ini_270</t>
  </si>
  <si>
    <t>Carbon Sponge</t>
  </si>
  <si>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</si>
  <si>
    <t>ini_271</t>
  </si>
  <si>
    <t xml:space="preserve">Farmer Financial Inclusion </t>
  </si>
  <si>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</si>
  <si>
    <t>ini_272</t>
  </si>
  <si>
    <t>Improving Farmers Life</t>
  </si>
  <si>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</si>
  <si>
    <t>App-based platforms; Machinery; Digital Premiums Platform and Village Savings and Loan Associations</t>
  </si>
  <si>
    <t>Local organisations; NGOs; clients; banks</t>
  </si>
  <si>
    <t>Relatório Sustentabilidade 2022</t>
  </si>
  <si>
    <t>ini_273</t>
  </si>
  <si>
    <t>Connecting farmers to markets</t>
  </si>
  <si>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</si>
  <si>
    <t>ini_274</t>
  </si>
  <si>
    <t>Security through diversification</t>
  </si>
  <si>
    <t xml:space="preserve">"One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 </t>
  </si>
  <si>
    <t>ini_275</t>
  </si>
  <si>
    <t>Training on issues and sustainable production</t>
  </si>
  <si>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</si>
  <si>
    <t>ini_276</t>
  </si>
  <si>
    <t>Climate-smart agriculture</t>
  </si>
  <si>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</si>
  <si>
    <t>ini_277</t>
  </si>
  <si>
    <t>Regenerative Agriculture - The Solo Verde Project</t>
  </si>
  <si>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</si>
  <si>
    <t>ini_278</t>
  </si>
  <si>
    <t>SMS Bee Project</t>
  </si>
  <si>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</si>
  <si>
    <t>CarmoCoffes; Nespresso</t>
  </si>
  <si>
    <t>CarmoCoffes; EISA/ECOM; Nespresso</t>
  </si>
  <si>
    <t>ini_279</t>
  </si>
  <si>
    <t>Gender Empowerment</t>
  </si>
  <si>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</si>
  <si>
    <t>emp_041</t>
  </si>
  <si>
    <t>ini_280</t>
  </si>
  <si>
    <t>Programa Integrado da Amazônia (PIA)</t>
  </si>
  <si>
    <t>"O objetivo principal é promover a produção e a disseminação de conhecimentos e tecnologias voltadas para a recuperação, conservação e uso sustentável da Amazônia por ribeirinhos, extrativistas, agricultores familiares e povos indígenas."</t>
  </si>
  <si>
    <t>Fundo Amazônia, Fundação Eliseu Alves</t>
  </si>
  <si>
    <t>Embrapa; Fundação Eliseu; Fundo Amazônia</t>
  </si>
  <si>
    <t>Relatório de Gestão 2020</t>
  </si>
  <si>
    <t>ini_281</t>
  </si>
  <si>
    <t>Programa InovaSocial</t>
  </si>
  <si>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</si>
  <si>
    <t>Banco Nacional de Desenvolvimento Econômico e Social (BNDES); Fundação Eliseu Alves</t>
  </si>
  <si>
    <t>Banco Nacional de Desenvolvimento Econômico e Social; Embrapa; Fundação Eliseu</t>
  </si>
  <si>
    <t>ini_282</t>
  </si>
  <si>
    <t>Protocolo Carne Carbono Neutro</t>
  </si>
  <si>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</si>
  <si>
    <t>Instituto de Pesquisa Ambiental da Amazônia (IPAM); reNature</t>
  </si>
  <si>
    <t>Cargill; Federal Institute of Goias (IF Goiano); Federal University of Lavras (UFLA); Institute BioSistêmico (IBS); Instituto Forum do Futuro</t>
  </si>
  <si>
    <t>Bayer; Copercampos; Mosaic; Rizobacter</t>
  </si>
  <si>
    <t>ini_012</t>
  </si>
  <si>
    <t>Projeto MRV Agro</t>
  </si>
  <si>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</si>
  <si>
    <t>Centro de Estudos do Agronegócio da Fundação Getúlio Vargas (FGV Agro); Minerva Foods</t>
  </si>
  <si>
    <t>Centro de Estudos do Agronegócio da Fundação Getúlio Vargas (FGV Agro); Embrapa; Minerva Foods</t>
  </si>
  <si>
    <t>ini_283</t>
  </si>
  <si>
    <t>Observatório Mulheres Rurais do Brasil</t>
  </si>
  <si>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</si>
  <si>
    <t>Sistema de Inteligência Estratégica da Embrapa (Agropensa)</t>
  </si>
  <si>
    <t>Relatório de Gestão 2022</t>
  </si>
  <si>
    <t xml:space="preserve">Fiagril </t>
  </si>
  <si>
    <t>emp_027</t>
  </si>
  <si>
    <t>ini_284</t>
  </si>
  <si>
    <t>Doação de cestas básicas</t>
  </si>
  <si>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</si>
  <si>
    <t>Instituições em Lucas do Rio Verde (MT)</t>
  </si>
  <si>
    <t>ini_285</t>
  </si>
  <si>
    <t xml:space="preserve">Distribuição de tecnologia </t>
  </si>
  <si>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</si>
  <si>
    <t>ini_286</t>
  </si>
  <si>
    <t>Barter Ultra</t>
  </si>
  <si>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</si>
  <si>
    <t>Relatório Sustentabilidade 2023</t>
  </si>
  <si>
    <t>ini_287</t>
  </si>
  <si>
    <t>Rentabilidade da Região</t>
  </si>
  <si>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</si>
  <si>
    <t>ini_288</t>
  </si>
  <si>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</si>
  <si>
    <t>ini_289</t>
  </si>
  <si>
    <t>Doação de Alimentos</t>
  </si>
  <si>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</si>
  <si>
    <t>Organizações sociais</t>
  </si>
  <si>
    <t xml:space="preserve">AP; MT; TO </t>
  </si>
  <si>
    <t>ini_290</t>
  </si>
  <si>
    <t>Semana Interna de Prevenção de Acidentes (Sipat)</t>
  </si>
  <si>
    <t>"O tema de nossa Semana Interna de Prevenção de Acidentes (Sipat) foi Hábitos Sustentáveis. O evento trouxe aspectos ligados à saúde, ao emocional, à alimentação e à Sustentabilidade - dentro e fora da empresa."</t>
  </si>
  <si>
    <t xml:space="preserve">AP; MT; PR; TO </t>
  </si>
  <si>
    <t>ini_291</t>
  </si>
  <si>
    <t>Programa de Apoio ao Colaborador</t>
  </si>
  <si>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</si>
  <si>
    <t>ini_292</t>
  </si>
  <si>
    <t>Visita Técnica</t>
  </si>
  <si>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</si>
  <si>
    <t>AL</t>
  </si>
  <si>
    <t>ini_293</t>
  </si>
  <si>
    <t xml:space="preserve">Páscoa </t>
  </si>
  <si>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</si>
  <si>
    <t xml:space="preserve">Adama </t>
  </si>
  <si>
    <t>https://www.gazetadigital.com.br/editorias/mande-seu-whats/vdeo-mostra-esgoto-lixo-e-muito-entulho-no-bairro-carrapicho-em-vrzea-grande/630868</t>
  </si>
  <si>
    <t>ini_294</t>
  </si>
  <si>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</si>
  <si>
    <t>Frísia</t>
  </si>
  <si>
    <t>emp_024</t>
  </si>
  <si>
    <t>ini_295</t>
  </si>
  <si>
    <t>Cuide-se + Alimentação Saudável</t>
  </si>
  <si>
    <t>"Programa Cuide-se + Alimentação Saudável: acompanhamento clínico nutricional por 6 meses (colaboradores)."</t>
  </si>
  <si>
    <t xml:space="preserve">PR; TO </t>
  </si>
  <si>
    <t>ini_296</t>
  </si>
  <si>
    <t xml:space="preserve">Programa Tarifas Rurais Noturnas (TRN) </t>
  </si>
  <si>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</si>
  <si>
    <t>ini_297</t>
  </si>
  <si>
    <t>Natal Solidário Parque Histórico de Carambeí</t>
  </si>
  <si>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</si>
  <si>
    <t>Rede Feminina de Combate ao Câncer de Carambeí (RFCC)</t>
  </si>
  <si>
    <t>ini_298</t>
  </si>
  <si>
    <t>Doação de Alimentos e de Itens de Proteção</t>
  </si>
  <si>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</si>
  <si>
    <t>Secretarias e instituições de saúde e secretarias de assistência social</t>
  </si>
  <si>
    <t>ini_299</t>
  </si>
  <si>
    <t>Projeto Amigos do Bem</t>
  </si>
  <si>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</si>
  <si>
    <t>Sicredi Campos Gerais ; Sicredi Tocantins</t>
  </si>
  <si>
    <t>ini_300</t>
  </si>
  <si>
    <t>Gincana InterCIPA</t>
  </si>
  <si>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</si>
  <si>
    <t>ini_301</t>
  </si>
  <si>
    <t xml:space="preserve">Doações e voluntariado </t>
  </si>
  <si>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</si>
  <si>
    <t>Unidades de saúde</t>
  </si>
  <si>
    <t>ini_302</t>
  </si>
  <si>
    <t>Programa Fundo Azul</t>
  </si>
  <si>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</si>
  <si>
    <t>Companhia de Saneamento do Paraná (Sanepar)</t>
  </si>
  <si>
    <t>ini_303</t>
  </si>
  <si>
    <t xml:space="preserve">Combate à Fome </t>
  </si>
  <si>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</si>
  <si>
    <t>ini_304</t>
  </si>
  <si>
    <t>Frísia + saúde (APP)</t>
  </si>
  <si>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</si>
  <si>
    <t xml:space="preserve">Aplicativo </t>
  </si>
  <si>
    <t>ini_305</t>
  </si>
  <si>
    <t xml:space="preserve">Fazenda Sustentável </t>
  </si>
  <si>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</si>
  <si>
    <t>Plataforma de educação</t>
  </si>
  <si>
    <t>ini_306</t>
  </si>
  <si>
    <t>Ações de saúde</t>
  </si>
  <si>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</si>
  <si>
    <t>ini_307</t>
  </si>
  <si>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</si>
  <si>
    <t xml:space="preserve"> Sicredi União MS/TO e Oeste da Bahia</t>
  </si>
  <si>
    <t>Casa do Caminho Raquel Murça; Frísia;  Sicredi União MS/TO e Oeste da Bahia</t>
  </si>
  <si>
    <t>ini_308</t>
  </si>
  <si>
    <t>Manual Ambiental</t>
  </si>
  <si>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</si>
  <si>
    <t>ini_309</t>
  </si>
  <si>
    <t>Programa Cada Gota Conta</t>
  </si>
  <si>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</si>
  <si>
    <t>Granja Faria</t>
  </si>
  <si>
    <t>emp_004</t>
  </si>
  <si>
    <t>ini_310</t>
  </si>
  <si>
    <t>Doações - Granja Faria</t>
  </si>
  <si>
    <t>"O ano de 2020 foi marcado pela pandemia do Corona Vírus, e o Grupo Granja Faria apoiou comunidades carentes com mais de 1 milhão de reais em doações. Foram doados Ovos, Máscaras, Álcool em Gel, Testes de COVID, Cestas Básicas entre outros."</t>
  </si>
  <si>
    <t>Grupo Montesanto Tavares</t>
  </si>
  <si>
    <t>emp_039</t>
  </si>
  <si>
    <t>ini_311</t>
  </si>
  <si>
    <t>Plataforma Global do Café (GCP)</t>
  </si>
  <si>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</si>
  <si>
    <t>Atlantica Coffee; Plataforma Global do Café (GCP)</t>
  </si>
  <si>
    <t>ini_312</t>
  </si>
  <si>
    <t>Instituto Café Solidário</t>
  </si>
  <si>
    <t xml:space="preserve">"As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 </t>
  </si>
  <si>
    <t>Banco Nordeste; Mesa Brasil SESC</t>
  </si>
  <si>
    <t>ini_313</t>
  </si>
  <si>
    <t>Paineis solares</t>
  </si>
  <si>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</si>
  <si>
    <t>ini_314</t>
  </si>
  <si>
    <t>Mútua Matas e Nascentes</t>
  </si>
  <si>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</si>
  <si>
    <t>Way Carbon</t>
  </si>
  <si>
    <t>ini_315</t>
  </si>
  <si>
    <t>Workshops Starbucks</t>
  </si>
  <si>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</si>
  <si>
    <t>Starbucks</t>
  </si>
  <si>
    <t>Atlantica Coffee; Cafebras; Grupo Montesanto Tavares; Starbucks</t>
  </si>
  <si>
    <t>ini_316</t>
  </si>
  <si>
    <t xml:space="preserve">GMT Green </t>
  </si>
  <si>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</si>
  <si>
    <t>Peterson Consultoria</t>
  </si>
  <si>
    <t>ini_317</t>
  </si>
  <si>
    <t>Big Trade</t>
  </si>
  <si>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</si>
  <si>
    <t xml:space="preserve">Inteligência artificial e machine learning </t>
  </si>
  <si>
    <t>Integrada</t>
  </si>
  <si>
    <t>emp_020</t>
  </si>
  <si>
    <t>ini_318</t>
  </si>
  <si>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</si>
  <si>
    <t>Corrida virtual</t>
  </si>
  <si>
    <t>SESC</t>
  </si>
  <si>
    <t>Relatório de Atividades 2021</t>
  </si>
  <si>
    <t>ini_319</t>
  </si>
  <si>
    <t>Sistema Plantio Direto</t>
  </si>
  <si>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</si>
  <si>
    <t>SP; PR</t>
  </si>
  <si>
    <t>ini_320</t>
  </si>
  <si>
    <t>Projeto Nossa Água</t>
  </si>
  <si>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</si>
  <si>
    <t>APAEs; Cooperados; EMATER; fornecedores; prefeituras</t>
  </si>
  <si>
    <t>APAEs; Cooperados; EMATER; fornecedores; Integrada; prefeituras</t>
  </si>
  <si>
    <t>Relatório de Atividades 2020</t>
  </si>
  <si>
    <t>ini_321</t>
  </si>
  <si>
    <t>Solar</t>
  </si>
  <si>
    <t>"Alinhados aos valores de Sustentabilidade e Inovação, a Integrada instalou 26 usinas solares, promovendo a diversificação da matriz energética e a redução de custos"</t>
  </si>
  <si>
    <t>ini_322</t>
  </si>
  <si>
    <t>Bioinsumos - Integrada</t>
  </si>
  <si>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</si>
  <si>
    <t xml:space="preserve">Lar Cooperativa </t>
  </si>
  <si>
    <t>emp_013</t>
  </si>
  <si>
    <t>ini_003</t>
  </si>
  <si>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</si>
  <si>
    <t xml:space="preserve"> Cresol; Frimesa; Lar Cooperativa; Siccob; Sicredi; Unimed; Uniprime </t>
  </si>
  <si>
    <t>ini_323</t>
  </si>
  <si>
    <t xml:space="preserve"> "Dia de Cooperar: arrecadação de alimentos para instituições."</t>
  </si>
  <si>
    <t>ini_324</t>
  </si>
  <si>
    <t>"Doações de Cestas Básicas para entidades em Medianeira" "Doação de alimentos para instituições de Medianeira realizada na Semana Interna de Prevenção de Acidentes do Trabalho."</t>
  </si>
  <si>
    <t>Entidades</t>
  </si>
  <si>
    <t>ini_325</t>
  </si>
  <si>
    <t>Projeto Cultivida</t>
  </si>
  <si>
    <t>"Projeto Cultivida: arrecadação de 14 ton de alimentos para doação em troca de 2.850 kits de EPI’s em parceria com a Ihara."</t>
  </si>
  <si>
    <t>Ihara</t>
  </si>
  <si>
    <t>Ihara; Lar Cooperativa</t>
  </si>
  <si>
    <t>ini_326</t>
  </si>
  <si>
    <t>Cuide-se +</t>
  </si>
  <si>
    <t>"Palestra Nutricional Cuide-se + para funcionários" "Programa nutricional para funcionários: Cuide-se+"</t>
  </si>
  <si>
    <t>Lar Cooperativa</t>
  </si>
  <si>
    <t xml:space="preserve">MS; PR; SC </t>
  </si>
  <si>
    <t>ini_327</t>
  </si>
  <si>
    <t>Programa Prioridade Ambiental</t>
  </si>
  <si>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</si>
  <si>
    <t>ini_328</t>
  </si>
  <si>
    <t xml:space="preserve">Fórum da Soja
</t>
  </si>
  <si>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</si>
  <si>
    <t>ini_329</t>
  </si>
  <si>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</si>
  <si>
    <t>ini_330</t>
  </si>
  <si>
    <t>Recuperação de Nascentes</t>
  </si>
  <si>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</si>
  <si>
    <t>Lavoro</t>
  </si>
  <si>
    <t>emp_012</t>
  </si>
  <si>
    <t>ini_331</t>
  </si>
  <si>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</si>
  <si>
    <t>Associação dos Pacientes Oncológicos de Rondonópolis (MT)</t>
  </si>
  <si>
    <t>Relatório 2020/2021</t>
  </si>
  <si>
    <t>ini_332</t>
  </si>
  <si>
    <t>Doação de Marmitas</t>
  </si>
  <si>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</si>
  <si>
    <t>Qualicitrus</t>
  </si>
  <si>
    <t>ini_333</t>
  </si>
  <si>
    <t>Todos Contra o Coronavírus</t>
  </si>
  <si>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</si>
  <si>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</si>
  <si>
    <t>GO; MT; MS; MG; PR; RS; RO; SC; SP; TO</t>
  </si>
  <si>
    <t>ini_334</t>
  </si>
  <si>
    <t>Plante Amor, Colha Esperança</t>
  </si>
  <si>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</si>
  <si>
    <t>Adama Brasil</t>
  </si>
  <si>
    <t>Ação da Cidadania; Sesc Mesa Brasil</t>
  </si>
  <si>
    <t>Relatório 2022/2023</t>
  </si>
  <si>
    <t>ini_335</t>
  </si>
  <si>
    <t xml:space="preserve">Doação de Recursos </t>
  </si>
  <si>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</si>
  <si>
    <t>Agrobiológica; Perterra; organizações sociais; Union Agro</t>
  </si>
  <si>
    <t>ini_336</t>
  </si>
  <si>
    <t>Selo Lavoro</t>
  </si>
  <si>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</si>
  <si>
    <t>inteligência artificial; recursos de big dat; georreferenciamento</t>
  </si>
  <si>
    <t xml:space="preserve">Lavoro </t>
  </si>
  <si>
    <t>ini_337</t>
  </si>
  <si>
    <t>Louis Dreyfus Company (LDC)</t>
  </si>
  <si>
    <t>emp_010</t>
  </si>
  <si>
    <t>ini_338</t>
  </si>
  <si>
    <t>Doação de Suco</t>
  </si>
  <si>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</si>
  <si>
    <t>MG; PR; SP</t>
  </si>
  <si>
    <t>Relatório ESG 2020</t>
  </si>
  <si>
    <t>https://www.ldc.com/sustainability-report-2020/pillars-of-sustainability/communities/orange-juice-donation-in-brazil/</t>
  </si>
  <si>
    <t>ini_339</t>
  </si>
  <si>
    <t>Program for Sustainable Agriculture</t>
  </si>
  <si>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</si>
  <si>
    <t>Produzindo Certo</t>
  </si>
  <si>
    <t>Louis Dreyfus Company (LDC); Produzindo Certo</t>
  </si>
  <si>
    <t>ini_340</t>
  </si>
  <si>
    <t>Future-Proofing the Next Generation of Brazilian Farmers</t>
  </si>
  <si>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</si>
  <si>
    <t>Louis Dreyfus Foundation; local coffee cooperatives</t>
  </si>
  <si>
    <t xml:space="preserve">local coffee cooperatives; Louis Dreyfus Company (LDC); Louis Dreyfus Foundation </t>
  </si>
  <si>
    <t>https://www.ldc.com/sustainability-report-2021/pillars-of-sustainability/communities/future-proofing-the-next-generation-of-brazilian-farmers/</t>
  </si>
  <si>
    <t>ini_341</t>
  </si>
  <si>
    <t xml:space="preserve">Supporting Conservation </t>
  </si>
  <si>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</si>
  <si>
    <t>ini_342</t>
  </si>
  <si>
    <t>Supporting a More Sustainable Cerrado</t>
  </si>
  <si>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</si>
  <si>
    <t xml:space="preserve"> CEDAC; Coop Cerrado; Fundação Louis Dreyfus; Vbio</t>
  </si>
  <si>
    <t>CEDAC; Coop Cerrado; Fundação Louis Dreyfus; Vbio</t>
  </si>
  <si>
    <t xml:space="preserve">BA; GO; MG </t>
  </si>
  <si>
    <t>Relatório Integrado 2023</t>
  </si>
  <si>
    <t>https://www.vbio.eco/projeto-cerrado-sustentavel</t>
  </si>
  <si>
    <t>ini_343</t>
  </si>
  <si>
    <t>Planting for Tomorrow</t>
  </si>
  <si>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</si>
  <si>
    <t>Escola Municipal Professora Francisca Pessoa Mendes ; LDC</t>
  </si>
  <si>
    <t>ini_344</t>
  </si>
  <si>
    <t xml:space="preserve">Farmer First Clusters </t>
  </si>
  <si>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</si>
  <si>
    <t xml:space="preserve">World Business Council </t>
  </si>
  <si>
    <t>ini_345</t>
  </si>
  <si>
    <t>Programa Compartilhar</t>
  </si>
  <si>
    <t xml:space="preserve">"LDC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 </t>
  </si>
  <si>
    <t>Relatório de Sustentabilidade 2022 LDC</t>
  </si>
  <si>
    <t>Relatório de Sustentabilidade 2023 LDC</t>
  </si>
  <si>
    <t>ini_346</t>
  </si>
  <si>
    <t>Sustainable Agriculture Initiative’s Farm Sustainability Assessment</t>
  </si>
  <si>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</si>
  <si>
    <t>https://www.ldc.com/br/en/stories-insights/sustainable-finance-in-action-for-brazilian-juice-operations/</t>
  </si>
  <si>
    <t>ini_347</t>
  </si>
  <si>
    <t>Stronger Coffee Initiative</t>
  </si>
  <si>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</si>
  <si>
    <t>https://www.ldc.com/wp-content/uploads/LDC_IR2023-Single-Pages_secured.pdf</t>
  </si>
  <si>
    <t>https://www.ldc.com/sustainability/responsible-supply-chain/sustainable-coffee/stronger-coffee-initiative/</t>
  </si>
  <si>
    <t>ini_348</t>
  </si>
  <si>
    <t>Protecting Biodiversity</t>
  </si>
  <si>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</si>
  <si>
    <t>ini_349</t>
  </si>
  <si>
    <t xml:space="preserve">Renewable energy </t>
  </si>
  <si>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</si>
  <si>
    <t>BA; GO; MA; MG; MS; MT; PI; PR; RO; TO</t>
  </si>
  <si>
    <t>SLC AGRICOLA</t>
  </si>
  <si>
    <t>emp_003</t>
  </si>
  <si>
    <t>ini_350</t>
  </si>
  <si>
    <t xml:space="preserve">SLC VENTURES
</t>
  </si>
  <si>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</si>
  <si>
    <t>inteligência artificial</t>
  </si>
  <si>
    <t xml:space="preserve">SLC </t>
  </si>
  <si>
    <t>ini_351</t>
  </si>
  <si>
    <t>Grupo de Ação Socioambiental (GAS)</t>
  </si>
  <si>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</si>
  <si>
    <t>entidades</t>
  </si>
  <si>
    <t>ini_352</t>
  </si>
  <si>
    <t>Plantio Direto</t>
  </si>
  <si>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</si>
  <si>
    <t>ini_353</t>
  </si>
  <si>
    <t>Certificados Recebíveis do Agronegócio</t>
  </si>
  <si>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</si>
  <si>
    <t>ini_354</t>
  </si>
  <si>
    <t>Conservação do Solo e Adubação Verde</t>
  </si>
  <si>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</si>
  <si>
    <t>ini_355</t>
  </si>
  <si>
    <t>Projeto Horta Agroecologia Periférica</t>
  </si>
  <si>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</si>
  <si>
    <t>Instituto SLC</t>
  </si>
  <si>
    <t xml:space="preserve">Associação de Cultura de Hip Hop de Esteio; Centro de Educação Ambiental (CEA); Escola Municipal de Educação Infantil Vovó Belinha; Museu da Cultura do Hip Hop  </t>
  </si>
  <si>
    <t>ini_356</t>
  </si>
  <si>
    <t>CONSERV</t>
  </si>
  <si>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</si>
  <si>
    <t>Environmental Defense Fund (EDF); Woodwell Climate Research Center</t>
  </si>
  <si>
    <t>Instituto de Pesquisa Ambiental da Amazônia (IPAM)</t>
  </si>
  <si>
    <t>ini_357</t>
  </si>
  <si>
    <t>Enriquecimento Florestal</t>
  </si>
  <si>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</si>
  <si>
    <t>Alvoar</t>
  </si>
  <si>
    <t>emp_069</t>
  </si>
  <si>
    <t>Alimentos e bebidas</t>
  </si>
  <si>
    <t>ini_358</t>
  </si>
  <si>
    <t>Doação de produtos</t>
  </si>
  <si>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</si>
  <si>
    <t>instituições beneficentes; projetos sociais</t>
  </si>
  <si>
    <t>AL; BA; CE; MG; RN; SE; SP</t>
  </si>
  <si>
    <t>ini_359</t>
  </si>
  <si>
    <t>Natal Solidário - Alvoar</t>
  </si>
  <si>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</si>
  <si>
    <t>ini_360</t>
  </si>
  <si>
    <t>Caldeiras de Biomassa</t>
  </si>
  <si>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</si>
  <si>
    <t>CE; MG</t>
  </si>
  <si>
    <t>ini_361</t>
  </si>
  <si>
    <t>Reuso de água</t>
  </si>
  <si>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</si>
  <si>
    <t>Ambev</t>
  </si>
  <si>
    <t>emp_044</t>
  </si>
  <si>
    <t>ini_362</t>
  </si>
  <si>
    <t>Energia renovável - Eólica</t>
  </si>
  <si>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</si>
  <si>
    <t>Relatório Anual e de ESG 2021 - ano base 2020</t>
  </si>
  <si>
    <t>ini_363</t>
  </si>
  <si>
    <t>Energia renovável - Solar</t>
  </si>
  <si>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</si>
  <si>
    <t xml:space="preserve">	Relatório Anual e de ESG 2022 – ano base 2021</t>
  </si>
  <si>
    <t>Relatório Anual e de ESG 2023 – ano base 2022</t>
  </si>
  <si>
    <t>Relatório Anual de Sustentabilidade 2024 – ano base 2023</t>
  </si>
  <si>
    <t>ini_364</t>
  </si>
  <si>
    <t>Programa Bacias &amp; Florestas</t>
  </si>
  <si>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</si>
  <si>
    <t>The Nature Conservation (TNC), World Wildlife Fund (WWF)</t>
  </si>
  <si>
    <t>Ambev; The Nature Conservation (TNC); World Wildlife Fund (WWF)</t>
  </si>
  <si>
    <t>GO; MG; RJ; SP</t>
  </si>
  <si>
    <t>ini_365</t>
  </si>
  <si>
    <t>Guaraná Maués</t>
  </si>
  <si>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</si>
  <si>
    <t>Aliança Guaraná de Maués (AGM); Agência Americana de Desenvolvimento Internacional (USAID); Centro Internacional para Agricultura Tropical (CIAT); Instituto de Conservação e Desenvolvimento Sustentável do Amazonas (IDESAM); Parceiros Pela Amazônia (PPA)</t>
  </si>
  <si>
    <t>AM</t>
  </si>
  <si>
    <t>ini_366</t>
  </si>
  <si>
    <t>Agricultura Sustentável</t>
  </si>
  <si>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</si>
  <si>
    <t>ini_367</t>
  </si>
  <si>
    <t>Doação de goma de mandioca</t>
  </si>
  <si>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</si>
  <si>
    <t xml:space="preserve"> Goma Fresca Pinheiro; Zé de Lima</t>
  </si>
  <si>
    <t>CE; PE</t>
  </si>
  <si>
    <t>ini_368</t>
  </si>
  <si>
    <t>Doação de pães</t>
  </si>
  <si>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</si>
  <si>
    <t>Bimbo</t>
  </si>
  <si>
    <t>Ambev; Bimbo</t>
  </si>
  <si>
    <t>DF; RJ; RS; SP</t>
  </si>
  <si>
    <t>ini_369</t>
  </si>
  <si>
    <t>Doação de água AMA</t>
  </si>
  <si>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</si>
  <si>
    <t>Central Única das Favelas (Cufa)</t>
  </si>
  <si>
    <t>Ambev; Central Única das Favelas (Cufa)</t>
  </si>
  <si>
    <t>RJ; SP</t>
  </si>
  <si>
    <t>ini_370</t>
  </si>
  <si>
    <t>Projeto AMA</t>
  </si>
  <si>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</si>
  <si>
    <t>AMA</t>
  </si>
  <si>
    <t>ini_371</t>
  </si>
  <si>
    <t>Berrió do Piauí</t>
  </si>
  <si>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</si>
  <si>
    <t>PI</t>
  </si>
  <si>
    <t>ini_372</t>
  </si>
  <si>
    <t>Projeto de água potável com filtros de barro</t>
  </si>
  <si>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</si>
  <si>
    <t>Deep</t>
  </si>
  <si>
    <t>Ambev; Deep</t>
  </si>
  <si>
    <t>Relatório Anual e de ESG 2022 – ano base 2021</t>
  </si>
  <si>
    <t>ini_373</t>
  </si>
  <si>
    <t>Ambev Contra Fome</t>
  </si>
  <si>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</si>
  <si>
    <t>Comida Invisível</t>
  </si>
  <si>
    <t>Ambev; Comida Invisível</t>
  </si>
  <si>
    <t>ini_374</t>
  </si>
  <si>
    <t>Doações Petrópolis</t>
  </si>
  <si>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</si>
  <si>
    <t>RJ</t>
  </si>
  <si>
    <t>ini_375</t>
  </si>
  <si>
    <t>Doações Recife</t>
  </si>
  <si>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</si>
  <si>
    <t>PE</t>
  </si>
  <si>
    <t>ini_376</t>
  </si>
  <si>
    <t>Doações Terras Yanomami</t>
  </si>
  <si>
    <t>"Em parceria com a Água Camelo, a Central Única das Favelas (Cufa) e a Fundação Nacional dos Povos Indígenas (Funai), a Ambev distribuiu kits para o tratamento de água em Roraima (RR) em apoio aos povos originários do território Yanomami, afetados por contaminações dos rios."</t>
  </si>
  <si>
    <t>Água Camelo, Central Única das Favelas (Cufa), Fundação Nacional dos Povos Indígenas (Funai)</t>
  </si>
  <si>
    <t>Água Camelo; Ambev; Central Única das Favelas (Cufa); Fundação Nacional dos Povos Indígenas (Funai)</t>
  </si>
  <si>
    <t>RR</t>
  </si>
  <si>
    <t>Barra Mansa Alimentos</t>
  </si>
  <si>
    <t>emp_078</t>
  </si>
  <si>
    <t>ini_377</t>
  </si>
  <si>
    <t>Doação de alimentos a Creche "Vicente Oranges"</t>
  </si>
  <si>
    <t>"Como parte das práticas de responsabilidade social, o Barra Mansa Alimentos realiza anualmente doações para a Creche Municipal “Vicente Oranges” localizada em Sertãozinho/SP. A creche atende cerca de 100 crianças de 0 a 3 anos."</t>
  </si>
  <si>
    <t>Creche Municipal Vicente Oranges</t>
  </si>
  <si>
    <t>Bem Brasil Alimentos</t>
  </si>
  <si>
    <t>emp_087</t>
  </si>
  <si>
    <t>ini_378</t>
  </si>
  <si>
    <t>Parceria Mesa Brasil SESC - Bem Brasil Alimentos</t>
  </si>
  <si>
    <t>"Em parceria com o programa Mesa Brasil, doamos 1,3 mil toneladas de produtos para famílias em situação de vulnerabilidade."</t>
  </si>
  <si>
    <t>ini_379</t>
  </si>
  <si>
    <t>Programa de Fomento</t>
  </si>
  <si>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</si>
  <si>
    <t>ini_380</t>
  </si>
  <si>
    <t>Produção de florestas próprias</t>
  </si>
  <si>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</si>
  <si>
    <t>ini_381</t>
  </si>
  <si>
    <t>Agricultura sustentável</t>
  </si>
  <si>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</si>
  <si>
    <t>Brasal</t>
  </si>
  <si>
    <t>emp_093</t>
  </si>
  <si>
    <t>ini_382</t>
  </si>
  <si>
    <t>Doações para a sociedade</t>
  </si>
  <si>
    <t>"Como forma de apoio no enfrentamento à Covid-19, a Brasal Refrigerantes contribuiu com a doação de 48 mil unidades de garrafas de 500ml de Água Crystal, o equivalente a 24 mil litros, em apoio aos profissionais de saúde na linha de frente no combate ao Covid-19"</t>
  </si>
  <si>
    <t>Brasal Refrigerantes</t>
  </si>
  <si>
    <t>Relatório Anual 2020/2021</t>
  </si>
  <si>
    <t>ini_383</t>
  </si>
  <si>
    <t>Doações na pandemia</t>
  </si>
  <si>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</si>
  <si>
    <t>Acionistas; Brasal Refrigerantes</t>
  </si>
  <si>
    <t>DF</t>
  </si>
  <si>
    <t>ini_384</t>
  </si>
  <si>
    <t>Caravana Iluminada de Natal Coca-Cola</t>
  </si>
  <si>
    <t>"Na Caravana Iluminada de Natal Coca-Cola, que além de despertar o espírito natalino, mobiliza parceiros na doação de cestas básicas e fraldas geriátricas para o Lar dos Velhinhos Maria Madalena - DF."</t>
  </si>
  <si>
    <t>Lar dos Velhinhos Maria Madalena - DF</t>
  </si>
  <si>
    <t>BRF</t>
  </si>
  <si>
    <t>emp_047</t>
  </si>
  <si>
    <t>ini_385</t>
  </si>
  <si>
    <t>Plantio de árvores em nascente de rio</t>
  </si>
  <si>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</si>
  <si>
    <t>BRF; Instituto Terra; prefeitura de Seropédica</t>
  </si>
  <si>
    <t>Relatório de Integridade 2021</t>
  </si>
  <si>
    <t>Relatório de Integridade 2022</t>
  </si>
  <si>
    <t>Relatório de Integridade 2023</t>
  </si>
  <si>
    <t>ini_386</t>
  </si>
  <si>
    <t>Parceira com Banco do Brasil - Energia Solar</t>
  </si>
  <si>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</si>
  <si>
    <t>Banco do Brasil</t>
  </si>
  <si>
    <t>Bancos múltiplos, com carteira comercial</t>
  </si>
  <si>
    <t>Relatório de Integridade 2020</t>
  </si>
  <si>
    <t>ini_387</t>
  </si>
  <si>
    <t>Parques de autogeração</t>
  </si>
  <si>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</si>
  <si>
    <t>AES Energia Brasil; BRF; Pontoon</t>
  </si>
  <si>
    <t>CE; PR; RN; RS; SC</t>
  </si>
  <si>
    <t>ini_388</t>
  </si>
  <si>
    <t>Rastreabilidade e Compra Sustentável de Grãos</t>
  </si>
  <si>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</si>
  <si>
    <t>Plataforma de software</t>
  </si>
  <si>
    <t xml:space="preserve">Cacique </t>
  </si>
  <si>
    <t>emp_092</t>
  </si>
  <si>
    <t>ini_389</t>
  </si>
  <si>
    <t xml:space="preserve">Doações </t>
  </si>
  <si>
    <t>"Associação Comunitária de Bebedouro - Doação de cestas básicas e água mineral"</t>
  </si>
  <si>
    <t>Associação Comunitária de Bebedouro</t>
  </si>
  <si>
    <t xml:space="preserve">ESG </t>
  </si>
  <si>
    <t>Camil</t>
  </si>
  <si>
    <t>emp_052</t>
  </si>
  <si>
    <t>ini_390</t>
  </si>
  <si>
    <t>Contribuições para a comunidade no enfrentamento à pandemia</t>
  </si>
  <si>
    <t xml:space="preserve">"Houve também apoio às iniciativas de doação de alimentos nas cidades onde estão localizadas as Unidades Produtivas da Companhia": Itaqui (RS), Pelotas (RS), Camaquã (RS), Navegantes (SC), Barra Bonita (SP) e Itapecuru-Mirim (MA). </t>
  </si>
  <si>
    <t>MA; RS; SC; SP</t>
  </si>
  <si>
    <t>ini_391</t>
  </si>
  <si>
    <t>Doações Instituto Caça Fome</t>
  </si>
  <si>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</si>
  <si>
    <t>Instituto Caça Fome</t>
  </si>
  <si>
    <t>ini_392</t>
  </si>
  <si>
    <t>Doações Cabo de Santo Agostinho</t>
  </si>
  <si>
    <t>"O município, que abriga uma das fábricas da Companhia, recebeu cerca de 9,4 toneladas de alimentos, entre arroz, feijão carioca, açúcar e sardinha."</t>
  </si>
  <si>
    <t>ini_393</t>
  </si>
  <si>
    <t xml:space="preserve">Doações Fundo Social - Apareciada de Goiânia </t>
  </si>
  <si>
    <t>"O órgão assistencial de captação de recursos, que visa a execução políticas assistenciais do município, recebeu cerca de 2 toneladas de alimentos, entre arroz, feijão carioca, açúcar e sardinha."</t>
  </si>
  <si>
    <t>Fundo Social</t>
  </si>
  <si>
    <t>Fundo Público da Administração Direta Municipal</t>
  </si>
  <si>
    <t>ini_394</t>
  </si>
  <si>
    <t>Doações Brasil Sem Fome</t>
  </si>
  <si>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</si>
  <si>
    <t>Ação da Cidadania</t>
  </si>
  <si>
    <t>GO; MA; RJ</t>
  </si>
  <si>
    <t>https://www.brasilsemfome.org.br/</t>
  </si>
  <si>
    <t>ini_395</t>
  </si>
  <si>
    <t>mob_01</t>
  </si>
  <si>
    <t>Natal Sem Fome - Ação da Cidadania</t>
  </si>
  <si>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</si>
  <si>
    <t>ini_396</t>
  </si>
  <si>
    <t>Doações Central única das favelas (CUFA)</t>
  </si>
  <si>
    <t>"Foram destinadas cerca de 83,9 toneladas de alimentos para São Paulo, arrecadados com a Live dos artistas Luan Santana e Diogo Nogueira e 8,3 toneladas de alimentos para o Rio de Janeiro."</t>
  </si>
  <si>
    <t>Central Única das Favelas (CUFA)</t>
  </si>
  <si>
    <t>ini_397</t>
  </si>
  <si>
    <t>Doações Unicef</t>
  </si>
  <si>
    <t>"Foram doadas cerca de 21,8 toneladas de alimentos para Maranhão, Recife e as capitais do Rio de Janeiro e de São Paulo."</t>
  </si>
  <si>
    <t>Unicef</t>
  </si>
  <si>
    <t>Organismos internacionais e outras instituições extraterritoriais</t>
  </si>
  <si>
    <t>MA; PE; RJ; SP</t>
  </si>
  <si>
    <t>ini_398</t>
  </si>
  <si>
    <t>Doações Mesa Brasil - SESC</t>
  </si>
  <si>
    <t>"O programa, que atua com bancos de alimentos no combate à fome e ao desperdício, recebeu cerca de 5 toneladas de alimentos nos estados de Pernambuco, São Paulo e Maranhão."</t>
  </si>
  <si>
    <t>MA; PE; SP</t>
  </si>
  <si>
    <t>ini_399</t>
  </si>
  <si>
    <t>Doações Centro de Desenvolvimento Humano Atitude Social</t>
  </si>
  <si>
    <t>"Localizado no Rio de Janeiro, o Centro recebeu cerca de 28 toneladas de alimentos, entre Arroz, Feijão Preto, Açúcar e Sardinha."</t>
  </si>
  <si>
    <t>Centro de Desenvolvimento Humano Atitude Social</t>
  </si>
  <si>
    <t>ini_400</t>
  </si>
  <si>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</si>
  <si>
    <t>MG; PR; RS; SC; SP</t>
  </si>
  <si>
    <t>ini_401</t>
  </si>
  <si>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</si>
  <si>
    <t>ini_402</t>
  </si>
  <si>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</si>
  <si>
    <t>BA; MA; MG; PE</t>
  </si>
  <si>
    <t>ini_403</t>
  </si>
  <si>
    <t>Projeto Arrastão</t>
  </si>
  <si>
    <t>"Abrangência: São Paulo" "A Camil doou 3 toneladas de alimentos ao projeto em 2022, que permitiram a oferta de 22,4 mil refeições por dia a famílias em situação de vulnerabilidade social."</t>
  </si>
  <si>
    <t>ini_404</t>
  </si>
  <si>
    <t>Energia gerada a partir de biomassa</t>
  </si>
  <si>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</si>
  <si>
    <t>Coca-Cola ANDINA Brasil</t>
  </si>
  <si>
    <t>emp_073</t>
  </si>
  <si>
    <t>ini_405</t>
  </si>
  <si>
    <t>Doações na Pandemia</t>
  </si>
  <si>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</si>
  <si>
    <t>Coca-Cola ANDINA</t>
  </si>
  <si>
    <t>ini_406</t>
  </si>
  <si>
    <t>mob_02</t>
  </si>
  <si>
    <t xml:space="preserve">Água + Acesso </t>
  </si>
  <si>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</si>
  <si>
    <t>Instituto Coca-Cola</t>
  </si>
  <si>
    <t>Água + Acesso</t>
  </si>
  <si>
    <t>ini_407</t>
  </si>
  <si>
    <t>Por todas as mesas</t>
  </si>
  <si>
    <t>"Con la donación de aproximadamente 150 mil litros de bebidas a la campaña “Brasil Sin Hambre”, Coca-Cola Andina Brasil ha impactado alrededor de 30 mil familias en situación de vulnerabilidad social, junto con otras acciones del Sistema Coca-Cola Brasil."</t>
  </si>
  <si>
    <t>ini_408</t>
  </si>
  <si>
    <t>Aliados por el Agua</t>
  </si>
  <si>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</si>
  <si>
    <t>startups locales</t>
  </si>
  <si>
    <t>Coca-Cola ANDINA; The Coca-Cola Company</t>
  </si>
  <si>
    <t>ES; MG; RJ; SP</t>
  </si>
  <si>
    <t>ini_409</t>
  </si>
  <si>
    <t>Política de doações de Pérdida y desperdicio de alimentos</t>
  </si>
  <si>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</si>
  <si>
    <t>Bancos de alimentos; organizaciones solidarias</t>
  </si>
  <si>
    <t>ini_410</t>
  </si>
  <si>
    <t>Qualidade da água e reflorestamento - Coca Cola Andina</t>
  </si>
  <si>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</si>
  <si>
    <t>Coca-Cola FEMSA</t>
  </si>
  <si>
    <t>emp_051</t>
  </si>
  <si>
    <t>ini_411</t>
  </si>
  <si>
    <t>Natal sem Fome - CocaCola</t>
  </si>
  <si>
    <t>"We deployed luminous caravans to distribute and donate more than 4,000 baskets of basic goods."</t>
  </si>
  <si>
    <t>Relatório Integrado 2021</t>
  </si>
  <si>
    <t>ini_412</t>
  </si>
  <si>
    <t>WASH initiative</t>
  </si>
  <si>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</si>
  <si>
    <t>FEMSA Foundation</t>
  </si>
  <si>
    <t>Coca-Cola FEMSA; FEMSA Foundation</t>
  </si>
  <si>
    <t>MG; MS; PA; RJ; RS; SC; SP</t>
  </si>
  <si>
    <t>Relatório Integrado 2020</t>
  </si>
  <si>
    <t>Relatório Integrado 2022</t>
  </si>
  <si>
    <t>https://coca-cola-femsa.com.br/</t>
  </si>
  <si>
    <t>Copacol</t>
  </si>
  <si>
    <t>emp_061</t>
  </si>
  <si>
    <t>ini_413</t>
  </si>
  <si>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</si>
  <si>
    <t>Copacol; Ihara</t>
  </si>
  <si>
    <t>DF; MS; PR; SP</t>
  </si>
  <si>
    <t>ini_414</t>
  </si>
  <si>
    <t>Energia a Biogás</t>
  </si>
  <si>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</si>
  <si>
    <t>ini_415</t>
  </si>
  <si>
    <t>Reflorestamento - Copacol</t>
  </si>
  <si>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</si>
  <si>
    <t>Cotrisel</t>
  </si>
  <si>
    <t>emp_090</t>
  </si>
  <si>
    <t>ini_416</t>
  </si>
  <si>
    <t xml:space="preserve">Mutirão da Solidariedade Vale do Taquari </t>
  </si>
  <si>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</si>
  <si>
    <t>Prefeitura de Formigueiro; Prefeitura de Restinga Sêca; Prefeitura de São Sepé; Prefeitura de Vila Nova do Sul</t>
  </si>
  <si>
    <t>ini_417</t>
  </si>
  <si>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</si>
  <si>
    <t xml:space="preserve"> APAE; Camnpal; Centro de Autismo; Sicoob; Sicred</t>
  </si>
  <si>
    <t>CRAS</t>
  </si>
  <si>
    <t>ini_418</t>
  </si>
  <si>
    <t>Doação ao CRAS</t>
  </si>
  <si>
    <t>"No municipio de Vila Nova do Sul, as ações foram em parceria com o Sicredi. Houve um grande volume de doações de alimentos não pereciveis que foram destinados ao CRAS do municipio, que distribui para familias em vulnerabilidade social."</t>
  </si>
  <si>
    <t xml:space="preserve"> Sicredi</t>
  </si>
  <si>
    <t>CRAS Vila Nova do Sul</t>
  </si>
  <si>
    <t>ini_419</t>
  </si>
  <si>
    <t xml:space="preserve">Horta Escolar </t>
  </si>
  <si>
    <t>"A Cotrisel em parceria com as cooperativas Sicredi, Coomat e Cooperagro, construiram uma horta na Escola Municipal de Ensino Fundamental Artur Bernardo Schmith, localizada no Bairro Santo Antônio."</t>
  </si>
  <si>
    <t>Coomat; Cooperagro; Sicredi</t>
  </si>
  <si>
    <t>Escola Municipal de Ensino Fundamental Artur Bernardo Schmith</t>
  </si>
  <si>
    <t>ini_420</t>
  </si>
  <si>
    <t>Operação 365</t>
  </si>
  <si>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</si>
  <si>
    <t>Cooperativas do Rio Grande do Sul; universidades</t>
  </si>
  <si>
    <t>Cooperativa Central Gaúcha Ltda; EMBRAPA</t>
  </si>
  <si>
    <t>https://www.embrapa.br/busca-de-noticias/-/noticia/79215546/qualificacao-tecnica-marca-o-lancamento-da-operacao-365</t>
  </si>
  <si>
    <t>https://www.cotrisal.com.br/videos/ver/53/operacao-365</t>
  </si>
  <si>
    <t>ini_421</t>
  </si>
  <si>
    <t xml:space="preserve">Seminário da Soja </t>
  </si>
  <si>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</si>
  <si>
    <t xml:space="preserve"> Associação dos Funcionários da Cotrisel</t>
  </si>
  <si>
    <t>Dori</t>
  </si>
  <si>
    <t>emp_091</t>
  </si>
  <si>
    <t>ini_422</t>
  </si>
  <si>
    <t>Pequenos Agricultores</t>
  </si>
  <si>
    <t>"Suprimentos - contratação de pequenos agricultores locais. (1) Compra de fornecedores, como de pequenos agricultores de amendoim."</t>
  </si>
  <si>
    <t>ini_423</t>
  </si>
  <si>
    <t>Doações - Dori</t>
  </si>
  <si>
    <t>"Operações - doação de produtos para instituições que atendem a crianças, adolescentes e jovens do entorno das unidades fabris. 2) Doação de produtos para instituições. "</t>
  </si>
  <si>
    <t>instituições</t>
  </si>
  <si>
    <t>Frigol</t>
  </si>
  <si>
    <t>emp_098</t>
  </si>
  <si>
    <t>ini_424</t>
  </si>
  <si>
    <t>Projeto Sistema de Restauração Florestal (Sirflor)</t>
  </si>
  <si>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</si>
  <si>
    <t xml:space="preserve">Software </t>
  </si>
  <si>
    <t>Governo do Estado do Pará; Ministério Público Federal</t>
  </si>
  <si>
    <t>ini_425</t>
  </si>
  <si>
    <t xml:space="preserve">Subprodutos Residuais </t>
  </si>
  <si>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</si>
  <si>
    <t>ini_426</t>
  </si>
  <si>
    <t>FriGol Farm</t>
  </si>
  <si>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</si>
  <si>
    <t xml:space="preserve">Software de análise socioambiental </t>
  </si>
  <si>
    <t>ini_427</t>
  </si>
  <si>
    <t xml:space="preserve">Ações Pontuais </t>
  </si>
  <si>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</si>
  <si>
    <t>PA; SP</t>
  </si>
  <si>
    <t>ini_428</t>
  </si>
  <si>
    <t>Saúde dos Colaboradores</t>
  </si>
  <si>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</si>
  <si>
    <t>ini_429</t>
  </si>
  <si>
    <t>Biomassa</t>
  </si>
  <si>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</si>
  <si>
    <t>Frimesa</t>
  </si>
  <si>
    <t>emp_097</t>
  </si>
  <si>
    <t>ini_430</t>
  </si>
  <si>
    <t>Programa Suíno Certificado</t>
  </si>
  <si>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</si>
  <si>
    <t>Relatório Sustentabilidade 2019/2020</t>
  </si>
  <si>
    <t>ini_431</t>
  </si>
  <si>
    <t>Parque Ambiental Frimesa</t>
  </si>
  <si>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</si>
  <si>
    <t>https://www.frimesa.com.br/pt/sobre/sustentabilidade</t>
  </si>
  <si>
    <t>ini_432</t>
  </si>
  <si>
    <t>Nosso mel</t>
  </si>
  <si>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</si>
  <si>
    <t>Coofamel</t>
  </si>
  <si>
    <t>Coofamel; Frimesa</t>
  </si>
  <si>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</si>
  <si>
    <t>ini_433</t>
  </si>
  <si>
    <t>Biodigestor</t>
  </si>
  <si>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</si>
  <si>
    <t>ini_434</t>
  </si>
  <si>
    <t>Energia solar</t>
  </si>
  <si>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</si>
  <si>
    <t>Gomes da Costa</t>
  </si>
  <si>
    <t>emp_094</t>
  </si>
  <si>
    <t>ini_435</t>
  </si>
  <si>
    <t>Doações de produtos excedentes</t>
  </si>
  <si>
    <t>"Brasil: Doações de produtos excedentes para diversas ONGs.  €24.361 " "Em 2023, um total de 9.377 unidades de conservas foram doadas a diferentes entidades e instituições sociais no Brasil, El Salvador e Itália, num valor total de 131.076 €."</t>
  </si>
  <si>
    <t>ONGs</t>
  </si>
  <si>
    <t>ini_436</t>
  </si>
  <si>
    <t xml:space="preserve">Pescadores artesanais </t>
  </si>
  <si>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</si>
  <si>
    <t>ini_437</t>
  </si>
  <si>
    <t>Programa Viva + Leve</t>
  </si>
  <si>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</si>
  <si>
    <t>MA; PE; RJ; RS; SP</t>
  </si>
  <si>
    <t>Grupo 3Corações</t>
  </si>
  <si>
    <t>emp_065</t>
  </si>
  <si>
    <t>ini_438</t>
  </si>
  <si>
    <t>"Doação de mais de 125 toneladas de produtos, para composição de cestas básicas que foram distribuídas a famílias carentes afetadas pela Covid-19 em todo o Brasil, através de parcerias com clientes, instituições sociais e ONGs."</t>
  </si>
  <si>
    <t>instituições sociais; ONGs</t>
  </si>
  <si>
    <t>ini_439</t>
  </si>
  <si>
    <t>Doações a ONGs</t>
  </si>
  <si>
    <t>"Doação de mais de 20 mil cestas básicas para 53 ONGs espalhadas em todo o Brasil."</t>
  </si>
  <si>
    <t xml:space="preserve"> 53 ONGs</t>
  </si>
  <si>
    <t>ini_440</t>
  </si>
  <si>
    <t>Doações FIEC/CE</t>
  </si>
  <si>
    <t>"Doação de cestas básicas para instituições sociais de Fortaleza através da FIEC/CE, juntamente com o IEL e sindicatos."</t>
  </si>
  <si>
    <t>Federação das Indústrias do Estado do Ceará (FIEC/CE)</t>
  </si>
  <si>
    <t>ini_441</t>
  </si>
  <si>
    <t>Doações produtores indígenas de café</t>
  </si>
  <si>
    <t>"Doação de cestas básicas para indígenas produtores de café em Rondônia, nas terras indígenas Sete de Setembro (Cacoal) e Rio Branco (Alta Floresta)."</t>
  </si>
  <si>
    <t>3Corações</t>
  </si>
  <si>
    <t>RO</t>
  </si>
  <si>
    <t>ini_442</t>
  </si>
  <si>
    <t>Doações a populações atingidas por fortes chuvas em Minas Gerais</t>
  </si>
  <si>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</si>
  <si>
    <t>Defesa Civil de Minas Gerais</t>
  </si>
  <si>
    <t>ini_443</t>
  </si>
  <si>
    <t>Projeto Florada</t>
  </si>
  <si>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</si>
  <si>
    <t>plataforma Florada Educa</t>
  </si>
  <si>
    <t>ini_444</t>
  </si>
  <si>
    <t>Projeto Tribos</t>
  </si>
  <si>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</si>
  <si>
    <t xml:space="preserve">Câmara Setorial do Café;  Coopaiter; Coopsur Funai; Doá Txatô; Emater-RO; Embrapa Rondônia; Funai; Garah Itxá; Secretaria de Agricultura de Alta Floresta; Secretaria de Agricultura de Cacoal; </t>
  </si>
  <si>
    <t>ini_445</t>
  </si>
  <si>
    <t>Doações à vítimas de desastres naturais</t>
  </si>
  <si>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</si>
  <si>
    <t>PE; RJ</t>
  </si>
  <si>
    <t>GTFoods</t>
  </si>
  <si>
    <t>emp_075</t>
  </si>
  <si>
    <t>ini_446</t>
  </si>
  <si>
    <t xml:space="preserve">"Em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 </t>
  </si>
  <si>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</si>
  <si>
    <t>ini_447</t>
  </si>
  <si>
    <t>Doação de Frango para Entidade de Caridade em Sarandi</t>
  </si>
  <si>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</si>
  <si>
    <t>Paróquia Nossa Senhora da Esperança de Sarandi-PR</t>
  </si>
  <si>
    <t>Organização Religiosa</t>
  </si>
  <si>
    <t>ini_448</t>
  </si>
  <si>
    <t>Academia Manejo</t>
  </si>
  <si>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</si>
  <si>
    <t>ini_449</t>
  </si>
  <si>
    <t>Implementação de sistemas fotovoltaicos em aviários de criação de aves</t>
  </si>
  <si>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</si>
  <si>
    <t>Caixa Econômica Federal (CEF)</t>
  </si>
  <si>
    <t>J. Macêdo</t>
  </si>
  <si>
    <t>emp_077</t>
  </si>
  <si>
    <t>ini_450</t>
  </si>
  <si>
    <t>"A J.Macêdo faz doação de produtos durante todo o ano para atendimento à comunidade."</t>
  </si>
  <si>
    <t>JBS</t>
  </si>
  <si>
    <t>emp_040</t>
  </si>
  <si>
    <t>ini_451</t>
  </si>
  <si>
    <t>Plataforma Pecuária Transparente</t>
  </si>
  <si>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</si>
  <si>
    <t>plataforma online e blockchain</t>
  </si>
  <si>
    <t>ini_452</t>
  </si>
  <si>
    <t xml:space="preserve">Fazer o bem faz bem </t>
  </si>
  <si>
    <t xml:space="preserve">"Em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 </t>
  </si>
  <si>
    <t>Grant Thornton; Tyno Consultoria</t>
  </si>
  <si>
    <t>JBS; instituições do terceiro setor; ONGs</t>
  </si>
  <si>
    <t>AC; BA; CE; GO; MT; MS; MG; PA; PR; PE; RJ; RS; RO; SC; SP; TO</t>
  </si>
  <si>
    <t>https://jbs.com.br/fazerobemfazbem/acaocontrafome/</t>
  </si>
  <si>
    <t>ini_453</t>
  </si>
  <si>
    <t>Criação do Fundo JBS pela Amazônia</t>
  </si>
  <si>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</si>
  <si>
    <t>https://fundojbsamazonia.org/</t>
  </si>
  <si>
    <t>ini_454</t>
  </si>
  <si>
    <t xml:space="preserve">Amigos do Bem: Sertão NE 
</t>
  </si>
  <si>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</si>
  <si>
    <t>Amigos do Bem</t>
  </si>
  <si>
    <t>BA; CE; PE</t>
  </si>
  <si>
    <t>https://www.amigosdobem.org/sobre-nos/#SobreNOSSAHISTORIA%E2%80%8B</t>
  </si>
  <si>
    <t>ini_455</t>
  </si>
  <si>
    <t>Escritórios Verdes</t>
  </si>
  <si>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</si>
  <si>
    <t xml:space="preserve"> Banco do Brasil; Bradesco</t>
  </si>
  <si>
    <t>GO; MS; PA; RO</t>
  </si>
  <si>
    <t>ini_456</t>
  </si>
  <si>
    <t xml:space="preserve">Fazenda Nota 10 </t>
  </si>
  <si>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</si>
  <si>
    <t>plataforma de software exclusiva</t>
  </si>
  <si>
    <t>Instituto Inttegra</t>
  </si>
  <si>
    <t>Friboi</t>
  </si>
  <si>
    <t>ini_457</t>
  </si>
  <si>
    <t>Rebanho Araguaia</t>
  </si>
  <si>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</si>
  <si>
    <t>Liga do Araguaia</t>
  </si>
  <si>
    <t>ini_458</t>
  </si>
  <si>
    <t xml:space="preserve">Grupo de Trabalho da Pecuária Sustentável (GTPS) </t>
  </si>
  <si>
    <t xml:space="preserve">"Friboi: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 </t>
  </si>
  <si>
    <t>Grupo de Trabalho da Pecuária Sustentável (GTPS); ONG Solidaridad</t>
  </si>
  <si>
    <t>ini_459</t>
  </si>
  <si>
    <t>Campo Forte Fertilizantes</t>
  </si>
  <si>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</si>
  <si>
    <t>ini_460</t>
  </si>
  <si>
    <t xml:space="preserve">Desperdício de Alimentos </t>
  </si>
  <si>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</si>
  <si>
    <t>ini_461</t>
  </si>
  <si>
    <t>Iniciativa Bossa Nova</t>
  </si>
  <si>
    <t>"Iniciativa de parceria da JBS focada em liderar a implementação de soluções escaláveis que aceleram a eliminação do desmatamento das cadeias de fornecimento de carne bovina na Amazônia e no Cerrado"</t>
  </si>
  <si>
    <t>ini_462</t>
  </si>
  <si>
    <t>JUNTOS: Pessoas + Florestas + Pecuária</t>
  </si>
  <si>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</si>
  <si>
    <t>ini_463</t>
  </si>
  <si>
    <t>RestaurAmazônia</t>
  </si>
  <si>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</si>
  <si>
    <t>Elanco Foundation; Fundação Solidaridad</t>
  </si>
  <si>
    <t>ini_464</t>
  </si>
  <si>
    <t>Economias Comunitárias Inclusivas</t>
  </si>
  <si>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</si>
  <si>
    <t>AP</t>
  </si>
  <si>
    <t>M. Dias Branco</t>
  </si>
  <si>
    <t>emp_055</t>
  </si>
  <si>
    <t>ini_465</t>
  </si>
  <si>
    <t>Nutrir o amanhã</t>
  </si>
  <si>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</si>
  <si>
    <t>Instituições parceiras</t>
  </si>
  <si>
    <t>Relatório Anual Integrado 2022</t>
  </si>
  <si>
    <t>Relatório Anual Integrado 2023</t>
  </si>
  <si>
    <t>https://mdiasbranco.com.br/nutrir-o-amanha-m-dias-branco-lanca-programa-de-doacao-e-combate-a-fome/</t>
  </si>
  <si>
    <t>ini_466</t>
  </si>
  <si>
    <t>Doação para Cruz vermelha Brasileira</t>
  </si>
  <si>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</si>
  <si>
    <t>Cruz Vermelha Brasileira</t>
  </si>
  <si>
    <t>ini_467</t>
  </si>
  <si>
    <t>Doação Mesa Brasil SESC</t>
  </si>
  <si>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</si>
  <si>
    <t>ini_468</t>
  </si>
  <si>
    <t>Doação CUFA</t>
  </si>
  <si>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</si>
  <si>
    <t>BA; PB; PE; RJ; SP</t>
  </si>
  <si>
    <t>ini_469</t>
  </si>
  <si>
    <t>Doação Obras Sociais Irmã Dulce (Osid)</t>
  </si>
  <si>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</si>
  <si>
    <t>Obras Sociais Irmã Dulce (Osid)</t>
  </si>
  <si>
    <t>ini_470</t>
  </si>
  <si>
    <t>Doação Associação Remar do Brasil</t>
  </si>
  <si>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</si>
  <si>
    <t>Associação Remar do Brasil</t>
  </si>
  <si>
    <t>ES; MG; PR; RJ; SC; SP</t>
  </si>
  <si>
    <t>ini_471</t>
  </si>
  <si>
    <t>Doação Ação Social São Roque</t>
  </si>
  <si>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</si>
  <si>
    <t>Ação Social São Roque</t>
  </si>
  <si>
    <t>ini_472</t>
  </si>
  <si>
    <t>Doação Transforma Brasil</t>
  </si>
  <si>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</si>
  <si>
    <t>Transforma BrASIL</t>
  </si>
  <si>
    <t>BA; PE; RN</t>
  </si>
  <si>
    <t>ini_473</t>
  </si>
  <si>
    <t>Doação Banco de Alimentos de São Caetano do Sul</t>
  </si>
  <si>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</si>
  <si>
    <t>Banco de alimentos de São Caetano do Sul</t>
  </si>
  <si>
    <t>ini_474</t>
  </si>
  <si>
    <t>Doação Instituto da Primeira Infância (Iprede)</t>
  </si>
  <si>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</si>
  <si>
    <t>Instituto da Primeira Infância (Iprede)</t>
  </si>
  <si>
    <t>ini_475</t>
  </si>
  <si>
    <t>Energia renovável</t>
  </si>
  <si>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</si>
  <si>
    <t>M. Dias Branco; Serena</t>
  </si>
  <si>
    <t>Marfrig</t>
  </si>
  <si>
    <t>emp_042</t>
  </si>
  <si>
    <t>ini_476</t>
  </si>
  <si>
    <t>Ações de restauração</t>
  </si>
  <si>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</si>
  <si>
    <t>Marfrig, regreen</t>
  </si>
  <si>
    <t>Relatório de Sustentabilidade de 2023</t>
  </si>
  <si>
    <t>ini_005</t>
  </si>
  <si>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</si>
  <si>
    <t>ADM; Burguer King</t>
  </si>
  <si>
    <t>Banco de Alimentos de São Paulo; ONG Rio da Paz; SESC Mesa Brasil São Paulo e Rio de Janeiro</t>
  </si>
  <si>
    <t>ini_477</t>
  </si>
  <si>
    <t>Programa Marfrig Verde+</t>
  </si>
  <si>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</si>
  <si>
    <t>Relatório Anual de 2021</t>
  </si>
  <si>
    <t>Relatório de Sustentabilidade de 2022</t>
  </si>
  <si>
    <t>ini_478</t>
  </si>
  <si>
    <t>Doaçõa de alimentos ao Hospital de Amor</t>
  </si>
  <si>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</si>
  <si>
    <t>ini_479</t>
  </si>
  <si>
    <t>Marfrig Club</t>
  </si>
  <si>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</si>
  <si>
    <t>ini_480</t>
  </si>
  <si>
    <t>Programa Bezerro Sustentável</t>
  </si>
  <si>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</si>
  <si>
    <t>Iniciativa para o Comércio Sustentável (IDH).</t>
  </si>
  <si>
    <t>Iniciativa para o Comércio Sustentável (IDH); Marfrig</t>
  </si>
  <si>
    <t>ini_481</t>
  </si>
  <si>
    <t xml:space="preserve">Investimentos com fundo &amp;Green Fund        </t>
  </si>
  <si>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</si>
  <si>
    <t>&amp;Green Fund</t>
  </si>
  <si>
    <t>&amp;Green Fund; Marfirg</t>
  </si>
  <si>
    <t>ini_482</t>
  </si>
  <si>
    <t>Biomas</t>
  </si>
  <si>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</si>
  <si>
    <t>Itaú, Rabobank, Santander, Suzano e Vale</t>
  </si>
  <si>
    <t>Minerva Foods</t>
  </si>
  <si>
    <t>emp_048</t>
  </si>
  <si>
    <t>ini_483</t>
  </si>
  <si>
    <t>"Doação de mais de 1500 cestas básicas"</t>
  </si>
  <si>
    <t>ini_484</t>
  </si>
  <si>
    <t>Doações Projeto Arrastão</t>
  </si>
  <si>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</si>
  <si>
    <t>Minerva Foods; Projeto Arrastão</t>
  </si>
  <si>
    <t>ini_485</t>
  </si>
  <si>
    <t>Programa Renove</t>
  </si>
  <si>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</si>
  <si>
    <t xml:space="preserve">Centro de Estudos do Agronegócio da Fundação Getúlio Vargas (FGV Agro), Embrapa </t>
  </si>
  <si>
    <t>ini_486</t>
  </si>
  <si>
    <t>Doação de Rúmen</t>
  </si>
  <si>
    <t>"Ação de doação de uma tonelada de rúmen ao projeto horta, em Barretos (SP), parte do projeto Minerva Solidário"</t>
  </si>
  <si>
    <t>ini_487</t>
  </si>
  <si>
    <t>Apoio a Bluebell</t>
  </si>
  <si>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</si>
  <si>
    <t>Bluebell Index</t>
  </si>
  <si>
    <t>https://exame.com/future-of-money/startup-une-creditos-de-carbono-com-blockchain-para-incentivar-negociacao-e-preservacao-ambiental/</t>
  </si>
  <si>
    <t>ini_488</t>
  </si>
  <si>
    <t>Projeto Floresta Viva</t>
  </si>
  <si>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</si>
  <si>
    <t>ini_489</t>
  </si>
  <si>
    <t>Sistema de fertirrigação</t>
  </si>
  <si>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</si>
  <si>
    <t>GO; SP; TO</t>
  </si>
  <si>
    <t>ini_490</t>
  </si>
  <si>
    <t>Integração Lavoura-Pecuária-Floresta (ILPF)</t>
  </si>
  <si>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</si>
  <si>
    <t>ini_491</t>
  </si>
  <si>
    <t>Projeto Carbono</t>
  </si>
  <si>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</si>
  <si>
    <t>Biofílica Ambipar Environment</t>
  </si>
  <si>
    <t>Biofílica Ambipar Environment; Minerva Foods</t>
  </si>
  <si>
    <t>Nestlé</t>
  </si>
  <si>
    <t>emp_050</t>
  </si>
  <si>
    <t>ini_492</t>
  </si>
  <si>
    <t>Nescafé Plan 2030</t>
  </si>
  <si>
    <r>
      <rPr>
        <rFont val="Calibri"/>
        <color theme="1"/>
        <sz val="11.0"/>
      </rPr>
      <t xml:space="preserve">"As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t>
    </r>
    <r>
      <rPr>
        <rFont val="Calibri"/>
        <b/>
        <color theme="1"/>
        <sz val="11.0"/>
      </rPr>
      <t>Brasil</t>
    </r>
    <r>
      <rPr>
        <rFont val="Calibri"/>
        <color theme="1"/>
        <sz val="11.0"/>
      </rPr>
      <t>, Colômbia, Costa do Marfim, Honduras, Indonésia, México e Vietnã. Na Costa do Marfim, Indonésia e México, a marca está pilotando um mecanismo de apoio financeiro para ajudar os pequenos agricultores a acelerar a transição para a agricultura regenerativa."</t>
    </r>
  </si>
  <si>
    <t>BA; MG; SP</t>
  </si>
  <si>
    <t>Relatório de Criação de Valor Compartilhado e Sustentabilidade 2022</t>
  </si>
  <si>
    <t>https://www.nestle.com.br/sites/g/files/pydnoa436/files/2022-08/Dolce%20Gusto%20%E2%80%93%20Montes%20Claros.pdf</t>
  </si>
  <si>
    <t>https://www.nestle.com.br/sites/g/files/pydnoa436/files/2022-08/Araras.pdf</t>
  </si>
  <si>
    <t>https://www.nestle.com.br/sites/g/files/pydnoa436/files/2022-08/Cordeir%C3%B3polis.pdf</t>
  </si>
  <si>
    <t>https://www.nestle.com.br/sites/g/files/pydnoa436/files/2022-08/Feira%20Santana.pdf</t>
  </si>
  <si>
    <t>ini_493</t>
  </si>
  <si>
    <t>Colmeia</t>
  </si>
  <si>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</si>
  <si>
    <t>BA; MG</t>
  </si>
  <si>
    <t>ini_494</t>
  </si>
  <si>
    <t>Força da Moça do Campo</t>
  </si>
  <si>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</si>
  <si>
    <t>ini_495</t>
  </si>
  <si>
    <t>Programa Global de Reflorestamento - Nestlé</t>
  </si>
  <si>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</si>
  <si>
    <t>Relatório de Criação de Valor Compartilhado 2023</t>
  </si>
  <si>
    <t>ini_496</t>
  </si>
  <si>
    <t>Nestlé Cocoa Plan</t>
  </si>
  <si>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</si>
  <si>
    <t>BA; ES; PA; SP; TO</t>
  </si>
  <si>
    <t>https://www.nestle.com.br/sustentabilidade/cadeia-produtiva/sustentabilidade-e-rastreabilidade-na-cadeia-do-cacau</t>
  </si>
  <si>
    <t>ini_497</t>
  </si>
  <si>
    <t>Nature por NINHO</t>
  </si>
  <si>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</si>
  <si>
    <t>GO; MG; PR; SP</t>
  </si>
  <si>
    <t>Pamplona</t>
  </si>
  <si>
    <t>emp_088</t>
  </si>
  <si>
    <t>ini_498</t>
  </si>
  <si>
    <t>Projeto Mais Água</t>
  </si>
  <si>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</si>
  <si>
    <t>GO; MT; MS; PR; RS; SC; SP</t>
  </si>
  <si>
    <t>Pastificio Selmi</t>
  </si>
  <si>
    <t>emp_089</t>
  </si>
  <si>
    <t>ini_499</t>
  </si>
  <si>
    <t>Doação de retalhos de macarrão para entidades sem fins lucrativos</t>
  </si>
  <si>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</si>
  <si>
    <t>mais de 250 instituições</t>
  </si>
  <si>
    <t>https://pt-br.selmi.com.br/relatorio-sustentabilidade-2020.pdf</t>
  </si>
  <si>
    <t>https://es.selmi.com.br/relatorio-sustentabilidade-2021.pdf</t>
  </si>
  <si>
    <t>https://es.selmi.com.br/RELAT%C3%93RIO_SUSTENTABILIDADE_2022_05-06_DIG.pdf</t>
  </si>
  <si>
    <t>https://es.selmi.com.br/relatorio-sustentabilidade-2023.pdf</t>
  </si>
  <si>
    <t>ini_500</t>
  </si>
  <si>
    <t>Apoio a ações sociais durante a pandemia</t>
  </si>
  <si>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</si>
  <si>
    <t xml:space="preserve">instituições </t>
  </si>
  <si>
    <t>ini_501</t>
  </si>
  <si>
    <t>Campanhas de solidariedade - Pastificio Selmi</t>
  </si>
  <si>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</si>
  <si>
    <t>Central Única das Favelas (CUFA); Fundo das Nações Unidas para Infançia (Unicef); Organização Gerando Falcões</t>
  </si>
  <si>
    <t>ini_502</t>
  </si>
  <si>
    <t>Campanha Marmitas do Bem</t>
  </si>
  <si>
    <t>"A campanha Marmitas do Bem, liderada pelo restaurante Jamile, dos sócios Henrique Fogaça, Alberto Hiar e Anuar Tacach, também recebeu a contribuição da Selmi de 3 toneladas de espaguete Renata para somar na distribuição de marmitas para pessoas em situação de rua."</t>
  </si>
  <si>
    <t>Restaurante Jamile</t>
  </si>
  <si>
    <t>ini_503</t>
  </si>
  <si>
    <t>Doação de alimentos Campinas</t>
  </si>
  <si>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</si>
  <si>
    <t>Vôlei Renata</t>
  </si>
  <si>
    <t>Banco Municipal de Alimentos de Campinas</t>
  </si>
  <si>
    <t>Sociedade de Economia Mista</t>
  </si>
  <si>
    <t>ini_504</t>
  </si>
  <si>
    <t>Doação de alimentos em parceria com Tórtima Advogados</t>
  </si>
  <si>
    <t>"Já em parceria com o escritório Tórtima Stettinger Advogados Associados, foram doadas 10 toneladas para diferentes instituições campineiras."</t>
  </si>
  <si>
    <t>Tórtima Stettinger Advogados Associados</t>
  </si>
  <si>
    <t>instituições campineiras</t>
  </si>
  <si>
    <t>ini_505</t>
  </si>
  <si>
    <t>Doação de alimentos parceria com Vôlei Renata</t>
  </si>
  <si>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</si>
  <si>
    <t>G10 das Favelas</t>
  </si>
  <si>
    <t>ini_506</t>
  </si>
  <si>
    <t>Caldeira de Biomassa</t>
  </si>
  <si>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</si>
  <si>
    <t>caldeiras para geração de energia limpa</t>
  </si>
  <si>
    <t>Piracanjuba</t>
  </si>
  <si>
    <t>emp_063</t>
  </si>
  <si>
    <t>ini_507</t>
  </si>
  <si>
    <t>Doações e assistência a creches e instituições de caridade</t>
  </si>
  <si>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</si>
  <si>
    <t>GO; MG; PR; RS; RJ; SC; SP</t>
  </si>
  <si>
    <t>ini_508</t>
  </si>
  <si>
    <t>Doação no Dia Mundial do Leite</t>
  </si>
  <si>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</si>
  <si>
    <t>Sindicato das Indústrias de Laticínios no estado de Goiás (Sindileite)</t>
  </si>
  <si>
    <t>Organização das Voluntárias de Goiás (OVG)</t>
  </si>
  <si>
    <t>ini_509</t>
  </si>
  <si>
    <t>Ajudantes do Papai Noel</t>
  </si>
  <si>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</si>
  <si>
    <t>GO; PR; RJ; RS; SC; SP</t>
  </si>
  <si>
    <t>ini_510</t>
  </si>
  <si>
    <t xml:space="preserve">Campanha Mães que Nutrem </t>
  </si>
  <si>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</si>
  <si>
    <t>ini_511</t>
  </si>
  <si>
    <t>Programa Piracanjuba ProCampo</t>
  </si>
  <si>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</si>
  <si>
    <t>ini_512</t>
  </si>
  <si>
    <t xml:space="preserve">Biogás </t>
  </si>
  <si>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</si>
  <si>
    <t>GO; RJ</t>
  </si>
  <si>
    <t>São Salvador Alimentos</t>
  </si>
  <si>
    <t>emp_076</t>
  </si>
  <si>
    <t>ini_513</t>
  </si>
  <si>
    <t>Programa Indique um Amigo</t>
  </si>
  <si>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</si>
  <si>
    <t>ini_514</t>
  </si>
  <si>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</si>
  <si>
    <t>Casa de Apoio São Luiz; Central única das Favelas (CUFA); Federação das Indústrias do Estado de Goiás (FIEG); Hospital Araújo Jorge,; Lar de Idosos em Itaberaí e Nova Veneza; Programa AABB Comunidade; Vila São Cottolengo</t>
  </si>
  <si>
    <t>GO; SC</t>
  </si>
  <si>
    <t>ini_515</t>
  </si>
  <si>
    <t>Natal da Cufa</t>
  </si>
  <si>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</si>
  <si>
    <t>ini_516</t>
  </si>
  <si>
    <t xml:space="preserve">Doações a De Mãos Dadas </t>
  </si>
  <si>
    <t>"Em 29 de outubro de 2022, com a instituição De Mãos Dadas, efetuamos a entrega de 350 frangos para famílias carentes do bairro Alto da Boa Vista, em Aparecida de Goiânia (GO)."</t>
  </si>
  <si>
    <t>De Mãos Dadas</t>
  </si>
  <si>
    <t>ini_517</t>
  </si>
  <si>
    <t>Plantio de árvores nativas</t>
  </si>
  <si>
    <t xml:space="preserve">"Estabelecemos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 </t>
  </si>
  <si>
    <t>ini_518</t>
  </si>
  <si>
    <t>Sopa Solidária</t>
  </si>
  <si>
    <t>"A nossa Sopa Solidária também chegou a sua 14ª edição. Através dessa campanha, alimentamos e mantemos famílias aquecidas no período do inverno. Em 2023, distribuímos sopas durante oito dias, o que beneficiou mais de 8.400 pessoas."</t>
  </si>
  <si>
    <t>ini_519</t>
  </si>
  <si>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</si>
  <si>
    <t>ini_520</t>
  </si>
  <si>
    <t>Recuperação de nascentes</t>
  </si>
  <si>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</si>
  <si>
    <t>Ministério Público do Estado de Goiás; Prefeitura Municipal de Itaberaí; São Salvador Alimentos; Secretaria de Meio Ambiente de Itaberaí</t>
  </si>
  <si>
    <t>Solar Bebidas</t>
  </si>
  <si>
    <t>emp_062</t>
  </si>
  <si>
    <t>ini_521</t>
  </si>
  <si>
    <t>Doações durante a pandemia</t>
  </si>
  <si>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</si>
  <si>
    <t>AL; BA; CE; GO; MA; MT; PB; PE; PI; RN; SE; TO</t>
  </si>
  <si>
    <t>ini_522</t>
  </si>
  <si>
    <t xml:space="preserve">"Trata-se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 </t>
  </si>
  <si>
    <t>Coca-Cola Brasil; Instituto Coca-Cola Brasil</t>
  </si>
  <si>
    <t>Coca-Cola Brasil; Instituto Coca-Cola Brasil; Solar Bebidas</t>
  </si>
  <si>
    <t>AM; BA; CE; PA; PE; PI</t>
  </si>
  <si>
    <r>
      <rPr>
        <rFont val="Calibri"/>
        <color rgb="FF1155CC"/>
        <sz val="11.0"/>
        <u/>
      </rPr>
      <t>Relatório de Sustentabilidade 202</t>
    </r>
    <r>
      <rPr>
        <rFont val="Calibri"/>
        <color rgb="FF1155CC"/>
        <sz val="11.0"/>
      </rPr>
      <t>3</t>
    </r>
  </si>
  <si>
    <t>ini_523</t>
  </si>
  <si>
    <t>Adote uma marmita</t>
  </si>
  <si>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</si>
  <si>
    <t>Prefeitura de Maracanaú (CE)</t>
  </si>
  <si>
    <t>ini_524</t>
  </si>
  <si>
    <t>Socorro a pessoas desabrigadas</t>
  </si>
  <si>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</si>
  <si>
    <t>Shopping Iguatemi Fortaleza; Solar Bebidas</t>
  </si>
  <si>
    <t>ini_525</t>
  </si>
  <si>
    <t>O Bom Velhinho</t>
  </si>
  <si>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</si>
  <si>
    <t>ini_526</t>
  </si>
  <si>
    <t>Apoio a vítimas de chuvas na Bahia</t>
  </si>
  <si>
    <t>"Em janeiro de 2022, atuamos de maneira proativa na doação de cerca de 200 mil litros de água para as vítimas das fortes chuvas que atingiram a Bahia."</t>
  </si>
  <si>
    <t>ini_527</t>
  </si>
  <si>
    <t>Apoio a vítimas de temporais no Maranhão</t>
  </si>
  <si>
    <t>"No mesmo mês, entregamos mais de 13 toneladas de alimentos a famílias atingidas pelos temporais no Maranhão."</t>
  </si>
  <si>
    <t>ini_528</t>
  </si>
  <si>
    <t>Apoio as populações de Pernambuco e Alagoas</t>
  </si>
  <si>
    <t>"Prestamos apoio a populações de Pernambuco e Alagoas, com doação emergencial de cestas básicas e bebidas para famílias atingidas pelas chuvas. Foram mais de 3,5 mil cestas e 60 mil litros de bebidas."</t>
  </si>
  <si>
    <t>AL; PE</t>
  </si>
  <si>
    <t>ini_529</t>
  </si>
  <si>
    <t>Águas pra Educar</t>
  </si>
  <si>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</si>
  <si>
    <t>Água Ama; Banco Nacional de Desenvolvimento Econômico e Social (BNDES); Coca-Cola Brasil; Fundación Avina; Solar Bebidas</t>
  </si>
  <si>
    <t>Cáritas Brasileira Nordeste 2</t>
  </si>
  <si>
    <t>PB; PE; RN</t>
  </si>
  <si>
    <t>https://caritasdepesqueira.org.br/2018/09/capacitacao-do-projeto-aguas-para-educar-trabalha-a-educacao-contextualizada-na-convivencia-com-semiarido/</t>
  </si>
  <si>
    <t>ini_530</t>
  </si>
  <si>
    <t>Restaurantes Populares</t>
  </si>
  <si>
    <t>"Em parceria com a Secretaria de Assistência Social, Trabalho, Emprego e Renda do Estado do Pará, por meio do qual fornecemos refeições no Restaurante Comunitário Prato Popular, em Belém. Em 2023, foram oferecidas 60.122 refeições, no total."</t>
  </si>
  <si>
    <t>Secretaria de Assistência Social, Trabalho, Emprego e Renda do Estado do Pará</t>
  </si>
  <si>
    <r>
      <rPr>
        <rFont val="Calibri"/>
        <color rgb="FF1155CC"/>
        <sz val="11.0"/>
        <u/>
      </rPr>
      <t>Relatório de Sustentabilidade 202</t>
    </r>
    <r>
      <rPr>
        <rFont val="Calibri"/>
        <color rgb="FF1155CC"/>
        <sz val="11.0"/>
      </rPr>
      <t>3</t>
    </r>
  </si>
  <si>
    <t>ini_531</t>
  </si>
  <si>
    <t>Apoio a vítimas de enchentes em Rio Branco (AC)</t>
  </si>
  <si>
    <t>"Doamos 11 mil litros de água mineral à Prefeitura de Rio Branco (AC), após as enchentes de 2023, que atingiram 38 mil pessoas."</t>
  </si>
  <si>
    <t>Prefeitura de Rio Branco (AC)</t>
  </si>
  <si>
    <t>AC</t>
  </si>
  <si>
    <r>
      <rPr>
        <rFont val="Calibri"/>
        <color rgb="FF1155CC"/>
        <sz val="11.0"/>
        <u/>
      </rPr>
      <t>Relatório de Sustentabilidade 202</t>
    </r>
    <r>
      <rPr>
        <rFont val="Calibri"/>
        <color rgb="FF1155CC"/>
        <sz val="11.0"/>
      </rPr>
      <t>3</t>
    </r>
  </si>
  <si>
    <t>ini_532</t>
  </si>
  <si>
    <t>Apoio a vítimas de enchentes no Maranhão</t>
  </si>
  <si>
    <t>"Doamos 21 mil litros de água mineral às famílias atingidas pelas enchentes no Maranhão em 2023."</t>
  </si>
  <si>
    <r>
      <rPr>
        <rFont val="Calibri"/>
        <color rgb="FF1155CC"/>
        <sz val="11.0"/>
        <u/>
      </rPr>
      <t>Relatório de Sustentabilidade 202</t>
    </r>
    <r>
      <rPr>
        <rFont val="Calibri"/>
        <color rgb="FF1155CC"/>
        <sz val="11.0"/>
      </rPr>
      <t>3</t>
    </r>
  </si>
  <si>
    <t>ini_533</t>
  </si>
  <si>
    <t>Apoio a vítimas de fortes chuvas no Alagoas</t>
  </si>
  <si>
    <t>"Doamos mil cestas básicas e 24 mil litros de água mineral para famílias atingidas pelas fortes chuvas no estado de Alagoas em 2023. Cerca de 25 mil pessoas estavam desalojadas em função das enchentes."</t>
  </si>
  <si>
    <r>
      <rPr>
        <rFont val="Calibri"/>
        <color rgb="FF1155CC"/>
        <sz val="11.0"/>
        <u/>
      </rPr>
      <t>Relatório de Sustentabilidade 202</t>
    </r>
    <r>
      <rPr>
        <rFont val="Calibri"/>
        <color rgb="FF1155CC"/>
        <sz val="11.0"/>
      </rPr>
      <t>3</t>
    </r>
  </si>
  <si>
    <t>ini_534</t>
  </si>
  <si>
    <t>Ceará sem Fome</t>
  </si>
  <si>
    <t>"Realizamos, em parceria com o governo do Estado, o Ceará sem Fome. A ação reuniu 33 cozinhas comunitárias de Maracanaú e Pacatuba, atendendo mais de 200 famílias."</t>
  </si>
  <si>
    <t>Governo do Estado do Ceará</t>
  </si>
  <si>
    <r>
      <rPr>
        <rFont val="Calibri"/>
        <color rgb="FF1155CC"/>
        <sz val="11.0"/>
        <u/>
      </rPr>
      <t>Relatório de Sustentabilidade 202</t>
    </r>
    <r>
      <rPr>
        <rFont val="Calibri"/>
        <color rgb="FF1155CC"/>
        <sz val="11.0"/>
      </rPr>
      <t>3</t>
    </r>
  </si>
  <si>
    <t>ini_535</t>
  </si>
  <si>
    <t xml:space="preserve">Parceria Mesa Brasil Sesc </t>
  </si>
  <si>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</si>
  <si>
    <t>AL; BA; CE; MA; PE</t>
  </si>
  <si>
    <t>ini_536</t>
  </si>
  <si>
    <t>Usina solar à vista</t>
  </si>
  <si>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</si>
  <si>
    <t>BA; MT</t>
  </si>
  <si>
    <r>
      <rPr>
        <rFont val="Calibri"/>
        <color rgb="FF1155CC"/>
        <sz val="11.0"/>
        <u/>
      </rPr>
      <t>Relatório de Sustentabilidade 202</t>
    </r>
    <r>
      <rPr>
        <rFont val="Calibri"/>
        <color rgb="FF1155CC"/>
        <sz val="11.0"/>
      </rPr>
      <t>3</t>
    </r>
  </si>
  <si>
    <t>ini_537</t>
  </si>
  <si>
    <t>Açai: mais energia e menos resíduo</t>
  </si>
  <si>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</si>
  <si>
    <t>Assaí</t>
  </si>
  <si>
    <t>emp_045</t>
  </si>
  <si>
    <t>Comércio varejista</t>
  </si>
  <si>
    <t>ini_538</t>
  </si>
  <si>
    <t>Mais Organicos no Assaí</t>
  </si>
  <si>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</si>
  <si>
    <t>GPA</t>
  </si>
  <si>
    <t>emp_046</t>
  </si>
  <si>
    <t>ini_539</t>
  </si>
  <si>
    <t>Parceria Contra o Desperdício</t>
  </si>
  <si>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</si>
  <si>
    <t>Connecting food; Compre Bem; Extra; Instituto GPA; Pão de Açúcar</t>
  </si>
  <si>
    <t>Bancos de alimentos; instituições sociais</t>
  </si>
  <si>
    <t>https://mosaico.gife.org.br/base-de-projetos/2056-parceria-contra-o-desperdicio</t>
  </si>
  <si>
    <t>ini_540</t>
  </si>
  <si>
    <t>Acreditar e ajudar faz bem</t>
  </si>
  <si>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</si>
  <si>
    <t>ini_541</t>
  </si>
  <si>
    <t>Copa Nordeste</t>
  </si>
  <si>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</si>
  <si>
    <t>AL; BA; CE; MA; PB; PI; RN; SE</t>
  </si>
  <si>
    <t>https://exame.com/bussola/assai-vai-doar-r-55-mi-em-alimentos-para-mais-de-100-mil-familias/</t>
  </si>
  <si>
    <t>ini_542</t>
  </si>
  <si>
    <t>Brasileirão</t>
  </si>
  <si>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</si>
  <si>
    <t>Instituição cadastrada no Assaí</t>
  </si>
  <si>
    <t>ini_543</t>
  </si>
  <si>
    <t xml:space="preserve">Campanha da Solidariedade - Assaí </t>
  </si>
  <si>
    <t>"Continuamos engajando nossos(as) clientes, através de campanhas de mobilização para arrecadação de produtos, como a Campanha da Solidariedade, o Natal da Solidariedade, além de campanhas emergenciais pontuais."</t>
  </si>
  <si>
    <t>ini_544</t>
  </si>
  <si>
    <t>Natal da Solidariedade</t>
  </si>
  <si>
    <t>ini_545</t>
  </si>
  <si>
    <t>Tem Gente Com Fome</t>
  </si>
  <si>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</si>
  <si>
    <t>UNEAFRO</t>
  </si>
  <si>
    <t>ini_546</t>
  </si>
  <si>
    <t xml:space="preserve">Doações CUFA </t>
  </si>
  <si>
    <t xml:space="preserve">"Outro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 </t>
  </si>
  <si>
    <t>Central Única das Favelas</t>
  </si>
  <si>
    <t>ini_547</t>
  </si>
  <si>
    <t>Destino Certo</t>
  </si>
  <si>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</si>
  <si>
    <t>Connecting Food</t>
  </si>
  <si>
    <t>Bancos de alimentos; instituições</t>
  </si>
  <si>
    <t>https://www.assai.com.br/revista/setembro-outubro-2022-edicao-53/destino-certo-contra-o-desperdicio-de-alimentos</t>
  </si>
  <si>
    <t>ini_548</t>
  </si>
  <si>
    <t>Chuvas</t>
  </si>
  <si>
    <t>"Ao fim do ano, durante o período intenso de chuvas na Bahia, o Assaí iniciou forte apoio às famílias impactadas através de doações que somaram, em 2021, mais de 100 toneladas em alimentos, além de arrecadações junto aos(às) clientes em 18 lojas do Estado."</t>
  </si>
  <si>
    <t>Bemol</t>
  </si>
  <si>
    <t>emp_081</t>
  </si>
  <si>
    <t>ini_549</t>
  </si>
  <si>
    <t>Sítio PANC (Plantas Alimentícias Não Convencionais)</t>
  </si>
  <si>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</si>
  <si>
    <t>vídeos educativos no Youtube</t>
  </si>
  <si>
    <t>Sítio PANC (Plantas Alimentícias Não Convencionais); Valdely Kinupp</t>
  </si>
  <si>
    <t>https://www.valdelykinupp.com.br/sitiopanc</t>
  </si>
  <si>
    <t>ini_550</t>
  </si>
  <si>
    <t xml:space="preserve">Ação Pandemia </t>
  </si>
  <si>
    <t>"Durante a pandemia, a enviou ajuda para todos os estados onde atua. Entre 2020 e 2021 foram doados R$ 1.517.650 em EPIs, cestas básicas, colchões, dentre outros produtos para a população da capital e do interior."</t>
  </si>
  <si>
    <t>AC; AM; RO; RR</t>
  </si>
  <si>
    <t>ini_551</t>
  </si>
  <si>
    <t>Doações para instituições</t>
  </si>
  <si>
    <t>"Em 2021 foram doados produtos que a preço de custo totalizaram R$ 9.198.812,53 para as instituições: Mamãe Margarida; Pestalozzi Pvh; Pró Menor; Dom Bosco; Diocese de Roraima; Educandário Santa Margarida; Lar do Amor; Fazenda Esperança; Assoc. de Pais e Amigos e Mesa Brasil - Sesc"</t>
  </si>
  <si>
    <t>Assoc. de Pais e Amigos ; Diocese de Roraima; Dom Bosco; Educandário Santa Margarida; Fazenda Esperança; Lar do Amor; Mamãe Margarida; Mesa Brasil - Sesc; Pestalozzi Pvh; Pró Menor</t>
  </si>
  <si>
    <t>Cencosud</t>
  </si>
  <si>
    <t>emp_059</t>
  </si>
  <si>
    <t>ini_552</t>
  </si>
  <si>
    <t xml:space="preserve">Doação de Alimentos </t>
  </si>
  <si>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</si>
  <si>
    <t>Bretas; GBarbosa; Prezunic</t>
  </si>
  <si>
    <t xml:space="preserve">Infineat; SESC Mesa Brasil </t>
  </si>
  <si>
    <t>AL; BA; CE; MG; RJ; SE</t>
  </si>
  <si>
    <t>ini_553</t>
  </si>
  <si>
    <t>Troco Solidário</t>
  </si>
  <si>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</si>
  <si>
    <t>Bretas; GBarbosa; Mercantil; Perini; Prezunic</t>
  </si>
  <si>
    <t>Amigos do Bem; Ascomcer de Juiz de Fora; Fazer o Bem nos Faz Bem; Instituto Cencosud; Obras Sociais Irmã Dulce</t>
  </si>
  <si>
    <t>AL; BA; CE; MG; PE; RJ; SE</t>
  </si>
  <si>
    <t>ini_554</t>
  </si>
  <si>
    <t>"Além disso, periodicamente as redes promovem e/ou participam de eventos e ações sociais distribuindo cestas básicas, material de limpeza e outros produtos em comunidades nas quais estão presentes."</t>
  </si>
  <si>
    <t>AL; BA; CE; GO; MG; PE; RJ; SE; SP</t>
  </si>
  <si>
    <t>Condor Super Center</t>
  </si>
  <si>
    <t>emp_071</t>
  </si>
  <si>
    <t>ini_555</t>
  </si>
  <si>
    <t>Mesa Brasil</t>
  </si>
  <si>
    <t>"Apoiamos este programa do Sesc para a redução da fome e desperdício de alimentos. Somente em 2023, foram doadas 120 toneladas de alimentos."</t>
  </si>
  <si>
    <t xml:space="preserve">50 anos Condor </t>
  </si>
  <si>
    <t>ini_556</t>
  </si>
  <si>
    <t>Campanha Solidária</t>
  </si>
  <si>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</si>
  <si>
    <t>PR; SC</t>
  </si>
  <si>
    <t xml:space="preserve">Campanha Solidária </t>
  </si>
  <si>
    <t>Dimed</t>
  </si>
  <si>
    <t>emp_079</t>
  </si>
  <si>
    <t>ini_557</t>
  </si>
  <si>
    <t xml:space="preserve">Programa de Saúde e Bem-Estar da Panvel </t>
  </si>
  <si>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</si>
  <si>
    <t xml:space="preserve">aplicativo </t>
  </si>
  <si>
    <t>Panvel</t>
  </si>
  <si>
    <t>PR; RS; SC; SP</t>
  </si>
  <si>
    <t>ini_558</t>
  </si>
  <si>
    <t xml:space="preserve"> SOS ilhas e SOS Vale do Taquari</t>
  </si>
  <si>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</si>
  <si>
    <t>DPaschoal</t>
  </si>
  <si>
    <t>emp_085</t>
  </si>
  <si>
    <t>ini_559</t>
  </si>
  <si>
    <t>Tree-llion</t>
  </si>
  <si>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</si>
  <si>
    <t>CDP</t>
  </si>
  <si>
    <t>Daterra</t>
  </si>
  <si>
    <t>MG; SP</t>
  </si>
  <si>
    <t>ini_560</t>
  </si>
  <si>
    <t xml:space="preserve">Agricultura Regenerativa </t>
  </si>
  <si>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</si>
  <si>
    <t>https://daterracoffee.com.br/quem-somos/?lang=pt-br</t>
  </si>
  <si>
    <t>ini_561</t>
  </si>
  <si>
    <t>Fazenda de Energia - Daterra</t>
  </si>
  <si>
    <t>"Em 2022, iniciamos a implementação de três mil painéis solares para garantir energia limpa, independência energética e benefícios financeiros nas nossas fazendas. Até o final de 2023, vamos investir R$ 7 milhões para atender 100% da demanda da Daterra com essa geração."</t>
  </si>
  <si>
    <t>Drogarias DPSP</t>
  </si>
  <si>
    <t>emp_057</t>
  </si>
  <si>
    <t>ini_562</t>
  </si>
  <si>
    <t>Natal Solidário - DPSP</t>
  </si>
  <si>
    <t>"Nossas Filiais em MG em parceria com a Fecomércio MG, Sesc, Senac e Sindicatos Empresariais, realizaram uma campanha de doação de alimentos e brinquedos para serem destinados a instituições filantrópicas da região."</t>
  </si>
  <si>
    <t>Fecomércio MG; Senac; Sesc; Sindicatos Empresariais</t>
  </si>
  <si>
    <t>instituições filantrópicas</t>
  </si>
  <si>
    <t xml:space="preserve">MG </t>
  </si>
  <si>
    <t>Informe 2022</t>
  </si>
  <si>
    <t>ini_563</t>
  </si>
  <si>
    <t>Bem Viver nos Bairros</t>
  </si>
  <si>
    <t>"Promover ações práticas e pedagógicas de agricultura urbana agroecológica, que envolvam educação cidadã, convivência comunitária, acessibilidade e implementação de quintais ecoprodutivos nas casas dos idosos, para garantia da segurança alimentar e nutricional."</t>
  </si>
  <si>
    <t>Informe 2023</t>
  </si>
  <si>
    <t>ini_564</t>
  </si>
  <si>
    <t>Enchentes Litoral Norte</t>
  </si>
  <si>
    <t>"+ 13 toneladas arrecadadas de roupas e mantimentos nas Lojas, CDs e Matriz."</t>
  </si>
  <si>
    <t>Farmácias Pague Menos</t>
  </si>
  <si>
    <t>emp_060</t>
  </si>
  <si>
    <t>ini_565</t>
  </si>
  <si>
    <t>Doar de Coração</t>
  </si>
  <si>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</si>
  <si>
    <t>Associação Peter Pan; 10 instituições parceiras</t>
  </si>
  <si>
    <t>ini_566</t>
  </si>
  <si>
    <t>Natal Solidário - Farmácias Pague Menos</t>
  </si>
  <si>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</si>
  <si>
    <t>BA; CE; DF; PB; RN; SP</t>
  </si>
  <si>
    <t>ini_567</t>
  </si>
  <si>
    <t>Sempre Bem</t>
  </si>
  <si>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</si>
  <si>
    <t>e-books; plataforma de conteúdo Sempre Bem</t>
  </si>
  <si>
    <t>Gazin</t>
  </si>
  <si>
    <t>emp_067</t>
  </si>
  <si>
    <t>ini_568</t>
  </si>
  <si>
    <t>O rio tá pra peixe</t>
  </si>
  <si>
    <t xml:space="preserve">"Todos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t>
  </si>
  <si>
    <t>Green Farm CO2free</t>
  </si>
  <si>
    <t>Relatório 21/22</t>
  </si>
  <si>
    <t>Relatório Comemorativo 2021</t>
  </si>
  <si>
    <t>ini_569</t>
  </si>
  <si>
    <t>Projeto Mão Amiga</t>
  </si>
  <si>
    <t xml:space="preserve">"O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 </t>
  </si>
  <si>
    <t>ini_570</t>
  </si>
  <si>
    <t>Saúde em primeiro lugar</t>
  </si>
  <si>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</si>
  <si>
    <t xml:space="preserve">AC; AM; BA; CE; GO; MG; MS; MT; PA; PB; PR; RO; RS; TO </t>
  </si>
  <si>
    <t>https://grupogazin.com.br/sustentabilidade/saude-em-primeiro-lugar</t>
  </si>
  <si>
    <t>ini_571</t>
  </si>
  <si>
    <t>Programa de alimentação alternativa</t>
  </si>
  <si>
    <t>"Parceria com o SESI com palestras e cursos para ensinar a equipe a cozinhar de maneira mais saudável, aproveitar melhor os alimentos e suas qualidades."</t>
  </si>
  <si>
    <t>https://grupogazin.com.br/sustentabilidade/programa-de-alimentacao-alternativa</t>
  </si>
  <si>
    <t>ini_572</t>
  </si>
  <si>
    <t>Caras do Brasil</t>
  </si>
  <si>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</si>
  <si>
    <t>Coopercuc</t>
  </si>
  <si>
    <t>Pão de Açúcar</t>
  </si>
  <si>
    <t xml:space="preserve">AM; CE; DF; MS; PA; PE; RJ; SP </t>
  </si>
  <si>
    <t>Relatórios Sustentabilidade 2021</t>
  </si>
  <si>
    <t>Relatórios Sustentabilidade 2022</t>
  </si>
  <si>
    <t>Relatórios Sustentabilidade 2023</t>
  </si>
  <si>
    <t>ini_573</t>
  </si>
  <si>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</si>
  <si>
    <t xml:space="preserve">Connecting Food; Sesc Mesa Brasil </t>
  </si>
  <si>
    <t>Assaí; Compre Bem; Extra; Pão de Açúcar</t>
  </si>
  <si>
    <t>AL; BA; CE; DF; GO; MS; MG; PB; PR; PI; PE; RJ; RN; SP; SE</t>
  </si>
  <si>
    <t>ini_574</t>
  </si>
  <si>
    <t>Qualidade Desde a Origem (QDO)</t>
  </si>
  <si>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</si>
  <si>
    <t>ini_575</t>
  </si>
  <si>
    <t>Hub de Desenvolvimento de Cadeias Livres de Desmatamento</t>
  </si>
  <si>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</si>
  <si>
    <t>Colaboração para Florestas e Agricultura (CFA)</t>
  </si>
  <si>
    <t>ini_576</t>
  </si>
  <si>
    <t>Muda Meu Mundo</t>
  </si>
  <si>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</si>
  <si>
    <t xml:space="preserve">GPA; Pão de Açucar </t>
  </si>
  <si>
    <t>ini_577</t>
  </si>
  <si>
    <t xml:space="preserve">Horta Social Urbana
</t>
  </si>
  <si>
    <t xml:space="preserve">"O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 </t>
  </si>
  <si>
    <t>Instituto GPA</t>
  </si>
  <si>
    <t xml:space="preserve">Associação de Resgate à Cidadania por Amor à Humanidade; Pão de Açúcar </t>
  </si>
  <si>
    <t>ini_578</t>
  </si>
  <si>
    <t>Felicidade É Poder Ser</t>
  </si>
  <si>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</si>
  <si>
    <t xml:space="preserve">Casinha; Pão de Açucar </t>
  </si>
  <si>
    <t>ini_579</t>
  </si>
  <si>
    <t>Derivados de Palma</t>
  </si>
  <si>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</si>
  <si>
    <t>ini_580</t>
  </si>
  <si>
    <t xml:space="preserve">Gosto da Amazônia </t>
  </si>
  <si>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</si>
  <si>
    <t>ini_581</t>
  </si>
  <si>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</si>
  <si>
    <t>Amigos do Bem; Qualitá; Taeq</t>
  </si>
  <si>
    <t>AL; BA; CE; PE</t>
  </si>
  <si>
    <t>ini_582</t>
  </si>
  <si>
    <t>Dia Mundial da Alimentação</t>
  </si>
  <si>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</si>
  <si>
    <t>Extra; Pão de Açúcar</t>
  </si>
  <si>
    <t>Amigos do Bem; Centro de Recuperação e Educação Nutricional (Cren); Qualitá</t>
  </si>
  <si>
    <t>AL; BA; CE; PE; SP</t>
  </si>
  <si>
    <t>ini_583</t>
  </si>
  <si>
    <t xml:space="preserve">Campanhas emergenciais </t>
  </si>
  <si>
    <t xml:space="preserve">"Petrópolis: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 </t>
  </si>
  <si>
    <t>ini_584</t>
  </si>
  <si>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</si>
  <si>
    <t>ini_585</t>
  </si>
  <si>
    <t>Campanhas Litoral Norte de SP</t>
  </si>
  <si>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</si>
  <si>
    <t>Extra; Instituto GPA; Pão de Açúcar; Qualitá</t>
  </si>
  <si>
    <t>Ação da Cidadania; Fundação 10 de Agosto; Fundo de Solidariedade de Guarujá; Fundo de Solidariedade de Ubatuba; Gerando Falcões; Rotary Clube</t>
  </si>
  <si>
    <t>ini_586</t>
  </si>
  <si>
    <t>PIX Solidário</t>
  </si>
  <si>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</si>
  <si>
    <t>ini_587</t>
  </si>
  <si>
    <t>XEPA: Favela, comida e sustentabilidade</t>
  </si>
  <si>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</si>
  <si>
    <t xml:space="preserve"> Financiadora Itaú (FIC)</t>
  </si>
  <si>
    <t>Museu das Favelas</t>
  </si>
  <si>
    <t>ini_588</t>
  </si>
  <si>
    <t xml:space="preserve">Doações Stix </t>
  </si>
  <si>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</si>
  <si>
    <t>GPA; RaiaDrogasil; Stix</t>
  </si>
  <si>
    <t xml:space="preserve">Ação Cidadania; Amigos do Bem </t>
  </si>
  <si>
    <t>Grupo Carrefour Brasil</t>
  </si>
  <si>
    <t>emp_043</t>
  </si>
  <si>
    <t>ini_589</t>
  </si>
  <si>
    <t>Parceria com Amigos do Bem</t>
  </si>
  <si>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</si>
  <si>
    <t>ini_590</t>
  </si>
  <si>
    <t>Semear</t>
  </si>
  <si>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</si>
  <si>
    <t>ini_591</t>
  </si>
  <si>
    <t>Toolkits educacionais Gastromotiva</t>
  </si>
  <si>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</si>
  <si>
    <t>Fundação Carrefour</t>
  </si>
  <si>
    <t>ini_592</t>
  </si>
  <si>
    <t>Conexão Escola com os Objetivos da ONU</t>
  </si>
  <si>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</si>
  <si>
    <t xml:space="preserve"> PNUD/VNU (Voluntários das Nações Unidas)</t>
  </si>
  <si>
    <t>Grupo Carrefour Brasil;  PNUD/VNU (Voluntários das Nações Unidas)</t>
  </si>
  <si>
    <t>ini_593</t>
  </si>
  <si>
    <t xml:space="preserve">Ajuda Emergencial </t>
  </si>
  <si>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</si>
  <si>
    <t>Grupo Carrefour Brasil; iniciativas de combate à fome; instituições sociais parceiras</t>
  </si>
  <si>
    <t>ini_594</t>
  </si>
  <si>
    <t>Apoio ao Projeto Servir</t>
  </si>
  <si>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</si>
  <si>
    <t>ini_595</t>
  </si>
  <si>
    <t>Amazônia Legal</t>
  </si>
  <si>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</si>
  <si>
    <t>AC; AP; AM; MA; MT; PA</t>
  </si>
  <si>
    <t>ini_596</t>
  </si>
  <si>
    <t xml:space="preserve">Produtos do Sertão Nordestino        </t>
  </si>
  <si>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</si>
  <si>
    <t>Amigos do Bem; Grupo Carrefour Brasil</t>
  </si>
  <si>
    <t xml:space="preserve">AL; BA; CE; PB; PE; PI; RN </t>
  </si>
  <si>
    <t>ini_597</t>
  </si>
  <si>
    <t>Central do Cerrado</t>
  </si>
  <si>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</si>
  <si>
    <t>Fundação Carrefour; WWF Brasil</t>
  </si>
  <si>
    <t>Central do Cerrado; Coopercuc; Grupo Carrefour Brasil; Temperos Mane</t>
  </si>
  <si>
    <t>BA; GO; MT; MG</t>
  </si>
  <si>
    <t>ini_598</t>
  </si>
  <si>
    <t>Conversão para orgânicos e acesso a mercado para agricultores familiares</t>
  </si>
  <si>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</si>
  <si>
    <t>Fundação Carrefour; Fundação Getúlio Vargas</t>
  </si>
  <si>
    <t>Fundação Getúlio Vargas; Grupo Carrefour Brasil</t>
  </si>
  <si>
    <t>ini_599</t>
  </si>
  <si>
    <t>Programa de Produção Sustentável de Bezerros</t>
  </si>
  <si>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</si>
  <si>
    <t>Cooperativa dos Agricultores do Vale do Amanhecer (Coopavam); Grupo Carrefour Brasil</t>
  </si>
  <si>
    <t>MT; RO</t>
  </si>
  <si>
    <t>ini_600</t>
  </si>
  <si>
    <t xml:space="preserve">Brumadinho </t>
  </si>
  <si>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</si>
  <si>
    <t>ini_601</t>
  </si>
  <si>
    <t>Construindo Novos Hábitos</t>
  </si>
  <si>
    <t xml:space="preserve">"Destinado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 </t>
  </si>
  <si>
    <t>Aulas EAD</t>
  </si>
  <si>
    <t>Complexo Educacional Educandário Dom Bosco; Grupo Carrefour Brasil</t>
  </si>
  <si>
    <t>ini_602</t>
  </si>
  <si>
    <t>Tour Virtual da Exposição PratodoMundo</t>
  </si>
  <si>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</si>
  <si>
    <t>Tour 360º virtual</t>
  </si>
  <si>
    <t>Grupo Carrefour Brasil; Museu do Amanhã</t>
  </si>
  <si>
    <t>ini_603</t>
  </si>
  <si>
    <t>Natal do Bem</t>
  </si>
  <si>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</si>
  <si>
    <t xml:space="preserve">Amigos do Bem; bancos de alimentos municipais; Sesc Mesa Brasil </t>
  </si>
  <si>
    <t>ini_604</t>
  </si>
  <si>
    <t>Act for Food</t>
  </si>
  <si>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</si>
  <si>
    <t>ini_605</t>
  </si>
  <si>
    <t>Programa de Rastreabilidade e Monitoramento de Alimentos (RAMA)</t>
  </si>
  <si>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</si>
  <si>
    <t>Associação Brasileira de Supermercado (ABRAS)</t>
  </si>
  <si>
    <t>Atacadão; Carrefour</t>
  </si>
  <si>
    <t>ini_606</t>
  </si>
  <si>
    <t>Parceria que Alimenta</t>
  </si>
  <si>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</si>
  <si>
    <t>2 mil instituições; Sesc Mesa Brasil</t>
  </si>
  <si>
    <t>ini_607</t>
  </si>
  <si>
    <t>Ração animal</t>
  </si>
  <si>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</si>
  <si>
    <t>ini_608</t>
  </si>
  <si>
    <t>Pesca Sustentável</t>
  </si>
  <si>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</si>
  <si>
    <t>ini_609</t>
  </si>
  <si>
    <t>Campanhas de Mobilização</t>
  </si>
  <si>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</si>
  <si>
    <t>Atacadão</t>
  </si>
  <si>
    <t>ini_610</t>
  </si>
  <si>
    <t>Movimento Compra Solidária</t>
  </si>
  <si>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</si>
  <si>
    <t>hotsite</t>
  </si>
  <si>
    <t>Aldeias Infantis; Amigos do Bem; Exército de Salvação; Gastromotiva; Geraldo Falcões; Mesa Brasil - SESC; Movimento União SP; SOS Brasil; World Food Programme (WFP) da ONU</t>
  </si>
  <si>
    <t>ini_611</t>
  </si>
  <si>
    <t>Super Chef Brasil</t>
  </si>
  <si>
    <t>"Peça teatral infantil sobre bons hábitos alimentares e preparação de alimentos. R$ doados em mil: 356. Número de beneficiados: 9.900"</t>
  </si>
  <si>
    <t>ini_612</t>
  </si>
  <si>
    <t>Plataforma de Embarque de Pequenos Produtores</t>
  </si>
  <si>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</si>
  <si>
    <t>Associações e comunidades tradicionais; cooperativas;  ONGs;  startups</t>
  </si>
  <si>
    <t>ini_613</t>
  </si>
  <si>
    <t>Programas de Doação</t>
  </si>
  <si>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</si>
  <si>
    <t>Sam’s Club</t>
  </si>
  <si>
    <t>Bancos de Alimentos locais; Mesa Brasil Sesc</t>
  </si>
  <si>
    <t>ini_614</t>
  </si>
  <si>
    <t xml:space="preserve">Investimento Social </t>
  </si>
  <si>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</si>
  <si>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</si>
  <si>
    <t>ini_615</t>
  </si>
  <si>
    <t>Campanha Solidária na Pandemia</t>
  </si>
  <si>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</si>
  <si>
    <t>Amigos do Bem; Central Única das Favelas (CUFA); Exército da Salvação</t>
  </si>
  <si>
    <t>ini_616</t>
  </si>
  <si>
    <t>Cine Móvel</t>
  </si>
  <si>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</si>
  <si>
    <t>ini_617</t>
  </si>
  <si>
    <t>Rede solidária</t>
  </si>
  <si>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</si>
  <si>
    <t>Ação da Cidadania; Comunitas</t>
  </si>
  <si>
    <t xml:space="preserve">PE; RJ </t>
  </si>
  <si>
    <t>ini_618</t>
  </si>
  <si>
    <t>Bancos de Alimentos</t>
  </si>
  <si>
    <t>"Em 2022, o Grupo Carrefour Brasil viabilizou a doação de 3,1 mil toneladas de alimentos destinados a bancos de alimentos em todo país. "</t>
  </si>
  <si>
    <t>ini_619</t>
  </si>
  <si>
    <t>Doações de Alimentos</t>
  </si>
  <si>
    <t xml:space="preserve">"A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  </t>
  </si>
  <si>
    <t>AM; BA; RJ; RS; SP</t>
  </si>
  <si>
    <t>ini_620</t>
  </si>
  <si>
    <t>Clube do Produtor</t>
  </si>
  <si>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</si>
  <si>
    <t xml:space="preserve"> Walmart</t>
  </si>
  <si>
    <t>ini_621</t>
  </si>
  <si>
    <t>Cozinhas e Infâncias</t>
  </si>
  <si>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</si>
  <si>
    <t>Secretaria Municipal de Educação da Prefeitura de São Paulo; Faculdade de Saúde Pública da Universidade de São Paulo (USP)</t>
  </si>
  <si>
    <t>Instituto Comida e Cultura</t>
  </si>
  <si>
    <t>https://www.comidaecultura.org/_files/ugd/129d64_a9aafad236b24a808c2ffe1dae72f57c.pdf</t>
  </si>
  <si>
    <t>ini_622</t>
  </si>
  <si>
    <t>Integração à comunidade do entorno</t>
  </si>
  <si>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</si>
  <si>
    <t xml:space="preserve">Grupo Dia </t>
  </si>
  <si>
    <t>emp_072</t>
  </si>
  <si>
    <t>ini_623</t>
  </si>
  <si>
    <t>Mesa Brasil - Grupo Dia</t>
  </si>
  <si>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</si>
  <si>
    <t xml:space="preserve">Responsabilidade Social </t>
  </si>
  <si>
    <t>https://g1.globo.com/economia/negocios/noticia/2024/03/14/rede-de-supermercados-dia-decide-fechar-lojas-no-brasil.ghtml</t>
  </si>
  <si>
    <t>Grupo Koch</t>
  </si>
  <si>
    <t>emp_070</t>
  </si>
  <si>
    <t>ini_624</t>
  </si>
  <si>
    <t>Campeões da Vida</t>
  </si>
  <si>
    <t>"Somos apoiadores do programa Campeões da Vida, do Instituto Guga Kuerten, Em 2022, cerca de 8 toneladas em cestas básicas foram arrecadadas com essa parceria, e distribuidas para as mais de 400 famílias atendidas pelo programa."</t>
  </si>
  <si>
    <t>Instituto Guga Kuerten</t>
  </si>
  <si>
    <t>https://www.igk.org.br/campeoes-da-vida-conheca-o-programa-que-foca-na-inclusao-social-e-na-formacao-dos-educandos/</t>
  </si>
  <si>
    <t>Grupo Líder</t>
  </si>
  <si>
    <t>emp_074</t>
  </si>
  <si>
    <t>ini_625</t>
  </si>
  <si>
    <t>Instituto de Ensino Neuza Rodrigues</t>
  </si>
  <si>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</si>
  <si>
    <t>Prefeitura de Igarapé Miri</t>
  </si>
  <si>
    <t>http://www.escolaneuzarodrigues.com.br/</t>
  </si>
  <si>
    <t>ini_626</t>
  </si>
  <si>
    <t xml:space="preserve">Transforma </t>
  </si>
  <si>
    <t>"Além disso, todos os resíduos orgânicos dos supermercados são destinados às fazendas do Grupo Líder, onde são transformados em adubo e ração orgânica."</t>
  </si>
  <si>
    <t>Lojas Quero Quero</t>
  </si>
  <si>
    <t>emp_086</t>
  </si>
  <si>
    <t>ini_627</t>
  </si>
  <si>
    <t xml:space="preserve">Desafio do Bem </t>
  </si>
  <si>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</si>
  <si>
    <t>Advent International</t>
  </si>
  <si>
    <t>MS; PR; RS; SC; SP</t>
  </si>
  <si>
    <t>ini_628</t>
  </si>
  <si>
    <t>Páscoa da Esperança</t>
  </si>
  <si>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</si>
  <si>
    <t>ini_629</t>
  </si>
  <si>
    <t>Natal Solidário - Lojas Quero Quero</t>
  </si>
  <si>
    <t>"Tivemos ainda a ação do Natal Solidário, através da qual arrecadamos alimentos, brinquedo e roupas para doação em nossas lojas."</t>
  </si>
  <si>
    <t>ini_630</t>
  </si>
  <si>
    <t xml:space="preserve">Cestas Natalinas </t>
  </si>
  <si>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</si>
  <si>
    <t>ini_631</t>
  </si>
  <si>
    <t>SOS Chuvas</t>
  </si>
  <si>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</si>
  <si>
    <t>Magazine Luiza</t>
  </si>
  <si>
    <t>emp_049</t>
  </si>
  <si>
    <t>ini_632</t>
  </si>
  <si>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</si>
  <si>
    <t>ini_633</t>
  </si>
  <si>
    <t xml:space="preserve">Doação de 200 toneladas de alimentos </t>
  </si>
  <si>
    <t>"Enfrentamento da pandemia de Covid-19: Assistência a pessoas, famílias e instituições de saúde durante a pandemia. 200 toneladas de alimentos distribuídas."</t>
  </si>
  <si>
    <t>ini_634</t>
  </si>
  <si>
    <t>"52 toneladas de alimentos doados para ações de combate à fome"</t>
  </si>
  <si>
    <t>McDonald's</t>
  </si>
  <si>
    <t>emp_064</t>
  </si>
  <si>
    <t>ini_635</t>
  </si>
  <si>
    <t>BigGracias / McObrigado - Apoio aos profissionais da saúde</t>
  </si>
  <si>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</si>
  <si>
    <t>instituições; McDonald's</t>
  </si>
  <si>
    <t>Relatório de Impacto Social e Desenvolvimento Sustentável 2020</t>
  </si>
  <si>
    <t>ini_636</t>
  </si>
  <si>
    <t>"Realizamos parcerias locais com organizações que trabalham para recuperar alimentos Doamos 1.000 toneladas de alimentos + de 14 mil combos"</t>
  </si>
  <si>
    <t xml:space="preserve">McDonald's; organizações locais </t>
  </si>
  <si>
    <t>ini_637</t>
  </si>
  <si>
    <t>Doação de alimentos in natura</t>
  </si>
  <si>
    <t>"Destinamos mais de 52 toneladas de ingredientes utilizados nos restaurantes McDonald’s, como carne, ovo, tomate, alface, entre outros, para associações que combatem a fome no Brasil."</t>
  </si>
  <si>
    <t>associações; McDonald's</t>
  </si>
  <si>
    <t>ini_638</t>
  </si>
  <si>
    <t>Webconferências de Sustentabilidade</t>
  </si>
  <si>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</si>
  <si>
    <t>conferência online</t>
  </si>
  <si>
    <t xml:space="preserve"> Associações do ICCB – Instituto Capitalismo Consciente Brasil; Connecting Food; Empresa Brasileira de Pesquisa Agropecuária (Embrapa); ONG Alquimia; Rainforest Alliance; Universidade Federal de Mato Grosso do Sul (UFMS); </t>
  </si>
  <si>
    <t>ini_639</t>
  </si>
  <si>
    <t>Banco de Alimentos</t>
  </si>
  <si>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</si>
  <si>
    <t>Banco de alimentos; organizações</t>
  </si>
  <si>
    <t>ini_640</t>
  </si>
  <si>
    <t>Políticas para abastecimento de carne bovina livre de desmatamento</t>
  </si>
  <si>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</si>
  <si>
    <t>AL; AM; BA; CE; DF; ES; GO; MA; MG; MS; MT; PA; PB; PE; PI; PR; RJ; RN; RO; RS; SC; SE; SP; TO</t>
  </si>
  <si>
    <t>Relatório de Impacto Social e Desenvolvimento Sustentável 2021</t>
  </si>
  <si>
    <t>Relatório de Impacto Social e Desenvolvimento Sustentável 2022</t>
  </si>
  <si>
    <t>Relatório de Impacto Social e Desenvolvimento Sustentável 2023</t>
  </si>
  <si>
    <t>https://www.mcdonalds.com.br/restmdomequi</t>
  </si>
  <si>
    <t>ini_641</t>
  </si>
  <si>
    <t>Cuidados com funcionários</t>
  </si>
  <si>
    <t>"Em paralelo, temos a parceria com o Gympass, aplicativo que dá acesso à academias e estúdios de atividades físicas diversas, à aulas interativas, online, sessões de terapia, orientação nutricional, de saúde mental e de saúde financeira."</t>
  </si>
  <si>
    <t>ini_642</t>
  </si>
  <si>
    <t>Doações</t>
  </si>
  <si>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</si>
  <si>
    <t>Instituto Ronald McDonald</t>
  </si>
  <si>
    <t>Martin Brower</t>
  </si>
  <si>
    <t>ini_643</t>
  </si>
  <si>
    <t>Horta McDonald's</t>
  </si>
  <si>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</si>
  <si>
    <t>Prato Verde Sustentável</t>
  </si>
  <si>
    <t>ini_644</t>
  </si>
  <si>
    <t>Valorização de alimentos</t>
  </si>
  <si>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</si>
  <si>
    <t>ini_645</t>
  </si>
  <si>
    <t>Espírito de equipe impactante</t>
  </si>
  <si>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</si>
  <si>
    <t xml:space="preserve">Mercado Livre </t>
  </si>
  <si>
    <t>emp_056</t>
  </si>
  <si>
    <t>ini_646</t>
  </si>
  <si>
    <t>SOS Sudeste</t>
  </si>
  <si>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</si>
  <si>
    <t xml:space="preserve">Mercado Pago </t>
  </si>
  <si>
    <t>Cruz Vermelha</t>
  </si>
  <si>
    <t>Organização Internacional</t>
  </si>
  <si>
    <t>Relatório de Impacto 2020</t>
  </si>
  <si>
    <t>ini_647</t>
  </si>
  <si>
    <t xml:space="preserve">Natal Sem Fome - Ação da Cidadania </t>
  </si>
  <si>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</si>
  <si>
    <t>botão de doação do aplicativo do Mercado Pago</t>
  </si>
  <si>
    <t>Ação Cidadania; Asociación Convidarte; Banco de Alimentos; Red Solidaria</t>
  </si>
  <si>
    <t>ini_648</t>
  </si>
  <si>
    <t>Shows Solidários</t>
  </si>
  <si>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</si>
  <si>
    <t>artistas</t>
  </si>
  <si>
    <t>Bancos de Alimentos; Cruz Vermelha; UNICEF</t>
  </si>
  <si>
    <t>ini_649</t>
  </si>
  <si>
    <t xml:space="preserve">Doações Pandemia - Banco de Alimentos </t>
  </si>
  <si>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</si>
  <si>
    <t xml:space="preserve">Cruz Vermelha; ONG Banco de Alimentos; Rede Banco de Alimentos; Seamos Uno </t>
  </si>
  <si>
    <t>ini_650</t>
  </si>
  <si>
    <t>Regatão do Bem</t>
  </si>
  <si>
    <t>"1 mil cestas básicas para a ação social Regatão do Bem, que atende famílias no interior da Amazônia brasileira."</t>
  </si>
  <si>
    <t>Idesam</t>
  </si>
  <si>
    <t>https://idesam.org/regataodobem/#</t>
  </si>
  <si>
    <t>ini_651</t>
  </si>
  <si>
    <t>Parceiros pela Amazônia</t>
  </si>
  <si>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</si>
  <si>
    <t>Plataforma Parceiros pela Amazônia</t>
  </si>
  <si>
    <t>Mercado Livre; Plataforma Parceiros pela Amazônia</t>
  </si>
  <si>
    <t>https://www.youtube.com/watch?v=bdPfd9GU5Rk</t>
  </si>
  <si>
    <t>ini_652</t>
  </si>
  <si>
    <t xml:space="preserve">Composteira industrial </t>
  </si>
  <si>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</si>
  <si>
    <t>Empresa B</t>
  </si>
  <si>
    <t>Cooperativa Coopernatuz</t>
  </si>
  <si>
    <t>Relatório de Impacto 2021</t>
  </si>
  <si>
    <t>Relatório de Impacto 2022</t>
  </si>
  <si>
    <t>ini_653</t>
  </si>
  <si>
    <t xml:space="preserve">Apoio Pandemia </t>
  </si>
  <si>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</si>
  <si>
    <t>Ação da Cidadania; Comunitas; Instituto Butantan; Fundo UNA+</t>
  </si>
  <si>
    <t xml:space="preserve">RJ </t>
  </si>
  <si>
    <t>ini_654</t>
  </si>
  <si>
    <t xml:space="preserve">Biomas a um Clique </t>
  </si>
  <si>
    <t xml:space="preserve">"Nossa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 </t>
  </si>
  <si>
    <t>AMAZ; Amazônia em Casa, Floresta em Pé; Central do Cerrado; Climate Ventures; Conexsus; Fundação Avina; Giral Viveiro de Projetos; Idesam; Instituto Auá; Plataforma Parceiros pela Amazônia</t>
  </si>
  <si>
    <t>Mercado Livre</t>
  </si>
  <si>
    <t>Relatório de Impacto 2023</t>
  </si>
  <si>
    <t>ini_655</t>
  </si>
  <si>
    <t xml:space="preserve">Café Apuí  - Amazonas </t>
  </si>
  <si>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</si>
  <si>
    <t>Município de Apuí</t>
  </si>
  <si>
    <t>https://idesam.org/cafe-apui-agroflorestal-chega-a-comunidades-extrativistas-do-rio-unini/#:~:text=Lan%C3%A7ado%20em%20maio%20de%202015,cadeia%20de%20caf%C3%A9%20do%20munic%C3%ADpio.</t>
  </si>
  <si>
    <t>ini_656</t>
  </si>
  <si>
    <t>Novas Florestas</t>
  </si>
  <si>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</si>
  <si>
    <t>Pick-upau</t>
  </si>
  <si>
    <t>Petz</t>
  </si>
  <si>
    <t>emp_083</t>
  </si>
  <si>
    <t>ini_657</t>
  </si>
  <si>
    <t>Moradores de Rua e Seus Cães</t>
  </si>
  <si>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</si>
  <si>
    <t>Adote Petz</t>
  </si>
  <si>
    <t>ONG MRSC (Moradores de Rua e Seus Cães)</t>
  </si>
  <si>
    <t>ES; MG; PE; RJ; RN; SC; SP</t>
  </si>
  <si>
    <t>https://www.revistaclinicaveterinaria.com.br/noticias/entidades/ong-moradores-de-rua-e-seus-caes/largo-do-arouche-em-sao-paulo-recebe-acao-de-pascoa-da-ong-moradores-de-rua-e-seus-caes/</t>
  </si>
  <si>
    <t>https://vetnil.com.br/noticia/mrsc-e-o-dia-mundial-dos-animais-de-rua</t>
  </si>
  <si>
    <t>ini_658</t>
  </si>
  <si>
    <t>Para os moradores do Rio Grande do Sul</t>
  </si>
  <si>
    <t>"Disponibilizamos 30 lojas Petz para recebimento de doações de alimentos, água e roupas de nossos clientes;"</t>
  </si>
  <si>
    <t xml:space="preserve">Petz </t>
  </si>
  <si>
    <t>Raia Drogasil</t>
  </si>
  <si>
    <t>emp_054</t>
  </si>
  <si>
    <t>ini_659</t>
  </si>
  <si>
    <t>Pacto 15 por 15</t>
  </si>
  <si>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</si>
  <si>
    <t>https://www.acaodacidadania.org.br/nossos-projetos?utm_source=meta&amp;utm_medium=teste-midia&amp;utm_campaign=trafego-search&amp;gad_source=1&amp;gclid=Cj0KCQjwtsy1BhD7ARIsAHOi4xYKlBXiJ1eAskzufQg6LTX8MMhbw_oRKJ7ETuoEfo_daczqc6N1oq0aAnuFEALw_wcB#gad_source=1</t>
  </si>
  <si>
    <t>ini_660</t>
  </si>
  <si>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</si>
  <si>
    <t>Ação da Cidadania; Associação de Assistência à Criança Deficiente (AACD)</t>
  </si>
  <si>
    <t>ini_661</t>
  </si>
  <si>
    <t>Protocolo de Emergência</t>
  </si>
  <si>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</si>
  <si>
    <t>ini_662</t>
  </si>
  <si>
    <t>Voluntariado</t>
  </si>
  <si>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</si>
  <si>
    <t>Rodobens</t>
  </si>
  <si>
    <t>emp_068</t>
  </si>
  <si>
    <t>ini_663</t>
  </si>
  <si>
    <t>Vacina do Bem</t>
  </si>
  <si>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</si>
  <si>
    <t xml:space="preserve">Instituto Rodobens </t>
  </si>
  <si>
    <t>ini_664</t>
  </si>
  <si>
    <t>Test Drive Solidário</t>
  </si>
  <si>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</si>
  <si>
    <t>Hyundai; Toyota</t>
  </si>
  <si>
    <t xml:space="preserve"> ONG Banco de Alimentos</t>
  </si>
  <si>
    <t>MG; MT; PA; RJ; SP</t>
  </si>
  <si>
    <t>ini_665</t>
  </si>
  <si>
    <t xml:space="preserve">Natal sem fome - Rodobens </t>
  </si>
  <si>
    <t>"Foram arrecadadas 1.2 toneladas de alimentos não perecíveis para as comunidades carentes, promovendo um Natal mais inclusivo. As doações foram destinadas para seis instituições (cinco em São José do Rio Preto e uma em São Paulo).</t>
  </si>
  <si>
    <t>Seis instituições (cinco em São José do Rio Preto e uma em São Paulo)</t>
  </si>
  <si>
    <t>Super Muffato</t>
  </si>
  <si>
    <t>emp_058</t>
  </si>
  <si>
    <t>ini_666</t>
  </si>
  <si>
    <t>Dia da Bondade</t>
  </si>
  <si>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</si>
  <si>
    <t>Exécito Brasileiro; Provopar; TV Tarobá</t>
  </si>
  <si>
    <r>
      <rPr>
        <rFont val="Calibri"/>
        <color rgb="FF1155CC"/>
        <sz val="11.0"/>
        <u/>
      </rPr>
      <t>https://eletro.supermuffato.com.br/Institucional/pt-br/responsabilidade</t>
    </r>
    <r>
      <rPr>
        <rFont val="Calibri"/>
        <color rgb="FF1155CC"/>
        <sz val="11.0"/>
      </rPr>
      <t xml:space="preserve"> </t>
    </r>
  </si>
  <si>
    <t xml:space="preserve">Supermercados ABC </t>
  </si>
  <si>
    <t>emp_082</t>
  </si>
  <si>
    <t>ini_667</t>
  </si>
  <si>
    <t>Campanha “Doação Super Essencial"</t>
  </si>
  <si>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</si>
  <si>
    <t>Associação Brasileira da Indústria de Alimentos (ABIA); Associação Brasileira de Supermercados (ABRAS)</t>
  </si>
  <si>
    <t xml:space="preserve">Grupo ABC </t>
  </si>
  <si>
    <t>ini_668</t>
  </si>
  <si>
    <t>Campanha Juntos Por Minas</t>
  </si>
  <si>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</si>
  <si>
    <t xml:space="preserve">Associação Comercial, Industrial, Agropecuária e Serviços de Divinópolis (ACID); Fundação S.O.S Araxá; Ordem dos Advogados do Brasil (OAB) – Divinópolis </t>
  </si>
  <si>
    <t>Grupo ABC;  Fundação S.O.S Araxá</t>
  </si>
  <si>
    <t>ini_669</t>
  </si>
  <si>
    <t>Doações de Alimentos a Grupos em Vulnerabilidade Social por Meio de Programas das Prefeituras</t>
  </si>
  <si>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</si>
  <si>
    <t>associações; entidades assistenciais; fundações; instituições</t>
  </si>
  <si>
    <t xml:space="preserve">Via/Grupo Casas Bahia </t>
  </si>
  <si>
    <t>emp_053</t>
  </si>
  <si>
    <t>ini_670</t>
  </si>
  <si>
    <t>Pangeia</t>
  </si>
  <si>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</si>
  <si>
    <t>marketplace</t>
  </si>
  <si>
    <t>Moss.Earth</t>
  </si>
  <si>
    <t xml:space="preserve">Pangeia; Via </t>
  </si>
  <si>
    <t>https://somos.pangeia.eco/via/</t>
  </si>
  <si>
    <t>Zaffari &amp; Bourbon</t>
  </si>
  <si>
    <t>emp_066</t>
  </si>
  <si>
    <t>ini_671</t>
  </si>
  <si>
    <t>Campanha do Agasalho</t>
  </si>
  <si>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</si>
  <si>
    <t>ini_672</t>
  </si>
  <si>
    <t xml:space="preserve">Aulas Gratuitas </t>
  </si>
  <si>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</si>
  <si>
    <t xml:space="preserve">Zamp </t>
  </si>
  <si>
    <t>emp_080</t>
  </si>
  <si>
    <t>ini_673</t>
  </si>
  <si>
    <t xml:space="preserve">Dr. Aron </t>
  </si>
  <si>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</si>
  <si>
    <t xml:space="preserve">telemedicina </t>
  </si>
  <si>
    <t>Dr. Aon</t>
  </si>
  <si>
    <t>ADM; Marfrig</t>
  </si>
  <si>
    <t>ini_674</t>
  </si>
  <si>
    <t>Desmatamento zero</t>
  </si>
  <si>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</si>
  <si>
    <t xml:space="preserve">Burger King </t>
  </si>
  <si>
    <t>Zona Sul</t>
  </si>
  <si>
    <t>emp_084</t>
  </si>
  <si>
    <t>ini_675</t>
  </si>
  <si>
    <t>Produção de Cogumelo</t>
  </si>
  <si>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</si>
  <si>
    <t>MightyGreens</t>
  </si>
  <si>
    <t>Sociedade em Conta de Participação</t>
  </si>
  <si>
    <t>https://www.facebook.com/zonasulsupermercado/videos/primeira-fazenda-vertical-da-am%C3%A9rica-do-sulconhe%C3%A7a-a-mighty-greens-e-seu-conceit/175338281075924/</t>
  </si>
  <si>
    <t>ini_676</t>
  </si>
  <si>
    <t>Doação de Alimentos e Produtos de Limpeza</t>
  </si>
  <si>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</si>
  <si>
    <t>Grande Rio</t>
  </si>
  <si>
    <t>Organizações Não Governamentais - ONG's</t>
  </si>
  <si>
    <t>ini_677</t>
  </si>
  <si>
    <t xml:space="preserve">Produtores Orgânicos </t>
  </si>
  <si>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</si>
  <si>
    <t>ini_678</t>
  </si>
  <si>
    <t>Produtores Locais</t>
  </si>
  <si>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</si>
  <si>
    <t>ini_679</t>
  </si>
  <si>
    <t>Juçaí</t>
  </si>
  <si>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</si>
  <si>
    <t>ini_680</t>
  </si>
  <si>
    <t>Agropecuária</t>
  </si>
  <si>
    <t xml:space="preserve">"Em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 </t>
  </si>
  <si>
    <t>Agropecuária; Zona Sul</t>
  </si>
  <si>
    <t>ini_681</t>
  </si>
  <si>
    <t>Mamba Water</t>
  </si>
  <si>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</si>
  <si>
    <t>Mamba Water; Sisar</t>
  </si>
  <si>
    <t>https://www.mambawater.com.br/mamba-water-project</t>
  </si>
  <si>
    <t>Variáveis</t>
  </si>
  <si>
    <t>Categorias</t>
  </si>
  <si>
    <t xml:space="preserve">Significado da escolha </t>
  </si>
  <si>
    <t>Exemplo</t>
  </si>
  <si>
    <t>*</t>
  </si>
  <si>
    <t>A variável "empresa" diz respeito às empresas financiadorades das iniciativas. A instituição financiadora e/ou apoiadora da ação era a empresa listada no ranking Valor 1000 de 2023, e a ação foi extraída de seu relatório</t>
  </si>
  <si>
    <t>A variável "id_emp" é um identificador para as empresas analisadas na pesquisa</t>
  </si>
  <si>
    <t>Agronegócio/Alimentos e Bebidas/Comércio Varejista</t>
  </si>
  <si>
    <t>A variável "setor" diz respeito ao setor econômico das empresas analisadas na pesquisa. O setor de atividade da empresa foi retirado do ranking Valor 1000 de 2023</t>
  </si>
  <si>
    <t>A variável "id_ini" é um identificador para as iniciativas catalogadas e analisadas na pesquisa</t>
  </si>
  <si>
    <t>A variável "id_mob" é um identificador para as iniciativas que são basedas na mobilização de suas financiadoras e/ou apoiadoras para sua realização. É o caso de grandes campanhas setoriais, como o Dia de Cooperar, no qual diferentes cooperativas atuam de diferentes formas na mesma data.</t>
  </si>
  <si>
    <t>A variável "iniciativa" diz respeito ao nome/identificação das ações analisadas. Quando citado, o nome da iniciativa correspondeu ao mencionado no relatório ou site da empresa. Caso contrário, o nome foi atribuído pela equipe com base na descrição da ação</t>
  </si>
  <si>
    <t>A variável "tipo" diz respeito ao tipo/modelo da iniciativa catalogada e esta possui 5 categorias possívies. A iniciativa era um programa que servia como um guarda-chuva para diversos projetos de mesma temática, mas com abordagens distintas. Era mais bem estruturado e, geralmente, tinha uma duração mais longa do que os projetos.</t>
  </si>
  <si>
    <t>A variável "tipo" diz respeito ao tipo/modelo da iniciativa catalogada e esta possui 5 categorias possívies. A iniciativa era um projeto realizado com um objetivo e foco específicos. Geralmente, tinha uma duração mais curta do que um programa, por ser pontual ou menos abrangente.</t>
  </si>
  <si>
    <t>A variável "tipo" diz respeito ao tipo/modelo da iniciativa catalogada e esta possui 5 categorias possívies. A iniciativa era uma campanha, geralmente voltada para a arrecadação e doação de alimentos e dinheiro, ou para a conscientização sobre alimentação saudável.</t>
  </si>
  <si>
    <t>A variável "tipo" diz respeito ao tipo/modelo da iniciativa catalogada e esta possui 5 categorias possívies. A iniciativa conectava diferentes setores, promovendo o encontro de diversos atores para a troca de conhecimentos ou produtos.</t>
  </si>
  <si>
    <t>Apoio institucional</t>
  </si>
  <si>
    <t>A variável "tipo" diz respeito ao tipo/modelo da iniciativa catalogada e esta possui 5 categorias possívies. A iniciativa consistia no apoio institucional a uma organização executora, onde os recursos foram fornecidos pela financiadora de forma livre, permitindo que fossem utilizados na estruturação da beneficiária (para execução de ações, contratação e capacitação de pessoas, reformas do espaço, entre outros). Esse tipo de iniciativa ocorreu quando o financiamento ou apoio se resumia ao repasse irrestrito de verba. Nos casos em que houve outro tipo de ação além da doação irrestrita, a iniciativa foi classificada de outra forma nesta categoria e marcada como "Apoio institucional" na coluna BH. Toda ação cujo tipo era "Apoio institucional" utilizou o mecanismo de "Doação de recursos"</t>
  </si>
  <si>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</si>
  <si>
    <t>Sim/Não</t>
  </si>
  <si>
    <t>A variável "commodity" diz respeito às iniciaitivas que possuem relação a produção de commodities. A iniciativa envolveu a produção de commodities. Commodities são bens padronizados essenciais ao comércio, caracterizados pela uniformidade e facilidade de troca, como cacau, café, metais e produtos agrícolas. Seus preços são globalmente uniformes, excluindo custos de transporte e impostos. São produzidos e comercializados em grandes quantidades. Nem todos os materiais brutos são commodities, uma vez que eles podem variar em sua qualidade e práticas de comércio (por exemplo: diamantes). Normalmente, esta categoria esteve relacionada à capacitação de produtores ou à produção sustentável. Água não foi considerada um commodity</t>
  </si>
  <si>
    <t>A variável "part_int_cli" significa "parte interessada clientes". A iniciativa envolveu, teve como público-alvo ou impactou clientes da empresa financiadora e/ou apoiadora</t>
  </si>
  <si>
    <t>A variável "part_int_for" siginifica "parte interessada fornecedores". A iniciativa envolveu, teve como público-alvo ou impactou fornecedores/cooperados da empresa financiadora e/ou apoiadora. Segundo o GRI, a cadeia de fornecedores é uma "gama de atividades realizadas por entidades upstream da organização, que fornecem produtos ou serviços usados no desenvolvimento dos produtos ou serviços da própria organização", e o fornecedor é uma "entidade upstream da organização (ou seja, na cadeia de fornecedores da organização) que fornece um produto ou serviço que é usado no desenvolvimento dos produtos ou serviços da própria organização"</t>
  </si>
  <si>
    <t xml:space="preserve">A variável "part_int_com" siginifica "parte interessada comunidade". A iniciativa envolveu, teve como público-alvo ou impactou a população que mora próximo a ao menos uma unidade da empresa financiadora e/ou apoiadora. Ações cujo público-alvo eram apenas os trabalhadores da empresa, e não a comunidade como um todo, não foram consideradas aqui. Segundo o GRI, a comunidade local é composta por "indivíduos ou grupos de indivíduos vivendo ou trabalhando em áreas afetadas ou que poderiam ser afetadas pelas atividades da organização"
</t>
  </si>
  <si>
    <t>Sim/Não/n/a</t>
  </si>
  <si>
    <t xml:space="preserve">A variável "part_int_func" significa "parte interessada funcionários". A iniciativa teve como público-alvo pessoas que integravam o quadro de trabalhadores da empresa financiadora/apoiadora. Segundo o GRI, o empregado é o "indivíduo que possui uma relação de emprego com a organização, de acordo com a legislação ou prática nacionais",  e o trabalhador é a "pessoa que realiza um trabalho para a organização", e ambos foram considerados funcionários. As ações cujos objetivos estavam relacionados somente à sustentabilidade e que não impactavam diretamente nem a população, nem os trabalhadores da empresa, foram marcadas como "n/a". </t>
  </si>
  <si>
    <t>A variável "gru_agri_fam" significa "grupo agricultores familiares". A iniciativa envolveu, teve como público-alvo ou impactou agricultores familiares em sua execução. A definição de "agricultor familiar" foi baseada na Lei Nº 11.326, de julho de 2006, que caracteriza pequenos agricultores como aqueles que, entre outras condições, utilizam predominantemente mão-de-obra familiar</t>
  </si>
  <si>
    <t>A variável "gru_dem_esp" significa "grupos demográficos específicos". A iniciativa envolveu, teve como público-alvo ou impactou grupos em situação de vulnerabilização social, como mulheres, negros, indígenas, ribeirinhos, comunidades tradicionais, pessoas com baixa escolaridade, pessoas em situação de rua, sertanejos, pessoas afetadas por catástrofes, idosos, entre outros. Esses grupos enfrentam estigmas sociais e são historicamente marginalizados</t>
  </si>
  <si>
    <t>A variável "gru_vul_eco" siginifica "grupos em vulnerabilidade econômica". A iniciativa envolveu, teve como público-alvo ou impactou grupos em situação de vulnerabilidade econômica, como pessoas em situação de pobreza, moradores de periferias, cadastrados em programas sociais, desempregados, trabalhadores informais, endividados, entre outros. Em outras palavras, eram pessoas que enfrentaram restrições econômicas no dia a dia</t>
  </si>
  <si>
    <t>A variável "gru_cri_ado" siginifica "grupo crianças e adolescentes". A iniciativa envolveu, teve como público-alvo ou impactou crianças e adolescentes. Segundo o GRI, criança é a "pessoa com menos de 15 anos de idade ou abaixo da idade de conclusão da escolaridade obrigatória, o que for maior"</t>
  </si>
  <si>
    <t>A variável "obj_prod_ali" significa "objetivo de produção de alimentos". A iniciativa teve como objetivo final/visou a produção de alimentos.</t>
  </si>
  <si>
    <t>A variável "obj_seg_nutri" siginifica "objetivo segurança nutricional". A iniciativa teve como objetivo principal a garantia de uma nutrição adequada para todos e todas.</t>
  </si>
  <si>
    <t>A variável "obj_ali_fome" significa "objetivo alívio da fome". A iniciativa teve como objetivo principal a garantia de que o alimento chegasse diretamente às populações em situação de insegurança alimentar, através da distribuição de cestas básicas, por exemplo.</t>
  </si>
  <si>
    <t>A variável "obj_red_perda" siginifica "objetivo redução da perda". A iniciativa teve como objetivo principal combater as perdas de alimentos, que acontecem durante o processo de produção e transporte</t>
  </si>
  <si>
    <t>A variável "red_desp" siginifica "objetivo redução do desperdício". A iniciativa teve como objetivo principal combater os desperdícios de alimentos realizados pela indústria, pelo varejo e pela população.</t>
  </si>
  <si>
    <t>A variável "obj_reap" significa "objetivo reaproveitamento". A iniciativa teve como objetivo principal o reaproveitamento de alimentos que foram perdidos ou desperdiçados. Ações de compostagem são um exemplo</t>
  </si>
  <si>
    <t>A variável "obj_ace_agua" siginifica "objetivo acesso à água".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</si>
  <si>
    <t>A variável "obj_res_emp" significa "objetivo responsabilidade empresarial". A iniciativa teve como objetivo principal a adoção de melhores práticas ou princípios de responsabilidade empresarial. O rastreamento da cadeia e a certificação dos fornecedores e cooperados são exemplos disso</t>
  </si>
  <si>
    <t>A variável "obj_agri_fam" significa "objetivo fortalecimento da agricultura familiar". A iniciativa teve como objetivo principal fortalecer os agricultores familiares, aumentando sua renda ou fornecendo capacitação e outros recursos para impulsionar a produtividade de suas lavouras, por exemplo</t>
  </si>
  <si>
    <t xml:space="preserve">A variável "social" diz respeito ao escopo social (S) do ESG. A iniciativa estava relacionada ao oferecimento de um local de trabalho saudável e seguro, ao estabelecimento de relações com a comunidade, a questões de direitos humanos nas instalações da empresa e de seus fornecedores, a relações com o governo e a comunidade no contexto de atividades, ao aumento da pressão social para melhorar o desempenho, transparência e responsabilidade, levando a riscos reputacionais se não forem geridos corretamente. Foram também consideradas ações que beneficiavam grupos em situação de vulnerabilidade social ou stakeholders da empresa, como clientes, fornecedores e cooperados. 
</t>
  </si>
  <si>
    <t>A varíavel "ambiental" diz respeito ao escopo ambiental (E) do ESG. A iniciativa estava relacionada à redução de riscos das mudanças climáticas, à redução de emissões tóxicas e resíduos, a novas regulamentações sobre responsabilidade ambiental em relação a produtos e serviços, ao surgimento de mercados para serviços ambientais e produtos sustentáveis, e ao aumento da pressão social por melhor desempenho, transparência e responsabilidade, levando a riscos reputacionais se não forem geridos corretamente</t>
  </si>
  <si>
    <t>A variável "governanca" diz respeito ao escopo governança (G) do ESG. A iniciativa estava relacionada à criação de conselhos de administração e estruturas de accountability, a práticas responsáveis e de divulgação de informações, à criação de uma estrutura do comitê de auditoria e independência dos auditores, à transparência nas regras de remuneração dos executivos, e à gestão de questões de corrupção e suborno</t>
  </si>
  <si>
    <t>Produção e/ou disseminação de conhecimento</t>
  </si>
  <si>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 Esta variável exclui ações voltadas para a sustentabilidade</t>
  </si>
  <si>
    <t>A variável "mecanismo" diz respeito à qual fora o modelo de ação da iniciativa. Para alcançar seu objetivo principal, a iniciativa realizou a produção de alimentos, seja no campo, seja em hortas urbanas.</t>
  </si>
  <si>
    <t>A variável "mecanismo" diz respeito à qual fora o modelo de ação da iniciativa. Para alcançar seu objetivo principal, a iniciativa fez a doação de alimentos diretamente para quem mais precisa, normalmente direcionando as doações para OSCs ou comunidades</t>
  </si>
  <si>
    <t>A variável "mecanismo" diz respeito à qual fora o modelo de ação da iniciativa. Para alcançar seu objetivo principal, a iniciativa promoveu a conexão entre diferentes atores, como organizações que desperdiçavam alimentos e aquelas que os redistribuíam, além de conectar pequenos agricultores a mercados</t>
  </si>
  <si>
    <t>A variável "mecanismo" diz respeito à qual fora o modelo de ação da iniciativa. Para alcançar seu objetivo principal, a iniciativa fez doações de dinheiro ou outros recursos que não fossem alimentos, geralmente destinados a OSCs, comunidades e agricultores</t>
  </si>
  <si>
    <t>A variável "mecanismo" diz respeito à qual fora o modelo de ação da iniciativa. Para alcançar seu objetivo principal, a iniciativa se dedicou à produção, disseminação e implementação de práticas sustentáveis, como o rastreamento da cadeia, o reaproveitamento de resíduos, a agricultura regenerativa, entre outras</t>
  </si>
  <si>
    <t>A variável "mecanismo" diz respeito à qual fora o modelo de ação da iniciativa. Para alcançar seu objetivo principal, a iniciativa ofertou empréstimos e subsídios para pequenos produtores de alimentos</t>
  </si>
  <si>
    <t>A variável "tech" indica se alguma tecnologia foi utilizada na iniciativa.  A iniciativa envolveu o uso de tecnologias, como aplicativos, plataformas digitais e Inteligência Artificial</t>
  </si>
  <si>
    <t>A variável "qual_tech" diz respeito à qual tecnologia foi utilizada na iniciativa. Quando citada na descrição da ação, a tecnologia era especificada nessa categoria</t>
  </si>
  <si>
    <t>A variável "inicio" diz respeito ao ano de início da iniciativa. Quando citado nos documentos ou sites empresariais, o ano de início da ação era especificado nessa categoria. No caso de ações do tipo "Apoio institucional", foi indicado "n/a", pois a doação de recursos sem direcionamento tem natureza distinta de ações de outros tipos, tornando essa informação imprecisa</t>
  </si>
  <si>
    <t>A variável "ano20" diz respeito ao financimento de iniciativas no ano de 2020. Foram considerados os financiamentos declaradamente realizados pelas empresas em 2020</t>
  </si>
  <si>
    <t>A variável "ano21" diz respeito ao financimento de iniciativas no ano de 2021. Foram considerados os financiamentos declaradamente realizados pelas empresas em 2021</t>
  </si>
  <si>
    <t>A variável "ano22" diz respeito ao financimento de iniciativas no ano de 2022. Foram considerados os financiamentos declaradamente realizados pelas empresas em 2022</t>
  </si>
  <si>
    <t>A variável "ano23" diz respeito ao financimento de iniciativas no ano de 2023. Foram considerados os financiamentos declaradamente realizados pelas empresas em 2023</t>
  </si>
  <si>
    <t>A variável "fim" diz respeito ao ano de encerramento da iniciativa. Quando citado nos documentos ou sites empresariais, o ano de fim da ação era especificado nessa categoria. No caso de ações do tipo "Apoio institucional", foi indicado "n/a", pois a doação de recursos sem direcionamento tem natureza distinta de ações de outros tipos, tornando essa informação imprecisa</t>
  </si>
  <si>
    <t>Em andamento/Concluido/s/i/n/a</t>
  </si>
  <si>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 Para ações do tipo "Apoio institucional", foi marcado "n/a"</t>
  </si>
  <si>
    <t>A variável "long_dur" diz respeito à condição de uma iniciativa ser de longa duração. Para ser considerada de longa duração, a iniciativa deve ter sido realizada por ao menos dois anos, independente de ter recebido financiamento empresarial ou não. As ações do tipo "Apoio institucional" foram classificadas como "n/a"</t>
  </si>
  <si>
    <t>A variável "emergencial" diz respeito à condição da iniciativa estar relacionada ou ser motivada por alguma emergência. A iniciativa teve início em um contexto emergencial, atípico ou catastrófico, como a pandemia da COVID-19 ou as chuvas em São Sebastião (SP)</t>
  </si>
  <si>
    <t>A variável "parceiro" diz respeito às organizações parceiras na realização das iniciativas. Os parceiros financiadores/apoiadores eram as outras instituições que contribuíram financeiramente ou apoiaram a ação, conforme citado nos relatórios ou sites das empresas investigadas na pesquisa</t>
  </si>
  <si>
    <t>A variável "multi_finan" significa "mais de uma organização financiadora". Quando as instituições parceiras possuíam diferentes naturezas jurídicas, a opção "sim" foi marcada. Caso tivessem a mesma natureza, a opção "não" era marcada. Quando a empresa financiadora/apoiadora não possuía parceiros, a opção "n/a" foi escolhida</t>
  </si>
  <si>
    <t>A variável "org_exec" diz respeito à organização executora da iniciativa. Organizações executoras eram aquelas que efetivamente realizaram a ação com o financiamento ou apoio da empresa. Por exemplo, se uma empresa doou cestas básicas a uma OSC, e esta distribuiu as cestas às famílias, a empresa foi considerada a financiadora, e a OSC, a executora. Se a própria empresa realizou a distribuição, ela foi considerada tanto financiadora quanto executora da ação</t>
  </si>
  <si>
    <t>Autarquia Estadual ou do Distrito Federal/Cooperativa/Sociedade anônima aberta/Associação privada/Fundação privada/Serviço Social Autônomo/Sociedade Empresária Limitada/Sociedade Anônima Fechada/Sociedade de Economia Mista/Unidade/Órgão Público/Empresa Pública/Estabelecimento, no Brasil, de Fundação ou Associação Estrangeiras/Organização Internacional/Fundo Público da Administração Direta Municipal/Organização Religiosa/s/i/n/a</t>
  </si>
  <si>
    <t>A variável "tipo_exec" diz respeito ao tipo de organização que executou a iniciativa. Eram as naturezas jurídicas das organizações executoras. Quando a informação não foi encontrada, a variável "s/i" foi selecionada. Se a iniciativa foi realizada por organizações com diferentes naturezas jurídicas, a variável "n/a" foi utilizada</t>
  </si>
  <si>
    <t>Sim/Não/s/i</t>
  </si>
  <si>
    <t>A variável "multi_exec" significa "mais de uma executora". Quando a iniciativa foi realizada por mais de uma organização com naturezas jurídicas diferentes, a opção "sim" foi selecionada. Se apenas uma organização realizou a ação ou se diferentes organizações com a mesma natureza participaram, a opção "não" foi escolhida</t>
  </si>
  <si>
    <t>A variável "elo_prod_ali" significa "elo produção de alimentos". Ao menos uma etapa relevante da iniciativa foi executada envolvendo produção agrícola ou agricultores, seja no campo, em ambiente urbano, durante uma capacitação ou na rotina diária</t>
  </si>
  <si>
    <t>A variável "elo_armaz" significa "elo armazenamento". Ao menos uma etapa relevante da iniciativa foi executada envolvendo o armazenamento de alimentos, em silos ou banco de alimentos, por exemplo</t>
  </si>
  <si>
    <t>A variável "elo_trans_log" significa "elo transporte/logística". Ao menos uma etapa relevante da iniciativa foi executada envolvendo a logística ou o transporte de alimentos</t>
  </si>
  <si>
    <t>A variável "elo_process" significa "elo processamento". Ao menos uma etapa relevante da iniciativa foi executada envolvendo o processamento de alimentos, ou seja, a transformação de alimentos em novos produtos, comestíveis ou não</t>
  </si>
  <si>
    <t>A variável "elo_var_atac" significa "elo varejo/atacado". Ao menos uma etapa relevante da iniciativa foi executada envolvendo o varejo ou atacado de alimentos prontos, como a comercialização de produtos orgânicos ou a redução do desperdício em supermercados</t>
  </si>
  <si>
    <t>A variável "elo_consu" significa "elo consumo". Ao menos uma etapa relevante da iniciativa foi executada envolvendo o consumidor, como a oferta de cestas básicas ou campanhas de conscientização</t>
  </si>
  <si>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</si>
  <si>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</si>
  <si>
    <t>A variável "reg_co" siginifica "região Centro-Oeste". Ações que ocorreram em um ou mais estados da região Centro-Oeste, podendo ter ocorrido também em outras regiões ou exclusivamente no Centro-Oeste</t>
  </si>
  <si>
    <t>A variável "reg_ne" siginifica "região Nordeste". Ações que ocorreram em um ou mais estados da região Nordeste, podendo ter ocorrido também em outras regiões ou exclusivamente no Nordeste</t>
  </si>
  <si>
    <t>A variável "reg_n" significa "região Norte". Ações que ocorreram em um ou mais estados da região Norte, podendo ter ocorrido também em outras regiões ou exclusivamente no Norte</t>
  </si>
  <si>
    <t>A variável "reg_se" significa "região Sudeste". Ações que ocorreram em um ou mais estados da região Sudeste, podendo ter ocorrido também em outras regiões ou exclusivamente no Sudeste</t>
  </si>
  <si>
    <t>A variável "reg_s" significa "região Sul". Ações que ocorreram em um ou mais estados da região Sul, podendo ter ocorrido também em outras regiões ou exclusivamente no Sul</t>
  </si>
  <si>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t>
  </si>
  <si>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t>
  </si>
  <si>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t>
  </si>
  <si>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t>
  </si>
  <si>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t>
  </si>
  <si>
    <t>A variável "ods_12.2" significa "ODS 12.2", com sua descrição sendo apresentada a seguir. ODS 12.2 Até 2030, alcançar a gestão sustentável e o uso eficiente dos recursos naturais.</t>
  </si>
  <si>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t>
  </si>
  <si>
    <t>A variável "ods_12.4" significa "ODS 12.4", com sua descrição sendo apresentada a seguir. ODS 12.4 Até 2020, alcançar o manejo ambientalmente saudável dos produtos químicos e todos os resíduos, ao longo de todo o ciclo de vida destes, de acordo com os marcos internacionais acordados, e reduzir significativamente a liberação destes para o ar, água e solo, para minimizar seus impactos negativos sobre a saúde humana e o meio ambiente.</t>
  </si>
  <si>
    <t>A variável "ods_12.5" significa "ODS 12.5", com sua descrição sendo apresentada a seguir. ODS 12.5 Até 2030, reduzir substancialmente a geração de resíduos por meio da prevenção, redução, reciclagem e reuso.</t>
  </si>
  <si>
    <t>A variável "ods_12.6" significa "ODS 12.6", com sua descrição sendo apresentada a seguir. ODS 12.6  Incentivar as empresas, especialmente as empresas grandes e transnacionais, a adotar práticas sustentáveis e a integrar informações de sustentabilidade em seu ciclo de relatórios.</t>
  </si>
  <si>
    <t>A variável "ods_12.8" significa "ODS 12.8", com sua descrição sendo apresentada a seguir. ODS 12.8 Até 2030, garantir que as pessoas, em todos os lugares, tenham informação relevante e conscientização para o desenvolvimento sustentável e estilos de vida em harmonia com a natureza.</t>
  </si>
  <si>
    <t>Setor de atividade</t>
  </si>
  <si>
    <t>Nº</t>
  </si>
  <si>
    <t>%</t>
  </si>
  <si>
    <t>Alimentos e Bebidas</t>
  </si>
  <si>
    <t>Total</t>
  </si>
  <si>
    <t xml:space="preserve">revi, não são iguais </t>
  </si>
  <si>
    <t>Agricultura regenerativa</t>
  </si>
  <si>
    <t>Coca Cola ANDINA</t>
  </si>
  <si>
    <t>são iguais?</t>
  </si>
  <si>
    <t>Solar bebidas</t>
  </si>
  <si>
    <t xml:space="preserve">Agua + Acesso </t>
  </si>
  <si>
    <t>Arrecadação de alimentos e produtos de higiene</t>
  </si>
  <si>
    <t xml:space="preserve">Arrecadação de leite e outros </t>
  </si>
  <si>
    <t xml:space="preserve">Bioinsumos </t>
  </si>
  <si>
    <t xml:space="preserve">Caldeira de Biomassa </t>
  </si>
  <si>
    <t>Campanha da Solidariedade</t>
  </si>
  <si>
    <t xml:space="preserve">pode ser a mesma ação. ver se está relacionado à CUFA. </t>
  </si>
  <si>
    <t xml:space="preserve">nao é a mesma </t>
  </si>
  <si>
    <t>acho que não é a mesma, apesar de incluir a CUFA</t>
  </si>
  <si>
    <t>Campanhas de solidariedade</t>
  </si>
  <si>
    <t xml:space="preserve">não são iguais </t>
  </si>
  <si>
    <t>Controle de Resíduos Sólidos</t>
  </si>
  <si>
    <t xml:space="preserve">não são a mesma ação, apesar do nome. não tem muita informação sobre esse programa, não sei se é estatal ou uma empresa, me parece só coincidencia mesmo </t>
  </si>
  <si>
    <t>Dia C</t>
  </si>
  <si>
    <t xml:space="preserve">Dia C </t>
  </si>
  <si>
    <t xml:space="preserve">Dia de Cooperar </t>
  </si>
  <si>
    <t>Dia de Cooperar – Alimente uma Vida</t>
  </si>
  <si>
    <t>Dia de Cooperar – DIA C</t>
  </si>
  <si>
    <t>Dia de Cooperar (Dia C)</t>
  </si>
  <si>
    <t xml:space="preserve">não são a mesma </t>
  </si>
  <si>
    <t xml:space="preserve">Doação de Cesta Básica </t>
  </si>
  <si>
    <t>Doação de Cestas Básicas</t>
  </si>
  <si>
    <t xml:space="preserve">Doação de cestas básicas  </t>
  </si>
  <si>
    <t>junto com natal sem fome?</t>
  </si>
  <si>
    <t>Doações de alimentos e material de limpeza</t>
  </si>
  <si>
    <t xml:space="preserve">Doações de Cestas </t>
  </si>
  <si>
    <t>Doações de cestas básicas</t>
  </si>
  <si>
    <t>Doações Dia C  em Horizontina e Vila Cascata</t>
  </si>
  <si>
    <t>mesma ação mas em lugares diferentes</t>
  </si>
  <si>
    <t>Doações Dia C em Chapada</t>
  </si>
  <si>
    <t>Doações Dia C em Palmeira das Missões</t>
  </si>
  <si>
    <t>não encontrei essas ações</t>
  </si>
  <si>
    <t>iguais</t>
  </si>
  <si>
    <t>Helping farmers comply with the Forest Code</t>
  </si>
  <si>
    <t>Mateada Solidária Dia C</t>
  </si>
  <si>
    <t>Natal Sem Fome</t>
  </si>
  <si>
    <t xml:space="preserve">revisto, duas são iguais </t>
  </si>
  <si>
    <t>Natal sem Fome</t>
  </si>
  <si>
    <t>Natal sem fome</t>
  </si>
  <si>
    <t xml:space="preserve">Natal Sem Fome </t>
  </si>
  <si>
    <t>Natal Solidário</t>
  </si>
  <si>
    <t xml:space="preserve">Natal Solidário </t>
  </si>
  <si>
    <t>Parceria Mesa Brasil SESC</t>
  </si>
  <si>
    <t>Parceria Mesa Brasil Sesc</t>
  </si>
  <si>
    <t>Parceria que Alimenta Esperança</t>
  </si>
  <si>
    <t>talvez sejam iguais</t>
  </si>
  <si>
    <t>revi, não são iguais</t>
  </si>
  <si>
    <t>Programa Global de Reflorestamento</t>
  </si>
  <si>
    <t>Cooperativa Frísia</t>
  </si>
  <si>
    <t xml:space="preserve">Qualidade da água e reflorestamento </t>
  </si>
  <si>
    <t>Reflorestamento</t>
  </si>
  <si>
    <t xml:space="preserve">Reflorestamento para energia </t>
  </si>
  <si>
    <t xml:space="preserve"> não parecem iguais </t>
  </si>
  <si>
    <t>WASH - Water Access, Sanitation, and Hygiene</t>
  </si>
  <si>
    <t>Tipo de iniciativa</t>
  </si>
  <si>
    <t>Suporte organizacional</t>
  </si>
  <si>
    <t>DADOS CRUZAMENTO KAREN GRÁFICO CERTO</t>
  </si>
  <si>
    <t>Gráfico certo abaixo</t>
  </si>
  <si>
    <t>Iniciativa envolve produção de commodities?</t>
  </si>
  <si>
    <t>Iniciativa envolve clientes da empresa?</t>
  </si>
  <si>
    <t>Iniciativa envolve fornecedores/cooperados?</t>
  </si>
  <si>
    <t>Iniciativa envolve comunidades nas quais a empresa está localizada?</t>
  </si>
  <si>
    <t>Público-alvo externo?</t>
  </si>
  <si>
    <t>Ambos</t>
  </si>
  <si>
    <t>N/A</t>
  </si>
  <si>
    <t>Iniciativa envolve agricultores familiares?</t>
  </si>
  <si>
    <t>Iniciativa envolve grupos em situação de vulnerabilidade social?</t>
  </si>
  <si>
    <t>Iniciativa envolve grupos em situação de vulnerabilidade econômica?</t>
  </si>
  <si>
    <t>Iniciativa envolve crianças e adolescentes?</t>
  </si>
  <si>
    <t>Stakeholder</t>
  </si>
  <si>
    <t>% do total</t>
  </si>
  <si>
    <t xml:space="preserve">Objetivo da iniciativa
</t>
  </si>
  <si>
    <t>Objetivo da iniciativa
Produção de alimento</t>
  </si>
  <si>
    <t>Objetivo da iniciativa
Segurança nutricional</t>
  </si>
  <si>
    <t>Objetivo da iniciativa
Alívio da fome</t>
  </si>
  <si>
    <t>Objetivo da iniciativa
Redução de perda</t>
  </si>
  <si>
    <t>Objetivo da iniciativa
Redução de desperdício</t>
  </si>
  <si>
    <t xml:space="preserve">Objetivo da iniciativa
Reaproveitamento </t>
  </si>
  <si>
    <t>Objetivo da iniciativa
Acesso à água</t>
  </si>
  <si>
    <t>Objetivo da iniciativa
Adoção de melhores práticas/princípios de responsabilidade empresariais</t>
  </si>
  <si>
    <t>Objetivo da iniciativa
Fortalecimento da agricultura familiar</t>
  </si>
  <si>
    <t>Produção de alimento</t>
  </si>
  <si>
    <t>Segurança nutricional</t>
  </si>
  <si>
    <t>Alívio da fome</t>
  </si>
  <si>
    <t>Redução de perda</t>
  </si>
  <si>
    <t>Redução de desperdício</t>
  </si>
  <si>
    <t xml:space="preserve">Reaproveitamento </t>
  </si>
  <si>
    <t>Acesso à água</t>
  </si>
  <si>
    <t>Adoção de melhores práticas/princípios de responsabilidade empresariais</t>
  </si>
  <si>
    <t>Fortalecimento da agricultura familiar</t>
  </si>
  <si>
    <t>Benefício</t>
  </si>
  <si>
    <t>Benefício social</t>
  </si>
  <si>
    <t>Benefício ambiental</t>
  </si>
  <si>
    <t>Benefício de governança da empresa</t>
  </si>
  <si>
    <t>Social</t>
  </si>
  <si>
    <t>75,77%</t>
  </si>
  <si>
    <t>Environmental</t>
  </si>
  <si>
    <t>48,60%</t>
  </si>
  <si>
    <t xml:space="preserve">Governance </t>
  </si>
  <si>
    <t>6,46%</t>
  </si>
  <si>
    <t>Social x produção</t>
  </si>
  <si>
    <t>Social x armazenamento</t>
  </si>
  <si>
    <t>social x transporte</t>
  </si>
  <si>
    <t xml:space="preserve">social x processamento </t>
  </si>
  <si>
    <t xml:space="preserve">social x varejo </t>
  </si>
  <si>
    <t xml:space="preserve">social x consumo </t>
  </si>
  <si>
    <t>ambiental x produção</t>
  </si>
  <si>
    <t>ambiental x armazenamento</t>
  </si>
  <si>
    <t>ambiental x transporte</t>
  </si>
  <si>
    <t xml:space="preserve">ambiental x processamento </t>
  </si>
  <si>
    <t>ambiental x varejo</t>
  </si>
  <si>
    <t>ambiental x consumo</t>
  </si>
  <si>
    <t>governança x produção</t>
  </si>
  <si>
    <t>governança x armazenamento</t>
  </si>
  <si>
    <t xml:space="preserve">governança x transporte </t>
  </si>
  <si>
    <t>governança x processamento</t>
  </si>
  <si>
    <t>governança x varejo</t>
  </si>
  <si>
    <t>governança x consumo</t>
  </si>
  <si>
    <t>Benefício/Setor</t>
  </si>
  <si>
    <t>Ambiental</t>
  </si>
  <si>
    <t>Governança</t>
  </si>
  <si>
    <t>Principal mecanismo de atuação</t>
  </si>
  <si>
    <t>Implementação de práticas sustentáveis</t>
  </si>
  <si>
    <t>Disseminação de conhecimento</t>
  </si>
  <si>
    <t>Gráfico certo</t>
  </si>
  <si>
    <t>Recebeu financiamento em:</t>
  </si>
  <si>
    <t>Recebeu financiamento em 2020</t>
  </si>
  <si>
    <t>Recebeu financiamento em 2021</t>
  </si>
  <si>
    <t>Recebeu financiamento em 2022</t>
  </si>
  <si>
    <t>Recebeu financiamento em 2023</t>
  </si>
  <si>
    <t>S/i</t>
  </si>
  <si>
    <t>Status da iniciativa</t>
  </si>
  <si>
    <t>Iniciativa de longa duração 
(2 anos ou mais)?</t>
  </si>
  <si>
    <t>Mais de dois anos seguidos</t>
  </si>
  <si>
    <t>Menos de dois anos seguidos</t>
  </si>
  <si>
    <t>Iniciativa teve motivação inicial emergencial?</t>
  </si>
  <si>
    <t>Mais de um tipo de parceiro financiador/apoiador?</t>
  </si>
  <si>
    <t>Mais de um tipo de organização executora?</t>
  </si>
  <si>
    <t>Tipo de organização executora</t>
  </si>
  <si>
    <t>N/a</t>
  </si>
  <si>
    <t>Ação relacionada à/ao</t>
  </si>
  <si>
    <t>Ação relacionada à produção de alimentos</t>
  </si>
  <si>
    <t>Ação relacionada ao armazenamento</t>
  </si>
  <si>
    <t>Ação relacionada ao transporte/logística</t>
  </si>
  <si>
    <t>Ação relacionada ao processamento</t>
  </si>
  <si>
    <t>Ação relacionada ao varejo/atacado (alimento pronto)</t>
  </si>
  <si>
    <t>Ação relacionada ao consumidor (conhecimento, casas e serviços)</t>
  </si>
  <si>
    <t>Consumo</t>
  </si>
  <si>
    <t>Processamento</t>
  </si>
  <si>
    <t>Armazenamento</t>
  </si>
  <si>
    <t xml:space="preserve">Varejo/atacado </t>
  </si>
  <si>
    <t>Transporte/logística</t>
  </si>
  <si>
    <t xml:space="preserve">DADOS CERTOs CRUZAMENTO KAREN GRÁFICO </t>
  </si>
  <si>
    <t>O gráfico não mudou</t>
  </si>
  <si>
    <t>ID EMPRE</t>
  </si>
  <si>
    <t>ID INICIATIVA</t>
  </si>
  <si>
    <t>ID AÇÃO</t>
  </si>
  <si>
    <t>Estado de atuação</t>
  </si>
  <si>
    <t>% do total de ações (681 ações totais)</t>
  </si>
  <si>
    <t>Sede das empresas</t>
  </si>
  <si>
    <t>001</t>
  </si>
  <si>
    <t>012</t>
  </si>
  <si>
    <t>0010123</t>
  </si>
  <si>
    <t>SUDESTE</t>
  </si>
  <si>
    <t>verde</t>
  </si>
  <si>
    <t>Estado</t>
  </si>
  <si>
    <t>N°</t>
  </si>
  <si>
    <t>rosa</t>
  </si>
  <si>
    <t xml:space="preserve">AM </t>
  </si>
  <si>
    <t>azul</t>
  </si>
  <si>
    <t>ES</t>
  </si>
  <si>
    <t>amarelo</t>
  </si>
  <si>
    <t>NORDESTE</t>
  </si>
  <si>
    <t>laranja</t>
  </si>
  <si>
    <t>vermelho</t>
  </si>
  <si>
    <t xml:space="preserve">nacional </t>
  </si>
  <si>
    <t>RN</t>
  </si>
  <si>
    <t>PB</t>
  </si>
  <si>
    <t>SE</t>
  </si>
  <si>
    <t>SUL</t>
  </si>
  <si>
    <t>TOTAL</t>
  </si>
  <si>
    <t>CENTRO</t>
  </si>
  <si>
    <t>NORTE</t>
  </si>
  <si>
    <t>OUTROS</t>
  </si>
  <si>
    <t>Região</t>
  </si>
  <si>
    <t>Centro-Oeste</t>
  </si>
  <si>
    <t>Nordeste</t>
  </si>
  <si>
    <t>Norte</t>
  </si>
  <si>
    <t>Sudeste</t>
  </si>
  <si>
    <t>Sul</t>
  </si>
  <si>
    <t>ODS</t>
  </si>
  <si>
    <t>ODS 2.1</t>
  </si>
  <si>
    <t>ODS 2.2</t>
  </si>
  <si>
    <t>ODS 2.3</t>
  </si>
  <si>
    <t>ODS 2.4</t>
  </si>
  <si>
    <t>ODS 2.5</t>
  </si>
  <si>
    <t>ODS 12.2</t>
  </si>
  <si>
    <t>ODS 12.3</t>
  </si>
  <si>
    <t>ODS 12.4</t>
  </si>
  <si>
    <t>ODS 12.5</t>
  </si>
  <si>
    <t>ODS 12.6</t>
  </si>
  <si>
    <t>ODS 12.8</t>
  </si>
  <si>
    <t>DADOS ATUALIZADOS CRUZAMENTO KAREN</t>
  </si>
  <si>
    <t>Não 2023</t>
  </si>
  <si>
    <t>S/i 2023</t>
  </si>
  <si>
    <t>Não e s/i 2023</t>
  </si>
  <si>
    <t>Consumidor (conhecimento, casas e serviços)</t>
  </si>
  <si>
    <t>76,01</t>
  </si>
  <si>
    <t>11,84</t>
  </si>
  <si>
    <t>8,41</t>
  </si>
  <si>
    <t>3,74</t>
  </si>
  <si>
    <t>Varejo/atacado (alimento pronto)</t>
  </si>
  <si>
    <t>Total 2020/22</t>
  </si>
  <si>
    <t>cnae</t>
  </si>
  <si>
    <t>set_ativ</t>
  </si>
  <si>
    <t>set_econo</t>
  </si>
  <si>
    <t>seg_econo</t>
  </si>
  <si>
    <t>capital_b3</t>
  </si>
  <si>
    <t>multinacional</t>
  </si>
  <si>
    <t>inicio_emp</t>
  </si>
  <si>
    <t>estado_sede</t>
  </si>
  <si>
    <t>pais_orig</t>
  </si>
  <si>
    <t>receita_liq</t>
  </si>
  <si>
    <t>emp_fund_insti</t>
  </si>
  <si>
    <t>nome_fund_insti</t>
  </si>
  <si>
    <t>membro_pacto</t>
  </si>
  <si>
    <t>invent_gee</t>
  </si>
  <si>
    <t>ano_gee</t>
  </si>
  <si>
    <t>assoc_pactos</t>
  </si>
  <si>
    <t>certific</t>
  </si>
  <si>
    <t>desc_certific</t>
  </si>
  <si>
    <t>pri_ssan_20</t>
  </si>
  <si>
    <t>pri_ssan_21</t>
  </si>
  <si>
    <t>pri_ssan_22</t>
  </si>
  <si>
    <t>pri_ssan_23</t>
  </si>
  <si>
    <t>Linkedin</t>
  </si>
  <si>
    <t>Instagram</t>
  </si>
  <si>
    <t>site</t>
  </si>
  <si>
    <t>Facebook</t>
  </si>
  <si>
    <t>fund</t>
  </si>
  <si>
    <t>data_dados</t>
  </si>
  <si>
    <t>obs</t>
  </si>
  <si>
    <t>relat_ano20a23</t>
  </si>
  <si>
    <t>46.32-0-01 - Comércio atacadista de cereais e leguminosas beneficiados</t>
  </si>
  <si>
    <t xml:space="preserve">Agropecuária </t>
  </si>
  <si>
    <t>Agricultura</t>
  </si>
  <si>
    <t>Rio Grande do Sul</t>
  </si>
  <si>
    <t>Brasil</t>
  </si>
  <si>
    <t xml:space="preserve">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 </t>
  </si>
  <si>
    <t xml:space="preserve">Certificação como Empresa B; Certificado GMP+; certificado pela ISO 17.025; Certificação Renovabio; ISO 17025; NBR ISO 17025; Selo de Combustível Social; </t>
  </si>
  <si>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</si>
  <si>
    <t>3tentosagro</t>
  </si>
  <si>
    <t>Não tem relatório de 2023</t>
  </si>
  <si>
    <t>Sobre nós</t>
  </si>
  <si>
    <t>Relatório 2022 (ODS)</t>
  </si>
  <si>
    <t>https://www.3tentos.com.br/esg#conteudo_4</t>
  </si>
  <si>
    <t>01.13-0-00 - Cultivo de cana-de-açúcar</t>
  </si>
  <si>
    <t>São Paulo</t>
  </si>
  <si>
    <t>Instituto Brasilagro</t>
  </si>
  <si>
    <t xml:space="preserve"> 2021; 2022</t>
  </si>
  <si>
    <t>Algodão Brasileiro Responsável (ABR); Better Cotton Initiative (BCI).</t>
  </si>
  <si>
    <t>certificação Onça-pintada</t>
  </si>
  <si>
    <t>Brasilagro.oficial</t>
  </si>
  <si>
    <t>BrasilagroOficial</t>
  </si>
  <si>
    <t>O Instituto Brasilagro tem ações de combate à IAN</t>
  </si>
  <si>
    <t>Site</t>
  </si>
  <si>
    <t>Instituto BrasilAgro</t>
  </si>
  <si>
    <t>https://ri.brasil-agro.com/governanca/relatorio-de-sustentabilidade/</t>
  </si>
  <si>
    <t>01.61-0-99 - Atividades de apoio à agricultura não especificadas anteriormente</t>
  </si>
  <si>
    <t>2021; 2022; 2023</t>
  </si>
  <si>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</si>
  <si>
    <t>Certificação de Unidades Armazenadoras em Ambiente Natural - UAAN ; Regenagri Certification; Round Table on Responsible Soy - RTRS Certified Soy; Programa Na Mão Certa ; Renovabio; Sisbov; ISO 9001; ISO 45001; ISO 14001; NBR 16001; RTRS MILHO; BCI; ABR; ABR-UBA; 3 S; UAAN; 2BSvs1;</t>
  </si>
  <si>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</si>
  <si>
    <t>SLC Agricola</t>
  </si>
  <si>
    <t>-</t>
  </si>
  <si>
    <t>SLC</t>
  </si>
  <si>
    <t>Grupo SLC</t>
  </si>
  <si>
    <t>O Instituto SLC tem ações de combate à IAN</t>
  </si>
  <si>
    <t>Quem somos</t>
  </si>
  <si>
    <t>https://www.slcagricola.com.br/relatorio-integrado/</t>
  </si>
  <si>
    <t>01.55-5-02 - Produção de pintos de um dia</t>
  </si>
  <si>
    <t>Santa Catarina</t>
  </si>
  <si>
    <t>Não tem relatórios. Coloquei que a SA foi uma prioridade em 2020 porque as ações de doação da empresa nessa época estão como pilar social no site</t>
  </si>
  <si>
    <t>Nossa história</t>
  </si>
  <si>
    <t>64.62-0-00 - Holdings de instituições não-financeiras</t>
  </si>
  <si>
    <t>Instituto AgroGalaxy</t>
  </si>
  <si>
    <t>2020; 2021; 2022; 2023</t>
  </si>
  <si>
    <t>Iniciativa Financeira para Amazônia, Cerrado e Chaco (IFACC); Moratória da Soja; Pacto Empresarial pela Integridade e Contra a Corrupção; Princípios de Empoderamento das Mulheres (WEPs)</t>
  </si>
  <si>
    <t xml:space="preserve">Certificados de Recebíveis do Agronegócio (CRAs); Great Place to Work (GPTW); Selo Ouro no GHG Protocol; Selo Prata Ecovadis em Gestão de Sustentabilidade; Selo Seeds Solution; Woman on Board (WOB); </t>
  </si>
  <si>
    <t>"Em outubro de 2022, o AgroGalaxy celebrou a conquista – inédita entre as empresas de varejo de insumos agrícolas – do Selo Ouro do Programa Brasileiro GHG Protocol. Em 2023, busca a renovação do reconhecimento (ainda não publicado na data de veiculação deste documento)."</t>
  </si>
  <si>
    <t>Instituto Agrogalaxy</t>
  </si>
  <si>
    <t>https://ri.agrogalaxy.com.br/governanca-corporativa-e-sustentabilidade/relatorio-de-sustentabilidade/</t>
  </si>
  <si>
    <t>46.22-2-00 - Comércio atacadista de soja</t>
  </si>
  <si>
    <t>Holanda</t>
  </si>
  <si>
    <t>2020; 2021; 2022</t>
  </si>
  <si>
    <t>Center Field; Global Shea Alliance; Field to Market; Round Table on Sustainable Palm Oil; Soft Commodities Forum; Round Table for Responsible Soy; Roadmap do Agri-Sector</t>
  </si>
  <si>
    <t xml:space="preserve">Agriculture Sector Roadmap to 1.5ºC; Abiove; </t>
  </si>
  <si>
    <t>Produto Bunge</t>
  </si>
  <si>
    <t>Bunge Br</t>
  </si>
  <si>
    <t>Fundação</t>
  </si>
  <si>
    <t>Os relatórios têm os dados do ano passado, ex: o de 2023 é na verdade sobre 2022. A fundação tem várias ações</t>
  </si>
  <si>
    <t>Somos Bunge</t>
  </si>
  <si>
    <t>https://www.bunge.com.br/Sustentabilidade/Nossos-Relatorios</t>
  </si>
  <si>
    <t>https://www.bunge.com.br/en/Sustentabilidade/Nossos-Relatorios</t>
  </si>
  <si>
    <t>10.42-2-00 - Fabricação de óleos vegetais refinados, exceto óleo de milho</t>
  </si>
  <si>
    <t>Estados Unidos</t>
  </si>
  <si>
    <t>Fundação Cargill</t>
  </si>
  <si>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</si>
  <si>
    <t xml:space="preserve">Agriculture Sector Roadmap to 1.5ºC; Rainforest Alliance; </t>
  </si>
  <si>
    <t>Não encontramos nenhuma ação empresarial voltada à SAN em 2021. O relatório de 2022 parece ser global e chama ESG (e os outros chamam Sustentabilidade)</t>
  </si>
  <si>
    <t>https://www.cargill.com.br/pt_BR/cargill-em-resumo</t>
  </si>
  <si>
    <t>https://www.cargill.com.br/pt_BR/nossa-hist%C3%B3ria</t>
  </si>
  <si>
    <t>https://www.cargill.com.br/pt_BR/produtos-e-servi%C3%A7os</t>
  </si>
  <si>
    <t>COFCO Internacional</t>
  </si>
  <si>
    <t>4623-1/99 - Comércio atacadista de matérias primas agrícolas não especificadas anteriormente</t>
  </si>
  <si>
    <t>China</t>
  </si>
  <si>
    <t>Business for Nature; PCI Corporate Action Group</t>
  </si>
  <si>
    <t xml:space="preserve">Agriculture Sector Roadmap to 1.5ºC; Great Place to Work; 4C-certified Buyer;  </t>
  </si>
  <si>
    <t>COFCO INT</t>
  </si>
  <si>
    <t>22/10/2024</t>
  </si>
  <si>
    <t xml:space="preserve">O relatório de 2020 fala que eles têm compromisso com a segurança alimentar mas não apresentam nenhum dado ou ação concreta. Há apenas uma foto que parece ser a entrega de cestas basicas, porém sem legenda informando. </t>
  </si>
  <si>
    <t>https://br.cofcointernational.com/#Oquefazemos</t>
  </si>
  <si>
    <t>G-4622-2/00 - Comércio atacadista de soja não beneficiada</t>
  </si>
  <si>
    <t xml:space="preserve">Mato Grosso </t>
  </si>
  <si>
    <t xml:space="preserve">Fundação André e Lucia Maggi </t>
  </si>
  <si>
    <t>Coalizão Brasil Clima, Florestas e Agricultura; Moratória da Soja; Protocolo Verde dos Grãos; Round Table on Responsible Soy Association (RTRS);  Science Based Targets initiative (SBTi)</t>
  </si>
  <si>
    <t>Agriculture Sector Roadmap to 1.5ºC; Selo Mais Integridade; RTRS - Round Table on Responsible Soy; ProTerra; 2BSvs; ISO 14001; Origins; ABR/BCI</t>
  </si>
  <si>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</si>
  <si>
    <t xml:space="preserve">Fundação André e Lúcia Maggi </t>
  </si>
  <si>
    <t xml:space="preserve">As iniciativas de segurança alimentar de 2022 estão todas vinculadas à fundação. </t>
  </si>
  <si>
    <t>Relatório 2022 Progresso</t>
  </si>
  <si>
    <t>C-1033-3/01 - Fabricação de Sucos Concentrados de Frutas, Hortaliças e Legumes</t>
  </si>
  <si>
    <t>França</t>
  </si>
  <si>
    <t xml:space="preserve">Fundação Louis Dreyfus </t>
  </si>
  <si>
    <t>2020; 2021; 2022; 2024</t>
  </si>
  <si>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</si>
  <si>
    <t>Agriculture Sector Roadmap to 1.5ºC; Bonsucro; Better Cotton; Rainforest Alliance; Roundtable on Sustainable Palm Oil</t>
  </si>
  <si>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</si>
  <si>
    <t xml:space="preserve">- </t>
  </si>
  <si>
    <t xml:space="preserve">Os relatórios são das atividades globais, não tem um só para o Brasil, logo estão em inglês. </t>
  </si>
  <si>
    <t>Relatório Financeiro 2021</t>
  </si>
  <si>
    <t>4711-3/02 - Comércio varejista de mercadorias em geral, com predominância de produtos alimentícios - supermercados</t>
  </si>
  <si>
    <t>Paraná</t>
  </si>
  <si>
    <t>C. Vale</t>
  </si>
  <si>
    <t xml:space="preserve">Não encontrei nenhuma ação para segurança alimentar. </t>
  </si>
  <si>
    <t>G-4683-4/00 - Comércio atacadista de defensivos agrícolas, adubos, fertilizantes e corretivos do solo</t>
  </si>
  <si>
    <t>Relatórios unificados (2020/2021), (2021/2022) e (2022/2023)</t>
  </si>
  <si>
    <t>2021; 2023</t>
  </si>
  <si>
    <t>Selo Clima Paraná</t>
  </si>
  <si>
    <t>"Obtenção do Selo Clima Paraná que visa reconhecer empresas com iniciativas focadas na economia de baixo carbono;"</t>
  </si>
  <si>
    <t>1041-4/00 Fabricação de óleos vegetais em bruto, exceto óleo de milho</t>
  </si>
  <si>
    <t>Goiás</t>
  </si>
  <si>
    <t xml:space="preserve">Cooperativa Comigo </t>
  </si>
  <si>
    <t>Só encontrei os relatórios de 2022.</t>
  </si>
  <si>
    <t>4689-3/99 - Comércio atacadista especializado em outros produtos intermediários não especificados anteriormente</t>
  </si>
  <si>
    <t>Instituto Cocamar</t>
  </si>
  <si>
    <t>2010; 2011</t>
  </si>
  <si>
    <t>Só tem o relatório de sustentabilidade de 2022 e de contas de 2022 e 2023</t>
  </si>
  <si>
    <t>Relatório de Contas 2022</t>
  </si>
  <si>
    <t>4683-4/00 - Comércio atacadista de defensivos agrícolas, adubos, fertilizantes e corretivos do solo</t>
  </si>
  <si>
    <t xml:space="preserve">Minas Gerais </t>
  </si>
  <si>
    <t>Relatórios unificados (2020 e 2021) e (2022 e 2023), mas acredito que ambos sejam sobre 2021 e 2023; o ChatGPT não consegue extrair informações do texto dentro dos relatório da Cooxupé devido a sua formatção que encontra-se em formato semelhante a "foto" ou digitalização, impossibilitando a seleção de textos.</t>
  </si>
  <si>
    <t xml:space="preserve"> C-1042-2/00 - Fabricação de óleos vegetais refinados, exceto óleo de milho</t>
  </si>
  <si>
    <t>Moratória da Soja</t>
  </si>
  <si>
    <t>Certificação ProTerra</t>
  </si>
  <si>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</si>
  <si>
    <t xml:space="preserve">Caramuru </t>
  </si>
  <si>
    <t>Falta relatório 2023</t>
  </si>
  <si>
    <t>G-4683-4/00 - Comércio atacadista de defensivos agrícolas, adubos, fertilizantes e corretivos do solo.</t>
  </si>
  <si>
    <t>G-4623-1/99 - Comércio atacadista de matérias-primas agrícolas não especificadas anteriormente</t>
  </si>
  <si>
    <t>Cooperativa Integrada</t>
  </si>
  <si>
    <t>28/08/2024</t>
  </si>
  <si>
    <t>Relatório de Atividades 2022</t>
  </si>
  <si>
    <t>Relatório de Atividades 2023</t>
  </si>
  <si>
    <t xml:space="preserve">Belagrícola </t>
  </si>
  <si>
    <t>G-4683-4/00 - Comércio atacadista de defensivos agrícolas, adubos, fertilizantes e corretivos do solo, de acordo com o código</t>
  </si>
  <si>
    <t>Faltam os relatórios 2020 e 2023</t>
  </si>
  <si>
    <t>G-4632-0/01 - Comércio atacadista de cereais e leguminosas beneficiados</t>
  </si>
  <si>
    <t>Fundação Agrária de Pesquisa Agropecuária; Fundação Cultural Suábio-Brasileira; Fundação Semmelweis; Instituto Agrária</t>
  </si>
  <si>
    <t xml:space="preserve">ProTerra; RTRS; SAI </t>
  </si>
  <si>
    <r>
      <rPr>
        <rFont val="Calibri"/>
        <b/>
        <color theme="1"/>
      </rPr>
      <t>ProTerra:</t>
    </r>
    <r>
      <rPr>
        <rFont val="Calibri"/>
        <color theme="1"/>
      </rPr>
      <t xml:space="preserve">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
</t>
    </r>
    <r>
      <rPr>
        <rFont val="Calibri"/>
        <b/>
        <color theme="1"/>
      </rPr>
      <t>RTRS:</t>
    </r>
    <r>
      <rPr>
        <rFont val="Calibri"/>
        <color theme="1"/>
      </rPr>
      <t xml:space="preserve">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r>
  </si>
  <si>
    <t>CNAE G-4623-1/99 - Comércio atacadista de matérias-primas agrícolas não especificadas anteriormente.</t>
  </si>
  <si>
    <t xml:space="preserve">Fundação ABC </t>
  </si>
  <si>
    <t>FSSC 2000; Selo Clima Paraná; Selo Mais Integridade; Selo Seedcare</t>
  </si>
  <si>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
Selo Seedcare: "O Selo de Excelência em Tratamento Industrial de Sementes, concedido pela multinacional Syngenta, é entregue a empresas que atendem elevados padrões de qualidade e segurança."</t>
  </si>
  <si>
    <t>Fundação ABC</t>
  </si>
  <si>
    <t>21/08/2024</t>
  </si>
  <si>
    <t xml:space="preserve">Tem o relatório financeiro de 2023, mas ele não traz informações de ESG e etc. </t>
  </si>
  <si>
    <t>https://www.castrolanda.coop.br/castrolanda-completa-71-anos-de-historia-e-conquistas/</t>
  </si>
  <si>
    <t>CNAE G-4632-0/01 - Comércio atacadista de cereais e leguminosas beneficiados.</t>
  </si>
  <si>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</si>
  <si>
    <t xml:space="preserve">Frísia </t>
  </si>
  <si>
    <t>CNAE G-4621-4/0 - Comércio atacadista de café em grão</t>
  </si>
  <si>
    <t xml:space="preserve">Suiça </t>
  </si>
  <si>
    <t xml:space="preserve">ECOM Foundation </t>
  </si>
  <si>
    <t>Global Biodiversity Framework; Rainforest Alliance</t>
  </si>
  <si>
    <t>Coffee SMS Code</t>
  </si>
  <si>
    <t xml:space="preserve">"Certification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 </t>
  </si>
  <si>
    <t xml:space="preserve">ECOM </t>
  </si>
  <si>
    <t>20/08/2024</t>
  </si>
  <si>
    <t xml:space="preserve">No Brasil a empresa chama EISA Interagrícola mas a empresa internacional chama ECOM Agroindustry. Os relatórios são da ECOM e não da EISA. </t>
  </si>
  <si>
    <t>CNAE G-4622-2/00 - Comércio atacadista de soja</t>
  </si>
  <si>
    <t>ChatGPT não conseguiu ler o relatório de 2023 devido ao seu formato, contudo não qualquer ação a ser categorizada.</t>
  </si>
  <si>
    <t>https://www.cotrijal.com.br/sobre.php</t>
  </si>
  <si>
    <t>Fiagril</t>
  </si>
  <si>
    <t>Grupo de Trabalho da Soja (GTS); Moratória da Soja;  Protocolo Verde dos Grãos do Pará</t>
  </si>
  <si>
    <t xml:space="preserve">Tesouro Verde – Amapá </t>
  </si>
  <si>
    <t>"Temos o Selo de Sustentabilidade Tesouro Verde, programa voltado à criação de uma rede colaborativa para incentivar e retribuir a utilização de recursos naturais por meio da emissão de ativos ambientais (“créditos de floresta”)."</t>
  </si>
  <si>
    <t>https://fiagril.com.br/nossa-historia/</t>
  </si>
  <si>
    <t>CNAE G-4632-0/01 - Comércio atacadista de cereais e leguminosas beneficiados</t>
  </si>
  <si>
    <t xml:space="preserve">Não tem relatórios, as informações retiradas foram baseadas no site e em redes sociais. </t>
  </si>
  <si>
    <t>https://www.cocari.com.br/produto-servico.php?ID=12</t>
  </si>
  <si>
    <t>https://www.cocari.com.br/unidade.php</t>
  </si>
  <si>
    <t>CNAE C-1062-7/00: Moagem de trigo e fabricação de derivados.</t>
  </si>
  <si>
    <t>27/08/2024</t>
  </si>
  <si>
    <t>https://coopavel.com.br/receitas/</t>
  </si>
  <si>
    <t>A Coasul disponibliza para o ano de 2021 somente o relatórico de Demonstrações Financeiras, que não conta com ações e programas da empresa, apenas suas movimentações e resultados financeiros aolongo do período.</t>
  </si>
  <si>
    <t>https://www.coasul.com.br/sobre</t>
  </si>
  <si>
    <t>CNAE G-4683-4/00 - Comércio atacadista de defensivos agrícolas, adubos, fertilizantes e corretivos do solo</t>
  </si>
  <si>
    <t>Selo Verde</t>
  </si>
  <si>
    <t xml:space="preserve">"Em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 </t>
  </si>
  <si>
    <t>Copercana</t>
  </si>
  <si>
    <t>26/08/2024</t>
  </si>
  <si>
    <t xml:space="preserve">Não tem os relatórios de 2020 e 2023. </t>
  </si>
  <si>
    <t>CNAE M-7210-0/00 Pesquisa e Desenvolvimento Experimental Em Ciências Físicas e Naturais</t>
  </si>
  <si>
    <t>Instituto Tortuga</t>
  </si>
  <si>
    <t>Dutch Sustainable Growth Coalition; Swiss Food &amp; Nutrition Valley</t>
  </si>
  <si>
    <t xml:space="preserve">Instituto Tortuga </t>
  </si>
  <si>
    <t>Relatório Integrado Anual - 2023</t>
  </si>
  <si>
    <t>https://unglobalcompact.org/what-is-gc/participants/3759-DSM-Firmenich</t>
  </si>
  <si>
    <t>23/08/2024</t>
  </si>
  <si>
    <t>https://www.capal.coop.br/site/cooperativa.php</t>
  </si>
  <si>
    <t>https://fundacaoabc.org/quem-somos/</t>
  </si>
  <si>
    <t>CNAE 1069400 - Moagem e fabricação de produtos de origem vegetal não especificados anteriormente</t>
  </si>
  <si>
    <t>2019; 2020; 2021; 2022</t>
  </si>
  <si>
    <t>Fundação ProTerra; Round Table on Responsible Soy (RTRS); The Marine Ingredients Organization (IFFO)</t>
  </si>
  <si>
    <t>ProTerra; RTRS; Associação Nacional dos Exportadores de Cereais (ANEC); Associação Brasileira das Indústrias de Óleos Vegetais (ABIOVE)</t>
  </si>
  <si>
    <t>ProTerra: "Além da certificação para não-transgênicos, a certificação ProTerra garante transparência, responsabilidade socioambiental, rastreabilidade em toda a cadeia de fornecimento de soja aplicáveis aos produtos da CJ Selecta."
Associação Nacional dos Exportadores de Cereais (ANEC): "Somos membros da ANEC pois assumimos um compromisso com o progra - ma de não-comercialização da soja originada no bioma Amazônico, prove - niente de áreas abertas após 2008."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
Associação Brasileira das Indústrias de Óleos Vegetais (ABIOVE): "Representa 13 empresas produtoras de farelo, óleos vegetais e biodiesel, coopera na execução das políticas do setor, promove programas de sustentabilidade e gera estatísticas utilizadas em estudos setoriais."</t>
  </si>
  <si>
    <t>https://cjselecta.com.br/sobre-nos/</t>
  </si>
  <si>
    <t>https://cjselecta.com.br/sustentabilidade/</t>
  </si>
  <si>
    <t>https://cjselecta.com.br/onde-estamos/</t>
  </si>
  <si>
    <t>CNAE C-1066-0/00 - Fabricação de alimentos para animais</t>
  </si>
  <si>
    <t xml:space="preserve">Os projetos foram tirados do site institucional, não há relatórios </t>
  </si>
  <si>
    <t>História</t>
  </si>
  <si>
    <t>1033301 - Fabricação de sucos concentrados de frutas, hortaliças e legumes</t>
  </si>
  <si>
    <t>2019, 2022</t>
  </si>
  <si>
    <t>Rainflorest Alliance</t>
  </si>
  <si>
    <t>Rainflorest Aliance: "Being Rainforest Alliance certified means a product respects the three pillars of sustainability: social, economic, and environmental."</t>
  </si>
  <si>
    <t>22/08/2024</t>
  </si>
  <si>
    <t>CNAE G-4623-1/99</t>
  </si>
  <si>
    <t>O arquivo em PDF do relatório para o ano de 2021 encontra-se em um formato (possívelmente um formato "foto") que impossibilita a leitura pelo ChatGPT.</t>
  </si>
  <si>
    <t>Mato Grosso do Sul</t>
  </si>
  <si>
    <t>2022, 2023, 2024</t>
  </si>
  <si>
    <t>21/06/2024</t>
  </si>
  <si>
    <t xml:space="preserve">Relatório de 2022 teve que ser lido, não foi disponibilizado para download. </t>
  </si>
  <si>
    <t>Nossa História</t>
  </si>
  <si>
    <t>Nossas Unidades</t>
  </si>
  <si>
    <t xml:space="preserve">Fecularia </t>
  </si>
  <si>
    <t>CNAE K-6462-0/00 - Holdings de instituições não financeiras</t>
  </si>
  <si>
    <t>4C; C.A.F.E Practices; Certifica Minas;  Fairtrade; Fairtrade Orgânico; Orgânico; Rainforest; Região do Cerrado Mineiro; Smithsonian Bird Friendly; UTZ</t>
  </si>
  <si>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</si>
  <si>
    <t xml:space="preserve"> Instituto Café Solidário.</t>
  </si>
  <si>
    <t>25/06/2024</t>
  </si>
  <si>
    <t>Não tem o relatório de 2023</t>
  </si>
  <si>
    <t>Conheça o grupo Montesanto Tavares</t>
  </si>
  <si>
    <t>CNAE C-1011-2/01 - Frigorífico: abate de bovinos</t>
  </si>
  <si>
    <t xml:space="preserve">Alimentos processados </t>
  </si>
  <si>
    <t>Carnes e derivados</t>
  </si>
  <si>
    <t>Fundo JBS pela Amazônia; Instituto J&amp;F</t>
  </si>
  <si>
    <t xml:space="preserve">2020; 2021; 2022 </t>
  </si>
  <si>
    <t>Certificado de Recebíveis do Agronegócio (CRA); Global Roundtable for Sustainable Beef (GRSB); SAI Plataform; Selo Clima Paraná Ouro; Tropical Forest Alliance (TFA); Trabalho da Pecuária Sustentável (GTPS); Agriculture Sector Roadmap to 1.5ºC</t>
  </si>
  <si>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</si>
  <si>
    <r>
      <rPr>
        <rFont val="Calibri"/>
        <color rgb="FF1155CC"/>
        <sz val="11.0"/>
        <u/>
      </rPr>
      <t xml:space="preserve">Fundo JBS pela Amazônia </t>
    </r>
    <r>
      <rPr>
        <rFont val="Calibri"/>
        <color rgb="FF000000"/>
        <sz val="11.0"/>
      </rPr>
      <t xml:space="preserve">; </t>
    </r>
    <r>
      <rPr>
        <rFont val="Calibri"/>
        <color rgb="FF1155CC"/>
        <sz val="11.0"/>
        <u/>
      </rPr>
      <t xml:space="preserve"> Instituto J&amp;F</t>
    </r>
  </si>
  <si>
    <t>13/10/2024</t>
  </si>
  <si>
    <t>Unidades</t>
  </si>
  <si>
    <t>CNAE 72.10-0-00</t>
  </si>
  <si>
    <t>Distrito Federal</t>
  </si>
  <si>
    <t>14/08/2024</t>
  </si>
  <si>
    <t>Relatório de Gestão 2021</t>
  </si>
  <si>
    <t>Relatório de Administração 2022</t>
  </si>
  <si>
    <t>Relatório de Administração 2023</t>
  </si>
  <si>
    <t>CNAE 10.11-2-01 - Frigorífico - abate de bovinos</t>
  </si>
  <si>
    <t xml:space="preserve">Alimentos Processados </t>
  </si>
  <si>
    <t>Carnes e Derivados</t>
  </si>
  <si>
    <t>Instituto Marfrig</t>
  </si>
  <si>
    <t>2010; 2011; 2012; 2020; 2021; 2022; 2023</t>
  </si>
  <si>
    <t>Coalizão Brasil - CLima Floresta e Agricultura; Força-Tarefa de Rastreabilidade de Carne; Global Roundtable for Sustainable Beef; Tropical Forest Alliance (TFA)</t>
  </si>
  <si>
    <t>Global Roundtable for Sustainable Beef; Tropical Forest Alliance (TFA)</t>
  </si>
  <si>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</si>
  <si>
    <t>13/08/2024</t>
  </si>
  <si>
    <t>CNAE G-4711-3/01 - Comércio varejista de mercadorias em geral, com predominância de produtos alimentícios - hipermercados.</t>
  </si>
  <si>
    <t>Comércio Varejista</t>
  </si>
  <si>
    <t>Comércio e distribuição</t>
  </si>
  <si>
    <t xml:space="preserve">Alimentos </t>
  </si>
  <si>
    <t>Instituto Carrefour</t>
  </si>
  <si>
    <t>2020; 2023</t>
  </si>
  <si>
    <t>Mesa Brasileira da Pecuária Sustentável (MBPS); Movimento Todos à Mesa; Pacto contra a Fome (PCF); Round Table on Responsible Soy Association (RTRS)</t>
  </si>
  <si>
    <t xml:space="preserve"> RSPO (Mesa Redonda de Óleo de Palma Sustentável); Aquaculture Stewardship Council (ASC); Marine Stewardship Council (MSC)</t>
  </si>
  <si>
    <t xml:space="preserve"> 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</si>
  <si>
    <t xml:space="preserve">Carrefour </t>
  </si>
  <si>
    <t xml:space="preserve">Instituto Carrefour </t>
  </si>
  <si>
    <t>CNAE 11.13-5-02 - Fabricação de cervejas e chopes</t>
  </si>
  <si>
    <t>Bebidas</t>
  </si>
  <si>
    <t>Cervejas e Refrigerantes</t>
  </si>
  <si>
    <t>2008; 2009; 2021; 2022</t>
  </si>
  <si>
    <t xml:space="preserve">Relatório Anual e de ESG 2020 </t>
  </si>
  <si>
    <t>Relatório Anual e ESG 2021</t>
  </si>
  <si>
    <t>Relatório Anual e ESG 2022</t>
  </si>
  <si>
    <t>Relatório Anual e de Sustentabilidade 2023</t>
  </si>
  <si>
    <t>Instituto Assaí</t>
  </si>
  <si>
    <t>Coalizão Brasil Clima, Florestas e Agricultura; Grupo de Trabalho dos Fornecedores Indiretos (GTFI); Mesa Brasileira da Pecuária Sustentável; Movimento Todos à Mesa</t>
  </si>
  <si>
    <t>https://www.assai.com.br/quem-somos</t>
  </si>
  <si>
    <t>47.89-0-99 - Comércio varejista de outros produtos não especificados anteriormente</t>
  </si>
  <si>
    <t>2019; 2019; 2020; 2021</t>
  </si>
  <si>
    <t>Boi na linha; Coalizão Brasil Clima, Florestas e Agricultura; Grupo de Trabalho da Pecuária Sustentável; Grupo de Trabalho dos Fornecedores Indiretos (GTFI)</t>
  </si>
  <si>
    <t xml:space="preserve">Aquaculture Stewardship Council (ASC); Marine Stewardship Council (MSC) </t>
  </si>
  <si>
    <t>"Aquaculture Stewardship Council (ASC) e Marine Stewardship Council (MSC) que estabelecem protocolos de sustentabilidade para pescados de água doce e salgada (tilápia Taeq e bacalhau Qualitá);"</t>
  </si>
  <si>
    <t>https://www.gpabr.com/pt/conheca-o-gpa/historia-e-premios-do-gpa/</t>
  </si>
  <si>
    <t>CNAE C-1012-1/01</t>
  </si>
  <si>
    <t xml:space="preserve">Abate de aves </t>
  </si>
  <si>
    <t>Alimentos</t>
  </si>
  <si>
    <t xml:space="preserve">Santa Catarina </t>
  </si>
  <si>
    <t>Instituto BRF</t>
  </si>
  <si>
    <t>CNAE 10.13-9-01 - Fabricação de produtos de carne</t>
  </si>
  <si>
    <t>Alimentos processados</t>
  </si>
  <si>
    <t>2015; 2016; 2017; 2018; 2019; 2020; 2021; 2022</t>
  </si>
  <si>
    <t>Global Roundtable for Sustainable Beef; Mesa Brasileira da Pecuária Sustentável; Rede ILPF</t>
  </si>
  <si>
    <t>International Sustainability &amp; Carbon Certification (ISCC)</t>
  </si>
  <si>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</si>
  <si>
    <t>CNAE 4713-0/04 - Lojas de departamentos ou magazines, exceto lojas francas (duty free)</t>
  </si>
  <si>
    <t>Eletrodomésticos</t>
  </si>
  <si>
    <t>2017; 2021</t>
  </si>
  <si>
    <t xml:space="preserve">Magalu </t>
  </si>
  <si>
    <t>15/07/2024</t>
  </si>
  <si>
    <t>CNAE 10.99-6-99 - Fabricação de outros produtos alimentícios não especificados anteriormente</t>
  </si>
  <si>
    <t>Fundação Nestlé Brasil</t>
  </si>
  <si>
    <t>14/10/2024</t>
  </si>
  <si>
    <t>CNAE 46.35-4-02 - Comércio atacadista de cerveja, chope e refrigerante</t>
  </si>
  <si>
    <t>México</t>
  </si>
  <si>
    <t>CNAE 10.61-9-01 - Beneficiamento de arroz</t>
  </si>
  <si>
    <t>Alimentos diversos</t>
  </si>
  <si>
    <t>Boas Práticas de Fabricação (BPF); Food Safety System Certification (FSSC)</t>
  </si>
  <si>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</si>
  <si>
    <t>A empresa não possui o relatório para o ano de 2023</t>
  </si>
  <si>
    <t>Via/Grupo Casas Bahia</t>
  </si>
  <si>
    <t>CNAE G-4753-9/00 - Comércio varejista especializado de eletrodomésticos e equipamentos de áudio e vídeo</t>
  </si>
  <si>
    <t xml:space="preserve">Fundação Casas Bahia </t>
  </si>
  <si>
    <t>2018; 2019; 2020; 2021; 2022; 2023</t>
  </si>
  <si>
    <t>Grupo Casas Bahia</t>
  </si>
  <si>
    <t>Fundação Casas Bahia</t>
  </si>
  <si>
    <t>16/07/2024</t>
  </si>
  <si>
    <t>CNAE G-4771-7/01 - Comércio varejista de produtos farmacêuticos, sem manipulação de fórmulas</t>
  </si>
  <si>
    <t>Medicamentos e Outros Produtos</t>
  </si>
  <si>
    <t>https://rdsaude.com.br/sobre-a-rd/quem-somos/</t>
  </si>
  <si>
    <t>CNAE 10.94-5-00 - Fabricação de massas alimentícias</t>
  </si>
  <si>
    <t>Ceará</t>
  </si>
  <si>
    <t>Movimento Todos à Mesa</t>
  </si>
  <si>
    <t>23/07/2024</t>
  </si>
  <si>
    <t>A empresa não possiu todos os relatório de sustentabilidade do período temporal analisado na pesquisa, com apenas os relatórios dos anos de 2022 e 2023</t>
  </si>
  <si>
    <t>CNAE M-7490-1/04 - Atividades de intermediação e agenciamento de serviços e negócios em geral, exceto imobiliários.</t>
  </si>
  <si>
    <t>Argentina</t>
  </si>
  <si>
    <t>2016; 2017; 2018; 2019; 2020; 2021; 2022; 2023</t>
  </si>
  <si>
    <t>17/07/2024</t>
  </si>
  <si>
    <t>Alguns relatórios em inglÊs</t>
  </si>
  <si>
    <t>6462000 - Holdings de instituições não financeiras</t>
  </si>
  <si>
    <t>Drogaria DPSP</t>
  </si>
  <si>
    <t>18/07/2024</t>
  </si>
  <si>
    <t>Não tem os relatórios de 2020 e 2021</t>
  </si>
  <si>
    <t>https://www.grupodpsp.com.br/quem-somos/</t>
  </si>
  <si>
    <t>CNAE G-4691-5/00 - Comércio atacadista de mercadorias em geral, com predominância de produtos alimentícios.</t>
  </si>
  <si>
    <t xml:space="preserve">Super Muffato </t>
  </si>
  <si>
    <t xml:space="preserve">Não tem relatórios </t>
  </si>
  <si>
    <t>https://eletro.supermuffato.com.br/Institucional/pt-br/grupo-muffato</t>
  </si>
  <si>
    <t>https://eletro.supermuffato.com.br/Institucional/pt-br/tradicao-historia</t>
  </si>
  <si>
    <t>https://eletro.supermuffato.com.br/Institucional/pt-br/responsabilidade</t>
  </si>
  <si>
    <t>CNAE G-4729-6/02 - Comércio varejista de mercadorias em lojas de conveniência.</t>
  </si>
  <si>
    <t>Sergipe</t>
  </si>
  <si>
    <t>Chile</t>
  </si>
  <si>
    <t>Instituto Cencosud Sustentabilidade</t>
  </si>
  <si>
    <t>2019; 2022; 2023</t>
  </si>
  <si>
    <t>https://ri.cencosud.com.br/o-grupo/quem-somos/</t>
  </si>
  <si>
    <t>CNAE G-4771-7/01 - Comércio varejista de produtos farmacêuticos, sem manipulação de fórmulas.</t>
  </si>
  <si>
    <t>2021; 2022</t>
  </si>
  <si>
    <t xml:space="preserve">Pague Menos </t>
  </si>
  <si>
    <t>19/07/2024</t>
  </si>
  <si>
    <t>Não tem o relatório de 2020</t>
  </si>
  <si>
    <t>CNAE 46.23-1-99 - Comércio atacadista de matérias-primas agrícolas não especificadas anteriormente</t>
  </si>
  <si>
    <t>CNAE 46.35-4-02</t>
  </si>
  <si>
    <t>Instituto Coca-Cola; The Coca-Cola Foundation</t>
  </si>
  <si>
    <t xml:space="preserve">Mundo sem Resíduo; Programa GHG Protocol; </t>
  </si>
  <si>
    <t>CNAE 10.52-0-00 - Fabricação de laticínios</t>
  </si>
  <si>
    <t>27/09/2024</t>
  </si>
  <si>
    <t>CNAE I-5611-2/01 - Restaurantes e similares.</t>
  </si>
  <si>
    <t>Uruguai</t>
  </si>
  <si>
    <t xml:space="preserve"> Rainforest Alliance; Mesa Redonda sobre Óleo de Palma Sustentável (RSPO); MSC (Marine Stewardship Council); RTRS; Grupo de Trabalho de Pecuária Sustentável</t>
  </si>
  <si>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</si>
  <si>
    <t xml:space="preserve">Arcos Dourados </t>
  </si>
  <si>
    <t>24/07/2024</t>
  </si>
  <si>
    <t>https://www.terra.com.br/culinaria/infograficos/dentro-do-macdonalds/</t>
  </si>
  <si>
    <t>https://www.arcosdorados.com/wp-content/uploads/2015/12/Normas-de-Conduta-Nos-Nego%CC%81cios.pdf</t>
  </si>
  <si>
    <t>CNAE 10.81-3-02 - Torrefação e moagem de café</t>
  </si>
  <si>
    <t xml:space="preserve">Instituto Ethos de Empresas e Responsabilidade Social; </t>
  </si>
  <si>
    <t>A empresa não possui a versão em arquivo PDF dos relatórios de sustentabilidade dos anos de 2020 e 2021, estando estes em formato de site. O link para os sites se encontra na coluna "Fontes".</t>
  </si>
  <si>
    <t>Não tem o relatório de 2023. Os relatórios são sites então não utilizei o chatGPT</t>
  </si>
  <si>
    <t>https://www.zaffari.com.br/institucional</t>
  </si>
  <si>
    <t>CNAE G-4753-9/00 - Comércio varejista especializado de eletrodomésticos e equipamentos de áudio e vídeo.</t>
  </si>
  <si>
    <t xml:space="preserve">Instituto Mario Gazin </t>
  </si>
  <si>
    <t xml:space="preserve">Gazin </t>
  </si>
  <si>
    <t>25/07/2024</t>
  </si>
  <si>
    <t xml:space="preserve">Relatório de 2021 é junto com o de 2022, mas 2022 também tem um relatório proprio </t>
  </si>
  <si>
    <t>Relatório de Sustenbalidade 2023</t>
  </si>
  <si>
    <t>CNAE G-4511-1/01 - Comércio a varejo de automóveis, camionetas e utilitários novos.</t>
  </si>
  <si>
    <t>Comércio</t>
  </si>
  <si>
    <t>Material de Transporte</t>
  </si>
  <si>
    <t>Instituto Rodobens</t>
  </si>
  <si>
    <t>A empresa não possui o relatório para o ano de 2020</t>
  </si>
  <si>
    <t>Instituto Luiz Girão</t>
  </si>
  <si>
    <t>16/08/2024</t>
  </si>
  <si>
    <t>A empresa é originária da fuzão de duas marcas de produtos:  a Betânia Lácteos e a Embaré Indústrias Alimentícias, criando em 2022 a Alvoar Lácteos. Assim, ela somente possui os relatórios de sustentabilidade para os anos de 2022 e 2023</t>
  </si>
  <si>
    <t>Relatório de sustentatbilidade 2022</t>
  </si>
  <si>
    <t>A empresa só possui os relatórios para o ano de 2022 e 2023 e estes são disponíveis para download, apenas leitura digital</t>
  </si>
  <si>
    <t>Site ESG</t>
  </si>
  <si>
    <t>https://www.superkoch.com.br/quem-somos?srsltid=AfmBOopGngz3yz6zN-H0_y02nbDdXg5mZ_AyilAGyLbfx2sXuTwhC2c4</t>
  </si>
  <si>
    <t>CNAE H-5211-7/99 - Depósitos de mercadorias para terceiros, exceto armazéns gerais e guarda-móveis.</t>
  </si>
  <si>
    <t xml:space="preserve">Instituto Joanir Zonta </t>
  </si>
  <si>
    <t xml:space="preserve">Não tem nenhum relatório </t>
  </si>
  <si>
    <t>CNAE J-6319-4/00 - Portais, provedores de conteúdo e outros serviços de informação na Internet.</t>
  </si>
  <si>
    <t>Espanha</t>
  </si>
  <si>
    <t xml:space="preserve">Só tem o relatório de 2021 global. </t>
  </si>
  <si>
    <t>CNAE 47.89-0-99 - Comércio varejista de outros produtos não especificados anteriormente</t>
  </si>
  <si>
    <t>Rio de Janeiro</t>
  </si>
  <si>
    <t>Coca-Cola Foundation</t>
  </si>
  <si>
    <t>Coca-Cola Andina</t>
  </si>
  <si>
    <t>CNAE G-4711-3/02 - Comércio varejista de mercadorias em geral, com predominância de produtos alimentícios - supermercados.</t>
  </si>
  <si>
    <t>Pará</t>
  </si>
  <si>
    <t>26/07/2024</t>
  </si>
  <si>
    <t>Não tem relatório</t>
  </si>
  <si>
    <t>Centro de Distribuição</t>
  </si>
  <si>
    <t>Café Líder</t>
  </si>
  <si>
    <t xml:space="preserve">Fazenda Três Marias </t>
  </si>
  <si>
    <t>A empresa não possui o relatório de sustentabilidade para o ano de 2020</t>
  </si>
  <si>
    <t>CNAE 10.12-1-01 - Abate de aves</t>
  </si>
  <si>
    <t>Boas Práticas de Fabricação (BPF)</t>
  </si>
  <si>
    <t>BPF: "O certificado de Boas Práticas de Fabricação (BPF) assegura a integridade de seus processos de fabricação de alimentos, bem como sua conformidade com as normas de segurança alimentar."</t>
  </si>
  <si>
    <t>Relatório Anual e de Sustentabilidade 2020</t>
  </si>
  <si>
    <t>Relatório Anual e de Sustentabilidade 2021</t>
  </si>
  <si>
    <t>Relatório Anual e de Sustentabilidade 2022</t>
  </si>
  <si>
    <t>CNAE 10.62-7-00 - Moagem de trigo e fabricação de derivados</t>
  </si>
  <si>
    <t xml:space="preserve"> Instituto Moinho Cultural Sul-Americano</t>
  </si>
  <si>
    <t xml:space="preserve">J. Mâcedo </t>
  </si>
  <si>
    <t>Instituto Moinho Cultural</t>
  </si>
  <si>
    <t>A empresa somente possui os relatórios para os anos de 2022 e 2023, sendo 2022 o primeiro ano de publicação.</t>
  </si>
  <si>
    <t>CNAE 46.34-6-01 - Comércio atacadista de carnes bovinas e suínas e derivados</t>
  </si>
  <si>
    <t>BRCGS; Selo Verde</t>
  </si>
  <si>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</si>
  <si>
    <t>A empresa não possui os relatórios para o ano de 2020 e 2021</t>
  </si>
  <si>
    <t>Comércio e Distribuição</t>
  </si>
  <si>
    <t>2022; 2023</t>
  </si>
  <si>
    <t>Grupo Panvel</t>
  </si>
  <si>
    <t>31/07/2024</t>
  </si>
  <si>
    <t>https://www.grupopanvel.com.br/pt/who-we-are</t>
  </si>
  <si>
    <t>CNAE 5611203 - Lanchonetes casas de chá de sucos e similares</t>
  </si>
  <si>
    <t>Hoteis e Restaurantes</t>
  </si>
  <si>
    <t>Restaurante e Similares</t>
  </si>
  <si>
    <t xml:space="preserve">Mesa Redonda de Óleo de Palma Sustentável (RSPO) </t>
  </si>
  <si>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</si>
  <si>
    <t>Zamp</t>
  </si>
  <si>
    <t>Só tem um relatório</t>
  </si>
  <si>
    <t>CNAE G-4713-0/04 - Lojas de departamentos ou magazines, exceto lojas francas (Duty free).</t>
  </si>
  <si>
    <t>Amazonas</t>
  </si>
  <si>
    <t>Supermercados ABC</t>
  </si>
  <si>
    <t>CNAE G-4639-7/01 - Comércio atacadista de produtos alimentícios em geral.</t>
  </si>
  <si>
    <t xml:space="preserve">Não tem relatório. </t>
  </si>
  <si>
    <t>47.89-0-04 - Comércio varejista de animais vivos e de artigos e alimentos para animais de estimação.</t>
  </si>
  <si>
    <t>Produtos Diversos</t>
  </si>
  <si>
    <t>Só tem os relatórios de 2022 e 2023</t>
  </si>
  <si>
    <t>Não possui os relatórios os anos de 2020 e 2021</t>
  </si>
  <si>
    <t xml:space="preserve">Quem somos </t>
  </si>
  <si>
    <t>CNAE G-4530-7/05 - Comércio a varejo de pneumáticos e câmaras-de-ar.</t>
  </si>
  <si>
    <t xml:space="preserve">Fundação Educar </t>
  </si>
  <si>
    <t>GIFE; Instituto Ethos de Empresas e Responsabilidade Social</t>
  </si>
  <si>
    <t xml:space="preserve"> Amiga do Clima; Rainforest Alliance</t>
  </si>
  <si>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</si>
  <si>
    <t>Só tem os relatórios de 2021 e 2022</t>
  </si>
  <si>
    <t>CNAE G-4744-0/05 - Comércio varejista de materiais de construção não especificados anteriormente.</t>
  </si>
  <si>
    <t xml:space="preserve">CNAE 10.13-9-01 - Fabricação de produtos de carne
</t>
  </si>
  <si>
    <t xml:space="preserve">Relatório de Sustentabilidade 2023 </t>
  </si>
  <si>
    <t>CNAE 10.12-1-03 - Frigorífico - abate de suínos</t>
  </si>
  <si>
    <t>2019; 2020; 2021; 2022; 2023</t>
  </si>
  <si>
    <t>CNAE C-1061-9/01 -  Beneficiamento de arroz.</t>
  </si>
  <si>
    <t>só o relatório de 2023</t>
  </si>
  <si>
    <t>CNAE 1099699 - Fabricação de outros produtos alimentícios não especificados anteriormente</t>
  </si>
  <si>
    <t>2012; 2021</t>
  </si>
  <si>
    <t>A empresa somente possui o relatório de 2021</t>
  </si>
  <si>
    <t>CNAE 1082100 - Fabricação de produtos à base de café</t>
  </si>
  <si>
    <t xml:space="preserve">CERES; Fairtrade; Rainforest Alliance </t>
  </si>
  <si>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</si>
  <si>
    <t>Certificações</t>
  </si>
  <si>
    <t>CNAE 11.22-4-01 - Fabricação de refrigerantes</t>
  </si>
  <si>
    <t>Instituto +Brasal</t>
  </si>
  <si>
    <t>A empresa não possui o relatório para o ano de 2022</t>
  </si>
  <si>
    <t>CNAE 5620104 - Fornecimento de alimentos preparados preponderantemente para consumo domiciliar</t>
  </si>
  <si>
    <t>Certificação MSC</t>
  </si>
  <si>
    <t>"Certificação MSC para atumalbacora do Pacífico Oriental, Ocidental e Atlântico; para o atum-bonito do Pacífico Ocidental; e para o atumpatudo do Pacífico Ocidental"</t>
  </si>
  <si>
    <t>30/09/2024</t>
  </si>
  <si>
    <t>A empresa não tem relatório próprio, peguei do grupo.</t>
  </si>
  <si>
    <t>CNAE C-1066-0/00 - Fabricação de alimentos para animais.</t>
  </si>
  <si>
    <t>29/08/2024</t>
  </si>
  <si>
    <t>CNAE 46.22-2-00 - Comércio atacadista de soja</t>
  </si>
  <si>
    <t>A empresa somente possui o relatório para ano de 2023.</t>
  </si>
  <si>
    <t>ISF Foods; IFS Global Markets; Selo Clima Paraná; Selo Sesi ODS 2023</t>
  </si>
  <si>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</si>
  <si>
    <t>30/08/2024</t>
  </si>
  <si>
    <t>CNAE C-1011-2/01 - Frigorífico - abate de bovinos.</t>
  </si>
  <si>
    <t xml:space="preserve">Abiec – Associação Brasileira das Indústrias Exportadoras de Carnes; GTFI – Grupo de Trabalho dos Fornecedores Indiretos; GTPS – Grupo de Trabalho da Pecuária Sustentável; Uniec – União Nacional da Indústria e Empresas de Carne
</t>
  </si>
  <si>
    <t>Certificação BRCGS Food; Certificação Florestal e Agrícola (Imaflora)</t>
  </si>
  <si>
    <t>"Certificação BRCGS Food nas três plantas de bovinos"</t>
  </si>
  <si>
    <t>Falta relatório de 2020</t>
  </si>
  <si>
    <t>Variáveis sobre as características empresariais</t>
  </si>
  <si>
    <t>Significado da escolha</t>
  </si>
  <si>
    <t xml:space="preserve">A variável "empresas" diz respeito às empresas financiadorades das iniciativas. A empresa estava listada no ranking Valor 1000 de 2023 e havia financiado ou apoiado ações de combate à insegurança alimentar e nutricional no Basil entre 2020 e 2023 </t>
  </si>
  <si>
    <t>A variável "cnae" diz respeito à classinificação nacional de atividade econômica das empresas analisadas. A Classificação Nacional das Atividades Econômicas da empresa foi obtida a partir do Comprovante de Inscrição e Situação Cadastral de Pessoa Jurídica, acessado pela internet através da busca do CNPJ na plataforma REDESIM</t>
  </si>
  <si>
    <t>A variável "set_ativ" diz respeito ao setor econômico das empresas analisadas. Setor econômico de atuação da empresa segundo o ranking do Valor 1000 de 2023</t>
  </si>
  <si>
    <t>Abate de aves/Agropecuária/Alimentos processados/Bebidas/Comércio/Comércio e distribuição/Comércio varejista/Hoteis e restaurantes</t>
  </si>
  <si>
    <t xml:space="preserve">A variável "set_econo" diz respeito ao subsetor econômico das empresas analisadas. Subsetor econômico de atuação da empresa segundo a classificação setorial das empresas negociadas na B3 em 2024
                              </t>
  </si>
  <si>
    <t>Agricultura/Alimentos/Alimentos diversos/Carnes e derivados/Cervejas e refrigerantes/Eletrodomésticos/Material de transporte/Medicamentos e outros produtos/Produtos diversos/Restaurantes e similares</t>
  </si>
  <si>
    <t>A variável "seg_econo" diz respeito ao segmento econômico das empresas analisadas Segmento econômico de atuação da empresa segundo a classificação setorial das empresas negociadas na B3 em 2024</t>
  </si>
  <si>
    <t>A variável "capital_b3" diz respeito se a empresa está listada na Bolsa de Valores Brasileria (B3). A empresa era negociada na B3 em 2024</t>
  </si>
  <si>
    <t>A variável "coop" diz se a empresa é uma cooperativa. A natureza jurídica da instituição, identificada como cooperativa, foi obtida a partir do Comprovante de Inscrição e Situação Cadastral de Pessoa Jurídica, acessado pela internet por meio da consulta do CNPJ na plataforma REDESIM</t>
  </si>
  <si>
    <t>A variável "multinacional" diz respeito à condição da empresa ser uma companhia multinacional atuando no Brasil. A informação de que a empresa era multinacional foi obtida no site oficial da instituição ou, na ausência dessa fonte, em outras fontes disponíveis na internet</t>
  </si>
  <si>
    <t>A variável "inicio_emp" diz respeito ao ano de fundação da empresa. O ano de início da empresa foi obtido no site oficial da instituição ou, na ausência dessa fonte, em outras fontes na internet</t>
  </si>
  <si>
    <t>A variável "estado_sede" diz respeito ao estado em que esta localizada a sede da empresa. O local de sede da empresa foi obtido no site oficial da instituição ou, na ausência dessa fonte, em outras fontes na internet</t>
  </si>
  <si>
    <t>A variável "pais_org" diz respeito ao país de origem da empresa analisada. O país de origem da empresa foi obtido no site oficial da instituição ou, na ausência dessa fonte, em outras fontes na internet</t>
  </si>
  <si>
    <t>A variável "receita_liq" diz respeito à receita líquida da empresa no último ano observado. A receita líquida foi retirada do ranking Valor 1000 de 2023</t>
  </si>
  <si>
    <t>A variável "emp_fund_inst" diz respeito à condição da empresa estar relacionada a alguma fundação ou instituto. A empresa estava diretamente relacionada a um instituto ou fundação, como o GPA estava ao Instituto GPA, por exemplo. Essa informação foi obtida no site oficial da empresa ou, na ausência dessa fonte, em outras fontes disponíveis na internet</t>
  </si>
  <si>
    <t>A variável "nome_fund_insti" diz respeito ao nomes destas fundações ou instituto. O nome do instituto/fundação relacionada à empresa foi obtido no site oficial da empresa ou, na ausência dessa fonte, em outras fontes disponíveis na internet</t>
  </si>
  <si>
    <t>A variável "emp_insum" diz respeito à etapa produção de insumos da empresa. Ao menos uma etapa relevante do trabalho da empresa foi executada envolvendo a produção de insumos voltados à agricultura e pecuária, assegurando a nutrição e proteção de plantas e animais. Entre os insumos considerados estavam o material genético de animais, rações e defensivos agrícolas</t>
  </si>
  <si>
    <t>A variável "emp_prod_alim" diz respeito à etapa de produção de alimentos da empresa. Ao menos uma etapa relevante do trabalho da empresa foi executada envolvendo produção agrícola, seja no campo, seja em ambiente urbano</t>
  </si>
  <si>
    <t>A variável "emp_armaz" diz respeito à etapa de armazenamento da empresa. Ao menos uma etapa relevante do trabalho da empresa foi executada envolvendo o armazenamento de alimentos, em silos ou banco de alimentos, por exemplo</t>
  </si>
  <si>
    <t>A variável "emp_trans_log" diz respeito à etapa de transporte e logística da empresa. Ao menos uma etapa relevante do trabalho da empresa foi executada envolvendo a logística ou o transporte internacional de alimentos</t>
  </si>
  <si>
    <t>A variável "emp_process" diz respeito à etapa de processamento da empresa. Ao menos uma etapa relevante do trabalho da empresa foi executada envolvendo o processamento de alimentos, ou seja, a transformação de alimentos em novos produtos, comestíveis ou não</t>
  </si>
  <si>
    <t>A variável "emp_var_atac" diz respeito à etapa de varejo e atacado da empresa. Ao menos uma etapa relevante do trabalho da empresa foi executada envolvendo o varejo ou atacado de alimentos prontos, de forma física ou online</t>
  </si>
  <si>
    <t>A variável "emp_consu" diz respeito à etapa de consumo da empresa. Ao menos uma etapa relevante do trabalho da empresa foi executada envolvendo o consumidor, como a prestação de serviços em restaurantes e a entrega de alimentos em domicílios</t>
  </si>
  <si>
    <t>A variável "membro_pacto" diz respeito à condição da empresa ser membro do Pacto Global das Nações Unidas ou não. A informação de que a empresa era signatária do Pacto Global foi obtida nos relatórios de 2020 a 2023 e, quando indisponível, foi consultada no site do Pacto Global</t>
  </si>
  <si>
    <t>A variável "invet_gee" diz respeito à empresa possuir inventário de gases do efeito estufa (GEE). A empresa declarou em um ou mais relatórios de 2020 a 2023 que tinha Inventário de Emissões de Gases de Efeito Estufa (GEE)</t>
  </si>
  <si>
    <t>A variável "ano_gee" diz respeito aos anos em que foram produzidos os inventários de gasesdo efeito estufa (GEE). Os anos em que a empresa declarou possuir Inventário de GEE foram obtidos dos relatórios empresariais de 2020 a 2023, quando esses estavam disponíveis</t>
  </si>
  <si>
    <t>A variável "assoc_pactos" diz respeito às associações e pactos que a empresa faz parte. As associações e pactos dos quais a empresa participou foram extraídos de seu último relatório publicado entre de 2020 e 2023</t>
  </si>
  <si>
    <t>A variável "certific" diz respeito às certificações que a empresa possui. As certificações que a empresa recebeu foram extraídas de seu último relatório publicado entre de 2020 e 2023</t>
  </si>
  <si>
    <t>A variável "desc_certific" diz respeito à descrição das certificações que as empresas possuem. As descrições das certificações que a empresa recebeu foram extraídas de seu último relatório publicado entre de 2020 e 2023</t>
  </si>
  <si>
    <t>A variável "pri_ssan_20" diz respeito ao fator "priorização do combate a insegurança alimentar" no ano de 2020 pela empresa analisada. O combate à insegurança alimentar foi declaradamente um dos pilares das ações financiadas ou apoiadas pela empresa em 2020. Essa informação foi obtida no relatório empresarial do respectivo ano ou no site oficial da instituição</t>
  </si>
  <si>
    <t>A variável "pri_ssan_21" diz respeito ao fator "priorização do combate a insegurança alimentar" no ano de 2021 pela empresa analisada. O combate à insegurança alimentar foi declaradamente um dos pilares das ações financiadas ou apoiadas pela empresa em 2021. Essa informação foi obtida no relatório empresarial do respectivo ano ou no site oficial da instituição</t>
  </si>
  <si>
    <t>A variável "pri_ssan_22" diz respeito ao fator "priorização do combate a insegurança alimentar" no ano de 2022 pela empresa analisada. O combate à insegurança alimentar foi declaradamente um dos pilares das ações financiadas ou apoiadas pela empresa em 2022. Essa informação foi obtida no relatório empresarial do respectivo ano ou no site oficial da instituição</t>
  </si>
  <si>
    <t>A variável "pri_ssan_23" diz respeito ao fator "priorização do combate a insegurança alimentar" no ano de 2023 pela empresa analisada. O combate à insegurança alimentar foi declaradamente um dos pilares das ações financiadas ou apoiadas pela empresa em 2023. Essa informação foi obtida no relatório empresarial do respectivo ano ou no site oficial da instituição</t>
  </si>
  <si>
    <t>Nome</t>
  </si>
  <si>
    <t>Caráter</t>
  </si>
  <si>
    <t>Descrição</t>
  </si>
  <si>
    <t>Empresas</t>
  </si>
  <si>
    <t>Fontes</t>
  </si>
  <si>
    <t>2BSvs</t>
  </si>
  <si>
    <t xml:space="preserve">"A 2BS é uma associação sem fins lucrativos cujo objetivo é ajudar os clientes a demonstrar que cumprem os critérios de sustentabilidade descritos na legislação europeia atual. O esquema voluntário que a 2BS desenvolveu é reconhecido pela Comissão Europeia e é implementado por meio de uma rede de órgãos de certificação que são parceiros da 2BS." </t>
  </si>
  <si>
    <t>Amaggi; COFCO Internacional; SLC AGRICOLA;</t>
  </si>
  <si>
    <t>https://www.2bsvs.org/our-services.html</t>
  </si>
  <si>
    <t>30% Club Brasil</t>
  </si>
  <si>
    <t>Associativo</t>
  </si>
  <si>
    <t>"The 30% Club is a global campaign led by Chairs and CEOs taking action to increase gender diversity at board and senior management levels on a voluntary basis. The campaign continues to expand its international footprint with presence in eighteen countries/ regions around the world. We support diversity in its very broadest sense and while gender has been our starting point, we fully realize that considerations of ethnicity, disability, sexual orientation, socioeconomic background and beyond are all part of the journey – and that gender identities are themselves evolving rapidly. We believe that only those organizations that foster truly inclusive cultures – cultures that embrace women who look, act and, importantly, THINK differently – can reach their full potential to positively impact their people, their markets and their communities. The 30% Club Chapter Brazil was officially launched in 2019 and since then has been inviting listed companies to join the journey towards gender equality on boards and senior management roles by setting the following aspirational goals: – Achieve zero all male boards on B3 IBrX 100 listed companies by 2023; – Achieve at least 30% women on boards of B3 IBrX 100 listed companies by 2025. 2022 will see a strong focus on intensifying engagement with Chairs and CEOs encouraging laggard companies with all-male boards and with only one women on the board (one &amp; done boards) to join the campaign and to appoint at least 30% women on boards by 2025. The overarching strategy is to act as a public voice for gender balance both on boards and senior leadership teams by working collaboratively with companies on their Diversity, Equity &amp; Inclusion (DEI) journeys and with other bodies to spread awareness, grow the pipeline and stimulate demand primary to increase female board directors and female senior management in Brazil."</t>
  </si>
  <si>
    <t>Grupo Carrefour Brasil;</t>
  </si>
  <si>
    <t>https://30percentclub.org/chapters/brazil/</t>
  </si>
  <si>
    <t>4C</t>
  </si>
  <si>
    <t>Certificante</t>
  </si>
  <si>
    <t>"A Certificação 4C é um conjunto de critérios rigorosos que orientam a produção e o processamento do café em três dimensões fundamentais: econômica, social e ambiental. Seu Código de Conduta, composto por 12 princípios e 45 critérios, visa garantir a sustentabilidade ao longo de toda a cadeia de produção."</t>
  </si>
  <si>
    <t xml:space="preserve">COFCO Internacional; Grupo Montesanto Tavares; </t>
  </si>
  <si>
    <t>https://www.ecocert.com/index.php/pt-BR/artigo/o-que-voce-precisa-saber-sobre-a-certificacao-4c-5092273#:~:text=A%20Certifica%C3%A7%C3%A3o%204C%20%C3%A9%20um,toda%20a%20cadeia%20de%20produ%C3%A7%C3%A3o.</t>
  </si>
  <si>
    <t>Acordo ambiental (Companhia Ambiental do Estado de São Paulo – Cetesb)</t>
  </si>
  <si>
    <t>"O Acordo Ambiental São Paulo teve como objetivo incentivar empresas paulistas, associações, municípios a assumirem compromissos voluntários de redução de emissão de gases de efeito estufa, a fim de conter o aquecimento global abaixo de 1,5ºC, confirmando o compromisso do Governo do Estado de São Paulo com esse esforço internacional."</t>
  </si>
  <si>
    <t>Assaí; Grupo Carrefour Brasil; GPA; Magazine Luiza;</t>
  </si>
  <si>
    <t>https://cetesb.sp.gov.br/acordo-ambiental-sao-paulo/</t>
  </si>
  <si>
    <t>Agriculture Sector Roadmap to 1.5ºC</t>
  </si>
  <si>
    <t>"The Roadmap establishes a framework to address deforestation and builds on existing commitments and progress by establishing a 2025 target date for the removal of deforestation for soy production in the Amazon, Cerrado and Chaco, and the protection of non-forest ecosystems in compliance with relevant local legislation."</t>
  </si>
  <si>
    <t>Amaggi; Bunge; Cargill; COFCO Internacional; Louis Dreyfus Company (LDC)</t>
  </si>
  <si>
    <t>https://www.tropicalforestalliance.org/assets/Agriculture-Sector-Roadmap-November-2022-v2.pdf</t>
  </si>
  <si>
    <t>AIJN – European Fruit Juice Association</t>
  </si>
  <si>
    <t>"Since our creation in 1962, AIJN, the European Fruit Juice Association has been dedicated to defending and promoting the interests of the entire fruit juice supply chain, from raw material producers to the bottlers of juices and nectars. Our mission is to engage with EU institutions and relevant stakeholders to ensure a thriving and sustainable future for the fruit juice industry."</t>
  </si>
  <si>
    <t>Citrosuco;</t>
  </si>
  <si>
    <t>https://aijn.eu/en/about-us</t>
  </si>
  <si>
    <t>Algodão Brasileiro Responsável (ABR)</t>
  </si>
  <si>
    <t>"O protocolo Algodão Brasileiro Responsável (ABR) é o padrão nacional de certificação socioambiental do algodão no Brasil. Foi idealizado em 2012 pela Associação Brasileira de Produtores de Algodão (Abrapa) a partir da unificação de iniciativas regionais e é gerenciado e implementado com a missão de que, safra a safra, seja possível aumentar ainda mais os padrões de sustentabilidade da pluma produzida no país."</t>
  </si>
  <si>
    <t xml:space="preserve">Amaggi; Brasilagro; SLC AGRICOLA; </t>
  </si>
  <si>
    <t>https://abrapa.com.br/algodao-brasileiro-responsavel-abr/</t>
  </si>
  <si>
    <t>Alliance for Integrity (Afin)</t>
  </si>
  <si>
    <t>"The Alliance for Integrity is a business-driven, multi-stakeholder initiative seeking to promote transparency and integrity in the economic system. To achieve this goal, it fosters collective action of all relevant actors from the private sector, the public sector and civil society. The Alliance for Integrity is a platform that offers practical solutions to strengthen the compliance capacities of companies and their supply chains. In addition, the Alliance for Integrity contributes to the improvement of framework conditions by fostering dialogue between the public and private sectors. This is why the Alliance for Integrity is the significant global contact point for businesses countering corruption collectively."</t>
  </si>
  <si>
    <t>Magazine Luiza;</t>
  </si>
  <si>
    <t>https://www.allianceforintegrity.org/en/alliance-for-integrity/about-us/index.php</t>
  </si>
  <si>
    <t>Alliance for Water Stewardship (AWS)</t>
  </si>
  <si>
    <t>"AWS is a global membership collaboration comprising businesses, NGOs and the public sector. Our members contribute to the sustainability of local water-resources through their adoption and promotion of a universal framework for the sustainable use of water – the International Water Stewardship Standard, or AWS Standard – that drives, recognizes and rewards good water stewardship performance." "The AWS Standard offers a credible, globally-applicable framework for major water users to understand their own water use and impacts, and to work collaboratively and transparently with others for sustainable water management within the wider water catchment context. Implementers follow the steps and guidance in the AWS Standard to achieve good water stewardship practices that improve site water performance and contribute to wider sustainability goals."</t>
  </si>
  <si>
    <t>Coca-Cola FEMSA; Nestlé; Solar Bebidas</t>
  </si>
  <si>
    <t>https://a4ws.org/</t>
  </si>
  <si>
    <t>ALO FREE</t>
  </si>
  <si>
    <t>C.Vale;</t>
  </si>
  <si>
    <t>https://www.wqs.com.br/wqs/en/servicos/visualizar/codservicos/31/alo-free.html</t>
  </si>
  <si>
    <t>https://www.brf-global.com/sobre/qualidade/certificacoes/</t>
  </si>
  <si>
    <t>Aquaculture Stewardship Council (ASC)</t>
  </si>
  <si>
    <t>"The Standard is structured according to four principles – with our new, fourth principle developed to put fish welfare front and centre of our new approach. Each principle contains a set of criteria that set effective, credible and measurable requirements. 1: Farm Management; 2: Environmental responsability; 3: Social Responsability; 4: Fish Welfare."</t>
  </si>
  <si>
    <t>Grupo Carrefour Brasil; CJ Selecta; GPA;</t>
  </si>
  <si>
    <t>https://asc-aqua.org/the-new-asc-farm-standard/</t>
  </si>
  <si>
    <t>Associação ASID Brasil</t>
  </si>
  <si>
    <t>"Criamos, implementamos e disseminamos metodologias de impacto social que fomentam a inclusão social e econômica da pessoa com deficiência. Nossas soluções envolvem desenvolvimento territorial, cultural e das relações (quem faz parte da rede da pessoa com deficiência); são de médio a longo prazo, construindo de fato uma mudança sistêmica; e conectam as pessoas necessárias para o fomento da inclusão."</t>
  </si>
  <si>
    <t>https://asidbrasil.org.br/</t>
  </si>
  <si>
    <t>Associação Brasileira da Indústria de Alimentos (Abia)</t>
  </si>
  <si>
    <t>"Sobre ABIA A indústria de alimentos e bebidas é a maior do Brasil: processa 61% de tudo o que é produzido no campo, reúne mais de 41 mil empresas, gera 2,034 milhões de empregos diretos e representa 10,7% do PIB do País. Missão Definimos como nossa missão: • Defender os interesses da indústria de alimentos, por meio da ciência, da inovação e do diálogo com respeito ao consumidor, à sociedade e ao planeta. • Contribuir para o ambiente de negócios justo e competitivo que estimule o crescimento e o desenvolvimento sustentável de toda cadeia produtiva de alimentos do país. • Catalisar e disseminar o conhecimento e a experiência da indústria de alimentos e de atores relevantes para potencializar o papel dos alimentos industrializados na segurança alimentar do Brasil e do mundo. Visão Construir um futuro com alimentos seguros e sustentáveis que promovam a segurança alimentar e o desenvolvimento econômico e social do Brasil. Valores Nessa trajetória, definimos como valores essenciais do nosso trabalho o respeito, a responsabilidade socioambiental, a integridade, a competência técnica, o diálogo, a transparência e o engajamento."</t>
  </si>
  <si>
    <t>Ambev; Cocamar; Lavoro; M. Dias Branco; SLC AGRICOLA</t>
  </si>
  <si>
    <t>https://www.abia.org.br/</t>
  </si>
  <si>
    <t>Associação Brasileira da Indústria de Café (ABIC)</t>
  </si>
  <si>
    <t>"Fundada em 12 de março de 1973, a Associação Brasileira da Indústria de Café – ABIC –  representa as indústrias de torrefação e moagem de café de todo o país. Foi criada por decisão de representantes dos Sindicatos das Indústrias de Café de diversos estados que viram na formação de uma entidade nacional  uma melhor forma de negociar com o governo o estabelecimento de políticas de real interesse do setor apoiada pela união de forças." "A entidade disponibiliza para seus associados um completo banco de dados com estudos macroeconômicos, pesquisas de opinião e de mercado, além de diagnósticos setoriais; orientação jurídica nas áreas fiscal, trabalhista, constitucional e de defesa do consumidor; detalhado cadastro de empresas, marcas e produtos; informações estatísticas de produção e consumo; assessoria financeira e empresarial e informações sobre o desenvolvimento tecnológico."</t>
  </si>
  <si>
    <t>https://www.abic.com.br/</t>
  </si>
  <si>
    <t>Associação Brasileira da Indústria de Lácteos Longa Vida (ABLV)</t>
  </si>
  <si>
    <t>"Em setembro de 1994, foi fundada a ABLV Associação Brasileira de Leite Longa Vida, uma entidade sem fins lucrativos, de atuação nacional, com a missão de congregar, defender e coordenar os negócios de seus associados junto a públicos de interesse. Entre outros objetivos da ABLV, destacam-se o desenvolvimento, a preservação e valorização do leite longa vida, bem como a adoção de normas e procedimentos para posicionar positivamente o produto junto ao mercado." "A atuação consistente e efetiva ao longo de tantos anos fez da ABLV uma das mais importantes e representativas associações da cadeia láctea do Brasil. Assim, em 2017, ampliou seu campo de atuação para todos os segmentos de lácteos longa vida e, além do leite, integrou em seu escopo leite condensado, creme de leite e bebidas lácteas e passou a denominar-se ABLV – Associação Brasileira da Indústria de Lácteos Longa Vida. A entidade tem importante papel na avaliação constante do mercado, monitoramento da qualidade dos produtos lácteos, integração do setor e relação com outras instituições. Hoje a ABLV congrega 28 associados e mais de 50 marcas, que respondem por aproximadamente 80% de toda produção dos segmentos de leite UHT, leite condensado, creme de leite e bebidas lácteas no país."</t>
  </si>
  <si>
    <t>https://ablv.org.br/</t>
  </si>
  <si>
    <t>Associação Brasileira da Indústria de Materiais de Construção (ABRAMAT)</t>
  </si>
  <si>
    <t>"A ABRAMAT – Associação Brasileira da Indústria de Materiais de Construção – é uma associação civil, de fins não econômicos, de direito privado, com autonomia administrativa e financeira regida por seu Estatuto, seus Regulamentos, seu Código de Ética e pelas normas legais pertinentes. Desde a sua fundação, em 2004, A ABRAMAT é referência institucional na defesa dos interesses e da visão do amplo segmento que é a Indústria de Materiais de Construção, além de sua representação perante seus interlocutores: Governo, Iniciativa Privada, Academia, Sociedade Civil e Imprensa. A entidade atua no planejamento, orientação e organização de ações que visem o desenvolvimento dos diferentes elos que compõem a Indústria de Materiais de Construção, norteada por seus princípios e valores."</t>
  </si>
  <si>
    <t>Lojas Quero-Quero;</t>
  </si>
  <si>
    <t>https://abramat.org.br/quem-somos/</t>
  </si>
  <si>
    <t>Associação Brasileira das Indústrias de Biscoitos, Massas Alimentícias e Pães &amp; Bolos Industrializados (Abimapi)</t>
  </si>
  <si>
    <t>"Como uma Associação comprometida com seus associados, a Abimapi tem como objetivo principal representar os interesses do nosso setor junto aos órgãos reguladores e decisores políticos, além de educar e informar o consumidor final sobre os alimentos produzidos pelas empresas associadas." "A Abimapi é mais do que uma associação; é a voz que ressoa em prol da qualidade e segurança da nossa alimentação. Como líderes na interlocução com governo, mídia e pesquisadores, nosso compromisso é não apenas destacar, mas também enriquecer o sabor e a confiabilidade dos biscoitos, macarrões, pães e bolos industrializados no Brasil e além-fronteiras."</t>
  </si>
  <si>
    <t>https://abimapi.com.br/quem-somos/</t>
  </si>
  <si>
    <t>Associação Brasileira das Indústrias de Óleos Vegtetais - Abiove</t>
  </si>
  <si>
    <t>"A Abiove tem como objetivo representar as indústrias de óleos vegetais, defendendo a promoção de seus processos e produtos."</t>
  </si>
  <si>
    <t xml:space="preserve">Bunge; Cargill; Fiagril; </t>
  </si>
  <si>
    <t>https://abiove.org.br/</t>
  </si>
  <si>
    <t>Associação Brasileira das Indústrias de Queijo (ABIQ)</t>
  </si>
  <si>
    <t>"Fundada em 1988, a ABIQ completa 36 anos de atuação. ABIQ nasceu da união de laticínios fabricantes de queijos sujeitos a inspeção sanitária federal. Seu propósito é representar e defender as indústrias queijeiras com SIF e divulgar os benefícios nutricionais dos queijos. A ABIQ trabalha em várias frentes como propor ou avaliar regulamentos e normas técnicas, participar de discussões fiscais e tributárias federais, representar o setor em fóruns nacionais e internacionais e divulgar tipos e as qualidades nutricionais dos queijos produzidos pela indústria brasileira."</t>
  </si>
  <si>
    <t>https://www.abiq.com.br/</t>
  </si>
  <si>
    <t>Associação Brasileira das Indústrias de Refrigerante (ABIR)</t>
  </si>
  <si>
    <t>"Com sede em Brasília, Distrito Federal, a Associação Brasileira das Indústrias de Refrigerantes e de Bebidas não Alcoólicas (ABIR) tem como um de seus objetivos garantir a prosperidade do setor, assim como cooperar e participar como membro ativo de associações congêneres de setores econômicos correlacionados para produzir dados estatísticos, técnicos, econômicos, educacionais e quaisquer outros referentes à produção de bebidas não alcoólicas. A ABIR foi fundada em 26 de outubro de 1950, no Rio de Janeiro, sob a razão social Associação dos Industriais de Bebidas Refrigerantes, mas adiante englobando todos os tipos de bebidas não alcoólicas. Reúne empresas fabricantes de diversos produtos, tais como refrigerantes, sucos, néctares, refrescos, bebidas mistas, achocolatados, chás, isotônicos, energéticos, águas minerais, águas adicionadas de sais e água de coco com instalações industriais no Brasil."</t>
  </si>
  <si>
    <t>Ambev; Coca-Cola ANDINA Brasil</t>
  </si>
  <si>
    <t>https://abir.org.br/</t>
  </si>
  <si>
    <t>Associação Brasileira das Indústrias Exportadoras de Carnes (Abiec)</t>
  </si>
  <si>
    <t>"Criada em 1979, a Associação Brasileira dos Exportadores de Carne Bovina (ABIEC) reúne 39 empresas do setor de carne bovina e é responsável por 98% da carne bovina do país comercializada nos mercados internacionais. Atualmente, o Brasil comercializa cerca de 25% da carne bovina produzida no país e exporta para centenas de outras nações ao redor do mundo, seguindo os mais rigorosos padrões de qualidade para atender às necessidades do mercado."</t>
  </si>
  <si>
    <t>Frigol; Marfrig</t>
  </si>
  <si>
    <t>https://www.abiec.com.br/en/</t>
  </si>
  <si>
    <t>Associação Brasileira de Bares e Restaurantes (Abrasel)</t>
  </si>
  <si>
    <t>"A Associação Brasileira de Bares e Restaurantes (Abrasel) é uma organização de cunho associativo empresarial que tem como missão representar e desenvolver o setor de alimentação fora do lar (AFL), facilitando o empreender e melhorando a qualidade de vida no País. O setor que a Abrasel representa é uma das forças motrizes da nossa economia, com bares e restaurantes presentes em todos os 5.570 municípios brasileiros. A história recente destes estabelecimentos foi marcada pela pandemia da Covid-19: o setor de AFL foi um dos mais atingidos, com fechamentos e restrições intermitentes ao funcionamento em todo o país por quase dois anos. Até 2020, havia cerca de 1 milhão de negócios do setor, empregando diretamente 6 milhões de brasileiros. Desses, 355 mil fecharam as portas em definitivo e mais de 1,2 milhão de trabalhadores perderam seus empregos durante a pandemia."</t>
  </si>
  <si>
    <t>https://abrasel.com.br/</t>
  </si>
  <si>
    <t>Associação Brasileira de Bioinsumos (ABBINS)</t>
  </si>
  <si>
    <t>"Estabelecida em março de 2021, a Associação Brasileira de Bioinsumos – ABBINS se orgulha de ser uma entidade de classe, sem fins lucrativos, que opera em âmbito nacional, com o objetivo de promover a coexistência dos diversos modelos de negócios baseados em bioinsumos em território brasileiro. Isso inclui a produção de bioinsumos para uso próprio, a produção e fornecimento de inóculos e insumos para produção de bioinsumos para uso próprio, a produção e venda de produtos biológicos prontos para uso, a prestação de assistência técnica e o fornecimento de equipamentos para agricultores que trilham o caminho da agricultura regenerativa."</t>
  </si>
  <si>
    <r>
      <rPr>
        <rFont val="docs-Calibri"/>
        <color rgb="FF000000"/>
        <sz val="11.0"/>
      </rPr>
      <t>Lavoro;</t>
    </r>
  </si>
  <si>
    <t>https://abbins.org.br/institucional/</t>
  </si>
  <si>
    <t>Associação Brasileira de Criadores de Búfalo (ABCB)</t>
  </si>
  <si>
    <t>"Fundada em 1960, a Associação Brasileira de Criadores de Búfalos (ABCB) congrega hoje 80 associados em todo o território nacional e vem se fortalecendo a cada ano, com o crescimento do mercado de búfalos no País. O objetivo da entidade é incentivar a bubalinocultura brasileira, defendendo os interesses dos criadores de búfalos e promovendo a união de seus associados nas atividades que tenham como fim o aprimoramento técnico-científico da espécie e o incremento do mercado interno e externo. O rebanho bubalino hoje no Brasil conta com cerca de 3 milhões de animais, representando 1,4 % do rebanho bovino – hoje com 212 milhões de cabeças. No entanto, o País já concentra o maior rebanho de búfalos do Ocidente, o que mostra um grande potencial de mercado. Atualmente, aproximadamente 30% das criações são destinadas à produção de leite e, nos últimos anos, o rebanho leiteiro tem crescido a uma taxa de 45%. Para preparar associados e criadores para este crescimento constante do mercado, a ABCB disponibiliza por meio de suas ações, apoio ao criador; união de pecuaristas em núcleos regionais; orientação técnica da produção; auxílio na comercialização; serviço de registros genealógicos, com desconto aos associados efetivos; desenvolvimento das provas zootécnicas; promoção de eventos como feiras, simpósios, palestras, encontros e seminários; cursos diversificados; envio de boletim informativo aos associados com principais assuntos em voga e ainda lista de discussões sobre a bubalinocultura."</t>
  </si>
  <si>
    <t>GPA;</t>
  </si>
  <si>
    <t>https://bufalo.com.br/acbc/</t>
  </si>
  <si>
    <t>Associação Brasileira de Defensivos Pós-Patente e Bioinsumos (AENDA)</t>
  </si>
  <si>
    <t>"AENDA é a principal entidade que atuou na origem do registro de defensivos por equivalência e ao longo dos anos temos mostrado força no envolvimento das mais diversas questões, como: regulamentação federal, regulamentação estadual, aplicação e uso de produtos, tributos e taxas federais e estaduais, sistema de patentes, procedimentos de importação, e muito mais. A implementação do registro por equivalência mudou completamente o panorama do mercado de defensivos agrícolas no Brasil. A luta por avaliações e aprovações mais rápida do registro por equivalência continua visto que o setor considera que ainda é lenta a avaliação dos dossiês dos Produtos Técnicos e dos Produtos Formulados. Somos uma fonte de informação em tempo real para nossos associados e um ponto focal onde os produtores de defensivos pós-patente se reúnem para debater diferentes temas buscando sempre soluções técnicas para seus problemas e lutando para a adoção de critérios racionais que levem sempre em consideração o custo/benefício dos produtos e o interesse dos agricultores, assim como garantir produtos seguros para a população em geral."</t>
  </si>
  <si>
    <t xml:space="preserve">Lavoro; </t>
  </si>
  <si>
    <t>https://www.aenda.org.br/quem-somos/</t>
  </si>
  <si>
    <t>Associação Brasileira de Laticínios (Viva Lácteos)</t>
  </si>
  <si>
    <t>"A Viva Lácteos – Associação Brasileira de Laticínios é uma entidade que representa a indústria de lácteos e reúne 38 dos principais fabricantes e associações do setor no Brasil. Juntos os associados da Viva Lácteos são responsáveis por 70% da produção de leite e derivados no país, incluindo iogurtes, queijos e requeijões."</t>
  </si>
  <si>
    <t>https://www.vivalacteos.org.br/</t>
  </si>
  <si>
    <t>Associação Brasileira de Marcas Próprias e Terceirização (ABMAPRO)</t>
  </si>
  <si>
    <t>"A ABMAPRO - Associação Brasileira de Marcas Próprias e Terceirização, tem como missão informar e orientar os empresários e os consumidores brasileiros sobre as características e vantagens do fenômeno private label, cujos produtos e serviços registram cada vez mais participação nas vendas do mercado varejista e aceitação entre os consumidores. Fundada em 2006, a associação reúne mais de 50 empresas de diferentes segmentos de mercado e formatos de negócios, prestadoras de serviços, indústrias e canais de vendas, desde o varejo supermercadista até atacadistas e distribuidores."</t>
  </si>
  <si>
    <t>Farmácias Pague Menos;</t>
  </si>
  <si>
    <t>https://www.linkedin.com/company/abmapro---associa%C3%A7%C3%A3o-brasileira-de-marcas-pr%C3%B3prias-e-terceiriza%C3%A7%C3%A3o/?originalSubdomain=br</t>
  </si>
  <si>
    <t>Associação Brasileira de Prevenção de Perdas (ABRAPPE)</t>
  </si>
  <si>
    <t>"A Abrappe é uma organização independente, fundada em 2018 e formada por representantes de mais de 700 empresas de todos os segmentos do varejo, logistica e industria. Seu propósito é fomentar a cultura de prevenção de perdas, por meio da capacitação profissional, geração de estudos, troca de experiências e promoção de networking, entre várias outras atividades e práticas"</t>
  </si>
  <si>
    <t xml:space="preserve">Petz; </t>
  </si>
  <si>
    <t>https://www.linkedin.com/company/abrappe/?originalSubdomain=br</t>
  </si>
  <si>
    <t>Associação Brasileira de Proteína Animal (ABPA)</t>
  </si>
  <si>
    <t>"A ABPA é a organização institucional nacional da avicultura e da suinocultura do Brasil. Tem como missão representar os setores em foros nacionais e internacionais zelando pela qualidade, sanidade e sustentabilidade dos produtos, promovendo a integração de toda a cadeia produtiva. Por meio de diversas iniciativas, a ABPA fomenta o desenvolvimento tecnológico setorial, a profissionalização e a expansão da atuação do setor produtivo nos mercados interno e internacional. A ABPA atua, ainda, pela viabilização de novas oportunidades para o setor produtivo por meio de negociações internacionais, relações institucionais junto aos stakeholders no Brasil e no exterior, ações para abertura de mercados e outras ações."</t>
  </si>
  <si>
    <t>https://abpa-br.org/</t>
  </si>
  <si>
    <t>Associação Brasileira de Redes de Farmácias e Drogarias (Abrafarma)</t>
  </si>
  <si>
    <t>"No início dos anos 90, empresários das principais redes de farmácia do estado de São Paulo perceberam que não existia uma entidade representativa do varejo farmacêutico nas esferas municipal, estadual e federal. Assim nasceu a Abrafarma, para dar voz ao setor nas consultas sobre deliberações e determinações legais que, na época, restringiam fortemente a sua capacidade de atuação."</t>
  </si>
  <si>
    <t>Drogarias DPSP; Farmácias Pague Menos;</t>
  </si>
  <si>
    <t>https://www.abrafarma.com.br/sobre</t>
  </si>
  <si>
    <t>Associação Brasileira de Revendedores de Pneus (ABRAPNEUS)</t>
  </si>
  <si>
    <t>Dpaschoal;</t>
  </si>
  <si>
    <t>Associação Brasileira de Supermercados (ABRAS)</t>
  </si>
  <si>
    <t>"ABRAS é a casa dos supermercados brasileiros e, como representante de um dos setores mais importantes para a sociedade, tem em seu DNA todas as características que fazem do varejo alimentar um universo essencial e especial, dentre elas a força, o dinamismo e o espírito em servir. Sua missão é responder e trabalhar por um setor responsável por movimentar 9% do PIB nacional e por gerar renda para 9 milhões de pessoas colaboradores diretos e indiretos, com um ecossistema que atende 30 milhões de consumidores por dia. O setor supermercadista alcançou R$ 1.001.3 trilhão de faturamento, por meio da operação de todos os seus formatos e canais de distribuição (supermercado, hipermercado, atacarejo, mercado de vizinhança, e-commerce e pequenas empresas do Simples Nacional). Nessa permanente jornada, a entidade conta com o respaldo de 27 associações estaduais de supermercados para mobilizar os empresários do autosserviço e por fazer chegar aos supermercados conhecimento e informações vitais para a sua gestão e progresso."</t>
  </si>
  <si>
    <t xml:space="preserve">Assaí; Grupo Carrefour Brasil; Copercampos; Cencosud; GPA; </t>
  </si>
  <si>
    <t>https://www.abras.com.br/</t>
  </si>
  <si>
    <t>Associação Brasileira do Comércio Farmacêutico (ABCFARMA)</t>
  </si>
  <si>
    <t>"A Abcfarma é a casa das farmácias brasileiras e, como representante de um dos setores mais importantes para a sociedade, tem em seu DNA todas as características que fazem do varejo farmacêutico um universo essencial e especial, dentre elas a força, o dinamismo e o espírito em entregar saúde. Com operações concentradas em São Paulo e Brasília, a Abcfarma exerce um sólido relacionamento político-institucional da classe varejista farmacêutica com as autoridades constituídas, conferindo à entidade legitimidade para representar e defender as farmácias do Brasil. Para isso, estamos sempre evoluindo e pensando em como podemos gerar ainda mais valor para os nossos associados."</t>
  </si>
  <si>
    <t>https://site.abcfarma.org.br/quem-somos/</t>
  </si>
  <si>
    <t>Associação Brasileira do Varejo Têxtil (ABVTex)</t>
  </si>
  <si>
    <t>"A ABVTEX instituiu o Selo ABVTEX com o objetivo de identificar as empresas participantes do Programa ABVTEX e que poderá ser utilizado por fornecedores e seus subcontratados durante o prazo de validade do Certificado de Aprovação, em acordo com as regras estabelecidas pelas Normas de Uso do Selo ABVTEX do Regulamento Geral. A empresa fornecedora e/ou subcontratada que realizar a auditoria no Checklist do Programa ABVTEX poderá ter a classificação em Ouro, Prata ou Bronze e deverá usar o selo correspondente à classificação obtida."</t>
  </si>
  <si>
    <t>https://www.abvtex.org.br/selo-abvtex/</t>
  </si>
  <si>
    <t>Associação Brasileira dos Atacadistas de Autosserviço (ABAAS)</t>
  </si>
  <si>
    <t>"Constituída em dezembro de 2014, a ABAAS foi criada para representar os interesses de seus associados e ser a porta-voz do segmento de atacado de autosserviço. Sua principal atividade é representar o setor e atuar sobre suas demandas específicas junto à iniciativa privada, à indústria, aos clientes e aos órgãos públicos, sejam eles municipais, estaduais ou federais. A ABAAS é formada por catorze redes de atacados de autosserviço que operam no país, sendo elas: Assaí Atacadista, Atacadão, Atacadão dia a dia, Comercial Esperança, Fort Atacadista, Giga Atacado, Makro, Mart Minas – Atacado e Varejo, Max Atacadista, Maxxi Atacado, Roldão Atacadista, Spani Atacadista, Tenda Atacado e Villefort Atacadista. Juntas, essas empresas somam 1.492 lojas. O presidente da entidade é o associado Virgílio Villefort – Villefort Atacado e Varejo."</t>
  </si>
  <si>
    <t>Assaí;</t>
  </si>
  <si>
    <t>https://abaas.com.br/quem-somos/</t>
  </si>
  <si>
    <t>Associação Brasileira dos Produtores de Sementes de Soja (Abrass)</t>
  </si>
  <si>
    <t>"A ABRASS (Associação Brasileira dos Produtores de Sementes de Soja) foi fundada em 2012 e representa os multiplicadores de sementes de soja do Brasil para fortalecer a produção de sementes de soja, valorizar essa atividade e seu produto final. Atua em prol das boas práticas na produção de sementes, regulamentação jurídica, marcos legais, difusão de produtos que levem competitividade ao agricultor, aperfeiçoamento de instrumentos de políticas públicas e outras frentes de desenvolvimento da cadeia produtiva. O maior patrimônio da ABRASS reside em seu corpo de associados, distribuídos em 10 estados do país, representando quase 60% da produção de sementes de soja do Brasil."</t>
  </si>
  <si>
    <t xml:space="preserve">SLC AGRICOLA; </t>
  </si>
  <si>
    <t>https://abrass.org.br/quem-somos</t>
  </si>
  <si>
    <t>Associação Brasileira Indústria Trigo (Abitrigo)</t>
  </si>
  <si>
    <t>"Representamos a indústria nacional de moagem de trigo, defendemos os interesses do setor e o fortalecimento de toda a cadeia de produção. Somos o elo entre o campo e a indústria de transformação. Desde 1990, nos dedicamos a reestruturar e integrar toda a cadeia produtiva do trigo no Brasil, estimulando as melhores práticas, compartilhando conhecimento e gerando ainda mais valor para nossa atividade. A farinha de trigo é matéria-prima base para a produção de alimentos essenciais para a população, como pães, macarrão, biscoitos, bolos, entre outros. Está presente em 100% dos lares brasileiros e seu grau de consumo é um dos balizadores da economia nacional. É saudável e essencial para a nossa saúde. Os alimentos à base de trigo são nossas principais fontes de energia."</t>
  </si>
  <si>
    <t>https://www.abitrigo.com.br/quem-somos/</t>
  </si>
  <si>
    <t>Associação das Empresas Cerealistas do Estado de Mato Grosso (ACEMAT)</t>
  </si>
  <si>
    <t>"A ACEMAT DESENVOLVE ATIVIDADES DE REPRESENTAÇÃO, PRESTAÇÃO DE SERVIÇOS E DEFESA DOS INTERESSES DOS ASSOCIADOS. OBJETIVA CONGREGAR OS AGENTES DO MERCADO CEREALISTA PARA FORTALECER SEUS NEGÓCIOS."</t>
  </si>
  <si>
    <t>Fiagril;</t>
  </si>
  <si>
    <t>https://www.acebra.org.br/acemat/</t>
  </si>
  <si>
    <t>Associação das Empresas Cerealistas do Rio Grande do Sul (ACERGS)</t>
  </si>
  <si>
    <t>"A ACERGS promove a união entre agentes do mercado cerealista, facilitando o acesso a conhecimentos e informações de interesse do setor, como técnicas e estatísticas. A associação busca e tem recebido apoio político e apresenta sugestões para projetos de lei, reforma tributária e formatação do código de atividade econômica, assim como trabalha para a efetivação de um plano agrícola e pecuário que tenha maior participação das empresas do setor. O objetivo da ACERGS é ser porta-voz da classe e defender os interesses dos cerealistas diante do poder público, buscando, por exemplo, linhas de crédito compatíveis junto às instituições financeiras oficiais em parceria com a ACEBRA, Associação das Empresas Cerealistas do Brasil, instituição que une empresas cerealistas de todo país."</t>
  </si>
  <si>
    <t>3tentos;</t>
  </si>
  <si>
    <t>https://www.acergs.com.br/site/acergs/</t>
  </si>
  <si>
    <t>Associação dos Comerciantes de Defensivos Agrícolas do Planalto Norte (ACODEPLAN)</t>
  </si>
  <si>
    <t>Belagrícola;</t>
  </si>
  <si>
    <t xml:space="preserve">s/i </t>
  </si>
  <si>
    <t xml:space="preserve">Associação dos Distribuidores Agroquímicos Norte Paranaense (ADAN) </t>
  </si>
  <si>
    <t>Associação dos Distribuidores de Insumos Agrícolas do Estado de São Paulo (ADIAESP)</t>
  </si>
  <si>
    <t>"Em Abril de 2004, um grupo de proprietários de Revendas de Insumos Agrícolas do Leste Paulista se reuniu para criar uma Associação, visando o cumprimento da Lei Ambiental no recebimento de embalagens vazias de defensivos agrícolas, que servisse de apoio não só às Revendas, mas também ao Agricultor. Surgiu então a ADIAESP: Uma associação sem fins lucrativos, representando a classe dos Revendedores de Insumos Agrícolas. Atua no Leste Paulista, com a perspectiva de abranger todo o Estado de São Paulo. Atualmente reúne diversos postos e três centrais para recebimento das embalagens vazias de defensivos agrícolas. Conta com um significativo quadro de associados, o que contribui para uma maior representatividade perante Órgãos Federais e Estaduais (CATI, CDA e CETESB). No início das atividades, em 2004 , possuía 17 sócios, que acreditaram logo de início nos ideais e preceitos da associação. Em outubro de 2005, já contava com 70 sócios e em setembro do ano seguinte já eram 95 sócios. Desde então, a Associação só cresceu! Hoje, em plena maturidade, possui 200 sócios, de diversos portes, localizados em cerca de 85 municípios do Estados de São Paulo."</t>
  </si>
  <si>
    <t>https://www.adiaesp.com.br/quem_somos/</t>
  </si>
  <si>
    <t>Associação dos Distribuidores de Insumos e Tecnologia Agropecuária (ADITA)</t>
  </si>
  <si>
    <t>"Fundada em 09 de março de 1999, por um grupo de empresários do setor de insumos agropecuários, com o propósito de atuar no recolhimento das embalagens vazias de agrotóxicos da região noroeste do Estado do Paraná, estavam presentes as empresas Adubos Plant Bem, Agrícola Fertipol, Agromarte, Agroplant, Casa da Agricultura, Mariagro, Produza e RC, todas instaladas em Maringá; Agrícola Caiuá, Campo Bom e Herbirama de Umuarama, Paiçandú Agropecuária de Paiçandú, Casa do Agricultor de Cianorte, Agricola Kaloré de Kaloré e Campagro de Campo Mourão. Em 2002, a ADITA firma o primeiro convenio com a Prefeitura Municipal de Maringá, por intermédio do Estado que cedia a estrutura do Projeto Terra limpa para o recebimento de embalagens vazias de Agrotóxicos, no mesmo ano, a ADITA firma a parceria com o Instituto Nacional de Processamento de Embalagens Vazias – INPEV, e a Unidade Central de Maringá inicia as atividades. Como o processo amadureceu rapidamente e com o aumento no volume de devolução de embalagens e do número de empresas associadas, a ADITA amplia o recolhimento e inaugura no ano de 2003, a Central de Umuarama e de Campo Mourão. E no ano de 2004, reestrutura e inaugura o Posto de Recebimento de Paranavaí. Com a estrutura pronta para atender a demanda das embalagens a ADITA passa a atuar no recolhimento de embalagens em 21,5% do Estado do Paraná, e atualmente conta com um quadro associativo de 193 empresas instaladas em 88 municípios da região noroeste do Estado."</t>
  </si>
  <si>
    <t>http://www.adita.org.br/quemsomos/</t>
  </si>
  <si>
    <t>Associação dos Produtores de Biocombustíveis do Brasil (APROBIO)</t>
  </si>
  <si>
    <t>"A Associação dos Produtores de Biocombustíveis do Brasil (APROBIO) é uma entidade de representação corporativa e institucional dos produtores de biocombustíveis do país e de disseminação de conhecimento, pesquisa e informação sobre as fontes alternativas de energia em substituição aos combustíveis fósseis."</t>
  </si>
  <si>
    <t>https://aprobio.com.br/</t>
  </si>
  <si>
    <t>Associação dos Produtores de Sementes dos Estados do Matopiba - Maranhão, Tocantins, Piauí e Bahia (Aprosem)</t>
  </si>
  <si>
    <t>"Somos uma entidade representativa dos produtores de sementes dos estados do Maranhão, Tocantins, Piauí e Bahia, e desenvolvemos trabalhos de promoção, regulamentação e desenvolvimento da indústria regional de produção de sementes."</t>
  </si>
  <si>
    <t>SLC AGRICOLA;</t>
  </si>
  <si>
    <t>https://aprosem.com/</t>
  </si>
  <si>
    <t>Associação dos Produtores e Comerciantes de Sementes e Mudas do RioGrande do Sul (APASSUL)</t>
  </si>
  <si>
    <t>"A Associação de Produtores e Comerciantes de Sementes e Mudas do Rio Grande do Sul (APASSUL) foi fundada em 1968, e está sempre se reinventando a fim de beneficiar seus associados. Nesses mais de 50 anos de trajetória, nos tornamos uma entidade reconhecida nacionalmente pela dedicação e expertise na representação da semente e da biotecnologia. Andamos lado a lado com aqueles que acreditam em um futuro próspero e conexo com seus princípios, com a inovação e com a ciência da agricultura. O círculo social que fundou a entidade tinha como objetivo principal a consolidação da produção de sementes certificadas em nosso Estado. Hoje, contamos com mais de 100 associados, entre eles produtores de semente de soja, de trigo, de arroz, de forrageiras, de fumo/tabaco, obtentores de biotecnologias, entidades de pesquisa e desenvolvimento, universidades e faculdades."</t>
  </si>
  <si>
    <t>https://www.abrasem.com.br/associacao-dos-produtores-e-comerciantes-de-sementes-e-mudas-do-rio-grande-do-sul-apassul/</t>
  </si>
  <si>
    <t>Associação Fabricantes Brasileiros de Coca-Cola (AFBCC)</t>
  </si>
  <si>
    <t>Associação Nacional de Restaurantes (ANR)</t>
  </si>
  <si>
    <t>"Em 1990, como resultado dessas mudanças, um grupo de empresários de restaurantes de São Paulo criou a Aprest (Associação Paulista de Restaurantes) para que pudessem centralizar o diálogo com órgãos de Governo e discutir aperfeiçoamentos técnicos e operacionais para os seus negócios. Negociações bem sucedidas resultaram em seguidas reduções do ICMS em São Paulo e de aproximações com os entes regulatórios do setor, e a associação cresceu e ampliou sua representatividade. Em 2007, atendendo demandas de empresários e gestores de outros estados, a Aprest transformou-se em uma associação nacional de restaurantes, a ANR. A partir de então, ampliou de 70 para cerca de 2.000 marcas diferentes a sua relação de associados, responsáveis por mais de 12.000 estabelecimentos em todos os estados brasileiros, que representam grande diversidade da gastronomia, em restaurantes, franquias, redes de alimentação, bares, sorveterias, buffets, cafés, quiosques."</t>
  </si>
  <si>
    <t xml:space="preserve">Zamp; </t>
  </si>
  <si>
    <t>https://anrbrasil.org.br/a-anr/</t>
  </si>
  <si>
    <t>Associação Nacional dos distribuidores de autopeças (ANDAP)</t>
  </si>
  <si>
    <t>"A Andap – Associação Nacional dos Distribuidores de Autopeças, sociedade civil com fins não econômicos foi fundada em 1971 e representa os maiores distribuidores de autopeças do Brasil, onde algumas de suas finalidades são promover estudos para melhorar o mercado da reposição automotiva, incentivar a cooperação com os elos da cadeia produtiva e poder público e promover a ética comercial de social."</t>
  </si>
  <si>
    <t>https://www.linkedin.com/company/andapassociacao/?originalSubdomain=br</t>
  </si>
  <si>
    <t>Associação Nacional dos Distribuidores de Insumos Agrícolas e Veterinários (ANDAV)</t>
  </si>
  <si>
    <t>"Há 33 anos a Andav representa o Distribuidor de Insumos Agropecuários e atualmente reúne mais de 3.000 empresas de todas as regiões do Brasil, responsáveis por levar as boas práticas ao campo e acima de tudo zelar pelo bom funcionamento da cadeia ao estender conhecimento, produtos, serviços e tecnologia."</t>
  </si>
  <si>
    <t xml:space="preserve">3tentos; Belagrícola; Fiagril; Lavoro; </t>
  </si>
  <si>
    <t>https://andav.com.br/sobre/</t>
  </si>
  <si>
    <t>Associação Norte Paranaense de Revendedores Agroquímicos (ANPARA)</t>
  </si>
  <si>
    <t>Associação Paulista de Supermercados (APAS)</t>
  </si>
  <si>
    <t>"A Associação Paulista de Supermercados (APAS) com uma sede na cidade de São Paulo, onde também possui 3 Distritais, está estrategicamente presente em todo o Estado de São Paulo, com 13 sedes Regionais. A entidade representa mais de 1500 empresas de todos os portes e que somam mais de 4500 estabelecimentos comerciais. O tratamento homogêneo que a entidade confere a todos os seus associados, às autoridades nacionais e internacionais e aos diferentes stakeholders das várias cadeias produtivas que compõem o mix de produtos comercializados nos essenciais supermercados, reflete o pensamento institucional estratégico da APAS. Atuante na causa da segurança alimentar e agente profissionalizante do setor supermercadista no maior mercado consumidor do país, o Estado de São Paulo, a APAS congrega toda a cadeia de abastecimento e atua com sinergia junto aos seus stakeholders para conhecer a fundo o comportamento e as necessidades do mercado consumidor e da sociedade, garantindo um crescimento harmônico das diferentes cadeias produtivas ao apontar as tendências do pujante varejo supermercadista, que é a mola propulsora do setor terciário brasileiro. Com o objetivo de disseminar as melhores práticas proporcionando para as próximas gerações o legado de um setor mais forte em um mundo melhor, a APAS representa e desenvolve – de forma sustentável – o varejo de alimentos ao garantir que os essenciais supermercados abasteçam a população de forma segura e sem interrupção, com respeito ao consumidor e a geração de valor compartilhado para a sociedade"</t>
  </si>
  <si>
    <t>Assaí; GPA;</t>
  </si>
  <si>
    <t>https://apas.com.br/quem-somos/</t>
  </si>
  <si>
    <t>Associação Regional de Recebimento e Prensagem de Embalagens Vazias (Arpev)</t>
  </si>
  <si>
    <t>Associação Tres-lagoenses das Revendas Agrícolas (ATRA)</t>
  </si>
  <si>
    <t xml:space="preserve">Best Aquaculture Practies (BAP) </t>
  </si>
  <si>
    <t>"BAP is the only seafood-specific certification program that is capable of certifying every step in the production chain. The process starts with hatcheries and ends in a processing plant where it is prepared for delivery to you."</t>
  </si>
  <si>
    <t>C.Vale; CJ Selecta; Copacol</t>
  </si>
  <si>
    <t>https://www.bapcertification.org/WhoWeAre</t>
  </si>
  <si>
    <t>Better Cotton Initiative (BCI)</t>
  </si>
  <si>
    <t>"Better Cotton é a iniciativa de sustentabilidade líder mundial para o algodão. Nossa missão é ajudar as comunidades de algodão a sobreviver e prosperar, protegendo e restaurando o meio ambiente."</t>
  </si>
  <si>
    <t>Brasilagro; EISA Interagrícola/ECOM; Louis Dreyfus Company (LDC); SLC AGRICOLA;</t>
  </si>
  <si>
    <t>https://bettercotton.org/pt/certification-2024/</t>
  </si>
  <si>
    <t>Bio+</t>
  </si>
  <si>
    <t>"Bio+ é um selo de qualidade das embalagens biodegradáveis, reutilizáveis e recicláveis elaboradas pela Meiwa, cujo objetivo é a divulgação e o investimento em diferentes projetos sustentáveis. O Bio+ traz consigo o principal pilar que a Meiwa tem como missão e responsabilidade socioambiental: a sustentabilidade."</t>
  </si>
  <si>
    <t>https://biomaisbrasil.com.br/</t>
  </si>
  <si>
    <t>BonSucro</t>
  </si>
  <si>
    <t>"A Bonsucro certificate is internationally recognised and respected. By achieving a certificate, you can improve your image, achieve sustainability procurement goals, build partnerships to tackle sustainability issues together.  There are two types of Bonsucro certification– one on the production end of the supply chain and one on the trading side of the supply chain. The two work together to ensure that sugarcane production benefits producer communities, ensures people are treated fairly and creates long-lasting, traceable supply chains."</t>
  </si>
  <si>
    <t xml:space="preserve">COFCO Internacional; DSM; GPA; Louis Dreyfus Company (LDC); </t>
  </si>
  <si>
    <t>https://bonsucro.com/</t>
  </si>
  <si>
    <t xml:space="preserve">Brazil Specialty Coffee Association (BSCA) - Selo </t>
  </si>
  <si>
    <t>"Como a BSCA é a única instituição brasileira a certificar lotes com monitoramento de selos de controle de qualidade de cafés especiais, ao se tornar membro, o produtor  pode garantir seu lote de café quanto à qualidade com o SELO BSCA e, assim, agregar valor na comercialização do produto."</t>
  </si>
  <si>
    <t xml:space="preserve">Grupo Montesanto Tavares; </t>
  </si>
  <si>
    <t>https://www.bsca.com.br/page/a-bsca</t>
  </si>
  <si>
    <t>BRCGS</t>
  </si>
  <si>
    <t>"BRCGS is a market-leading global brand that helps build confidence in the supply chain. Our Global Standards for Food Safety, Packaging Materials, Storage and Distribution, Consumer Products, Agents and Brokers, Retail, Gluten Free, Plant-Based and Ethical Trading set the benchmark for good manufacturing practice, and help provide assurance to customers that your products are safe, legal and of high quality. Independent research, carried out by the University of Birkbeck, demonstrates the value and economic impact that certification to BRCGS can bring." "A BRCGS é um protocolo projetado para harmonizar os padrões de segurança dos alimentos em toda a cadeia de fornecimento. Hoje, é mundialmente reconhecido nas indústrias alimentícias e não alimentícias como um dos mais rigorosos esquemas de certificação de terceiros. A certificação BRCGS é frequentemente um requisito fundamental dos principais varejistas, fabricantes e organizações de serviços de alimentação. Ao obter a certificação BRCGS, você comunica aos seus clientes que seus produtos são seguros, legais e de alta qualidade."</t>
  </si>
  <si>
    <t>Barra Mansa Alimentos; Copacol; C.Vale; Grupo Dia; Frigol; GTFoods; JBS; Lar Cooperativa; Minerva Foods; Zamp</t>
  </si>
  <si>
    <t>https://www.brcgs.com/about-brcgs/why-brcgs/</t>
  </si>
  <si>
    <t>https://wqs.com.br/certifications/brcgs-certification-for-food-safety-standards?&amp;lang=pt&amp;xtor=sec-1119&amp;matchType=p&amp;kw=certifica%C3%A7%C3%A3o%20brc&amp;device=c&amp;loc=9197575&amp;network=g&amp;placement=certificate&amp;campaign=BRCGS&amp;serviceType=certification&amp;campaignid=18771586240&amp;adgroupid=142577039946&amp;sc=47253000932437566&amp;creative=631904940458&amp;mkwid=&amp;slid=&amp;kwid=kwd-452278241695&amp;locint=&amp;utm_source=google&amp;utm_medium=cpc&amp;gad_source=1&amp;gclid=Cj0KCQjwxsm3BhDrARIsAMtVz6MfCgLj1szpZtdpGL6fdmwlw42P_8ZTImjbqzsrwPYzSx2INIBlOBwaApXgEALw_wcB</t>
  </si>
  <si>
    <t>Bukit Barisan Selatan (BBS) Sustainable Commodities Partnership</t>
  </si>
  <si>
    <t>"The Bukit Barisan Selatan Sustainable Commodities Partnership (‘Kemitraan Komoditas Lestari’ or KEKAL) is an innovative landscape partnership to protect the forests of Bukit Barisan Selatan National Park (BBSNP) and support farmers' livelihoods across the BBS landscape in southern Sumatra."</t>
  </si>
  <si>
    <t>Louis Dreyfus Company (LDC);</t>
  </si>
  <si>
    <t>https://www.wcs.org/our-work/bbs-sustainable-commodities-partnership</t>
  </si>
  <si>
    <t>Business for Nature</t>
  </si>
  <si>
    <t>"Business for Nature is a global coalition of 100+ partner organizations as well as forward-thinking companies. Together, we drive credible business action and policy ambition to achieve a nature-positive economy for all by 2030. We provide the courage, comfort and technical expertise to governments so that they adopt, implement and enforce ambitious nature policies and help scale and speed up business action by strengthening, clarifying and amplifying why and how companies should act now. "</t>
  </si>
  <si>
    <t>COFCO Internacional;</t>
  </si>
  <si>
    <t>https://www.businessfornature.org/</t>
  </si>
  <si>
    <t>C.A.F.E. Practices</t>
  </si>
  <si>
    <t>"SCS Global Services trabalha com a Starbucks para desenvolver a norma Coffee And Farmer Equity (C.A.F.E.) Practices para garantir que a Starbucks se abastece de café cultivado e processado de forma sustentável. A Starbucks define a sustentabilidade como um modelo economicamente viável que aborda as necessidades sociais e ambientais de todos os participantes na cadeia de abastecimento, desde o agricultor até ao consumidor. A norma promove a transparência, a rentabilidade e práticas responsáveis de cultivo e processamento de café, melhorando simultaneamente os meios de subsistência dos produtores e trabalhadores do café e conservando o habitat natural das comunidades. O C.A.F.E. Practices Generic and Smallholder Scorecards engloba um conjunto abrangente de mais de 200 indicadores sociais, económicos e ambientais que são avaliados nas auditorias de terceiros."</t>
  </si>
  <si>
    <t xml:space="preserve">COFCO Internacional;  Cooxupé; EISA Interagrícola/ECOM; Grupo Montesanto Tavares; </t>
  </si>
  <si>
    <t>https://www.starbucksathome.com/br/blog/cafe-practices.html</t>
  </si>
  <si>
    <t>https://pt.scsglobalservices.com/services/starbucks-cafe-practices</t>
  </si>
  <si>
    <t>Câmara de Dirigentes Lojistas de São Paulo (CDL)</t>
  </si>
  <si>
    <t>"Somos um Hub de soluções para nossos associados, provedores responsáveis pelo Serviço de Proteção ao Crédito no estado de São Paulo e fazemos parte do “Sistema CNDL“, um sistema associativo que desenvolveu o SPC Brasil. O SPC Brasil cresceu e, hoje, estamos presentes em mais de 2.000 municípios, temos mais de 450 mil associados e atendemos todas as etapas da cadeia produtiva (varejo, indústria, serviços, etc.), sendo o elo de confiança para a troca de informações e garantindo crédito mais saudável para o mercado."</t>
  </si>
  <si>
    <t>https://cdlsp.com.br/institucional/</t>
  </si>
  <si>
    <t xml:space="preserve">Carbon Trust </t>
  </si>
  <si>
    <t>"The Carbon Trust has offered carbon neutral verification since 2012. This verification enabled organisations to demonstrate their commitment to decarbonisation, verified against PAS 2060, the internationally recognised standard for Carbon Neutrality, and played an important role in setting businesses on the path to Net Zero. As consumer engagement and regulatory frameworks around sustainability evolve, our label claims portfolio is evolving in response."</t>
  </si>
  <si>
    <t>https://www.carbontrust.com/what-we-do/product-carbon-footprint-labelling/carbon-neutral-verification</t>
  </si>
  <si>
    <t>Centro Internacional de Energias Renováveis (CIBiogás)</t>
  </si>
  <si>
    <t>"Somos uma ICT+i – Instituição de Ciência e Tecnologia com Inovação, dedicada ao desenvolvimento do biogás como recurso energético limpo e competitivo, com o objetivo de promover o mercado de energias renováveis. Oferecemos soluções personalizadas em toda a cadeia de biogás: • Identificação de oportunidades de negócios; • Serviços de laboratório; • Estruturação de arranjo tecnológico; • Construção de modelos de negócios; • Captação de recursos para investimento; • Projeto e especificação técnica de plantas; • Implantação, planejamento e gestão da obra; • Comissionamento de plantas; • Operação assistida de plantas; • Negócios em energia; • Due Diligence; • Cursos, capacitações e eventos."</t>
  </si>
  <si>
    <t>https://cibiogas.org/</t>
  </si>
  <si>
    <t>Certifica Minas Café</t>
  </si>
  <si>
    <t>"Brasil é o maior produtor mundial de café e Minas Gerais responde por mais de 50% da produção nacio-nal. A Certificação do Café foi instituída em 2008 pela Secretaria de Agricultura, Pecuária e Abastecimento. Atualmente 1.428 propriedades cafeeiras estão certi-ficadas pelo Instituto Mineiro de Agropecuária, fazendo do Programa Certifica Minas Café um dos maiores programas de certificação do mundo. O principal foco do Programa é a adoção de boas práticas de produção, de sustentabilidade, de rastreabilidade e melhoria na gestão da propriedade. Essas características evidenciam o alinhamento do Programa com as principals exigências dos mercados consumidores. Destaca-se também o papel inclusivo, visto que a Certificação é gratuita para agricultores familiares."</t>
  </si>
  <si>
    <t>https://www.agricultura.mg.gov.br/certificaminas/website/documentos/cartilha_cafe.pdf</t>
  </si>
  <si>
    <t>Certificação como Empresa B</t>
  </si>
  <si>
    <t>"As empresas B são organizações transparentes e conscientes, que atuam seguindo padrões de geração e gestão de impacto socioambientais rigorosos, abrangentes e confiáveis, que norteiam e apoiam a constante mudança dos sistemas econômicos, bem como utilizam da potência do coletivo para que o impacto seja ainda mais amplo. E por coletivo entende-se também que esses valores-base — tão essenciais para a mudança — serão compartilhados inclusive com acionistas e demais partes interessadas que envolvem a corporação, por meio do estabelecimento de um modelo de governança de stakeholders sólido e efetivo. A Certificação como Empresa B se torna, assim, uma consequência direta das práticas perenes e constantes já implementadas. É um “atestado” que comprova apenas que a cultura já foi transformada e que a gestão desse impacto positivo constante já faz parte do dia a dia do negócio."</t>
  </si>
  <si>
    <t>3tentos; Bemol; DPaschoal; Mercado Livre;</t>
  </si>
  <si>
    <t>https://sistemabbrasil.org/seja-empresa-b/</t>
  </si>
  <si>
    <t>Certificação de Sustentabilidade do Couro Brasileiro</t>
  </si>
  <si>
    <t>"Aplicando para a indústria de curtumes o conceito do tripé da sustentabilidade em que são considerados os resultados de uma empresa em termos econômicos, ambientais e sociais, a Certificação de Sustentabilidade do Couro Brasileiro entende como um curtume sustentável aquele que desenvolve suas atividades com resultados econômicos, procurando reduzir o impacto ambiental inerente de sua atividade e proporcionando melhores condições de trabalho aos seus funcionários e respeitando a comunidade na qual a empresa está inserida."</t>
  </si>
  <si>
    <t>https://cicb.org.br/cscb</t>
  </si>
  <si>
    <t xml:space="preserve">Certificação de Unidades Armazenadoras em Ambiente Natural - UAAN </t>
  </si>
  <si>
    <t>"A certificação de Unidades Armazenadoras em Ambiente Natural (UAAN) é regida pela Instrução Normativa Nº 29, de 08 de junho de 2011, a qual consolida todas as normas e procedimentos a serem adotados pelas Unidades Armazenadoras. De acordo com a legislação, a certificação é obrigatória para as pessoas jurídicas que prestam serviços remunerados de armazenagem, a terceiros, de produtos agropecuários, seus derivados, subprodutos e resíduos de valores econômicos, inclusive de estoques públicos, podendo o Ministério da Agricultura, Pecuária e Abastecimento (MAPA) ampliar a exigência para outras unidades armazenadoras. O Selo de Identificação da Conformidade no âmbito do SBAC (Selo de Certificação) indica que a Unidade Armazenadora está em conformidade com os requisitos técnicos e normativos estabelecidos pelo MAPA."</t>
  </si>
  <si>
    <t>https://www.savassiagronegocio.com.br/certificadora/unidade-armazenadora-ambiente-natural</t>
  </si>
  <si>
    <t>Certificação IBD</t>
  </si>
  <si>
    <t>"O IBD se orgulha de ser a maior certificadora de produtos orgânicos da América Latina e a única certificadora brasileira de produtos orgânicos com certificação IFOAM (mercado internacional), ISO / IEC 17065 (mercado europeu – regulamentação CE 834/2007), Demeter (mercado). USDA / NOP (mercado norte-americano) e aprovado para uso com o selo SISORG (mercado brasileiro), o que torna seu certificado aceito globalmente. Além dos protocolos de certificação orgânica, o IBD também oferece certificações de sustentabilidade: Roundtable on Sustainable Palm Oil (RSPO), Union for Ethical BioCommerce (UEBT), IBD Fair Trade, UTZ (café, cacau), RFA (Rainforest Alliance), 4C (café ), ISCC e SAI Plataform."</t>
  </si>
  <si>
    <t>DPaschoal; M. Dias Branco</t>
  </si>
  <si>
    <t>https://www.ibd.com.br/about-us/</t>
  </si>
  <si>
    <t>Certificação Lixo Zero</t>
  </si>
  <si>
    <t>"A certificação, além da porcentagem que é referente ao encaminhamento correto dos resíduos, possui também uma escala que vai de A até D chamada de “índice de boas práticas”. Essa escala é referente às boas práticas e aos pontos que o estabelecimento ou evento recebeu durante a auditoria."</t>
  </si>
  <si>
    <t xml:space="preserve">Grupo Dia; </t>
  </si>
  <si>
    <t>https://lp.certificacaolixozero.com/?gad_source=1&amp;gclid=Cj0KCQjwsJO4BhDoARIsADDv4vAYxAjcowLYkCs1x77LHCDpqTPm7pjAItXe9J96hROgh0bFX0g7t1IaAt43EALw_wcB</t>
  </si>
  <si>
    <t>Certificados de Recebíveis do Agronegócio (CRAs)</t>
  </si>
  <si>
    <t>"Os Certificados de Recebíveis do Agronegócio (CRA) são títulos de renda fixa lastreados em recebíveis originados de negócios entre produtores rurais, ou suas cooperativas, e terceiros, abrangendo financiamentos ou empréstimos relacionados à produção, à comercialização, ao beneficiamento ou à industrialização de produtos, insumos agropecuários ou máquinas e implementos utilizados na produção agropecuária. Nessas operações, as empresas cedem seus recebíveis para uma securitizadora, que emitirá os CRAs e os disponibilizará para negociação no mercado de capitais, geralmente com o auxílio de uma instituição financeira. Por fim, essa securitizadora irá pagar a empresa pelos recebíveis cedidos. Desse modo, a empresa conseguirá antecipar o recebimento de seus recebíveis."</t>
  </si>
  <si>
    <t>Agrogalaxy; Coopercitrus; Cotrijal;</t>
  </si>
  <si>
    <t>https://www.b3.com.br/pt_br/produtos-e-servicos/negociacao/renda-fixa/certificado-de-recebiveis-do-agronegocio.htm</t>
  </si>
  <si>
    <t>Certified Humane</t>
  </si>
  <si>
    <t>"O Instituto Certified Humane Brasil é o representante na América Latina e Ásia da Humane Farm Animal Care (HFAC), a principal organização internacional sem fins lucrativos de certificação voltada para a melhoria da vida dos animais criados para a produção de alimentos, do nascimento até o abate. A HFAC é responsável pelo Programa Certified Humane. Principais Objetivos do Programa Certified Humane Melhorar a vida dos animais de criação para a produção de alimentos; Divulgar ao público e aos produtores nas fazendas e granjas sobre as melhores práticas existentes em bem-estar animal; Converter produtores para que passem a adotar práticas de criação com bem-estar animal; Alcançar máxima credibilidade em referenciais de bem-estar animal e processo de inspeção e certificação. O Selo Certified Humane® garante aos consumidores: • Que o alimento certificado é proveniente de instalações que cumprem padrões específicos de tratamento de animais de produção. • Que o produtor adota os nossos referenciais para a criação dos animais desde o seu nascimento até o abate. • Sem gaiolas, sem grades, sem celas. Os animais devem ser livres para expressar o seu comportamento natural. As galinhas, por exemplo, devem poder bater suas asas e tomar banhos de areia e os suínos devem ter espaço suficiente para se movimentar e forragear. • Uma dieta com ração de qualidade, nutritiva para a idade e fase produtiva do animal, sem antibióticos sub-terapêuticos, ou promotores de crescimento. • Os responsáveis pela operação e os encarregados são capacitados para aplicar um manejo humanizado e compassivo no trato com os animais."</t>
  </si>
  <si>
    <t>BRF; GPA; JBS</t>
  </si>
  <si>
    <t>https://certifiedhumanebrasil.org/quem-somos/</t>
  </si>
  <si>
    <t>CitrusBR</t>
  </si>
  <si>
    <t>"A CitrusBR foi fundada em junho de 2009 e reúne as principais empresas produtoras e exportadoras brasileiros de sucos cítricos e seus produtos: Citrosuco, Cutrale e Louis Dreyfus Company. Nós trabalhamos para levar ao público informações de qualidade sobre a produção citrícola.  Explicando como o nosso suco de laranja contribui para a saúde das pessoas, ajuda a proteger o meio ambiente e gera empregos e renda nas cidades onde está presente. Aqui mostramos como é possível produzir de forma eficiente, gerando riqueza e ao mesmo tempo fazendo a nossa parte para ajudar a construir um mundo melhor."</t>
  </si>
  <si>
    <t>Citrosuco; Louis Dreyfus Company (LDC);</t>
  </si>
  <si>
    <t>https://citrusbr.com/sobre-nos/</t>
  </si>
  <si>
    <t>Coalizão Brasil Clima, Florestas e Agricultura</t>
  </si>
  <si>
    <t>"Somos um movimento composto por mais de 400 representantes do setor privado, setor financeiro, academia e sociedade civil. Unimos essas diferentes vozes em prol da liderança do Brasil em uma nova economia de baixo carbono, competitiva, responsável e inclusiva. Nesse contexto, atuamos para promover a sinergia entre as agendas de proteção, conservação, uso sustentável das florestas naturais e plantadas, agropecuária e adaptação às mudanças climáticas. Fotos: Mark Castiglia/Valentin Ayupov/Juliana Sussai-Embrapa/iStock (Mico-leão-dourado/Anavilhanas/Rastreabilidade/Soja); Os primeiros passos da Coalizão Brasil Clima, Florestas e Agricultura foram dados em dezembro de 2014 e sua fundação oficial aconteceu em 24 de junho de 2015, com o lançamento do Documento-base do movimento, às vésperas da COP 21, a Conferência das Nações Unidas sobre as Mudanças Climáticas, quando foi firmado o Acordo de Paris. Desde então, o movimento tem se posicionado como importante ator na formulação de propostas e soluções que ajudem o Brasil a implementar os compromissos assumidos nesse acordo climático global. Buscamos contribuir nos debates nacionais para a formulação das principais políticas públicas, instrumentos econômicos e experiências nos setores relacionados ao uso da terra no país. Também levamos nossas propostas às COPs e outros fóruns para apresentação ao público internacional."</t>
  </si>
  <si>
    <t>Amaggi; Assaí; BRF; Cargill; Grupo Carrefour Brasil; GPA; JBS; Marfrig</t>
  </si>
  <si>
    <t>https://coalizaobr.com.br/sobre-nos/</t>
  </si>
  <si>
    <t>Coalizão Empresarial pela Equidade Racial e de Gênero</t>
  </si>
  <si>
    <t>"A Coalizão Empresarial para Equidade Racial e de Gênero tem como objetivo ser um espaço de debate, troca de experiências e estímulo à implementação e ao aprimoramento de políticas públicas e práticas empresariais, em um esforço coletivo para se promover a inclusão e a diversidade nas organizações. Almeja-se que a Coalizão seja um espaço pragmático para encontrar parceiros comuns e atuar na cadeia de valor, levando as questões para dentro dos relacionamentos e relações de negócios tanto com fornecedores quanto com clientes."</t>
  </si>
  <si>
    <t>GPA; Via/Grupo Casas Bahia;</t>
  </si>
  <si>
    <t>https://www.equidade.org.br/</t>
  </si>
  <si>
    <t>Coalizão Empresarial pelo Fim da Violência contra Mulheres e Meninas</t>
  </si>
  <si>
    <t>"Em 2019, a Avon, por meio do Instituto Avon, a ONU Mulheres e a Fundação Dom Cabral decidiram liderar uma iniciativa que unisse empresas do Brasil todo para tomarem uma atitude diante dos crescentes índices de violência contra tantas brasileiras. Assim nascia a Coalizão Empresarial pelo Fim da Violência Contra Mulheres e Meninas, um movimento do setor privado, espontâneo e colaborativo, que une esforços e recursos corporativos para gerar impacto social por meio da conscientização e mobilização, diária e constante, em favor de uma causa comum: o fim da violência contra mulheres e meninas. A ação da Coalizão é focada no ambiente de trabalho - mas não restrita a ele. Isso porque, ao impactar profissionais, impactam-se as pessoas em seus mais diversos campos de atuação. Por isso, a repercussão das ações da Coalizão não se limita aos muros das empresas e expande-se às relações familiares e sociais."</t>
  </si>
  <si>
    <t>Assaí; Grupo Carrefour Brasil; GPA; Via/Grupo Casas Bahia;</t>
  </si>
  <si>
    <t>https://www.coalizaoempresarial.com.br/</t>
  </si>
  <si>
    <t>Confederação Nacional da Indústria (CNI)</t>
  </si>
  <si>
    <t>"A CNI é a principal representante da indústria brasileira na defesa e na promoção de políticas públicas que favoreçam o empreendedorismo e a produção industrial, num setor que reúne mais de 476 mil indústrias no país."</t>
  </si>
  <si>
    <t>https://www.portaldaindustria.com.br/cni/</t>
  </si>
  <si>
    <t>Conselho de Desenvolvimento Econômico e Social (CDES)</t>
  </si>
  <si>
    <t>"Conselho de Desenvolvimento Econômico Social Sustentável (CDESS) é um colegiado composto por representantes da sociedade civil, criado inicialmente em 2003 e recriado pela Medida Provisória nº 1.154, de 1º de janeiro de 2023. É um órgão de assessoramento direto ao Presidente da República em todas as áreas de atuação do Poder Executivo, na formulação de políticas e diretrizes voltadas ao desenvolvimento econômico, social e sustentável do País. O colegiado é um importante espaço de fortalecimento das instituições e da democracia brasileira, pois possibilita exercer a escuta ativa de representações da sociedade brasileira, considerando sua complexidade e heterogeneidade. A diversidade dos seus membros conduz ao diálogo plural, com trânsito de vários tipos de informações e de pontos de vista. Essa riqueza de perspectivas, aliada ao propósito compartilhado de pensar o desenvolvimento do país, ajuda o Conselho a construir consensos. Essas e outras características fazem do Conselho um dos mais importantes instrumentos de participação social no Brasil, assim como ocorre em várias democracias pelo mundo, como França, Espanha, Holanda, África do Sul, Coréia do Sul e Panamá."</t>
  </si>
  <si>
    <t>https://www.gov.br/sri/pt-br/cdess</t>
  </si>
  <si>
    <t>Conselho de Exportadores de Café do Brasil (Cecafé)</t>
  </si>
  <si>
    <t>"O CECAFÉ, Conselho dos Exportadores de Café do Brasil, originou-se da fusão de duas entidades representativas do setor exportador: Associação Brasileira dos Exportadores de Café (ABECAFÉ) e Federação Brasileira dos Exportadores de Café (FEBEC). O processo foi conduzido por professores da FEA-USP por meio do PENSA, Centro de Inteligência dos Agronegócios, no ano de 1999."</t>
  </si>
  <si>
    <t xml:space="preserve">DPaschoal; Grupo Montesanto Tavares; </t>
  </si>
  <si>
    <t>https://www.cecafe.com.br/conheca-o-cecafe/historico/</t>
  </si>
  <si>
    <t>Conselho Empresarial Brasileiro para o Desenvolvimento Sustentável (CEBDS)</t>
  </si>
  <si>
    <t>"Desde sua criação, em 1997, o CEBDS dissemina o debate sobre Desenvolvimento Sustentável no Brasil, e trabalha para se consolidar como uma iniciativa de referência no país, e no mundo, no enfrentamento das principais crises que afetam o clima, a natureza e a sociedade. Através de pesquisas de vanguarda, articulação junto aos governos e à sociedade civil, compartilhamento de conhecimento e disponibilização de ferramentas inovadoras, buscamos inspirar líderes em todos os setores da economia a adotarem práticas sustentáveis e contribuírem para o desenvolvimento sustentável do Brasil. Com o objetivo de nortear nossas ações, definimos 6 frentes prioritárias em nossa agenda de trabalho: Água, Amazônia, Biodiversidade, Impacto Social, Mudanças Climáticas e Sistemas Agroalimentares. Reunimos empresas que representam os mais variados setores da economia, incluindo agronegócio, bens de consumo, cosméticos, energia, finanças, florestas, logística, mineração, óleo &amp; gás, petroquímica, saneamento, transporte e varejo. Essa diversidade de setores reflete a amplitude de nossa atuação e a capacidade de promover mudanças visando a resolução das crises que tanto nos afetam."</t>
  </si>
  <si>
    <t xml:space="preserve">Ambev; Assaí; Grupo Carrefour Brasil; Citrosuco; GPA; JBS; M. Dias Branco; Mercado Livre; </t>
  </si>
  <si>
    <t>https://cebds.org/quem-somos/</t>
  </si>
  <si>
    <t>Consumer Goods Forum (CGF)</t>
  </si>
  <si>
    <t>"O Consumer Goods Forum (CFG) é uma organização global de 400 empresas de bens de consumo, que reúne retalhistas e fabricantes para implementar mudanças positivas em larga escala através de ações colaborativas globais. O objetivo é ajudar a enfrentar os principais desafios que afetam a indústria, incluindo a sustentabilidade ambiental e social, a saúde, a segurança alimentar e a precisão dos dados dos produtos."</t>
  </si>
  <si>
    <t>Grupo Carrefour Brasil; GPA; Zamp;</t>
  </si>
  <si>
    <t>https://www.internationalegg.com/pt/our-work/industry-representation/consumer-goods-forum/</t>
  </si>
  <si>
    <t>Dolphin Safe</t>
  </si>
  <si>
    <t>"The Tuna Tracking and Verification Program (TTVP), established under the Dolphin Protection Consumer Information Act, is how NOAA Fisheries monitors compliance with dolphin-safe tuna labeling."</t>
  </si>
  <si>
    <t>https://www.fisheries.noaa.gov/national/marine-mammal-protection/dolphin-safe-certification</t>
  </si>
  <si>
    <t>eureciclo</t>
  </si>
  <si>
    <t>"A eureciclo é uma negócio de impacto socioambiental que transforma a cadeia de reciclagem e a vida das pessoas. Criamos soluções relevantes para e reciclagem e a economia circular. Conectamos empresas que buscam a regularização na Política Nacional de Resíduos Sólidos, e que em parceria com organizações de catadores e operadores de reciclagem, queiram investir na cadeia de reciclagem. Com uma plataforma de tecnologia, os dados da cadeia de reciclagem são rastreados do começo ao fim, comprovando que um material equivalente ao que a empresa contratante colocou no mercado (separado por tipo - papel, plástico, vidro ou metal) foi efetivamente reciclado na mesma região impactada e retornou à cadeia produtiva. Todo esse processo é feito através da compensação ambiental de embalagens. Com atuação nacional, a eureciclo certifica o processo de logística reversa de embalagens, com segurança jurídica, em um sistema que confere consistência e escalabilidade ao processo. Somos uma empresa B há mais de 4 anos e a EY há mais de 4 anos realiza a asseguração limitada do volume de resíduos do processo de certificação de logística reversa. O selo eureciclo é um atributo de comunicação para as empresas que adotam a nossa solução. Com ele temos o objetivo de conscientizar e educar cada vez mais a população, já que é com o selo que as empresas informam seu engajamento com a reciclagem e a valorização do trabalho de operadores de coleta e triagem. Existimos para transformar o modo como a sociedade cuida dos resíduos. Isso significa evoluir toda a cadeia de reciclagem: melhorando a vida dos trabalhadores da cadeia com olhar humanizado para despertar suas potências, desenvolvendo inovações que aumentam as taxas de reciclagem, viabilizando parcerias que somam forças e fomentando o impacto positivo nos negócios."</t>
  </si>
  <si>
    <t>https://www.linkedin.com/company/seloeureciclo/</t>
  </si>
  <si>
    <t>Fairtrade</t>
  </si>
  <si>
    <t>"About the Certifiers FLOCERT is the largest certifier for Fairtrade, responsible for the certification of all producers and most traders. FLOCERT operates a transparent, independent and globally consistent certification system. In addition to complying with Fairtrade’s certifier requirements, it is accredited under ISO 17065, the leading international quality norm for product certifiers."</t>
  </si>
  <si>
    <t xml:space="preserve">Citrosuco; Coopercitrus; EISA Interagrícola/ECOM; Grupo Montesanto Tavares; </t>
  </si>
  <si>
    <t>https://www.fairtrade.net/about/certification</t>
  </si>
  <si>
    <t>Federação das Indústrias do Estado do Rio de Janeiro (Firjan)</t>
  </si>
  <si>
    <t>"Nós da Firjan acreditamos nisto. E acreditamos que a indústria do Rio é um dos maiores agentes de mudança do nosso estado. Por isso, estamos ao lado de todas elas, apoiando e incentivando através da Firjan SENAI, Firjan SESI, Firjan IEL e Firjan CIRJ. Juntos, geramos ideias, empregos e desenvolvemos soluções para a transformação que tanto desejamos. Desenvolver a indústria é fundamental para a economia. Mas não é só isso. Desenvolver a indústria gera emprego e renda, amplia e cria novos negócios, estimula a inovação tecnológica e tudo isso é fundamental, também, para o desenvolvimento pleno do estado do Rio e de toda a sociedade. Garantir o crescimento sustentável da indústria é a nossa missão. Representamos todas as indústrias do estado do Rio, que conta com 101 sindicatos e cerca de 5.100 colaboradores e estagiários*. Com nossas organizações – Firjan SESI, Firjan SENAI, Firjan IEL e Firjan CIRJ – nós da Firjan atuamos em áreas fundamentais, como a competitividade empresarial, a educação e a qualidade de vida do trabalhador e de seus familiares."</t>
  </si>
  <si>
    <t>https://www.firjan.com.br/pagina-inicial.htm?_gl=1*12ufn6o*_gcl_au*NDI1NDc4NDAwLjE3Mjg2ODA2Nzg.</t>
  </si>
  <si>
    <t>Federação das Indústrias do Estado doe São Paulo (Fiesp)</t>
  </si>
  <si>
    <t>"A Federação das Indústrias do Estado de São Paulo (Fiesp) é a maior entidade de classe da indústria brasileira. Representa cerca de 130 mil indústrias de diversos setores, de todos os portes e das mais diferentes cadeias produtivas, distribuídas em 131 sindicatos patronais. A atual estrutura da Fiesp reflete o pensamento estratégico e o tratamento homogêneo que a entidade confere às várias cadeias produtivas e aos sindicatos, independentemente do porte das empresas ou do segmento a que pertencem."</t>
  </si>
  <si>
    <t>https://www.fiesp.com.br/</t>
  </si>
  <si>
    <t>Federação do Comércio de Bens, Serviços e Turismo do Estado de São Paulo (Fecomercio)</t>
  </si>
  <si>
    <t>"Agregamos mais de 130 sindicatos patronais que representam mais de 1 milhão de empresários do comércio de bens, serviços e turismo no Estado de São Paulo, respondem por mais de 10 milhões de empregos e por, aproximadamente, 30% do Produto Interno Bruto (PIB) do País. Reunimos um time heterogêneo, altamente especializado e engajado na busca de um ambiente favorável ao desenvolvimento do País. Transitamos por todas as esferas do poder - municipal, estadual e federal, das secretarias à Presidência da República, nas casas Legislativas e nos ministérios."</t>
  </si>
  <si>
    <t>Assaí; Grupo Carrefour Brasil; GPA; Magazine Luiza; Lojas Quero-Quero; Via/Grupo Casas Bahia;</t>
  </si>
  <si>
    <t>https://www.fecomercio.com.br/institucional/sobre</t>
  </si>
  <si>
    <t>Field to Market</t>
  </si>
  <si>
    <t>"Field to Market: The Alliance for Sustainable Agriculture brings together a diverse group of grower organizations, agribusinesses, food, beverage, apparel, restaurant and retail companies, conservation groups, universities, and public sector partners to define, measure and advance the sustainability of food, feed, fiber and fuel production in the United States."</t>
  </si>
  <si>
    <t>Bunge;</t>
  </si>
  <si>
    <t>https://fieldtomarket.org/the-alliance/</t>
  </si>
  <si>
    <t>First Movers Coalition for Food</t>
  </si>
  <si>
    <t>"The First Movers Coalition advances the most critical, emerging climate technologies by leveraging members' collective purchasing power. By translating member commitments into the world’s largest, credible demand signal, the FMC accelerates the adoption of emerging climate technologies to decarbonize the world's heavy-emitting sectors."</t>
  </si>
  <si>
    <t>https://initiatives.weforum.org/first-movers-coalition/home</t>
  </si>
  <si>
    <t>Fórum de Empresas e Direitos LGBTI+</t>
  </si>
  <si>
    <t>"Criado em março de 2013, o Fórum é movimento empresarial com atuação permanente reunindo grandes empresas em torno de 10 Compromissos com a promoção dos direitos humanos LGBTI+. Espera-se que cada empresa busque cumprir com os Compromissos no relacionamento com seus diferentes stakeholders e que juntas as empresas possam influenciar positivamente o ambiente empresarial e a sociedade."</t>
  </si>
  <si>
    <t>Assaí; Cargill; Grupo Carrefour Brasil; GPA; Magazine Luiza; Via/Grupo Casas Bahia;</t>
  </si>
  <si>
    <t>https://www.forumempresaslgbt.com/</t>
  </si>
  <si>
    <t>Fórum Gerações e Futuro do Trabalho</t>
  </si>
  <si>
    <t>"O Fórum Gerações e Futuro do Trabalho é uma iniciativa empresarial voltada ao debate e fortalecimento das políticas de Diversidade Etária nas organizações. As empresas signatárias aderem a seis compromissos que direcionam seu comprometimento com os avanços necessários para a promoção de um futuro do trabalho que contemple todas as pessoas. O tema se mostra cada dia mais relevante, considerando aspectos tão amplos quanto a chegada da Geração Z ao mercado de trabalho até o aumento da expectativa de vida da população brasileira. Com o fim do bônus demográfico, discutir as questões geracionais e relacionadas ao futuro do trabalho torna-se cada dia mais necessário. O contexto de automação e digitalização das atividades produtivas intensifica a relevância e urgência deste debate."</t>
  </si>
  <si>
    <t>https://www.forumgeracoes.com.br/</t>
  </si>
  <si>
    <t>FSC Standards</t>
  </si>
  <si>
    <t>"As the pioneer of forest certification, the Forest Stewardship Council (FSC) sets the standard for responsible forest stewardship. Our policies unify a diverse set of stakeholders around common guidelines for forestry that are: environmentally appropriate socially beneficial economically viable. Our open and transparent standards include safeguards to ensure that stakeholders throughout the forest supply chain live up to the principles that protect healthy and resilient forests for all, forever."</t>
  </si>
  <si>
    <t>Grupo Carrefour Brasil; Drogarias DPSP; DSM; GPA; McDonald's; Magazine Luiza; Mercado Livre; Lojas Quero-Quero; Raia Drogasil; Via/Grupo Casas Bahia; Zamp;</t>
  </si>
  <si>
    <t>https://fsc.org/en/fsc-standards</t>
  </si>
  <si>
    <t>Fundação Ellen MacArthur</t>
  </si>
  <si>
    <t>"Para alcançar a transição para uma economia circular, precisamos envolver todas as partes do sistema. É por isso que trabalhamos com empresas, instituições internacionais, governos, cidades, universidades, organizações não governamentais, inovadores e muitos outros. Desenvolvemos recursos, publicações e ferramentas que ajudam a definir políticas eficazes, encontrar novas maneiras de fazer negócios e desenvolver produtos melhores. Nossa rede reúne empresas líderes em seus setores, inovadores emergentes, redes afiliadas, autoridades governamentais, cidades e regiões, entre diversos outros membros. O objetivo é desenvolver e expandir a economia circular, solucionar as barreiras comuns ao progresso, entender as condições facilitadoras necessárias e testar práticas de economia circular. Os membros da nossa rede podem: debater com pares com quem normalmente não teriam contato, incluindo concorrentes e inovadores emergentes; compartilhar experiências e aprender com outras pessoas que também buscam implementar a economia circular; ampliar seus conhecimentos e impulsionar a inovação – cada vez mais rápido; aumentar suas ambições ao entender com mais clareza o que podem fazer, quais são as oportunidades e o que outros atores estão fazendo."</t>
  </si>
  <si>
    <t>https://www.ellenmacarthurfoundation.org/pt/sobre-nos/o-que-fazemos</t>
  </si>
  <si>
    <t>Fundo de Defesa da Citricultura – Fundecitrus</t>
  </si>
  <si>
    <t>"O Fundo de Defesa da Citricultura – Fundecitrus é uma associação privada mantida por citricultores e indústrias de suco do estado de São Paulo para promover o desenvolvimento sustentável do parque citrícola. Por meio da realização de pesquisas, tecnologias, capacitação de profissionais e geração de informação está ao lado do citricultor para apoiá-lo no dia a dia dos pomares e para tornar a citricultura mais eficiente e sustentável. O Fundecitrus é reconhecido como referência mundial no desenvolvimento de ciência para a citricultura e como um exemplo de competência em produzir e disseminar conhecimentos que garantam a sanidade dos pomares, com economia de recursos financeiros e preservação dos recursos ambientais. A atuação do Fundecitrus tem ajudado a garantir a competitividade da citricultura brasileira e sua manutenção no primeiro lugar mundial na exportação de suco de laranja."</t>
  </si>
  <si>
    <t>https://www.fundecitrus.com.br/ofundecitrus/quem_somos</t>
  </si>
  <si>
    <t>Gender Equality European &amp; International Standard (GEEIS)</t>
  </si>
  <si>
    <t>"In 2010, Arborus created the GEEIS (Gender Equality European &amp; International Standard) certification for Gender Equality, and another for Diversity as a whole in 2016. Certifications are valid for four years, with a follow-up audit after two years. GEEIS is an international standard enabling the development of a common culture in gender equality and diversity in the workplace, offering multinational companies international recognition, encouraging the introduction of tools to manage an inclusive equal opportunity strategy and fostering dialogue and the sharing of best practices between countries."</t>
  </si>
  <si>
    <t>https://embracedifference.ert.eu/case-studies/geeis-an-international-certification-in-diversity/#:~:text=GEEIS%20is%20an%20international%20standard,dialogue%20and%20the%20sharing%20of</t>
  </si>
  <si>
    <t>German Coffee Association</t>
  </si>
  <si>
    <t>"From small start-ups to establish global brands the German Coffee Association represents numerous companies that trade in, process or otherwise do business with coffee. Our more than 380 members include sustainability organisations, coffee-financing banks, green coffee traders/agents and brokers, all well-known large brand roasters, around 180 speciality roasters, manufacturers of instant coffee, decaffeinators, shipping companies, logistics companies, warehousing providers, manufacturers of roasting facilities and equipment technology, food laboratories and producers and dealers of coffee and vending machines."</t>
  </si>
  <si>
    <t>https://www.kaffeeverband.de/en</t>
  </si>
  <si>
    <t>Global Coffee Platform (GCP)</t>
  </si>
  <si>
    <t>"Global Coffee Platform (GCP) is a multi-stakeholder membership association dedicated to advance coffee sustainability towards the vision of a thriving, sustainable coffee sector for generations to come. GCP enables coffee producers, traders, roasters, governments and NGOs to align and multiply their efforts and investments, collectively act on local priorities and critical issues, scale local sustainability programs and grow the global market for sustainable coffee across the coffee world. United in the belief that coffee sustainability is a shared responsibility, GCP Members and GCP’s Network of Country Platforms work together to achieve transformational change on prosperity for one million coffee farmers by 2030."</t>
  </si>
  <si>
    <t>https://www.globalcoffeeplatform.org/about-gcp/</t>
  </si>
  <si>
    <t>GLOBAL G.A.P</t>
  </si>
  <si>
    <t>"GLOBALG.A.P. is a brand of smart farm assurance solutions for the certification of agriculture, aquaculture, and floriculture – advancing safer and more responsible farming practices in over 135 countries worldwide."</t>
  </si>
  <si>
    <t xml:space="preserve">Bem Brasil Alimentos; BRF; C.Vale; JBS; Zamp; </t>
  </si>
  <si>
    <t>https://www.globalgap.org/</t>
  </si>
  <si>
    <t>Global Roundtable for Sustainable Beef (GRSB)</t>
  </si>
  <si>
    <t>"Member organizations worldwide field their top experts and executives to provide strong leadership serving the beef industry as GRSB General Assembly, elected Board of Director, and Executive Board members. Committed to making a difference in the sustainability of their industry, GRSB leadership are bridge builders and connectors of resources and talent. They are dedicated to finding common ground — while honoring differences across cultural and political boundaries — for the advancement of sustainability in the global beef value chain. Global organisations and individual members from over 24 countries expect and depend on GRSB leadership to deliver fresh, actionable, inspiring insights to guide significant outcomes."</t>
  </si>
  <si>
    <t>JBS; Marfrig</t>
  </si>
  <si>
    <t>https://grsbeef.org/</t>
  </si>
  <si>
    <t xml:space="preserve">GMP+ </t>
  </si>
  <si>
    <t xml:space="preserve">"A certificação GMP Plus é antes de tudo uma ferramenta de gestão de risco, que pode beneficiar as empresas de muitas maneiras. A GMP+ certificado é considerado como uma licença para vender em cada vez mais países, o que significa que está sendo concedido este certificado, envolve novas oportunidades de vendas. Um certificado GMP+ contribui  para a continuidade de operações; sua organização se torna mais eficiente no projeto e riscos financeiros e os custos envolvidos em erros são reduzidos. O foco na gestão da qualidade (ISO 9001) e controle de risco (HACCP) proporciona uma melhora significativa em sua política global de qualidade. O certificado GMP+ certificado mostra a seus clientes que você possui profissionalismo e reforça sua identidade corporativa, não só porque você contribui com alimentos animais seguros, mas também porque você é parte de uma rede de mais de 20.000 companhias em mais de 80 países." </t>
  </si>
  <si>
    <t>3tentos; Citrosuco; CJ Selecta; Coopercitrus; Copacol; Grupo Montesanto Tavares; Lar Cooperativa;</t>
  </si>
  <si>
    <t xml:space="preserve">https://www.sgs.com/pt-br/noticias/2020/02/certificacao-gmp-plus </t>
  </si>
  <si>
    <t>Great Place to Work (GPTW)</t>
  </si>
  <si>
    <t>"O Great Place To Work® é uma consultoria global que apoia organizações a obter melhores resultados por meio de uma cultura de confiança, alto desempenho e inovação. Com a missão de “construir uma sociedade melhor, transformando cada organização em um Great Place To Work for All”, estamos presente em 109 países, analisando mais de 10.000 empresas anualmente, o que corresponde a mais de 10 milhões de funcionários impactados no mundo."</t>
  </si>
  <si>
    <t>Agrária; Agrogalaxy; Assaí; Belagrícola; C.Vale; Cocamar; COFCO Internacional; Drogarias DPSP; Integrada; Raia Drogasil;</t>
  </si>
  <si>
    <t>https://www.linkedin.com/company/great-place-to-work-brasil/</t>
  </si>
  <si>
    <t xml:space="preserve">Green Eletron (Gestora para Resíduos de Equipamentos Eletroeletrônicos) </t>
  </si>
  <si>
    <t>"Em resposta à demanda crescente das empresas, governo e sociedade pela criação de alternativas estruturadas para a coleta e tratamento adequado dos eletroeletrônicos no fim da sua vida útil, a Abinee fundou em 2016 a Green Eletron – Gestora para Logística Reversa de Equipamentos Eletroeletrônicos. Tendo como objetivo principal auxiliar as empresas no atendimento à lei 12.305/2010 (Política Nacional de Resíduos Sólidos), a proposta da Green Eletron é criar um sistema coletivo para operacionalizar a Logística Reversa de suas associadas de forma mais eficiente e econômica. Atuando com parceiros de reconhecida experiência no ramo, a Green Eletron contrata e coordena os serviços de coleta, transporte e a destinação final ambientalmente adequada dos eletroeletrônicos descartados. Garantindo a suas associadas confiabilidade e segurança no atendimento às exigências legais. O quadro social da Green Eletron não está limitado às associadas da Abinee, podendo ser integrada por empresas sediadas no País e que atuam na produção, importação e/ou comercialização de equipamentos elétricos e eletrônicos. Com isso, a proposta da Green é contribuir para a integração da logística reversa nas ações de política industrial do setor eletroeletrônico, além de promover a economia circular, visando a geração de valor e a redução de custos."</t>
  </si>
  <si>
    <t>Grupo Carrefour Brasil; GPA; Via/Grupo Casas Bahia;</t>
  </si>
  <si>
    <t>https://greeneletron.org.br/sobre</t>
  </si>
  <si>
    <t>Grupo de Institutos Fundações e Empresas (GIFE)</t>
  </si>
  <si>
    <t>"O GIFE é uma associação de investidores sociais privados do Brasil, sejam eles institutos, fundações ou fundos familiares, corporativos independentes ou empresas. Nascido como grupo informal em 1989, o GIFE – Grupo de Institutos, Fundações e Empresas, foi instituído como organização sem fins lucrativos, em 1995. Desde então, tornou-se referência no país no tema do investimento social privado. Atualmente, conta com uma rede de mais de 170 associados que, somados, aportaram R$ 4.8 bilhões em investimento social no ano de 2022, segundo dados do Censo GIFE.A organização compreende investimento social privado com o repasse voluntário de recursos privados de forma planejada, monitorada e sistemática para projetos ou organizações sociais, ambientais, culturais e científicos de interesse público."</t>
  </si>
  <si>
    <t>Grupo Carrefour Brasil; GPA;</t>
  </si>
  <si>
    <t>https://gife.org.br/quem-somos-gife/</t>
  </si>
  <si>
    <t>Grupo de Trabalho de Fornecedores Indiretos (GTFI)</t>
  </si>
  <si>
    <t>"O GTFI - Grupo de Trabalho dos Fornecedores Indiretos na Pecuária Brasileira - é o principal fórum de discussão sobre o monitoramento de fornecedores indiretos na cadeia de suprimento da carne bovina no Brasil O GTFI reúne os diversos stakeholders da cadeia produtiva da carne bovina no Brasil para discutir soluções de rastreabilidade, monitoramento e transparência com foco no controle do desmatamento em fornecedores indiretos. Acreditamos que a rastreabilidade é um dos mais importantes passos para atingir uma produção responsável e mais sustentável. Todos os membros do GTFI reconhecem o valor e a importância que uma melhor rastreabilidade e maior transparência trarão ao setor como um todo, e para atingir essa meta o Grupo está focado em explorar e avançar em soluções e ferramentas viáveis."</t>
  </si>
  <si>
    <t>Assaí; Grupo Carrefour Brasil; GPA;</t>
  </si>
  <si>
    <t>https://gtfi.org.br/o-gtfi/</t>
  </si>
  <si>
    <t>Grupo de Trabalho pela Pecuária Sustentável (GTPS)</t>
  </si>
  <si>
    <t>"O Grupo de Trabalho (GT) da Pecuária Sustentável foi criado no final de 2007 e formalmente constituído em junho de 2009. É formado por representantes de diferentes segmentos que integram a cadeia de valor da pecuária bovina no Brasil. Participam representantes das indústrias e de organizações do setor, associações de pecuaristas, varejistas, bancos, organizações da sociedade civil, centros de pesquisa e universidades. O objetivo do GT é debater e formular, de maneira transparente, princípios, padrões e práticas comuns a serem adotados pelo setor, que contribuam para o desenvolvimento de uma pecuária sustentável, socialmente justa, ambientalmente correta, e economicamente viável. Neste contexto, o envolvimento de todos os segmentos que compõem a cadeia de valor, e também da sociedade civil é fundamental para se atingir este objetivo."</t>
  </si>
  <si>
    <t>https://www.gov.br/agricultura/pt-br/assuntos/camaras-setoriais-tematicas/documentos/camaras-setoriais/carne-bovina/anos-anteriores/grupo-de-trabalho-da-pecuaria-sustentavel.pdf</t>
  </si>
  <si>
    <t>Grupo Mulheres do Brasil</t>
  </si>
  <si>
    <t>"O Grupo Mulheres do Brasil foi criado em 2013 por 40 mulheres de diferentes segmentos com o intuito de engajar a sociedade civil na conquista de melhorias para o país. É presidido pela empresária Luiza Helena Trajano e possui 127.847 participantes no Brasil e no exterior. Queremos ser o maior grupo político suprapartidário do país."</t>
  </si>
  <si>
    <t>https://www.grupomulheresdobrasil.org.br/nossa-historia/</t>
  </si>
  <si>
    <t xml:space="preserve">HACCP (Hazard Analysis and Critical Control Point) / Sistema APPCC (Sistema de Análise de Perigos e Pontos Críticos de Controle) </t>
  </si>
  <si>
    <t>"O Sistema APPCC (Sistema de Análise de Perigos e Pontos Críticos de Controle) cuja sigla em inglês é HACCP (Hazard Analysis and Critical Control Point), consiste em um sistema de controle sobre a segurança do alimento mediante a análise e controle dos riscos biológicos, quimicos e físicos em todas as etapas, desde a produção da matéria prima até a fabricação, distribuição e consumo."</t>
  </si>
  <si>
    <t>Coopercitrus; Copacol; C.Vale; Frigol; GTFoods; Integrada; Minerva Foods</t>
  </si>
  <si>
    <t>https://www.gov.br/siscomex/pt-br/servicos/aprendendo-a-exportarr/conhecendo-temas-importantes-1/sistema-appcc-haccp#:~:text=O%20Sistema%20APPCC%20</t>
  </si>
  <si>
    <t>Halal</t>
  </si>
  <si>
    <t>"A CDIAL Halal entende a importância do mercado Halal e está, portanto, comprometida, há quase 40 anos, em oferecer serviços de certificação confiáveis que garantam a conformidade com os requisitos islâmicos. Além de atender às exigências religiosas, a sua empresa pode conquistar novos mercados, atraindo tanto os consumidores muçulmanos quanto aqueles que valorizam produtos de alta qualidade e conformidade estrita."</t>
  </si>
  <si>
    <t>Agrária; BRF; C.Vale; Citrosuco; CJ Selecta; Coopercitrus; Copacol; GTFoods; Integrada; JBS; Lar Cooperativa; M. Dias Branco; Minerva Foods; Piracanjuba</t>
  </si>
  <si>
    <t>https://cdialhalal.com.br/certificacoes/#categorias</t>
  </si>
  <si>
    <t>IARD’s Global Standards Coalition</t>
  </si>
  <si>
    <t>"The Global Standards Coalition, led by IARD, aims to create a positive movement that globally drives initiatives to help reduce harmful drinking and promote moderation among those who choose to drink. The coalition will focus on proactive measures to: Further prevent sales to those underage or intoxicated. Curb marketing and advertising to those underage Provide training and guidance that empowers staff to deny sale, service, and delivery of alcohol where necessary Respect the choices of those who choose not to drink alcohol Elevate industry standards to reduce the harmful use of alcohol."</t>
  </si>
  <si>
    <t>https://iard.org/actions/The-Global-Standards-Coalition#:~:text=The%20Global%20Standards%20Coalition%2C%20led,to%20those%20underage%20or%20intoxicated</t>
  </si>
  <si>
    <t>IFS Food</t>
  </si>
  <si>
    <t>"The IFS Food Standard reviews the products and production processes to evaluate a food producer’s ability to produce safe, authentic, and quality products according to legal requirements and customer specifications. It supports businesses in meeting the growing transparency and traceability demands in the market and contributes to improving product integrity and increasing efficiency. Qualified IFS Auditors working for independent accredited certification bodies carry out the audits. IFS Standards are subject to assessments by governmental or private organisations."</t>
  </si>
  <si>
    <t>https://www.ifs-certification.com/en/food-standard</t>
  </si>
  <si>
    <t>IFS Global Markets</t>
  </si>
  <si>
    <t>"O Programa Global Markets foi criado em 2008, pela Global Food Safety Initiative (GFSI) para ajudar empresas pequenas e/ou menos desenvolvidas a obterem a certificação em esquemas de segurança de alimentos e reconhecidos pela GFSI. A partir do GFSI Global Markets, outras normas passaram a desenvolver uma abordagem padronizada com base no checklist deste programa, surgindo assim os Programas: IFS Global Markets Food e PacSecure. O programa tem como objetivo facilitar o acesso ao mercado, criar aceitação mútua ao longo da cadeia de abastecimento e fornecer um sistema de referência para a orientação, desenvolvimento e avaliação de empresas pequenas e menos desenvolvidas. Além de simplificar a forma de obter a Certificação em relação à Norma IFS (International Featured Standard)"</t>
  </si>
  <si>
    <t xml:space="preserve">BRF; Cencosud; Grupo Dia; Frimesa; GTFoods; Integrada; Lar Cooperativa; Zamp; </t>
  </si>
  <si>
    <t>https://www.intertek-br.com/alimentos/global-markets/</t>
  </si>
  <si>
    <t>Iniciativa de Compliance e Sustentabilidade (ICS)</t>
  </si>
  <si>
    <t>"ICS actions are based on a common methodology applied by all ICS members and securing a complete control of the audit process by brands. ICS audits are mandated and managed by member companies. Audit launch is a member prerogative, which ensures a total control of the use of ICS tools. Audits are only performed by third party ICS-accredited audit companies. ICS audits are neither certificates nor labels. ICS members share common monitoring rules when critical non-conformities are identified in the factories. The vast majority of ICS audits are semi announced or unannounced."</t>
  </si>
  <si>
    <t>https://ics-asso.org/</t>
  </si>
  <si>
    <t>Iniciativa Empresarial pela Igualdade Racial</t>
  </si>
  <si>
    <t>"Somos uma movimento originado na sociedade civil e formado por pessoas em 2015, empresas e ​instituições comprometidas com a promoção da equidade racial e a superação do racismo em todo ​ecossistema de negócio. O universo da Iniciativa representa mais de R$ 1,3 trilhão em faturamento, ​mais de 800 mil pessoas diretas, 4 milhões de pessoas indiretas e alcance global. Nossa finalidade é promover um ambiente de negócios sustentável, através da superação do racismo e ​de todas as formas de discriminação no ambiente corporativo e em toda a sua cadeia de valor."</t>
  </si>
  <si>
    <t>Assaí; Cargill; GPA; Magazine Luiza;</t>
  </si>
  <si>
    <t>https://quemsomos.iniciativaempresarial.com.br/</t>
  </si>
  <si>
    <t>Iniciativa Financeira para Amazônia, Cerrado e Chaco (IFACC)</t>
  </si>
  <si>
    <t>"Inovação Financeira para Amazônia, Cerrado e Chaco (IFACC) é uma iniciativa da The Nature Conservancy (TNC), Tropical Forest Alliance (TFA) e do Programa das Nações Unidas para o Meio Ambiente (PNUMA) para acelerar empréstimos e investimentos para produção sustentável de carne bovina e soja na Amazônia, Cerrado e Chaco. O IFACC vê a expansão desse tipo de investimento como um elemento-chave na transformação da produção de alimentos nesses biomas, complementar a outros esforços, como compromissos da cadeia de suprimentos, sistemas de rastreabilidade, políticas públicas e abordagens jurisdicionais. Os modelos de produção de carne bovina e de soja que precisam de financiamento incluem a expansão da produção sobre pastagens degradadas, o aumento da produtividade (incluindo a intensificação sustentável da pecuária) e a proteção e restauração da vegetação nativa."</t>
  </si>
  <si>
    <t xml:space="preserve">Agrogalaxy; </t>
  </si>
  <si>
    <t>https://www.tnc.org.br/o-que-fazemos/nossas-iniciativas/financas-sustentaveis/ifacc/</t>
  </si>
  <si>
    <t>Instituto Brasileiro de Executivos do Varejo (IBEVAR)</t>
  </si>
  <si>
    <t>"O IBEVAR – Instituto Brasileiro de Executivos de Varejo &amp; Mercado de Consumo é referência no Varejo e mercado de Consumo. Realiza mais de 40 pesquisas periódicas anuais que contribuem com o mapeamento do setor. Reúne mais de 19 mil associados e desenvolve encontros com executivos para debater assuntos relevantes para os profissionais do varejo."</t>
  </si>
  <si>
    <t>https://www.ibevar.org.br/sobre-o-ibevar/</t>
  </si>
  <si>
    <t>Instituto Brasileiro de Governança Corporativa (IBGC)</t>
  </si>
  <si>
    <t>"Fundado em 27 de novembro de 1995, o Instituto Brasileiro de Governança Corporativa (IBGC), organização da sociedade civil, é a maior referência no Brasil e uma das principais no mundo em governança corporativa. Seu objetivo é gerar e disseminar conhecimento em governança corporativa e influenciar os mais diversos agentes na adoção das melhores práticas, contribuindo para o desempenho sustentável das organizações e, consequentemente, para uma sociedade melhor. O IBGC é considerado um think tank da governança corporativa, uma rede colaborativa de ideias dedicada a explorar temas e questões importantes sobre governança e que impactam positivamente a sociedade."</t>
  </si>
  <si>
    <t>https://ibgc.org.br/quemsomos</t>
  </si>
  <si>
    <t>Instituto de Estudos para Desenvolvimento (Iedi)</t>
  </si>
  <si>
    <t>"O IEDI foi criado em 1989 e reúne atualmente 50 empresários representantes de grandes empresas nacionais. O cenário de grande instabilidade macroeconômica, com baixas taxas de investimento e de crescimento e maior desemprego nos anos 1980 motivou um grupo de empresários industriais brasileiros a conceber um instituto privado de estudos sobre a indústria e o desenvolvimento nacional. Entendiam que pensar o desenvolvimento de seu país é uma importante e indelegável tarefa para cumprir com a Nação. O IEDI sempre se pautou por uma atuação isenta de partidarismos e de corporativismo. Seus trabalhos ressaltam a responsabilidade do setor privado e da empresa na condução do desenvolvimento industrial em parceria com o Estado. Para isso apresentou ao governo e à sociedade propostas de política de desenvolvimento industrial para o Brasil. Continuamente estuda e formula recomendações de aperfeiçoamentos e reformas em muitas áreas, como abertura e integração comercial com o resto do mundo, competitividade, educação, estrutura tributária, financiamento do desenvolvimento econômico, políticas de desenvolvimento regional e de apoio à micro e pequena empresa, política tecnológica, sustentabilidade, dentre outros."</t>
  </si>
  <si>
    <t>https://www.iedi.org.br/</t>
  </si>
  <si>
    <t>Instituto Ethos</t>
  </si>
  <si>
    <t>"O Instituto Ethos de Empresas e Responsabilidade Social é uma Oscip cuja missão é mobilizar, sensibilizar e ajudar as empresas a gerirem seus negócios de forma socialmente responsável, tornando-as parceiras na construção de uma sociedade justa e sustentável. Criado em 1998 por um grupo de empresários e executivos da iniciativa privada, o Instituto Ethos é um polo de organização de conhecimento, troca de experiências e desenvolvimento de ferramentas para auxiliar as empresas a analisar suas práticas de gestão e aprofundar seu compromisso com a responsabilidade social e o desenvolvimento sustentável."</t>
  </si>
  <si>
    <t>Assaí; BRF; Grupo Carrefour Brasil; DPaschoal; GPA; JBS</t>
  </si>
  <si>
    <t>https://www.ethos.org.br/instituto-ethos/</t>
  </si>
  <si>
    <t>Instituto Foodservice Brasil</t>
  </si>
  <si>
    <t>"Criado por iniciativa de representantes das principais empresas do setor, o Instituto Foodservice Brasil representa a união da cadeia de valor: fabricantes, prestadores de serviços e operadores de estabelecimentos, que juntos buscam soluções para temas que impactam o mercado foodservice, através do desenvolvimento de inteligência, eficiência, transformação digital, ESG e iniciativas ligadas a temas de relações institucionais, governamentais e jurídicas"</t>
  </si>
  <si>
    <t>https://www.institutofoodservicebrasil.org.br/</t>
  </si>
  <si>
    <t>Instituto Identidades do Brasil (ID_BR)</t>
  </si>
  <si>
    <t>"Somos uma organização sem fins lucrativos,pioneira no Brasil, e comprometida com a promoção de direitos humanos, com foco na luta pela igualdade racial, dentro das empresas brasileiras. Desenvolvemos ações propositivas em prol da isonomia de oportunidades no mercado de trabalho e de educação para jovens afrodescentes. Através deste engajamento, as empresas são certificadas com o Selo Sim a Igualdade Racial."</t>
  </si>
  <si>
    <t>Assaí; Via/Grupo Casas Bahia;</t>
  </si>
  <si>
    <t>https://www.linkedin.com/company/id_br/?originalSubdomain=br</t>
  </si>
  <si>
    <t>Instituto Nacional de Processamento de Embalagens Vazias (inpEV)</t>
  </si>
  <si>
    <t>"O inpEV (Instituto Nacional de Processamento de Embalagens Vazias) é uma entidade sem fins lucrativos que representa a indústria fabricante de defensivos agrícolas no Sistema Campo Limpo. O Sistema Campo Limpo é o programa pioneiro de logística reversa no agronegócio que garante a destinação ambientalmente correta de 100% das embalagens vazias de defensivos agrícolas recebidas (97% recicladas e 3% incineradas). Desde 2017, o Sistema também recebe as sobras pós consumo de defensivos."</t>
  </si>
  <si>
    <t>Belagrícola; Coagril;</t>
  </si>
  <si>
    <t>https://www.inpev.org.br/inpev/quem-somos/</t>
  </si>
  <si>
    <t>Instituto para o Desenvolvimento do Varejo (IDV)</t>
  </si>
  <si>
    <t>"O varejo, apesar de ser o maior empregador no Brasil, não tinha interlocutores diretos junto aos órgãos do governo. Por isso, em 2004, nasceu o IDV – Instituto para Desenvolvimento do Varejo: uma iniciativa de empresários e presidentes de algumas das maiores empresas do setor no Brasil para fortalecer a representação de empresas varejistas de diferentes setores de atuação nacional. A ideia era desenvolver o potencial de influência do setor, contribuindo para o crescimento sustentável do varejo e, consequentemente, da economia brasileira."</t>
  </si>
  <si>
    <t xml:space="preserve">Assaí; Grupo Carrefour Brasil; Cencosud; DPaschoal; Drogarias DPSP; GPA; Magazine Luiza; Lojas Quero-Quero; Petz; </t>
  </si>
  <si>
    <t>https://www.idv.org.br/o-que-e-o-idv</t>
  </si>
  <si>
    <t>Instrução Normativa (IN) 29/2011 do Ministério da Agricultura, Pecuária e Abastecimento (MAPA</t>
  </si>
  <si>
    <t>"A Instrução Normativa 29, de 08 de Junho de 2011, estabelece procedimentos que visem a modernizar as atividades de guarda e conservação de produtos agropecuários. Esses procedimentos têm sido um dos principais anseios reivindicados pelos segmentos que se relacionam com os prestadores de serviços de armazenagem. De acordo com essa legislação, a certificação é obrigatória para as pessoas jurídicas que prestam serviços remunerados de armazenagem, a terceiros, de produtos agropecuários, seus derivados, subprodutos e resíduos de valores econômicos, inclusive de estoques públicos, podendo o Ministério da Agricultura, Pecuária e Abastecimento - MAPA ampliar a exigência para outras unidades armazenadoras."</t>
  </si>
  <si>
    <t>Copacol; Lar Cooperativa;</t>
  </si>
  <si>
    <t>https://wqs.com.br/services/unidades-armazenadoras#:~:text=A%20Instru%C3%A7%C3%A3o%20Normativa%2029%2C%20de,prestadores%20de%20servi%C3%A7os%20de%20armazenagem.</t>
  </si>
  <si>
    <t>International REC Standard</t>
  </si>
  <si>
    <t>"The International Attribute Tracking Standard (Standard) is a set of requirements that ensures the quality of attribute tracking systems is of the highest quality and meets the most rigorous expectations of stakeholders, market parties, and end-users. The Standard defines how various organizations can coordinate and facilitate attribute tracking systems and their associated markets, be Accredited or proven as compliant with the regulations outlined in the Standard, as well as ensure that affiliated tracking Products (not only electricity but also those beyond the energy sector) are accurately tracked. In this way, the Standard is a reference to the governance document owned by the International Tracking Standard Foundation (I-TRACK Foundation). Although the Standard does not define the Products adherent to the Standard, it ensures that all Products adhere to the same high-quality requirements."</t>
  </si>
  <si>
    <t>Assaí; Grupo Carrefour Brasil; GPA; Louis Dreyfus Company (LDC); Magazine Luiza; Mercado Livre; Via/Grupo Casas Bahia;</t>
  </si>
  <si>
    <t>https://www.trackingstandard.org/the-standard/</t>
  </si>
  <si>
    <t>International Sustainability and Carbon Certification system</t>
  </si>
  <si>
    <t>"ISCC offers several chain-of-custody certification systems to address different market requirements. Chain-of-custody certification means that every operational entity in the supply chain is ISCC certified to ensure traceability and feedstock identity." "ISCC operates the ISCC licensing program which includes the licensing of the ISCC logos. The ISCC licensing scheme can be applied by brand owners that receive ISCC PLUS certified final products and want to use an ISCC logo or an ISCC claim."</t>
  </si>
  <si>
    <t>DSM; Minerva Foods</t>
  </si>
  <si>
    <t>https://www.iscc-system.org/about/who-we-are/</t>
  </si>
  <si>
    <t>ISO / NBR 16001</t>
  </si>
  <si>
    <t>"A ABNT NBR 16001 estabelece requisitos mínimos relativos a um sistema de gestão da Responsabilidade Social, permitindo à organização formular e implementar uma política e objetivos que levem em conta as exigências legais, seus compromissos éticos e sua preocupação com a promoção da cidadania e do desenvolvimento sustentável, além da transparência das suas atividades."</t>
  </si>
  <si>
    <t>http://www.inmetro.gov.br/qualidade/responsabilidade_social/norma_nacional.asp#:~:text=A%20ABNT%20NBR%2016001%20estabelece,da%20cidadania%20e%20do%20desenvolvimento</t>
  </si>
  <si>
    <t>ISO 14001</t>
  </si>
  <si>
    <t>"ISO 14001 é uma norma internacional mais reconhecido para sistemas de gestão ambiental. É usado em todo o mundo. A natureza da ISO 14001 permite que ela seja aplicada a uma gama completa de setores, escopos e atividades de negócios. Ele fornece uma estrutura por meio da qual uma organização pode entregar melhorias de desempenho ambiental em linha com seus compromissos de política ambiental. A ISO 14001 especifica os requisitos para que uma organização identifique e compreenda de forma proativa os aspectos ambientais de suas atividades, produtos e serviços e os impactos ambientais associados."</t>
  </si>
  <si>
    <t>Agrária; Amaggi; Alvoar; Barra Mansa Alimentos; Citrosuco; Coopercitrus; DPaschoal; Integrada; JBS; Minerva Foods; Raia Drogasil; SLC AGRICOLA; Solar Bebidas;</t>
  </si>
  <si>
    <t>https://www.dnv.com.br/services/iso-14001-sistema-de-gestao-ambiental-74433/</t>
  </si>
  <si>
    <t>ISO 17025</t>
  </si>
  <si>
    <t>"A ISO/IEC 17025, Requisitos gerais para a competência de laboratórios de ensaio e calibração (General requirements for the competence of testing and calibration laboratories), é a referência internacional para laboratórios de ensaio e calibração que desejam demonstrar sua capacidade e competência técnica para fornecer resultados confiáveis e válidos, promovendo, assim, a confiança em seu trabalho, nacional e internacionalmente. Também ajuda a facilitar a cooperação entre laboratórios e outros órgãos, gerando uma aceitação mais ampla dos resultados entre os países. Os relatórios e certificados podem ser aceitos de um país para outro sem a necessidade de mais testes, o que, por sua vez, melhora o comércio internacional"</t>
  </si>
  <si>
    <t xml:space="preserve">3tentos; Alvoar; BRF; Castrolanda; Coopercitrus; C.Vale; Fiagril; JBS; Lar Cooperativa; </t>
  </si>
  <si>
    <t>https://pt.wikipedia.org/wiki/ISO/IEC_17025</t>
  </si>
  <si>
    <t>ISO 26000</t>
  </si>
  <si>
    <t>"Segundo a ISO 26000, a responsabilidade social se expressa pelo desejo e pelo propósito das organizações em incorporarem considerações socioambientais em seus processos decisórios e a responsabilizar-se pelos impactos de suas decisões e atividades na sociedade e no meio ambiente. Isso implica um comportamento ético e transparente que contribua para o desenvolvimento sustentável, que esteja em conformidade com as leis aplicáveis e seja consistente com as normas internacionais de comportamento. Também implica que a responsabilidade social esteja integrada em toda a organização, seja praticada em suas relações e leve em conta os interesses das partes interessadas. A norma fornece orientações para todos os tipos de organização, independente de seu porte ou localização, sobre: conceitos, termos e definições referentes à responsabilidade social; histórico, tendências e características da responsabilidade social; princípios e práticas relativas à responsabilidade social; os temas centrais e as questões referentes à responsabilidade social; integração, implementação e promoção de comportamento socialmente responsável em toda a organização e por meio de suas políticas e práticas dentro de sua esfera de influência; identificação e engajamento de partes interessadas; comunicação de compromissos, desempenho e outras informações referentes a responsabilidade social. A ISO 26000:2010 é uma norma de diretrizes e de uso voluntário; não visa nem é apropriada a fins de certificação. Qualquer oferta de certificação ou alegação de ser certificado pela ABNT NBR ISO 26000 constitui em declaração falsa e incompatível com o propósito da norma."</t>
  </si>
  <si>
    <t>http://www.inmetro.gov.br/qualidade/responsabilidade_social/iso26000.asp</t>
  </si>
  <si>
    <t>ISO 31000</t>
  </si>
  <si>
    <t>"A ISO 31000 é uma norma internacional que fornece princípios e diretrizes para a gestão de riscos em organizações. A norma pode ser aplicada em empresas públicas, privadas ou comunitárias, e é aplicável à maioria das atividades de negócios. A ISO 31000 ajuda a melhorar a eficiência operacional, a governança e a confiança das partes interessadas, minimizando perdas. A norma também ajuda a estabelecer uma base sólida para a tomada de decisões e a incentivar a gestão pró-ativa. A ISO 31000 recomenda que o Processo de Gestão de Riscos (PGR) seja integrado na estrutura, operações e processos da organização. A norma também recomenda a documentação das atividades de gestão de riscos, por meio de registros de evidências."</t>
  </si>
  <si>
    <t xml:space="preserve">Assaí; Bemol; GPA; </t>
  </si>
  <si>
    <t>https://dintegcgcin.saude.gov.br/attachments/download/23/2018%20-%20Diretrizes%20-%20Gest%C3%A3o%20de%20Riscos_ABNT%20NBR%20ISO%2031000.pdf</t>
  </si>
  <si>
    <t>ISO 37001</t>
  </si>
  <si>
    <t>"A ISO 37001 - Anti-bribery management systems - Requirements with guidance for use, fornece os requisitos e orientação para estabelecer, implementar, manter e aperfeiçoar um sistema de gestão antissuborno. O sistema pode ser independente ou integrado a um sistema de gestão geral."</t>
  </si>
  <si>
    <t>https://www.gov.br/dnit/pt-br/assuntos/integridade/coordenacao-geral-de-integridade/legislacao-basica/ISO_37001_Gestao_AntiSuborno.pdf</t>
  </si>
  <si>
    <t>ISO 45001</t>
  </si>
  <si>
    <t>"A ISO 45001 foi projetada para auxiliar as organizações na criação de condições de trabalho que garantam a integridade do trabalhador, identificados os perigos da atividade, avaliação seus riscos e adotando controles capazes de prevenir a ocorrência de incidentes."</t>
  </si>
  <si>
    <t>Coopercitrus; Citrosuco; CJ Selecta; Cooperativa Frísia; SLC AGRICOLA; Raia Drogasil; Solar Bebidas; Via/Grupo Casas Bahia;</t>
  </si>
  <si>
    <t>https://www.bureauveritas.com.br/pt-br/mercados-servicos/certificacoes/solucoes/sistema-de-gestao/ISO-45001</t>
  </si>
  <si>
    <t>ISO 9001</t>
  </si>
  <si>
    <t>"A ISO 9001 é um sistema de gestão com o intuito de garantir a otimização de processos, maior agilidade no desenvolvimento de produtos e produção mais ágil a fim de satisfazer os clientes e alcançar o sucesso sustentado."</t>
  </si>
  <si>
    <t>Agrária; Castrolanda; Citrosuco; Coopercitrus; C.Vale; Copacol; SLC AGRICOLA; JBS; Lar Cooperativa; Raia Drogasil; Solar Bebidas</t>
  </si>
  <si>
    <t>https://certificacaoiso.com.br/iso-9001/</t>
  </si>
  <si>
    <t>ISO/FSSC 22000</t>
  </si>
  <si>
    <t>"Foi publicada ABNT NBR ISO 22000:2019 Emenda 1:2024 – Sistemas de gestão de segurança de alimentos – Requisitos para qualquer organização na cadeia produtiva de alimentos. Elaborada pelo Comitê: Segurança de Alimentos (ABNT/CB-104) Este documento especifica os requisitos para o sistema de gestão de segurança de alimentos (SGSA) que permitem que uma organização que está direta ou indiretamente envolvida na cadeia produtiva de alimentos."</t>
  </si>
  <si>
    <t>Agrária; Alvoar; BRF; Camil; Castrolanda; Citrosuco; CJ Selecta; Coopercitrus; Cooxupé; Grupo 3Corações; J. Macêdo; M. Dias Branco; Nestlé; Piracanjuba; Solar Bebidas; Zamp;</t>
  </si>
  <si>
    <t>https://www.omniaonline.com.br/abnt-publica-emenda-da-nbr-iso-220002019-sistemas-de-gestao-de-seguranca-de-alimentos/#:~:text=de%20alimentos%20%E2%80%93%20Omnia-,ABNT%20publica%20Emenda%20da%20NBR%20ISO%2022000%3A2019%20%E2%80%93%20Sistemas%20de,gest%C3%A3o%20de%20seguran%C3%A7a%20de%20alimentos&amp;text=Este%20documento%20especifica%20os%20requisitos,na%20cadeia%20produtiva%20de%20alimentos.</t>
  </si>
  <si>
    <t>ISO/IEC 27001</t>
  </si>
  <si>
    <t>"ISO/IEC 27001 is the world's best-known standard for information security management systems (ISMS). It defines requirements an ISMS must meet. The ISO/IEC 27001 standard provides companies of any size and from all sectors of activity with guidance for establishing, implementing, maintaining and continually improving an information security management system. Conformity with ISO/IEC 27001 means that an organization or business has put in place a system to manage risks related to the security of data owned or handled by the company, and that this system respects all the best practices and principles enshrined in this International Standard."</t>
  </si>
  <si>
    <t>Raia Drogasil;</t>
  </si>
  <si>
    <t>https://www.iso.org/standard/27001</t>
  </si>
  <si>
    <t>ISO/TS 22002-1</t>
  </si>
  <si>
    <t>"A ISO/TS 22002-1 estabelece os requisitos para a criação, implementação e manutenção de programas de pré-requisitos (PPR) auxiliando no controle dos perigos relacionados à segurança de alimentos. Ela é aplicável a todas as organizações, independentemente do tamanho ou complexidade dos produtos ou processos."</t>
  </si>
  <si>
    <t xml:space="preserve">Agrária; </t>
  </si>
  <si>
    <t>https://verdeghaia.eadbox.com/courses/abnt-iso-barra-ts-22002-1-2012-programa-de-pre-requisitos-na-seguranca-de-alimentos-parte-1-processamento-industrial-de-alimentos#:~:text=A%20ISO%2FTS%2022002%2D1%20estabelece%20os%20requisitos%20para%20a,complexidade%20dos%20produtos%20ou%20processos.</t>
  </si>
  <si>
    <t>Kosher Certification</t>
  </si>
  <si>
    <t>"O trabalho de aprovação para um selo kosher, analisa se os ingredientes utilizados, o método de produção incluindo as máquinas e todo o processo food service envolvido, estão em conformidade com as leis que regem a alimentação judaica, ou seja, as leis de kashrut, determinadas pelo Shulchan Aruch, o código de leis do judaísmo."</t>
  </si>
  <si>
    <t>Agrária; C. Vale; Citrosuco; CJ Selecta; Coopercitrus; Integrada; M. Dias Branco; Piracanjuba</t>
  </si>
  <si>
    <t>https://certificadokosher.com.br//about.php</t>
  </si>
  <si>
    <t>Leadership in Energy and Environmental Design (LEED)</t>
  </si>
  <si>
    <t>"LEED (Leadership in Energy and Environmental Design) is the world's most widely used green building rating system. LEED certification provides a framework for healthy, highly efficient, and cost-saving green buildings, which offer environmental, social and governance benefits."</t>
  </si>
  <si>
    <t>Raia Drogasil; Drogarias DPSP;</t>
  </si>
  <si>
    <t>https://www.usgbc.org/leed</t>
  </si>
  <si>
    <t>Leather Working Group (LWG)</t>
  </si>
  <si>
    <t>"Leather Working Group (LWG) is a not-for-profit membership organization, working to creating meaningful change across the global leather supply chain. Our community includes actors from all parts of the leather supply chain, representing all industries where leather is used. Our community works together in a pre-competitive way to make responsible leather production and sourcing a reality."</t>
  </si>
  <si>
    <t>https://www.leatherworkinggroup.com/</t>
  </si>
  <si>
    <t xml:space="preserve">Mesa Brasileira da Pecuária Sustentável </t>
  </si>
  <si>
    <t>"SUSTENTABILIDADE NA PECUÁRIA DISCUTIDA DE PONTA A PONTA NA CADEIA Somos uma associação sem fins lucrativos com mais de 60 organizações associadas dos sete elos da cadeia da pecuária juntos em uma mesa redonda. Somos a voz do Brasil para o mundo de que é possível produzir carne no nosso país com manutenção da biodiversidade. Promovemos iniciativas e discussões que articulam toda a cadeia em busca de um entendimento comum sobre temas emergentes da sustentabilidade, além de gerar conhecimento, engajar os atores, disseminar informações e promover educação."</t>
  </si>
  <si>
    <t>Assaí; Grupo Carrefour Brasil; Frigol; GPA; Marfrig; McDonald's;</t>
  </si>
  <si>
    <t>https://pecuariasustentavel.org.br/quem-somos/</t>
  </si>
  <si>
    <t>"A Moratória da Soja é um acordo estabelecido pelas empresas signatárias de não adquirir soja de fazendas com lavouras em desmatamentos realizados após 22 de julho de 2008 no bioma Amazônia visando eliminar o desmatamento da cadeia de produção da soja. A iniciativa é o exemplo mais bem sucedido do mundo de conciliação do desenvolvimento da produção agrícola de larga escala com a sustentabilidade ambiental, em seu quesito mais crítico: desmatamento-zero. Ela não impediu o desenvolvimento da sojicultura, mas priorizou o uso de terras abertas anteriormente à Moratória, portanto mitigando seu avanço sobre novos desmatamentos."</t>
  </si>
  <si>
    <t xml:space="preserve">Agrária; Agrogalaxy; Amaggi; CJ Selecta; Fiagril; Lavoro; Louis Dreyfus Company (LDC); </t>
  </si>
  <si>
    <t>https://moratoriadasoja.com.br/home#the-agreement</t>
  </si>
  <si>
    <t>Mover</t>
  </si>
  <si>
    <t>"Somos uma associação sem fins lucrativos formadas por mais de 50 empresas que acreditam que, por meio de conscientização, e do fomento ao desenvolvimento de carreiras e negócios de pessoas negras, podemos promover e acelerar a equidade racial. Nosso trabalho inclui o compartilhamento de boas práticas e a aceleração dos processos de diversidade, equidade e inclusão já em curso nas próprias empresas, além do investimento social coletivo voltado a criação de impacto positivo na educação, geração de emprego e na conscientização da sociedade quanto ao racismo."</t>
  </si>
  <si>
    <t>https://somosmover.org/</t>
  </si>
  <si>
    <t>Mover – Movimento pela Equidade Racial</t>
  </si>
  <si>
    <t>"O Mover – Movimento pela Equidade Racial é uma associação sem fins lucrativos que, por meio de conscientização, fomento ao desenvolvimento de carreiras e negócios de pessoas negras, visa promover e acelerar a promoção da equidade racial. "</t>
  </si>
  <si>
    <t>Cargill; JBS; Magazine Luiza;</t>
  </si>
  <si>
    <t>https://somosmover.org/quem-somos/</t>
  </si>
  <si>
    <t>Movimento AR – Vidas Negras Importam</t>
  </si>
  <si>
    <t>"A Universidade Zumbi dos Palamares e a Afrobras lançaram em 30 de junho, Movimento AR - Vidas Negras Importam uma mobilização voluntária para realizar mudanças e transformações sociais através de ações efetivas de combate ao racismo, ao preconceito e à discriminação racial contra negros. Com ele, foi criado também o manifesto que contempla 10 ações estratégicas a serem atingidas em cinco anos. A meta para o primeiro ano é alcançar 30 por cento de realizações."</t>
  </si>
  <si>
    <t>https://conib.org.br/noticias/todas-as-noticias/conib-apoia-o-movimento-ar-vidas-negras-importam-mobilizacao-de-combate-ao-racismo-e-ao-preconceito.html#:~:text=A%20Universidade%20Zumbi%20dos%20Palamares%20e%20a,preconceito%20e%20%C3%A0%20discrimina%C3%A7%C3%A3o%20racial%20contra%20negros.</t>
  </si>
  <si>
    <t>Movimento Mulher 360</t>
  </si>
  <si>
    <t>"O Movimento Mulher 360 existe para contribuir com o empoderamento econômico da mulher brasileira em uma perspectiva 360 graus, por meio da promoção, da sistematização e da difusão de avanços nas políticas e nas práticas empresariais, além do engajamento da comunidade empresarial brasileira e da sociedade em geral."</t>
  </si>
  <si>
    <t>Assaí; Cargill; Grupo Carrefour Brasil; GPA; JBS; Magazine Luiza; Via/Grupo Casas Bahia;</t>
  </si>
  <si>
    <t>https://movimentomulher360.com.br/</t>
  </si>
  <si>
    <t>Movimento Todos a Mesa</t>
  </si>
  <si>
    <t>"O MOVIMENTO TODOS À MESA é a primeira coalizão brasileira de empresas e organizações que se unem para reduzir os impactos da fome no Brasil e atuar na redução do desperdício de alimentos por meio do fortalecimento de redes de redistribuição, articulação de um ambiente regulatório favorável para a doação de alimentos e conscientização sobre o tema."</t>
  </si>
  <si>
    <t>Camil; Grupo Carrefour Brasil; GPA;</t>
  </si>
  <si>
    <t>https://www.todosamesabrasil.com.br/</t>
  </si>
  <si>
    <t>MSC Fisheries Standard / Marine Stewardship Council (MSC)</t>
  </si>
  <si>
    <t>"The blue MSC label is only applied to wild fish or seafood from fisheries that have been certified to the MSC Fisheries Standard, a set of requirements for sustainable fishing. Fish and seafood with the blue label comes from a fishery that has been independently assessed on its impacts to wild fish populations and the ecosystems they're part of. All along the supply chain, MSC certified products are separated from non-certified. MSC certified seafood is accurately labelled, ensuring that seafood with the blue tick comes from fisheries that are MSC certified as fishing sustainably."</t>
  </si>
  <si>
    <t>Grupo Carrefour Brasil; Grupo Dia; DSM; GPA;</t>
  </si>
  <si>
    <t>https://www.msc.org/what-we-are-doing/our-approach/what-does-the-blue-msc-label-mean</t>
  </si>
  <si>
    <t>National Chicken Council (NCC)</t>
  </si>
  <si>
    <t>"The National Chicken Council (NCC) is the national, non-profit trade association whose primary purpose is to serve as the advocate and voice for the U.S. broiler chicken industry in Washington, D.C.  The Council’s mission is to: influence important legislative and regulatory policies and government programs that affect chicken; communicate with Washington policymakers and the media about chicken production, processing and products; affect domestic and international trade policy to maintain and expand foreign markets for U.S. chicken; and promote and protect the image and reputation of the industry. NCC member companies include chicken producer/processors, poultry distributors, and allied industry firms. The producer/processors account for approximately 95 percent of the chickens produced in the United States.NCC was first established in 1954 in Richmond, Virginia, as the National Broiler Council. NCC headquarters moved to the nation’s capital in 1965 and the new name, National Chicken Council, was adopted in 1998, to better describe the industry and its products."</t>
  </si>
  <si>
    <t>https://www.nationalchickencouncil.org/about/</t>
  </si>
  <si>
    <t xml:space="preserve">Non-GMO </t>
  </si>
  <si>
    <t>"O termo Non-GMO surgiu a partir do movimento “Non-GMO Project Verified Logo”, criado nos Estados Unidos, que permite o uso de um logo nos rótulos de produtos que não contêm OGM. O Non-GMO Project é uma organização sem fins lucrativos que oferece um programa de verificação de OGM em produtos alimentícios, suplementos e nutracêuticos. Para obter o selo Non-GMO Project, fabricantes, produtores, fornecedores e exportadores precisam realizar testes para verificar a presença de OGM."</t>
  </si>
  <si>
    <t xml:space="preserve">CJ Selecta; Coopercitrus; </t>
  </si>
  <si>
    <t>https://www.nongmoproject.org/</t>
  </si>
  <si>
    <t>North American Renewables Registry</t>
  </si>
  <si>
    <t>"The North American Renewables Registry™ (NAR) is an easy-to-use web-based platform trusted to create, track, and manage all renewable energy purchases and their associated renewable energy certificates (RECs) across the United States, Canada and Mexico."</t>
  </si>
  <si>
    <t>https://apx.com/about-nar/</t>
  </si>
  <si>
    <t>OEA CERTIFICATION</t>
  </si>
  <si>
    <t>"Registration in the Certified Company Scheme in the Authorized Economic Operator (OEA) modality provides the opportunity to identify and establish measures to mitigate internal and external risks that may affect the security of your supply chain. It also offers various administrative benefits applicable to foreign trade operations. The OEA certification is directed to the different actors directly or indirectly involved in foreign trade activities, through the implementation of minimum security standards aimed at mitigating illicit acts that undermine the security of the country. Index offers personalized assistance for obtaining your registration with the authority, as well as for the maintenance, implementation, and updating of your registration."</t>
  </si>
  <si>
    <t>Agrária; Copacol</t>
  </si>
  <si>
    <t>https://index.org.mx/oea-certification/</t>
  </si>
  <si>
    <t>Onça-pintada</t>
  </si>
  <si>
    <t>"O Certificado Onça-Pintada é direcionado a produtores rurais, empreendimentos ou prestadores de serviço que estejam estabelecidos em áreas de ocorrência da onça-pintada, cujas práticas sustentáveis contribuam para a sua conservação. A certificação é um processo voluntário, passível de ser adotado por aqueles que se preocupam em contribuir para a conservação da espécie, e do meio ambiente em geral."</t>
  </si>
  <si>
    <t xml:space="preserve">Brasilagro; </t>
  </si>
  <si>
    <t>https://jaguars.org/certificado-onca-pintada/</t>
  </si>
  <si>
    <t>One Planet Bussines for Biodiversity (OP2B)</t>
  </si>
  <si>
    <t>"One Planet Business for Biodiversity (OP2B) is a unique international cross-sectorial, action-oriented business coalition on biodiversity with a specific focus on agriculture, initiated within French President Macron’s One Planet Lab framework, launched at the United Nations Climate Action Summit in New York on 23 September 2019. The coalition is determined to drive transformational systemic change and catalyze action to protect and restore cultivated and natural biodiversity within the value chains, engage institutional and financial decision-makers, and develop and promote policy recommendations for the 2021 CBD COP15 framework. Actions are focused around three pillars: scaling up regenerative agricultural practices; boosting cultivated biodiversity and diets through product portfolios; and eliminating deforestation / enhancing the management, restoration and protection high-value natural ecosystems."</t>
  </si>
  <si>
    <t>Nestlé;</t>
  </si>
  <si>
    <t>https://op2b.org/home/</t>
  </si>
  <si>
    <t>Organic</t>
  </si>
  <si>
    <t>"A certificação orgânica ou certificação biológica é um processo de certificação para produtores de alimentos orgânicos e outros produtos agrícolas orgânicos."</t>
  </si>
  <si>
    <t xml:space="preserve">EISA Interagrícola/ECOM; Grupo Montesanto Tavares; </t>
  </si>
  <si>
    <t>https://pt.wikipedia.org/wiki/Certifica%C3%A7%C3%A3o_org%C3%A2nica</t>
  </si>
  <si>
    <t>Origens Brasil</t>
  </si>
  <si>
    <t>"Origens Brasil®, a rede que promove negócios que valorizam os povos da floresta e a Amazônia viva. Somos uma rede diversa, formada por povos indígenas, populações tradicionais, instituições de apoio, organizações comunitárias e empresas. Atuamos para fortalecer uma nova forma de fazer negócios na Amazônia, conectando empresas, produtores e produtoras em Terras Indígenas e Unidades de Conservação, por meio de relações comerciais éticas, com transparência, garantia de origem e rastreabilidade. Ao escolher os produtos que vêm dessas relações comerciais, você contribui para a valorização da Amazônia viva e de seus povos. Por meio de um selo em formato de QR Code, é possível conhecer as histórias de cada produto, sua origem e produtores, gerando mais aproximação e conexão entre quem produz e quem compra."</t>
  </si>
  <si>
    <t xml:space="preserve">GPA; Mercado Livre; </t>
  </si>
  <si>
    <t>https://origensbrasil.org.br/</t>
  </si>
  <si>
    <t>Pacto contra a Fome (PCF)</t>
  </si>
  <si>
    <t>"Somos uma coalizão suprapartidária e multissetorial que atua para contribuir para a erradicação da fome e do desperdício de alimentos de forma estrutural e permanente. Trabalhamos juntos aos governos, empresas e sociedade civil para construir pontes, identificar sinergias e agir."</t>
  </si>
  <si>
    <t>https://pactocontrafome.org/quem-somos/</t>
  </si>
  <si>
    <t>Pacto Empresarial pela Integridade e Contra a Corrupção</t>
  </si>
  <si>
    <t>"Organizações assinam o Pacto para assumir um compromisso público em favor da integridade no ambiente dos negócios. A partir das orientações explícitas no texto do Pacto, as organizações são capazes de direcionar, de forma compartilhada, seu esforço pela criação e manutenção de políticas e processos de promoção de integridade, bem como de prevenção e combate à corrupção. Entre o grupo de signatárias, há um ambiente favorável ao posicionamento conjunto para incidir sobre políticas públicas, à troca de experiências e ao diálogo em práticas de gestão. Há ainda a possibilidade de, a partir da divulgação de adesão ao Pacto, influir sobre o comportamento de sua cadeia de valor, seu setor e seus públicos de interesse em relação ao tema."</t>
  </si>
  <si>
    <t>3tentos; Agrogalaxy; Cocamar; DPaschoal; Via/Grupo Casas Bahia;</t>
  </si>
  <si>
    <t>http://www.empresalimpa.org.br/index.php/empresa-limpa/pacto-contra-a-corrupcao/termo-de-adesao</t>
  </si>
  <si>
    <t>Pacto pela Erradicação do Trabalho Escravo / InPACTO</t>
  </si>
  <si>
    <t>"O Pacto Empresarial é a principal ferramenta para engajar o setor privado na proteção de crianças e adolescentes contra a exploração sexual. Consiste em uma declaração de compromissos pela qual empresas e entidades empresariais de todas as regiões do País assumem, perante a sociedade, atuar na prevenção e no enfrentamento desta violência." "O Instituto Pacto Nacional pela Erradicação do Trabalho Escravo (InPACTO) é uma organização sem fins lucrativos, criada em 2013, para prevenir e erradicar o trabalho escravo, infantil e promover o trabalho digno nas cadeias produtivas presentes no Brasil. O instituto monitora o cumprimento dos compromissos assumidos no Pacto Nacional pela Erradicação do Trabalho Escravo, lançado em 2005, identificando desafios, avanços e auxiliando as empresas na elaboração de planos de ação para promover boas práticas. O InPACTO atua para sensibilizar e mobilizar setores produtivos, influenciar políticas públicas, e promover o diálogo entre diferentes atores da sociedade, para atingirmos dignidade humana e equidade nas relações de trabalho, superarmos desigualdades sociais históricas, racismo e outras discriminações estruturais."</t>
  </si>
  <si>
    <t>Ambev; Assaí; BRF; Cargill; Grupo Carrefour Brasil; JBS; SLC AGRICOLA;</t>
  </si>
  <si>
    <t>https://inpacto.org.br/sobre-nos/</t>
  </si>
  <si>
    <t>Palm Oil Collaboration Group</t>
  </si>
  <si>
    <t>"The Palm Oil Collaboration Group (POCG) brings together companies from every stage of the palm oil supply chain to accelerate effective implementation of No Deforestation, No Peat Expansion, No Exploitation (NDPE) commitments. In addition to discussions which help to align thinking on key issues, the group also identifies areas for collaborative action."</t>
  </si>
  <si>
    <t>https://palmoilcollaborationgroup.net/</t>
  </si>
  <si>
    <t>Paradigm for Parity</t>
  </si>
  <si>
    <t>"In partnership with our member company executives and recognized experts, Paradigm for Parity® promotes strategies that transform corporate culture to enable women of all races, cultures and backgrounds to have equal power and opportunity. The coalition’s 5-Point Action Plan provides an actionable solution to catalyze change and assure that today’s business executives develop the best future leaders."</t>
  </si>
  <si>
    <t>Cargill;</t>
  </si>
  <si>
    <t>https://paradigm4parity.org/</t>
  </si>
  <si>
    <t>Parar Awards - 100 Best Fleets Brasil</t>
  </si>
  <si>
    <t>"Anualmente, o PARAR promove um grande momento de premiação a fim de reconhecer profissionais, empresas e projetos que têm se destacado no cenário de gestão de frotas no Brasil. O prêmio 100 Best Fleets – etapa Brasil avalia projetos de departamento de frotas de centenas de empresas e divulga o ranking das 20 melhores frotas."</t>
  </si>
  <si>
    <t>Cocamar; Lavoro; SLC AGRICOLA</t>
  </si>
  <si>
    <t>https://institutoparar.com.br/eventos/parar-awards/</t>
  </si>
  <si>
    <t>Plataforma Sustainable Agriculture Initiative (SAI)</t>
  </si>
  <si>
    <t>"SAI Platform is the primary global value chain initiative for sustainable agriculture. SAI Platform is a non-profit network of over 180 members worldwide. Working together our members are advancing sustainable agricultural practices through pre-competitive collaboration."</t>
  </si>
  <si>
    <t>https://saiplatform.org/</t>
  </si>
  <si>
    <t>Plataorma  Parceiros pela Amazônia (PPA)</t>
  </si>
  <si>
    <t>"Criada no final de 2017, a PPA busca alavancar investimentos de impacto socioambiental positivos na Amazônia brasileira, compartilhar boas práticas e fomentar parcerias inovadoras que integrem todos os setores da sociedade. Atuando como catalisadora de parcerias multissetoriais, a PPA possui um portfólio de programas e projetos que estimulam o Desenvolvimento Territorial e o fortalecimento de Negócios de Impacto Socioambiental na região."</t>
  </si>
  <si>
    <t>https://ppa.org.br/</t>
  </si>
  <si>
    <t>Princípios de Empoderamento das Mulheres (WEPs)</t>
  </si>
  <si>
    <t>"Os Princípios de Empoderamento das Mulheres (WEPs) são a plataforma norteadora para estabelecer e consolidar parcerias com o setor empresarial, de forma a aumentar seu compromisso e desenvolver suas capacidades para eliminar a discriminação contra as mulheres."</t>
  </si>
  <si>
    <t>Agrogalaxy; Assaí; Grupo Carrefour Brasil; GPA;</t>
  </si>
  <si>
    <t>https://www.onumulheres.org.br/referencias/principios-de-empoderamento-das-mulheres/#:~:text=Os%20Princ%C3%ADpios%20de%20Empoderamento%20das,a%20discrimina%C3%A7%C3%A3o%20contra%20as%20mulheres.</t>
  </si>
  <si>
    <t>Procotolo do Cerrado / Grupo de Trabalho Protocolo Voluntário do Cerrado</t>
  </si>
  <si>
    <t>"Protocolo do Cerrado visa contribuir para o alinhamento das melhores práticas de monitoramento socioambiental para a compra de produtos de origem bovina no bioma Cerrado. Foram definidos uma série de critérios e parâmetros de compra responsável que as empresas podem seguir a fim de garantir que suas cadeias de fornecimento não estejam vinculadas à problemas socioambientais. Todos os critérios de monitoramento foram baseados em dados públicos abertos e a definição de quais critérios deveriam ser incluídos foi realizado a partir de um processo intenso de consultas públicas envolvendo as principais partes interessadas. O protocolo vem sendo desenvolvido por Proforest e Imaflora, tendo como referência a experiência do Proforest em desenvolver e implementar políticas de compra responsável de carne bovina no Cerrado, e a experiencia do Imaflora na harmonização do Protocolo de Monitoramento Unificado da Amazônia."</t>
  </si>
  <si>
    <t>Grupo Carrefour Brasil; Frigol</t>
  </si>
  <si>
    <t>https://www.cerradoprotocol.net/</t>
  </si>
  <si>
    <t>https://www.cerradoprotocol.net/empresas-que-adotam-o-protocolo-do-cerrado</t>
  </si>
  <si>
    <t>Professional Animal Auditor Certification Organization (PAACO)</t>
  </si>
  <si>
    <t>"Prior to Professional Animal Auditor Certification Organization (PAACO), established in 2004, there was no standardization or accreditation for animal welfare auditing. Since then, PAACO has trained auditors to serve the swine, dairy, poultry, beef cattle, and feedlot industries. In the process, PAACO provides much needed expertise, consistency, and required training. PAACO has become the authority on animal welfare auditing, providing high-quality training and certification credentials for auditors and audits. PAACO’s trainers are industry icons, people who work in animal welfare and have extensive experience in their area of expertise as well as auditing."</t>
  </si>
  <si>
    <t>BRF; C.Vale; Frigol; JBS; Lar Cooperativa; Minerva Foods</t>
  </si>
  <si>
    <t>https://animalauditor.org/</t>
  </si>
  <si>
    <t>Programa Empresa Amiga da Criança / Selo Abrinq</t>
  </si>
  <si>
    <t>"O Programa Empresa Amiga da Criança, criado em 1995, tem por compromisso engajar o setor empresarial para o desenvolvimento de ações que impactem positivamente a vida de crianças e adolescentes no Brasil. A partir do sucesso no desenvolvimento destas ações, as empresas são reconhecidas como uma Empresa Amiga da Criança. Atualmente, existe uma forte expectativa por parte da sociedade em relação as empresas, para que tenham atuação de impacto social e engajamento com a sociedade. Segundo a última edição da pesquisa Eldeman Trust Barometer, no Brasil, 73% das pessoas acreditam que as empresas podem fortalecer o tecido social. Por meio do programa, as empresas qualificam as suas práticas de responsabilidade social corporativa, geram impacto social com foco na infância e adolescência e ficam alinhadas à uma agenda ESG (Environmental, Social and Governance), apoiando ações que dialogam diretamente com os Objetivos de Desenvolvimento Sustentável (ODS)."</t>
  </si>
  <si>
    <t>Copercana;</t>
  </si>
  <si>
    <t>https://fadc.org.br/o-que-fazemos/programa-empresa-amiga-da-crianca</t>
  </si>
  <si>
    <t xml:space="preserve">Programa Na Mão Certa / Pacto Empresarial contra a Exploração Sexual de Crianças e Adolescentes nas Rodovias Brasileiras </t>
  </si>
  <si>
    <t>"O Programa Na Mão Certa sensibiliza e mobiliza pessoas, empresas, governos e organizações da sociedade civil, com o objetivo de formar um Círculo de Proteção para a prevenção e o enfrentamento da exploração sexual contra crianças e adolescentes (ESCA), em todo o País. Lançado em 2006, como um movimento intersetorial, o Programa é uma iniciativa da Childhood Brasil, organização da sociedade civil, cuja missão é estimular, promover e desenvolver ambientes de apoio e soluções para prevenir e enfrentar o abuso e a exploração sexual, bem como a violência contra crianças e adolescentes. O Programa Na Mão Certa atua de forma mais ampla com o setor privado, valorizando a inclusão dos direitos da criança e do adolescente na Agenda ESG das empresas, alinhado aos debates sobre Direitos Humanos e Empresas e, também, aos Objetivos de Desenvolvimento Sustentável (ODS). O objetivo é mostrar a urgência de proteger no presente crianças e adolescentes, para garantir o seu futuro. Para isto, o Programa posiciona a causa ao lado de outros temas relevantes, como diversidade, inclusão, questões de raça e gênero, Pessoas Com Deficiência e voluntariado."</t>
  </si>
  <si>
    <t xml:space="preserve">Cargill; SLC AGRICOLA; </t>
  </si>
  <si>
    <t>https://namaocerta.org.br/programa-na-mao-certa/iniciativa/</t>
  </si>
  <si>
    <t>Programme for the Endorsement of Forest Certification (PEFC)</t>
  </si>
  <si>
    <t>"PEFC, the Programme for the Endorsement of Forest Certification, is a leading global alliance of national forest certification systems. As an international non-profit, non-governmental organization, we are dedicated to promoting sustainable forest management through independent third-party certification."</t>
  </si>
  <si>
    <t xml:space="preserve">DSM; </t>
  </si>
  <si>
    <t>https://pefc.org/discover-pefc/what-is-pefc</t>
  </si>
  <si>
    <t>PROTERRA</t>
  </si>
  <si>
    <t>"A Rede Ibero-Americana de Arquitetura e Construção com Terra, PROTERRA, é uma rede internacional dedicada à cooperação técnica e científica no âmbito ibero-americano, que reúne especialistas de diferentes países, os quais promovem, voluntariamente e de modo integrado com as organizações e as comunidades, diversas ações para o desenvolvimento da arquitetura e a construção com terra. Os objetivos assumidos pela Rede são a geração, difusão e transferência de conhecimentos, assim como a prática construtiva e preservação da diversidade cultural e do patrimônio material e imaterial. As atividades de PROTERRA somam-se às das redes nacionais e regionais que procuram reunir profissionais de diferentes especialidades e formações relacionadas à arquitetura e construção com terra para desenvolver a integração e a cooperação técnica e científica no âmbito regional e ibero-americano."</t>
  </si>
  <si>
    <t xml:space="preserve">Agrária; Amaggi; CJ Selecta; Coopercitrus; DSM; </t>
  </si>
  <si>
    <t>https://redproterra.org/pt/sobre-proterra/</t>
  </si>
  <si>
    <t xml:space="preserve">Protocolo Boi na Linha </t>
  </si>
  <si>
    <t>"Criada em 2019 por iniciativa do Imaflora, em parceria com o Ministério Público Federal, o Boi na Linha reconhece a complexidade do setor e busca acelerar a implementação dos compromissos assumidos pela cadeia bovina na Amazônia e incentivar uma cadeia livre de irregularidades socioambientais. O caminho desde o gado criado em milhões de fazendas brasileiras até a chegada da carne na mesa do consumidor envolve uma extensa cadeia produtiva. Neste caminho, os compromissos da cadeia da carne bovina são centrais. Com suas iniciativas, o Boi na Linha busca colocar na mesma página produtores de gado, frigoríficos, supermercados, investidores, atores públicos e organizações da sociedade civil. O objetivo do centro é promover boas práticas por meio de monitoramento, auditoria e relatórios de processos e ferramentas, aumentando a transparência na busca de uma cadeia bovina livre de desmatamento, trabalho escravo ou invasão de terras públicas. O programa também colabora com a produção e compartilhamento de conhecimento técnico, com a finalidade de estimular a criação de políticas e procedimentos para uma pecuária responsável."</t>
  </si>
  <si>
    <t>https://www.boinalinha.org/quem-somos/</t>
  </si>
  <si>
    <t>Protocolo Verde dos Grãos</t>
  </si>
  <si>
    <t>"Celebrado em 2014, o Protocolo Verde dos Grãos do Pará possui governança sob responsabilidade do Governo do Estado do Pará, Ministério do Meio Ambiente e Ministério Público Federal do Pará, e sua operação desempenhada pelas entidades e empresas do setor produtivo de grãos, com o objetivo de estabelecer procedimentos comerciais que assegurem a regularidade ambiental e social em toda a cadeia produtiva, promovendo a mitigação dos desmatamentos ilegais no estado do Pará." "Celebrado em 2014, o Protocolo Verde dos Grãos do Pará possui governança sob responsabilidade do Governo do Estado do Pará, Ministério do Meio Ambiente e Ministério Público Federal do Pará e operação desempenhada pelas entidades e empresas do setor produtivo de grãos, com o objetivo de estabelecer procedimentos comerciais que assegurem a regularidade ambiental e social em toda a cadeia."</t>
  </si>
  <si>
    <t>Amaggi;</t>
  </si>
  <si>
    <t>https://protocolodegraos.com.br/</t>
  </si>
  <si>
    <t>Rainforest Alliance</t>
  </si>
  <si>
    <t>"Nosso programa de certificação é baseado na Norma de Agricultura Sustentável da Rainforest Alliance, que tem diferentes conjuntos de requisitos para produtores e empresas. No caso dos produtores, esses requisitos os ajudam a ter uma vida melhor enquanto enriquecem – em vez de prejudicarem – a terra, por meio de uma agricultura sustentável e regenerativa. As fazendas certificadas devem proporcionar condições de trabalho seguras e justas aos seus trabalhadores. Para as empresas, tais requisitos incentivam práticas empresariais responsáveis e transparência – da terra à prateleira. Por sua vez, a certificação ajuda os negócios a construírem cadeias de suprimento mais fortes, reforçarem a fidelidade dos consumidores e alcançarem seus objetivos de sustentabilidade."</t>
  </si>
  <si>
    <t>Cargill; Coagril; COFCO Internacional; Coopercitrus; Cooxupé; DPaschoal; EISA Interagrícola/ECOM; Grupo Montesanto Tavares; Louis Dreyfus Company (LDC); McDonald's; Nestlé</t>
  </si>
  <si>
    <t>https://www.rainforest-alliance.org/pt-br/intuicoes/o-que-certificado-rainforest-alliance-significa/</t>
  </si>
  <si>
    <t>RECS Energy Certificate Association (RECS)</t>
  </si>
  <si>
    <t>"RECS Energy Certificate Association (RECS) is dedicated to tackling climate change by accelerating the transition to 100% renewable energy systems. We do this by supporting the development of new energy attribute certificate (EAC) markets and strengthening those already in place. RECS collaborates with its members and other like-minded organisations to achieve these goals."</t>
  </si>
  <si>
    <t>https://recs.org/</t>
  </si>
  <si>
    <t>Rede Empresarial de Inclusão Social</t>
  </si>
  <si>
    <t>"Em 02 maio de 2012, no 26º FÓRUM DE EMPREGABILIDADE SERASA EXPERIAN e com a participação de mais de 60 empresas e da Organização Mundial do Trabalho (OIT), foi lançada a ideia da criação de uma rede nacional de empregadores de pessoas com deficiência. Como as políticas e práticas de Inclusão Social e de Diversidade são importantes pontos de atenção para os participantes do Fórum, como também parte integrante do dia a dia das empresas e das cidades Brasileiras, algumas das empresas participantes deste Fórum se voluntariaram a integrar a inciativa de criação da Rede."</t>
  </si>
  <si>
    <t>https://www.redeempresarialdeinclusao.org.br/sobre-a-rede/</t>
  </si>
  <si>
    <t>Rede pela Circularidade do Plástico</t>
  </si>
  <si>
    <t>"A Rede pela Circularidade do Plástico é um espaço de cooperação entre os atores da cadeia produtiva do plástico com o objetivo de propor soluções e desenvolver projetos em prol da economia circular do material, com foco em embalagens. A iniciativa é mobilizada pela ABIPLAST desde 2018 e é considerada um case de governança dessa cadeia, pois contempla diversos elos, sendo eles as petroquímicas, transformadores, recicladores, cooperativas de catadores de materiais recicláveis, brand owners, varejo e gestores de resíduo."</t>
  </si>
  <si>
    <t>https://www.abiplast.org.br/rede-plastico/#:~:text=A%20Rede%20pela%20Circularidade%20do,material%2C%20com%20foco%20em%20embalagens.</t>
  </si>
  <si>
    <t>"A Rede pela Circularidade do Plástico é a primeira iniciativa brasileira - e também a maior - a favor da Economia Circular do Plástico, envolvendo todos os elos do ciclo de vida das embalagens plásticas e trazendo com isso poderosas conexões, valiosas discussões, busca constante por inovação, parceria e engajamento de toda a cadeia em prol do mesmo objetivo: que o plástico circule. Criada em abril de 2018 por uma iniciativa da ABIPLAST, hoje a REDE reúne dezenas de empresas e parceiros no desafio de avançar na Economia Circular do Plástico."</t>
  </si>
  <si>
    <t>https://www.redeplastico.com.br/</t>
  </si>
  <si>
    <t>Regenagri Certification</t>
  </si>
  <si>
    <t>"regenagri is an international regenerative agriculture program for securing the health of the land and the wealth of those who live on it. It supports farms and organisations transitioning to holistic farming, increasing soil health, encouraging biodiversity, reducing green house gas emissions and sequestering CO2. regenagri also provides farmers with routes to additional funds through carbon credit markets and environmental subsidies. In supporting regenerative farming, we aid in the regeneration of our planet and sustainably secure the future of agricultural products and their supply chains."</t>
  </si>
  <si>
    <t>EISA Interagrícola/ECOM; Louis Dreyfus Company (LDC);</t>
  </si>
  <si>
    <t>https://regenagri.org/</t>
  </si>
  <si>
    <t>Renovabio</t>
  </si>
  <si>
    <t>"RenovaBio é a Política Nacional de Biocombustíveis, instituída pela Lei nº 13.576/2017, com os seguintes objetivos: - Fornecer uma importante contribuição para o cumprimento dos compromissos determinados pelo Brasil no âmbito do Acordo de Paris; - Promover a adequada expansão dos biocombustíveis na matriz energética, com ênfase na regularidade do abastecimento de combustíveis; e - Assegurar previsibilidade para o mercado de combustíveis, induzindo ganhos de eficiência energética e de redução de emissões de gases causadores do efeito estufa na produção, comercialização e uso de biocombustíveis. Por meio da certificação voluntária, os produtores e importadores de biocombustíveis recebem uma nota em valor inversamente proporcional à intensidade de carbono do biocombustível produzido (Nota de Eficiência Energético-Ambiental). Esta nota refletirá exatamente a contribuição individual de cada agente produtor para a mitigação de uma quantidade específica de gases de efeito estufa em relação ao seu substituto fóssil (em termos de toneladas de CO² equivalente). Além da nota, o processo de certificação da produção de biocombustíveis leva em conta a origem da biomassa energética, matéria-prima do biocombustível. No caso de biomassa produzida em território nacional, somente pode ser considerada a produzida em imóvel com Cadastro Ambiental Rural (CAR) ativo ou pendente, e sem ocorrência de supressão de vegetação nativa a partir dos marcos legais do RenovaBio (volume elegível)."</t>
  </si>
  <si>
    <t>3tentos; COFCO Internacional; Coopercitrus; SLC AGRICOLA;</t>
  </si>
  <si>
    <t>https://www.gov.br/anp/pt-br/assuntos/renovabio/sobre-o-renovabio</t>
  </si>
  <si>
    <t xml:space="preserve">Roundtable on Responsible Soy (RTRS) </t>
  </si>
  <si>
    <t>"A missão da RTRS é promover o crescimento da produção, o comércio, e o uso da soja responsável através da cooperação com os atores na cadeia de valor da soja e à respeito dela, da produção, ao consumo em um diálogo aberto com os participantes, incluindo produtores, fornecedores, fabricantes, varejistas, instituições financeiras, organizações da sociedade civil e outros atores relevantes."</t>
  </si>
  <si>
    <t xml:space="preserve">Agrária; Amaggi; BRF; Bunge; Cargill; Grupo Carrefour Brasil; CJ Selecta; COFCO Internacional; Comigo; Cooperativa Frísia; McDonald's; SLC AGRICOLA; </t>
  </si>
  <si>
    <t>https://responsiblesoy.org/sobre-la-rtrs?lang=pt-br#mision</t>
  </si>
  <si>
    <t>Roundtable on Responsible Soy (RTRS)  - MILHO</t>
  </si>
  <si>
    <t>"A Associação Internacional de Soja Responsável (RTRS) convoca as partes interessadas em participar do grupo de trabalho sobre o novo Padrão de certificação RTRS relativo à Produção de Milho Responsável e anexos relevantes. Este grupo de trabalho será responsável por analisar os requisitos relacionados com a problemática específica do milho e sua posterior implementação no contexto do processo de certificação. Estará formado, de forma equilibrada, por representantes dos três setores da RTRS, a saber, Produtores; Indústria, Comércio e Finanças e Sociedade Civil, e por representantes do âmbito governamental e acadêmico, especialistas e órgãos de certificação."</t>
  </si>
  <si>
    <t>Agrária; Cargill; SLC AGRICOLA;</t>
  </si>
  <si>
    <t>https://responsiblesoy.org/estandar-rtrs-de-produccion-responsable-de-maiz?lang=pt-br</t>
  </si>
  <si>
    <t xml:space="preserve">Roundtable on Sustainable Palm Oil (RSPO) </t>
  </si>
  <si>
    <t>"A Mesa Redonda sobre Óleo de Palma Sustentável foi criada em 2004 com o objetivo de promover o crescimento e a utilização de produtos sustentáveis ​​de óleo de palma através de padrões globais e governação multissetorial."</t>
  </si>
  <si>
    <t xml:space="preserve">BRF; Bunge; COFCO Internacional; Grupo Carrefour Brasil; DSM; Louis Dreyfus Company (LDC); McDonald's; Nestlé; Zamp; </t>
  </si>
  <si>
    <t>https://rspo.org/pt/</t>
  </si>
  <si>
    <t>Safe Quality Food (SQF)</t>
  </si>
  <si>
    <t>"O Programa Safe Quality Food (SQF) é um programa rigoroso e confiável de segurança e qualidade de alimentos, reconhecido por varejistas, proprietários de marcas e fornecedores de serviços de alimentação em todo o mundo. Os Códigos de Segurança de Alimentos SQF são projetados para atender aos requisitos da indústria, dos clientes e dos regulamentos de todos os setores da cadeia de fornecimento de alimentos, desde a fazenda até as lojas de varejo. Em nosso núcleo, nos dedicamos a manter os mais altos padrões de segurança de alimentos. Obter a certificação SQF não é apenas uma prova de seu compromisso com a qualidade e a segurança, mas também um reflexo de sua dedicação inabalável em atender e superar as regulamentações do setor. Ao obter a certificação SQF, sua empresa não apenas aumentará sua reputação como parceira confiável na indústria de alimentos, mas também abrirá portas para novas oportunidades de negócios. A certificação SQF serve como um poderoso diferencial, diferenciando você dos concorrentes e incutindo confiança em seus clientes e partes interessadas. Estamos entusiasmados com o impacto positivo que essa certificação terá em sua empresa e esperamos trabalhar junto com você para torná-la realidade. O Programa SQF se estende por todo o mundo, com uma comunidade de Mais de 14.000 sites certificados em mais de 40 países em 6 continentes."</t>
  </si>
  <si>
    <t>https://www.sqfi.com/pt/our-program/what-is-sqf</t>
  </si>
  <si>
    <t>Sanitation and Water for All (SWA)</t>
  </si>
  <si>
    <t>"SWA is the United Nations-hosted partnership working towards a joint objective of water, sanitation, and hygiene for all, always, and everywhere. The partnership uses innovative ways to increase political support for the human rights to water and sanitation. It does this through the mobilization of partners in governments, utilities, regulators, donors, financial institutions, UN agencies, civil society and research organizations, and the private sector. Partners share the conviction that achieving universal access to water and sanitation requires more than building wells or latrines and laying pipes, so they harness their collective power around strong leadership and good governance. This includes advocating for political prioritization at the highest levels of power, promoting participation of vulnerable groups in decision-making, ensuring finance is made available and used effectively, learning across countries and regions, and holding each other accountable for commitments made."</t>
  </si>
  <si>
    <t>https://www.sanitationandwaterforall.org/about/about-us</t>
  </si>
  <si>
    <t>Science Based Targets initiative (SBTi)</t>
  </si>
  <si>
    <t>"Science-based Targets iniciative provide a clearly-defined pathway for companies to reduce greenhouse gas (GHG) emissions, helping prevent the worst impacts of climate change and future-proof business growth. "</t>
  </si>
  <si>
    <t>https://sciencebasedtargets.org/</t>
  </si>
  <si>
    <t>Sedex</t>
  </si>
  <si>
    <t>"At Sedex, our mission is to supply data-driven insights, tools, and services to help companies continuously improve environmental, social, and governance (ESG) outcomes."</t>
  </si>
  <si>
    <t xml:space="preserve">C.Vale; Citrosuco; CJ Selecta; Lar Cooperativa </t>
  </si>
  <si>
    <t>https://www.sedex.com/become-a-member/</t>
  </si>
  <si>
    <t>Seeds Solution</t>
  </si>
  <si>
    <t>"Certificado da qualidade no tratamento de sementes que a BASF oferece aos seus clientes através da amostragem de lotes de sementes tratadas e validação do tratamento por meios de testes químicos, físicos e de compatibilidade. O Selo Seed Solutions assegura ao agricultor que as recomendações técnicas e de segurança BASF estão sendo cumpridas no parceiro de negócios."</t>
  </si>
  <si>
    <t>Agrogalaxy; Castrolanda;</t>
  </si>
  <si>
    <t>https://agriculture.basf.com/br/pt/protecao-de-cultivos-e-sementes/tratamento-sementes-on-farm-e-industrial</t>
  </si>
  <si>
    <t>Selo Bronze no GHG Protocol</t>
  </si>
  <si>
    <t>"Organizações que publicaram seus inventários de emissões de GEE de 2024 incompletos."</t>
  </si>
  <si>
    <t>Copasul;</t>
  </si>
  <si>
    <t>https://eaesp.fgv.br/centros/centro-estudos-sustentabilidade/projetos/programa-brasileiro-ghg-protocol</t>
  </si>
  <si>
    <t>"Com o compromisso de combater às mudanças climáticas e reduzir as emissões de gases de efeito estufa, o Estado do Paraná, por meio da Secretaria do Desenvolvimento Sustentável (SEDEST), deu origem ao Selo CLIMA PARANÁ. O Selo CLIMA PARANÁ é o Registro Público Estadual de Emissões de Gases de Efeito Estufa, previsto na Política Estadual de Mudanças Climáticas, estabelecida pela Lei Estadual nº 17.133/2012 e disciplinada pela Resolução nº 40/2023, tem como objetivo reconhecer as boas práticas ESG desenvolvidas pelas organizações paranaenses, bem como acompanhar os resultados do monitoramento e medidas de mitigação de gases de efeito estufa."</t>
  </si>
  <si>
    <t>Castrolanda; Cooperativa Frísia; Frimesa</t>
  </si>
  <si>
    <t>https://www.sedest.pr.gov.br/Pagina/Selo-Clima-Parana-1</t>
  </si>
  <si>
    <t>Selo de Combustível Social</t>
  </si>
  <si>
    <t>"O Selo Biocombustível Social – SBS é um componente de identificação concedido pelo Ministério do Desenvolvimento Agrário e Agricultura Familiar (MDA) a cada unidade industrial do produtor de biodiesel que cumpre os critérios estabelecidos. O Selo Biocombustível Social garante a participação da agricultura familiar na cadeia produtiva do biodiesel, atendendo a diretriz social do Programa Nacional de Produção e Uso do Biodiesel (PNPB). Foi instituído pelo Decreto nº 5.297, de 6 de dezembro de 2004, substituído pelo Decreto nº 10.527, de 22 de outubro de 2020 e suas alterações. Essa ferramenta de identificação concede aos produtores de biodiesel benefícios fiscais e comerciais, envolvendo prioridades de venda do biodiesel e acesso às alíquotas de PIS/Pasep e COFINS com coeficientes de redução diferenciados, desde que incluam de maneira qualificada os agricultores familiares enquadrados no Pronaf em seus arranjos produtivos."</t>
  </si>
  <si>
    <t xml:space="preserve">3tentos; Coopercitrus; Fiagril; </t>
  </si>
  <si>
    <t>https://www.gov.br/mda/pt-br/acesso-a-informacao/acoes-e-programas/programas-projetos-acoes-obras-e-atividades/selo-biocombustivel-social</t>
  </si>
  <si>
    <t>Selo Ecovadis em Gestão de Sustentabilidade</t>
  </si>
  <si>
    <t>"A pontuação da EcoVadis (0 a 100) reflete a qualidade do sistema de gestão de sustentabilidade da empresa no momento da avaliação. As medalhas e selos da EcoVadis reconhecem as empresas elegíveis que concluíram o processo de avaliação EcoVadis e demonstraram um sistema de gerenciamento relativamente forte que aborda os critérios de sustentabilidade, conforme descrito na metodologia EcoVadis. Os critérios de elegibilidade para medalhas e selos são revisados periodicamente. "</t>
  </si>
  <si>
    <t>Agrogalaxy; CJ Selecta;</t>
  </si>
  <si>
    <t>https://support.ecovadis.com/hc/pt-br/articles/210460227-Entendendo-as-medalhas-e-selos-da-EcoVadis</t>
  </si>
  <si>
    <t>Selo Mais Integridade</t>
  </si>
  <si>
    <t>"O SELO MAIS INTEGRIDADE DO MAPA foi instituído em 2018 com objetivo de fomentar, reconhecer e premiar práticas de integridade por empresas do agronegócio sob a ótica da responsabilidade social, sustentabilidade, ética e ainda o empenho para a mitigação das práticas de fraude, suborno e corrupção (integridade)." "O principais objetivos da premiação são (i) estimular a implementação de programas de integridade, ética e de sustentabilidade, em seu amplo espectro, qual seja: econômico, social e ambiental; (ii) conscientizar Empresas e Cooperativas do agronegócio sobre seu relevante papel no enfrentamento às práticas concorrenciais corruptas e antiéticas; (iii) reconhecer práticas de integridade e ética em Empresas e Cooperativas do agronegócio no mercado nacional, no relacionamento entre si e com o setor público; e (iv) mitigar riscos de ocorrência de fraudes e corrupção nas relações entre o setor público e o setor privado ligado ao Agronegócio."</t>
  </si>
  <si>
    <t>Amaggi; Piracanjuba</t>
  </si>
  <si>
    <t>https://www.jusbrasil.com.br/artigos/voce-sabe-o-que-e-o-selo-mais-integridade/845859049</t>
  </si>
  <si>
    <t>https://www.gov.br/agricultura/pt-br/assuntos/integridade/integridade-no-setor-privado/selo-mais-integridade</t>
  </si>
  <si>
    <t>Selo Ouro no GHG Protocol</t>
  </si>
  <si>
    <t>"Organizações que publicaram seus inventários de emissões de GEE de 2024 e que foram verificados por terceira parte acreditada."</t>
  </si>
  <si>
    <t>Selo Prata no GHG Protocol</t>
  </si>
  <si>
    <t>"Organizações que publicaram seus inventários de emissões de GEE completos."</t>
  </si>
  <si>
    <t>Selo Verde Brasil</t>
  </si>
  <si>
    <t>"O Programa Selo Verde Brasil é uma iniciativa do governo federal que visa a desenvolver uma estratégia nacional de certificação e avaliação de conformidade de produtos e de serviços brasileiros que comprovadamente possuem ciclo de vida socioambientalmente responsável. Objetiva promover a sustentabilidade ambiental, garantir a competividade e o acesso a mercado de produtos brasileiros no mercado internacional. O Programa objetiva reduzir a multiplicidade de exigências ambientais que recaem sobre produtos brasileiros. Nesse sentido, visa a unificar as diversas iniciativas brasileiras de rotulagem ambiental estabelecidas por entes governamentais e privados. Além disso, objetiva harmonizar as exigências estabelecidas por governos e entes privados de terceiros países, cuja observância condiciona o acesso a mercado de produtos e serviços brasileiros no exterior. O Programa Selo Verde Brasil pode ser entendido como um “passaporte para exportar”: uma certificação única que auxiliará os exportadores brasileiros a comprovar o cumprimento de normas, padrões e regulamentos ambientais dos principais mercados internacionais, o que contribuirá para a desburocratização e a redução de custos ao exportador."</t>
  </si>
  <si>
    <t>https://www.gov.br/participamaisbrasil/programa-selo-verde-brasil#:~:text=O%20Programa%20Selo%20Verde%20Brasil%20pode%20ser%20entendido%20como%20um,desburocratiza%C3%A7%C3%A3o%20e%20a%20redu%C3%A7%C3%A3o%20de</t>
  </si>
  <si>
    <t>SGF VOLUNTARY CONTROL SYSTEM OF SGF (VCF)</t>
  </si>
  <si>
    <t>"SGF's mission is to create an independent industrial voluntary-control platform for the world of fruit juices, fruit nectars and other fruit and vegetable based products, facilitating the reduction of risks and production costs and improving the relationship of trust between food industries."</t>
  </si>
  <si>
    <t>Citrosuco; Integrada;</t>
  </si>
  <si>
    <t>https://www.agrumariacorleone.com/en/sgf-certification.html</t>
  </si>
  <si>
    <t>Sindicato Nacional da Indústria da Cerveja (Sindicerv)</t>
  </si>
  <si>
    <t>"Fundado em 1948, o Sindicato Nacional da Indústria da Cerveja (SINDICERV) representa as empresas responsáveis por mais 85% da produção de cerveja no Brasil – setor que contribui com, aproximadamente, R$ 50 bilhões em geração de impostos por ano em toda a cadeia produtivo (2% do PIB nacional) e que emprega mais de 2 milhões de pessoas, entre colaboradores diretos, indiretos e induzidos. A entidade tem como objetivos principais estudar, defender e coordenar os assuntos comuns à categoria e adotar medidas em defesa de suas associadas perante os poderes públicos (Federal, Estaduais e Municipais), organizações privadas em geral e a sociedade civil. Sobretudo, atua continuamente para o debate de regulamentos, leis, normas, políticas públicas e práticas que contemplem a evolução e o desenvolvimento da indústria nacional da cerveja e suas respectivas cadeias produtivas."</t>
  </si>
  <si>
    <t>https://www.sindicerv.com.br/</t>
  </si>
  <si>
    <t>Sisbov</t>
  </si>
  <si>
    <t>"SISBOV é o sistema oficial de identificação individual de bovinos e búfalos. A adesão pelos produtores rurais é voluntária, exceto quando definida sua obrigatoriedade em ato normativo próprio, ou exigida por controles ou programas sanitários oficiais."</t>
  </si>
  <si>
    <t>https://www.defesa.agricultura.sp.gov.br/www/programas/?/sanidade-animal/sisbov-sistema-brasileiro-de-identificacao-individual-de-bovinos-e-bufalos/&amp;cod=65#:~:text=SISBOV%20%C3%A9%20o%20sistema%20oficial,controles%20ou%20programas%20sanit%C3%A1rios%20oficiais.</t>
  </si>
  <si>
    <t>Sistema Brasileiro de Avaliação de Conformidade Orgânica (SisOrg)</t>
  </si>
  <si>
    <t>"O Sistema Brasileiro de Avaliação de Conformidade Orgânica (SisOrg) é um órgão do Ministério da Agricultura, Pecuária e Abastecimento (MAPA) que identifica e controla a produção de alimentos orgânicos no Brasil. O SisOrg é responsável por fiscalizar o mercado de produtos orgânicos e garantir que os alimentos sejam produzidos de forma a respeitar o meio ambiente e a saúde humana."</t>
  </si>
  <si>
    <t>https://www.gov.br/agricultura/pt-br/assuntos/sustentabilidade/organicos/regularizacao-da-producao-organica</t>
  </si>
  <si>
    <t>Soft Commodities Forum (SCF) Farmer First Clusters initiative</t>
  </si>
  <si>
    <t>"The Soft Commodities Forum (SCF), led by the World Business Council for Sustainable Development (WBCSD), enables collaboration between six leading agribusinesses to identify solutions to eliminate soy-driven deforestation and the conversion of native vegetation in the Brazilian Cerrado. The Cerrado is one of Earth’s most biodiverse savannahs and home to 5% of the planet’s animals and plants. The SCF’s work supports the delivery of our vision 2050 and Agriculture Sector Roadmap to 1.5°C in the context of the soy value chain, contributing to a netzero and nature-positive future."</t>
  </si>
  <si>
    <t>Bunge; Cargill; COFCO Internacional; Louis Dreyfus Company (LDC)</t>
  </si>
  <si>
    <t>https://wbcsdpublications.org/scf/wp-content/uploads/2022/12/SCF-Exec_summary_EN_v4-1.pdf</t>
  </si>
  <si>
    <t>Special Coffee Association (SCA) -  Coffee Standards</t>
  </si>
  <si>
    <t>"The Specialty Coffee Association (SCA) is a trade association built on foundations of openness, inclusivity, and the power of shared knowledge. SCA’s purpose is to foster global coffee communities to support activities to make coffee a more sustainable, equitable, and thriving activity for the whole value chain. From coffee farmers to baristas and roasters, our membership spans the globe, encompassing every element of the coffee value chain. The SCA acts as a unifying force within the specialty coffee industry and works to make coffee better by raising standards worldwide through a collaborative and progressive approach. Dedicated to building an industry that is fair, sustainable, and nurturing for all, the SCA draws on years of insights and inspiration from the specialty coffee community."</t>
  </si>
  <si>
    <t>https://sca.coffee/about</t>
  </si>
  <si>
    <t xml:space="preserve">Suíno certificado Frimesa
</t>
  </si>
  <si>
    <t>"A estruturação dessa prática pode ser comprovada pelo programa Suíno Certificado Frimesa, implantado em 2012, que estabelece políticas, normas e processos. Os pilares do programa abrangem as questões sanitárias, de bem-estar animal, biossegurança, rastreabilidade, proteção ao meio ambiente e a segurança do trabalhador. A proposta é bastante arrojada: conseguir o controle de toda a cadeia, com a adoção de procedimentos operacionais para garantir a padronização do sistema de criação e a produção de alimentos seguros"</t>
  </si>
  <si>
    <t>Lar Cooperativa;</t>
  </si>
  <si>
    <t>https://www.frimesa.com.br/pt/imprensa/noticia/suino-certificado-frimesa</t>
  </si>
  <si>
    <t>Supplier Quality Management System (SQMS) McDonald's</t>
  </si>
  <si>
    <t>"As a globally recognized brand, supplying McDonald’s can bring many benefits to your business. This opportunity is only achievable when you receive the Approval as a McDonald’s Supplier. In order to do so, McDonald’s has outlined its expectations for suppliers through the Supplier Quality Management System (SQMS) assurance program, which will help you demonstrate that you have a robust management system in place to deliver safe and high-quality products, and ensure you operate according to McDonald’s supply chain’s highest standards. Considering this, all McDonald’s suppliers of food products suppliers must annually verify their SQMS compliance and collaborate with McDonald’s to continuously improve the auditing practices and customer satisfaction."</t>
  </si>
  <si>
    <t>https://www.cics-americas.com/mcdonalds-sqms-audit-certification/</t>
  </si>
  <si>
    <t>Syngenta Seedcare</t>
  </si>
  <si>
    <t>"Criado pela Syngenta, o Selo de Excelência Seedcare é um sistema que certifica os multiplicadores de sementes que atingem todos os nossos padrões de qualidade e segurança no tratamento de sementes. As empresas certificadas precisam comprovar que fazem a manutenção adequada em seus centros de tratamento, que são capazes de entregar assertividade adequada da dose aplicada, e que o tratamento é feito em sementes com a qualidade exigida pela legislação vigente. Além disso, elas precisam ser aprovadas em inspeções onde são verificadas suas condições de segurança do trabalho, bem como de proteção ao meio ambiente, além de possuírem as permissões legais necessárias para operação. Por último, elas precisam comprovar que estão implementando melhorias propostas nas inspeções anteriores."</t>
  </si>
  <si>
    <t>Belagrícola; Castrolanda; Cotrijal;</t>
  </si>
  <si>
    <t>https://portal.syngenta.com.br/seedcare</t>
  </si>
  <si>
    <t>The Coffee Public-Private Task Force</t>
  </si>
  <si>
    <t>"The Coffee Public-Private Task Force was established by the International Coffee Organization in 2019, following the signature of the “London Declaration” by 12 private sector companies, and upon the request of the International Coffee Council at its 125th Session. The Task Force is designed to build common ground for a global partnership between the coffee industry and governments, guided by the overriding vision of the sustainability of the sector and prosperity for grower communities."</t>
  </si>
  <si>
    <t>https://ico.org/the-coffee-public-private-task-force/</t>
  </si>
  <si>
    <t>The European Coffee Federation (ECF)</t>
  </si>
  <si>
    <t>"The European Coffee Federation (ECF) is the single voice of the European coffee trade and industry, facilitating the development of an environment in which the industry can meet the needs of consumers and society, while competing effectively to ensure the resilience and long-term sustainability of the coffee supply chain, from farm to cup. Established in 1981, ECF represents the interests of the European green coffee traders, roasted and soluble coffee manufacturers, decaffeinators, coffeehouses and warehousekeepers."</t>
  </si>
  <si>
    <t>https://www.ecf-coffee.org/about/</t>
  </si>
  <si>
    <t>The Sustainable Coffee Challenge</t>
  </si>
  <si>
    <t>"The Sustainable Coffee Challenge is a collaborative effort of companies, governments, NGOs, research institutions and others to make coffee the world’s first sustainable agricultural product. Challenge partners are urgently working together to increase accountability, align around a common vision for sustainability and collaborate to accelerate progress toward those goals. The Challenge is facilitated by Conservation International, with the agenda and actions led by Challenge partners. Together, these change makers work to find solutions for the coffee community."</t>
  </si>
  <si>
    <t>https://www.sustaincoffee.org/about/</t>
  </si>
  <si>
    <t>Tropical Forest Alliance (TFA)</t>
  </si>
  <si>
    <t>"The Tropical Forest Alliance is a multistakeholder partnership platform initiated to support the implementation of private-sector commitments to remove deforestation from palm oil, beef, soy and pulp/paper supply chains. Hosted by the World Economic Forum, our 170+ alliance partners include companies, government entities, civil society, indigenous peoples, local communities and international organizations, working together through Forest-Positive Collective Action to advance the world's transition to deforestation-free commodity supply chains.</t>
  </si>
  <si>
    <t>https://www.tropicalforestalliance.org/</t>
  </si>
  <si>
    <t>Unstereotype Alliance</t>
  </si>
  <si>
    <t>"The Unstereotype Alliance has been embraced by businesses and organisations championing the end of bias in advertising. The Unstereotype Alliance works to affect positive cultural change by using the power of advertising to help shape perceptions. Our members collaborate to help create a world without stereotypes, empowering people in all their diversity, whether that be related to gender, race, class, age, ability, ethnicity, religion, sexuality, language or education."</t>
  </si>
  <si>
    <t>https://www.unstereotypealliance.org/en/about</t>
  </si>
  <si>
    <t>Welfare Quality</t>
  </si>
  <si>
    <t>"The Welfare Quality Network is a collaborative effort of a large group of former partners of the Welfare Quality® project. The importance of retaining the collaboration and expertise established in the Welfare Quality® project has been highlighted in numerous official communications. The Welfare Quality Network focuses on scientific exchange and activities to contribute to the further development of the Welfare Quality® animal welfare assessment systems. The Welfare Quality Network also aims to provide relevant knowledge and services to support actors in animal production chains who would like to implement or use the Welfare Quality® animal welfare assessment systems. The activities focus on the following main areas: Management of the system and support instruments (including training in their use by Network partners) Maintenance of the system Upgrading the system Promoting stakeholder involvement Prioritizing and facilitating research"</t>
  </si>
  <si>
    <t>https://www.welfarequalitynetwork.net/en-us/about-us/</t>
  </si>
  <si>
    <t>Woman on Board (WOB)</t>
  </si>
  <si>
    <t>"Women on Board is an independent initiative whose purpose is to acknowledge, value and promote corporate environments in which women are part of the board of directors or at advisory councils, to showcase the benefits of such diversity both to the corporate world and to the community in general. WOB certifies companies that have at least two (2) effective women on the board of directors. The purpose of the certification is to acknowledge good practices in corporate environments, as well as to track the benefits businesses enjoy as a result of diversity in the leadership positions. Diversity is a strategic and key asset for businesses that wish to take on a leading role in efficiency, creativity and ESG practices."</t>
  </si>
  <si>
    <t xml:space="preserve">Agrogalaxy; Assaí; JBS; Zamp; </t>
  </si>
  <si>
    <t>https://wobwomenonboard.com/en/</t>
  </si>
  <si>
    <t>Categorias sobre as certificações, associações, coalizões, fóruns, pactos etc.</t>
  </si>
  <si>
    <t xml:space="preserve">Nome dado à entidade da qual a empresa relata fazer parte e/ou que recebe um certificado, com base no relatório mais atual da empresa publicado entre 2020 e 2023. </t>
  </si>
  <si>
    <t xml:space="preserve">Caráter </t>
  </si>
  <si>
    <t xml:space="preserve">A entidade possui caráter associativo, ou seja, representa o interesse de algum grupo ou visa mobilizar instituições acerca de alguma pauta específica. </t>
  </si>
  <si>
    <t xml:space="preserve">A entidade possui caráter certificante, ou seja, visa comprovar as competências de instituições, garantir a qualidade, padronizar procedimentos, demonstrar comprometimento, entre outros. </t>
  </si>
  <si>
    <t xml:space="preserve">A entidade possui tanto caráter associativo quanto certificante. </t>
  </si>
  <si>
    <t xml:space="preserve">Descrição sobre as particularidades da entidade com base em sites institucionais ou outras fontes da internet. </t>
  </si>
  <si>
    <t xml:space="preserve">Listagem das empresas que declararam relação com a entidade em seus relatórios mais atuais publicados entre 2020 e 2023.  </t>
  </si>
  <si>
    <t>Fonte</t>
  </si>
  <si>
    <t xml:space="preserve">Referências de onde a descrição da entidade foi tirada. </t>
  </si>
  <si>
    <t>Cooperativas</t>
  </si>
  <si>
    <t>Multinacionais</t>
  </si>
  <si>
    <t>A empresa atua na/no</t>
  </si>
  <si>
    <t>A empresa atua na produção de insumos</t>
  </si>
  <si>
    <t>A empresa atua na produção de alimento</t>
  </si>
  <si>
    <t>A empresa atua no armazenamento</t>
  </si>
  <si>
    <t>A empresa atua no transporte/logística</t>
  </si>
  <si>
    <t>A empresa atua no processamento</t>
  </si>
  <si>
    <t>A empresa atua no varejo/atacado (comércio de alimento pronto/ração/insumo)</t>
  </si>
  <si>
    <t>A empresa atua no consumo (casas e serviços)</t>
  </si>
  <si>
    <t>Produção de insumos</t>
  </si>
  <si>
    <t>Varejo/atacado (comércio de alimento pronto/ração/insumo)</t>
  </si>
  <si>
    <t>Consumo (casas e serviços)</t>
  </si>
  <si>
    <t>A empresa está relacionada a um instituto/fundação?</t>
  </si>
  <si>
    <t>Qual o setor da empresa está relacionada a um instituto/fundação</t>
  </si>
  <si>
    <t>Produção/Produção</t>
  </si>
  <si>
    <t>Armazenamento/Armazenamento</t>
  </si>
  <si>
    <t>Transporte/Transporte</t>
  </si>
  <si>
    <t>Processamento/Processamento</t>
  </si>
  <si>
    <t>Varejo/Varejo</t>
  </si>
  <si>
    <t>Consumo/Consumo</t>
  </si>
  <si>
    <t xml:space="preserve">Produção/ Armazenamento </t>
  </si>
  <si>
    <t>Produção/ Transporte</t>
  </si>
  <si>
    <t xml:space="preserve">Produção/ Processamento </t>
  </si>
  <si>
    <t xml:space="preserve">Produção/ Varejo </t>
  </si>
  <si>
    <t xml:space="preserve">Produção/Consumo </t>
  </si>
  <si>
    <t>Armazenamento/Produção</t>
  </si>
  <si>
    <t>Armazenamento/Transporte</t>
  </si>
  <si>
    <t>Armazenamento /Processamento</t>
  </si>
  <si>
    <t>Armazenamento /Varejo</t>
  </si>
  <si>
    <t xml:space="preserve">Armazenamento/Consumo </t>
  </si>
  <si>
    <t>Transporte/Produção</t>
  </si>
  <si>
    <t>Transporte/Armazenamento</t>
  </si>
  <si>
    <t>Transporte/Processamento</t>
  </si>
  <si>
    <t>Transporte/Varejo</t>
  </si>
  <si>
    <t xml:space="preserve">Transporte/Consumo </t>
  </si>
  <si>
    <t>Processamento / Produção</t>
  </si>
  <si>
    <t>Processamento / Armazenamento</t>
  </si>
  <si>
    <t>Processamento / Transporte</t>
  </si>
  <si>
    <t>Processamento / Varejo</t>
  </si>
  <si>
    <t xml:space="preserve">Processamento / consumo </t>
  </si>
  <si>
    <t>Varejo / produção</t>
  </si>
  <si>
    <t xml:space="preserve">Varejo / armazenamento </t>
  </si>
  <si>
    <t>Varejo / transporte</t>
  </si>
  <si>
    <t xml:space="preserve">Varejo / processamento </t>
  </si>
  <si>
    <t>Varejo / consumo</t>
  </si>
  <si>
    <t>Consumo / produção</t>
  </si>
  <si>
    <t>Consumo / armazenamento</t>
  </si>
  <si>
    <t>Consumo / transporte</t>
  </si>
  <si>
    <t>Consumo / processamento</t>
  </si>
  <si>
    <t xml:space="preserve">Consumo / varejo </t>
  </si>
  <si>
    <t>Cruzamento só da aba Ações</t>
  </si>
  <si>
    <t>Nº ações</t>
  </si>
  <si>
    <t>Nº empresas</t>
  </si>
  <si>
    <t>A empresa atua na/no/
Ação envolve</t>
  </si>
  <si>
    <t>A empresa atua na/no/
Ação tem benefício</t>
  </si>
  <si>
    <t>Geral</t>
  </si>
  <si>
    <t>Passo a passo das buscas</t>
  </si>
  <si>
    <t>Plavras-chave</t>
  </si>
  <si>
    <t>O que buscar pt</t>
  </si>
  <si>
    <t>O que buscar eg</t>
  </si>
  <si>
    <t>1 - Entrar no site da empresa</t>
  </si>
  <si>
    <t>Alimentar</t>
  </si>
  <si>
    <t>Alimen</t>
  </si>
  <si>
    <t>Food</t>
  </si>
  <si>
    <t>2 - Procurar os relatórios anuais</t>
  </si>
  <si>
    <t>Alimento</t>
  </si>
  <si>
    <t>3 - Se não tiver no site, jogar no Google "Relatório 2020/21/22/23 empresa x"</t>
  </si>
  <si>
    <t xml:space="preserve">Alimentação </t>
  </si>
  <si>
    <t>4 - Buscar pelas palavras-chave</t>
  </si>
  <si>
    <t xml:space="preserve">Segurança </t>
  </si>
  <si>
    <t>Seg</t>
  </si>
  <si>
    <t>Secu</t>
  </si>
  <si>
    <t>5 - Olhar o relatório em geral</t>
  </si>
  <si>
    <t xml:space="preserve">Nutricional </t>
  </si>
  <si>
    <t>Nutri</t>
  </si>
  <si>
    <t>5 - Dar uma olhada em geral nos projetos e comparar com o relatório</t>
  </si>
  <si>
    <t xml:space="preserve">Nutrição </t>
  </si>
  <si>
    <t>6 - Ler o relatório no geral focando nas partes de Comunidade/Social/ESG/Água</t>
  </si>
  <si>
    <t>Nutritivo</t>
  </si>
  <si>
    <t>Nutrir</t>
  </si>
  <si>
    <t xml:space="preserve">Fome </t>
  </si>
  <si>
    <t>Fome</t>
  </si>
  <si>
    <t>Hung</t>
  </si>
  <si>
    <t xml:space="preserve">Doação </t>
  </si>
  <si>
    <t>Doa</t>
  </si>
  <si>
    <t>Donat</t>
  </si>
  <si>
    <t>Doar</t>
  </si>
  <si>
    <t>Cesta(s) básica(s)</t>
  </si>
  <si>
    <t>Cest</t>
  </si>
  <si>
    <t>Basket</t>
  </si>
  <si>
    <t xml:space="preserve">ODS </t>
  </si>
  <si>
    <t>SDG</t>
  </si>
  <si>
    <t xml:space="preserve">Agricultura regenerativa </t>
  </si>
  <si>
    <t>Regen</t>
  </si>
  <si>
    <t>Bioinsu</t>
  </si>
  <si>
    <t>Bio</t>
  </si>
  <si>
    <t xml:space="preserve">Água </t>
  </si>
  <si>
    <t>Água</t>
  </si>
  <si>
    <t>Water</t>
  </si>
  <si>
    <t xml:space="preserve">Familiar </t>
  </si>
  <si>
    <t>Fam</t>
  </si>
  <si>
    <t xml:space="preserve">Pequeno </t>
  </si>
  <si>
    <t>Pequeno</t>
  </si>
  <si>
    <t>Small</t>
  </si>
  <si>
    <t>Produtor</t>
  </si>
  <si>
    <t xml:space="preserve">Producer </t>
  </si>
  <si>
    <t>Agricultor</t>
  </si>
  <si>
    <t>Farm</t>
  </si>
  <si>
    <t xml:space="preserve">Sustentável </t>
  </si>
  <si>
    <t>Sustent</t>
  </si>
  <si>
    <t>Sustaina</t>
  </si>
  <si>
    <t>GMO</t>
  </si>
  <si>
    <t xml:space="preserve">Programa </t>
  </si>
  <si>
    <t xml:space="preserve">Program </t>
  </si>
  <si>
    <t xml:space="preserve">Projeto </t>
  </si>
  <si>
    <t>Project</t>
  </si>
  <si>
    <t xml:space="preserve">Campaign </t>
  </si>
  <si>
    <t>Produtividade</t>
  </si>
  <si>
    <t>Productivity</t>
  </si>
  <si>
    <t>Clima</t>
  </si>
  <si>
    <t>Clim</t>
  </si>
  <si>
    <t>Climático/a</t>
  </si>
  <si>
    <t>Certificação</t>
  </si>
  <si>
    <t>Cert</t>
  </si>
  <si>
    <t>Certificado</t>
  </si>
  <si>
    <t>Selo</t>
  </si>
  <si>
    <t>Badge</t>
  </si>
  <si>
    <t>Comunidade</t>
  </si>
  <si>
    <t>Comuni</t>
  </si>
  <si>
    <t>Nativo</t>
  </si>
  <si>
    <t>Nativ</t>
  </si>
  <si>
    <t>Banco</t>
  </si>
  <si>
    <t xml:space="preserve">Bank </t>
  </si>
  <si>
    <t>Saudável</t>
  </si>
  <si>
    <t>Saud</t>
  </si>
  <si>
    <t>Health</t>
  </si>
  <si>
    <t>Orgânico</t>
  </si>
  <si>
    <t>Org</t>
  </si>
  <si>
    <t>Organização</t>
  </si>
  <si>
    <t>Organ</t>
  </si>
  <si>
    <t>Instituição</t>
  </si>
  <si>
    <t>Institu</t>
  </si>
  <si>
    <t>Entidade</t>
  </si>
  <si>
    <t>Enti</t>
  </si>
  <si>
    <t xml:space="preserve">Financiar </t>
  </si>
  <si>
    <t>Financ</t>
  </si>
  <si>
    <t xml:space="preserve">Financiamento </t>
  </si>
  <si>
    <t>Socia</t>
  </si>
  <si>
    <t>Arrecadação</t>
  </si>
  <si>
    <t>Arrecad</t>
  </si>
  <si>
    <t xml:space="preserve">Collect </t>
  </si>
  <si>
    <t>Arrecadar</t>
  </si>
  <si>
    <t>Renda</t>
  </si>
  <si>
    <t>Aç</t>
  </si>
  <si>
    <t>Iniciativa</t>
  </si>
  <si>
    <t>Valor 1000 edição 2023</t>
  </si>
  <si>
    <t>Fonte:</t>
  </si>
  <si>
    <t>https://infograficos.valor.globo.com/valor1000/rankings/ranking-das-1000-maiores/2023</t>
  </si>
  <si>
    <t>Acesso em: 20/02/24</t>
  </si>
  <si>
    <t>ID</t>
  </si>
  <si>
    <t>CLASSIFICAÇÃO
2022</t>
  </si>
  <si>
    <t>CLASSIFICAÇÃO
2021</t>
  </si>
  <si>
    <t>EMPRESA</t>
  </si>
  <si>
    <t>SEDE</t>
  </si>
  <si>
    <t>SETOR DE ATIVIDADE</t>
  </si>
  <si>
    <t>RECEITA LÍQUIDA
(EM R$ MILHÕES)</t>
  </si>
  <si>
    <t>VAR.
(EM %)</t>
  </si>
  <si>
    <t>LUCRO LÍQUIDO
(EM R$ MILHÕES)</t>
  </si>
  <si>
    <t>MARGEM LÍQUIDA
(EM %)</t>
  </si>
  <si>
    <t>RENTAB. DO PL
MÉDIO (EM %)</t>
  </si>
  <si>
    <t>LUCRO DA ATIV.
(EM R$ MILHÕES)</t>
  </si>
  <si>
    <t>Petrobras</t>
  </si>
  <si>
    <t>Petróleo e Gás</t>
  </si>
  <si>
    <t>Raízen</t>
  </si>
  <si>
    <t>Vale</t>
  </si>
  <si>
    <t>Mineração</t>
  </si>
  <si>
    <t>Vibra</t>
  </si>
  <si>
    <t>Cosan</t>
  </si>
  <si>
    <t>Ultrapar</t>
  </si>
  <si>
    <t>Braskem</t>
  </si>
  <si>
    <t>Química e Petroquímica</t>
  </si>
  <si>
    <t>Gerdau</t>
  </si>
  <si>
    <t>Metalurgia e Siderurgia</t>
  </si>
  <si>
    <t>Bunge Alimentos</t>
  </si>
  <si>
    <t>ArcelorMittal</t>
  </si>
  <si>
    <t>Copersucar</t>
  </si>
  <si>
    <t>Bioenergia</t>
  </si>
  <si>
    <t>Stellantis</t>
  </si>
  <si>
    <t>Veículos e Peças</t>
  </si>
  <si>
    <t>Cofco International</t>
  </si>
  <si>
    <t>Shell</t>
  </si>
  <si>
    <t>Acelen</t>
  </si>
  <si>
    <t>Suzano</t>
  </si>
  <si>
    <t>Papel e Celulose</t>
  </si>
  <si>
    <t>Enel Brasil</t>
  </si>
  <si>
    <t>Energia Elétrica</t>
  </si>
  <si>
    <t>Telefônica Brasil</t>
  </si>
  <si>
    <t>TI &amp; Telecom</t>
  </si>
  <si>
    <t>Louis Dreyfus Company</t>
  </si>
  <si>
    <t>CSN</t>
  </si>
  <si>
    <t>Mosaic</t>
  </si>
  <si>
    <t>Neoenergia</t>
  </si>
  <si>
    <t>Claro Participações</t>
  </si>
  <si>
    <t>CPFL Energia</t>
  </si>
  <si>
    <t>Natura &amp; Co.</t>
  </si>
  <si>
    <t>Farmacêutica e Cosméticos</t>
  </si>
  <si>
    <t>Cemig</t>
  </si>
  <si>
    <t>Eletrobras</t>
  </si>
  <si>
    <t>Usiminas</t>
  </si>
  <si>
    <t>Via</t>
  </si>
  <si>
    <t>Samsung</t>
  </si>
  <si>
    <t>Eletroeletrônica</t>
  </si>
  <si>
    <t>WEG</t>
  </si>
  <si>
    <t>Mecânica</t>
  </si>
  <si>
    <t>Yara Brasil</t>
  </si>
  <si>
    <t>Volkswagen</t>
  </si>
  <si>
    <t>Syngenta</t>
  </si>
  <si>
    <t>Equatorial Energia</t>
  </si>
  <si>
    <t>Energisa</t>
  </si>
  <si>
    <t>Fertipar</t>
  </si>
  <si>
    <t>Coamo</t>
  </si>
  <si>
    <t>Votorantim Cimentos</t>
  </si>
  <si>
    <t>Mat. de Constr. e de Acabamento</t>
  </si>
  <si>
    <t>Simpar</t>
  </si>
  <si>
    <t>Transportes e Logística</t>
  </si>
  <si>
    <t>Embraer</t>
  </si>
  <si>
    <t>Rede D'Or São Luiz</t>
  </si>
  <si>
    <t>Serviços Médicos</t>
  </si>
  <si>
    <t>Honda</t>
  </si>
  <si>
    <t>Sabesp</t>
  </si>
  <si>
    <t>Água, Saneamento e Serviços Ambientais</t>
  </si>
  <si>
    <t>Copel</t>
  </si>
  <si>
    <t>Latam</t>
  </si>
  <si>
    <t>ND</t>
  </si>
  <si>
    <t>Grupo Mateus</t>
  </si>
  <si>
    <t>TIM</t>
  </si>
  <si>
    <t>Lar</t>
  </si>
  <si>
    <t>CNH</t>
  </si>
  <si>
    <t>Klabin</t>
  </si>
  <si>
    <t>Correios</t>
  </si>
  <si>
    <t>Serviços Especializados</t>
  </si>
  <si>
    <t>Grupo CCR</t>
  </si>
  <si>
    <t>Volvo do Brasil</t>
  </si>
  <si>
    <t>Ternium Brasil</t>
  </si>
  <si>
    <t>Tereos Internacional</t>
  </si>
  <si>
    <t>Localiza</t>
  </si>
  <si>
    <t>Petrogal</t>
  </si>
  <si>
    <t>EDP</t>
  </si>
  <si>
    <t>Itaipu</t>
  </si>
  <si>
    <t>Iochpe-Maxion</t>
  </si>
  <si>
    <t>Coca-Cola Femsa Brasil</t>
  </si>
  <si>
    <t>Azul</t>
  </si>
  <si>
    <t>Nexa Resources</t>
  </si>
  <si>
    <t>ALE Combustíveis</t>
  </si>
  <si>
    <t>Volkswagen Caminhões e Ônibus</t>
  </si>
  <si>
    <t>PagSeguro</t>
  </si>
  <si>
    <t>Novelis</t>
  </si>
  <si>
    <t>Gol Linhas Aéreas</t>
  </si>
  <si>
    <t>Globo</t>
  </si>
  <si>
    <t>Comunicação e Gráfica</t>
  </si>
  <si>
    <t>Renault</t>
  </si>
  <si>
    <t>Lojas Renner</t>
  </si>
  <si>
    <t>Indústria da Moda</t>
  </si>
  <si>
    <t>Light</t>
  </si>
  <si>
    <t>Dasa</t>
  </si>
  <si>
    <t>Oi</t>
  </si>
  <si>
    <t>ECTP</t>
  </si>
  <si>
    <t>Comércio Atacadista e Exterior</t>
  </si>
  <si>
    <t>ENGIE Brasil Energia</t>
  </si>
  <si>
    <t>Copa Energia</t>
  </si>
  <si>
    <t>UOL</t>
  </si>
  <si>
    <t>Anglo American Minério de Ferro Brasil</t>
  </si>
  <si>
    <t>Hydro Alunorte</t>
  </si>
  <si>
    <t>Randoncorp</t>
  </si>
  <si>
    <t>CBMM</t>
  </si>
  <si>
    <t>Sotreq</t>
  </si>
  <si>
    <t>Repsol Sinopec Brasil</t>
  </si>
  <si>
    <t>Whirlpool</t>
  </si>
  <si>
    <t>Cielo</t>
  </si>
  <si>
    <t>Havan</t>
  </si>
  <si>
    <t>Tupy</t>
  </si>
  <si>
    <t>Comexport</t>
  </si>
  <si>
    <t>Grupo Águia Branca</t>
  </si>
  <si>
    <t>Celesc</t>
  </si>
  <si>
    <t>Agrícola Alvorada</t>
  </si>
  <si>
    <t>Rumo</t>
  </si>
  <si>
    <t>Unigel</t>
  </si>
  <si>
    <t>Hospital São Paulo</t>
  </si>
  <si>
    <t>Be8</t>
  </si>
  <si>
    <t>Grupo GPS</t>
  </si>
  <si>
    <t>B3</t>
  </si>
  <si>
    <t>Stone</t>
  </si>
  <si>
    <t>Sertrading</t>
  </si>
  <si>
    <t>Larco</t>
  </si>
  <si>
    <t>CBA</t>
  </si>
  <si>
    <t>Viveo</t>
  </si>
  <si>
    <t>Electrolux</t>
  </si>
  <si>
    <t>Inpasa Agroindustrial</t>
  </si>
  <si>
    <t>Rede</t>
  </si>
  <si>
    <t>Dexco</t>
  </si>
  <si>
    <t>UPL do Brasil</t>
  </si>
  <si>
    <t>Guararapes</t>
  </si>
  <si>
    <t>TAG</t>
  </si>
  <si>
    <t>FMC</t>
  </si>
  <si>
    <t>Aperam Inox América do Sul</t>
  </si>
  <si>
    <t>Grupo 3corações</t>
  </si>
  <si>
    <t>Samarco</t>
  </si>
  <si>
    <t>Pfizer</t>
  </si>
  <si>
    <t>Eurofarma</t>
  </si>
  <si>
    <t>EloPar</t>
  </si>
  <si>
    <t>Profarma</t>
  </si>
  <si>
    <t>ZF</t>
  </si>
  <si>
    <t>Cibra</t>
  </si>
  <si>
    <t>BF Participações</t>
  </si>
  <si>
    <t>VLI</t>
  </si>
  <si>
    <t>Timbro</t>
  </si>
  <si>
    <t>CMPC</t>
  </si>
  <si>
    <t>FS</t>
  </si>
  <si>
    <t>Hypera Pharma</t>
  </si>
  <si>
    <t>Eldorado Brasil</t>
  </si>
  <si>
    <t>Bianchini</t>
  </si>
  <si>
    <t>Évora</t>
  </si>
  <si>
    <t>Plásticos e Borracha</t>
  </si>
  <si>
    <t>DMA</t>
  </si>
  <si>
    <t>Grupo Unipar</t>
  </si>
  <si>
    <t>BP Bunge</t>
  </si>
  <si>
    <t>Grupo Saga</t>
  </si>
  <si>
    <t>Equinor Brasil</t>
  </si>
  <si>
    <t>Atvos Agroindustrial</t>
  </si>
  <si>
    <t>Araguaia</t>
  </si>
  <si>
    <t>NTS</t>
  </si>
  <si>
    <t>Grupo NC</t>
  </si>
  <si>
    <t>Granol</t>
  </si>
  <si>
    <t>MRV&amp;CO</t>
  </si>
  <si>
    <t>Empreendimentos Imobiliários</t>
  </si>
  <si>
    <t>São Martinho</t>
  </si>
  <si>
    <t>Accenture</t>
  </si>
  <si>
    <t>Bosch</t>
  </si>
  <si>
    <t>Rodoil</t>
  </si>
  <si>
    <t>Prio</t>
  </si>
  <si>
    <t>Grupo SBF</t>
  </si>
  <si>
    <t>Tenda Atacado</t>
  </si>
  <si>
    <t>C&amp;A</t>
  </si>
  <si>
    <t>Copasa MG</t>
  </si>
  <si>
    <t>Elfa Medicamentos</t>
  </si>
  <si>
    <t>CEG</t>
  </si>
  <si>
    <t>Eneva</t>
  </si>
  <si>
    <t>Grupo Ecorodovias</t>
  </si>
  <si>
    <t>EISA</t>
  </si>
  <si>
    <t>Albras</t>
  </si>
  <si>
    <t>Olfar</t>
  </si>
  <si>
    <t>CTG Brasil</t>
  </si>
  <si>
    <t>Cálamo</t>
  </si>
  <si>
    <t>Grupo Martins</t>
  </si>
  <si>
    <t>Tigre</t>
  </si>
  <si>
    <t>Adufértil</t>
  </si>
  <si>
    <t>Oleoplan</t>
  </si>
  <si>
    <t>Cotrijal</t>
  </si>
  <si>
    <t>Adama</t>
  </si>
  <si>
    <t>Columbia Trading</t>
  </si>
  <si>
    <t>Innova</t>
  </si>
  <si>
    <t>Heringer</t>
  </si>
  <si>
    <t>Sanepar</t>
  </si>
  <si>
    <t>Petrobahia</t>
  </si>
  <si>
    <t>MRS Logística</t>
  </si>
  <si>
    <t>Grupo Aço Cearense</t>
  </si>
  <si>
    <t>Potencial</t>
  </si>
  <si>
    <t>Grupo Stefanini</t>
  </si>
  <si>
    <t>Auren Energia</t>
  </si>
  <si>
    <t>Cocari</t>
  </si>
  <si>
    <t>CMOC Brasil</t>
  </si>
  <si>
    <t>Isa CTEEP</t>
  </si>
  <si>
    <t>Marcopolo</t>
  </si>
  <si>
    <t>Cyrela</t>
  </si>
  <si>
    <t>Coopavel</t>
  </si>
  <si>
    <t>AmE</t>
  </si>
  <si>
    <t>Cisa Trading</t>
  </si>
  <si>
    <t>Sylvamo</t>
  </si>
  <si>
    <t>Fast Shop</t>
  </si>
  <si>
    <t>Allied Tecnologia</t>
  </si>
  <si>
    <t>V.tal</t>
  </si>
  <si>
    <t>Sanofi Medley</t>
  </si>
  <si>
    <t>Kinross</t>
  </si>
  <si>
    <t>Cogna</t>
  </si>
  <si>
    <t>Educação</t>
  </si>
  <si>
    <t>Bayer</t>
  </si>
  <si>
    <t>Positivo</t>
  </si>
  <si>
    <t>Aché</t>
  </si>
  <si>
    <t>Hospital Israelita Albert Einstein</t>
  </si>
  <si>
    <t>Grupo de Moda Soma</t>
  </si>
  <si>
    <t>Dia Brasil</t>
  </si>
  <si>
    <t>Arteris</t>
  </si>
  <si>
    <t>Pernambucanas</t>
  </si>
  <si>
    <t>Embasa</t>
  </si>
  <si>
    <t>OEC</t>
  </si>
  <si>
    <t>Construção e Engenharia</t>
  </si>
  <si>
    <t>Grupo Lincoln Junqueira</t>
  </si>
  <si>
    <t>Aegea Saneamento</t>
  </si>
  <si>
    <t>YDUQS</t>
  </si>
  <si>
    <t>Agro Amazônia</t>
  </si>
  <si>
    <t>Comerc Energia</t>
  </si>
  <si>
    <t>Agrofel</t>
  </si>
  <si>
    <t>BRK Ambiental</t>
  </si>
  <si>
    <t>Tambasa</t>
  </si>
  <si>
    <t>TT Work</t>
  </si>
  <si>
    <t>Grupo Fleury</t>
  </si>
  <si>
    <t>Lojas Cem</t>
  </si>
  <si>
    <t>Multilaser</t>
  </si>
  <si>
    <t>Serasa Experian</t>
  </si>
  <si>
    <t>Cenibra</t>
  </si>
  <si>
    <t>Arezzo</t>
  </si>
  <si>
    <t>Intelbras</t>
  </si>
  <si>
    <t>Mahle Metal Leve</t>
  </si>
  <si>
    <t>Alpargatas</t>
  </si>
  <si>
    <t>Porto Sudeste</t>
  </si>
  <si>
    <t>Anglo American Níquel Brasil</t>
  </si>
  <si>
    <t>Mesa</t>
  </si>
  <si>
    <t>Líder</t>
  </si>
  <si>
    <t>Oncoclínicas</t>
  </si>
  <si>
    <t>Novartis Biociências</t>
  </si>
  <si>
    <t>Jacto</t>
  </si>
  <si>
    <t>Elcano</t>
  </si>
  <si>
    <t>Roche</t>
  </si>
  <si>
    <t>Agribrasil</t>
  </si>
  <si>
    <t>Copérdia</t>
  </si>
  <si>
    <t>Delly's Food Service</t>
  </si>
  <si>
    <t>Sonda Supermercados</t>
  </si>
  <si>
    <t>Corsan</t>
  </si>
  <si>
    <t>Bahiagás</t>
  </si>
  <si>
    <t>Calçados Beira Rio</t>
  </si>
  <si>
    <t>Aldo Solar</t>
  </si>
  <si>
    <t>Alcoa</t>
  </si>
  <si>
    <t>Grupo Dass</t>
  </si>
  <si>
    <t>American Tower do Brasil</t>
  </si>
  <si>
    <t>Alupar</t>
  </si>
  <si>
    <t>Mataboi Alimentos</t>
  </si>
  <si>
    <t>Totvs</t>
  </si>
  <si>
    <t>Grupo Ambipar</t>
  </si>
  <si>
    <t>CSD</t>
  </si>
  <si>
    <t>União Química</t>
  </si>
  <si>
    <t>Coca-Cola Andina Brasil</t>
  </si>
  <si>
    <t>Sumitomo Chemical</t>
  </si>
  <si>
    <t>InterCement Brasil</t>
  </si>
  <si>
    <t>SAP</t>
  </si>
  <si>
    <t>Unifertil</t>
  </si>
  <si>
    <t>Gasmig</t>
  </si>
  <si>
    <t>Gestamp Brasil</t>
  </si>
  <si>
    <t>Mexichem Brasil</t>
  </si>
  <si>
    <t>Usina Coruripe</t>
  </si>
  <si>
    <t>Alubar</t>
  </si>
  <si>
    <t>ICL</t>
  </si>
  <si>
    <t>State Grid Brazil Holding</t>
  </si>
  <si>
    <t>Ânima</t>
  </si>
  <si>
    <t>Supermercado Bahamas</t>
  </si>
  <si>
    <t>Arroz Brejeiro</t>
  </si>
  <si>
    <t>MGB</t>
  </si>
  <si>
    <t>Esho</t>
  </si>
  <si>
    <t>Zilor</t>
  </si>
  <si>
    <t>Grupo Lider</t>
  </si>
  <si>
    <t>CEG Rio</t>
  </si>
  <si>
    <t>Ajinomoto do Brasil</t>
  </si>
  <si>
    <t>Fundação do ABC</t>
  </si>
  <si>
    <t>SMR Participações</t>
  </si>
  <si>
    <t>Facchini</t>
  </si>
  <si>
    <t>Termomecânica</t>
  </si>
  <si>
    <t>Getnet</t>
  </si>
  <si>
    <t>Potencial Biodiesel</t>
  </si>
  <si>
    <t>Arcelormittal Gonvarri</t>
  </si>
  <si>
    <t>Evonik</t>
  </si>
  <si>
    <t>Stihl</t>
  </si>
  <si>
    <t>Atakarejo</t>
  </si>
  <si>
    <t>Record</t>
  </si>
  <si>
    <t>Plena Alimentos</t>
  </si>
  <si>
    <t>Verzani &amp; Sandrini</t>
  </si>
  <si>
    <t>Ferbasa</t>
  </si>
  <si>
    <t>Cigás</t>
  </si>
  <si>
    <t>Jirau Energia</t>
  </si>
  <si>
    <t>Grupo GMC</t>
  </si>
  <si>
    <t>Arauco</t>
  </si>
  <si>
    <t>Adecoagro Brasil</t>
  </si>
  <si>
    <t>Delta Sucroenergia</t>
  </si>
  <si>
    <t>Elétron Energy</t>
  </si>
  <si>
    <t>Cedae</t>
  </si>
  <si>
    <t>Usina da Pedra</t>
  </si>
  <si>
    <t>Compesa</t>
  </si>
  <si>
    <t>Saneago</t>
  </si>
  <si>
    <t>Vigor</t>
  </si>
  <si>
    <t>Berneck</t>
  </si>
  <si>
    <t>AngloGold</t>
  </si>
  <si>
    <t>Semp TCL</t>
  </si>
  <si>
    <t>Serpro</t>
  </si>
  <si>
    <t>Petrovia</t>
  </si>
  <si>
    <t>PetroRecôncavo</t>
  </si>
  <si>
    <t>Buffon</t>
  </si>
  <si>
    <t>Hospital Sírio-Libanês</t>
  </si>
  <si>
    <t>Smartfit</t>
  </si>
  <si>
    <t>Belenus</t>
  </si>
  <si>
    <t>Vicunha Têxtil</t>
  </si>
  <si>
    <t>Distribuidora Rio Branco de Petróleo</t>
  </si>
  <si>
    <t>TecBan</t>
  </si>
  <si>
    <t>Vibra Agroindustrial</t>
  </si>
  <si>
    <t>Giassi</t>
  </si>
  <si>
    <t>Holambra</t>
  </si>
  <si>
    <t>AES Brasil</t>
  </si>
  <si>
    <t>Algar Telecom</t>
  </si>
  <si>
    <t>Marisa</t>
  </si>
  <si>
    <t>Abbott</t>
  </si>
  <si>
    <t>Vipal Borrachas</t>
  </si>
  <si>
    <t>Magnesita</t>
  </si>
  <si>
    <t>Rissul</t>
  </si>
  <si>
    <t>Tuper</t>
  </si>
  <si>
    <t>Rima</t>
  </si>
  <si>
    <t>South32 Minerals</t>
  </si>
  <si>
    <t>Andrade Gutierrez Engenharia</t>
  </si>
  <si>
    <t>EDF Norte Fluminense</t>
  </si>
  <si>
    <t>Colombo Agroindústria</t>
  </si>
  <si>
    <t>Coop</t>
  </si>
  <si>
    <t>Super Mercado Zona Sul</t>
  </si>
  <si>
    <t>Supermercado Angeloni</t>
  </si>
  <si>
    <t>Taesa</t>
  </si>
  <si>
    <t>Copagri</t>
  </si>
  <si>
    <t>Picpay</t>
  </si>
  <si>
    <t>Clamed Farmácias</t>
  </si>
  <si>
    <t>SC Gás</t>
  </si>
  <si>
    <t>Deten</t>
  </si>
  <si>
    <t>G10 Transportes</t>
  </si>
  <si>
    <t>São Camilo</t>
  </si>
  <si>
    <t>Taurus Armas</t>
  </si>
  <si>
    <t>Vulcabras</t>
  </si>
  <si>
    <t>Villares Metals</t>
  </si>
  <si>
    <t>RCell</t>
  </si>
  <si>
    <t>Grendene</t>
  </si>
  <si>
    <t>Eucatex</t>
  </si>
  <si>
    <t>Comporte Participações</t>
  </si>
  <si>
    <t>Heinz</t>
  </si>
  <si>
    <t>Matrix Energia</t>
  </si>
  <si>
    <t>Cerradinho</t>
  </si>
  <si>
    <t>Aeris Energy</t>
  </si>
  <si>
    <t>Karoon Energy</t>
  </si>
  <si>
    <t>Invepar</t>
  </si>
  <si>
    <t>Omega Geração</t>
  </si>
  <si>
    <t>Metal Group</t>
  </si>
  <si>
    <t>Coopertradição</t>
  </si>
  <si>
    <t>Fortbras</t>
  </si>
  <si>
    <t>Scheffer Participações</t>
  </si>
  <si>
    <t>Construtora Tenda</t>
  </si>
  <si>
    <t>Solví</t>
  </si>
  <si>
    <t>Tristão</t>
  </si>
  <si>
    <t>CPTM</t>
  </si>
  <si>
    <t>Ocyan</t>
  </si>
  <si>
    <t>Kalunga</t>
  </si>
  <si>
    <t>Hospital Santa Catarina</t>
  </si>
  <si>
    <t>Comlurb</t>
  </si>
  <si>
    <t>Friato</t>
  </si>
  <si>
    <t>Cagece</t>
  </si>
  <si>
    <t>Libbs</t>
  </si>
  <si>
    <t>Hydro Paragominas</t>
  </si>
  <si>
    <t>Distribuidora Automotiva</t>
  </si>
  <si>
    <t>Oba Hortifruti</t>
  </si>
  <si>
    <t>Panatlântica</t>
  </si>
  <si>
    <t>Afya</t>
  </si>
  <si>
    <t>Pesa</t>
  </si>
  <si>
    <t>Even</t>
  </si>
  <si>
    <t>Sapore</t>
  </si>
  <si>
    <t>Atlas Schindler</t>
  </si>
  <si>
    <t>Cotripal</t>
  </si>
  <si>
    <t>Mineração Maracá</t>
  </si>
  <si>
    <t>Wilson Sons</t>
  </si>
  <si>
    <t>Petronas</t>
  </si>
  <si>
    <t>Josapar</t>
  </si>
  <si>
    <t>Cury</t>
  </si>
  <si>
    <t>IMC</t>
  </si>
  <si>
    <t>Elekeiroz</t>
  </si>
  <si>
    <t>Baterias Moura</t>
  </si>
  <si>
    <t>Drogarias Nissei</t>
  </si>
  <si>
    <t>Cejam</t>
  </si>
  <si>
    <t>Portobello</t>
  </si>
  <si>
    <t>Norsul</t>
  </si>
  <si>
    <t>NCPAR</t>
  </si>
  <si>
    <t>Camda</t>
  </si>
  <si>
    <t>Enauta</t>
  </si>
  <si>
    <t>CMAA</t>
  </si>
  <si>
    <t>Metrô</t>
  </si>
  <si>
    <t>Direcional Engenharia</t>
  </si>
  <si>
    <t>Copagril</t>
  </si>
  <si>
    <t>Coopermota</t>
  </si>
  <si>
    <t>Santher</t>
  </si>
  <si>
    <t>Zaraplast</t>
  </si>
  <si>
    <t>Viterra Bioenergia</t>
  </si>
  <si>
    <t>Owens-Illinois</t>
  </si>
  <si>
    <t>Nokia Solutions</t>
  </si>
  <si>
    <t>Tramontina Cutelaria</t>
  </si>
  <si>
    <t>Destro</t>
  </si>
  <si>
    <t>Nitro Química</t>
  </si>
  <si>
    <t>Grupo Hermes Pardini</t>
  </si>
  <si>
    <t>Dexxos Par</t>
  </si>
  <si>
    <t>Schulz</t>
  </si>
  <si>
    <t>Iguá</t>
  </si>
  <si>
    <t>Log-In</t>
  </si>
  <si>
    <t>Dufrio</t>
  </si>
  <si>
    <t>FQM</t>
  </si>
  <si>
    <t>Zoetis</t>
  </si>
  <si>
    <t>Kora Saúde</t>
  </si>
  <si>
    <t>Prodesp</t>
  </si>
  <si>
    <t>Hospital Care</t>
  </si>
  <si>
    <t>ES Gás</t>
  </si>
  <si>
    <t>Aura Minerals Inc.</t>
  </si>
  <si>
    <t>Cruzeiro do Sul Educacional</t>
  </si>
  <si>
    <t>Petrocoque</t>
  </si>
  <si>
    <t>Merck</t>
  </si>
  <si>
    <t>Galp Energia</t>
  </si>
  <si>
    <t>Paranapanema</t>
  </si>
  <si>
    <t>Ourofino Agrociência</t>
  </si>
  <si>
    <t>Metalfrio</t>
  </si>
  <si>
    <t>WLM</t>
  </si>
  <si>
    <t>Furukawa</t>
  </si>
  <si>
    <t>Qualicorp</t>
  </si>
  <si>
    <t>CBC</t>
  </si>
  <si>
    <t>AMG Brasil</t>
  </si>
  <si>
    <t>SPIC Brasil</t>
  </si>
  <si>
    <t>Grupo Cimed</t>
  </si>
  <si>
    <t>Usina Santa Isabel</t>
  </si>
  <si>
    <t>Química Anastacio</t>
  </si>
  <si>
    <t>Santos Brasil</t>
  </si>
  <si>
    <t>Fuga</t>
  </si>
  <si>
    <t>Caesb</t>
  </si>
  <si>
    <t>GJA Indústrias</t>
  </si>
  <si>
    <t>Prosegur Brasil</t>
  </si>
  <si>
    <t>Tenarisconfab</t>
  </si>
  <si>
    <t>JHSF</t>
  </si>
  <si>
    <t>Dafiti</t>
  </si>
  <si>
    <t>Âmbar</t>
  </si>
  <si>
    <t>MRN</t>
  </si>
  <si>
    <t>AVB - Aço Verde do Brasil</t>
  </si>
  <si>
    <t>Esfera</t>
  </si>
  <si>
    <t>Valid</t>
  </si>
  <si>
    <t>Distribuidora SantaLucia</t>
  </si>
  <si>
    <t>Grupo Bazan</t>
  </si>
  <si>
    <t>Panasonic</t>
  </si>
  <si>
    <t>Sterlite Power</t>
  </si>
  <si>
    <t>Veracel</t>
  </si>
  <si>
    <t>Beneficência Portuguesa</t>
  </si>
  <si>
    <t>Sulgás</t>
  </si>
  <si>
    <t>GEES Agricultura</t>
  </si>
  <si>
    <t>Vivara</t>
  </si>
  <si>
    <t>Grupo CBO</t>
  </si>
  <si>
    <t>Alibem</t>
  </si>
  <si>
    <t>Lojas Colombo</t>
  </si>
  <si>
    <t>MadeiraMadeira</t>
  </si>
  <si>
    <t>Kepler Weber</t>
  </si>
  <si>
    <t>Grupo Balbo</t>
  </si>
  <si>
    <t>Sotran</t>
  </si>
  <si>
    <t>Minasligas</t>
  </si>
  <si>
    <t>Romagnole</t>
  </si>
  <si>
    <t>Sequoia Transportes</t>
  </si>
  <si>
    <t>Multiplan Empreendimentos</t>
  </si>
  <si>
    <t>Flora</t>
  </si>
  <si>
    <t>Grupo Salta</t>
  </si>
  <si>
    <t>Kingspan - Isoeste</t>
  </si>
  <si>
    <t>Mili</t>
  </si>
  <si>
    <t>Arco Educação</t>
  </si>
  <si>
    <t>Unicafé</t>
  </si>
  <si>
    <t>Hidrovias do Brasil</t>
  </si>
  <si>
    <t>Boa Safra</t>
  </si>
  <si>
    <t>Grupo Plaenge</t>
  </si>
  <si>
    <t>FGV</t>
  </si>
  <si>
    <t>Ipiranga Agroindustrial</t>
  </si>
  <si>
    <t>Hospital Conceição</t>
  </si>
  <si>
    <t>Marilan</t>
  </si>
  <si>
    <t>SG Comércio Exterior</t>
  </si>
  <si>
    <t>OCS Investimentos</t>
  </si>
  <si>
    <t>SAAB</t>
  </si>
  <si>
    <t>3R Petroleum</t>
  </si>
  <si>
    <t>Maqnelson Agrícola</t>
  </si>
  <si>
    <t>Dataprev</t>
  </si>
  <si>
    <t>Cocal</t>
  </si>
  <si>
    <t>AB Concessões</t>
  </si>
  <si>
    <t>HCPA</t>
  </si>
  <si>
    <t>Pastifício Selmi</t>
  </si>
  <si>
    <t>Copergás</t>
  </si>
  <si>
    <t>Cotriel</t>
  </si>
  <si>
    <t>Masson Holdings</t>
  </si>
  <si>
    <t>Irani</t>
  </si>
  <si>
    <t>Binatural Bahia</t>
  </si>
  <si>
    <t>Coonagro</t>
  </si>
  <si>
    <t>Ser Educacional</t>
  </si>
  <si>
    <t>M. A. Máquinas</t>
  </si>
  <si>
    <t>Tivit</t>
  </si>
  <si>
    <t>Lorenzetti</t>
  </si>
  <si>
    <t>Constellation</t>
  </si>
  <si>
    <t>Prati-Donaduzzi</t>
  </si>
  <si>
    <t>Correcta</t>
  </si>
  <si>
    <t>Trombini</t>
  </si>
  <si>
    <t>CTA</t>
  </si>
  <si>
    <t>Fumo</t>
  </si>
  <si>
    <t>Braspress</t>
  </si>
  <si>
    <t>BTP</t>
  </si>
  <si>
    <t>Aethra</t>
  </si>
  <si>
    <t>BBM</t>
  </si>
  <si>
    <t>CI&amp;T</t>
  </si>
  <si>
    <t>Bristol-Myers Squibb</t>
  </si>
  <si>
    <t>Suécia Veículos</t>
  </si>
  <si>
    <t>Guararapes Painéis</t>
  </si>
  <si>
    <t>Bartofil Distribuidora</t>
  </si>
  <si>
    <t>Romi</t>
  </si>
  <si>
    <t>Supermercado Festval</t>
  </si>
  <si>
    <t>Minasul</t>
  </si>
  <si>
    <t>Usina Batatais</t>
  </si>
  <si>
    <t>OMNI Táxi Aéreo</t>
  </si>
  <si>
    <t>Moinhos Cruzeiro do Sul</t>
  </si>
  <si>
    <t>InBetta</t>
  </si>
  <si>
    <t>Fosnor</t>
  </si>
  <si>
    <t>Agra</t>
  </si>
  <si>
    <t>Grupo Maringá</t>
  </si>
  <si>
    <t>Adami</t>
  </si>
  <si>
    <t>Oxicur Participações</t>
  </si>
  <si>
    <t>Grupo Carbel</t>
  </si>
  <si>
    <t>Elecnor</t>
  </si>
  <si>
    <t>Liasa</t>
  </si>
  <si>
    <t>Cocatrel</t>
  </si>
  <si>
    <t>Ciplan</t>
  </si>
  <si>
    <t>CantuStore</t>
  </si>
  <si>
    <t>Pellegrino</t>
  </si>
  <si>
    <t>AeC Contact Center</t>
  </si>
  <si>
    <t>Construcap</t>
  </si>
  <si>
    <t>Elera Renováveis</t>
  </si>
  <si>
    <t>Krona</t>
  </si>
  <si>
    <t>Camnpal</t>
  </si>
  <si>
    <t>Lupo</t>
  </si>
  <si>
    <t>Transporte Rodoviário 1500</t>
  </si>
  <si>
    <t>Tegra</t>
  </si>
  <si>
    <t>A. C. Camargo Cancer Center</t>
  </si>
  <si>
    <t>Plano&amp;Plano</t>
  </si>
  <si>
    <t>Bracell Bahia</t>
  </si>
  <si>
    <t>Providência</t>
  </si>
  <si>
    <t>Grupo Madero</t>
  </si>
  <si>
    <t>GDM Seeds</t>
  </si>
  <si>
    <t>Almaviva do Brasil</t>
  </si>
  <si>
    <t>Total Express</t>
  </si>
  <si>
    <t>Auriverde</t>
  </si>
  <si>
    <t>Bemobi</t>
  </si>
  <si>
    <t>Bombril</t>
  </si>
  <si>
    <t>Santa Casa de Porto Alegre</t>
  </si>
  <si>
    <t>Grupo Olho D'Água</t>
  </si>
  <si>
    <t>Bivi</t>
  </si>
  <si>
    <t>Grupo Real</t>
  </si>
  <si>
    <t>Cirion</t>
  </si>
  <si>
    <t>Oswaldo Cruz Química</t>
  </si>
  <si>
    <t>Nadir Figueiredo</t>
  </si>
  <si>
    <t>Expocaccer</t>
  </si>
  <si>
    <t>Arcom</t>
  </si>
  <si>
    <t>BR Malls Participações</t>
  </si>
  <si>
    <t>Infraero</t>
  </si>
  <si>
    <t>Soufer Industrial</t>
  </si>
  <si>
    <t>EB Fibra</t>
  </si>
  <si>
    <t>Casan</t>
  </si>
  <si>
    <t>Grupo MBP</t>
  </si>
  <si>
    <t>Blau</t>
  </si>
  <si>
    <t>Digital</t>
  </si>
  <si>
    <t>Solfarma</t>
  </si>
  <si>
    <t>Grupo Sabin</t>
  </si>
  <si>
    <t>Penha</t>
  </si>
  <si>
    <t>Casa &amp; Vídeo</t>
  </si>
  <si>
    <t>A. Yoshii Engenharia</t>
  </si>
  <si>
    <t>Santos Port Authority</t>
  </si>
  <si>
    <t>Ouro Verde</t>
  </si>
  <si>
    <t>Tegma</t>
  </si>
  <si>
    <t>Moinho Cearense</t>
  </si>
  <si>
    <t>Adata</t>
  </si>
  <si>
    <t>Mineração Taboca</t>
  </si>
  <si>
    <t>Logicalis</t>
  </si>
  <si>
    <t>Trinity</t>
  </si>
  <si>
    <t>Leite Jussara</t>
  </si>
  <si>
    <t>Caltabiano Mclarty</t>
  </si>
  <si>
    <t>Teleperformance</t>
  </si>
  <si>
    <t>Nórdica Veículos</t>
  </si>
  <si>
    <t>Helibras</t>
  </si>
  <si>
    <t>Usina Santa Adélia</t>
  </si>
  <si>
    <t>Casa da Moeda do Brasil</t>
  </si>
  <si>
    <t>Usina Nardini</t>
  </si>
  <si>
    <t>IBQ - Indústrias Químicas</t>
  </si>
  <si>
    <t>Viracopos Aeroportos Brasil</t>
  </si>
  <si>
    <t>Atmosfera</t>
  </si>
  <si>
    <t>Vitru Educação</t>
  </si>
  <si>
    <t>Pérola Distribuição</t>
  </si>
  <si>
    <t>Pluxee</t>
  </si>
  <si>
    <t>Voiter Cereais</t>
  </si>
  <si>
    <t>LPA</t>
  </si>
  <si>
    <t>Jadlog</t>
  </si>
  <si>
    <t>Ri Happy</t>
  </si>
  <si>
    <t>Kuhn</t>
  </si>
  <si>
    <t>Grupo Embramaco</t>
  </si>
  <si>
    <t>Viação Metrópole Paulista</t>
  </si>
  <si>
    <t>U&amp;M Mineração e Construção</t>
  </si>
  <si>
    <t>China Brasil Tabacos</t>
  </si>
  <si>
    <t>Teuto</t>
  </si>
  <si>
    <t>Agroterenas</t>
  </si>
  <si>
    <t>Ascenty</t>
  </si>
  <si>
    <t>Cacique</t>
  </si>
  <si>
    <t>Compagas</t>
  </si>
  <si>
    <t>Tok &amp; Stok</t>
  </si>
  <si>
    <t>Morro do Ipê</t>
  </si>
  <si>
    <t>Transpanorama Transportes</t>
  </si>
  <si>
    <t>Scherer</t>
  </si>
  <si>
    <t>Associação das Pioneiras Sociais</t>
  </si>
  <si>
    <t>Lunelli Participações</t>
  </si>
  <si>
    <t>LM</t>
  </si>
  <si>
    <t>Hospital Alemão Oswaldo Cruz</t>
  </si>
  <si>
    <t>Segurpro Vigilância</t>
  </si>
  <si>
    <t>Transportes Transvidal</t>
  </si>
  <si>
    <t>Copobras</t>
  </si>
  <si>
    <t>Novo Nordisk Brasil</t>
  </si>
  <si>
    <t>Protege</t>
  </si>
  <si>
    <t>Usina Santa Fé</t>
  </si>
  <si>
    <t>Cedro Têxtil</t>
  </si>
  <si>
    <t>RIP</t>
  </si>
  <si>
    <t>Simpress</t>
  </si>
  <si>
    <t>Valgroup</t>
  </si>
  <si>
    <t>Cimento Itambé</t>
  </si>
  <si>
    <t>CVC Corp</t>
  </si>
  <si>
    <t>Melhoramentos Norte do Paraná</t>
  </si>
  <si>
    <t>Eixo SP</t>
  </si>
  <si>
    <t>Grupo Gondaski</t>
  </si>
  <si>
    <t>SBT</t>
  </si>
  <si>
    <t>MGS</t>
  </si>
  <si>
    <t>Imec</t>
  </si>
  <si>
    <t>OceanPact</t>
  </si>
  <si>
    <t>Coplana</t>
  </si>
  <si>
    <t>Gas Brasiliano</t>
  </si>
  <si>
    <t>Cocapec</t>
  </si>
  <si>
    <t>Mor</t>
  </si>
  <si>
    <t>Dori Alimentos</t>
  </si>
  <si>
    <t>Primato</t>
  </si>
  <si>
    <t>Kroma Energia</t>
  </si>
  <si>
    <t>Eternit</t>
  </si>
  <si>
    <t>BBTS</t>
  </si>
  <si>
    <t>ONGC Campos</t>
  </si>
  <si>
    <t>Coprodia</t>
  </si>
  <si>
    <t>Binatural</t>
  </si>
  <si>
    <t>Morlan</t>
  </si>
  <si>
    <t>Cervejaria Cidade Imperial</t>
  </si>
  <si>
    <t>Café São Braz</t>
  </si>
  <si>
    <t>Argo Energia</t>
  </si>
  <si>
    <t>Grupo Diniz</t>
  </si>
  <si>
    <t>Lwart</t>
  </si>
  <si>
    <t>Gás Natural São Paulo Sul</t>
  </si>
  <si>
    <t>Eletrozema</t>
  </si>
  <si>
    <t>Clealco</t>
  </si>
  <si>
    <t>FTD</t>
  </si>
  <si>
    <t>Cassol</t>
  </si>
  <si>
    <t>Estrela</t>
  </si>
  <si>
    <t>Conasa</t>
  </si>
  <si>
    <t>TCP</t>
  </si>
  <si>
    <t>Agropalma</t>
  </si>
  <si>
    <t>Apsen Farmacêutica</t>
  </si>
  <si>
    <t>HCE Brasil</t>
  </si>
  <si>
    <t>2W Ecobank</t>
  </si>
  <si>
    <t>Origem Energia</t>
  </si>
  <si>
    <t>Locaweb</t>
  </si>
  <si>
    <t>Construtora Barbosa Mello</t>
  </si>
  <si>
    <t>Gafisa</t>
  </si>
  <si>
    <t>Painco</t>
  </si>
  <si>
    <t>Rota das Bandeiras</t>
  </si>
  <si>
    <t>Moinhos Anaconda</t>
  </si>
  <si>
    <t>Usina Caeté</t>
  </si>
  <si>
    <t>Bauminas</t>
  </si>
  <si>
    <t>Triunfo</t>
  </si>
  <si>
    <t>EZTEC</t>
  </si>
  <si>
    <t>Distribuidora Fartura</t>
  </si>
  <si>
    <t>Sanasa</t>
  </si>
  <si>
    <t>Orquídea Alimentos</t>
  </si>
  <si>
    <t>Telemont</t>
  </si>
  <si>
    <t>PMZ Distribuidora</t>
  </si>
  <si>
    <t>Estapar</t>
  </si>
  <si>
    <t>Aliansce Sonae</t>
  </si>
  <si>
    <t>Diálogo Engenharia</t>
  </si>
  <si>
    <t>South Service</t>
  </si>
  <si>
    <t>Car Central</t>
  </si>
  <si>
    <t>Coagru</t>
  </si>
  <si>
    <t>Grupo BBF</t>
  </si>
  <si>
    <t>Mills Locação de Equipamentos</t>
  </si>
  <si>
    <t>Brasdiesel</t>
  </si>
  <si>
    <t>Embpar</t>
  </si>
  <si>
    <t>Alliar</t>
  </si>
  <si>
    <t>Basequímica</t>
  </si>
  <si>
    <t>Viena</t>
  </si>
  <si>
    <t>CCS</t>
  </si>
  <si>
    <t>Ferro + Mineração</t>
  </si>
  <si>
    <t>Progen</t>
  </si>
  <si>
    <t>Asperbras Brasil</t>
  </si>
  <si>
    <t>Arroz Cristal</t>
  </si>
  <si>
    <t>Coopercarga</t>
  </si>
  <si>
    <t>Hospital de Base</t>
  </si>
  <si>
    <t>WDC Networks</t>
  </si>
  <si>
    <t>Grupo Ferroeste</t>
  </si>
  <si>
    <t>Rede Sol Fuel</t>
  </si>
  <si>
    <t>Novo Mundo</t>
  </si>
  <si>
    <t>Veste</t>
  </si>
  <si>
    <t>Gurgelmix</t>
  </si>
  <si>
    <t>Baumgart</t>
  </si>
  <si>
    <t>Brasif</t>
  </si>
  <si>
    <t>Mater Dei</t>
  </si>
  <si>
    <t>Cesan</t>
  </si>
  <si>
    <t>Prumo</t>
  </si>
  <si>
    <t>Esmaltec</t>
  </si>
  <si>
    <t>AB Comércio de Insumos</t>
  </si>
  <si>
    <t>Tramontina Multi</t>
  </si>
  <si>
    <t>Ourofino Saúde Animal</t>
  </si>
  <si>
    <t>Tel</t>
  </si>
  <si>
    <t>Hutchinson</t>
  </si>
  <si>
    <t>Melnick</t>
  </si>
  <si>
    <t>NAV Brasil</t>
  </si>
  <si>
    <t>Fagundes Mineração</t>
  </si>
  <si>
    <t>Lubrizol</t>
  </si>
  <si>
    <t>Portonave</t>
  </si>
  <si>
    <t>Expresso Nepomuceno</t>
  </si>
  <si>
    <t>HCor</t>
  </si>
  <si>
    <t>Cagepa</t>
  </si>
  <si>
    <t>Grupo Sponchiado Veículos</t>
  </si>
  <si>
    <t>Agrícola Famosa</t>
  </si>
  <si>
    <t>Dox Brasil</t>
  </si>
  <si>
    <t>Mangels</t>
  </si>
  <si>
    <t>B. Braun</t>
  </si>
  <si>
    <t>Iguatemi</t>
  </si>
  <si>
    <t>CBF</t>
  </si>
  <si>
    <t>Ferroport</t>
  </si>
  <si>
    <t>CGNBE</t>
  </si>
  <si>
    <t>Polo Films</t>
  </si>
  <si>
    <t>Racional</t>
  </si>
  <si>
    <t>Ceva Logistics</t>
  </si>
  <si>
    <t>Engetec</t>
  </si>
  <si>
    <t>Rivelli Alimentos</t>
  </si>
  <si>
    <t>Brasilgráfica</t>
  </si>
  <si>
    <t>Delga</t>
  </si>
  <si>
    <t>Geopar Geosol</t>
  </si>
  <si>
    <t>Grupo Granado</t>
  </si>
  <si>
    <t>Usina Lins</t>
  </si>
  <si>
    <t>Brisanet</t>
  </si>
  <si>
    <t>Sipcam Nichino</t>
  </si>
  <si>
    <t>White Solder Group</t>
  </si>
  <si>
    <t>Ibema</t>
  </si>
  <si>
    <t>Hmobi Participações</t>
  </si>
  <si>
    <t>PPE</t>
  </si>
  <si>
    <t>Ticket Log</t>
  </si>
  <si>
    <t>PUC PR</t>
  </si>
  <si>
    <t>CET</t>
  </si>
  <si>
    <t>Stima Energia</t>
  </si>
  <si>
    <t>Sementes Jotabasso</t>
  </si>
  <si>
    <t>Nuclea</t>
  </si>
  <si>
    <t>Rassini - NHK Automotive</t>
  </si>
  <si>
    <t>Hydro Extrusion Brasil</t>
  </si>
  <si>
    <t>Neodent</t>
  </si>
  <si>
    <t>Iaco Agrícola</t>
  </si>
  <si>
    <t>Electra</t>
  </si>
  <si>
    <t>Brasilata</t>
  </si>
  <si>
    <t>Grupo Marche</t>
  </si>
  <si>
    <t>Sika</t>
  </si>
  <si>
    <t>Armac</t>
  </si>
  <si>
    <t>Wiz Co</t>
  </si>
  <si>
    <t>Usina São Manoel</t>
  </si>
  <si>
    <t>VMSA</t>
  </si>
  <si>
    <t>Capitale Energia</t>
  </si>
  <si>
    <t>Carmelo Fior</t>
  </si>
  <si>
    <t>Vilma Alimentos</t>
  </si>
  <si>
    <t>Soares Penido</t>
  </si>
  <si>
    <t>Santa Joana</t>
  </si>
  <si>
    <t>Madem</t>
  </si>
  <si>
    <t>Katrium</t>
  </si>
  <si>
    <t>Grupo Fragnani</t>
  </si>
  <si>
    <t>Da Mata Açúcar e Álcool</t>
  </si>
  <si>
    <t>Saint-Gobain Canalização</t>
  </si>
  <si>
    <t>Ecourbis</t>
  </si>
  <si>
    <t>Cart</t>
  </si>
  <si>
    <t>Hitss do Brasil</t>
  </si>
  <si>
    <t>Afonso França Engenharia</t>
  </si>
  <si>
    <t>Multilog</t>
  </si>
  <si>
    <t>Privalia</t>
  </si>
  <si>
    <t>Capgemini</t>
  </si>
  <si>
    <t>Supra</t>
  </si>
  <si>
    <t>Zup</t>
  </si>
  <si>
    <t>Bamaq</t>
  </si>
  <si>
    <t>SND</t>
  </si>
  <si>
    <t>Brasilmad</t>
  </si>
  <si>
    <t>Espaçolaser</t>
  </si>
  <si>
    <t>Helbor</t>
  </si>
  <si>
    <t>Cinpal</t>
  </si>
  <si>
    <t>Concremat</t>
  </si>
  <si>
    <t>ONE Desenvolvimento Imobiliário</t>
  </si>
  <si>
    <t>Milplan</t>
  </si>
  <si>
    <t>Todeschini</t>
  </si>
  <si>
    <t>Infracommerce</t>
  </si>
  <si>
    <t>Supera Farma</t>
  </si>
  <si>
    <t>Renovias</t>
  </si>
  <si>
    <t>Capebe</t>
  </si>
  <si>
    <t>Eurobike</t>
  </si>
  <si>
    <t>Padovas (Florença Veículos)</t>
  </si>
  <si>
    <t>Tempo USS</t>
  </si>
  <si>
    <t>Álya</t>
  </si>
  <si>
    <t>You, Inc.</t>
  </si>
  <si>
    <t>Brametal</t>
  </si>
  <si>
    <t>Santa Helena</t>
  </si>
  <si>
    <t>Via Sul Veículos</t>
  </si>
  <si>
    <t>Boa Vista</t>
  </si>
  <si>
    <t>Brz Empreendimentos</t>
  </si>
  <si>
    <t>CCA</t>
  </si>
  <si>
    <t>Asa Branca</t>
  </si>
  <si>
    <t>Sker</t>
  </si>
  <si>
    <t>Pacaembu Construtora</t>
  </si>
  <si>
    <t>Serra Grande</t>
  </si>
  <si>
    <t>Grupo MIP</t>
  </si>
  <si>
    <t>Ticket</t>
  </si>
  <si>
    <t>Faber Castell</t>
  </si>
  <si>
    <t>PUC Minas</t>
  </si>
  <si>
    <t>Bel Micro Tecnologia</t>
  </si>
  <si>
    <t>Stratura Asfaltos</t>
  </si>
  <si>
    <t>Vittia</t>
  </si>
  <si>
    <t>Editora Globo</t>
  </si>
  <si>
    <t>Sapura Navegação</t>
  </si>
  <si>
    <t>Plascar</t>
  </si>
  <si>
    <t>Baldan</t>
  </si>
  <si>
    <t>RedePetro</t>
  </si>
  <si>
    <t>Pettenati</t>
  </si>
  <si>
    <t>Minasmáquinas</t>
  </si>
  <si>
    <t>Gi Group</t>
  </si>
  <si>
    <t>CRA</t>
  </si>
  <si>
    <t>Entrevias</t>
  </si>
  <si>
    <t>Sansuy</t>
  </si>
  <si>
    <t>Emccamp Residencial</t>
  </si>
  <si>
    <t>Leveros</t>
  </si>
  <si>
    <t>Patrimar</t>
  </si>
  <si>
    <t>HT Micron Semicondutores</t>
  </si>
  <si>
    <t>Usina Cerradão</t>
  </si>
  <si>
    <t>Rivesa</t>
  </si>
  <si>
    <t>AESC</t>
  </si>
  <si>
    <t>Cia. Müller de Bebidas</t>
  </si>
  <si>
    <t>Benafer</t>
  </si>
  <si>
    <t>Tecumseh do Brasil</t>
  </si>
  <si>
    <t>Baldo</t>
  </si>
  <si>
    <t>Líder Aviação</t>
  </si>
  <si>
    <t>Priner</t>
  </si>
  <si>
    <t>Lojas MM</t>
  </si>
  <si>
    <t>Coopama</t>
  </si>
  <si>
    <t>INB</t>
  </si>
  <si>
    <t>CCAB Agro</t>
  </si>
  <si>
    <t>Tronox Pigmentos</t>
  </si>
  <si>
    <t>PUC Campinas</t>
  </si>
  <si>
    <t>Eletromídia</t>
  </si>
  <si>
    <t>Moura Dubeux</t>
  </si>
  <si>
    <t>Metisa</t>
  </si>
  <si>
    <t>Indemil</t>
  </si>
  <si>
    <t>Belcar</t>
  </si>
  <si>
    <t>Oceânica</t>
  </si>
  <si>
    <t>Greenbrier Maxion</t>
  </si>
  <si>
    <t>Dedini</t>
  </si>
  <si>
    <t>Caern</t>
  </si>
  <si>
    <t>Saudali</t>
  </si>
  <si>
    <t>Conservas Oderich</t>
  </si>
  <si>
    <t>Servopa</t>
  </si>
  <si>
    <t>Paschoalotto</t>
  </si>
  <si>
    <t>Seedcorp Ho</t>
  </si>
  <si>
    <t>Grupo Unicoba</t>
  </si>
  <si>
    <t>Le Biscuit</t>
  </si>
  <si>
    <t>Grupo Ferrolene</t>
  </si>
  <si>
    <t>Bandeirantes Deicmar</t>
  </si>
  <si>
    <t>Zeta</t>
  </si>
  <si>
    <t>BSP Empreendimentos Imobiliários</t>
  </si>
  <si>
    <t>Ibitu</t>
  </si>
  <si>
    <t>Ferrari</t>
  </si>
  <si>
    <t>GS Inima Brasil</t>
  </si>
  <si>
    <t>Tempo Energia</t>
  </si>
  <si>
    <t>Tanac</t>
  </si>
  <si>
    <t>Mazer Distribuidora</t>
  </si>
  <si>
    <t>Alimentos Estrela</t>
  </si>
  <si>
    <t>Mundial</t>
  </si>
  <si>
    <t>Trisul</t>
  </si>
  <si>
    <t>Mitre Realty</t>
  </si>
  <si>
    <t>Zenvia</t>
  </si>
  <si>
    <t>Moinho do Nordeste</t>
  </si>
  <si>
    <t>BRQ Digital Solutions</t>
  </si>
  <si>
    <t>Montecitrus</t>
  </si>
  <si>
    <t>EQS Engenharia</t>
  </si>
  <si>
    <t>MSGÁS</t>
  </si>
  <si>
    <t>Piramidal</t>
  </si>
  <si>
    <t>DeMillus</t>
  </si>
  <si>
    <t>Inspira Mudança</t>
  </si>
  <si>
    <t>Lafepe</t>
  </si>
  <si>
    <t>Sascar</t>
  </si>
  <si>
    <t>Algar Tech</t>
  </si>
  <si>
    <t>Agro Talent</t>
  </si>
  <si>
    <t>Gelf Siderurgia</t>
  </si>
  <si>
    <t>Hinove Agrociência</t>
  </si>
  <si>
    <t>Usina Barralcool</t>
  </si>
  <si>
    <t>Kicaldo Alimentos</t>
  </si>
  <si>
    <t>Europ Assistance Brasil</t>
  </si>
  <si>
    <t>Wine</t>
  </si>
  <si>
    <t>Embraport</t>
  </si>
  <si>
    <t>CDRJ</t>
  </si>
  <si>
    <t>Deso</t>
  </si>
  <si>
    <t>MPD Engenharia</t>
  </si>
  <si>
    <t>Haganá</t>
  </si>
  <si>
    <t>PUC Rio</t>
  </si>
  <si>
    <t>Plasson</t>
  </si>
  <si>
    <t>Joanin</t>
  </si>
  <si>
    <t>Toledo do Brasil</t>
  </si>
  <si>
    <t>Ascensus Gestão</t>
  </si>
  <si>
    <t>Sofape</t>
  </si>
  <si>
    <t>KSB</t>
  </si>
  <si>
    <t>Senior Sistemas</t>
  </si>
  <si>
    <t>FG Empreendimentos</t>
  </si>
  <si>
    <t>Globalpar Energia</t>
  </si>
  <si>
    <t>Brasil PCH</t>
  </si>
  <si>
    <t>Marquise</t>
  </si>
  <si>
    <t>Toyo Setal</t>
  </si>
  <si>
    <t>Geolab</t>
  </si>
  <si>
    <t>Empresa</t>
  </si>
  <si>
    <t>SETOR ECONÔMICO</t>
  </si>
  <si>
    <t>SUBSETOR</t>
  </si>
  <si>
    <t>SEGMENTO</t>
  </si>
  <si>
    <t>LISTAGEM</t>
  </si>
  <si>
    <t>CÓDIGO</t>
  </si>
  <si>
    <t>FER HERINGER</t>
  </si>
  <si>
    <t>Materiais Básicos</t>
  </si>
  <si>
    <t>Químicos</t>
  </si>
  <si>
    <t>Fertilizantes e Defensivos</t>
  </si>
  <si>
    <t>FHER</t>
  </si>
  <si>
    <t>NM</t>
  </si>
  <si>
    <t>NUTRIPLANT</t>
  </si>
  <si>
    <t>NUTR</t>
  </si>
  <si>
    <t>VITTIA</t>
  </si>
  <si>
    <t>VITT</t>
  </si>
  <si>
    <t>METISA</t>
  </si>
  <si>
    <t>Bens Industriais</t>
  </si>
  <si>
    <t>Máquinas e Equipamentos</t>
  </si>
  <si>
    <t>Máq. e Equip. Construção e Agrícolas</t>
  </si>
  <si>
    <t>MTSA</t>
  </si>
  <si>
    <t>GRUAIRPORT</t>
  </si>
  <si>
    <t>Transporte</t>
  </si>
  <si>
    <t>Serviços de Apoio e Armazenagem</t>
  </si>
  <si>
    <t>AGRU</t>
  </si>
  <si>
    <t>HMOBI S.A</t>
  </si>
  <si>
    <t>HMOB</t>
  </si>
  <si>
    <t>INVEPAR</t>
  </si>
  <si>
    <t>IVPR</t>
  </si>
  <si>
    <t>MB</t>
  </si>
  <si>
    <t>PORTO VM</t>
  </si>
  <si>
    <t>PSVM</t>
  </si>
  <si>
    <t>SALUS INFRA</t>
  </si>
  <si>
    <t>SAIP</t>
  </si>
  <si>
    <t>SANTOS BRP</t>
  </si>
  <si>
    <t>STBP</t>
  </si>
  <si>
    <t>WILSON SONS</t>
  </si>
  <si>
    <t>PORT</t>
  </si>
  <si>
    <t>3TENTOS</t>
  </si>
  <si>
    <t>Consumo não Cíclico</t>
  </si>
  <si>
    <t>TTEN</t>
  </si>
  <si>
    <t>AGRIBRASIL</t>
  </si>
  <si>
    <t>GRAO</t>
  </si>
  <si>
    <t>AGROGALAXY</t>
  </si>
  <si>
    <t>AGXY</t>
  </si>
  <si>
    <t>ALIPERTI</t>
  </si>
  <si>
    <t>APTI</t>
  </si>
  <si>
    <t>BOA SAFRA</t>
  </si>
  <si>
    <t>SOJA</t>
  </si>
  <si>
    <t>BRASILAGRO</t>
  </si>
  <si>
    <t>AGRO</t>
  </si>
  <si>
    <t>CTC S.A.</t>
  </si>
  <si>
    <t>CTCA</t>
  </si>
  <si>
    <t>GRANJA FARIA</t>
  </si>
  <si>
    <t>EGGY</t>
  </si>
  <si>
    <t>POMIFRUTAS</t>
  </si>
  <si>
    <t>FRTA</t>
  </si>
  <si>
    <t>SLCE</t>
  </si>
  <si>
    <t>TERRASANTAPA</t>
  </si>
  <si>
    <t>LAND</t>
  </si>
  <si>
    <t>JALLESMACHAD</t>
  </si>
  <si>
    <t>Alimentos Processados</t>
  </si>
  <si>
    <t>Açucar e Alcool</t>
  </si>
  <si>
    <t>JALL</t>
  </si>
  <si>
    <t>RAIZEN ENERG</t>
  </si>
  <si>
    <t>RESA</t>
  </si>
  <si>
    <t>SAO MARTINHO</t>
  </si>
  <si>
    <t>SMTO</t>
  </si>
  <si>
    <t>BRF SA</t>
  </si>
  <si>
    <t>BRFS</t>
  </si>
  <si>
    <t>EXCELSIOR</t>
  </si>
  <si>
    <t>BAUH</t>
  </si>
  <si>
    <t>JBSS</t>
  </si>
  <si>
    <t>MARFRIG</t>
  </si>
  <si>
    <t>MRFG</t>
  </si>
  <si>
    <t>MINERVA</t>
  </si>
  <si>
    <t>BEEF</t>
  </si>
  <si>
    <t>MINUPAR</t>
  </si>
  <si>
    <t>MNPR</t>
  </si>
  <si>
    <t>CAMIL</t>
  </si>
  <si>
    <t>Alimentos Diversos</t>
  </si>
  <si>
    <t>CAML</t>
  </si>
  <si>
    <t>JOSAPAR</t>
  </si>
  <si>
    <t>JOPA</t>
  </si>
  <si>
    <t>M.DIASBRANCO</t>
  </si>
  <si>
    <t>MDIA</t>
  </si>
  <si>
    <t>ODERICH</t>
  </si>
  <si>
    <t>ODER</t>
  </si>
  <si>
    <t>AMBEV S/A</t>
  </si>
  <si>
    <t>ABEV</t>
  </si>
  <si>
    <t>ASSAI</t>
  </si>
  <si>
    <t>ASAI</t>
  </si>
  <si>
    <t>CARREFOUR BR</t>
  </si>
  <si>
    <t>CRFB</t>
  </si>
  <si>
    <t>EXITO</t>
  </si>
  <si>
    <t>EXCO</t>
  </si>
  <si>
    <t>DR3</t>
  </si>
  <si>
    <t>GRUPO MATEUS</t>
  </si>
  <si>
    <t>GMAT</t>
  </si>
  <si>
    <t>P.ACUCAR-CBD</t>
  </si>
  <si>
    <t>PCAR</t>
  </si>
  <si>
    <t>IMC S/A</t>
  </si>
  <si>
    <t>Consumo Cíclico</t>
  </si>
  <si>
    <t>MEAL</t>
  </si>
  <si>
    <t>ZAMP S.A.</t>
  </si>
  <si>
    <t>ZAMP</t>
  </si>
  <si>
    <t>AMERICANAS</t>
  </si>
  <si>
    <t>AMER</t>
  </si>
  <si>
    <t>ESPACOLASER</t>
  </si>
  <si>
    <t>ESPA</t>
  </si>
  <si>
    <t>GRUPO SBF</t>
  </si>
  <si>
    <t>SBFG</t>
  </si>
  <si>
    <t>LE BISCUIT</t>
  </si>
  <si>
    <t>LLBI</t>
  </si>
  <si>
    <t>PETZ</t>
  </si>
  <si>
    <t>QUERO-QUERO</t>
  </si>
  <si>
    <t>LJQQ</t>
  </si>
  <si>
    <t>AMBIPAR</t>
  </si>
  <si>
    <t>Utilidade Pública</t>
  </si>
  <si>
    <t>Água e Saneamento</t>
  </si>
  <si>
    <t>AMBP</t>
  </si>
  <si>
    <t>CASAN</t>
  </si>
  <si>
    <t>CASN</t>
  </si>
  <si>
    <t>COPASA</t>
  </si>
  <si>
    <t>CSMG</t>
  </si>
  <si>
    <t>IGUA SA</t>
  </si>
  <si>
    <t>IGSN</t>
  </si>
  <si>
    <t>ORIZON</t>
  </si>
  <si>
    <t>ORVR</t>
  </si>
  <si>
    <t>SABESP</t>
  </si>
  <si>
    <t>SBSP</t>
  </si>
  <si>
    <t>SANEPAR</t>
  </si>
  <si>
    <t>SAPR</t>
  </si>
  <si>
    <t>N2</t>
  </si>
  <si>
    <t>SANESALTO</t>
  </si>
  <si>
    <t>SNST</t>
  </si>
  <si>
    <t>Tabela "Busca por Setor de Atuação" baixada dia 20/02/24</t>
  </si>
  <si>
    <t>https://www.b3.com.br/pt_br/produtos-e-servicos/negociacao/renda-variavel/empresas-listadas.htm</t>
  </si>
  <si>
    <t>CLASSIFICAÇÃO SETORIAL DAS EMPRESAS NEGOCIADAS NA B3</t>
  </si>
  <si>
    <t>Petróleo, Gás e Biocombustíveis</t>
  </si>
  <si>
    <t>Exploração, Refino e Distribuição</t>
  </si>
  <si>
    <t>3R PETROLEUM</t>
  </si>
  <si>
    <t>RRRP</t>
  </si>
  <si>
    <t>COSAN</t>
  </si>
  <si>
    <t>CSAN</t>
  </si>
  <si>
    <t>ENAUTA PART</t>
  </si>
  <si>
    <t>ENAT</t>
  </si>
  <si>
    <t>PET MANGUINH</t>
  </si>
  <si>
    <t>RPMG</t>
  </si>
  <si>
    <t>PETROBRAS</t>
  </si>
  <si>
    <t>PETR</t>
  </si>
  <si>
    <t>PETRORECSA</t>
  </si>
  <si>
    <t>RECV</t>
  </si>
  <si>
    <t>PETRORIO</t>
  </si>
  <si>
    <t>PRIO</t>
  </si>
  <si>
    <t>RAIZEN</t>
  </si>
  <si>
    <t>RAIZ</t>
  </si>
  <si>
    <t>ULTRAPAR</t>
  </si>
  <si>
    <t>UGPA</t>
  </si>
  <si>
    <t>VIBRA</t>
  </si>
  <si>
    <t>VBBR</t>
  </si>
  <si>
    <t>Equipamentos e Serviços</t>
  </si>
  <si>
    <t>LUPATECH</t>
  </si>
  <si>
    <t>LUPA</t>
  </si>
  <si>
    <t>OCEANPACT</t>
  </si>
  <si>
    <t>OPCT</t>
  </si>
  <si>
    <t>OSX BRASIL</t>
  </si>
  <si>
    <t>OSXB</t>
  </si>
  <si>
    <t>Minerais Metálicos</t>
  </si>
  <si>
    <t>AURA 360</t>
  </si>
  <si>
    <t>AURA</t>
  </si>
  <si>
    <t>BRADESPAR</t>
  </si>
  <si>
    <t>BRAP</t>
  </si>
  <si>
    <t>N1</t>
  </si>
  <si>
    <t>CBAV</t>
  </si>
  <si>
    <t>CSNMINERACAO</t>
  </si>
  <si>
    <t>CMIN</t>
  </si>
  <si>
    <t>LITEL</t>
  </si>
  <si>
    <t>LTEL</t>
  </si>
  <si>
    <t>LITELA</t>
  </si>
  <si>
    <t>LTLA</t>
  </si>
  <si>
    <t>VALE</t>
  </si>
  <si>
    <t>Siderurgia e Metalurgia</t>
  </si>
  <si>
    <t>Siderurgia</t>
  </si>
  <si>
    <t>FERBASA</t>
  </si>
  <si>
    <t>FESA</t>
  </si>
  <si>
    <t>GERDAU</t>
  </si>
  <si>
    <t>GGBR</t>
  </si>
  <si>
    <t>GERDAU MET</t>
  </si>
  <si>
    <t>GOAU</t>
  </si>
  <si>
    <t>SID NACIONAL</t>
  </si>
  <si>
    <t>CSNA</t>
  </si>
  <si>
    <t>USIMINAS</t>
  </si>
  <si>
    <t>USIM</t>
  </si>
  <si>
    <t>Artefatos de Ferro e Aço</t>
  </si>
  <si>
    <t>MANGELS INDL</t>
  </si>
  <si>
    <t>MGEL</t>
  </si>
  <si>
    <t>PANATLANTICA</t>
  </si>
  <si>
    <t>PATI</t>
  </si>
  <si>
    <t>TEKNO</t>
  </si>
  <si>
    <t>TKNO</t>
  </si>
  <si>
    <t>Artefatos de Cobre</t>
  </si>
  <si>
    <t>PARANAPANEMA</t>
  </si>
  <si>
    <t>PMAM</t>
  </si>
  <si>
    <t>Petroquímicos</t>
  </si>
  <si>
    <t>BRASKEM</t>
  </si>
  <si>
    <t>BRKM</t>
  </si>
  <si>
    <t>DEXXOS PAR</t>
  </si>
  <si>
    <t>DEXP</t>
  </si>
  <si>
    <t>Químicos Diversos</t>
  </si>
  <si>
    <t>CRISTAL</t>
  </si>
  <si>
    <t>CRPG</t>
  </si>
  <si>
    <t>UNIPAR</t>
  </si>
  <si>
    <t>UNIP</t>
  </si>
  <si>
    <t>Madeira e Papel</t>
  </si>
  <si>
    <t>Madeira</t>
  </si>
  <si>
    <t>DEXCO</t>
  </si>
  <si>
    <t>DXCO</t>
  </si>
  <si>
    <t>EUCATEX</t>
  </si>
  <si>
    <t>EUCA</t>
  </si>
  <si>
    <t>KLABIN S/A</t>
  </si>
  <si>
    <t>KLBN</t>
  </si>
  <si>
    <t>MELHOR SP</t>
  </si>
  <si>
    <t>MSPA</t>
  </si>
  <si>
    <t>SUZANO HOLD</t>
  </si>
  <si>
    <t>NEMO</t>
  </si>
  <si>
    <t>SUZANO S.A.</t>
  </si>
  <si>
    <t>SUZB</t>
  </si>
  <si>
    <t>Embalagens</t>
  </si>
  <si>
    <t>IRANI</t>
  </si>
  <si>
    <t>RANI</t>
  </si>
  <si>
    <t>Materiais Diversos</t>
  </si>
  <si>
    <t>SANSUY</t>
  </si>
  <si>
    <t>SNSY</t>
  </si>
  <si>
    <t>Produtos para Construção</t>
  </si>
  <si>
    <t>ETERNIT</t>
  </si>
  <si>
    <t>ETER</t>
  </si>
  <si>
    <t>HAGA S/A</t>
  </si>
  <si>
    <t>HAGA</t>
  </si>
  <si>
    <t>PORTOBELLO</t>
  </si>
  <si>
    <t>PTBL</t>
  </si>
  <si>
    <t>Construção Pesada</t>
  </si>
  <si>
    <t>AZEVEDO</t>
  </si>
  <si>
    <t>AZEV</t>
  </si>
  <si>
    <t>Engenharia Consultiva</t>
  </si>
  <si>
    <t>SONDOTECNICA</t>
  </si>
  <si>
    <t>SOND</t>
  </si>
  <si>
    <t>Material Aeronáutico e de Defesa</t>
  </si>
  <si>
    <t>EMBRAER</t>
  </si>
  <si>
    <t>EMBR</t>
  </si>
  <si>
    <t>Material Rodoviário</t>
  </si>
  <si>
    <t>FRAS-LE</t>
  </si>
  <si>
    <t>FRAS</t>
  </si>
  <si>
    <t>MARCOPOLO</t>
  </si>
  <si>
    <t>POMO</t>
  </si>
  <si>
    <t>RANDON PART</t>
  </si>
  <si>
    <t>RAPT</t>
  </si>
  <si>
    <t>RECRUSUL</t>
  </si>
  <si>
    <t>RCSL</t>
  </si>
  <si>
    <t>RIOSULENSE</t>
  </si>
  <si>
    <t>RSUL</t>
  </si>
  <si>
    <t>TUPY</t>
  </si>
  <si>
    <t>WETZEL S/A</t>
  </si>
  <si>
    <t>MWET</t>
  </si>
  <si>
    <t>Motores, Compressores e Outros</t>
  </si>
  <si>
    <t>SCHULZ</t>
  </si>
  <si>
    <t>SHUL</t>
  </si>
  <si>
    <t>WEGE</t>
  </si>
  <si>
    <t>Máq. e Equip. Industriais</t>
  </si>
  <si>
    <t>ACO ALTONA</t>
  </si>
  <si>
    <t>EALT</t>
  </si>
  <si>
    <t>AERIS</t>
  </si>
  <si>
    <t>AERI</t>
  </si>
  <si>
    <t>ARMAC</t>
  </si>
  <si>
    <t>ARML</t>
  </si>
  <si>
    <t>BARDELLA</t>
  </si>
  <si>
    <t>BDLL</t>
  </si>
  <si>
    <t>INEPAR</t>
  </si>
  <si>
    <t>INEP</t>
  </si>
  <si>
    <t>KEPLER WEBER</t>
  </si>
  <si>
    <t>KEPL</t>
  </si>
  <si>
    <t>METALFRIO</t>
  </si>
  <si>
    <t>FRIO</t>
  </si>
  <si>
    <t>MILLS</t>
  </si>
  <si>
    <t>MILS</t>
  </si>
  <si>
    <t>NORDON MET</t>
  </si>
  <si>
    <t>NORD</t>
  </si>
  <si>
    <t>PRATICA</t>
  </si>
  <si>
    <t>PTCA</t>
  </si>
  <si>
    <t>M2</t>
  </si>
  <si>
    <t>ROMI</t>
  </si>
  <si>
    <t>Armas e Munições</t>
  </si>
  <si>
    <t>TAURUS ARMAS</t>
  </si>
  <si>
    <t>TASA</t>
  </si>
  <si>
    <t>Linhas Aéreas de Passageiros</t>
  </si>
  <si>
    <t>AZUL</t>
  </si>
  <si>
    <t>GOL</t>
  </si>
  <si>
    <t>GOLL</t>
  </si>
  <si>
    <t>Transporte Ferroviário</t>
  </si>
  <si>
    <t>ALL NORTE</t>
  </si>
  <si>
    <t>FRRN</t>
  </si>
  <si>
    <t>ALL PAULISTA</t>
  </si>
  <si>
    <t>GASC</t>
  </si>
  <si>
    <t>FER C ATLANT</t>
  </si>
  <si>
    <t>VSPT</t>
  </si>
  <si>
    <t>MRS LOGIST</t>
  </si>
  <si>
    <t>MRSA</t>
  </si>
  <si>
    <t>RUMO S.A.</t>
  </si>
  <si>
    <t>RAIL</t>
  </si>
  <si>
    <t>Transporte Hidroviário</t>
  </si>
  <si>
    <t>HIDROVIAS</t>
  </si>
  <si>
    <t>HBSA</t>
  </si>
  <si>
    <t>LOG-IN</t>
  </si>
  <si>
    <t>LOGN</t>
  </si>
  <si>
    <t>TREVISA</t>
  </si>
  <si>
    <t>LUXM</t>
  </si>
  <si>
    <t>Transporte Rodoviário</t>
  </si>
  <si>
    <t>JSL</t>
  </si>
  <si>
    <t>JSLG</t>
  </si>
  <si>
    <t>TEGMA</t>
  </si>
  <si>
    <t>TGMA</t>
  </si>
  <si>
    <t>Exploração de Rodovias</t>
  </si>
  <si>
    <t>AUTOBAN</t>
  </si>
  <si>
    <t>ANHB</t>
  </si>
  <si>
    <t>CCR SA</t>
  </si>
  <si>
    <t>CCRO</t>
  </si>
  <si>
    <t>CONC RAPOSO</t>
  </si>
  <si>
    <t>RPTA</t>
  </si>
  <si>
    <t>CONC RIO TER</t>
  </si>
  <si>
    <t>CRTE</t>
  </si>
  <si>
    <t>ECOPISTAS</t>
  </si>
  <si>
    <t>ASCP</t>
  </si>
  <si>
    <t>ECORODOVIAS</t>
  </si>
  <si>
    <t>ECOR</t>
  </si>
  <si>
    <t>ECOVIAS</t>
  </si>
  <si>
    <t>ECOV</t>
  </si>
  <si>
    <t>ROD COLINAS</t>
  </si>
  <si>
    <t>COLN</t>
  </si>
  <si>
    <t>ROD TIETE</t>
  </si>
  <si>
    <t>RDVT</t>
  </si>
  <si>
    <t>RT BANDEIRAS</t>
  </si>
  <si>
    <t>CRBD</t>
  </si>
  <si>
    <t>TRIUNFO PART</t>
  </si>
  <si>
    <t>TPIS</t>
  </si>
  <si>
    <t>Serviços Diversos</t>
  </si>
  <si>
    <t>ATMASA</t>
  </si>
  <si>
    <t>ATMP</t>
  </si>
  <si>
    <t>BBMLOGISTICA</t>
  </si>
  <si>
    <t>BBML</t>
  </si>
  <si>
    <t>DTCOM-DIRECT</t>
  </si>
  <si>
    <t>DTCY</t>
  </si>
  <si>
    <t>ESTAPAR</t>
  </si>
  <si>
    <t>ALPK</t>
  </si>
  <si>
    <t>GPS</t>
  </si>
  <si>
    <t>GGPS</t>
  </si>
  <si>
    <t>PRINER</t>
  </si>
  <si>
    <t>PRNR</t>
  </si>
  <si>
    <t>SEQUOIA LOG</t>
  </si>
  <si>
    <t>SEQL</t>
  </si>
  <si>
    <t>VALID</t>
  </si>
  <si>
    <t>VLID</t>
  </si>
  <si>
    <t>EMBPAR S/A</t>
  </si>
  <si>
    <t>EPAR</t>
  </si>
  <si>
    <t>MINASMAQUINA</t>
  </si>
  <si>
    <t>MMAQ</t>
  </si>
  <si>
    <t>RODOBENS</t>
  </si>
  <si>
    <t>RBNS</t>
  </si>
  <si>
    <t>WLM IND COM</t>
  </si>
  <si>
    <t>WLMM</t>
  </si>
  <si>
    <t>Produtos de Cuidado Pessoal e de Limpeza</t>
  </si>
  <si>
    <t>Produtos de Cuidado Pessoal</t>
  </si>
  <si>
    <t>GRUPO NATURA</t>
  </si>
  <si>
    <t>NTCO</t>
  </si>
  <si>
    <t>Produtos de Limpeza</t>
  </si>
  <si>
    <t>BOMBRIL</t>
  </si>
  <si>
    <t>BOBR</t>
  </si>
  <si>
    <t>Construção Civil</t>
  </si>
  <si>
    <t>Incorporações</t>
  </si>
  <si>
    <t>ALPHAVILLE</t>
  </si>
  <si>
    <t>AVLL</t>
  </si>
  <si>
    <t>CONST A LIND</t>
  </si>
  <si>
    <t>CALI</t>
  </si>
  <si>
    <t>CURY S/A</t>
  </si>
  <si>
    <t>CURY</t>
  </si>
  <si>
    <t>CYRELA REALT</t>
  </si>
  <si>
    <t>CYRE</t>
  </si>
  <si>
    <t>DIRECIONAL</t>
  </si>
  <si>
    <t>DIRR</t>
  </si>
  <si>
    <t>EVEN</t>
  </si>
  <si>
    <t>EZTC</t>
  </si>
  <si>
    <t>FICA</t>
  </si>
  <si>
    <t>FIEI</t>
  </si>
  <si>
    <t>GAFISA</t>
  </si>
  <si>
    <t>GFSA</t>
  </si>
  <si>
    <t>HELBOR</t>
  </si>
  <si>
    <t>HBOR</t>
  </si>
  <si>
    <t>INC AS</t>
  </si>
  <si>
    <t>INNC</t>
  </si>
  <si>
    <t>JHSF PART</t>
  </si>
  <si>
    <t>JOAO FORTES</t>
  </si>
  <si>
    <t>JFEN</t>
  </si>
  <si>
    <t>KALLAS</t>
  </si>
  <si>
    <t>KLAS</t>
  </si>
  <si>
    <t>LAVVI</t>
  </si>
  <si>
    <t>LAVV</t>
  </si>
  <si>
    <t>MELNICK</t>
  </si>
  <si>
    <t>MELK</t>
  </si>
  <si>
    <t>MITRE REALTY</t>
  </si>
  <si>
    <t>MTRE</t>
  </si>
  <si>
    <t>MOURA DUBEUX</t>
  </si>
  <si>
    <t>MDNE</t>
  </si>
  <si>
    <t>MRV</t>
  </si>
  <si>
    <t>MRVE</t>
  </si>
  <si>
    <t>PDG REALT</t>
  </si>
  <si>
    <t>PDGR</t>
  </si>
  <si>
    <t>PLANOEPLANO</t>
  </si>
  <si>
    <t>PLPL</t>
  </si>
  <si>
    <t>RNI</t>
  </si>
  <si>
    <t>RDNI</t>
  </si>
  <si>
    <t>ROSSI RESID</t>
  </si>
  <si>
    <t>RSID</t>
  </si>
  <si>
    <t>TECNISA</t>
  </si>
  <si>
    <t>TCSA</t>
  </si>
  <si>
    <t>TEGRA INCORP</t>
  </si>
  <si>
    <t>TEGA</t>
  </si>
  <si>
    <t>TENDA</t>
  </si>
  <si>
    <t>TEND</t>
  </si>
  <si>
    <t>TRISUL</t>
  </si>
  <si>
    <t>TRIS</t>
  </si>
  <si>
    <t>VIVER</t>
  </si>
  <si>
    <t>VIVR</t>
  </si>
  <si>
    <t>Tecidos, Vestuário e Calçados</t>
  </si>
  <si>
    <t>Fios e Tecidos</t>
  </si>
  <si>
    <t>CEDRO</t>
  </si>
  <si>
    <t>CEDO</t>
  </si>
  <si>
    <t>COTEMINAS</t>
  </si>
  <si>
    <t>CTNM</t>
  </si>
  <si>
    <t>DOHLER</t>
  </si>
  <si>
    <t>DOHL</t>
  </si>
  <si>
    <t>IND CATAGUAS</t>
  </si>
  <si>
    <t>CATA</t>
  </si>
  <si>
    <t>KARSTEN</t>
  </si>
  <si>
    <t>CTKA</t>
  </si>
  <si>
    <t>PETTENATI</t>
  </si>
  <si>
    <t>PTNT</t>
  </si>
  <si>
    <t>SANTANENSE</t>
  </si>
  <si>
    <t>CTSA</t>
  </si>
  <si>
    <t>SPRINGS</t>
  </si>
  <si>
    <t>SGPS</t>
  </si>
  <si>
    <t>TEKA</t>
  </si>
  <si>
    <t>TEX RENAUX</t>
  </si>
  <si>
    <t>TXRX</t>
  </si>
  <si>
    <t>Vestuário</t>
  </si>
  <si>
    <t>TRACK FIELD</t>
  </si>
  <si>
    <t>TFCO</t>
  </si>
  <si>
    <t>Calçados</t>
  </si>
  <si>
    <t>ALPARGATAS</t>
  </si>
  <si>
    <t>ALPA</t>
  </si>
  <si>
    <t>CAMBUCI</t>
  </si>
  <si>
    <t>CAMB</t>
  </si>
  <si>
    <t>GRENDENE</t>
  </si>
  <si>
    <t>GRND</t>
  </si>
  <si>
    <t>VULCABRAS</t>
  </si>
  <si>
    <t>VULC</t>
  </si>
  <si>
    <t>Acessórios</t>
  </si>
  <si>
    <t>MUNDIAL</t>
  </si>
  <si>
    <t>MNDL</t>
  </si>
  <si>
    <t>TECHNOS</t>
  </si>
  <si>
    <t>TECN</t>
  </si>
  <si>
    <t>VIVARA S.A.</t>
  </si>
  <si>
    <t>VIVA</t>
  </si>
  <si>
    <t>Utilidades Domésticas</t>
  </si>
  <si>
    <t>WHIRLPOOL</t>
  </si>
  <si>
    <t>WHRL</t>
  </si>
  <si>
    <t>Móveis</t>
  </si>
  <si>
    <t>MOBLY</t>
  </si>
  <si>
    <t>MBLY</t>
  </si>
  <si>
    <t>UNICASA</t>
  </si>
  <si>
    <t>UCAS</t>
  </si>
  <si>
    <t>WESTWING</t>
  </si>
  <si>
    <t>WEST</t>
  </si>
  <si>
    <t>Utensílios Domésticos</t>
  </si>
  <si>
    <t>HERCULES</t>
  </si>
  <si>
    <t>HETA</t>
  </si>
  <si>
    <t>Automóveis e Motocicletas</t>
  </si>
  <si>
    <t>IOCHP-MAXION</t>
  </si>
  <si>
    <t>MYPK</t>
  </si>
  <si>
    <t>METAL LEVE</t>
  </si>
  <si>
    <t>LEVE</t>
  </si>
  <si>
    <t>PLASCAR PART</t>
  </si>
  <si>
    <t>PLAS</t>
  </si>
  <si>
    <t>Hotelaria</t>
  </si>
  <si>
    <t>HOTEIS OTHON</t>
  </si>
  <si>
    <t>HOOT</t>
  </si>
  <si>
    <t>Viagens e Lazer</t>
  </si>
  <si>
    <t>Bicicletas</t>
  </si>
  <si>
    <t>BIC MONARK</t>
  </si>
  <si>
    <t>BMKS</t>
  </si>
  <si>
    <t>Brinquedos e Jogos</t>
  </si>
  <si>
    <t>ESTRELA</t>
  </si>
  <si>
    <t>ESTR</t>
  </si>
  <si>
    <t>Produção de Eventos e Shows</t>
  </si>
  <si>
    <t>SPTURIS</t>
  </si>
  <si>
    <t>AHEB</t>
  </si>
  <si>
    <t>TIME FOR FUN</t>
  </si>
  <si>
    <t>SHOW</t>
  </si>
  <si>
    <t>Viagens e Turismo</t>
  </si>
  <si>
    <t>CVC BRASIL</t>
  </si>
  <si>
    <t>CVCB</t>
  </si>
  <si>
    <t>Atividades Esportivas</t>
  </si>
  <si>
    <t>SMART FIT</t>
  </si>
  <si>
    <t>SMFT</t>
  </si>
  <si>
    <t>Diversos</t>
  </si>
  <si>
    <t>Serviços Educacionais</t>
  </si>
  <si>
    <t>ANIMA</t>
  </si>
  <si>
    <t>ANIM</t>
  </si>
  <si>
    <t>BAHEMA</t>
  </si>
  <si>
    <t>BAHI</t>
  </si>
  <si>
    <t>COGNA ON</t>
  </si>
  <si>
    <t>COGN</t>
  </si>
  <si>
    <t>CRUZEIRO EDU</t>
  </si>
  <si>
    <t>CSED</t>
  </si>
  <si>
    <t>SER EDUCA</t>
  </si>
  <si>
    <t>SEER</t>
  </si>
  <si>
    <t>YDUQS PART</t>
  </si>
  <si>
    <t>YDUQ</t>
  </si>
  <si>
    <t>Aluguel de carros</t>
  </si>
  <si>
    <t>LOCALIZA</t>
  </si>
  <si>
    <t>RENT</t>
  </si>
  <si>
    <t>MAESTROLOC</t>
  </si>
  <si>
    <t>MSRO</t>
  </si>
  <si>
    <t>MOVIDA</t>
  </si>
  <si>
    <t>MOVI</t>
  </si>
  <si>
    <t>VAMOS</t>
  </si>
  <si>
    <t>VAMO</t>
  </si>
  <si>
    <t>Programas de Fidelização</t>
  </si>
  <si>
    <t>DOTZ SA</t>
  </si>
  <si>
    <t>DOTZ</t>
  </si>
  <si>
    <t>AREZZO CO</t>
  </si>
  <si>
    <t>ARZZ</t>
  </si>
  <si>
    <t>CEA MODAS</t>
  </si>
  <si>
    <t>CEAB</t>
  </si>
  <si>
    <t>GRAZZIOTIN</t>
  </si>
  <si>
    <t>CGRA</t>
  </si>
  <si>
    <t>GRUPO SOMA</t>
  </si>
  <si>
    <t>SOMA</t>
  </si>
  <si>
    <t>GUARARAPES</t>
  </si>
  <si>
    <t>GUAR</t>
  </si>
  <si>
    <t>LOJAS MARISA</t>
  </si>
  <si>
    <t>AMAR</t>
  </si>
  <si>
    <t>LOJAS RENNER</t>
  </si>
  <si>
    <t>LREN</t>
  </si>
  <si>
    <t>VESTE</t>
  </si>
  <si>
    <t>VSTE</t>
  </si>
  <si>
    <t>ALLIED</t>
  </si>
  <si>
    <t>ALLD</t>
  </si>
  <si>
    <t>CASAS BAHIA</t>
  </si>
  <si>
    <t>BHIA</t>
  </si>
  <si>
    <t>MAGAZ LUIZA</t>
  </si>
  <si>
    <t>MGLU</t>
  </si>
  <si>
    <t>Saúde</t>
  </si>
  <si>
    <t>BIOMM</t>
  </si>
  <si>
    <t>BIOM</t>
  </si>
  <si>
    <t>NORTCQUIMICA</t>
  </si>
  <si>
    <t>NRTQ</t>
  </si>
  <si>
    <t>OUROFINO S/A</t>
  </si>
  <si>
    <t>OFSA</t>
  </si>
  <si>
    <t>Serviços Médico - Hospitalares, Análises e Diagnósticos</t>
  </si>
  <si>
    <t>ALLIAR</t>
  </si>
  <si>
    <t>AALR</t>
  </si>
  <si>
    <t>DASA</t>
  </si>
  <si>
    <t>FLEURY</t>
  </si>
  <si>
    <t>FLRY</t>
  </si>
  <si>
    <t>HAPVIDA</t>
  </si>
  <si>
    <t>HAPV</t>
  </si>
  <si>
    <t>KORA SAUDE</t>
  </si>
  <si>
    <t>KRSA</t>
  </si>
  <si>
    <t>MATER DEI</t>
  </si>
  <si>
    <t>MATD</t>
  </si>
  <si>
    <t>ODONTOPREV</t>
  </si>
  <si>
    <t>ODPV</t>
  </si>
  <si>
    <t>ONCOCLINICAS</t>
  </si>
  <si>
    <t>ONCO</t>
  </si>
  <si>
    <t>QUALICORP</t>
  </si>
  <si>
    <t>QUAL</t>
  </si>
  <si>
    <t>REDE D OR</t>
  </si>
  <si>
    <t>RDOR</t>
  </si>
  <si>
    <t>Equipamentos</t>
  </si>
  <si>
    <t>BAUMER</t>
  </si>
  <si>
    <t>BALM</t>
  </si>
  <si>
    <t>LIFEMED</t>
  </si>
  <si>
    <t>LMED</t>
  </si>
  <si>
    <t>BLAU</t>
  </si>
  <si>
    <t>D1000VFARMA</t>
  </si>
  <si>
    <t>DMVF</t>
  </si>
  <si>
    <t>DIMED</t>
  </si>
  <si>
    <t>PNVL</t>
  </si>
  <si>
    <t>HYPERA</t>
  </si>
  <si>
    <t>HYPE</t>
  </si>
  <si>
    <t>PAGUE MENOS</t>
  </si>
  <si>
    <t>PGMN</t>
  </si>
  <si>
    <t>PROFARMA</t>
  </si>
  <si>
    <t>PFRM</t>
  </si>
  <si>
    <t>RAIADROGASIL</t>
  </si>
  <si>
    <t>RADL</t>
  </si>
  <si>
    <t>VIVEO</t>
  </si>
  <si>
    <t>VVEO</t>
  </si>
  <si>
    <t>Tecnologia da Informação</t>
  </si>
  <si>
    <t>Computadores e Equipamentos</t>
  </si>
  <si>
    <t>INTELBRAS</t>
  </si>
  <si>
    <t>INTB</t>
  </si>
  <si>
    <t>MULTILASER</t>
  </si>
  <si>
    <t>MLAS</t>
  </si>
  <si>
    <t>POSITIVO TEC</t>
  </si>
  <si>
    <t>POSI</t>
  </si>
  <si>
    <t>Programas e Serviços</t>
  </si>
  <si>
    <t>BEMOBI TECH</t>
  </si>
  <si>
    <t>BMOB</t>
  </si>
  <si>
    <t>BRQ</t>
  </si>
  <si>
    <t>BRQB</t>
  </si>
  <si>
    <t>ENJOEI</t>
  </si>
  <si>
    <t>ENJU</t>
  </si>
  <si>
    <t>GETNINJAS</t>
  </si>
  <si>
    <t>NINJ</t>
  </si>
  <si>
    <t>INFRACOMM</t>
  </si>
  <si>
    <t>IFCM</t>
  </si>
  <si>
    <t>LWSA</t>
  </si>
  <si>
    <t>MELIUZ</t>
  </si>
  <si>
    <t>CASH</t>
  </si>
  <si>
    <t>NEOGRID</t>
  </si>
  <si>
    <t>NGRD</t>
  </si>
  <si>
    <t>PADTEC</t>
  </si>
  <si>
    <t>PDTC</t>
  </si>
  <si>
    <t>QUALITY SOFT</t>
  </si>
  <si>
    <t>QUSW</t>
  </si>
  <si>
    <t>TC</t>
  </si>
  <si>
    <t>TRAD</t>
  </si>
  <si>
    <t>TOTVS</t>
  </si>
  <si>
    <t>TOTS</t>
  </si>
  <si>
    <t>WDC NETWORKS</t>
  </si>
  <si>
    <t>LVTC</t>
  </si>
  <si>
    <t>Comunicações</t>
  </si>
  <si>
    <t>Telecomunicações</t>
  </si>
  <si>
    <t>ALGAR TELEC</t>
  </si>
  <si>
    <t>ALGT</t>
  </si>
  <si>
    <t>BRISANET</t>
  </si>
  <si>
    <t>BRIT</t>
  </si>
  <si>
    <t>DESKTOP</t>
  </si>
  <si>
    <t>DESK</t>
  </si>
  <si>
    <t>OI</t>
  </si>
  <si>
    <t>OIBR</t>
  </si>
  <si>
    <t>TELEBRAS</t>
  </si>
  <si>
    <t>TELB</t>
  </si>
  <si>
    <t>TELEF BRASIL</t>
  </si>
  <si>
    <t>VIVT</t>
  </si>
  <si>
    <t>TIMS</t>
  </si>
  <si>
    <t>UNIFIQUE</t>
  </si>
  <si>
    <t>FIQE</t>
  </si>
  <si>
    <t>Mídia</t>
  </si>
  <si>
    <t>Publicidade e Propaganda</t>
  </si>
  <si>
    <t>ELETROMIDIA</t>
  </si>
  <si>
    <t>ELMD</t>
  </si>
  <si>
    <t>AES BRASIL</t>
  </si>
  <si>
    <t>AESB</t>
  </si>
  <si>
    <t>AES SUL</t>
  </si>
  <si>
    <t>AESL</t>
  </si>
  <si>
    <t>AESOPERACOES</t>
  </si>
  <si>
    <t>AESO</t>
  </si>
  <si>
    <t>AFLUENTE T</t>
  </si>
  <si>
    <t>AFLT</t>
  </si>
  <si>
    <t>ALUPAR</t>
  </si>
  <si>
    <t>ALUP</t>
  </si>
  <si>
    <t>AMPLA ENERG</t>
  </si>
  <si>
    <t>CBEE</t>
  </si>
  <si>
    <t>AUREN</t>
  </si>
  <si>
    <t>AURE</t>
  </si>
  <si>
    <t>CACHOEIRA</t>
  </si>
  <si>
    <t>CPTE</t>
  </si>
  <si>
    <t>CEB</t>
  </si>
  <si>
    <t>CEBR</t>
  </si>
  <si>
    <t>CEEE-D</t>
  </si>
  <si>
    <t>CEED</t>
  </si>
  <si>
    <t>CELESC</t>
  </si>
  <si>
    <t>CLSC</t>
  </si>
  <si>
    <t>CELGPAR</t>
  </si>
  <si>
    <t>GPAR</t>
  </si>
  <si>
    <t>CEMIG</t>
  </si>
  <si>
    <t>CMIG</t>
  </si>
  <si>
    <t>COELBA</t>
  </si>
  <si>
    <t>CEEB</t>
  </si>
  <si>
    <t>COELCE</t>
  </si>
  <si>
    <t>COCE</t>
  </si>
  <si>
    <t>COMERC PAR</t>
  </si>
  <si>
    <t>COMR</t>
  </si>
  <si>
    <t>COPEL</t>
  </si>
  <si>
    <t>CPLE</t>
  </si>
  <si>
    <t>COSERN</t>
  </si>
  <si>
    <t>CSRN</t>
  </si>
  <si>
    <t>CPFL ENERGIA</t>
  </si>
  <si>
    <t>CPFE</t>
  </si>
  <si>
    <t>CPFL GERACAO</t>
  </si>
  <si>
    <t>CPFG</t>
  </si>
  <si>
    <t>CPFL PIRATIN</t>
  </si>
  <si>
    <t>CPFP</t>
  </si>
  <si>
    <t>CPFL RENOVAV</t>
  </si>
  <si>
    <t>CPRE</t>
  </si>
  <si>
    <t>EBE</t>
  </si>
  <si>
    <t>EBEN</t>
  </si>
  <si>
    <t>ELEKTRO</t>
  </si>
  <si>
    <t>EKTR</t>
  </si>
  <si>
    <t>ELETROBRAS</t>
  </si>
  <si>
    <t>ELET</t>
  </si>
  <si>
    <t>ELETROPAR</t>
  </si>
  <si>
    <t>LIPR</t>
  </si>
  <si>
    <t>EMAE</t>
  </si>
  <si>
    <t>ENERGISA</t>
  </si>
  <si>
    <t>ENGI</t>
  </si>
  <si>
    <t>ENERGISA MT</t>
  </si>
  <si>
    <t>ENMT</t>
  </si>
  <si>
    <t>ENERSUL</t>
  </si>
  <si>
    <t>ENER</t>
  </si>
  <si>
    <t>ENEVA</t>
  </si>
  <si>
    <t>ENEV</t>
  </si>
  <si>
    <t>ENGIE BRASIL</t>
  </si>
  <si>
    <t>EGIE</t>
  </si>
  <si>
    <t>EQTL PARA</t>
  </si>
  <si>
    <t>EQPA</t>
  </si>
  <si>
    <t>EQTLMARANHAO</t>
  </si>
  <si>
    <t>EQMA</t>
  </si>
  <si>
    <t>EQUATORIAL</t>
  </si>
  <si>
    <t>EQTL</t>
  </si>
  <si>
    <t>ESCELSA</t>
  </si>
  <si>
    <t>ESCE</t>
  </si>
  <si>
    <t>FGENERGIA</t>
  </si>
  <si>
    <t>FGEN</t>
  </si>
  <si>
    <t>GER PARANAP</t>
  </si>
  <si>
    <t>GEPA</t>
  </si>
  <si>
    <t>LIGHT</t>
  </si>
  <si>
    <t>LIGH</t>
  </si>
  <si>
    <t>LIGHT S/A</t>
  </si>
  <si>
    <t>LIGT</t>
  </si>
  <si>
    <t>NEOENERGIA</t>
  </si>
  <si>
    <t>NEOE</t>
  </si>
  <si>
    <t>SERENA</t>
  </si>
  <si>
    <t>SRNA</t>
  </si>
  <si>
    <t>PAUL F LUZ</t>
  </si>
  <si>
    <t>PALF</t>
  </si>
  <si>
    <t>PROMAN</t>
  </si>
  <si>
    <t>PRMN</t>
  </si>
  <si>
    <t>REDE ENERGIA</t>
  </si>
  <si>
    <t>REDE</t>
  </si>
  <si>
    <t>RENOVA</t>
  </si>
  <si>
    <t>RNEW</t>
  </si>
  <si>
    <t>SAFIRA</t>
  </si>
  <si>
    <t>SAEN</t>
  </si>
  <si>
    <t>STATKRAFT</t>
  </si>
  <si>
    <t>STKF</t>
  </si>
  <si>
    <t>STO ANTONIO</t>
  </si>
  <si>
    <t>STEN</t>
  </si>
  <si>
    <t>TAESA</t>
  </si>
  <si>
    <t>TAEE</t>
  </si>
  <si>
    <t>TERM. PE III</t>
  </si>
  <si>
    <t>TEPE</t>
  </si>
  <si>
    <t>TERMOPE</t>
  </si>
  <si>
    <t>TMPE</t>
  </si>
  <si>
    <t>TRAN PAULIST</t>
  </si>
  <si>
    <t>TRPL</t>
  </si>
  <si>
    <t>UPTICK</t>
  </si>
  <si>
    <t>UPKP</t>
  </si>
  <si>
    <t>Gás</t>
  </si>
  <si>
    <t>CEGR</t>
  </si>
  <si>
    <t>COMGAS</t>
  </si>
  <si>
    <t>CGAS</t>
  </si>
  <si>
    <t>COMPASS</t>
  </si>
  <si>
    <t>PASS</t>
  </si>
  <si>
    <t>Financeiro</t>
  </si>
  <si>
    <t>Intermediários Financeiros</t>
  </si>
  <si>
    <t>Bancos</t>
  </si>
  <si>
    <t>ABC BRASIL</t>
  </si>
  <si>
    <t>ABCB</t>
  </si>
  <si>
    <t>ALFA HOLDING</t>
  </si>
  <si>
    <t>RPAD</t>
  </si>
  <si>
    <t>ALFA INVEST</t>
  </si>
  <si>
    <t>BRIV</t>
  </si>
  <si>
    <t>AMAZONIA</t>
  </si>
  <si>
    <t>BAZA</t>
  </si>
  <si>
    <t>BANCO BMG</t>
  </si>
  <si>
    <t>BMGB</t>
  </si>
  <si>
    <t>BANCO PAN</t>
  </si>
  <si>
    <t>BPAN</t>
  </si>
  <si>
    <t>BANESE</t>
  </si>
  <si>
    <t>BGIP</t>
  </si>
  <si>
    <t>BANESTES</t>
  </si>
  <si>
    <t>BEES</t>
  </si>
  <si>
    <t>BANPARA</t>
  </si>
  <si>
    <t>BPAR</t>
  </si>
  <si>
    <t>BANRISUL</t>
  </si>
  <si>
    <t>BRSR</t>
  </si>
  <si>
    <t>BR PARTNERS</t>
  </si>
  <si>
    <t>BRBI</t>
  </si>
  <si>
    <t>BRADESCO</t>
  </si>
  <si>
    <t>BBDC</t>
  </si>
  <si>
    <t>BRASIL</t>
  </si>
  <si>
    <t>BBAS</t>
  </si>
  <si>
    <t>BRB BANCO</t>
  </si>
  <si>
    <t>BSLI</t>
  </si>
  <si>
    <t>BTGP BANCO</t>
  </si>
  <si>
    <t>BPAC</t>
  </si>
  <si>
    <t>INTER CO</t>
  </si>
  <si>
    <t>INBR</t>
  </si>
  <si>
    <t>DR1</t>
  </si>
  <si>
    <t>ITAUUNIBANCO</t>
  </si>
  <si>
    <t>ITUB</t>
  </si>
  <si>
    <t>MERC BRASIL</t>
  </si>
  <si>
    <t>BMEB</t>
  </si>
  <si>
    <t>MERC INVEST</t>
  </si>
  <si>
    <t>BMIN</t>
  </si>
  <si>
    <t>NORD BRASIL</t>
  </si>
  <si>
    <t>BNBR</t>
  </si>
  <si>
    <t>PINE</t>
  </si>
  <si>
    <t>SANTANDER BR</t>
  </si>
  <si>
    <t>SANB</t>
  </si>
  <si>
    <t>Soc. Crédito e Financiamento</t>
  </si>
  <si>
    <t>ALFA FINANC</t>
  </si>
  <si>
    <t>CRIV</t>
  </si>
  <si>
    <t>DMFINANCEIRA</t>
  </si>
  <si>
    <t>DMFN</t>
  </si>
  <si>
    <t>MERC FINANC</t>
  </si>
  <si>
    <t>MERC</t>
  </si>
  <si>
    <t>Soc. Arrendamento Mercantil</t>
  </si>
  <si>
    <t>BRADESCO LSG</t>
  </si>
  <si>
    <t>BDLS</t>
  </si>
  <si>
    <t>DIBENS LSG</t>
  </si>
  <si>
    <t>DBEN</t>
  </si>
  <si>
    <t>Securitizadoras de Recebíveis</t>
  </si>
  <si>
    <t>BRAZIL REALT</t>
  </si>
  <si>
    <t>BZRS</t>
  </si>
  <si>
    <t>BRAZILIAN SC</t>
  </si>
  <si>
    <t>BSCS</t>
  </si>
  <si>
    <t>PDG SECURIT</t>
  </si>
  <si>
    <t>PDGS</t>
  </si>
  <si>
    <t>Serviços Financeiros Diversos</t>
  </si>
  <si>
    <t>Gestão de Recursos e Investimentos</t>
  </si>
  <si>
    <t>BNDESPAR</t>
  </si>
  <si>
    <t>BNDP</t>
  </si>
  <si>
    <t>BRAZILIAN FR</t>
  </si>
  <si>
    <t>BFRE</t>
  </si>
  <si>
    <t>G2D INVEST</t>
  </si>
  <si>
    <t>G2DI</t>
  </si>
  <si>
    <t>GP INVEST</t>
  </si>
  <si>
    <t>GPIV</t>
  </si>
  <si>
    <t>PPLA</t>
  </si>
  <si>
    <t>B3SA</t>
  </si>
  <si>
    <t>CIELO</t>
  </si>
  <si>
    <t>CIEL</t>
  </si>
  <si>
    <t>CLEARSALE</t>
  </si>
  <si>
    <t>CLSA</t>
  </si>
  <si>
    <t>CSU DIGITAL</t>
  </si>
  <si>
    <t>CSUD</t>
  </si>
  <si>
    <t>EQUIFAXBRL</t>
  </si>
  <si>
    <t>EFXB</t>
  </si>
  <si>
    <t>STONE CO</t>
  </si>
  <si>
    <t>STOC</t>
  </si>
  <si>
    <t>XP INC</t>
  </si>
  <si>
    <t>XPBR</t>
  </si>
  <si>
    <t>Previdência e Seguros</t>
  </si>
  <si>
    <t>Seguradoras</t>
  </si>
  <si>
    <t>ALFA CONSORC</t>
  </si>
  <si>
    <t>BRGE</t>
  </si>
  <si>
    <t>BBSEGURIDADE</t>
  </si>
  <si>
    <t>BBSE</t>
  </si>
  <si>
    <t>CAIXA SEGURI</t>
  </si>
  <si>
    <t>CXSE</t>
  </si>
  <si>
    <t>PORTO SEGURO</t>
  </si>
  <si>
    <t>PSSA</t>
  </si>
  <si>
    <t>Resseguradoras</t>
  </si>
  <si>
    <t>IRBBRASIL RE</t>
  </si>
  <si>
    <t>IRBR</t>
  </si>
  <si>
    <t>Corretoras de Seguros e Resseguros</t>
  </si>
  <si>
    <t>ALPER S.A.</t>
  </si>
  <si>
    <t>APER</t>
  </si>
  <si>
    <t>WIZ CO</t>
  </si>
  <si>
    <t>WIZC</t>
  </si>
  <si>
    <t>Exploração de Imóveis</t>
  </si>
  <si>
    <t>ALLOS</t>
  </si>
  <si>
    <t>ALOS</t>
  </si>
  <si>
    <t>COR RIBEIRO</t>
  </si>
  <si>
    <t>CORR</t>
  </si>
  <si>
    <t>GENERALSHOPP</t>
  </si>
  <si>
    <t>GSHP</t>
  </si>
  <si>
    <t>HABITASUL</t>
  </si>
  <si>
    <t>HBTS</t>
  </si>
  <si>
    <t>HBR REALTY</t>
  </si>
  <si>
    <t>HBRE</t>
  </si>
  <si>
    <t>IGUATEMI S.A</t>
  </si>
  <si>
    <t>IGTI</t>
  </si>
  <si>
    <t>LOG COM PROP</t>
  </si>
  <si>
    <t>LOGG</t>
  </si>
  <si>
    <t>MENEZES CORT</t>
  </si>
  <si>
    <t>MNZC</t>
  </si>
  <si>
    <t>MULTIPLAN</t>
  </si>
  <si>
    <t>MULT</t>
  </si>
  <si>
    <t>PAR AL BAHIA</t>
  </si>
  <si>
    <t>PEAB</t>
  </si>
  <si>
    <t>SAO CARLOS</t>
  </si>
  <si>
    <t>SCAR</t>
  </si>
  <si>
    <t>SYN PROP TEC</t>
  </si>
  <si>
    <t>SYNE</t>
  </si>
  <si>
    <t>Intermediação Imobiliária</t>
  </si>
  <si>
    <t>LOPES BRASIL</t>
  </si>
  <si>
    <t>LPSB</t>
  </si>
  <si>
    <t>NEXPE</t>
  </si>
  <si>
    <t>NEXP</t>
  </si>
  <si>
    <t>Holdings Diversificadas</t>
  </si>
  <si>
    <t>ITAUSA</t>
  </si>
  <si>
    <t>ITSA</t>
  </si>
  <si>
    <t>MONT ARANHA</t>
  </si>
  <si>
    <t>MOAR</t>
  </si>
  <si>
    <t>SIMPAR</t>
  </si>
  <si>
    <t>SIMH</t>
  </si>
  <si>
    <t>Outros Títulos</t>
  </si>
  <si>
    <t>CEPAC - CTBA</t>
  </si>
  <si>
    <t>CTBA</t>
  </si>
  <si>
    <t>CEPAC - MCRJ</t>
  </si>
  <si>
    <t>MCRJ</t>
  </si>
  <si>
    <t>CEPAC - PMSP</t>
  </si>
  <si>
    <t>PMSP</t>
  </si>
  <si>
    <t>Outros</t>
  </si>
  <si>
    <t>524 PARTICIP</t>
  </si>
  <si>
    <t>QVQP</t>
  </si>
  <si>
    <t>ATOMPAR</t>
  </si>
  <si>
    <t>ATOM</t>
  </si>
  <si>
    <t>BETAPART</t>
  </si>
  <si>
    <t>BETP</t>
  </si>
  <si>
    <t>CABINDA PART</t>
  </si>
  <si>
    <t>CABI</t>
  </si>
  <si>
    <t>CEMEPE</t>
  </si>
  <si>
    <t>MAPT</t>
  </si>
  <si>
    <t>CIMS</t>
  </si>
  <si>
    <t>CMSA</t>
  </si>
  <si>
    <t>GAMA PART</t>
  </si>
  <si>
    <t>OPGM</t>
  </si>
  <si>
    <t>INVEST BEMGE</t>
  </si>
  <si>
    <t>FIGE</t>
  </si>
  <si>
    <t>POLPAR</t>
  </si>
  <si>
    <t>PPAR</t>
  </si>
  <si>
    <t>PROMPT PART</t>
  </si>
  <si>
    <t>PRPT</t>
  </si>
  <si>
    <t>SUDESTE S/A</t>
  </si>
  <si>
    <t>OPSE</t>
  </si>
  <si>
    <t>SUL 116 PART</t>
  </si>
  <si>
    <t>OPTS</t>
  </si>
  <si>
    <t>YBYRA S/A</t>
  </si>
  <si>
    <t>YBRA</t>
  </si>
  <si>
    <t>(DR1) BDR Nível 1</t>
  </si>
  <si>
    <t>(DR2) BDR Nível 2</t>
  </si>
  <si>
    <t>(DR3) BDR Nível 3</t>
  </si>
  <si>
    <t>(N1) Nível 1 de Governança Corporativa</t>
  </si>
  <si>
    <t>(N2) Nível 2 de Governança Corporativa</t>
  </si>
  <si>
    <t>(NM) Novo Mercado</t>
  </si>
  <si>
    <t>(MA) Bovespa Mais</t>
  </si>
  <si>
    <t>(M2) Bovespa Mais - Nível 2</t>
  </si>
  <si>
    <t>(MB) Balcão Organizado Tradicional</t>
  </si>
  <si>
    <t>ATENÇÃO</t>
  </si>
  <si>
    <t>Este trabalho não é uma recomendação de investimento.</t>
  </si>
  <si>
    <t>As informações recebidas das empresas admitidas à negociação na B3 estão disponíveis para consulta em</t>
  </si>
  <si>
    <t>nosso site www.b3.com.br.</t>
  </si>
  <si>
    <t>Para mais esclarecimentos, sugerimos procurar sua corretora. Ela pode ajudá-lo a avaliar os riscos e benefícios</t>
  </si>
  <si>
    <t>potenciais das negociações com valores mobiliários.</t>
  </si>
  <si>
    <t>B3 S.A. - Brasil, Bolsa, Balcão</t>
  </si>
  <si>
    <t>https://web.facebook.com/laranjalsolidario/videos/238047834595510/</t>
  </si>
  <si>
    <t>https://web.facebook.com/assaiatacadistaoficial/videos/279751140132475/</t>
  </si>
  <si>
    <t>https://www.youtube.com/watch?v=8GvoUJq3nx4</t>
  </si>
  <si>
    <t>https://www.youtube.com/watch?v=sL1eTsHohuI</t>
  </si>
  <si>
    <t>https://economia.ig.com.br/2021-07-23/assai-doar-alimentos.html</t>
  </si>
  <si>
    <t>https://artemisia.org.br/alimentacao/</t>
  </si>
  <si>
    <t>https://www.pedefeijao.com.br/</t>
  </si>
  <si>
    <t>https://institutogpa.org.br/category/covid-19/doacoes/</t>
  </si>
  <si>
    <t>Quantidade de ações</t>
  </si>
  <si>
    <t>Quantidade de sedes empresariais</t>
  </si>
  <si>
    <t>Quantidade de empresas</t>
  </si>
  <si>
    <t>Acre</t>
  </si>
  <si>
    <t>Alagoas</t>
  </si>
  <si>
    <t>Amapá</t>
  </si>
  <si>
    <t>Bahia</t>
  </si>
  <si>
    <t>Espírito Santo</t>
  </si>
  <si>
    <t>Maranhão</t>
  </si>
  <si>
    <t>Mato Grosso</t>
  </si>
  <si>
    <t>Minas Gerais</t>
  </si>
  <si>
    <t>Paraíba</t>
  </si>
  <si>
    <t>Pernambuco</t>
  </si>
  <si>
    <t>Piauí</t>
  </si>
  <si>
    <t>Rio Grande do Norte</t>
  </si>
  <si>
    <t>Rondônia</t>
  </si>
  <si>
    <t>Roraima</t>
  </si>
  <si>
    <t>Tocantins</t>
  </si>
  <si>
    <t>ID empresa</t>
  </si>
  <si>
    <t>Instituição financiadora/apoiadora</t>
  </si>
  <si>
    <t>ID iniciativa</t>
  </si>
  <si>
    <t>Tipo de iniciativa (programa/projeto/campanha/articulação)</t>
  </si>
  <si>
    <t>Descrição da iniciativa</t>
  </si>
  <si>
    <t>Objetivo da iniciativa</t>
  </si>
  <si>
    <t>Objetivo da iniciativa 2</t>
  </si>
  <si>
    <t>Tem base tech?</t>
  </si>
  <si>
    <t>Ano de início da iniciativa</t>
  </si>
  <si>
    <t>Ano de fim da iniciativa</t>
  </si>
  <si>
    <t>Status da iniciativa 
(em andamento/concluído/s/i)</t>
  </si>
  <si>
    <t>Tipo de financiador</t>
  </si>
  <si>
    <t>Capital aberto (B3)?</t>
  </si>
  <si>
    <t>Empresa multinacional?</t>
  </si>
  <si>
    <t>A empresa atua na logística</t>
  </si>
  <si>
    <t>A empresa atua no varejo</t>
  </si>
  <si>
    <t>A empresa atua no consumo</t>
  </si>
  <si>
    <t>Se sim, qual?</t>
  </si>
  <si>
    <t>A insegurança/sistema alimentar é 
um tema priorizado pela empresa?</t>
  </si>
  <si>
    <t>Parceiros 
financiadores/apoiadores</t>
  </si>
  <si>
    <t>Mais de um tipo de financiador/parceiro?</t>
  </si>
  <si>
    <t>Organização executora</t>
  </si>
  <si>
    <t>A insegurança alimentar/sistema alimentar é um tema priorizado pela executora?</t>
  </si>
  <si>
    <t>Principais elos da cadeia de alimentos envolvidos
Produção agrícola/Logística/Varejo/Consumidor final/Sem elo específico</t>
  </si>
  <si>
    <t>Logística</t>
  </si>
  <si>
    <t>Varejo</t>
  </si>
  <si>
    <t>Abrangência das ações</t>
  </si>
  <si>
    <t>Região de atuação</t>
  </si>
  <si>
    <t>ODS 2.1
2.1 Até 2030, acabar com a fome e garantir o acesso de todas as pessoas, em particular os pobres e pessoas em situações vulneráveis, incluindo crianças, a alimentos seguros, nutritivos e suficientes durante todo o ano</t>
  </si>
  <si>
    <t>ODS 2.2
2.2 até 2030, acabar com todas as formas de desnutrição, incluindo atingir até 2025 as metas acordadas internacionalmente sobre desnutrição crônica e desnutrição em crianças menores de cinco anos de idade, e atender às necessidades nutricionais dos adolescentes, mulheres grávidas e lactantes e pessoas idosas</t>
  </si>
  <si>
    <t>ODS 2.3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t>
  </si>
  <si>
    <t>ODS 2.4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t>
  </si>
  <si>
    <t>ODS 2.5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t>
  </si>
  <si>
    <t>ODS 12.2
12.2 Até 2030, alcançar a gestão sustentável e o uso eficiente dos recursos naturais</t>
  </si>
  <si>
    <t xml:space="preserve">ODS 12.3
12.3 Até 2030, reduzir pela metade o desperdício de alimentos per capita mundial, nos níveis de varejo e do consumidor, e reduzir as perdas de alimentos ao longo das cadeias de produção e abastecimento, incluindo as perdas pós-colheitas </t>
  </si>
  <si>
    <t>ODS 12.6
12.6 Incentivar as empresas, especialmente as empresas grandes e transnacionais, a adotar práticas sustentáveis e a integrar informações de sustentabilidade em seu ciclo de relatórios</t>
  </si>
  <si>
    <t>Iniciativa de longa duração (2 anos ou mais)?</t>
  </si>
  <si>
    <t>Iniciativa estrutural?</t>
  </si>
  <si>
    <t>Site da iniciativa</t>
  </si>
  <si>
    <t>Outras fontes sobre a iniciativa</t>
  </si>
  <si>
    <t>Fruta Imperfeita</t>
  </si>
  <si>
    <t>"Temos o propósito de diminuir o desperdício de alimentos por meio da disseminação do consumo consciente atuando como agente de conexão entre os produtores e consumidores." Funciona da seguinte maneira "Os imperfeitos são selecionados nos sítios de pequenos produtores e, ao invés de serem descartados, nós compramos incentivando o comércio justo e consciente". Portanto, é uma empresa de "delivery de cestas de frutas e legumes com formatos estranhos, mas DELICIOSAS e NUTRITIVAS."</t>
  </si>
  <si>
    <t>Híbrido</t>
  </si>
  <si>
    <t>NIS</t>
  </si>
  <si>
    <t>Local</t>
  </si>
  <si>
    <t>https://frutaimperfeita.com.br/?pagina=parceiros</t>
  </si>
  <si>
    <t>https://pt.linkedin.com/company/fruta-imperfeita</t>
  </si>
  <si>
    <t>Bauducco; Camil; Carrefour; Danone; DPA; iFood; Lopes Supermercados; M. Dias Branco; Nestlé; Pepsico; Design de Conversas; Mondelez International; GPA; Supermercado Nordestão; Facily; D' Maria; Nutriens; Frexco; Yara; Assaí Atacadista; Grupo BIMBO; Kraft Heinz; Coca-Cola Brasil; Unilever; Copagaz</t>
  </si>
  <si>
    <t>Todos à Mesa</t>
  </si>
  <si>
    <t>"Conecta a iniciativa privada e organizações sociais para redistribuir alimentos excedentes como parte da estratégia de combate à fome e à insegurança alimentar. É uma coalizão de empresas, que já doou 4.000 toneladas de comida. As doações feitas pelas empresas do Todos à Mesa, lançado em outubro de 2021, já beneficiaram 1,3 milhão de pessoas em todo o país. O movimento é formado pelas empresas Bauducco, Camil, Carrefour, Danone, DPA, iFood, Lopes Supermercados, M. Dias Branco, Nestlé e pela foodtech Connecting Food, especialista em redistribuição de alimentos excedentes."</t>
  </si>
  <si>
    <t>Connecting Food; Ifood</t>
  </si>
  <si>
    <t>Nacional</t>
  </si>
  <si>
    <t>https://news.ifood.com.br/movimento-todos-a-mesa-e-premiado-no-eco-brasil-2022/</t>
  </si>
  <si>
    <t>https://www.news.ifood.com.br/todos-a-mesa-cresce-e-busca-mais-parceiros-para-combater-a-fome/</t>
  </si>
  <si>
    <t>https://www.unilever.com.br/news/press-releases/2020/todos-a-mesa/</t>
  </si>
  <si>
    <t>Aura Apoena</t>
  </si>
  <si>
    <t>Agronegócio Sustentável</t>
  </si>
  <si>
    <t>"Aura Apoena e ManejeBem trabalham em conjunto para promover a soberania alimentar, capacitação profissional e transformação digital por meio do Programa Agronegócio Sustentável. A iniciativa irá impactar 100 famílias de comunidades urbanas, periurbanas e rurais de Pontes Lacerda (MT). Para isso, estamos promovendo acesso diário a técnico agrícola capacitado e a ciclo de capacitações. Assim, estimulamos o protagonismo feminino no combate à insegurança alimentar, principalmente com a implementação de quintais produtivos (hortas verticais). A ManejeBem está promovendo a assistência técnica digital junto às famílias atendidas, que envolvem além da horticultura, a bovinocultura e a piscicultura, oferecendo orientações quanto à aplicação de técnicas sustentáveis e melhorias produtivas. Os participantes possuem acesso contínuo a um profissional qualificado e recebem periodicamente conteúdos de relevância para suas atividades produtivas. É a ManejeBem e a Aura Apoena levando desenvolvimento e qualidade de vida aos moradores de Pontes Lacerda." "Mineradora de ouro em Mato Grosso, a Aura Apoena iniciará neste trimestre o Programa Agronegócio Sustentável, que terá duas frentes de trabalho: A implementação de hortas comunitárias em bairros em situação de vulnerabilidade e o apoio à agricultura familiar por meio de assistência técnica agrícola, tecnologia e boas práticas de agricultura regenerativa. Para 2021, está previsto o diagnóstico, que servirá para identificar as potencialidades e desafios enfrentados pelas comunidades que serão beneficiadas pela iniciativa. No ano seguinte, o foco estará nos treinamentos e assessoria técnica."</t>
  </si>
  <si>
    <t>ManejeBem</t>
  </si>
  <si>
    <t>Produção agrícola; Consumo</t>
  </si>
  <si>
    <t>https://manejebem.com/</t>
  </si>
  <si>
    <t>https://www.inthemine.com.br/site/aura-apoena-da-inicio-ao-programa-agronegocio-sustentavel/</t>
  </si>
  <si>
    <t>Manai Gastronomia; Padoca; Bella Paulista; Sterna Café; The Coffe; Starbucks; Natural da Terra; Hortifruti; DuckBill; The Good Cop; Dídio Pizza; B.lem; Rei do Mate; Du local; Abrasel; ONG Banco de Alimentos</t>
  </si>
  <si>
    <t>Food to Save</t>
  </si>
  <si>
    <t>"A foodtech conecta restaurantes, padarias e hortifrutis com consumidores, para venda de produtos próximos à validade de vencimento e itens com pequenas imperfeições, aptos para o consumo. Eles são vendidos como “sacolas surpresa”. Os descontos podem chegar até a 70% do preço cheio. São alimentos produzidos e não vendidos e que demandam consumo imediato, como produtos próximos à data de validade e, todos aptos para consumo."</t>
  </si>
  <si>
    <t xml:space="preserve">Food to Save </t>
  </si>
  <si>
    <t>Distrito Federal; Rio de Janeiro; São Paulo</t>
  </si>
  <si>
    <t>Centro-Oeste; Sudeste</t>
  </si>
  <si>
    <t>https://www.foodtosave.com.br/</t>
  </si>
  <si>
    <t>https://revistapegn.globo.com/Banco-de-ideias/Alimentacao/noticia/2021/11/conheca-foodtech-que-ja-evitou-o-desperdicio-de-15-toneladas-de-alimentos.html</t>
  </si>
  <si>
    <t>https://forbes.com.br/forbesagro/2022/05/foodtech-quer-captar-r-13-milhao-para-investir-no-combate-ao-desperdicio-de-alimentos/</t>
  </si>
  <si>
    <t>Ajinomoto</t>
  </si>
  <si>
    <t>Somos Todos Esquadrão do Amor</t>
  </si>
  <si>
    <t>"Marca líder de temperos da Ajinomoto do Brasil, Sazón lança a campanha 'Somos Todos Esquadrão do Amor', que distribuirá oito toneladas de alimentos entre instituições de São Paulo, Rio de Janeiro e Porto Alegre e irá conscientizar a população sobre o desperdício de alimentos e reaproveitamento de ingredientes em casa. A ação faz parte de uma parceria inédita com a startup Comida Invisível, que direciona doações de alimentos a ONGs parceiras e a pessoas em situação de vulnerabilidade social. A doação vai até dezembro de 2021 e a campanha de marketing até fevereiro de 2022, e os consumidores podem contribuir doando também."</t>
  </si>
  <si>
    <t>Estadual</t>
  </si>
  <si>
    <t>Porto Alegre; Rio de Janeiro; São Paulo</t>
  </si>
  <si>
    <t>Sul; Sudeste</t>
  </si>
  <si>
    <t>https://www.sazon.com.br/esquadrao-do-amor</t>
  </si>
  <si>
    <t>https://abramark.com.br/inteligemcia/noticias/sazon-somos-todos-esquadrao-do-amor/</t>
  </si>
  <si>
    <t>https://www.estadao.com.br/brasil/sem-desperdicio-de-alimentos-amor-que-da-tempero-a-vida-contra-a-fome/</t>
  </si>
  <si>
    <t>https://propmark.com.br/sazon-quer-conscientizar-sobre-desperdicio-de-alimentos/</t>
  </si>
  <si>
    <t>Ações de Combate ao Covid-19</t>
  </si>
  <si>
    <t>"Entre os meses de abril e maio, a Ajinomoto do Brasil, produtora de aminoácidos e fabricante de produtos como temperos SAZÓN®, sopas VONO® e refrescos MID®, realizou a doação de cestas básicas no valor de R$910 mil para instituições sociais e cooperativas de reciclagem que atuam nas cidades de São Paulo, Limeira, Laranjal Paulista, Valparaíso e Pederneiras. A ação viabilizada pelo Instituto Ajinomoto, organização social da empresa, seguirá com medidas adotadas pela companhia, desde abril de 2020, para minimizar os impactos da Covid-19. Ao todo, 19 instituições e cooperativas foram beneficiadas com 15 mil cestas básicas, sendo 5 mil destinadas para São Paulo, 4 mil para Limeira e 2 mil para as demais unidades da Ajinomoto do Brasil, localizadas nas cidades de Laranjal Paulista, Pederneiras e Valparaíso. Para fomentar a economia local, houve contratação de fornecedores locais de cestas básicas. A iniciativa da empresa prestou auxílio a instituições como a CUFA (Central Única das Favelas), ABC do Povo, Cooperativa de Reciclagem Chico Mendes – entre outras, pertencentes às cidades citadas."</t>
  </si>
  <si>
    <t>Instituto Ajinomoto</t>
  </si>
  <si>
    <t>Instituto/fundação</t>
  </si>
  <si>
    <t>https://www.institutoajinomoto.com.br/atuacao/acoes-de-combate-ao-covid-19/</t>
  </si>
  <si>
    <t>https://www.ajinomoto.com.br/app/uploads/releases/institucional/2022/ajinomoto-do-brasil-faz-doacao-de-r$-910-mil-em-cestas-basicas-para-minimizar-impactos-da-covid-19.pdf</t>
  </si>
  <si>
    <t>https://www.institutoajinomoto.com.br/</t>
  </si>
  <si>
    <t>BRF; Bees (plataforma B2B da Ambev)</t>
  </si>
  <si>
    <t>BEES Together</t>
  </si>
  <si>
    <t>"Diante da retomada do mapa da fome, BRF aderiu ao projeto BEES Together, que faz parte da área facilitadora de ações sociais da BEES, plataforma B2B da Ambev que permite a pequenos e médios estabelecimentos comprar itens que vão além de bebidas. Durante este fim de ano, o projeto selecionou mil famílias de Salvador para atendê-las, entregando kits de produtos BRF e de parceiros da BEES para o combate à fome na região. A ideia ocorre para oferecer um natal mais digno. 'Entendemos que o nosso papel é contribuir com a transformação social das comunidades. Neste período de fim de ano, é ainda mais importante que tenhamos participação ativa para propiciar um Natal sem fome às famílias que necessitam', comentou o diretor executivo de Omnichannel da BRF, Sérgio Esteves. As doações em conjunto com o BEES foram direcionadas para a Associação Apoio Social de Camaçari e Associação Viva a Vida. A ONG Fome de Ação foi a responsável pela distribuição das cestas básicas para as comunidades e associações responsáveis por projetos de apoio às famílias."</t>
  </si>
  <si>
    <t>Fome de Ação</t>
  </si>
  <si>
    <t>OSC</t>
  </si>
  <si>
    <t>https://mybees.com.br/</t>
  </si>
  <si>
    <t>https://feedfood.com.br/projeto-contra-fome-entregou-comida-as-familias-carentes/</t>
  </si>
  <si>
    <t>https://www.linkedin.com/company/beesbrasil/?originalSubdomain=br</t>
  </si>
  <si>
    <t>Ancar Ivanhoe; Coca-Cola Brasil; Claro; Ifood; Vale; Mercado Livre; Globo; B3 Brasil; Mastercard; RaiaDrogasil; ParaQuemDoar; Bauducco; Nestlé; Benfeitoria; Edify; Rio Ônibus; Petronect; Camil</t>
  </si>
  <si>
    <t>"Uma das maiores mobilizações solidárias da sociedade civil, que ocorre desde 1993 e já ajudou mais de 22 milhões de pessoas por todo o Brasil a terem um Natal digno."</t>
  </si>
  <si>
    <t>https://www.natalsemfome.org.br/</t>
  </si>
  <si>
    <t>Assaí Atacadista; Atacadão; BRF, Carrefour; Danone; Dia; Grupo Big; IBAMA; Makro; Nestlé; Pepsico; Reserva; Subway; Univeler; Mondeléz; ABAD; The Global Food Banking Network; Ingredion; GPA; Pimco; Solar Coca-cola; Cencosud; General Mills; Supermercado Pague Menos; Camil</t>
  </si>
  <si>
    <t>Mesa Brasil SESC</t>
  </si>
  <si>
    <t>"O Mesa Brasil Sesc é uma Rede nacional de Bancos de Alimentos que atua contra a fome e o desperdício. A Rede de Bancos de Alimentos combate a fome e o desperdício, a partir de doações de parceiros, e contribui para a garantia da segurança alimentar e nutricional de crianças, jovens, adultos e idosos, em vulnerabilidade social, em todo o Brasil. A equipe do Mesa Brasil Sesc retira as doações junto aos parceiros e entregam diretamente nas entidades sociais cadastradas no Programa. O trabalho do Mesa Brasil Sesc vai além da distribuição de alimentos. O programa desenvolve ações educativas nas áreas de Nutrição e Serviço Social, com o objetivo de promover a alimentação adequada, a reeducação alimentar e fortalecer a gestão das entidades sociais assistidas."</t>
  </si>
  <si>
    <t>Armazenamento; Logística; Consumo</t>
  </si>
  <si>
    <t>https://www2.sesc.com.br/portal/site/mesabrasilsesc/Entenda/</t>
  </si>
  <si>
    <t>Reserva; Bloomberg; Justo; Montebravo; Qualcomm; Rabobank; Semente Ré; SulAmérica; Vínculo basic; Amazon; Biomérieux; Boccuzzi; CNH; Mol; Credit Suisse; Pazetti; Puravida; S&amp;P Global; XP; Tupperware; Alpfilm; Alsco; Arredondar; Dutcham; Donare; Interfood; Jeecler; Kenoa; Nós Contra a Fome; Opentext; OTB; Reciclex; SUV; AME; Banco Alfa; DSM Produtos Nutricionais Brasil Ltda; Instituto CCP; Luxo Natural Prod e Com. De F. Eireli; Maeda, Ayres e Sarubbi Advogados; Multilaser; Navarro Representações; Ortho Pauher Indústria Comércio e Distribuidora Ltda.; OTBpen; POLEN - Transfeera Serviços P. Ltda ProLogis; Sendas; B.P.Moura Artigos Óticos; Copastur Viagens e Turismo Ltda; Crossfit Fratelli; De Heus Industria e Comércio; Di Pietra Arte Porcelanatos; Food To Save; GO INTEGRO; J Amaral; KLM Cia Real Holandesa Aviação-MILK; Makro Atacadista S/A; MLIVE Promoções e Eventos Eireli; SBM OffShore do Brasil Ltda; Seven Holding Participações; Your Cause; Assaí Atacadista; Bauducco; Bimbo QSR; Burger King; GL Foods; GRSA; Hydromania; LIVUP; MartinBrower; MERQUEO; Nestlé; Produtores Rurais de Biritiba Mirim e Mogi das Cruzes; Santa Helena; Centro Universitário São Camilo; Sonda Supermercados; St Marche Supermercados; Vigor; Wickbold</t>
  </si>
  <si>
    <t>Banco de alimentos</t>
  </si>
  <si>
    <t>"Fundada em 1998, a ONG Banco de Alimentos é uma associação civil que recolhe alimentos que já perderam valor de prateleira no comércio e indústria, mas ainda estão aptos para consumo, e os distribui onde são mais necessários. No lugar de descartar legumes, massas, frutas, entre outros, os parceiros doam os excedentes à ONG que repassa tudo às entidades sociais cadastradas no projeto. Essa distribuição permite a complementação nutricional de refeições servidas para milhares de crianças, jovens, adultos e idosos na cidade de São Paulo, todos os dias. A distribuição dos alimentos satisfaz a necessidade básica, enquanto as ações educativas promovem um maior aproveitamento dos nutrientes fornecidos, possibilitando uma alimentação mais saborosa e balanceada."</t>
  </si>
  <si>
    <t>ONG Banco de alimentos</t>
  </si>
  <si>
    <t>https://bancodealimentos.org.br/</t>
  </si>
  <si>
    <t>Unilever; Bauducco; Coop; Selmi; Bonduelle; Renata; St Marche; Grupo Benassi; Beleaf; Roots to go; Olga Ri; Cencosud</t>
  </si>
  <si>
    <t>Unidos pela Comida</t>
  </si>
  <si>
    <t>"A Infineat investe em tecnologia para escalar a solução. Desenvolvemos uma plataforma proprietária que conecta as partes, permitindo acesso a todos ao alimento, além de coletar todos os dados da operação: dos produtos ao impacto ESG gerado. Fazemos a gestão completa dos alimentos que seriam descartados das empresas, que até então não encontravam solução contra o desperdício. Redirecionamos os excedentes para uma rede de instituições parceiras. Diariamente coordenamos as coletas de toneladas de produtos em perfeito estado de consumo, mas sem a gestão da Infineat seriam descartados. Garantimos entrega diária de alimentos de qualidade, combatendo diretamente a insegurança alimentar de milhares de pessoas." "A iniciativa viabiliza que diversas marcas doem alimentos próximos ao vencimento que seriam descartados para que a INFINEAT, responsável pela logística do projeto, faça o transporte desses alimentos. Os produtos são levados para a Sefras, organização humanitária engajada no combate à fome, que é responsável por transformar esses alimentos em refeições deliciosas capazes de não só alimentar, mas acolher e reduzir o desperdício e em distribuí-las para pessoas em situação de vulnerabilidade."</t>
  </si>
  <si>
    <t>INFINEAT; Ação Social Fransciscana (SEFRAS); CUFA; Missão Cena; Associação Beneficente e Educacional Asriel</t>
  </si>
  <si>
    <t>Logística; Consumo</t>
  </si>
  <si>
    <t>https://www.hellmanns.com.br/unidos-pela-comida.html</t>
  </si>
  <si>
    <t>https://www.unilever.com.br/news/2022/unidos-pela-comida-atingiu-1-milhao-de-refeicoes-doadas/</t>
  </si>
  <si>
    <t>https://superhiper.com.br/unilever-batalha-contra-a-perda-de-alimentos/</t>
  </si>
  <si>
    <t>https://acontecendoaqui.com.br/marketing/projeto-unidos-pela-comida-salva-alimentos-desperdicados/</t>
  </si>
  <si>
    <t>https://www.infineat.com.br/</t>
  </si>
  <si>
    <t>Pepsico</t>
  </si>
  <si>
    <t>Auxílio Emergencial de Curto Prazo</t>
  </si>
  <si>
    <t>"Somente em abril de 2021, a empresa doou mais de 31 toneladas de alimentos que foram distribuídas pela Associação Comunitária para Valorização do Heliópolis, uma representante da CUFA, em São Paulo. Com o objetivo de direcionar parte dessas doações para um dos públicos mais afetados durante a pandemia, a PepsiCo se uniu ao Instituto Free Free para apoiar as mulheres, mães e meninas que sofrem os impactos dessa calamidade. Elas são, em sua maioria, as responsáveis pela saúde e alimentação da família, por isso, incluí-las no centro desse suporte, é essencial para atuarmos de forma assertiva neste momento."</t>
  </si>
  <si>
    <t>Associação Comunitária para Valorização do Heliópolis (da CUFA); Instituto Free Free</t>
  </si>
  <si>
    <t>https://www.pepsico.com.br/imprensa/hist%C3%B3rias/r$-16-5-milh%C3%B5es-para-as-comunidades-brasileiras-at%C3%A9-2022</t>
  </si>
  <si>
    <t>IFood</t>
  </si>
  <si>
    <t>Hortas urbana no telhado IFood</t>
  </si>
  <si>
    <t>"Topos de prédios são ótimos lugares para fazer um show de despedida, mirantes das cidades ou hospedar restaurantes com vistas de cair o queixo. Mais recentemente, eles ganharam mais uma funcionalidade: servir de espaço para hortas urbanas. É isso que acontece no terraço da sede do iFood, em Osasco (SP). Lá, o espaço vazio que existia no sétimo andar foi transformado em 2021 e virou um aliado na tentativa de combater a fome e a insegurança alimentar. Em uma área de 950 m² é produzida mensalmente 1,7 tonelada de alimentos orgânicos. De tudo o que é colhido na horta do iFood, parte se aproveita no refeitório da empresa e parte é doada para o Banco de Alimentos de Osasco, que atende a mais de 3 mil famílias cadastradas na ação da prefeitura local para o combate à insegurança alimentar e à fome. Como a plantação está muito próxima do consumidor final, eliminam-se algumas etapas de transporte na cadeia de alimentação, o que reduz o desperdício de alimentos e a poluição gerada e amplia a “vida útil” daquele alimento, que chega fresquinho, fresquinho para quem vai comer. O projeto, realizado em parceria com a Begreen, future tech especializada em fazendas urbanas, produz folhas, frutos e legumes livres de agrotóxicos. Lá se plantam alface, rúcula, folha de beterraba, tomate, abobrinha e agrião usando a técnica da hidroponia, um sistema em que as raízes se desenvolvem na água e não no solo, o que gera uma economia no uso de água (90% em relação ao modo tradicional) e de adubo."</t>
  </si>
  <si>
    <t>Begreen</t>
  </si>
  <si>
    <t xml:space="preserve">São Paulo </t>
  </si>
  <si>
    <t>https://exame.com/esg/hortas-urbanas-ifood-alimentacao-saudavel/</t>
  </si>
  <si>
    <t>https://www.news.ifood.com.br/galeria-de-fotos-conheca-a-horta-urbana-do-ifood/</t>
  </si>
  <si>
    <t>https://www.news.ifood.com.br/ifood-investe-em-hortas-urbanas-para-combater-a-inseguranca-alimentar/</t>
  </si>
  <si>
    <t>LATAM; DSM</t>
  </si>
  <si>
    <t>Avião Solidário - Mesa Brasil</t>
  </si>
  <si>
    <t>"Transporte gratuito pelo Avião Solidário ao projeto Mesa Brasil de uma tonelada de alimentos em Teresina e 7 toneladas de cestas básicas em Manaus, as quais foram doadas pela empresa DSM"</t>
  </si>
  <si>
    <t>Amazonas; Piauí</t>
  </si>
  <si>
    <t>Nordeste; Norte</t>
  </si>
  <si>
    <t>https://www.revistahoteis.com.br/latam-transporta-gratuitamente-alimentos-para-combate-a-fome-na-pandemia/</t>
  </si>
  <si>
    <t>Fazer o Bem Faz Bem – Alimentando o Mundo com Solidariedade</t>
  </si>
  <si>
    <t>"O Fazer O Bem Faz Bem apoiou diversas categorias de organizações, entre elas, de atenção à comunidade carentes, deficientes, idosos, indígenas, ribeirinhos, imigrantes, jovens, crianças e adolescentes e sertão nordestino. Durante todo o período de entregas das doações foram distribuídas mais de 550 mil cestas básicas, 100 mil cartões vale-alimentação, além de produtos de higiene e limpeza, máscaras de tecido e equipamentos de proteção individual (EPIs) para diversas comunidades em todo o Brasil. O Projeto também apoiou iniciativas que visam auxiliar regiões que sofrem com a falta de água e/ou de infraestrutura, além de ações que ajudam no empoderamento e desenvolvimento do empreendedorismo."</t>
  </si>
  <si>
    <t>Instituto Capim Santo; G10 Favelas; Ação da Cidadania; Amigos do Bem; Movimento Gastronomia Social; Child Fund Brasil; Grupo Sol</t>
  </si>
  <si>
    <t>https://jbs.com.br/fazerobemfazbem/enfrentamento-da-covid-19/social/</t>
  </si>
  <si>
    <t>https://www.jbs.com.br/fazerobemfazbem/</t>
  </si>
  <si>
    <t>Camil; Cooperja</t>
  </si>
  <si>
    <t>Doações emergencial Covid</t>
  </si>
  <si>
    <t>"Desde o início da pandemia do novo coronavírus, o UNICEF, 19 empresas parceiras, celebridades e Organizações da sociedade civil e governos locais se uniram para fazer chegar produtos de higiene, limpeza e outros itens essenciais, acompanhados de informação de prevenção para as famílias, a mais de 1,7 milhão de pessoas vulneráveis em 10 capitais brasileiras. As entregas desses itens começaram logo nos primeiros momentos da pandemia no Brasil, no final do mês de março, e seguirão até pelo menos o mês de julho. Doados por empresas e distribuídos com a ajuda de ONGs, prefeitura e de instituições locais, os produtos já estão chegando a quem mais precisa nas periferias das cidades de Belém, Boa Vista, Fortaleza, Maceió, Manaus, Recife, Rio de Janeiro, Salvador, São Luís e São Paulo desde março. As toneladas de alimentos foram doadas por Camil e Cooperja."</t>
  </si>
  <si>
    <t>Belém; Boa Vista; Fortaleza; Maceió; Manaus; Recife; Rio de Janeiro; Salvador; São Luís; São Paulo</t>
  </si>
  <si>
    <t>Nordeste; Norte; Sudeste</t>
  </si>
  <si>
    <t>https://www.unicef.org/brazil/comunicados-de-imprensa/unicef-empresas-celebridades-e-organizacoes-locais-se-unem-contra-o-coronavirus</t>
  </si>
  <si>
    <t>Compra Solidária</t>
  </si>
  <si>
    <t>"Com a pandemia, milhões de pessoas perderam o emprego ou suas fontes de renda. Além disso, famílias em todo o Brasil já vinham passando por uma situação de desigualdade e vulnerabilidade social. Com o intuito de dar sua colaboração para minimizar estes impactos e permitir acesso à alimentação de qualidade, o Grupo utilizou sua capacidade de mobilização para organizar uma grande campanha, envolvendo colaboradores, empresas e a sociedade civil, somando esforços para beneficiar o maior número possível de pessoas. Para mitigar os efeitos drásticos que a Covid-19 teve sobre a vida de brasileiros, principalmente integrantes das camadas mais pobres, o Grupo Carrefour Brasil lançou, em abril de 2020, o Movimento Compra Solidária. O objetivo da campanha foi arrecadar recursos para contribuir com a alimentação de famílias em adversidade. Parceiros do Grupo, fornecedores e clientes foram convidados a participar da iniciativa, contribuindo com qualquer quantia. A ação abrangeu todos os estados brasileiros. No Movimento Compra Solidária, a cada R$ 1 doado pelos clientes, o Grupo Carrefour Brasil dobrou o valor para conseguir incluir em suas ações um número ainda maior de pessoas. Os clientes puderam doar nas lojas, no ato da compra, ou por meio de hotsites específicos. Dos fornecedores que aderiram à campanha, as empresas poderiam fazer sua doação em dinheiro, ou optar por doar produtos diretamente. Ao todo, mais de 360 empresas parceiras do Grupo Carrefour e suas marcas se envolveram nas ações promovidas. Desta forma, foi criado, em conjunto, mais do que uma frente de ação social, mas um ecossistema solidário, cujo intuito foi unir a todos em um momento de distanciamento, fragilidade e incertezas. O valor arrecadado pela iniciativa Compra Solidária foi convertido em cartões de compra (vale-alimentação) no valor unitário de R$ 100 cada, ou então em cestas básicas e em alimentos para o preparo de refeições, distribuídos por entidades parceiras da campanha para as famílias em situação de vulnerabilidade."</t>
  </si>
  <si>
    <t>Amigos do Bem; CUFA; Exército da Salvação; União SP</t>
  </si>
  <si>
    <t>https://comprasolidaria.carrefour.com.br/#</t>
  </si>
  <si>
    <t>https://www.portaldecamaqua.com.br/noticias/29063/grupo-carrefour-brasil-reune-parceiros-e-doa-r-8-milhoes-para-combater-a-fome.html</t>
  </si>
  <si>
    <t>https://static2.carrefour.com.br/hotsite/estamos-aqui-por-voce/v8/files/prestacao_de_contas.pdf</t>
  </si>
  <si>
    <t>Projeto Servir SP</t>
  </si>
  <si>
    <t xml:space="preserve">"O Grupo Carrefour apoiou, durante três meses (13/5 a 25/7) o Projeto Servir SP, que oferece marmitas para moradores de rua do Centro de São Paulo, na Praça da Sé, durante este momento difícil da pandemia. O Grupo contribuiu com a doação de proteínas para o preparo das marmitas e também com água mineral." </t>
  </si>
  <si>
    <t>https://www.facebook.com/projeto.servirsp</t>
  </si>
  <si>
    <t>"Para criar um mundo melhor e mais justo para todos, promovemos a doação de produtos que estão ótimos para o consumo, mas que não atendem os padrões de comercialização estipulados pelo Grupo Carrefour. Travamos parceria com bancos de alimentos devidamente cadastrados no Ministério do Desenvolvimento Social e Combate à Fome, e criamos o programa Alimentação Solidária, que garante a segurança alimentar de todos os beneficiados. Para tornar esse projeto possível, treinamos nossos colaboradores para identificar, selecionar e armazenar adequadamente os produtos que poderão ser doados. Tudo isso é feito com o apoio e as orientações de um comitê formado por integrantes das áreas de Segurança Alimentar, Prevenção de Riscos, Controle de Gestão, Jurídico e Responsabilidade Social, que se reúnem periodicamente para avaliar o programa." "O Grupo Carrefour também realiza diariamente doação de alimentos por meio de suas unidades espalhadas pelo país, com o programa “Parceria que Alimenta” — apoiando programas de segurança alimentar, como os Bancos de Alimentos dos Municípios nos quais possui operações e o programa Mesa Brasil do SESC. Assim contribui para o combate à fome e apoio às comunidades mais vulneráveis. Só em 2019 e 2020, o volume doado ultrapassou 3,2 mil toneladas."</t>
  </si>
  <si>
    <t>Mesa Brasil; Banco de Alimentos</t>
  </si>
  <si>
    <t>Armazenamento; Consumo</t>
  </si>
  <si>
    <t>https://www.youtube.com/watch?v=nK91zXDrypc</t>
  </si>
  <si>
    <t>https://www.carrefour.com.br/grupo-carrefour/sustentabilidade/social/parceria-que-alimenta</t>
  </si>
  <si>
    <t>LATAM</t>
  </si>
  <si>
    <t>Avião Solidário - Rede Tênis Brasil</t>
  </si>
  <si>
    <t xml:space="preserve">A LATAM doou "8 toneladas de alimentos que seriam usados a bordo das aeronaves" e as distribuiu pela Rede Tênis Brasil em Brasília, São Paulo e Rio de Janeiro". </t>
  </si>
  <si>
    <t>Rede Tênis Brasil</t>
  </si>
  <si>
    <t>https://www.latamairlines.com/br/pt/sustentabilidade/valor-compartilhado</t>
  </si>
  <si>
    <t>Avião Solidário - Gastromotiva</t>
  </si>
  <si>
    <t>A LATAM doou 6.570 kits de refeição para a ONG Gastromotiva, beneficiando comunidades das Zonas Norte, Oeste e Leste de São Paulo.</t>
  </si>
  <si>
    <t>Unilever</t>
  </si>
  <si>
    <t>Ação de Combate à fome</t>
  </si>
  <si>
    <t>"A partir do final de semana do Dia das Mães, mais de 800 mil pacotes de macarrão Knorr, marca da Unilever, chegarão aos estados de São Paulo, Rio de Janeiro, Minas Gerais, Ceará e Pernambuco por meio da Central Única das Favelas (CUFA), e centenas de povoados no sertão nordestino por meio dos Amigos do Bem, responsáveis por organizar e destinar as doações para as famílias mais desamparadas. A quantidade é suficiente para preparar mais de 3,2 milhões de refeições e atender cerca de 800 mil famílias. Maior ação de combate à fome já feita pela Unilever no Brasil, a iniciativa contou com o apoio unânime dos funcionários."</t>
  </si>
  <si>
    <t>Central Única das Favelas (CUFA); Amigos do Bem</t>
  </si>
  <si>
    <t>Ceará; Minas Gerais; Pernambuco; Rio de Janeiro; São Paulo; Sertão Nordestino</t>
  </si>
  <si>
    <t>Nordeste; Sudeste</t>
  </si>
  <si>
    <t>https://www.unilever.com.br/news/2021/unilever-e-funcionarios-unidos-na-maior-acao-de-combate-a-fome/</t>
  </si>
  <si>
    <t>Restaurante Baccarelli</t>
  </si>
  <si>
    <t>"O combate à fome e ao desperdício de alimentos ganha um forte aliado na comunidade de Heliópolis: o Restaurante Baccarelli, iniciativa conjunta da Unilever, por meio de sua marca Hellmann’s, do Instituto Baccarelli e da Gastronomia Periférica. Com inauguração no dia 2 de agosto, o projeto tem como meta servir três refeições diárias para os alunos do Instituto Baccarelli em período de aulas - serão 300 cafés da manhã/tarde e 100 almoços -, além de entregar mais de 750 marmitas completas para as famílias atendidas. Visando também um modelo sustentável e minimizando o desperdício, boa parte dos insumos utilizados no preparo das refeições será doada pelo Unidos Pela Comida, iniciativa também encabeçada por Hellmann’s. “O retorno do Restaurante Baccarelli é um sonho que nutrimos desde março de 2020, com o começo da pandemia”, conta Edilson Ventureli, Diretor Executivo do Instituto Baccarelli. 'A crise socioeconômica pegou forte aqui em Heliópolis, e percebemos que o Instituto Baccarelli deveria ter um compromisso inegociável e permanente com o combate à fome e à insegurança alimentar. O Restaurante vem coroar essa iniciativa, e não poderíamos estar mais bem acompanhados, com a parceria da Gastronomia Periférica e o patrocínio da Hellmann’s, marca da Unilever'."</t>
  </si>
  <si>
    <t>Instituto Baccarelli</t>
  </si>
  <si>
    <t>https://www.unilever.com.br/news/2023/com-patrocinio-da-unilever-restaurante-baccarelli-e-inaugurado/</t>
  </si>
  <si>
    <t>SOS Bahia</t>
  </si>
  <si>
    <t>"Em continuidade às ações de atenção às populações que, por diferentes motivos, se encontram em um estado vulnerável, a Unilever mais uma vez se mobiliza para contribuir com subsídios imediatos para ajudar a estabilizar a situação das milhares de pessoas e famílias desabrigadas no sul do estado da Bahia em função das fortes chuvas do período. A companhia se organizou para contribuir com a campanha SOS Bahia entregando 30 toneladas – ou cerca de 364 mil produtos – para as cidades atingidas pelas chuvas. A Unilever também conta com seus colaboradores fazendo parte desse movimento que tem um propósito único e a meta de levar solidariedade e esperança às famílias necessitadas. Os funcionários podem comprar cestas com produtos disponíveis em um canal interno, que ganhou um recurso exclusivo voltado para as doações. As entregas estão acontecendo ao longo do mês de janeiro."</t>
  </si>
  <si>
    <t>CUFA</t>
  </si>
  <si>
    <t>https://www.unilever.com.br/news/2022/unilever-faz-doacao-para-as-familias-atingidas-pelas-chuvas-na-bahia/</t>
  </si>
  <si>
    <t>Ajuda ao Litoral Norte de SP</t>
  </si>
  <si>
    <t>"A Unilever, fabricante de marcas como Omo, Hellmann´s, Knorr e Seda, viabilizou a doação de aproximadamente R$ 1 milhão de reais em produtos – o equivalente a 100 toneladas - em apoio às cidades do Litoral Norte de São Paulo fortemente afetadas pela chuva. Em parceria com a Cufa (Central Única das Favelas), o SESC SP, o Fundo Social SP e Instituto Verde Escola, as cinco carretas contendo os donativos chegarão a Bertioga a partir de hoje, onde serão distribuídas às famílias em situação de vulnerabilidade. Inicialmente, a Cufa receberá e fará a entrega dos produtos de higiene e limpeza para a população local. Na sequência, o SESC-SP receberá os alimentos direcionados às famílias do Litoral Norte, e outras duas carretas chegarão ao longo das próximas semanas com produtos de higiene, limpeza e alimentos para o Fundo Social de SP e Instituto Verde Escola."</t>
  </si>
  <si>
    <t>CUFA; Sesc SP; Fundo Social SP; Instituto Verde Escola</t>
  </si>
  <si>
    <t>https://www.unilever.com.br/news/2023/unilever-doa-produtos-para-populacao-do-litoral-norte-de-sao-paulo/</t>
  </si>
  <si>
    <t>Doação de Cestas Básicas na Pandemia da Covid-19</t>
  </si>
  <si>
    <t>"A pandemia da Covid-19 intensificou o aumento do número de pessoas em situação de insegurança alimentar grave no Brasil. Atenta a este cenário, a Vale está unindo esforços com organizações que atuam para o combate à fome no país: Movimento Panela Cheia (formado por Cufa, Gerando Falcões e Frente Nacional Antirracista) - com o apoio da União SP e cooperação da Unesco no Brasil -, o Movimento União Rio e a Ação da Cidadania. A iniciativa também tem apoio do Programa Mundial de Alimentos (WFP), da Organização das Nações Unidas (ONU). Ao todo, serão doadas cerca de 1 milhão de cestas básicas para alimentar 219 mil famílias brasileiras. Por volta de 70% dessas famílias receberão as doações em cestas ou cartões-alimentação, mensalmente, por 6 meses. A distribuição das cestas será dividida em três frentes: o WFP, com apoio de governança da Deloitte, oferecerá apoio técnico e logístico a ONGs parceiras, que distribuirão os alimentos para municípios do Espírito Santo, Maranhão, Minas Gerais, Pará e Mato Grosso do Sul, por meio de cestas básicas ou cartões-alimentação, viabilizados pela Alelo. As ONGs que executarão a ação nos estados são: Instituto Brasileiro de Inovações Pró-Sociedade Saudável Centro-Oeste (Mato Grosso do Sul); Agente Pastoral Negros do Brasil (Espírito Santo); Associação Arebeldia Cultural (Minas Gerais); Instituto Beneficente Amigos que Brilham (Pará); Centro de Estudos Avançados de Promoção Social e Ambiental/Projeto Saúde e Alegria (Pará); e Instituto Nordeste Cidadania (Maranhão). O Movimento Panela Cheia ficará responsável por distribuir alimentos para os demais estados do país e, dentro dele, a CUFA contará com o apoio de governança da Deloitte. Já a atuação do União Rio será focada no Rio de Janeiro. A Ação da Cidadania atuará em parceria com a Rede Voluntária Vale, plataforma de voluntariado da empresa, aberta a toda a sociedade. O objetivo é mobilizar pessoas interessadas em doar, em todo o país, a se unirem a causa. A atuação junto à Ação da Cidadania será via matching: a cada R$ 1 doado pelo site da Rede Voluntária, a Vale fará uma doação de R$ 10. A meta é alcançar R$ 200 mil em doações de voluntários para garantir R$ 2 milhões em doações da Vale, que serão revertidos em cestas básicas a serem entregues pela Ação da Cidadania nos estados do Rio de Janeiro, Espírito Santo, Minas Gerais, Maranhão, Pará e Mato Grosso do Sul."</t>
  </si>
  <si>
    <t>Cufa; Gerando Falcões; Frente Nacional Antirracista; União Rio; Ação da Cidadania; Rede Voluntária Vale; WFP; União SP; Unesco; Instituto Brasileiro de Inovações Pró-Sociedade Saudável Centro-Oeste; Agente Pastoral Negros do Brasil; Associação Arebeldia Cultural; Instituto Beneficente Amigos que Brilham; Centro de Estudos Avançados de Promoção Social e Ambiental/Projeto Saúde e Alegria; Instituto Nordeste Cidadania</t>
  </si>
  <si>
    <t xml:space="preserve">Espírito Santo; Maranhão; Mato Grosso do Sul; Minas Gerais; Pará; Rio de Janeiro </t>
  </si>
  <si>
    <t>Sudeste; Nordeste; Centro-Oeste; Norte</t>
  </si>
  <si>
    <t>https://www.vale.com/pt/w/vale-doa-1-milhao-de-cestas-basicas-em-todo-o-brasil-por-meio-de-movimento-panela-cheia-acao-da-cidadania-e-uniao-rio</t>
  </si>
  <si>
    <t>Avião Solidário - Recife</t>
  </si>
  <si>
    <t>A LATAM "transportou gratuitamente para Recife mais de 3 toneladas de alimentos destinados a mais de 200 famílias atingidas pelas chuvas." "Os alimentos foram arrecadados pela entidade [LBV] por meio da campanha emergencial SOS Calamidades, que auxilia no suporte e apoio às famílias em situação de vulnerabilidade. Entre os itens transportados estão arroz, feijão, farinha, fubá, extrato de tomate, macarrão, café, água e leite em pó."</t>
  </si>
  <si>
    <t>Legião da Boa Vontade - LBV</t>
  </si>
  <si>
    <t>https://aeroin.net/aviao-solidario-da-latam-beneficia-mais-de-130-milhoes-de-brasileiros-em-11-anos/</t>
  </si>
  <si>
    <t>https://www.naviagem.com.br/2022/06/aviao-solidario-da-latam-transporta_28.html</t>
  </si>
  <si>
    <t>https://www.lbv.org/sos-calamidades</t>
  </si>
  <si>
    <t>Avião Solidário - UniãoBR</t>
  </si>
  <si>
    <t>"A Latam transportou gratuitamente um total de 50 mil refeições em apoio às vítimas das fortes chuvas que atingem o litoral paulista. O transporte foi realizado em parceria com o Movimento UniãoBR. Ao todo, foram transportadas 140 caixas, uma carga de quase 2 toneladas."</t>
  </si>
  <si>
    <t>União BR</t>
  </si>
  <si>
    <t>https://veja.abril.com.br/coluna/radar-economico/latam-transporta-gratuitamente-50-mil-refeicoes-para-vitimas-das-chuvas#:~:text=Transporte%20foi%20realizado%20em%20parceria,companhias%20para%20adquirir%20as%20refei%C3%A7%C3%B5es&amp;text=A%20Latam%20transportou%20gratuitamente%20nesta,que%20atingem%20o%20litoral%20paulista.</t>
  </si>
  <si>
    <t>Sodexo</t>
  </si>
  <si>
    <t xml:space="preserve">Viver Bem </t>
  </si>
  <si>
    <t>"No Brasil, a Sodexo criou o Programa Viver Bem, que reúne iniciativas que têm por objetivo: promover um estilo de vida saudável para consumidores dos serviços da Sodexo e para a sociedade como um todo por meio da alimentação saudável, ações e dicas de qualidade de vida; apoiar ações de educação alimentar e qualidade de vida; melhorar a situação nutricional dos trabalhadores brasileiros tanto no ambiente de trabalho como fora dele, seguindo a legislação do PAT – Programa de Alimentação do Trabalhador. Isso irá aumentar a qualidade de vida no trabalho! Conheça algumas ações do Viver Bem no Brasil: Superalimentos: regularmente, publicamos no blog da Sodexo informações das  propriedades nutricionais, curiosidades, razões e benefícios do consumo de alimentos acessível à população como arroz e feijão, laranja, ovo e muitos outros. Um projeto de alimentação saudável acessível a você! Conteúdo Educativo: você também pode encontrar uma série de informações para tornar sua alimentação saudável"</t>
  </si>
  <si>
    <t>Consumidor final</t>
  </si>
  <si>
    <t>https://www.sodexobeneficios.com.br/qualidade-de-vida/noticias/sodexo-club/ja-conhece-o-programa-viver-bem-da-sodexo.htm</t>
  </si>
  <si>
    <t>https://www.sodexobeneficios.com.br/qualidade-de-vida/viver-bem/</t>
  </si>
  <si>
    <t>Amitis: Hortas hidropônicas</t>
  </si>
  <si>
    <t>"O Amitis é um negócio de impacto socioambiental que visa contribuir para a melhoria na distribuição de alimentos e geração de emprego no país. Para que a a sociedade tenha acesso a alimentação de qualidade com valor agregado, realizamos a venda e doação de hortas hidropônicas semi-automáticas e sustentáveis a pessoas que passam a ser micro agricultores Amitis e podem distribuir o que é cultivado em nossa plataforma virtual, facilitando o acesso a alimentos naturais e nutritivos."</t>
  </si>
  <si>
    <t>Produção de alimento; Consumo</t>
  </si>
  <si>
    <t>https://sites.google.com/enactusufal.com/portiflioamitis/in%C3%ADcio</t>
  </si>
  <si>
    <t>https://www.linkedin.com/company/oamitis/</t>
  </si>
  <si>
    <t>Grupo Jari; Governo do Estado do Amapá (através do RURAP e SEMA); Prefeitura de Laranjal do Jari (através do IMAPA); Prefeitura de Vitoria do Jari; Sindicatos dos Trabalhadores e Trabalhadoras Rurais; IFAP-Jari; EMBRAPA-AP; Biofílica Investimentos Ambientais</t>
  </si>
  <si>
    <t>O Combate ao COVID-19 é uma a luta de todos</t>
  </si>
  <si>
    <t>"Uma iniciativa da Câmara Técnica do Projeto Redd+ Jari Amapá. O Combate ao COVID-19 é uma a luta de todos. Mesmo que o processo de contaminação estejam começando a diminuir nos grandes centros urbanos, o vírus ainda se expandido pelo interior. Nesse contexto as comunidades rurais são as mais vulneráveis e a fim de diminuir o impacto que o vírus vem causando nas comunidades rurais, O Grupo Jari, em parceria com o Governo do Estado do Amapá (através do RURAP e SEMA), Prefeitura de Laranjal do Jari (através do IMAPA) e Prefeitura de Vitoria do Jari, com os Sindicatos dos Trabalhadores e Trabalhadoras Rurais dos dois municípios, juntamente com o IFAP-Jari, EMBRAPA-AP e Biofílica Investimentos Ambientais, entregaram as família rurais, um kit de Higiene, Kit de Segurança Alimentar e um Kit Mascara, incentivando sua família a manter o distanciamento social. As comunidades ribeirinhas atendidas foram Iratapuru, Santo Antônio da Cachoeira, São Jose, Padaria, Arapiranga e entre outras comunidades terrestres como França Rocha, Ramal Fé em Deus."</t>
  </si>
  <si>
    <t>http://laranjaldojari.ap.gov.br/noticia/3107/parceria-garante-apoio-as-comunidades-rurais-do-jari</t>
  </si>
  <si>
    <t>https://www.facebook.com/fundacaojarinorte/?locale=pt_BR</t>
  </si>
  <si>
    <t>Dia mundial da Alimentação</t>
  </si>
  <si>
    <t>"A Bunge, líder global em agronegócio, alimentos e ingredientes, anuncia a criação de um programa global de voluntariado e apoio filantrópico para lidar com questões crescentes de insegurança alimentar e necessidades humanitárias em todo o mundo. Neste ano, as equipes da Bunge atuaram em prol do Dia Mundial da Alimentação ao coordenar campanhas de doação de alimentos, voluntariado em bancos de alimentos e apoio a grupos locais focados no combate à fome e suporte ao acesso à alimentação. No Brasil, as ações foram realizadas pelos times de voluntariados locais e contaram com apoio especial da Fundação Bunge, que há 20 anos mantém no país o programa de voluntariado corporativo Comunidade Educativa, implementado em municípios nos quais a Bunge está presente. Capacitados nos princípios e competências do voluntariado, os colaboradores da empresa dedicam horas semanais de trabalho para desenvolver atividades em escolas, abrigos de crianças e idosos e espaços comunitários. As ações aconteceram nas cidades de Balsas (MA), Gaspar (SC), Guarujá (SP), Ipojuca (PE), Luís Eduardo Magalhães (BA), Nova Mutum (MT), Ponta, Grossa (PR), Rondonópolis (MT), Santa Luzia (MG), Santos (SP), São Paulo (SP) e Uruçuí (PI). As equipes organizaram ações diversas, como: entregas de mantimentos e cestas básicas para entidades parceiras e pessoas em situação de rua ou vulnerabilidade social; atividades para crianças com o intuito de promover alimentação saudável; oficinas de culinária com a utilização de ingredientes mais acessíveis e incentivo ao reaproveitamento de alimentos; e um mercado solidário, para que as famílias auxiliadas pudessem escolher os itens dos quais mais necessitavam para compor sua alimentação. No total, somando as diferentes iniciativas, foram distribuídas cerca de 7,8 toneladas de alimentos."</t>
  </si>
  <si>
    <t>Bahia; Maranhão; Mato Grosso; Minas Gerais; Paraná; Pernambuco; Piauí; Santa Catarina; São Paulo</t>
  </si>
  <si>
    <t>Nordeste; Centro-Oeste; Sudeste; Sul</t>
  </si>
  <si>
    <t>https://www.bunge.com.br/Press-Releases/Bunge-anuncia-programa-global-de-voluntariado-com-foco-em-segurana-alimentar</t>
  </si>
  <si>
    <t>https://www.portaldoagronegocio.com.br/gestao-rural/gestao/noticias/bunge-anuncia-programa-global-de-voluntariado-com-foco-em-seguranca-alimentar</t>
  </si>
  <si>
    <t>Comunidade Educativa (Além da Mesa – alimentar corpo, mente e alma)</t>
  </si>
  <si>
    <t>"Programa Comunidade Educativa, da Fundação Bunge, que reúne mais de 600 voluntários em nove estados, focará as ações de 2023 no apoio ao combate à fome e à insegurança alimentar. Com o tema 'Além da Mesa – alimentar corpo, mente e alma', o voluntariado pretende, ao longo deste ano, engajar os colaboradores da Bunge em ações que contribuam com o acesso à alimentação adequada e regular de pessoas em situação de vulnerabilidade social nas comunidades onde os voluntários da empresa atuam. O objetivo é colaborar para reverter dados que apontam que 125,2 milhões de brasileiros, mais da metade da população, estão em situação de insegurança alimentar em algum grau: leve, moderado ou grave. A Fundação Bunge reuniu nos dias 13 e 14 de março os coordenadores de voluntariado de nove estados brasileiros para formá-los na temática e conhecerem iniciativas que estão transformando realidades. O Comunidade Educativa incentivará os voluntários a articularem e criarem estratégias para além da doação de alimentos. 'Queremos fazer um convite a exercitar o olhar crítico para esse desafio nas comunidades onde atuamos e fazer chegar alimentos a quem mais precisa, não apenas com a doações, que são muito importantes, mas também com ações de estímulo a produções locais e de geração de renda.', explica Cláudia Buzzette Calais, diretora-executiva da Fundação Bunge. Criado em 2002, o Comunidade Educativa é o programa de voluntariado corporativo da Bunge no Brasil. Mais de 600 colaboradores voluntários, em nove estados brasileiros, dedicam até 2 horas semanais de trabalho para desenvolver atividades nas comunidades onde a empresa atua."</t>
  </si>
  <si>
    <t>Sem elo específico</t>
  </si>
  <si>
    <t>https://observatorio3setor.org.br/noticias/fundacao-bunge-mobiliza-voluntarios-para-promover-seguranca-alimentar/</t>
  </si>
  <si>
    <t>https://www.difundir.com.br/site/c_mostra_release.php?emp=6991&amp;num_release=277028</t>
  </si>
  <si>
    <t>XP Investimentos; Ibiuna Investimentos</t>
  </si>
  <si>
    <t>Juntos Transformamos</t>
  </si>
  <si>
    <t>"O fundador e diretor da XP Investimentos, Guilherme Benchimol, anunciou em seu Instagram a campanha 'Justos Transformamos', com uma doação de R$25 milhões para ajudar famílias em vulnerabilidade social a colocar comidas em suas mesas durante a pandemia de coronavírus. A estimativa é beneficiar 100 mil pessoas com alimentação por um período inicial de três meses. Para garantir que os alimentos cheguem ao seu destino, a XP firmou parceria com três ONGs: Gerando Falcões, Amigos do Bem, Visão Mundial, que estão encarregadas da distribuição das cestas básicas."</t>
  </si>
  <si>
    <t>Visão Mundial; Gerando Falcões; Amigos do Bem</t>
  </si>
  <si>
    <t>https://www1.folha.uol.com.br/mercado/2020/03/corretora-doa-r-25-mi-para-alimentar-familias-durante-pandemia-e-atrai-mais-doadores.shtml</t>
  </si>
  <si>
    <t>https://www.charidy.com/juntostransformamos</t>
  </si>
  <si>
    <t>XP Investimentos; Amgen; Mastercard; Uber; Editora Moderna; Cacau Show; Naturagua; Agropaulo; Fibra; Lojas Americanas</t>
  </si>
  <si>
    <t>Ação emergencial covid-19</t>
  </si>
  <si>
    <t>"No Brasil, em três meses de ação de emergência, a Visão Mundial, como é chamada no país, arrecadou mais de R$ 20 milhões em doações e conseguiu alcançar mais de 1,5 milhão de pessoas, direta e indiretamente, em ações de prevenção e de apoio emergencial, com a doação de cestas básicas e materiais de higiene e limpeza em 12 estados brasileiros. Do total, cerca de R$ 11 milhões foram doações de empresas, dentre elas a XP Investimentos, Amgen, Mastercard, Uber, Editora Moderna, Cacau Show, Naturagua, Agropaulo, Fibra, Lojas Americanas. Outros recursos incluem doações de organizações multilaterais, agências de cooperação governamentais e doações de indivíduos. O Fundo de Emergência da organização também foi direcionado para a resposta."</t>
  </si>
  <si>
    <t>Visão Mundial</t>
  </si>
  <si>
    <t>Alagoas; Bahia; Ceará; Distrito Federal; Minas Gerais;  Paraíba; Pernambuco; Rio de Janeiro</t>
  </si>
  <si>
    <t>Nordeste; Centro-Oeste; Sudeste</t>
  </si>
  <si>
    <t>https://visaomundial.org.br/noticias/visao-mundial-arrecada-mais-de-rdollar-20-milhoes-em-doacoes-e-parcerias-em-tres-meses-de-acoes-contra-o-novo-coronavirus-no-brasil</t>
  </si>
  <si>
    <t>https://visaomundial.org.br/noticias/com-otimizacao-de-recursos-parceria-de-visao-mundial-e-xp-investimentos-consegue-incluir-mais-de-9-mil-novas-familias-em-acao-de-doacao-de-cestas-basicas</t>
  </si>
  <si>
    <t>Ativa Juventude</t>
  </si>
  <si>
    <t xml:space="preserve">"O programa é conduzido em duas modalidades: presencial, com duração de 12 meses; e híbrido, ao longo de quatro meses. No modelo presencial, os jovens frequentam o Núcleo duas vezes na semana no contraturno escolar, e no modelo híbrido nosso(a) educador(a) se encontra com os jovens uma vez por semana em sua escola. Os encontros têm duração média de uma hora no híbrido e duas horas no presencial. Conteúdos e vídeos são enviados periodicamente, via WhatsApp, aos participantes do modelo híbrido, bem como desafios semanais – a fim de manter os jovens engajados. Em ambos os modelos, assim como no Ativa Infância, valorizamos o momento da refeição e oferecemos um lanche para todos os jovens, executando uma operação logística complexa para garantir que alimentos de qualidade cheguem aos nossos mais de 2 mil jovens, incluindo aqueles atendidos nas localidades onde não temos núcleo físico. Fazemos questão de proporcionar esse momento, pois acreditamos que, por meio da alimentação, também demonstramos afeto e cuidado – fundamentos importantes da nossa atuação. Nos entornos onde há unidades da Raízen, foram realizadas atuações estratégicas visando combater a vulnerabilidade alimentar através da doação de cestas básicas e de Natal, totalizando mais de R$220 mil reais em investimento social." </t>
  </si>
  <si>
    <t>Fundação Raízen</t>
  </si>
  <si>
    <t>Goiás; São Paulo</t>
  </si>
  <si>
    <t>https://raizen.com.br/fundacao-raizen/projetos#ativa-juventude</t>
  </si>
  <si>
    <t>https://raizen-institucional-relatorios.s3.amazonaws.com/fundacao-raizen/2023/pdf/Fundacao_Raizen_RA_2022_D7.pdf</t>
  </si>
  <si>
    <t>https://api.mziq.com/mzfilemanager/v2/d/6aa68515-2422-4cc4-bafa-8870ccdfedb0/01ce78cf-b44b-6b8e-336b-cc6eac71f4ab?origin=1</t>
  </si>
  <si>
    <t>Ativa Infância</t>
  </si>
  <si>
    <t xml:space="preserve">"No Núcleo Jaú (SP), promovemos uma infância ativa com afeto, cuidado e socialização, respeitando o direito de aprender brincando. As atividades são realizadas no âmbito do Ativa Infância, programa reconhecido pelo Ministério da Educação e que visa assegurar que crianças de zero a cinco anos tenham acesso a uma escola integral e que crianças de seis a dez anos possam preencher o contraturno escolar com atividades que as incentivem a expandir seus potenciais e as preparem para o seu contexto sociocultural. O Núcleo conta com uma horta no espaço externo em que os alunos podem plantar e acompanhar o desenvolvimento dos alimentos – da semente ao prato. Entendemos que, além de proporcionar uma relação próxima com a  natureza, o momento da refeição deve estimular todos os sentidos e a curiosidade, por isso implementamos um programa alimentar que oferece experimentações ao mesmo tempo em que foca na qualidade da alimentação. A iniciativa visa, portanto, estimular a alimentação saudável e proporcionar segurança alimentar às nossas crianças." Na pandemia, a Raízen seguiu comprometida "com a alimentação saudável dessas crianças e reverteu cerca de 23 toneladas de merenda – antes distribuídas presencialmente – em alimentos que foram destinados na forma de 2.150 cestas básicas, doadas mensalmente aos beneficiados do programa." </t>
  </si>
  <si>
    <t>https://raizen.com.br/fundacao-raizen/projetos#ativa-infancia</t>
  </si>
  <si>
    <t>Avião Solidário - América do Sul</t>
  </si>
  <si>
    <t>Em 2011, a Latam Airlines criou o Programa Avião Solidário, chegando na América do Sul em 2020. "Com 20 ONGs parceiras, a iniciativa procura demonstrar compromisso com o país ao compartilhar o transporte aéreo de forma gratuita para atender a necessidades de saúde, cuidado com o meio ambiente, causas sociais e ajuda humanitária em desastres naturais." Entre esses cuidados, esteve o transporte e doação de alimentos.</t>
  </si>
  <si>
    <t>Avião Solidário da Latam completa 11 anos no Brasil com 130 milhões de impactados (aeroin.net)</t>
  </si>
  <si>
    <t>Cheap Food; Moça Paulista; Casa de Pães Capitu; Vila Áurea dos Pães; Padaria Charme; G.S Confeitaria; Grazi Bolos; Kaeru Doces; Ébanos Sorvete Café; Mister Ival Rotissiere; Dona Tapioca &amp; Cia; Jazz Restaurante; Cozinha da Villa; Fábrica da Rosti; Restaurante Damasco; 10 Pastéis; Estação da Pizza Top; Jota 1078; Estelita; Pasta Nostra; Max Lanches; Coelhão Beer; Urbanika; Costelão do Boni; Kaeru; Quitutes da Nana; Little Beer; Empório Santé; Rúcola Salada; Mercadinho Veggie; Cath Express; Los Camarones; All Fries; Café 5ª Avenida; Casa Bauducco; Dona Chocólatra; Go Vegan Sushi; Ópera Confeitaria; Caiçara Bistrô &amp; Café; Boqueirão Express Grill; Mineirinha; O Armazém; La Pâtisserie; Par Perfeito; Porto dos Brownies; Casa Madre; Casa Donuts; Armazém do Café; Massas Veneza; Terra &amp; Cia; Beersomos; Sapore; Nola Café; La Flora Cakes; Sepão &amp; Cia; Quanta Cafeína; Chef da Empada; Choco UAU; Carmelitchos</t>
  </si>
  <si>
    <t>Cheap Food</t>
  </si>
  <si>
    <t>"A Cheap Food é uma empresa que tem o propósito de reduzir o desperdício de alimentos no Brasil através do seu app de delivery. Ela atua vendendo o excesso de produção diário dos estabelecimentos. Ou seja, ao invés dos restaurantes descartarem os alimentos que não foram vendidos, eles montam uma sacola com esses produtos com até 70% de desconto. "</t>
  </si>
  <si>
    <t>Varejo; Consumidor final</t>
  </si>
  <si>
    <t>https://observatorio.all4food.com.br/pda/cheap-food/</t>
  </si>
  <si>
    <t>https://www.linkedin.com/company/cheapfoodapp/about/</t>
  </si>
  <si>
    <t>https://economia.ig.com.br/2021-10-22/cheap-food-startup-brasil-desperdicio-de-comida.html</t>
  </si>
  <si>
    <t>Refood</t>
  </si>
  <si>
    <t>"Refood, o aplicativo que conecta pessoas a estabelecimentos que vendem comida para diminuir o desperdício. Para os estabelecimentos, é uma solução fácil e eficiente para resolver a questão da produção excedente do dia, e dos produtos que estão perto da data de vencimento – sem se preocupar com delivery. Além de transformar desperdício em lucro, os estabelecimentos vão atrair novos clientes para conhecer a sua loja. Também vão associar positivamente a sua marca a uma causa urgente para o meio ambiente. Para os clientes, é um jeito de comprar comida mais barata, de conhecer novos supermercados, padarias, estaurantes, lanchonetes e hotéis do próprio bairro, além de aproveitar para caminhar para retirar a sua caixa surpresa escolhida no app, com zero emissão de Co2."</t>
  </si>
  <si>
    <t>https://observatorio.all4food.com.br/pda/refood/</t>
  </si>
  <si>
    <t>https://www.linkedin.com/company/refoodapp-brasil/about/</t>
  </si>
  <si>
    <t>https://economia.uol.com.br/noticias/redacao/2022/02/07/refood-aplicativo-desperdicio-de-alimentos.htm</t>
  </si>
  <si>
    <t>WasteWatch</t>
  </si>
  <si>
    <t>"O WasteWatch é um programa global de combate ao desperdício da SODEXO, que visa monitorar e reduzir o desperdício em suas próprias unidades de alimentação, além de promover a diminuição de emissões de carbono, utilizando novos sistemas, processos de gestão e capacitação das equipes." "O WasteWatch foi lançado pelo Grupo Sodexo em 2019 e, desde então, já são mais de 2.500 restaurantes com o programa implementado em todo o mundo. No Brasil, o desenvolvimento da estratégia iniciou em 2021 e, este ano, começou sua implantação.  Por aqui já são mais de 400 restaurantes com o novo programa de combate ao desperdício de alimentos e até setembro de 2023, todas as mais de 1.200 unidades de alimentação corporativa da empresa contarão com o WasteWatch, contribuindo assim com a meta global de reduzir 50% o desperdício de alimentos até 2025. O WasteWatch tem como base os três pilares da sustentabilidade: econômico, social e ambiental. Em um país com milhões de pessoas que passam fome diariamente, o impacto relevante de cunho social inclui uma importante diminuição na perda de alimentos prontos para o consumo. No pilar ambiental há o impacto na redução dos resíduos, ao utilizar os alimentos de maneira integral ou aplicando técnicas culinárias para melhor aproveitamento de suas propriedades nutricionais, contribuindo assim com o menor consumo de recursos naturais e diminuição da geração de gases de efeito estufa. Já o pilar econômico gera impacto financeiro, com maior eficiência operacional e otimização de custos por meio da gestão, tanto em processos quanto análise de dados para a tomada de decisão."</t>
  </si>
  <si>
    <t>Logística; Varejo</t>
  </si>
  <si>
    <t>https://observatorio.all4food.com.br/pda/wastewatch/</t>
  </si>
  <si>
    <t>https://br.sodexo.com/midia/atividades/wastewatch-no-brasil-para-o-comb-2.html</t>
  </si>
  <si>
    <t>Gooxxy</t>
  </si>
  <si>
    <t>"A Gooxxy traz novas soluções para empresas que buscam a diminuição do descarte de alimentos e embalagens da indústria, criando novas possibilidades para o mercado e auxiliando no combate de desperdício de produtos aptos ao consumo." "A Gooxxy é uma greentech especialista na redução do descarte de produtos da indústria, sejam eles com o vencimento aproximado, fora do padrão ou descontinuados. Acreditamos no consumo consciente que gera oportunidades sustentáveis para toda a cadeia: as indústrias, os varejistas e os consumidores."</t>
  </si>
  <si>
    <t>https://observatorio.all4food.com.br/pda/gooxxy/</t>
  </si>
  <si>
    <t>https://www.linkedin.com/company/gooxxy/about/</t>
  </si>
  <si>
    <t>https://exame.com/esg/recolocar-e-mais-sustentavel-que-descartar-gooxxy-evita-desperdicio-toneladas-produtos/</t>
  </si>
  <si>
    <t>https://gooxxy.com/</t>
  </si>
  <si>
    <t>SaveAdd</t>
  </si>
  <si>
    <t>"O Saveadd usa IA para estabelecer plano de ações e relacionamentos, controlados por regras de negócios, auditar e controlar as ações de ofertas e gerar relatórios e insights para reduzir as perdas hoje e no futuro. Toda a tecnologia da Saveadd é proprietária e visa o controle e a segurança nas práticas de redução de custos e geração de novos valores, sendo sociais, ambientais ou econômicos. Queremos ser hoje e sempre, a melhor desenvolvedora de soluções contra o desperdício de alimentos e você pode fazer parte disso." "A startup utiliza inteligência artificial para conectar supermercados e hortifrutis com excedentes ociosos e que estão gerando gastos, a comércios ou ONGs interessadas em comprá-los, agregando valor aos produtos que seriam descartados."</t>
  </si>
  <si>
    <t>Logística; Varejo; Consumidor final</t>
  </si>
  <si>
    <t>https://observatorio.all4food.com.br/pda/saveadd-start-up/</t>
  </si>
  <si>
    <t>https://www.saveadd.com.br/home</t>
  </si>
  <si>
    <t>https://www.linkedin.com/company/saveadd/about/</t>
  </si>
  <si>
    <t>Favela Orgânica</t>
  </si>
  <si>
    <t>"Projeto Favela Orgânica é uma iniciativa pioneira que teve origem nas comunidades Babilônia e Chapéu Mangueira, na zona sul da cidade do Rio de Janeiro. Surgiu em setembro de 2011, com apenas R$140,00, como fruto do olhar sensível e da iniciativa de Regina Tchelly. Com os objetivos de modificar a relação das pessoas com os alimentos, evitar o desperdício, cuidar do ambiente e mostrar que é possível acabar com a fome, o projeto já levou suas oficinas e palestras para outros estados do Brasil, como Bahia, Pernambuco, Paraíba, Ceará, Minas Gerais, São Paulo, Santa Catarina, Paraná, Maranhão, Rio Grande do Sul e para o Distrito Federal, além do exterior, na França, Itália e Uruguai. Sua missão é modificar a relação do ser humano com os alimentos, conscientizando as pessoas sobre cada etapa do ciclo da alimentação: começando do planejamento das compras e indo até o preparo e o descarte do alimento. Desta forma, possibilita a criação de hábitos e práticas alimentares responsáveis em relação ao meio ambiente e saudáveis para famílias e comunidades. Plantar ou planejar as compras, escolher os alimentos, preparar as refeições, consumi-las e cuidar minuciosamente dos resíduos são ações de extrema importância, que demonstram amor ao próximo e ao nosso planeta."</t>
  </si>
  <si>
    <t>Bahia; Ceará; Distrito Federal; Maranhão; Minas Gerais; Paraíba; Paraná; Pernambuco; Rio de Janeiro; Rio Grande do Sul; Santa Catarina; São Paulo</t>
  </si>
  <si>
    <t>Nordeste; Centro Oeste; Sudeste; Sul</t>
  </si>
  <si>
    <t>https://observatorio.all4food.com.br/pda/favela-organica/</t>
  </si>
  <si>
    <t>https://favelaorganica.com.br/pt/o-projeto/</t>
  </si>
  <si>
    <t>https://www.linkedin.com/company/favelaorganica/posts/?feedView=all</t>
  </si>
  <si>
    <t>https://www.facebook.com/favelaorganica</t>
  </si>
  <si>
    <t>Food Finder</t>
  </si>
  <si>
    <t>"A empresa conecta fornecedores de alimentos com os setores de varejo e serviços de alimentação (restaurantes, bares, catering e afins) para a comercialização de produtos fora do padrão comercial e de produtos perto do prazo de validade." "O desafio foi criar uma solução capaz de diminuir o desperdício de alimentos e, ao mesmo tempo, aumentar o acesso das populações menos favorecidas à alimentação. No início, pensamos em levantar doações dos alimentos que seriam descartados. Esse projeto foi inclusive premiado em concurso internacional. Entretanto, logo percebemos que o modelo não se sustentaria, sob o ponto de vista econômico. Dessa forma, iniciamos uma jornada bem trabalhosa de identificar possíveis empresas interessadas em vender produtos próximos à data de vencimento para consumo e também aquelas que gostariam de adquiri-los, já que as especificidades do mercado de alimentos é muito grande. Queremos que muitas toneladas de alimentos sejam poupadas do descarte. Nosso propósito é garantir que todos os elos envolvidos na cadeia se beneficiem. O fornecedor, que aumenta sua receita e reduz gastos com descarte; o comprador que reduz seu custo com matéria prima e o terceiro setor, que poderá receber doações por nosso intermédio, quando for o caso. Além, é claro, de preservar o meio ambiente."</t>
  </si>
  <si>
    <t>https://observatorio.all4food.com.br/pda/food-finder-start-up/</t>
  </si>
  <si>
    <t>https://www.linkedin.com/company/food-finder/about/</t>
  </si>
  <si>
    <t>https://srainovadeira.com.br/food-finder/</t>
  </si>
  <si>
    <t>Glocal; Bloomin' Brands; CashMe; Falconi; Family Office Ene2 Participações</t>
  </si>
  <si>
    <t>B4waste</t>
  </si>
  <si>
    <t xml:space="preserve">"B4waste, uma startup que recria a relação entre empresas, pessoas e produtos próximos ao vencimento. Conectamos quem tem perdas por vencimento e maturação com empresas e pessoas que queiram produtos próximos ao vencimento com pelo menos 50% de desconto. Ajudamos de verdade nosso planeta, prevenindo o desperdício. Já salvamos mais de 300 toneladas do desperdício previnindo a emissão de mais de 16 toneladas de Metano. Mais que uma boa ideia, tangível e escalável, aliamos tecnologia disruptiva e já sentimos impactos -  mudanças significativas em padrões de consumo com atitudes inovadoras que refletem no novo cenário sócio-ambiental e econômico, tão necessárias para o mundo pós pandemia. Sempre pensando em como tornar a relação ganha ganha em todas as pontas, b4waste renova a visão e deixa para trás a cultura do desperdício. O mesmo se converte em nova fonte de receita entre varejistas e propõe ao consumidor final uma oportunidade comprar produtos de altíssima qualidade próximos ao vencimento pagando no mínimo 50% mais barato." </t>
  </si>
  <si>
    <t>Belo Horizonte; Rio de Janeiro; São Paulo</t>
  </si>
  <si>
    <t>https://observatorio.all4food.com.br/pda/b4waste/</t>
  </si>
  <si>
    <t>https://b4waste.com.br/</t>
  </si>
  <si>
    <t>https://www.linkedin.com/company/b4waste/posts/?feedView=all</t>
  </si>
  <si>
    <t>https://www.terra.com.br/byte/inovacao/startup-b4waste-levanta-r-2-milhoes-para-combater-desperdicio-de-alimentos-nos-mercados,baed674df8788fb78130e80caaa061dfcivijcy5.html?utm_source=midia_site&amp;utm_medium=site&amp;utm_campaign=noticias_sobre_b4&amp;utm_id=siteb4waste</t>
  </si>
  <si>
    <t>https://inovasocial.com.br/negocio-social/b4waste/?utm_source=midia_site&amp;utm_medium=site&amp;utm_campaign=noticias_sobre_b4&amp;utm_id=siteb4waste</t>
  </si>
  <si>
    <t>Fresco Labs</t>
  </si>
  <si>
    <t>Be smart Order right</t>
  </si>
  <si>
    <t>"Se o gênio aparecesse hoje para nós, o primeiro desejo seria de aumentar a produtividade de empresas atacando o desperdício. Nosso foco são varejistas alimentares que vendam alimentos frescos e utilizam dados para tomada de decisões. Empoderamos supermercados com tecnologia para otimizar a venda de alimentos frescos, eliminar desperdício e aumentar faturamento."</t>
  </si>
  <si>
    <t>https://observatorio.all4food.com.br/pda/fresco-labs/</t>
  </si>
  <si>
    <t>https://frescolabs.com.br/</t>
  </si>
  <si>
    <t>https://www.linkedin.com/company/frescolabs/about/</t>
  </si>
  <si>
    <t>https://www1.folha.uol.com.br/mercado/2021/10/startup-cria-algoritmo-para-prever-demanda-de-supermercados.shtml</t>
  </si>
  <si>
    <t>AgroVen; Bossanova, Sororitê;  Squared Ventures; Fazenda Toca; Somos Um; Galena</t>
  </si>
  <si>
    <t xml:space="preserve">"Fundada em 2017 e sediada no Cubo Itaú, a Muda Meu Mundo tem o propósito de conectar pequenos produtores orgânicos diretamente com supermercados utilizando dados de Governança Ambiental, Social e Corporativa (ESG) e já chama atenção de investidores nacionais e internacionais por seu modelo de negócios único e inovador. Seu objetivo é criar uma cadeia de suprimento de alimentação sustentável, fazendo com que o varejo gere valor para o campo, encurtando os elos e gerando mais receita para ambas as partes. A tecnologia da startup faz um match em seu banco de dados para realizar a melhor combinação entre as necessidades da rede varejista e o produtor que pode atendê-las de forma contínua, permitindo renda recorrente a ele. Uma avaliação periódica do impacto social de desenvolvimento de todos os elos da cadeia é realizada para rastrear os resultados e identificar os benefícios socioambientais." </t>
  </si>
  <si>
    <t>Produção agrícola; Varejo</t>
  </si>
  <si>
    <t>Ceará; São Paulo</t>
  </si>
  <si>
    <t>https://www.linkedin.com/company/muda-meu-mundo/about/</t>
  </si>
  <si>
    <t>https://www.portaldoagronegocio.com.br/gestao-rural/analise-de-mercado/noticias/muda-meu-mundo-startup-que-conecta-pequenos-produtores-ao-varejo-inicia-projeto-de-expansao-nacional-e-chega-a-sao-paulo</t>
  </si>
  <si>
    <t>https://startups.com.br/noticias/agtech-muda-meu-mundo-levanta-r-4-mi-e-planeja-expansao/</t>
  </si>
  <si>
    <t>https://www.mudameumundo.com.br/parceiros/</t>
  </si>
  <si>
    <t>Minus</t>
  </si>
  <si>
    <t>"A Minus é uma startup que trabalha para a gestão e redução das Perdas por Validade Vencida, que é o principal desperdício em estabelecimentos comerciais (supermercados, farmácias, conveniências, etc.), e para isso utiliza a Inteligência de Dados com o sistema Valid. Totalmente integrado ao ERP do varejista, nosso sistema informa quais produtos tem maior risco de vencimento em loja, indicando tratativas para reduzir perdas e tratar as causas raiz da validade vencida em loja. Nossa solução mostra qual será a perda futura e em quais produtos estará concentrada, possibilitando ao varejo agir preventivamente para aumentar seus lucros operacionais." "A Minus faz a divulgação de produtos com vencimento próximo e desconto especial através de uma plataforma, conectando estabelecimentos comerciais e consumidores."</t>
  </si>
  <si>
    <t>https://observatorio.all4food.com.br/pda/minus-start-up/</t>
  </si>
  <si>
    <t>https://www.linkedin.com/company/minustecnologia/about/</t>
  </si>
  <si>
    <t>https://minus.eco.br/#inicio</t>
  </si>
  <si>
    <t>https://redeglobo.globo.com/rpc/realities/rocket-startup/varejo/noticia/rocket-varejo-conheca-mais-sobre-a-startup-minus.ghtml</t>
  </si>
  <si>
    <t>12+</t>
  </si>
  <si>
    <t>12+ App</t>
  </si>
  <si>
    <t>"Empresa de impacto social com foco de atuação em combater o desperdício de alimentos no Brasil. Através da nossa plataforma (site/aplicativo), conectamos os excedentes alimentares, produtos próximos da data de validade ou com tempo de vida curto,  gerados pelos estabelecimentos aos consumidores que desejam comprá-los com descontos de 60% do valor original."</t>
  </si>
  <si>
    <t>https://observatorio.all4food.com.br/pda/12/</t>
  </si>
  <si>
    <t>https://www.facebook.com/12maisapp</t>
  </si>
  <si>
    <t>https://www.linkedin.com/company/12-app/about/</t>
  </si>
  <si>
    <t>Food Flow</t>
  </si>
  <si>
    <t>"Uma das primeiras Foodtechs do País que visa combater o desperdício de alimentos através da oferta de produtos diários ou próximos da validade e que estão em perfeitas condições para serem consumidas. Através da nossa plataforma o consumidor tem até 70% de desconto na compra de qualquer produto."</t>
  </si>
  <si>
    <t>https://observatorio.all4food.com.br/pda/food-flow/</t>
  </si>
  <si>
    <t>https://www.linkedin.com/company/foodflowbr/about/</t>
  </si>
  <si>
    <t>https://g1.globo.com/df/distrito-federal/especial-publicitario/empreende-df/noticia/2022/10/11/biologo-cria-startup-que-combate-desperdicio-de-alimentos.ghtml</t>
  </si>
  <si>
    <t>https://df2.programacentelha.com.br/es1/empresa/food-flow</t>
  </si>
  <si>
    <t>https://www.instagram.com/foodflow_app/</t>
  </si>
  <si>
    <t>Atom participações S.A. (Carol Paiffer)</t>
  </si>
  <si>
    <t>Restin</t>
  </si>
  <si>
    <t>"Somos uma ESG Foodtech brasileira que traz impacto social com o propósito de reduzir o desperdício de alimentos no Brasil. Como fazemos isso? Através da venda de produtos próximos da validade (FIFO) com grandes ofertas, conectamos a indústria de alimentos com o food service (restaurantes comerciais e industriais). Assim, a indústria consegue dar vazão a seus produtos FIFO e os restaurantes conseguem matéria prima por um preço baixo. Por aqui, já salvamos muitas toneladas de alimentos trabalhando com grandes clientes como BRF, Copacol, Marfrig, além de grandes restaurantes."</t>
  </si>
  <si>
    <t>https://observatorio.all4food.com.br/pda/restin/</t>
  </si>
  <si>
    <t>https://www.restin.com.br/</t>
  </si>
  <si>
    <t>https://www.linkedin.com/company/restin-brasil/</t>
  </si>
  <si>
    <t>https://exame.com/colunistas/carol-paiffer/restin-investida-de-carol-paiffer-transforma-desperdicio-em-lucro/</t>
  </si>
  <si>
    <t>https://exame.com/colunistas/carol-paiffer/startup-lucra-com-desperdicio-alimento-saiba-empreendedorismo/</t>
  </si>
  <si>
    <t>Gerdau; Mandu</t>
  </si>
  <si>
    <t>Néctar do Futuro</t>
  </si>
  <si>
    <t>"Nos municípios de Três Marias e Olhos D’Água, em Minas Gerais, a Gerdau, maior empresa brasileira produtora de aço, realiza desde 2019 um programa que reúne 25 apicultores associados à APIONG (Associação dos Pequenos Apicultores de Olhos d’Água) e a APIS Minas (Associação dos Apicultores de Andrequicé). A iniciativa tem como principal objetivo fortalecer o empreendedorismo sustentável nas regiões, contribuindo para desenvolvimento econômico e social no entorno das áreas florestais da Gerdau, utilizando as plantações de eucalipto da empresa como pasto apícola para produção local de produtos gerados pelas abelhas. O programa é composto pela cessão de áreas florestais para instalação de apiários, do projeto de aceleração, e da produção de um brinde social que dá visibilidade ao produto e reforça o compromisso da empresa com os apicultores. De acordo com dados das associações parceiras da Gerdau, os apicultores do programa 'Néctar do Futuro' mantêm, nos dois municípios, mais de três mil caixas de abelhas, que produzem mais de 8 toneladas de mel silvestre. "</t>
  </si>
  <si>
    <t>Associação dos Pequenos Apicultores de Olhos d’Água (APIONG); Associação dos Apicultores de Andrequicé (APIS Minas); Associação Dos Apicultores De Cachoeira Do Teobaldo (APICATI)</t>
  </si>
  <si>
    <t>Produção agrícola</t>
  </si>
  <si>
    <t>https://www2.gerdau.com.br/noticias/programa-nectar-do-futuro-valoriza-apicultores-e-colabora-para-a-consolidacao-da-atividade-em-minas-gerais/</t>
  </si>
  <si>
    <t>https://mandusocial.org/blog/sem-categoria/programa-nectar-do-futuro-fortalecendo-associacoes-de-apicultores-em-minas-gerais/</t>
  </si>
  <si>
    <t>https://centraldeindicadores.gerdau.digital/social</t>
  </si>
  <si>
    <t>https://mandusocial.org/blog/desenvolvimento-de-negocios-comunitarios/como-a-economia-da-floresta-em-pe-pode-ajudar-o-brasil-e-o-mundo/</t>
  </si>
  <si>
    <t>Instituto BRF; Quintessa; Prosas</t>
  </si>
  <si>
    <t xml:space="preserve">Ecco Comunidades </t>
  </si>
  <si>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</si>
  <si>
    <t>Instituto/Fundação</t>
  </si>
  <si>
    <t>Goiás; Mato Grosso; Mato Grosso do Sul; Minas Gerais</t>
  </si>
  <si>
    <t>https://editaisibrf.prosas.com.br/eccocomunidadesstartups.html</t>
  </si>
  <si>
    <t>https://gife.org.br/primeira-edicao-do-ecco-comunidades-do-instituto-brf-foca-em-desenvolvimento-local-e-solucoes-para-enfrentar-o-desperdicio-de-alimentos/</t>
  </si>
  <si>
    <t>Reino dos Países Baixos; Enel; New Zealand Embassy; Antenna Foundation; University Of St Andrews; Santander; The Rotary Foundation; Cargill; Fundação Cargill; Comgas; Google; Consulado Geral da República Tcheca em São Paulo; The Resource Foundation; Deutsche Bank; Forderverein Stadte Ohne Hunger Deutschland; ADM; YARA; Young Living Foundation; Grupo Gaia; Roquette</t>
  </si>
  <si>
    <t>Hortas Urbanas</t>
  </si>
  <si>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</si>
  <si>
    <t>Cidades sem Fome</t>
  </si>
  <si>
    <t>Produção agrícola; Varejo; Consumidor final</t>
  </si>
  <si>
    <t>https://www.cidadessemfome.org</t>
  </si>
  <si>
    <t>https://fundacaocargill.org.br/quem-somos/projetos/</t>
  </si>
  <si>
    <t>Ifood; PagSeguro; BrazilFoundation; Atados; Zissou; Copastur; Malwee; Klabin; Novomundo.com; Organic4; Razac; Fazenda da Toca</t>
  </si>
  <si>
    <t>Orgânico Solidário</t>
  </si>
  <si>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</si>
  <si>
    <t>Bahia; Paraná; Rio de Janeiro; Santa Catarina; São Paulo</t>
  </si>
  <si>
    <t>Nordeste; Sul; Sudeste</t>
  </si>
  <si>
    <t>https://organicosolidario.org/</t>
  </si>
  <si>
    <t>https://br.linkedin.com/company/org%C3%A2nico-solid%C3%A1rio</t>
  </si>
  <si>
    <t>Reino dos Países Baixos; Enel; New Zealand Embassy; Antenna Foundation; University Of St Andrews; Santander; The Rotary Foundation; Cargill; Fundação Cargill; Comgas; Google; Consulado Geral da República Tcheca em São Paulo; The Resource Foundation; Deutsche Bank; Forderverein Stadte Ohne Hunger Deutschland; ADM; YARA; Young Living Foundation; Grupo Gaia; Roquette; Ifood</t>
  </si>
  <si>
    <t>Hortas Escolares</t>
  </si>
  <si>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</si>
  <si>
    <t>Produção agrícola; Consumidor final</t>
  </si>
  <si>
    <t>https://www.uol.com.br/ecoa/ultimas-noticias/2022/03/02/hortas-criadas-em-terrenos-ociosos-de-sp-colhem-6-t-de-alimentos-todo-mes.htm</t>
  </si>
  <si>
    <t>Fundação Banco do Brasil; Banco do Brasil; BB Seguros; BB DTVM; Banco BV; Cooperforte; Confederação Nacional de Municípios (CNM); Associação Brasileira de Planejadores Financeiros (Planejar); Alelo; Livelo; Voluntariado BB; Prefeitura de  Teresópolis; Prefeitura de Nova Friburgo; Emater-Rio (Empresa de Assistência Técnica e Extensão Rural do Estado do Rio de Janeiro); Secretaria de Estado de Agricultura, Pecuária, Pesca e Abastecimento; Empresa de Assistência Técnica e Extensão Rural (Ematerce)</t>
  </si>
  <si>
    <t>Proteja e Salve Vidas</t>
  </si>
  <si>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t>
  </si>
  <si>
    <t>Associação de Recicladores  Reciclando pela Vida; Secretaria de Cidadania e Assistência Social de Passo Fundo; Fundação Beneficente Lucas Araújo; CoopVieira (Cooperativa Agrícola Capacitação e Geração de Renda da Microbacia Rio Vieira); APROLUC (Associação de Moradores e Pequenos Produtores Rurais da Microbacia Hidrográfica de Lúcios e Comunidades Vizinhas); Cooperativa dos Agricultores e Empreendedores Familiares Rurais do Cariri (Coopaefarc); Movimento de Organização Solidária (MOC)</t>
  </si>
  <si>
    <t xml:space="preserve">Ceará; Rio de Janeiro; Rio Grande do Sul; </t>
  </si>
  <si>
    <t>Nordeste; Sudeste; Sul</t>
  </si>
  <si>
    <t>https://coronavirus.fbb.org.br/</t>
  </si>
  <si>
    <t>https://www.cetap.org.br/site/campanha-proteja-e-salve-vidas/</t>
  </si>
  <si>
    <t>https://www.teresopolis.rj.gov.br/campanha-proteja-e-salve-vidas-entrega-550-cestas-da-agricultura-familiar-para-pessoas-em-extrema-vulnerabilidade-social/</t>
  </si>
  <si>
    <t>https://www.ceara.gov.br/2020/07/08/maranguape-recebe-primeira-entrega-de-projeto-que-doa-cestas-basicas-e-produtos-de-higiene/</t>
  </si>
  <si>
    <t>Fundação Banco do Brasil; Embrapa; Centro Paranaense de Referência em Agroecologia (CPRA); PUC Paraná; Instituto de Desenvolvimento do Paraná (IDR)</t>
  </si>
  <si>
    <t>Projeto Semente para Todos</t>
  </si>
  <si>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</si>
  <si>
    <t>Associação para o Desenvolvimento da Agroecologia</t>
  </si>
  <si>
    <t>https://transforma.fbb.org.br/tecnologia-social/semente-para-todos</t>
  </si>
  <si>
    <t>Instituto Ekloos; Ifood; Instituto BRF; Quitessa; Social Good Brasil</t>
  </si>
  <si>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</si>
  <si>
    <t>https://www.connectingfood.com/</t>
  </si>
  <si>
    <t>https://www.linkedin.com/company/connecting-food-brasil/about/</t>
  </si>
  <si>
    <t>Ebanx; OMV!; Tate &amp; Lyle; Mercedes-Benz; Instituto BRF; Brafer; Frubana; Festval; Clicampo; Lucca; Arado; Assaí Atacadista</t>
  </si>
  <si>
    <t>Logística do Bem</t>
  </si>
  <si>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</si>
  <si>
    <t>GoodTruck</t>
  </si>
  <si>
    <t>Minas Gerais; Paraná; São Paulo</t>
  </si>
  <si>
    <t>Sudeste; Sul</t>
  </si>
  <si>
    <t>https://goodtruck.org.br/logistica-do-bem/</t>
  </si>
  <si>
    <t>https://goodtruck.org.br/wp-content/uploads/Relatorio_Impacto_GoodTruck.pdf</t>
  </si>
  <si>
    <t>Instituto BRF; Quintessa</t>
  </si>
  <si>
    <t>Já entendi - Ecco Comunidades</t>
  </si>
  <si>
    <t xml:space="preserve">"A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  </t>
  </si>
  <si>
    <t>Já Entendi</t>
  </si>
  <si>
    <t>Alimentação Escolar Inteligente</t>
  </si>
  <si>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</si>
  <si>
    <t>Lemobs</t>
  </si>
  <si>
    <t>https://lemobs.com.br/produtos/aei-alimentacao-escolar-inteligente/</t>
  </si>
  <si>
    <t>Marcas que Fazem o Bem</t>
  </si>
  <si>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</si>
  <si>
    <t>Eats For You; Rede Rua; Reagentes</t>
  </si>
  <si>
    <t>Minas Gerias</t>
  </si>
  <si>
    <t>https://www.eatsforyou.com.br/acao-faca-o-bem</t>
  </si>
  <si>
    <t>Fundação Tide Setubal; Quintessa</t>
  </si>
  <si>
    <t>SuperOpa</t>
  </si>
  <si>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</si>
  <si>
    <t>https://fundacaotidesetubal.org.br/o-acesso-a-internet-nas-periferias-e-os-beneficios-para-as-economias-locais/</t>
  </si>
  <si>
    <t>https://startups.com.br/noticias/superopa-quer-captar-r-10-mi-para-ampliar-vendas-para-as-classes-c-e-d/</t>
  </si>
  <si>
    <t xml:space="preserve">Semafor </t>
  </si>
  <si>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</si>
  <si>
    <t>Whywaste</t>
  </si>
  <si>
    <t>https://www.whywaste.com.br/semafor</t>
  </si>
  <si>
    <t>Fundación MAPFRE; Santander; Instituto BRF; Sealed Air; Pepsico Foundation; Pictet; Grupo Benassi; Food for Soul; Latam Airlines; Unisuam; Ifood; Accor; Bemisa; Bloomberg; BMA; Brasil Comes to you; BR Marinas; BrazilFoundation; Brookfield; Fondation Carrefour; CCI França Brasil; The Charles Bronfman Prize; DSM; Galo da Manhã; GNT; Grupo Son; Instituto Alok; Instituto Coca-Cola Brasil; S&amp;P Global; Fundação Casas Bahia; Swiss Philanthropy Foundation; TA e GUI BARTHEL; The Intrepid Foundation; Casa Porcini; Veirano; XP; Grupo UOL/PagSeguro;  Secretaria Municipal de Segurança Alimentar e Nutricional da Prefeitura de Curitiba; Eco Food Pack</t>
  </si>
  <si>
    <t>Reffetorio Gastromotiva</t>
  </si>
  <si>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</si>
  <si>
    <t>https://gastromotiva.org/wp-content/uploads/2021/09/RELAT_2020_Gastromotiva.pdf</t>
  </si>
  <si>
    <t>https://glamurama.uol.com.br/notas/refettorio-gastromotiva-celebra-4-anos-com-chefs-renomados-cozinhando-para-pessoas-em-vulnerabilidade-social/</t>
  </si>
  <si>
    <t>Lojas Americanas; Ame; Mastercard; Coca-Cola Brasil; Facebook; Food and Agriculture Organization of the United Nations; Ifood; Camil; Ancar Ivanhoe; Enel; Binder; Vale; Mercado Pago; Fiocruz; Instituto Di Blasi, Parente; EDP; Supermercado Guanabara; UNHCR ACNUR; Instituto Alok; Programa Mundial de Alimentos; Movimento Bem Maior; Instituto GPA; Smurfit Kappa; Latam; PagSeguro; Eletromidia; Pacto Global Rede Brasil; Zurich Foundation; Carta Capital; Santander; PagBank; Mercadolivre; Liberty Seguros; Nubank; Rock in Rio; Alpargatas; Bloomberg; B3 Brasil; Deloitte; Casadeapostas.com; G2; Instituto Unibanco; BRF; Linkedin; Yara; Icatu; Fundação Grupo Wolkswagen; Dreamers.gr; Instituto Claro; Bradesco; Petronas; Betterfly; Frescatto; Globo; Petrobras; Claro; Barbosa Mello Construtora; RaiaDrogasil; Smartfit</t>
  </si>
  <si>
    <t>Hortas Comunitárias</t>
  </si>
  <si>
    <t>"Como parte das estratégias de segurança alimentar, a Ação da Cidadania atua capacitando e apoiando a criação de hortas comunitárias para que comunidades em situação de insegurança alimentar possam se alimentar de forma saudável e sustentável utilizando os próprios espaços disponíveis em suas comunidades, gerando não só alimentos para consumo próprio mas uma fonte de renda para a comunidade."</t>
  </si>
  <si>
    <t>https://www.acaodacidadania.org.br/nossos-projetos#2</t>
  </si>
  <si>
    <t>https://www.brasildefato.com.br/2023/06/08/acao-da-cidadania-inaugura-hortas-comunitarias-para-incentivar-alimentacao-saudavel</t>
  </si>
  <si>
    <t>Accenture; Doare; GBR Comunicação; Ticket; ZUP; ND3 Holding; Dasa; Fundação Lemann; Alelo; Google.org; Amil; United Healthcare; XP Inc; Banco Inter; MRV; brMalls; BTG Pactual; Localiza Hertz; MAC; Associação Citi Esperança; Fundação Telefônica Vivo; Itaú Social; Nestlé; Amgen; SKY; Rappi; KraftHeinz; Universia; Arco; Santander; Lenovo; McCain; ING; EY; Oliveira's Foundation; Novartis; Instituto Península; Oxiteno; Mit Alumni; Netflix; Hugo Boss; Pernod Ricard; Banco Fibra; Chef's4U; Badoo; Linea; Velt; Coty; Qintess; Mar Capital; Estalo; Carrefour; Cacau Show; Gol; Grupo Boticário; Banco BMG; Latam; GSC; Guardaroba; Gerdau; GTEX Brasil; P&amp;G; Guarde Aqui Self Storage; Instituto Camargo Corrêa</t>
  </si>
  <si>
    <t>Corona no paredão, fome não</t>
  </si>
  <si>
    <t>Arrecadação e distribuição de cestas básicas digitais. "As cestas serão direcionadas para nossas Unidades Próprias/ Aceleradas, que farão todo o processo de entrega para os menos afortunados de cada favela. Vamos doar R$ 150,00 por 2 meses para cada família."</t>
  </si>
  <si>
    <t>Gerando Falcões</t>
  </si>
  <si>
    <t>Logística; Consumidor final</t>
  </si>
  <si>
    <t>Ceará; Espírito Santo; Minas Gerais; São Paulo</t>
  </si>
  <si>
    <t>https://site.gerandofalcoes.com/coronanoparedao</t>
  </si>
  <si>
    <t>https://site.gerandofalcoes.com/resultados</t>
  </si>
  <si>
    <t>https://mosaico.gife.org.br/base-de-projetos/1580-corona-no-paredao-fome-aqui-nao</t>
  </si>
  <si>
    <t>http://na-ab43.marketo.com/rs/099-WED-945/images/Relato%CC%81rio%20de%20Atividades%202020_Gerando%20Falco%CC%83es.pdf</t>
  </si>
  <si>
    <r>
      <rPr>
        <rFont val="Calibri, Arial"/>
        <sz val="11.0"/>
      </rPr>
      <t xml:space="preserve">Arrendondar; Ajinomoto; B3 Social; Vetted by CAF America;  Cisco; Corteva; Emoving; Fundação José Luiz Egydio Setúbal; Fundação Prada de Assistência Social; Polen; Presente Consciente; Quitanda; Instituto Stop Hunger; Trio; Viva Beauty; Global Giving; </t>
    </r>
    <r>
      <rPr>
        <rFont val="Calibri, Arial"/>
        <color rgb="FF000000"/>
        <sz val="11.0"/>
        <u/>
      </rPr>
      <t>Paraquemdoar.com</t>
    </r>
  </si>
  <si>
    <t>Oficinas Solidárias</t>
  </si>
  <si>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</si>
  <si>
    <t>Associação Prato Cheio</t>
  </si>
  <si>
    <t>https://pratocheio.org.br/o-que-fazemos/</t>
  </si>
  <si>
    <t>Ceasa Campinas; Assoceasa</t>
  </si>
  <si>
    <t>ISA - Instituto de Solidariedade para Programas de Alimentação</t>
  </si>
  <si>
    <t>"O ISA, Instituto de Solidariedade para Programas de Alimentação, é uma ONG que funciona dentro da Ceasa Campinas. A ONG surgiu para combater a fome e o desperdício, garantindo o aproveitamento do excedente de hortifrútis e incentivando doações dos comerciantes. Fundado em 25 de agosto de 1984, o ISA é uma sociedade sem fins lucrativos que nasceu da constatação de que a Ceasa Campinas tem uma grande quantidade de produtos excedentes. Neste projeto são aproveitados os excedentes da comercialização dos produtos do Mercado de Hortifrútis, doados por seus permissionários e estocados em câmaras frias para melhor aproveitamento. O ISA arrecada doações de frutas, verduras e legumes dos permissionários da Ceasa Campinas, depois seleciona, higieniza e distribui. São uma média de 33 mil pessoas assistidas por mês e centenas de entidades assistenciais. A entrega para as famílias acontece diretamente nos bairros de maior vulnerabilidade social da cidade. Este trabalho conta com o apoio da Ceasa, da Assoceasa (Associação dos Permissionários da Ceasa Campinas) e de empresas mantenedoras."</t>
  </si>
  <si>
    <t>http://www.ceasacampinas.com.br/programas-sociais/isa</t>
  </si>
  <si>
    <t>https://isacontraafome.com.br/history.html</t>
  </si>
  <si>
    <t>https://portal.campinas.sp.gov.br/noticia/33400</t>
  </si>
  <si>
    <t>Fundação Pepsico; Pepsico</t>
  </si>
  <si>
    <t xml:space="preserve">Food for Good </t>
  </si>
  <si>
    <t>"Food for Good é a plataforma global da PepsiCo Foundation para promover a segurança alimentar e tornar alimentos nutritivos acessíveis. O Food for Good traz três maneiras para que as pessoas aprendam mais sobre o agravamento da insegurança alimentar global e contribuam com uma solução..." A primeira é uma "série de vídeos Food for Good Changemaker que mostra diferentes formas pelas quais as lideranças comunitárias em todo o mundo estão lidando com a fome para criar resiliência em seus próprios 'quintais'. Essas histórias destacam os fatores subjacentes à insegurança alimentar e ressaltam as ações inspiradoras de pessoas comuns." Essa iniciativa esteve atuante no Brasil, "a exemplo, Evelyn Dayse, 39 anos, da Zona Sul de São Paulo (SP), que está participando do Gastromotiva - organização que criou um programa de Cozinhas Solidárias para promoção e geração de renda por meio da capacitação profissional e de bolsas de auxílio oferecidas para cozinheiros(as) sociais a partir de aporte da PepsiCo via Fundação PepsiCo." A segunda maneira é o "lançamento do podcast Journey to Zero Hunger (Jornada para a Fome Zero, em português) que explora lições do mundo real e possíveis soluções para a crise global da fome." E a terceira é uma "parceria com a marca de impacto, FEED, para lançar uma edição limitada de sacola temática. Cada compra fornecerá 10 refeições nutritivas para crianças de todo o mundo por meio do No Kid Hungry, do Programa Mundial de Alimentos da ONU e da Akshaya Patra tight end and."</t>
  </si>
  <si>
    <t>https://www.pepsico.com.br/imprensa/hist%C3%B3rias/food-for-good</t>
  </si>
  <si>
    <t>Pepsico; Fundação Pepsico</t>
  </si>
  <si>
    <t>"Como parte do compromisso da PepsiCo em apoiar comunidades em regiões onde está inserida, a companhia, em conjunto à Fundação PepsiCo – seu braço filantrópico, doará cerca de 1 tonelada de alimentos da marca, o equivalente a 15 mil unidades de produtos, além de 2.500 cestas básicas, itens de higiene e água em apoio à população de Pernambuco impactada pelas fortes chuvas do último mês na Grande Recife (PE). A doação será feita via CUFA - Central Única das Favelas, que lidera uma campanha de apoio ao estado e já é parceira da PepsiCo desde 2018, com forte atuação ao redor do país desde o início da pandemia."</t>
  </si>
  <si>
    <t>https://www.pepsico.com.br/press-release/pepsico-brasil-e-funda%C3%A7%C3%A3o-pepsico-doam-cerca-de-1-tonelada-de-alimentos-al%C3%A9m-de-2.500-cestas-b%C3%A1sicas-itens-de-higiene-e-%C3%A1gua-em-pernambuco</t>
  </si>
  <si>
    <t>Fundação Pepsico; Global Foodbanking Network (GFN); Pepsico</t>
  </si>
  <si>
    <t>Nutrição pelo Futuro</t>
  </si>
  <si>
    <t>"O programa Nutrição pelo Futuro (Nutrition For The Future) foi desenvolvido para realizar a complementação alimentar de crianças em situação de vulnerabilidade em 2020, dentro das unidades escolares, na região Nordeste e com foco no combate à desnutrição infantil. Com a pandemia, a iniciativa foi revertida na distribuição de cestas básicas, com cerca de 3.900 cestas doadas pela PepsiCo. A ação terá continuidade em 2021, em parceria com a Fundação PepsiCo e o Global Foodbanking Network (GFN), nos estados da Bahia, Pernambuco e Sergipe, atendendo 1.200 crianças com cestas básicas e durante três meses, desde maio. A ação deverá impactar diretamente cerca de 4.800 pessoas." "Desde o início desse ano, a PepsiCo assumiu um compromisso (contrato) de três anos com o programa Nutrition for the Future. Com ele, devemos receber o investimento de 65 mil dólares para ajudar na complementação de alimentação de crianças em situação de vulnerabilidade."</t>
  </si>
  <si>
    <t>Fundação PepsiCo; Global Foodbanking Network (GFN)</t>
  </si>
  <si>
    <t>Bahia; Pernambuco; Sergipe</t>
  </si>
  <si>
    <t>https://www.pepsico.com.br/sustentabilidade/cidadania-corporativa</t>
  </si>
  <si>
    <t>Mogno Capital; BTG Pactual Digital; Reclicleiros somos pelo todo; GPA; Instituto GPA; Green People; Ifood; Rappi; Cimed; Jovem Pan; GL Events; Ornare; Shopping Parque da Cidade; Fasano; Novartis; Instituto Center Norte; Instituto Givaldan</t>
  </si>
  <si>
    <t>Horta Social Urbana</t>
  </si>
  <si>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</si>
  <si>
    <t>ARCAH</t>
  </si>
  <si>
    <t>https://www.arcah.org/horta-social-urbana</t>
  </si>
  <si>
    <t xml:space="preserve">Fundação Cargill; Cargill </t>
  </si>
  <si>
    <t>Projeto Cacau Digital</t>
  </si>
  <si>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</si>
  <si>
    <t>ManejeBem; Organização de Conservação da Terra (OCT)</t>
  </si>
  <si>
    <t>https://manejebem.com/projeto-cacau-digital-fundacao-cargill-e-manejebem/</t>
  </si>
  <si>
    <r>
      <rPr>
        <rFont val="Calibri, Arial"/>
        <sz val="11.0"/>
      </rPr>
      <t xml:space="preserve">Arredondar; Cisco; Corteva; Vetted by CAF America; E moving; Euapoio; Fundação Prada de Assistência Social; Polen; Presente Consciente; Quitanda; Trio; Ajinomoto; B3 Social; Fundação José Luiz Egydio Setúbal; Instituto Stop Hunger; Viva Beauty; GlobalGiving; </t>
    </r>
    <r>
      <rPr>
        <rFont val="Calibri, Arial"/>
        <color rgb="FF000000"/>
        <sz val="11.0"/>
      </rPr>
      <t>Paraquemdoar.com</t>
    </r>
    <r>
      <rPr>
        <rFont val="Calibri, Arial"/>
        <sz val="11.0"/>
      </rPr>
      <t>; Fundação Cargill</t>
    </r>
  </si>
  <si>
    <t xml:space="preserve">PERDAS - Projeto de Educação da Redução do Desperdício de Alimentos </t>
  </si>
  <si>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</si>
  <si>
    <t>https://pratocheio.org.br/wp-content/uploads/2021/08/Relatorio-de-Atividades-2020-1.pdf</t>
  </si>
  <si>
    <t>https://pratocheio.org.br/wp-content/uploads/2022/04/Relatorio-APC-2021.pdf</t>
  </si>
  <si>
    <t>https://pratocheio.org.br/wp-content/uploads/2023/01/Relatorio-APC-2022.pdf</t>
  </si>
  <si>
    <t>Fundo Estamos Nessa Juntos</t>
  </si>
  <si>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</si>
  <si>
    <t>Instituto Coca-Cola Brasil</t>
  </si>
  <si>
    <t>https://www.cocacolabrasil.com.br/institutococacolabrasil</t>
  </si>
  <si>
    <t>https://mosaico.gife.org.br/base-de-projetos/1376-fundo-estamos-nessa-juntos</t>
  </si>
  <si>
    <t>https://www.cocacolabrasil.com.br/historias/como-os-recursos-do-fundo-estamos-nessa-juntos-tem-sido-usados</t>
  </si>
  <si>
    <t>https://www.cocacolabrasil.com.br/historias/solidariedade-historias-do-fundo-estamos-nessa-juntos</t>
  </si>
  <si>
    <t>Fundación MAPFRE; Santander; Instituto BRF; Sealed Air; Pepsico Foundation; Pictet; Grupo Benassi; Food for Soul; Latam Airlines; Unisuam; Ifood; Accor; Bemisa; Bloomberg; BMA; Brasil Comes to you; BR Marinas; BrazilFoundation; Brookfield; Fondation Carrefour; CCI França Brasil; The Charles Bronfman Prize; DSM; Galo da Manhã; GNT; Grupo Son; Instituto Alok; Instituto Coca-Cola Brasil; S&amp;P Global; Fundação Casas Bahia; Swiss Philanthropy Foundation; TA e GUI BARTHEL; The Intrepid Foundation; Casa Porcini; Veirano; XP; Grupo UOL/PagSeguro; Secretaria Municipal de Segurança Alimentar e Nutricional da Prefeitura de Curitiba; Eco Food Pack; Camil</t>
  </si>
  <si>
    <t>Cozinha Solidária Gastromotiva</t>
  </si>
  <si>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</si>
  <si>
    <t>Paraná; Rio de Janeiro; São Paulo</t>
  </si>
  <si>
    <t>https://www.pepsico.com.br/imprensa/press-release/gastromotiva</t>
  </si>
  <si>
    <t>https://gastromotiva.org/cozinhas-solidarias-gastromotiva/</t>
  </si>
  <si>
    <t>Fundação Banco do Brasil; Amora Terra; Programa Condomínio Sustentável; Programa Mesa Brasil - SESC</t>
  </si>
  <si>
    <t>Baixada Santista pela Vida</t>
  </si>
  <si>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</si>
  <si>
    <t>Instituto Procomum; Instituto Elos; Fórum da Cidadania de Santos; Instituto Arte no Dique; Diocese de Santos</t>
  </si>
  <si>
    <t>https://lab.procomum.org/baixada-pela-vida/</t>
  </si>
  <si>
    <t>https://baixadapelavida.org/</t>
  </si>
  <si>
    <t>https://lab.procomum.org/wp-content/uploads/2022/02/RELEASE_Baixada_pela_Vida_entidades_da_Baixada_Santista_criam_fundo.pdf</t>
  </si>
  <si>
    <t>https://lab.procomum.org/wp-content/uploads/2022/02/Baixada-pela-Vida-prestacao-de-contas.pdf</t>
  </si>
  <si>
    <t>Fundação Tide Setubal; Gastronomia Periférica</t>
  </si>
  <si>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</si>
  <si>
    <t>Grupo de mulheres guardiãs do Lapena</t>
  </si>
  <si>
    <t>https://brasil.elpais.com/brasil/2021-02-22/as-guardias-que-protegem-o-jardim-lapena-na-periferia-de-sao-paulo-contra-a-covid-19.html?fbclid=IwAR0IvGEECVWMfLShSlWLFITqTRG-AU4bk6yi1iELZ8gvNzOwYpsI6VgJICY</t>
  </si>
  <si>
    <t>Agro Favela Refazenda; Cria Brasil; G10 Tech; Instituto de Pesquisas Favela Diz; +Favelatv; Sou + Favela; Favela Music; Espaço do Povo; Costurando Sonhos Brasil; Emprega Comunidades; Mãos de Maria Brasil; Federação Paulista de Associações de Moradores; Favela Brasil Press</t>
  </si>
  <si>
    <t>Produção e distribuição de Marmitas / Distribuição de Cestas e Material de Higiene</t>
  </si>
  <si>
    <t>"O G10 Favelas é uma organização sem fins lucrativos. Somos um Bloco de Líderes e Empreendedores de Impacto Social das Favelas e todo o dinheiro doado é revertido em bens para as comunidades. Em 2020 entregamos centenas de milhares de kits de higiene e cestas básicas, com o apoio e solidariedade de milhares de apoiadores." Entre as iniciativas estão: Produção e Distribuição de Marmitas "O Bistrô Mãos de Maria criou uma dinâmica para atender muitas pessoas que perderam o emprego e não tinham nem o que comer. Além de fortalecer mulheres, chefes de família e alimentar muitas pessoas, a iniciativa já entregou mais de 1 milhão de marmitas, que vêm sendo feitas por um grupo de mulheres que foram contratadas. Em parceria com o Mãos de Maria comunidades como Heliópolis (SP), Coroadinho (MA), Baixada do Jurunas (PA), Casa Amarela (PE), Sol Nascente (DF), Aglomerado da Serra (MG), Alemão (RJ), Rocinha (RJ), também tem feito distribuições de marmitas." Outra iniciativa foi a Distribuição de Cestas e Material de Higiene "As distribuições dos alimentos e kits de higiene são realizadas periodicamente pelos voluntários, de acordo com as necessidades das famílias atendidas. Ao todo foram entregues mais de 100 mil kits de higiene, mais de 100 mil cestas básicas e 11 mil cartões vales cestas básicas."</t>
  </si>
  <si>
    <t>G10 Favelas</t>
  </si>
  <si>
    <t>Amazonas; Distrito Federal; Espírito Santo; Maranhão; Minas Gerais; Pará; Pernambuco; Rio de Janeiro; São Paulo</t>
  </si>
  <si>
    <t>Norte; Centro-Oeste; Sudeste; Nordeste</t>
  </si>
  <si>
    <t>http://www.g10favelas.org/</t>
  </si>
  <si>
    <t>https://g10favelas.com.br/</t>
  </si>
  <si>
    <t>https://www.band.uol.com.br/entretenimento/masterchef/noticias/conheca-o-projeto-maos-de-maria-que-empodera-mulheres-pela-gastronomia-em-paraisopolis-16308566</t>
  </si>
  <si>
    <t>Cooperativa Central Aurora Alimentos</t>
  </si>
  <si>
    <t>Ações Covid-19 - Doação de Alimentos</t>
  </si>
  <si>
    <t>"Para amenizar as consequências da pandemia do novo Coronavírus, a FALB realizou a doação de cestas básicas para instituições sociais, totalizando 193 cestas em todas as ações. Foram doadas 12 cestas básicas para a APAE de Capinzal (SC), local em que seria desenvolvido o trabalho pelos voluntários de Joaçaba (SC) durante o ano de 2020. No município de São Gabriel do Oeste (MS), 27 famílias da Cooperativa Regional de Coleta Seletiva e Reciclagem de São Gabriel do Oeste (Cooperasgo), que tiveram seu trabalho interrompido devido a pandemia, foram auxiliadas com o total de 81 cestas básicas nos meses de maio, junho e julho, contendo produtos não perecíveis para alimentação básica. A Filial de Vendas de Nova Santa Rita (RS) doou 32 cestas básicas para a Creche do Coração de Porto Alegre (RS), dessas, 10 foram doadas pela FALB. A ação fez parte das comemorações do Dia Internacional do Cooperativismo. Através do Programa Amigo Energia, a FALB auxiliou dois empregados que se encontravam afastados de suas atividades por motivos de saúde. Os empregados das Filiais de Vendas de Nova Santa Rita (RS) e de Cabo de Santo Agostinho (PE), receberam cestas básicas no valor de R$ 100,00 cada, durante os meses de setembro, outubro e novembro. Com o auxílio da Unidade de São José dos Pinhais (PR), a FALB realizou a doação de 200 litros de leite sem lactose para os assistidos pelo Pequeno Cotolengo Paranaense. A instituição acolhe, de forma gratuita, pessoas com deficiência que foram abandonados, que estiveram em situação de risco ou que sofreram maus tratos."</t>
  </si>
  <si>
    <t>Fundação Aury Luiz Bodanese (Falb)</t>
  </si>
  <si>
    <t>Mato Grosso do Sul; Paraná; Pernambuco; Rio Grande do Sul; Santa Catarina</t>
  </si>
  <si>
    <t>Centro-Oeste; Sul; Nordeste</t>
  </si>
  <si>
    <t>https://www.falb.org.br/relatorio_anual/relatorio-anual-falb-2020-v2.pdf</t>
  </si>
  <si>
    <t>https://www.paginarural.com.br/noticia/289037/coronavirus-fundacao-aury-luiz-bodanese-comemora-os-resultados-de-2020</t>
  </si>
  <si>
    <t>Instituto Ibirapitanga; Porticus; FunBio; Instituto Humanize; Instituto Arapyaú</t>
  </si>
  <si>
    <t>Circuitos agroecológicos / Plataforma Muká</t>
  </si>
  <si>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</si>
  <si>
    <t>Tabôa; Rede de Agroecologia Povos da Mata; Instituto Ibiá; Ecovida</t>
  </si>
  <si>
    <t>Produção agrícola; Logística; Varejo</t>
  </si>
  <si>
    <t>https://www.ibirapitanga.org.br/doacoes/</t>
  </si>
  <si>
    <t>https://www.taboa.org.br/economico/circuitos-agroecologicos</t>
  </si>
  <si>
    <t>https://arapyau.org.br/wp-content/uploads/2023/05/arapyau-ra2022.pdf</t>
  </si>
  <si>
    <t>ActionAid; Fundação Friedrich Ebert Brasil; Instituto Ibirapitanga; Oxfam Brasil; Ação da Cidadania; Sesc São Paulo</t>
  </si>
  <si>
    <t>I e II Inquérito nacional de [in]segurança alimentar e fome no contexto da covid-19 — Brasil 2021</t>
  </si>
  <si>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</si>
  <si>
    <t>Rede PENSSAN - Rede Brasileira de Pesquisa em Soberania e Segurança Alimentar e Nutricional</t>
  </si>
  <si>
    <t>Setor público</t>
  </si>
  <si>
    <t>https://pesquisassan.net.br/olheparaafome/</t>
  </si>
  <si>
    <t>https://olheparaafome.com.br/</t>
  </si>
  <si>
    <t>https://olheparaafome.com.br/wp-content/uploads/2022/06/Relatorio-II-VIGISAN-2022.pdf</t>
  </si>
  <si>
    <t>Instituto Ibirapitanga; Porticus</t>
  </si>
  <si>
    <t>Programa de Inovações para a Agricultura Regenerativa (PIAR)</t>
  </si>
  <si>
    <t xml:space="preserve">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 </t>
  </si>
  <si>
    <t>World Transforming Technologies (WTT)</t>
  </si>
  <si>
    <t>Bahia; Maranhão; Minas Gerais; Pará; Pernambuco; Rio Grande do Sul; Santa Catarina; São Paulo</t>
  </si>
  <si>
    <t>Nordeste; Norte; Sudeste; Sul</t>
  </si>
  <si>
    <t>https://missaoagriculturafamiliar.com.br/#publicacoes</t>
  </si>
  <si>
    <t>https://wttventures.net/feliz-2021/</t>
  </si>
  <si>
    <t>https://www.instagram.com/p/CoN6j3HP472/?hl=de</t>
  </si>
  <si>
    <t>Estação SP</t>
  </si>
  <si>
    <t xml:space="preserve">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 </t>
  </si>
  <si>
    <t>Instituto Ibiá</t>
  </si>
  <si>
    <t>https://br.linkedin.com/company/instituto-ibia</t>
  </si>
  <si>
    <t>https://www.institutoibia.org/arquivos/relatorio.pdf</t>
  </si>
  <si>
    <t xml:space="preserve">Instituto Stop Hunger; CMPC Celulose Riograndense; Gerdau; STEMAC; Lucila Osório; Sinmetal; GBOEX; Refinaria de Petróleo Riograndense; FIERGS CIERGS; FIERGS SESI; Grupo RBS; Fundação Maurício Sirotsky Sobrinho; Simers; Parus; Setcergs; SIA; Rotary; Lions; Escoteiros do Brasil; AGAS; Paulo Afonso Pereira; Redlar; ABIGRAF-RS; Sindigraf RS; Comunicação Impressa; Grafiset; Impresul; Print paper; Cyrela; M2; Audiobox; Sind Vidros RS; Deloitte; Coca-Cola FEMSA Brasil; PIÁ; Vetorial; Carrefour; ASUN; Rissul; Sage; Conjunto; PluGzOne; Me gusta; Atlas Schindler; Unisinos; ULBRA; Universidade La Salle; UniRitter; Centro Univeristário Metodista; PUC RS; UFCSPA; UFRGS; Francis Swim; ABRH RS; Cem Cerimônia; SLC Alimentos; CIEE; IHARA; Grupo Cortel; SINDIPAN RS; Superpan; 7º Festival do Japão; Internacional; Grêmio; CRBio-03; CRN 2; Associação Leopoldina Juvenil; adce; WMcCANN; Sindha </t>
  </si>
  <si>
    <t>Rede Banco de Alimentos do Rio Grande do Sul</t>
  </si>
  <si>
    <t>Por meio do projeto Alimentação Solidária, o Instituto Stop Hunger é "mantenedor da Rede Banco de Alimentos do Rio Grande do Sul que atua em três frentes: coleta de doações, armazenamento e distribuição qualificada de alimentos para organizações sociais. A rede possui 22 bancos de alimentos que, ao todo, doam mais de 800 toneladas de alimentos para 500 instituições, todos os meses."</t>
  </si>
  <si>
    <t>http://br.stop-hunger.org/home/nossas-acoes/doacao-de-alimentos/alimentacao-solidaria.html</t>
  </si>
  <si>
    <t>https://www.redebancodealimentos.org.br/Noticia/1045/Box-Print-Sodexo-e-Banco-de-Alimentos-RS-fecham-parceria-para-combater-desperdA%C2%ADcio-de-alimentos-e-gerar-impacto-social-no-Rio-Grande-do-Sul</t>
  </si>
  <si>
    <t>Advent International Global Private Equiry; AET; Aliansce Sonae; Bradesco; Brookfield; Fundação Behring; BTG Pactual; Instituto Dynamo; Instituto Unibanco; Fundação Banco do Brasil; Instituto Galo da Manhã; Monteiro Aranha S.A; NAVI; NTS; Qualicorp; Santander; Souza Cruz; Stone; Vinci Partners; Vale; XP Inc; 3G Radar; Absoluto Partners; AF BNDES; ALE; Arqueiro; Atmos Capital; Aspen Pharma; Austral; Autonomy Investimentos; Sergio Bermudes Advogados; Bain &amp; Company; Bichara Advogados; Bogari Capital; Brava; B3 Social; Capstone; Fundação Casas Bahia; The Coca-Cola Foundation; Instituto CSHG; Crescera Capital; Instituto Cyrela; Dannemann Siemsen; Enauta; Foundation Engie; FCDG Advogados; FENABER; FQM; Gera; Granado; Gringa.; GTIS Partners; Humanize; Ibiuna Investimentos; Icatu Seguros; Instituto Rio; Instituto Stimulus; IP Capital Partners; Klabin; JGP; LLOYD'S; Megalabs; Modalmais; Montreal; Multiplan; Novus Capital; Oceana Investimentos; Opportunity; One Bridge Capital; Órama Investimentos; Paineiras Investimentos; PEBMED; Polo Capital Management; Prosper; Prudential; Sauer; Sendas; Sextante; SH; Sharp Capital; Shell; SPX; Squadra Investimentos; Taesa; Studio Investimentos; Távola Capital; Tauil Chequer Mayer Brown; Wilson.Sons; Wintershall dea; Wulaia; Cacau Show; Mantiqueira</t>
  </si>
  <si>
    <t>União Rio</t>
  </si>
  <si>
    <t xml:space="preserve">"União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  </t>
  </si>
  <si>
    <t>https://www.movimentouniaorio.org/</t>
  </si>
  <si>
    <t>https://www.instagram.com/uniaorio/</t>
  </si>
  <si>
    <t>Advent International Global Private Equiry; Aliansce Sonae; Instituto Península; Instituto Galo do Amanhã; BTG Pactual</t>
  </si>
  <si>
    <t>UniãoSP</t>
  </si>
  <si>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</si>
  <si>
    <t>UniãoSP; Instituto Península; RenovaBR</t>
  </si>
  <si>
    <t>https://www.uniaosp.org/</t>
  </si>
  <si>
    <t>https://www.instagram.com/uniaosporg/</t>
  </si>
  <si>
    <t>Instituto Stop Hunger; MKT Logística Integrada; Flash Courier; Bank of America; BNP Paribas; Pravaler; ONG Banco de Alimentos; Electrolux; Electrolux Food Foundation; Lover Ipsum; Tork Think ahead; PifPaf Alimentos; Vaccarin; ISA CTEEP; Thomson &amp; Reuters; DSM; Latam; Docusign; Sarrat Advogados Associados; Vemplast; São Paulo Futebol Clube; Clube Athletico Paranaense; UNIRUN - Universidade da Corrida; Karcher Brasil; Decalc Confecções; Meditec; Sun Rays Ventiladores</t>
  </si>
  <si>
    <t>Servathon</t>
  </si>
  <si>
    <t>"Criada nos EUA em 1996 por colaboradores da Sodexo, a Servathon atua com o objetivo de combater a fome e a má nutrição em todo o mundo por meio do trabalho voluntário e doação de alimentos.""A maratona mundial de voluntariado Stop Hunger, uma das principais iniciativas do Instituto Stop Hunger, Organização da Sociedade Civil de Interesse Público (OSCIP), sem fins lucrativos, criada e mantida pela Sodexo, tem por objetivo angariar recursos por meio de doações financeiras, diretamente em seu website. Todo o valor arrecadado durante a maratona e-Servathon é revertido integralmente em créditos nas cestas básicas digitais, através dos cartões Alimentação Stop Hunger, em apoio a pessoas em situação de vulnerabilidade social de ONGs parceiras de diversas regiões do país." Sua 1° edição no Brasil, foi em 2009 e ela segue sendo realizada ano após ano, tendo completado agora no ano de 2023 sua 15° edição. Nos anos de 2020, 2021 e 2022 a campanha foi 100% digital, por conta da pandemia.</t>
  </si>
  <si>
    <t>Instituto Stop Hunger Brasil (Sodexo)</t>
  </si>
  <si>
    <t>http://br.stop-hunger.org/home/doe-agora/doe.html</t>
  </si>
  <si>
    <t>https://bluestudio.estadao.com.br/agencia-de-comunicacao/prnewswire/prnewsinternacional/28254/pr-newswire-internacional-12a-edicao-da-maratona-mundial-de-voluntariado-stop-hunger-arrecada-doacoes-financeiras-para-combate-a-forme-e-ma-nutricao-no-brasil/</t>
  </si>
  <si>
    <t>http://br.stop-hunger.org/home/noticias/content-col1-area/ultimas-noticias/campanha-do-instituto-stop-hun-1.html</t>
  </si>
  <si>
    <t>Fundação Arymax; Coca-Cola Brasil; Camil</t>
  </si>
  <si>
    <t>Brasil sem Fome</t>
  </si>
  <si>
    <t>"A campanha “Brasil sem Fome” tem como objetivo arrecadar e distribuir alimentos para famílias em todo o país como forma de assegurar o direito à alimentação adequada, principalmente na primeira infância." ""A iniciativa “Por todas as mesas” começa a operar nesta sexta-feira (21), convidando o consumidor a colaborar com o combate direto à fome. A companhia vai doar R$ 0,50 de cada pedido que inclua um produto de seu portfólio realizado nas principais plataformas de delivery — até que seja atingida a meta de doação de 2,5 milhões de pratos de comida com bebida. Para que as refeições com bebida cheguem às pessoas em situação vulnerável, a ação contará com a parceria da campanha Brasil sem Fome, da ONG Ação da Cidadania, que tem mais de 2 mil ONGs parceiras, em 26 estados e o Distrito Federal. A ação também beneficiará os pequenos varejistas, que vêm sofrendo perdas em seus negócios desde o início da pandemia. A marca Coca-Cola vai ofertar R$ 1 milhão em vouchers de R$ 5 para os consumidores fazerem pedidos especialmente nos pequenos restaurantes participantes da ação e cadastrados no iFood, como forma de dar um estímulo extra ao consumo em pequenos negócios. Restaurantes e mercados poderão aderir à ação ao longo das semanas, sempre através dos apps parceiros."</t>
  </si>
  <si>
    <t>https://arymax.org.br/iniciativa/brasil-sem-fome/</t>
  </si>
  <si>
    <t>https://www.brasilsemfome.org.br/blog/acao-da-cidadania-lanca-campanha-brasil-sem-fome-em-todo-o-pais</t>
  </si>
  <si>
    <t>https://arymax.org.br/novosite/wp-content/uploads/2022/07/lo-arymax-relatorio-versao-final.pdf</t>
  </si>
  <si>
    <t>https://www.cocacolabrasil.com.br/historias/por-todas-as-mesas-campanha-alcanca-meta-de-doacoes-de-alimentos</t>
  </si>
  <si>
    <t>https://www.cocacolabrasil.com.br/historias/coca-cola-brasil-convida-consumidores-engajarem-combate-a-fome-campanha-revertera-pedidos-em-doacoes</t>
  </si>
  <si>
    <t>Instituto Votorantin; Votorantin; Ticket</t>
  </si>
  <si>
    <t>Ações Emergenciais - Doação de Cestas Básicas e Cartões Alimentação</t>
  </si>
  <si>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</si>
  <si>
    <t>Ong. Pelicano’s Vita &amp; Labor; Funai; Pacto das Águas; Associação de Pais e Amigos dos Excepcionais (APAE); Associação Comercial e Empresarial de Aripuanã (ACIA)</t>
  </si>
  <si>
    <t>Mato Grosso; Pernambuco; São Paulo</t>
  </si>
  <si>
    <t>Centro-Oeste; Nordeste; Sudeste</t>
  </si>
  <si>
    <t>https://ibram.org.br/noticia/cidades-do-interior-sao-contempladas-por-doacoes-de-tickets-alimentacao-do-instituto-votorantim/</t>
  </si>
  <si>
    <t>https://registro.portaldacidade.com/noticias/regiao/instituto-votorantim-e-parceiros-promovem-iniciativas-de-combate-a-covid-19-5357</t>
  </si>
  <si>
    <t>https://brasilminingsite.com.br/instituto-votorantim-e-nexa-entregam-mais-de-1-600-cestas-basicas-em-aripuana/</t>
  </si>
  <si>
    <t>https://www.institutovotorantim.org.br/wp-content/uploads/2023/07/2020.pdf</t>
  </si>
  <si>
    <t>Fundação Oswaldo Cruz; Instituto Assaí; Assaí Atacadista</t>
  </si>
  <si>
    <t>Pacto pelos 15% com fome (15 por 15)</t>
  </si>
  <si>
    <t>"A campanha Pacto pelos 15% com Fome é uma rede de solidariedade que reúne entidades da sociedade civil e empresas, grupos de mídia, agências de comunicação e publicidade, pessoas físicas, artistas e influenciadores, em uma linha de frente de combate à fome e às desigualdades sociais. A iniciativa, idealizada pela Ação da Cidadania e apoiada pela Fiocruz, tem o objetivo de viabilizar doações diretamente para instituições do Pacto, além de cadastrar voluntários na luta contra a insegurança alimentar."</t>
  </si>
  <si>
    <t>Ação da Cidadania; Amigos do Bem; Instituto Escola do Povo - G10 Favelas; Gastromotiva; Visão Mundial; União BR; CUFA; Voz das Comunidades; The Caring Family Foundation; Orgânico Solidário; Cozinhas Solidárias do MTST; Instituto Brasileiro de Análises Sociais e Econômicas; Instituto Conecta Brasil; Good Truck Brasil</t>
  </si>
  <si>
    <t>http://www.15por15.org/</t>
  </si>
  <si>
    <t>https://portal.fiocruz.br/noticia/pacto-pelos-15-com-fome-comeca-receber-doacoes-para-entidades-que-atuam-no-combate-fome</t>
  </si>
  <si>
    <t>https://www.fiotec.fiocruz.br/noticias/outros/7904-campanha-pacto-pelos-15-com-fome-recebe-doacoes-para-brasileiros-que-nao-tem-o-que-comer</t>
  </si>
  <si>
    <t>https://www.instagram.com/p/ClG3zM8t1HC/?img_index=1</t>
  </si>
  <si>
    <t xml:space="preserve">Arredondar; Cisco; Corteva; Vetted by CAF America; E moving; Euapoio; Fundação Prada de Assistência Social; Polen; Presente Consciente; Quitanda; Trio; Ajinomoto; B3 Social; Fundação José Luiz Egydio Setúbal; Instituto Stop Hunger; Viva Beauty; GlobalGiving; Paraquemdoar.com; Casa Victoriana; Ceagesp; Comida Invisível; Cobal Supermercados; GPA; GL Foods; Hortifruti; Hinode; Keep Light; Makro; Mesa III; Mesa Brasil SESC; Mercado Municipal Paulistano; Oba Hortifruti; Prefeitura Municipal de SP Banco de Alimentos; Sonda Supermercados; UOL; Assaí Atacadista; BIG; Fundação Cargill; Instituto Capim Santo; LIVUP; Momento Sabor; Natural One; Nut; Organicos In Box; Baboh's Pizza; Connecting Food; Doce do Bem; Empório Mega100; Panelinha Fit; Ralston; Tammy Montagna </t>
  </si>
  <si>
    <t>Rota Solidária</t>
  </si>
  <si>
    <t>"O Projeto Rota Solidária consiste na realização da coleta e distribuição de alimentos na cidade de São Paulo e região por meio da Colheita Urbana (coleta de alimentos frescos que seriam descartados e seu posterior repasse a instituições de assistência social). Esse tem sido o principal eixo de atuação da Associação e é o grande responsável pelo sucesso da Prato Cheio em seu trabalho de combate ao desperdício de alimentos e à fome, beneficiando milhares de pessoas em situação de vulnerabilidade social. Tem como objetivo sensibilizar estabelecimentos do segmento alimentício (indústrias, varejistas, atacadistas e produtores) para reduzir o desperdício, coordenando um sistema de arrecadação e distribuição de alimentos."</t>
  </si>
  <si>
    <t>Fundação Cargill; Embrapa</t>
  </si>
  <si>
    <t>Agricultura Nutritiva – Biofortificação de variedades de feijão caupi na melhoria da qualidade alimentar</t>
  </si>
  <si>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</si>
  <si>
    <t>Universidade Estadual do Maranhão – Campus Balsas (UEMA)</t>
  </si>
  <si>
    <t>http://www.agroecologia.uema.br/?p=2201</t>
  </si>
  <si>
    <t>https://nos.insightnet.com.br/braco-social-da-multinacional-americana-apoia-projetos-que-promovem-a-alimentacao-segura-sustentavel-e-acessivel/</t>
  </si>
  <si>
    <t>Fundação Cargill; Fundação Tide Setubal; Quacker</t>
  </si>
  <si>
    <t>Saladorama – Formação de Consultoras de Saúde e Bem Estar</t>
  </si>
  <si>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</si>
  <si>
    <t>Instituto Saladorama</t>
  </si>
  <si>
    <t>Pernambuco; São Paulo</t>
  </si>
  <si>
    <t>https://www.institutosaladorama.com/</t>
  </si>
  <si>
    <t>https://www.projetodraft.com/saladorama-um-delivery-de-saladas-organicas-feitas-por-moradoras-de-favelas-para-elas-e-para-o-asfalto/</t>
  </si>
  <si>
    <t>Fundação Cargill; DOW</t>
  </si>
  <si>
    <t>StartupTech</t>
  </si>
  <si>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t>
  </si>
  <si>
    <t>Associação Wylinka</t>
  </si>
  <si>
    <t xml:space="preserve">Alagoas; Bahia; Goiás; Distrito Federal; Maranhão; Minas Gerais; Pará; Paraná; Rondônia; São Paulo </t>
  </si>
  <si>
    <t>Nordeste; Centro-Oeste; Sudeste; Norte; Sul</t>
  </si>
  <si>
    <t>https://backup.wylinka.org.br/startuptech/</t>
  </si>
  <si>
    <t>https://wylinka.org.br/cases/wylinka-forma-160-pesquisadores-empreendedores-em-10-estados-brasileiros/</t>
  </si>
  <si>
    <t>Fundação Cargill; Secretaria de Estado de Agricultura, Pecuária e Abastecimento (Seapa); Centrais de Abastecimento de Goiás (Ceasa-GO)</t>
  </si>
  <si>
    <t>Banco de Alimentos contra o desperdício e a favor de comunidades em situação de vulnerabilidade social</t>
  </si>
  <si>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</si>
  <si>
    <t>Organização das Voluntárias de Goiás</t>
  </si>
  <si>
    <t>https://www.ovg.org.br/site/?page_id=5677</t>
  </si>
  <si>
    <t>Fundação Cargill; Embrapa; Fundação Certi</t>
  </si>
  <si>
    <t>Guabiroba: manejo agroflorestal, estruturação de cadeia produtiva com geração de renda para a agricultura familiar e desenvolvimento de novos</t>
  </si>
  <si>
    <t>"Estruturar a cadeia de suprimentos da Guabiroba, fruto típico da região de Irati/PR, por meio da agregação de valor na base produtiva, desenvolvimento de novos ingredientes para indústria de alimentos e articulação de mercado para esta fruta nativa."</t>
  </si>
  <si>
    <t>Heide Indústria e Comércio</t>
  </si>
  <si>
    <t>https://www.embrapa.br/busca-de-projetos/-/projeto/220075/guabiroba-manejo-agroflorestal-estruturacao-de-cadeia-produtiva-com-geracao-de-renda-para-a-agricultura-familiar-e-desenvolvimento-de-novos-ingredientes-alimenticios</t>
  </si>
  <si>
    <t>Fundação Cargill; Itaú Unibanco; Instituto Ekos Brasil</t>
  </si>
  <si>
    <t>Semeando Agrofloresta: geração de renda aliada à preservação da biodiversidade</t>
  </si>
  <si>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 "</t>
  </si>
  <si>
    <t>Associação Camponesa de Produção da Reforma Agrária do município de Uberlândia</t>
  </si>
  <si>
    <t>https://drive.google.com/file/d/1cSwvxo0gIKhl_B0iBv0g9L2xkIKqxVR2/view</t>
  </si>
  <si>
    <r>
      <rPr>
        <rFont val="Calibri, Arial"/>
        <sz val="11.0"/>
      </rPr>
      <t xml:space="preserve">Arredondar; Cisco; Corteva; Vetted by CAF America; E moving; Euapoio; Fundação Prada de Assistência Social; Polen; Presente Consciente; Quitanda; Trio; Ajinomoto; B3 Social; Fundação José Luiz Egydio Setúbal; Instituto Stop Hunger; Viva Beauty; GlobalGiving; </t>
    </r>
    <r>
      <rPr>
        <rFont val="Calibri, Arial"/>
        <color rgb="FF000000"/>
        <sz val="11.0"/>
      </rPr>
      <t>Paraquemdoar.com</t>
    </r>
    <r>
      <rPr>
        <rFont val="Calibri, Arial"/>
        <sz val="11.0"/>
      </rPr>
      <t>; Fundação Cargill</t>
    </r>
  </si>
  <si>
    <t>Prato Cheio para Todos</t>
  </si>
  <si>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</si>
  <si>
    <t>https://pratocheio.org.br/o-que-fazemos/#prato-cheio-para-todos</t>
  </si>
  <si>
    <t>Rabo Foundation; Raiar Orgânicos; Suzano</t>
  </si>
  <si>
    <t>Parceria Rabo e Raiar</t>
  </si>
  <si>
    <t>"A Raiar Orgânicos, empresa brasileira de proteínas orgânicas, e a holandesa Rabo Foundation, fundação ligada ao banco Rabobank para financiar projetos de impacto na agricultura, firmaram uma parceria para converter pastos degradados em lavouras de soja e milho orgânicos no Brasil. É o primeiro projeto no mundo aprovado com essa finalidade pela fundação, cujo foco é voltado tradicionalmente ao financiamento de capital de giro para o pequeno produtor rural. A parceria prevê R$ 700 mil a taxas subsidiadas para a Raiar, com carência de dois anos e prazo de quatro anos de pagamento, e contemplará até 40 produtores familiares em São Paulo, Minas Gerais, Paraná e Mato Grosso do Sul. Além disso, a Rabo Foundation concedeu um grant de R$ 450 mil à empresa, destinado ao custeio da assistência técnica fornecida pela Raiar a esses produtores. A falta de técnicos de campo é um dos grandes gargalos na produção rural do país."</t>
  </si>
  <si>
    <t>Pequenos produtores</t>
  </si>
  <si>
    <t>Mato Grosso do Sul; Minas Gerais; Paraná; São Paulo</t>
  </si>
  <si>
    <t>Centro-Oeste; Sul; Sudeste</t>
  </si>
  <si>
    <t>https://forbes.com.br/forbesagro/2023/03/rabo-foundation-e-raiar-vao-plantar-graos-organicos-veja-destaques-do-agroround/</t>
  </si>
  <si>
    <t>https://raiarorganicos.com.br/sobre-nos</t>
  </si>
  <si>
    <t>https://www.rabobank.nl/en/about-us/rabofoundation</t>
  </si>
  <si>
    <t>https://exame.com/exame-in/raiar-faz-parcerias-para-transformar-pastos-degradados/</t>
  </si>
  <si>
    <t>Instituto BRF; Monteiro; QuallyGrama; Rede Caetano; QuallyCred; FamilyCard; Blocasa; First; My Robot</t>
  </si>
  <si>
    <t>Projeto ‌‌Eco ‌Feira da ‌APAE‌ ‌ “Por um mundo mais inclusivo e sustentável”‌</t>
  </si>
  <si>
    <t xml:space="preserve">"O objetivo é a sensibilização, educação ambiental e a promoção de dinâmicas de alfabetização ecológica. As atividades acontecem às segundas e sextas-feiras, das 9h às 14h, na Apae Tatuí. A iniciativa é permanente e fica sempre aberto à visitação. E como funciona? Você pode trocar recicláveis por ecomoedas e adquirir produtos da horta, bazar, fantasias e muitos outros oferecidos pela APAE Tatuí. A iniciativa contou com apoio da BRF, que destinou R$ 50 mil através de edital técnico aprovado, além de diversos outros parceiros, como Monteiro, QuallyGrama, Rede Caetano, QuallyCred, FamilyCard, Blocasa, First e My Robot, que contribuíram com a iniciativa." "A iniciativa acontece desde 2019 pelo apoio do Tribunal de Justiça de SP. Porém, após terem sido selecionados pelo Instituto BRF, por meio do edital 'Edital Nossa Parte Pelo Todo 2021', foi possível realizar diversas melhorias: ter um profissional exclusivo ao projeto, melhor divulgação, bem como a aquisição de EPI´s. Ainda, por meio do apoio, estruturaram o espaço da reciclagem e da horta. Desta forma, ampliou-se os impactos comunitários e ambientais da iniciativa." </t>
  </si>
  <si>
    <t>Apae de Tatuí</t>
  </si>
  <si>
    <t>https://editaisibrf.prosas.com.br/nossapartepelotodo2021.html</t>
  </si>
  <si>
    <t>https://www.facebook.com/apaetatuisp/posts/1742665236111012/</t>
  </si>
  <si>
    <t>https://editaisibrf.prosas.com.br/not%C3%ADcias/por-um-mundo-mais-inclusivo-e-sustentavel-ecofeira-apae-de-tatui.html</t>
  </si>
  <si>
    <t>Itaú Social; Fundação Norberto Odebrecht; Bayer; Braskem; BNDES; Fundação Banco do Brasil; Prefeitura de Igrapiúna; Sascar; Secretaria da Educação do Governo do Estado da Bahia; CMDCA Igrapiúna; Eco-Escolas; Estratégia ODS; Michelin; Sistema FIEB; SESI; UNESCO</t>
  </si>
  <si>
    <t>Formação de Adolescentes Empresários Rurais da Agricultura Familiar</t>
  </si>
  <si>
    <t>"A Casa Familiar Rural de Igrapiúna – CFR-I é uma Organização da Sociedade Civil de Interesse Público – OSCIP e de caráter educacional, regularmente inscrita no Ministério da Justiça.  Oferta educação profissional utilizando estratégias e recursos didático-pedagógicos com a aplicação da Pedagogia da Alternância, que consiste na colocação da teoria a serviço da prática. Fundada em agosto de 2007 e credenciada em 09 de junho de 2011 pelo Conselho Estadual de Educação do estado da Bahia– CEE/BA, como uma Unidade de Ensino que oferta o curso de Educação Profissional Técnica de Nível Médio em Agronegócio Integrado ao Ensino Médio."</t>
  </si>
  <si>
    <t>Casa Familiar Rural de Igrapiúna</t>
  </si>
  <si>
    <t>https://www.itausocial.org.br/noticias/edital-fundos-da-infancia-seleciona-projetos-de-73-municipios/</t>
  </si>
  <si>
    <t>https://cfri.org.br/</t>
  </si>
  <si>
    <t>Itaú Social; Braskem; CEPLAC; Embrapa; Secretaria da Educação do Governo do Estado da Bahia; Sistema FIEB; SESI; Instituto Federal Baiano; Mitsubishi Corporation; Universidade Federal do Recôncavo da Bahia; UNESCO</t>
  </si>
  <si>
    <t>Formação de Adolescentes Empresários Rurais Técnicos em Florestas</t>
  </si>
  <si>
    <t xml:space="preserve">"a Casa Familiar Agroflorestal do Baixo Sul da Bahia (CFAF-BSB) é um centro de referência na geração e difusão de conhecimentos aplicados às atividades agroflorestais. Nessa unidade de ensino, credenciada pelo Conselho Estadual de Educação da Bahia e conveniada com a Secretaria Estadual da Educação, os jovens têm acesso ao curso de Educação Profissional Técnica de Nível Médio em Florestas Integrado ao Ensino Médio." </t>
  </si>
  <si>
    <t>Casa Familiar Agroflorestal do Baixo Sul da Bahia</t>
  </si>
  <si>
    <t>https://cfafbaixosul.com.br/</t>
  </si>
  <si>
    <t>Itaú Social; Sodexo; Quitanda Social</t>
  </si>
  <si>
    <t>Nutri(A)ção e afeto</t>
  </si>
  <si>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</si>
  <si>
    <t>Centro Educacional Jabuti (CEJA)</t>
  </si>
  <si>
    <t>https://www.itausocial.org.br/noticias/itau-social-seleciona-56-projetos-pelo-edital-fundos-da-infancia-e-da-adolescencia/</t>
  </si>
  <si>
    <t>https://www.mogidascruzes.sp.gov.br/pagina/secretaria-de-educacao/noticia/projeto-nutriaao-e-afeto-do-centro-educacional-jabuti-e-aprovado-em-edital-da-fundacao-itau-social</t>
  </si>
  <si>
    <t>Instituto Stop Hunger; Pinheiro Neto Advogados; NBA</t>
  </si>
  <si>
    <t>Instituto Recanto Basketball</t>
  </si>
  <si>
    <t>"Para as jovens jogadoras do time de basquete feminino do Instituto Recanto Basketball, projeto social voltado para os alunos da Escola Estadual Recanto Verde, na Zona Leste de São Paulo, a fome já foi um duro adversário. Hoje, com o Instituto Stop Hunger Brasil e o escritório Pinheiro Neto Advogados, que apoia e patrocina o time, cada integrante da equipe, entre titulares e reservas de 7 a 17 anos, recebe uma cesta básica no cartão Alimentação Stop Hunger para complementar suas refeições e as de suas famílias. Só em 2022, foram entregues ao projeto 840 cestas básicas, beneficiando 70 pessoas diretamente e 280, indiretamente." "Desde setembro de 2019 a OSCIP distribui cestas básicas para 70 atletas da equipe. Para a prática de qualquer modalidade de esporte de alto nível, a alimentação tem um papel essencial no desempenho dos atletas. No basquete, por ser um esporte em que a força física e a agilidade são igualmente importantes, a dieta deve ser extremamente balanceada. A partir dessa necessidade, o Instituto Stop Hunger Brasil, uma Organização da Sociedade Civil de Interesse Público (OSCIP), sem fins lucrativos, criada e mantida pela Sodexo, renovou a parceria com o Instituto Recanto Basketball em 2020 na distribuição de cestas básicas para as integrantes do time. No último trimestre de 2019, o Stop Hunger distribuiu 280 cestas básicas de 12kg para as 70 atletas do time de basquete feminino."</t>
  </si>
  <si>
    <t>Escola Estadual Recanto Verde</t>
  </si>
  <si>
    <t>http://br.stop-hunger.org/files/live/sites/stophunger-br/files/Relat%c3%b3rio%20Stop%20hunger%202022_FINAL%20(2).pdf</t>
  </si>
  <si>
    <t>https://mulheresacesta.com.br/2021/09/basquete-feminino-da-zona-leste-de-sao-paulo-ganha-selo-da-nba/</t>
  </si>
  <si>
    <t>https://www.segs.com.br/demais/216948-instituto-stop-hunger-brasil-anuncia-parceria-com-instituto-recanto-basketball-em-2020</t>
  </si>
  <si>
    <t>http://br.stop-hunger.org/files/live/sites/stophunger-br/files/Oficial_RA_STOP_HUNGER_2020-2021_interativo-v18_3.pdf</t>
  </si>
  <si>
    <t>Instituto Stop Hunger; Atakarejo</t>
  </si>
  <si>
    <t>Ação em parceria com o Atakarejo (BA)</t>
  </si>
  <si>
    <t>"Durante o mês de novembro, unimos forças com a rede de supermercados Atakarejo e a instituição social OAF, numa campanha de arrecadação que reuniu 500 kg de alimento e beneficiou 50 pessoas diretamente. A ação aconteceu sob o comando do Emanuel e da Claudia, que coordenaram um total de 20 voluntários."</t>
  </si>
  <si>
    <t>Organização de Auxílio Fraterno (OAF)</t>
  </si>
  <si>
    <t xml:space="preserve">Instituto Stop Hunger; Club Athletico Paranaense </t>
  </si>
  <si>
    <t xml:space="preserve">Ação em parceria com o Club Athletico Paranaense </t>
  </si>
  <si>
    <t>"43 mil kg de alimentos que beneficiaram 210 pessoas diretamente, a partir dos esforços de 51 voluntários e 3 ONGs. Este foi o resultado da mais recente ação de uma parceria de longa data – afinal, faz tempo que o Instituto Stop Hunger Brasil e o Club Athletico Paranaense colaboram na distribuição de recursos para quem mais precisa, especialmente no Paraná. Desta vez, sob coordenação do Jhonny, os torcedores foram estimulados a trazer alimentos, promovendo uma arrecadação coletiva nos jogos das equipes feminina e masculina sub 20."</t>
  </si>
  <si>
    <t>3 OSCs</t>
  </si>
  <si>
    <t>Instituto Stop Hunger; Rede Pinheiro de Supermercados</t>
  </si>
  <si>
    <t xml:space="preserve">Ações de arrecadação em Fortaleza </t>
  </si>
  <si>
    <t>"Em conjunto com a rede Pinheiro de supermercados, foi realizada uma ação de arrecadação destinada ao Lar Três Irmãs, na região de Montese, em Fortaleza. Com o embaixador Samuel estiveram 8 voluntários, que impactaram diretamente 50 pessoas com 220 kgs de alimentos."</t>
  </si>
  <si>
    <t>Lar Três Irmãs</t>
  </si>
  <si>
    <t>Electrolux Food Foundation; AIESEC; Worldchefs; Instituto Stop Hunger; Fundação de Ação Social de Curitiba</t>
  </si>
  <si>
    <t>Gastronomia Sustentável</t>
  </si>
  <si>
    <t>"Curso profissionalizante de gastronomia criado para formar novos profissionais para o mercado de trabalho: essa iniciativa da Electrolux, implementada pela primeira vez no final de 2017 em Curitiba, já formou cerca de 200 pessoas em 9 turmas do programa e atualmente tem mais 3 turmas planejadas a cada ano em Curitiba e 2 por ano na cidade de São Carlos. O objetivo é formar mais de 150 novos profissionais de cozinha a cada ano só na América Latina, e mais de 350 mundialmente. Destinado a pessoas desempregadas que querem mudar de vida e a alguns familiares de colaboradores da nossa empresa, o projeto é promovido pela Electrolux Food Foundation, mas conta com a parceria da AIESEC, da Worldchefs, do Instituto Stop Hunger-Sodexo e da Fundação de Ação Social de Curitiba. Atualmente, 60% dos alunos já estão empregados. O projeto trabalha para o atingimento da missão da Electrolux Food Foundation, de promover hábitos de alimentação mais sustentáveis e habilidades que ajudem minimizar o desperdício de alimentos. Essa e outras iniciativas são alinhadas aos Objetivos de Desenvolvimento Sustentável (ODS) promovidos pelas Nações Unidas, especialmente ao ODS #12 – Produção e Consumo Responsável.</t>
  </si>
  <si>
    <t>Electrolux Food Foundation; AIESEC; Worldchefs; Instituto Stop Hunger-Sodexo; Fundação de Ação Social de Curitiba</t>
  </si>
  <si>
    <t>Paraná; São Paulo</t>
  </si>
  <si>
    <t>https://institucional.electrolux.com.br/pessoas-post/projeto-gastronomia-sustentavel-better-future-program</t>
  </si>
  <si>
    <t>Instituto Stop Hunger; Sodexo On-Site; Electrolux Food Foundation; World Chefs Academy</t>
  </si>
  <si>
    <t>Cozinha Escola</t>
  </si>
  <si>
    <t>"Na Cozinha Escola, as participantes têm aulas em uma cozinha recém-construída no Instituto Anchieta Grajaú (IAG), que há 28 anos apoia famílias do bairro, oferecendo 1.000 refeições por dia (café da manhã, almoço, lanches e jantar) a 600 crianças e jovens de 2 a 18 anos no contraturno escolar. Lá, as mulheres da comunidade são capacitadas como cozinheiras e auxiliares por chefs, nutricionistas e especialistas da Sodexo On-site, com conteúdos desenvolvidos pela Electrolux Food Foundation e pela World Chefs Academy. Concluído o curso, elas saem mais preparadas para empreenderem e, muitas vezes, são contratadas pela própria Sodexo, parceiros ou clientes da empresa" "Em 2022 foram 6 turmas, 63 mulheres capacitadas, 252 pessoas indiretamente beneficiadas e 21 que saíram do projeto com emprego garantido. Desde novembro de 2020, os resultados do projeto Cozinha Escola nos trazem imensa alegria."</t>
  </si>
  <si>
    <t>Instituto Anchieta Grajaú (IAG)</t>
  </si>
  <si>
    <t>https://br.sodexo.com/midia/sodexo-na-imprensa/projeto-cozinha-escola-forma-35.html</t>
  </si>
  <si>
    <t>https://www.segs.com.br/educacao/315311-projeto-profissionalizante-cozinha-escola-promove-a-geracao-de-renda-e-o-empreendedorismo-feminino-em-comunidade-do-extremo-sul-de-sp</t>
  </si>
  <si>
    <t>http://br.stop-hunger.org/home/nossas-acoes/empoderamento-feminino/educacao-e-empreendedorismo.html</t>
  </si>
  <si>
    <t>Instituto Stop Hunger; Fundação Casas Bahia; G10 Favelas; D'Maria; Eataly; Fundação Dom Cabral; GPA; Graded; Harald; Instituto Rede Mulher Empreendedora (IRME); KraftHeinz; Mesa Solidária; Grupo Mulheres do Brasil; PagSeguro; Colégio Visconde de Porto Seguro; SEBRAE; SENAI; The Caring Family Foundation; Ifood; JBS</t>
  </si>
  <si>
    <t>Bistrô Mãos de Maria / Marmitas das Maria</t>
  </si>
  <si>
    <t>"Em defesa da mulher periférica, o restaurante Bistrô Mãos de Maria, do projeto Social Mãos de Maria, capacita em culinária e gastronomia; oferece suporte para precificar, planejar e empreender; gera renda; luta por igualdade de gênero; fortalece as mulheres da comunidade em situação de vulnerabilidade social e ainda comanda o programa Marmitas Solidárias." "Atualmente, o Bistrô &amp; Café Mãos de Maria é uma iniciativa da Associação da Mulheres de Paraisópolis, com o apoio do G10 Favelas e do Instituto Stop Hunger. Todos os alimentos servidos são preparados por mulheres que moram na comunidade de Paraisópolis. O curso permite que elas aprendam novas técnicas e receitas, e trabalhem para obter sua própria renda. 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t>
  </si>
  <si>
    <t>Mãos de Maria</t>
  </si>
  <si>
    <t>Minas Gerais; São Paulo</t>
  </si>
  <si>
    <t>https://maosdemariabrasil.com.br/</t>
  </si>
  <si>
    <t>Fundação André e Lucia Maggi; AMAGGI</t>
  </si>
  <si>
    <t>Um por todos e todos contra a Covid-19</t>
  </si>
  <si>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</si>
  <si>
    <t>Amazonas; Mato Grosso; Rondônia</t>
  </si>
  <si>
    <t>Norte; Centro-Oeste</t>
  </si>
  <si>
    <t>https://fundacaoandreeluciamaggi.org.br/campanha-um-por-todos-e-todos-contra-a-covid-19-completa-2-meses-com-mais-de-42-mil-cestas-distribuidas/</t>
  </si>
  <si>
    <t>https://www.redeamerica.org/Noticias/Detalle/ArtMID/1370/ArticleID/2198/Funda231227o-Andr233-e-Lucia-Maggi-doa-R-2-milh245es-para-a231245es-contra-a-Covid-19</t>
  </si>
  <si>
    <t>https://fundacaoandreeluciamaggi.org.br/wp-content/uploads/2022/05/Relatorio-de-Atividades-2020.pdf</t>
  </si>
  <si>
    <t>https://fundacaoandreeluciamaggi.org.br/wp-content/uploads/2023/04/PLANO-DE-ACAO-FALM-2023.pdf</t>
  </si>
  <si>
    <t>EMATER; RURAP; Embrapa; STTRs; Secretarias de Agricultura de Almeirim, Vitória do Jari e Laranjal do Jari; Governo do Pará; GIZ; Jari Florestal</t>
  </si>
  <si>
    <t>Projeto Vale do Jari</t>
  </si>
  <si>
    <t>"Para isso, foi criado o projeto Vale do Jari, que promove a capacitação técnica das famílias participantes do Projeto REDD+ Jari/Amapá, buscando o desenvolvimento econômico, social e, principalmente, a preservação dos recursos naturais da região." "Além das boas práticas extrativistas, o serviço de Assistência Técnica e Extensão Rural (ATER) prestado pela Fundação Jari, em atuação conjunta com a EMATER, RURAP, Embrapa, STTRs e as Secretarias de Agricultura de Almeirim, Vitória do Jari e Laranjal do Jari, vem incentivando a produção agrícola familiar, baseada no uso racional do solo, na visão de Sistemas Agroflorestais – SAF. Os agricultores são orientados a reaproveitar áreas já alteradas pela prática tradicional da lavoura (roça), por meio do uso da adubação; da diversificação e rotação de culturas; do plantio de espécies resistentes e adaptadas às condições do clima local; e do controle eficaz de pragas e doenças, estimulando também o uso de defensivos naturais alternativos. Isso evita a derrubada de novas áreas de floresta pela queima de roças e o impacto direto ao solo, água e plantas, bem como diversifica a produção e aumenta a renda e a segurança alimentar e nutricional das famílias. Os resultados de produção e comercialização de produtos agrícolas e extrativistas incentivados geraram 15.677.159, 23 milhões de reais de incremento na economia local. Com assistência técnica e parcerias comerciais para estimular a comercialização da produção foi possível viabilizar acesso ao crédito para os agricultores participantes, pelo programa DRS Banco do Brasil, com mais de 1 milhão de reais liberados para o financiamento das cadeias do curauá, castanha, açaí, mandioca e hortaliças. Através da parceria público-privado, a Prefeitura Municipal de Almeirim viabilizou a Mecanização Agrícola de mais de 30 hectares de área nas comunidades da região do Rio Parú e Rodovia Almeirim Panaicá e vicinais para implantação de Sistemas Agroflorestais. A Jari Florestal disponibilizou insumos para adubação das áreas. A Fundação Jari em conjunto com a  EMPRAPA, EMATER e Prefeitura de Almeirim, garantem a assistência técnica e ainda oferecem o acesso à material genético de qualidade. Foram distribuídas mais de 100 mil unidades entre mudas de banana,  sementes de açaí, arroz, milho e feijão selecionados, por meio desta parceria. Fernando Miranda, da COOPMAR, e Otacílio França, da ASMACARU, foram os grandes premiados da Região Norte, no Prêmio Valores do Brasil do Banco do Brasil, que em sua 3ª edição premiou 20 experiências entre as mais de 5 mil inscritas em todo o país. As Empresas PEMATEC Triangel, Jari Celulose, Jari Florestal, Ouro Verde, Sodexo Alimentos e Restaurantes e Supermercados locais são os parceiros comerciais que garantem a compra da produção e o fechamento da cadeia."</t>
  </si>
  <si>
    <t>Setor Público</t>
  </si>
  <si>
    <t>Fundação Jari</t>
  </si>
  <si>
    <t>Pará; Amapá</t>
  </si>
  <si>
    <t>https://primeirainfancia.org.br/noticias/fundacao-jari-uma-historia-que-se-renova-a-cada-dia-no-vale-do-rio-das-castanhas/</t>
  </si>
  <si>
    <t>https://industriaverde.com.br/noticias/vale-do-jari-abriga-exemplos-de-producao-sustentavel-no-amapa/</t>
  </si>
  <si>
    <t>https://www.amapa.gov.br/ler_noticia.php?slug=2101/parceria-publico-privada-fortalecera-setor-economico-do-vale-do-jari</t>
  </si>
  <si>
    <t>Fundação Vale; Mandu Inovação Social; Embrapa</t>
  </si>
  <si>
    <t>Núcleo de Desenvolvimento Rural da Estação Conhecimento de Arari</t>
  </si>
  <si>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</si>
  <si>
    <t>https://www.fundacaovale.org/wp-content/uploads/2022/05/Fundac%CC%A7a%CC%83o-Vale-RA2020.pdf</t>
  </si>
  <si>
    <t>https://www.fundacaovale.org/wp-content/uploads/2023/05/Relatorio-de-Atividades-2022.pdf</t>
  </si>
  <si>
    <t>https://saf.ma.gov.br/noticias/saf-participa-do-lancamento-do-nucleo-de-desenvolvimento-rural-da-estacao-conhecimento-de-arari</t>
  </si>
  <si>
    <t>https://www.fundacaovale.org/atuacao/projetos/</t>
  </si>
  <si>
    <t>Abong; ActionAid; ASA Bahia; Banco do Nordeste do Brasil; CEAPE - Cooperação Técnica; Fundação Banco do Brasil; Omicron Eletronics; Petrobras; Disop; Heifer; Icep; Kinder Missions; Kindernothilfe; Terre des hommes suisse; UNICEF; Zoetis - Resource Foundation</t>
  </si>
  <si>
    <t>Programa Água, Produção de Alimentos e Agroecologia (PAPAA)</t>
  </si>
  <si>
    <t>"O objetivo do PAPAA é contribuir para que famílias e comunidades da área de atuação do MOC fortalecem a segurança alimentar e diversificam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</si>
  <si>
    <t>Movimento de Organização Comunitária (MOC)</t>
  </si>
  <si>
    <t>https://www.moc.org.br/programa/programa-agua-producao-de-alimentos-e-agroecologia</t>
  </si>
  <si>
    <t>https://moc.org.br/upload/relatorio-anual-do-moc-2021_1682366572_24042023050252.pdf</t>
  </si>
  <si>
    <t>Divina Providência; ASA; Conselho Estadual de Criança e Adolescente (CECA); Secretaria de Justiça, Direitos Humanos e Desenvolvimento Social (SJDHDS)</t>
  </si>
  <si>
    <t>É tempo de Cooperar - Solidariedade Por um Sertão Justo</t>
  </si>
  <si>
    <t>"O Movimento de Organização Comunitária (MOC), buscando atenuar as consequências da pandemia da COVID-19 e seus impactos para a vida das populações do Semiárido baiano, especialmente aquelas que vivenciam a insegurança alimentar e as incertezas que comprometem a saúde mental, retomou suas ações com a campanha É tempo de Cooperar-Solidariedade Por um Sertão Justo. Nas últimas ações da campanha arrecadamos cerca de oito mil e quinhentas cestas básicas de alimentos oriundos da agricultura familiar e economia solidária, além de produtos de higiene. O objetivo geral da campanha está estruturado no sentido de somar esforços para atenuar a situação de vulnerabilidade alimentar, psicossocial e econômica no contexto da pandemia da COVID-19 e seus desastrosos efeitos na vida das populações rurais e das áreas periurbanas onde o MOC atua, tendo como público crianças, adolescentes e jovens, mulheres, educadores/as e famílias agricultoras no semiárido baiano, buscando o desenvolvimento da autonomia, protagonismo e solidariedade em tempos de pandemia."</t>
  </si>
  <si>
    <t>https://www.moc.org.br/publicacao/geral/3605/moc-retoma-suas-acoes-da-campanha-a-tempo-de-cooperar</t>
  </si>
  <si>
    <t>https://www.moc.org.br/publicacao/geral/3587/moc-realiza-encontro-virtual-para-explicar-acoes-da-campanha-a-tempo-de-cooperar-</t>
  </si>
  <si>
    <t>https://www.moc.org.br/publicacao/geral/3592/projeto-cestas-solidarias-e-socioeducativas-chega-ate-os-municipios-de-araci-e-riachao-do-jacuipe</t>
  </si>
  <si>
    <t>Kinder Not Hilfe (KNH)</t>
  </si>
  <si>
    <t>Projeto Crianças e Adolescentes: Re'tocando Vidas, Direitos e Sonhos no Semiárido e Cirandando pelos Direitos</t>
  </si>
  <si>
    <t>"As ações do Projeto Crianças e Adolescentes: Re'tocando Vidas, Direitos e Sonhos no Semiárido e Cirandando pelos Direitos, realizado pelo MOC em parceria com a KnH, são voltados para contribuir no protagonismo de crianças e adolescentes, assim como de suas famílias, como no desenvolvimento comunitário, para que a busca incansável pela garantia de direitos e de uma vida digna e feliz no campo, tenha sempre êxito. Essas ações importantes de doar, levar mais que alimentos, transmite esperanças de tempos melhores para diversas famílias do Semiárido Baiano."</t>
  </si>
  <si>
    <t>https://www.moc.org.br/publicacao/geral/3548/moc-com-o-apoio-da-knh-realizou-a-entrega-de-cestas-basicas-alcool-em-gel-sabonete-liquido-e-mascaras-para-criancas-e-adolescentes</t>
  </si>
  <si>
    <t>Instituto Phi; White Martins; Tim Brasil</t>
  </si>
  <si>
    <t>Plano de Ação Familiar</t>
  </si>
  <si>
    <t>"O Plano de Ação Familiar (PAF) é a metodologia social criada pelo Instituto Dara, que consiste no estabelecimento de metas conjuntas e de ações integradas nas áreas de Saúde, de Moradia, de Geração de Renda, de Cidadania e de Educação, visando à autonomia e ao desenvolvimento de famílias em vulnerabilidade social. O PAF é reconhecido, nacional e internacionalmente, pela abordagem inovadora e intersetorial de combate à pobreza. As famílias que participam do Plano de Ação Familiar (PAF), Tecnologia Social do Instituto Dara, recebem mensalmente um crédito de R$ 200 de apoio nutricional. O cartão é uma das ações da metodologia intersetorial, onde as famílias contam com acompanhamento nas áreas de saúde, educação, cidadania, moradia e renda. Dentro da área da área da Saúde, a equipe de Nutrição vem fazendo um trabalho minucioso para ajudar as famílias no combate à fome. Durante o período de março a junho deste ano, foram acompanhadas 265 famílias que recebem o auxílio no cartão alimentação e os resultados foram impressionantes. Houve redução de 22% para 4% no número de famílias passando fome e de 28% para 8% o número de famílias que não tinham todas as refeições. Além disso, com esse apoio, houve uma estabilidade de 58% das famílias concentradas dentro do nível leve de insegurança alimentar."</t>
  </si>
  <si>
    <t>Instituto Dara</t>
  </si>
  <si>
    <t>https://dara.org.br/2022/08/25/instituto-dara-no-combate-a-fome/</t>
  </si>
  <si>
    <t>http://dara.org.br/conheca/plano-de-acao-familiar/#sobre</t>
  </si>
  <si>
    <t>https://institutophi.org.br/instituto-dara/</t>
  </si>
  <si>
    <t>Fábrica de Desidratados Prefeito Édio Muniz</t>
  </si>
  <si>
    <t xml:space="preserve">Fábrica de Desidratados </t>
  </si>
  <si>
    <t>"Começou a funcionar, oficialmente nesta quarta-feira (26/05/21), a Fábrica de Desidratados Prefeito Édio Muniz. Localizada em Ubatiba, é gerida pela Prefeitura de Maricá, através da Secretaria de Agricultura, Pecuária e Pesca. Criada originalmente após uma demanda de um produtor local de tomate, o principal objetivo da fábrica de desidratados é prolongar o tempo de validade dos alimentos, para que os produtores possam ter seu produto disponível para comercialização por mais tempo. 'A fábrica é um ganho para a cidade. A gente está vivendo um tempo de valorização, da terra, da agricultura como um valor humano, e é importante que a gente, com instrumentos como este, fomente nas pessoas o desejo de produzir, de plantar, e de ver a vida nascer da terra', comentou o prefeito Fabiano Horta. Para o secretário de Agricultura, Pecuária e Pesca, Julio Carolino, a fábrica tem o principal objetivo de valorizar o trabalho do produtor familiar. 'O produtor sofre muito, quando planta ele sabe quanto está o preço do seu produto, quando vai colher não. Isso é muito ruim porque dá uma instabilidade ao seu trabalho porque às vezes ele tem que vender rápido por conta do prazo de validade e acaba tendo prejuízos. A fábrica chega, principalmente para dar segurança a esse produtor, se ele não vender o seu produto na hora da colheita, ele traz para cá, realiza o processo e consegue vender em até seis meses, ganhando tempo', disse o secretário. O presidente da unidade, Luis Felipe Diniz, explicou como vai funcionar a dinâmica inicial da fábrica. 'A principal função da desidratação é fazer com que o produto permaneça na mesma qualidade por mais tempo. E como vai funcionar aqui? O produtor individual ou de associação pode trazer seu produto, vender ou doar, a fábrica vai realizar o procedimento e após, vai realizar a distribuição desses produtos, que inicialmente irão abastecer as escolas da rede pública do município', explicou. Nesse primeiro momento a comercialização não está aberta ao público. Ainda de acordo com o presidente, há a expectativa de expandir o rol de alimentos para serem processados; hoje o local processa dois tipos de alimentos: a banana nanica e o aipim. 'Lá na frente, tudo correndo bem, nós vamos realizar o processamento de tomate, abóbora e todo produto de safra que venha para cá. A gente pretende colocar esse produto, já desidratado, para comércio em mercados e feiras no município e fora dele', explicou."</t>
  </si>
  <si>
    <t>Prefeitura de Maricá - Secretaria de Agricultura, Pecuária e Pesca</t>
  </si>
  <si>
    <t>https://observatorio.all4food.com.br/pda/solares-cidadania/</t>
  </si>
  <si>
    <t>https://www.marica.rj.gov.br/noticia/prefeitura-da-inicio-a-operacao-da-fabrica-de-desidratados-edio-muniz/</t>
  </si>
  <si>
    <t>https://www.facebook.com/PDTMarica/videos/711887349522839/</t>
  </si>
  <si>
    <t>Cooperativa Nacional de Produção e Agroindustrialização (COOPAITA)</t>
  </si>
  <si>
    <t>Golden Fruit</t>
  </si>
  <si>
    <t>"A cooperativa reúne produtores de abacaxi in natura que promove o upcycling de frutos que não atendem os padrões comerciais do varejo. São produzidos barras de cereais e frutas desidratadas, a fim de reduzir a perda dos agricultores."</t>
  </si>
  <si>
    <t>Produção Agrícola; Varejo</t>
  </si>
  <si>
    <t>https://observatorio.all4food.com.br/pda/coopaita/</t>
  </si>
  <si>
    <t>https://www.instagram.com/goldenfruit_coopaita/</t>
  </si>
  <si>
    <t>https://www.linkedin.com/in/coopaita-agroindustrial-764422190/?originalSubdomain=br</t>
  </si>
  <si>
    <t>Brasken Labs Scale; Food Ventures Innovation Hub; Artemisia; Fundação Cargill; FoodTech Movement</t>
  </si>
  <si>
    <t>Intelligent Foods</t>
  </si>
  <si>
    <t>"Essa é a missão da Intelligent Foods, startup participante da categoria especial de redução de desperdício e perda de alimentos do Braskem Labs Scale 2018, o programa de aceleração de iniciativas com impacto socioambiental da Braskem. Os empreendedores desenvolveram um método que consegue matar as bactérias presentes na comida por meio de diferentes etapas de temperatura e pressão, possibilitando que os alimentos sejam preservados por até quatro anos sem refrigeração nem conservantes. [...] Uma vez concluído o processo, os alimentos podem ser conservados por até quatro anos fora da geladeira. 'O que estraga a comida são as bactérias, e o que os congeladores fazem é simplesmente desacelerar a ação delas. Mas se não há bactérias, não há nenhuma necessidade de refrigeração', diz Gabriel."</t>
  </si>
  <si>
    <t>https://observatorio.all4food.com.br/pda/startup-intelligent-foods/</t>
  </si>
  <si>
    <t>https://intelligentfoods.com.br/</t>
  </si>
  <si>
    <t>https://www.projetodraft.com/a-intelligent-foods-promete-conservar-alimentos-por-ate-quatro-anos-fora-da-geladeira/</t>
  </si>
  <si>
    <t>https://www.linkedin.com/company/if-intelligent-foods/about/</t>
  </si>
  <si>
    <t>https://www.artemisia.org.br/labalimentacao/</t>
  </si>
  <si>
    <t>Varanda Grill; Due Cuochi; Rufino Restaurante; Instituto Mara Gabrilli</t>
  </si>
  <si>
    <t>Restaurantes do Bem</t>
  </si>
  <si>
    <t>"O movimento Restaurantes do Bem existe desde maio de 2021 sob coordenação do empresário Sylvio Lazzarini, Diretor do Grupo Varanda e Intermezzo Carnes.  Hoje conta com a participação de 16 restaurantes. Só no ano passado, o movimento produziu e distribuiu mais de 120 mil marmitas para atender à população em situações emergenciais no Estado de São Paulo. Neste ano, promoveu a doação de mais de 20 mil marmitas a desabrigados das chuvas nas diferentes regiões do Estado de São Paulo, Capital e Litoral."</t>
  </si>
  <si>
    <t>https://www.sociomotiva.com/pt-BR/pages/f20f3426-0dd2-43d7-8aa5-4021a9e82785</t>
  </si>
  <si>
    <t>https://gazetadasemana.com.br/noticia/125808/movimento--restaurantes-do-bem--lanca-campanha-em-prol-de-maes-de-filhos-com-deficiencia</t>
  </si>
  <si>
    <t>Fundação Norberto Odebrecht; Novonor S.A</t>
  </si>
  <si>
    <t>Programa de Desenvolvimento e Crescimento Integrado com Sustentabilidade (PDCIS)</t>
  </si>
  <si>
    <t>"O Programa de Desenvolvimento e Crescimento Integrado com Sustentabilidade (PDCIS), criado em 2003 pela Fundação Norberto Odebrecht, promove o desenvolvimento territorial sustentável em regiões de vulnerabilidades sociais. O programa é composto por uma série de soluções socioambientais de impactos comprovados que fortalecem a agricultura familiar em harmonia com o meio ambiente, sempre com foco nos jovens. Assim, o PDCIS busca impulsionar o desenvolvimento econômico, evitar o êxodo rural e promover o empreendedorismo e a inclusão social. O programa é colocado em prática por meio de seis frentes de atuação: educação para o desenvolvimento sustentável; conservação ambiental; desenvolvimento econômico; inovação e tecnologia; cidadania e governança; e coesão e mobilização social. Para executar o PDCIS, a Fundação cria parcerias e fortalece organizações da sociedade civil (OSCs) locais, apoiando-as no planejamento de ações, na mobilização de recursos e no monitoramento e avaliação de resultados. Esse trabalho de fortalecimento institucional busca garantir transparência e eficiência àqueles que doam recursos para apoiar a execução do PDCIS. Em troca, essas instituições implementam as ações de impacto social estipuladas e estimulam a mobilização social das comunidades em torno da iniciativa."</t>
  </si>
  <si>
    <t>Fundação Norberto Odebrecht; Casa Familiar Agroflorestal (CFAF); Casa Familiar Rural de Igrapiúna (CRF-I); Casa Familiar Rural de Presidente Tancredo Neves (CFR-PTN); Organização de Conservação da Terra (OCT)</t>
  </si>
  <si>
    <t>Bahia; Rio de Janeiro</t>
  </si>
  <si>
    <t>https://www.fundacaonorbertoodebrecht.com/programa-social/index.html</t>
  </si>
  <si>
    <t>https://www.fundacaonorbertoodebrecht.com/arquivos/como-implementar-o-pdcis-versao-de-visibilidade.html</t>
  </si>
  <si>
    <t>https://www.fundacaonorbertoodebrecht.com/arquivos/relatorio-anual-2022.html</t>
  </si>
  <si>
    <t>Instituto Camargo Corrêa; Camargo Corrêa Infra; Camargo Corrêa; AtlânticoSul; Hm; Mover; Vexia</t>
  </si>
  <si>
    <t>Dia do Bem Fazer</t>
  </si>
  <si>
    <t>"O Dia do Bem-Fazer acontece no terceiro domingo do mês de agosto desde 2009. O objetivo é estimular e apoiar os profissionais das empresas do Grupo Camargo Corrêa na realização de ações voluntárias em prol das comunidades onde atuam, além de promover e divulgar a cultura do voluntariado. No Dia do Bem-Fazer serão realizadas ações como reformas em escolas, asilos e creches, atividades com crianças e idosos, oferecimento de serviços como orientação jurídica, palestras sobre saúde, emissão de certidões, doação de alimentos e materiais entre outras."</t>
  </si>
  <si>
    <t>Instituto Camargo Corrêa</t>
  </si>
  <si>
    <t>https://institutocamargocorrea.org.br/?page_id=159</t>
  </si>
  <si>
    <t>https://camargocorreainfra.com/dia-do-bem-fazer-completa-10-anos/</t>
  </si>
  <si>
    <t>https://www.cbve.org.br/?p=1665</t>
  </si>
  <si>
    <t>https://www.prefeitura.sp.gov.br/cidade/secretarias/inovacao/noticias/?p=333863</t>
  </si>
  <si>
    <t>Instituto Alcoa; Alcoa Foundation; Alcoa</t>
  </si>
  <si>
    <t>CompartilharFazBem</t>
  </si>
  <si>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</si>
  <si>
    <t>Maranhão; Minas Gerais; Pará</t>
  </si>
  <si>
    <t>Nordeste; Sudeste; Norte</t>
  </si>
  <si>
    <t>https://www.alcoa.com/brasil/pt/pdf/relatorio-IA-2020.pdf</t>
  </si>
  <si>
    <t>Gerdau; Indec; Involves Zero; Unimed; ABN AMRO; Construtora Giacomazzi; Kzas; Coinfisio</t>
  </si>
  <si>
    <t>FunTETO</t>
  </si>
  <si>
    <t>"Para colocar em prática soluções que amenizem os efeitos da COVID-19 em comunidades precárias, a organização passou a receber doações através de um fundo chamado FunTETO." O Fundo teve como investimento, três pilares: Acesso à água e Saneamento; Segurança Alimentar e Combate à fome; Formação Comunitária. Quanto à Segurança Alimentar e Combate à fome "Em nosso trabalho neste pilar, a TETO Brasil construiu hortas comunitárias, que buscam não só trazer autossuficiência às comunidades, como também promover uma alimentação saudável entre moradores e moradoras. De forma complementar à horta comunitária, a TETO Brasil também tem idealizado a construção de refeitórios comunitários. O primeiro projeto já está em execução, na comunidade fluminense Vila Beira-Mar. 'Com o refeitório comunitário nós vamos desenvolver uma boa alimentação para aquelas famílias que não estão conseguindo ter essa alimentação saudável nesse momento tão difícil', conta a referência comunitária Zélia Marques. De acordo com ela, a ideia é fornecer ao menos duas refeições por dia para idosos e crianças que estão em fase de crescimento, mas atualmente não conseguem ter uma boa alimentação porque um ou mais familiares perderam seus empregos. 'O refeitório na comunidade vai ser uma peça fundamental. Estou muito confiante de que vai valer a pena', complementa Zélia. Ao longo de 2020, concluímos cinco projetos de segurança alimentar e combate à fome e estamos com outro em andamento. Ao todo, eles têm potencial de beneficiar quase mil pessoas em situação de vulnerabilidade."</t>
  </si>
  <si>
    <t>Teto Brasil</t>
  </si>
  <si>
    <t>Bahia; Minas Gerais; Pernambuco; Rio de Janeiro; São Paulo</t>
  </si>
  <si>
    <t>https://d335luupugsy2.cloudfront.net/cms/files/131216/1610371228relatrio_FunTETO_2020_VFINAL.pdf</t>
  </si>
  <si>
    <t>https://www2.gerdau.com/sites/gln_gerdau/files/2022-11/Gerdau_Relatorio-de-Responsabilidade-Social-2021.pdf</t>
  </si>
  <si>
    <t>Instituto Arapyaú; Instituto Clima e Sociedade; Instituto Jequitibá; Natura; Droga Raia; L’Oréal; Takeda; Kiddo; ZCO2; Agropalma; Estaleiro Okean; Deutsche Gesellschaft für Internationale Zusammenarbeit (GIZ); GmbH</t>
  </si>
  <si>
    <t>ComSaudeeAlegriaSemCorona</t>
  </si>
  <si>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</si>
  <si>
    <t>Centro de Estudos Avançados de Promoção Social e Ambiental (CEAPS); Sindicato dos Trabalhadores e Trabalhadoras Rurais (STTR); Conselho Indígena Tapajós Arapiuns (CITA); Associação Indígena Pariri do Povo Munduruku (Médio Tapajós); Clube de Mães; Conselho Comunitário de Alter do Chão; Expedicionários da Saúde; Motirõ Saúde; Solidários da Saúde</t>
  </si>
  <si>
    <t>https://saudeealegria.org.br/saude-comunitaria/campanha-de-apoio-ao-baixo-amazonas-contra-a-covid-19/</t>
  </si>
  <si>
    <t>https://arapyau.org.br/wp-content/uploads/2021/05/Arapyau_RA2020.pdf</t>
  </si>
  <si>
    <t>Instituto Arapyaú; Instituto Humanize; TozziniFreire; Grupo Gaia; BNDES</t>
  </si>
  <si>
    <t>CRA Sustentável (Certificado de Recebíveis do Agronegócio)</t>
  </si>
  <si>
    <t>"Um produto financeiro inovador para o agronegócio foi lançado em 2020 para beneficiar, inicialmente, 150 pequenos produtores e agricultores familiares do sul da Bahia: o primeiro Certificado de Recebíveis do Agronegócio (CRA) atrelado a exigências socioambientais. Trata-se de um instrumento financeiro que prevê, já em sua formatação, a geração de impacto socioambiental positivo por quem acessa esse tipo de crédito. O desenho do CRA foi baseado no modelo Blended Finance - que conta com recursos de investidores do mercado financeiro e de organizações filantrópicas -, e constituído na Comissão de Valores Mobiliários (CVM) no valor de R$ 1 milhão. A operação, com foco em agricultura sustentável, foi gerida pela Gaia Securitizadora, concebida pelos institutos Arapyaú e Humanize, e teve assessoria jurídica do escritório TozziniFreire. A formatação do certificado contou também com parecer de segunda opinião da consultoria WayCarbon. A Ong Tâboa – Fortalecimento Comunitário fez todo o acompanhamento técnico dos produtores que acessaram os títulos de crédito. A bem-sucedida emissão da CRA verde foi resultado de quatro anos de estudo, formatação e aplicação do instrumento. O objetivo foi chegar a um modelo financeiro de estrutura escalável e sustentável, capaz de gerar impacto no manejo sustentável do cacau na região – sem perder de vista o longo prazo. A expectativa é que a ação gere ganho de produtividade de 30% aos agricultores envolvidos. O CRA sustentável e de impacto socioambiental foi desenhado para facilitar o acesso a crédito por produtores que têm dificuldade de acesso ao PRONAF. A operação permitiu, inclusive, que a assinatura de documentos fosse realizada apenas com a digital, superando a barreira da escrita para muitos dos agricultores. Nesse contexto, cerca de 150 agricultores acessaram algum tipo de crédito em 2020 por meio desse instrumento, ao valor médio foi de R$ 6,5 mil. 'O crédito nos possibilitou aumentar a produtividade, comprar mais insumos e equipamentos para o manejo e a produção de cacau. Desde 2017 investimos na melhora do beneficiamento do cacau. A gente agregou valor produzindo cacau de qualidade, aumentamos a produtividade e nossa renda. A ideia é aumentar a produtividade, mas também garantir que a gente preserve o meio ambiente, que é um dos pilares da agroecologia' (Tereza Santiago, produtora do assentamento Dois Riachões, em Ibirapitanga, sul da Bahia, e beneficiada pelo CRA). Para aqueles que nunca tiveram acesso a essas práticas, foram oferecidas oficinas de manejo de cacau. As sessões foram promovidas pela Tabôa."</t>
  </si>
  <si>
    <t>Tabôa</t>
  </si>
  <si>
    <t>https://arapyau.org.br/programa-de-credito-de-impacto-socioambiental-para-pequeno-produtor-de-cacau-vence-edital-do-bndes-e-tera-aporte-de-r-4-milhoes/</t>
  </si>
  <si>
    <t>https://arapyau.org.br/credito-inovador-eleva-renda-media-de-agricultor-familiar-de-cacau-em-quase-40-em-um-ano/</t>
  </si>
  <si>
    <t>Instituto Assaí; Assaí Atacadista</t>
  </si>
  <si>
    <t>Juntos por Elas</t>
  </si>
  <si>
    <t>"O Assaí Atacadista, em parceria com o Instituto Assaí, organização social da Companhia, doará uma tonelada de alimentos não perecíveis a cada gol marcado pela seleção brasileira na Copa do Mundo Feminina. A ação social visa fortalecer o esporte feminino e irá apoiar uma organização social focada na promoção do tema, que ficará responsável pelo recebimento e destinação dos alimentos doados." "Nesta terça-feira (22/08/23) a Escolinha de Futebol Menina Olímpica recebeu 5 toneladas de alimentos doados pela Campanha Juntos por Elas, do Instituto Assaí, onde a cada gol da seleção feminina de Futebol o Assaí doaria 1 tonelada de Alimentos."</t>
  </si>
  <si>
    <t>Associação Menina Olímpica; Empodera</t>
  </si>
  <si>
    <t>Ceará; Rio de Janeiro</t>
  </si>
  <si>
    <t>https://www.instagram.com/p/CwSUgNaITfZ/</t>
  </si>
  <si>
    <t>https://www.mktesportivo.com/2023/07/assai-doara-uma-tonelada-de-alimentos-a-cada-gol-do-brasil-na-copa-do-mundo-feminina/</t>
  </si>
  <si>
    <t xml:space="preserve">Doações de Alimentos </t>
  </si>
  <si>
    <t>"O combate à fome é um compromisso de todos nós! E uma das frentes de atuação do Instituto Assaí é a segurança alimentar. Mensalmente, doações de alimentos são feitas para várias instituições sociais em todo o Brasil. A @maosnamassa_sp é uma das nossas instituições parceiras e, em junho, recebeu mais de 2 toneladas de alimentos. Esses alimentos serão convertidos em refeições para pessoas em situação de rua e também serão distribuídos para comunidades vulneráveis através de cestas básicas."</t>
  </si>
  <si>
    <t>Mãos na Massa</t>
  </si>
  <si>
    <t>https://www.instagram.com/p/CvOJQXZNFCw/?img_index=1</t>
  </si>
  <si>
    <t>Doações de Alimentos devido a Fortes Chuvas em Alagoas</t>
  </si>
  <si>
    <t>"Através da mobilização de lojas Assaí da cidade de Maceió, mais de 500 famílias desabrigadas e desalojadas pelas fortes chuvas que atingiram o estado do Alagoas foram beneficiadas com uma doação de 5 toneladas de alimentos feita pelo Instituto Assaí. Com o apoio da Cruz Vermelha Brasileira-AL, as doações serão entregues às vítimas das chuvas."</t>
  </si>
  <si>
    <t>Cruz Vermelha Brasileira - AL</t>
  </si>
  <si>
    <t>https://www.instagram.com/p/Cu9rHs-tAsj/</t>
  </si>
  <si>
    <t>"O programa Destino Certo, do Assaí, ganhou uma nova identidade visual, alinhada ao momento que atravessa. A iniciativa teve sua abrangência ampliada e promoveu ações de engajamento com as lojas que tiveram suas operações mais impactadas pela pandemia, visando reforçar a participação daquelas unidades no programa. Como reflexo desse “novo gás”, já se observa uma evolução nos resultados: aumento de 37% no peso (em quilos) de alimentos doados entre janeiro e julho de 2022 em relação ao mesmo período de 2021.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 "O Programa Destino Certo foi criado para reunir todas as ações do Assaí em torno da redução do desperdício por meio da doação de alimentos (frutas, legumes e verduras) que não apresentam as características comerciais desejáveis. As doações são realizadas mediante a prospecção e avaliação criteriosa de instituições especializadas em apoio e acolhimento de pessoas em situação de vulnerabilidade."</t>
  </si>
  <si>
    <t>https://www.instagram.com/p/CstfJnFNQ6O/</t>
  </si>
  <si>
    <t>https://institutoassai.org.br/docs/Relatorio-Anual-Instituto-Assai.pdf</t>
  </si>
  <si>
    <t>Doações de Alimentos devido a Fortes Chuvas no Acre e Maranhão</t>
  </si>
  <si>
    <t>"O Instituto Assaí doou alimentos, produtos de limpeza e higiene pessoal para famílias atingidas pelas fortes chuvas de março nos Estados do Acre e Maranhão. Ao todo, foram 4,3 toneladas de doações para cada um dos dois Estados. Em parceria com a @acaodacidadania, as doações foram entregues para 500 famílias no Acre e 500 famílias no Maranhão."</t>
  </si>
  <si>
    <t>Acre; Maranhão</t>
  </si>
  <si>
    <t>Norte; Nordeste</t>
  </si>
  <si>
    <t>https://www.instagram.com/p/Cr1edAANjqk/</t>
  </si>
  <si>
    <t>Doações de Alimentos devido a Fortes Chuvas no Litoral de São Paulo</t>
  </si>
  <si>
    <t>"Para apoiar as famílias atingidas pelas fortes chuvas no litoral norte de São Paulo, o Instituto Assaí doou 21 toneladas de produtos, que incluem alimentos, água potável, itens de limpeza e de higiene pessoal."</t>
  </si>
  <si>
    <t xml:space="preserve">Ação da Cidadania; Central Única das Favelas (CUFA); Instituto Verde Escola; Conselho de Ação Social da Igreja Presbiteriana do Brasil </t>
  </si>
  <si>
    <t>https://www.instagram.com/p/CpQtLHjvzKn/</t>
  </si>
  <si>
    <t>Instituto Assaí; Assaí Atacadista; Band; Ifood</t>
  </si>
  <si>
    <t>A Favela está com o Povo Yanomami</t>
  </si>
  <si>
    <t>"O Ministério da Saúde declarou emergência de saúde pública para enfrentar a calamidade sanitária dos povos Yanomami – indígenas que vivem na Floresta Amazônica, nos estados de Roraima e Amazonas. A partir desta informação, a Central Única das Favelas (CUFA) e a Frente Nacional Antirracista (FNA) que durante a pandemia viabilizaram alimentos, gás e produtos de higiene, na região, e em todo o país, estão promovendo um mutirão solidário para arrecadação de alimentos. Com o apoio logístico da Favela Log, as doações chegarão na região." "O povo Yanomami passa por uma forte crise humanitária e de saúde, sofrendo com a fome e doenças por falta de assistência. Em meio a esse cenário, o Instituto Assaí doou 1.000 cestas de alimentos (mais de 12 toneladas) para a @cufabrasil, que está dando suporte aos Yanomami em Roraima."</t>
  </si>
  <si>
    <t>Central Única das Favelas (CUFA); Frente Nacional Antirracista (FNA); Favela Log</t>
  </si>
  <si>
    <t>Amazonas; Roraima</t>
  </si>
  <si>
    <t>https://cufa.org.br/cufa-e-frente-nacional-antirracista-lancam-campanha-para-ajudar-os-yanomami-e-regiao/</t>
  </si>
  <si>
    <t>https://www.instagram.com/p/Cn5PSGzJpQ8/?img_index=1</t>
  </si>
  <si>
    <t>Instituto GPA; GPA</t>
  </si>
  <si>
    <t>Campanha Emergencial Litoral Norte SP</t>
  </si>
  <si>
    <t>"Devido às fortes chuvas que atingiram o Litoral Norte de São Paulo, 71 lojas do Pão de Açúcar e Mercado Extra, localizadas na região, Baixada Santista e algumas lojas da capital paulista, serão pontos de arrecadação de alimentos não perecíveis, água, produtos de higiene e limpeza. A campanha acontece, inicialmente, até dia 10 de março e o GPA se compromete a doar a mesma quantidade de itens arrecadados para o suporte às vítimas da região. Todas as doações serão destinadas às organizações parceiras do Instituto GPA, que estão atuando na região: Ação da Cidadania, Fundação 10 de Agosto, Fundo de Solidariedade de Guarujá, Fundo de Solidariedade de Ubatuba, Gerando Falcões e Rotary Clube."</t>
  </si>
  <si>
    <t>https://institutogpa.org.br/projeto/campanha-arrecadacao/</t>
  </si>
  <si>
    <t xml:space="preserve">"Por meio do Instituto, em 2022 doamos mais de 242,7 toneladas de alimentos, beneficiando mais de 25 mil famílias no Brasil, por meio da parceria com mais de 209 instituições sociais parceiras que atuam junto às comunidades." </t>
  </si>
  <si>
    <t>Campanhas Emergenciais</t>
  </si>
  <si>
    <t>"Promovemos campanhas emergenciais, mobilizando clientes para a doação de alimentos e outros produtos para apoiar pessoas atingidas pelas fortes chuvas ou outros desastres naturais nos estados da Alagoas, Bahia, Pernambuco, Rio de Janeiro e São Paulo. Foram mais de 55 toneladas de produtos arrecadados e distribuídos para instituições sociais atuantes nas regiões atingidas."</t>
  </si>
  <si>
    <t>Alagoas; Bahia; Pernambuco; Rio de Janeiro; São Paulo</t>
  </si>
  <si>
    <t>Instituto GPA; Assaí Atacadista</t>
  </si>
  <si>
    <t>2E: Empoderar e Empreender - Horta Lá de Casa</t>
  </si>
  <si>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</si>
  <si>
    <t>Ação Moradia</t>
  </si>
  <si>
    <t>https://beta.acaomoradia.org.br/projetos/</t>
  </si>
  <si>
    <t>https://www.instagram.com/hortaladecasa_/</t>
  </si>
  <si>
    <t>Instituto GPA; Extra</t>
  </si>
  <si>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Extra doou: 1.000 cestas básicas para a Escola de Música da Rocinha, no Rio de Janeiro; Mais de 1.100 toneladas de alimentos da cesta básica, produtos de higiene e de limpeza em São Caetano (SP); Mais de 10 toneladas de alimentos para União dos Moradores de Paraisópolis, em São Paulo (SP); Mais de 10 toneladas de alimentos ao Lar Jesus entre as Crianças, em Osasco (SP); Mais de 1 tonelada a mais de 950 famílias apoiadas pela Uneafro, em São Paulo (SP); 1.000 cestas básicas para famílias no Complexo do Alemão, no Rio de Janeiro (RJ); 1.000 cestas básicas à Redes da Maré, no Rio de Janeiro (RJ); 1.000 cestas básicas para comunidade de Heliópolis, em São Paulo (SP); 500 cestas básicas para a Instituição Laramara, em São Paulo (SP); 500 cestas básicas ao Coletivo de Entidades Negras, em Salvador (BA); 500 cestas básicas para a Fundação Julita, em São Paulo (SP); 500 cestas básicas ao CEERT, em São Paulo (SP); 500 cestas básicas ao Instituto Casa Mãe, em São Paulo (SP); 400 cestas básicas ao Cores do Amanhã, em Recife (PE); 300 cestas básicas para famílias do Itaim Paulista, em São Paulo (SP); 200 cestas básicas para famílias beneficiárias da CUFA, em Olinda (PE) e Recife (PE); 100 cestas básicas para a Paróquia Santíssimo Sacramento, em São Paulo (SP)."</t>
  </si>
  <si>
    <t>Escola de Música da Rocinha; União dos Moradores de Paraisópolis; Lar Jesus entre as Crianças; Uneafro; Redes da Maré; Instituição Laramara; Coletivo de Entidades Negras; Fundação Julita; CEERT; Instituto Casa Mãe; Cores do Amanhã; CUFA; Paróquia Santíssimo Sacramento</t>
  </si>
  <si>
    <t>Bahia; Pernambuco; Rio de Janeiro; São Paulo</t>
  </si>
  <si>
    <t>https://institutogpa.org.br/wp-content/uploads/2021/08/Relatorio_Anual_InstitutoGPA_2020_pt.pdf</t>
  </si>
  <si>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</si>
  <si>
    <t>CUFA; Mães da Favela; Fundo Municipal de Assistência Social em Carapicuíba; Fundação Abrigo do Bom Jesus</t>
  </si>
  <si>
    <t>Amapá; Bahia; Maranhão; Mato Grosso; Pará; São Paulo</t>
  </si>
  <si>
    <t>Norte; Nordeste; Centro-Oeste; Sudeste</t>
  </si>
  <si>
    <t>Instituto GPA; Pão de Açúcar</t>
  </si>
  <si>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O Pão de Açúcar doou: 4000 marmitas a pessoas em situação de rua em São Paulo; 1000 refeições distribuídas em Paraisópolis e no Largo São Francisco, em São Paulo (SP); 960 kg de alimentos para café da manhã solidário da Paróquia de Santana, em São Paulo (SP); 400 cestas básicas para o Centro Frei Humberto, em Fortaleza (CE); 400 cestas básicas para o CREN, em São Paulo (SP); 100 cestas básicas para A Casa do Jardim, em Santo André (SP)."</t>
  </si>
  <si>
    <t>Paróquia de Santana; Centro Frei Humberto; CREN; A Casa do Jardim</t>
  </si>
  <si>
    <t>Instituto GPA; Compre Bem</t>
  </si>
  <si>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O Compre Bem doou: 100 cestas básicas a famílias em Porto Ferreira (SP); 100 cestas báscias ao Lar Fabiano de Cristo, em Caçapava (SP)."</t>
  </si>
  <si>
    <t>Lar Fabiano de Cristo</t>
  </si>
  <si>
    <t>Instituto GPA; Qualitá</t>
  </si>
  <si>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</si>
  <si>
    <t>Centro de Recuperação e Educação Nutricional (CREN)</t>
  </si>
  <si>
    <t>https://www.gpabr.com/wp-content/uploads/2023/06/Relatorio-Anual-e-de-Sustentabilidade-GPA-2022.pdf</t>
  </si>
  <si>
    <t>Instituto GPA; Pão de Açúcar; Extra</t>
  </si>
  <si>
    <t>Campanhas Emergenciais Chuvas</t>
  </si>
  <si>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</si>
  <si>
    <t>Instituto GPA; Pão de Açúcar; Extra; Minuto Pão de Açúcar</t>
  </si>
  <si>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</si>
  <si>
    <t xml:space="preserve">Banco JL </t>
  </si>
  <si>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a entidade.</t>
  </si>
  <si>
    <t>Associação de Pais e Amigos dos Excepcionais (APAE)</t>
  </si>
  <si>
    <t>https://www.3tentos.com.br/assets/esg/relatorioesg.pdf</t>
  </si>
  <si>
    <t>https://www.3tentos.com.br/relatorio2020.pdf</t>
  </si>
  <si>
    <t>https://www.3tentos.com.br/</t>
  </si>
  <si>
    <t>https://www.3tentos.com.br/assets/esg/relatoriodesustentabilidade2022.pdf</t>
  </si>
  <si>
    <t>Rio Grande do Sul; Mato Grosso</t>
  </si>
  <si>
    <t>Sul; Centro-Oeste</t>
  </si>
  <si>
    <t>PF do Bem</t>
  </si>
  <si>
    <t>"O PF do Bem é um projeto que lançamos durante a pandemia da COVID-19 para apoiar famílias que estavam vivendo mais drasticamente as consequências da crise desencadeada pelo surto do vírus. Fechamos uma parceria com dezenas de restaurantes de Curitiba-PR e Campinas-SP, que disponibilizaram em seus cardápios o prato “PF do Bem”. A cada compra do PF realizada por um cliente dentro de app de delivery, o estabelecimento doa uma marmita e o GoodTruck se responsabiliza semanalmente pela logística de entrega. Desde o início da campanha já foram milhares de refeições distribuídas gratuitamente em comunidades extremamente vulneráveis, garantindo uma alimentação de qualidade a quem precisa. Além dos pratos, também doamos quantias expressivas de máscaras de proteção, álcool gel, roupas, cobertores e cestas básicas."</t>
  </si>
  <si>
    <t>https://goodtruck.org.br/acoes/#</t>
  </si>
  <si>
    <t>https://www.gazetadopovo.com.br/bomgourmet/historias/coronavirus-ong-e-restaurantes-doacao-almoco-a-pessoas-em-situacao-vulneravel/#:~:text=O%20PF%20do%20Bem%20n%C3%A3o,Salad%20e%20Veg%20e%20Lev.</t>
  </si>
  <si>
    <t>https://www.katiavelo.com.br/ong-realiza-sonho-de-500-criancas-em-comunidade-carente-na-grande-curitiba/</t>
  </si>
  <si>
    <t>#SempreJuntosDay</t>
  </si>
  <si>
    <t>"Em mais uma ação social de apoio à sociedade, a Ambev vai realizar a 2ª edição do Sempre Juntos Day, agora em Jaguariúna. O Sempre Juntos Day será realizado para os moradores da cidade maiores de 18 anos e a expectativa é trocar sete mil unidades de cerveja por sete toneladas de alimento. Para participar da campanha, os consumidores devem levar um quilo de alimento não perecível (como arroz, macarrão, feijão etc.) para cada cerveja que desejam trocar, sendo limitado ao máximo de quatro garrafas por pessoa. As doações serão enviadas à CUFA Campinas, que destinará os alimentos a instituições de Jaguariúna. A iniciativa conta com o apoio da Prefeitura da cidade. A campanha surge dando continuidade à primeira edição do Sempre Juntos Day, que aconteceu no Rio de Janeiro em setembro de 2021."</t>
  </si>
  <si>
    <t>Central Única das Favelas (CUFA); Gerando Falcões</t>
  </si>
  <si>
    <t>Rio de Janeiro; São Paulo</t>
  </si>
  <si>
    <t>https://www.ambev.com.br/sustentabilidade/juntos-distancia</t>
  </si>
  <si>
    <t>https://www.linkedin.com/posts/baumanncit_semprejuntosday-pormaismotivosparabrindar-activity-6874039288435093504-gQv-/?trk=public_profile_like_view&amp;originalSubdomain=pt</t>
  </si>
  <si>
    <t>https://gazetaregional.com.br/ambev-faz-acao-de-arrecadacao-de-alimentos-nao-pereciveis-em-troca-de-cerveja-em-jaguariuna/</t>
  </si>
  <si>
    <t>Produção de bebida nutritiva</t>
  </si>
  <si>
    <t>"A Ambev, junto com diversos parceiros, produziu 270 mil unidades de um alimento líquido achocolatado à base de malte, adicionado de nutrientes, para doação. A bebida pronta para consumo será doada para famílias assistidas pela CUFA e Gerando Falcões para ajudar na alimentação em comunidades vulneráveis nas cidades de São Paulo e Rio de Janeiro. Desenvolvida dentro da Ambev após diversos estudos e análises, a bebida é considerada um alimento líquido pronto para o consumo à base de água e malte — ingrediente considerado altamente nutritivo — rico em vitaminas A, B6, D e E, fonte de vitaminas B1 e B2, Cálcio e Magnésio e adicionado de proteína vegetal. A inovação foi feita em parceria com outras empresas como Tetra Pak, GlobalFruit, Smurfit Kapa, Vogler, MCassab, Tereos e Primeserv, e pode contribuir para complementar a alimentação de algumas famílias que estão em situação de vulnerabilidade."</t>
  </si>
  <si>
    <t>https://exame.com/bussola/ambev-produz-270-mil-unidades-de-bebida-nutritiva-para-baixa-renda/</t>
  </si>
  <si>
    <t>Transformando cevada em pães para as comunidades</t>
  </si>
  <si>
    <t>"Em parceria com a Bimbo, doamos mais de 500 mil fatias de pão feitos com os maltes da Brahma Duplo Malte para comunidades carentes de São Paulo, Rio de Janeiro, Brasília e Rio Grande do Sul." "A doação foi feita por meio do banco de alimentos Mesa Brasil SESC. A iniciativa irá utilizar os maltes da cevada fornecido pela Ambev como um dos ingredientes para produzir as 540 mil fatias de pão de cereais que serão doados para famílias das comuidades. O objetivo da parceria é ajudar as pessoas que estão passando dificuldades por conta do isolamento social e diminuir os efeitos econômicos da Covid-19."</t>
  </si>
  <si>
    <t>Rio de Janeiro; São Paulo; Distrito Federal; Rio Grande do Sul</t>
  </si>
  <si>
    <t>Sudeste; Centro-Oeste; Sul</t>
  </si>
  <si>
    <t>https://www1.folha.uol.com.br/empreendedorsocial/2020/06/empresas-doam-540-mil-fatias-de-pao-para-comunidades-vulneraveis.shtml</t>
  </si>
  <si>
    <t>https://api.mziq.com/mzfilemanager/v2/d/c8182463-4b7e-408c-9d0f-42797662435e/4b04ac91-c1ea-e7ec-8b0d-7b212507651d?origin=1</t>
  </si>
  <si>
    <t>Ambev AMA</t>
  </si>
  <si>
    <t>"No início deste ano chegou ao mercado a primeira água mineral engarrafada sem fins-lucrativos. Mais que isso: o lucro da venda do produto é inteiramente destinado ao propósito social de aumentar o acesso à água potável no sertão do país. Tudo isso foi embalado e cabe em uma garrafinha de nome AMA, que está em supermercados do Rio de Janeiro e de São Paulo. Vendida e um preço médio de 2 reais a embalagem de 500 ml, todo o lucro — atualizado por meio de um “lucrômetro”, no site, que aponta cerca de 74 mil reais até o momento — é revertido para projetos (que levam infraestrutura e mecanismos de coleta) que levam água potável a comunidades do semi-árido nordestino. [...] 'Fomos fazer o curso do Yunus sem expectativa, e começaram a vir as provocações. Eles cutucavam mesmo e nos provocavam, de forma muito alinhada com os Objetivos de Desenvolvimento Sustentável da ONU”, diz Carla, que participou do programa junto com duas colegas da Ambev, além de representantes de outras grandes companhias brasileiras. “Eles nos diziam: vocês são grandes… há problemas no mundo… o que vocês podem fazer para ajudar? Será que vocês podem fazer mais do que já fazem? Legal, vocês têm uma área de Sustentabilidade, mas, será que não dá para fazer mais? Será que não dá para fazer de uma forma rentável, sem ficar uma coisa só de doação, que possa ser sustentável financeiramente?'"</t>
  </si>
  <si>
    <t>Acesso à água/saneamento</t>
  </si>
  <si>
    <t>Acre; Pará; Roraima; Piauí; Ceará; Rio Grande do Norte; Paraíba; Pernambuco; Alagoas; Maranhão; Sergipe; Bahia; Minas Gerais; São Paulo; Rio de Janeiro</t>
  </si>
  <si>
    <t>Norte; Nordeste; Sudeste</t>
  </si>
  <si>
    <t>https://www.ambev.com.br/ama#nossosprojetos</t>
  </si>
  <si>
    <t>https://www.projetodraft.com/ama-a-agua-com-proposito-ou-como-um-negocio-social-corporativo-brotou-de-dentro-da-ambev/</t>
  </si>
  <si>
    <t>AMA doa 1,4 milhão de litros de água para comunidades</t>
  </si>
  <si>
    <t xml:space="preserve">"O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 </t>
  </si>
  <si>
    <t>Parceria com Comida Invisível</t>
  </si>
  <si>
    <t>"A parceria com a Comida Invisível, startup social que utiliza tecnologia para conectar quem quer doar alimentos com quem precisa de doações, teve início em 2022 e hoje está presente em todo País. Mais de 200 toneladas de alimentos já foram destinadas para mais de 20 ONGs e, até o momento, mais de 1 milhão de refeições foram doadas para aqueles que mais precisam. A companhia colocou à disposição do projeto seus 97 Centros de Distribuição pelo Brasil para apoiar a iniciativa e alavancar a doação de alimentos vindos de diversos pontos do País."</t>
  </si>
  <si>
    <t>https://api.mziq.com/mzfilemanager/v2/d/c8182463-4b7e-408c-9d0f-42797662435e/647895c0-c87a-984d-4b6f-047d294407ac?origin=1</t>
  </si>
  <si>
    <t>https://foodforum.com.br/ambev-projeto-contra-fome/#:~:text=Parceria%20com%20Comida%20Invis%C3%ADvel%20para%20projeto%20contra%20fome&amp;text=A%20parceria%20com%20a%20Comida,est%C3%A1%20presente%20em%20todo%20Pa%C3%ADs.</t>
  </si>
  <si>
    <t>Ajuda à população de Petrópolis</t>
  </si>
  <si>
    <t>Ajuda à população de Recife</t>
  </si>
  <si>
    <t>Americanas</t>
  </si>
  <si>
    <t>Doações de itens essenciais para ONGs</t>
  </si>
  <si>
    <t>"Durante a pandemia, intensificamos as nossas doações para ONGs por meio de parceiros comprometidos. Para a Ação Cidadania, disponibilizamos 50 mil cestas básicas. Realizamos também a doação de um milhão de unidades de água da nossa marca própria Leven para as ONGs Ação Cidadania, Visão Mundial e Unicef."</t>
  </si>
  <si>
    <t>Instituto Juntos Somos Mais Solidários</t>
  </si>
  <si>
    <t>Ação Cidadania; Visão Mundial; UNICEF</t>
  </si>
  <si>
    <t>https://api.mziq.com/mzfilemanager/v2/d/347dba24-05d2-479e-a775-2ea8677c50f2/7622be70-92e0-b48b-7d12-069ccd9ee63b?origin=1</t>
  </si>
  <si>
    <t>"Em nome do Shoptime, fomentamos uma parceria com a ONG Gastromotiva para minimizar os impactos da pandemia da Covid-19, além de promover a inclusão de pessoas em situação de vulnerabilidade socioeconômica por meio da gastronomia social. Doamos 977 itens de casa e cozinha para o projeto e patrocinamos a realização de uma Cozinha Solidária, proporcionando 1.250 refeições para cerca de 100 famílias e dependentes químicos de comunidades do Rio de Janeiro."</t>
  </si>
  <si>
    <t>Doação de cestas básicas para União Rio</t>
  </si>
  <si>
    <t>"Doamos R$ 72.380 para a compra de cestas básicas pela ONG União Rio, visando apoiar as comunidades vulneráveis para reduzir os impactos da pandemia da covid-19."</t>
  </si>
  <si>
    <t>https://static.poder360.com.br/2023/01/Relatorio-anual-2021-americanas.pdf</t>
  </si>
  <si>
    <t>Desperdício e perda alimentar</t>
  </si>
  <si>
    <t>"Realizamos doações para o banco de alimentos do Mesa Brasil – SESC e Prato Cheio. Totalizamos mais de 30 toneladas de alimentos, impactando mais de 268 mil pessoas."</t>
  </si>
  <si>
    <t>Mesa Brasil SESC; Associação Prato Cheio</t>
  </si>
  <si>
    <t>AmericanasNaFavela</t>
  </si>
  <si>
    <t>"Patrocínio da Vila Magia de Natal em Paraisópolis, com doação de R$ 300 mil em cestas básicas."</t>
  </si>
  <si>
    <t>Assaí Atacadista</t>
  </si>
  <si>
    <t>Logística; Varejo; Consumo</t>
  </si>
  <si>
    <t>Armazenamento; Logística; Varejo; Consumo</t>
  </si>
  <si>
    <t>Ação da Cidadania; Amigos do Bem; Instituto Escola do Povo - G10 Favelas; Gastromotiva; Visão Mundial; União BR; Central Única da Favela (CUFA); Voz das Comunidades; The Caring Family Foundation; Orgânico Solidário; Cozinhas Solidárias do MTST; Instituto Brasileiro de Análises Sociais e Econômicas; Instituto Conecta Brasil; Good Truck Brasil</t>
  </si>
  <si>
    <t>Connecting Food; Mesa Brasil SESC</t>
  </si>
  <si>
    <t>"O povo Yanomami passa por uma forte crise humanitária e de saúde, sofrendo com a fome e doenças por falta de assistência. Em meio a esse cenário, o Instituto Assaí doou 1.000 cestas de alimentos (mais de 12 toneladas) para a @cufabrasil, que está dando suporte aos Yanomami em Roraima."</t>
  </si>
  <si>
    <t>Central Única da Favela (CUFA); Mães da Favela; Fundo Municipal de Assistência Social em Carapicuíba; Fundação Abrigo do Bom Jesus</t>
  </si>
  <si>
    <t>Tem gente com fome</t>
  </si>
  <si>
    <t>"O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 "</t>
  </si>
  <si>
    <t>União de Núcleos de Educação Popular para negros e classe Trabalhadora (UNEAFRO)</t>
  </si>
  <si>
    <t>https://api.mziq.com/mzfilemanager/v2/d/ec14f0ab-c5d4-4b12-a413-b6cc7475ed98/d96a5056-6731-8dc0-e1b3-5142493fd10b?origin=1</t>
  </si>
  <si>
    <t>https://www.temgentecomfome.com.br/#block-40814</t>
  </si>
  <si>
    <t>Doações em parceria com a CUFA</t>
  </si>
  <si>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</si>
  <si>
    <t>Jalles Machado</t>
  </si>
  <si>
    <t>Casa de Sopa Fraterna</t>
  </si>
  <si>
    <t>Alguns dos projetos apoiados e ações realizadas na safra 2022/23 foi a Casa de Sopa Fraterna que ": beneficia cerca de 100 famílias com doação de alimentos, medicamentos e realização de exames."</t>
  </si>
  <si>
    <t>Fundação Jalles Machado</t>
  </si>
  <si>
    <t>Casa da Sopa Fraterna</t>
  </si>
  <si>
    <t>https://app.jalles.com/wp-content/uploads/2023/07/Relatario-Anual-e-de-Sustentabilidade-22_23.pdf</t>
  </si>
  <si>
    <t>"Doação de 145 cestas básicas para ações solidárias promovidas por instituições religiosas de Goianésia."</t>
  </si>
  <si>
    <t>Instituições religiosas de Goianésia</t>
  </si>
  <si>
    <t>https://api.mziq.com/mzfilemanager/v2/d/8cc3c25d-1073-4452-a7de-1d7f3658153c/06a7cdab-e498-4b05-86c1-a5e961978ea0?origin=1</t>
  </si>
  <si>
    <t>https://goiastotal.com.br/cidades/2020/04/16/comite-social-da-jalles-machado-doa-145-cestas-basicas-a-comunidade-de-goianesia-7629/</t>
  </si>
  <si>
    <t>https://vipfiles.valor.com.br/BDEmpresas/562776.pdf</t>
  </si>
  <si>
    <t>Horta solidária</t>
  </si>
  <si>
    <t>Alguns dos projetos apoiados e ações realizadas na safra 2022/23 foi a a Horta solidária "gerida pelos nossos colaboradores em benefício de projetos mantidos pela Fundação Jalles Machado, creches e escolas municipais, e demais instituições que contam com o nosso apoio." ": fornece alimentos locais a asilos, Casa de Apoio aos Pacientes de Hemodiálise, Escola Luiz Cesar e Creches da região. Na safra relatada foram investidos R$ 15 mil na ampliação da produtividade e, consequentemente, das doações."</t>
  </si>
  <si>
    <t>Doação de cestas básicas e de Natal</t>
  </si>
  <si>
    <t>"Nos entornos onde há unidades da Raízen, foram realizadas atuações estratégicas visando combater a vulnerabilidade alimentar através da doação de cestas básicas e de Natal, totalizando mais de R$220 mil reais em investimento social."</t>
  </si>
  <si>
    <t>https://www.raizen.com.br/relatorioanual/2021/pt/performance-social.html</t>
  </si>
  <si>
    <t>Doação de cestas para funcionários indígenas</t>
  </si>
  <si>
    <t>"Diante do cenário pandêmico, adotamos um plano de contingência, visando garantir a preservação da saúde e integridade do time, bem como a segurança e a continuidade de operações essenciais. O público de funcionários indígenas aldeados, considerados de risco, foi afastado de suas atividades sem alteração na remuneração no tempo determinado do contrato. A fim de garantir a segurança alimentar, tendo em vista a não recomendação de trânsito fora das aldeias, também foram suportados com doação de cestas básicas."</t>
  </si>
  <si>
    <t>https://www.raizen.com.br/relatorioanual/2021/pt/indicadores.html</t>
  </si>
  <si>
    <t>ELO</t>
  </si>
  <si>
    <t>"Criada em 2014/2015, o Programa ELO, apoia produtores de cana-de-açúcar na transformação e melhoria contínua da gestão de seus cultivos para que sejam cada vez mais sustentáveis. Inédito na cadeia produtiva global de cana-de-açúcar, o programa é resultado de sólida parceria que estabelecemos com duas importantes organizações da sociedade civil: a Solidaridad e o Imaflora. No âmbito do ELO, mobilizamos um time de 20 técnicos que acompanham os produtores, considerando as especificidades de cada propriedade e buscando levar orientações individualizadas para o aperfeiçoamento da produção e a adoção das melhores práticas de sustentabilidade a toda a cadeia produtiva da cana-de-açúcar. Em 2021, registramos mais de 48 mil horas de consultoria dedicadas aos produtores, o que resultou em mais de 500 ações de melhoria, impactando positivamente a qualidade de vida de mais de 1.200 pessoas no campo. Em parceria com o Serviço Nacional de Aprendizagem Rural (Senar), capacitamos os funcionários de cerca de 280 produtores de cana, bem como realizamos treinamento de combate e prevenção de incêndios para mais de 400 produtores, entre outras mais de 200 ações de conscientização focadas na promoção de um ambiente mais seguro."</t>
  </si>
  <si>
    <t>Solidaridad; Instituto de Manejo e Certificação Florestal e Agrícola (Imaflora); Serviço Nacional de Aprendizagem Rural (Senar)</t>
  </si>
  <si>
    <t xml:space="preserve">Goiás; Mato Grosso do Sul; Minas Gerais; Paraná; São Paulo </t>
  </si>
  <si>
    <t>Centro-Oeste; Sudeste; Sul</t>
  </si>
  <si>
    <t>https://raizen-institucional-relatorios.s3.amazonaws.com/raizen/2022/pdf/RS2022_RAIZEN_PT.pdf</t>
  </si>
  <si>
    <t>https://www.raizen.com.br/sala-de-imprensa/programa-inedito-na-cadeia-de-cana-de-acucar-promove-sustentabilidade-entre-produtores</t>
  </si>
  <si>
    <t>"O 'Natal Sem Fome', tradicional ação de solidariedade, que todo ano arrecada doações de alimentos não perecíveis junto aos colaboradores, foi promovida de um jeito diferente em 2020. Devido à confraternização de final de ano da Companhia ter sido realizada de forma virtual, não foi possível receber, presencialmente, as doações do público interno. A São Martinho se adaptou e encontrou uma alternativa para contribuir com as instituições que atuam nas regiões de suas unidades. Cada usina comprou 500 cestas básicas, somando 2 mil cestas no total (equivalente a mais de 26.000 quilos de alimentos), que foram destinadas para 26 instituições, responsáveis por promover atendimento social em diferentes municípios. 'A campanha Natal Sem Fome 2020 permitiu nos reinventar e nos moldar às adversidades, o que nos deixa cada dia mais flexíveis e criativos. Buscar soluções para manter essa importante ação durante o cenário de pandemia foi desafiador. A campanha já é uma tradição nas nossas unidades e acontece há mais de 10 anos, tendo um papel de engajar nossos colaboradores nas ações de voluntariado, que muito contribuem com as comunidades', destacou Heide Loraine Quenes, analista de Responsabilidade Social da São Martinho."</t>
  </si>
  <si>
    <t>https://www.saomartinho.com.br/Download.aspx?Arquivo=pfvuAA7Y9+cJ2N7rhlMTfw==&amp;IdCanal=E/5CI5hbGiTfjZ7mhu2y5w==&amp;linguagem=pt</t>
  </si>
  <si>
    <t>https://isp.saomartinho.com.br/noticias/sao-martinho-doa-2-mil-cestas-basicas</t>
  </si>
  <si>
    <t>https://www.saomartinho.com.br/Download.aspx?Arquivo=awGf5yddj8JEw+wej3QRMQ==&amp;IdCanal=E/5CI5hbGiTfjZ7mhu2y5w==&amp;linguagem=pt</t>
  </si>
  <si>
    <t>https://www.saomartinho.com.br/Download.aspx?Arquivo=TeuRmsuA42Z4LqQl1HDhoQ==&amp;IdCanal=E/5CI5hbGiTfjZ7mhu2y5w==&amp;linguagem=pt</t>
  </si>
  <si>
    <t>https://www.saomartinho.com.br/Download.aspx?Arquivo=Lq22vhSEAfGwQhXirp8jVg==&amp;IdCanal=E/5CI5hbGiTfjZ7mhu2y5w==&amp;linguagem=pt</t>
  </si>
  <si>
    <t>Enfrentamento da crise sanitária nas comunidades de entorno</t>
  </si>
  <si>
    <t xml:space="preserve">"Na safra 2021/2022, mantivemo-nos atentos à temática da Covid-19 e buscamos contribuir com o enfrentamento da crise sanitária nas comunidades de entorno. Foram realizadas dezenas de ações, incluindo reativação de leitos, apoio em infraestrutura hospitalar, doação de kits de testes de Covid-19, doações de alimentos e equipamentos de proteção individual e compra de tecnologias e equipamentos." </t>
  </si>
  <si>
    <t>Brasil Agro</t>
  </si>
  <si>
    <t>Doação de alimentos Covid</t>
  </si>
  <si>
    <t>Instituto Brasil Agro</t>
  </si>
  <si>
    <t>Bahia; Piauí; Maranhão; Minas Gerais; Goiás; Mato Grosso; Mato Grosso do Sul</t>
  </si>
  <si>
    <t>Nordeste; Sudeste; Centro-Oeste</t>
  </si>
  <si>
    <t>https://api.mziq.com/mzfilemanager/v2/d/2c1e0dd9-31eb-4dc0-ab4d-844683600488/c2602ba4-7ca2-0b96-57a5-df7bcd790190?origin=1</t>
  </si>
  <si>
    <t>Técnico Agrícola</t>
  </si>
  <si>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t>
  </si>
  <si>
    <t>Produção de alimentos; Consumo</t>
  </si>
  <si>
    <t>Alagoas; Ceará; Pernambuco</t>
  </si>
  <si>
    <t>https://api.mziq.com/mzfilemanager/v2/d/2c1e0dd9-31eb-4dc0-ab4d-844683600488/618aec64-2b81-f648-ddba-bdf93cc4905f?origin=1</t>
  </si>
  <si>
    <t>https://api.mziq.com/mzfilemanager/v2/d/2c1e0dd9-31eb-4dc0-ab4d-844683600488/4f8799c4-6b4a-104f-bdb0-9fb317ed4e29?origin=1</t>
  </si>
  <si>
    <t>Expoente</t>
  </si>
  <si>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t>
  </si>
  <si>
    <t>"Em Goiás, adquirimos cestas produzidas por agricultores familiares e doamos a famílias em situação de vulnerabilidade social. Com essa ação, impactamos positivamente a comunidade local com a geração de renda e a oferta de alimento direto do campo. No total, doamos mais de 9 toneladas de alimentos, que beneficiaram mais de 2 mil pessoas." "Executado pela Fundação Banco do Brasil, o projeto visou apoiar pequenos produtores rurais que estavam perdendo sua produção e renda devido aos impactos causados pela pandemia da COVID-19. A iniciativa contemplou a aquisição dos produtos rurais e sua distribuição para a população em situação de vulnerabilidade social. O projeto beneficiou mais de 2.400 pessoas direta e indiretamente na cidade de Mineiros, em Goiás."</t>
  </si>
  <si>
    <t>Fundação Banco do Brasil</t>
  </si>
  <si>
    <t>Cultivar</t>
  </si>
  <si>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t>
  </si>
  <si>
    <t>https://gazetaonlineg.com/brasil-agro-apoia-projeto-cultivar-de-horticultura-da-associacao-precavi/</t>
  </si>
  <si>
    <t>Sexta Verde</t>
  </si>
  <si>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t>
  </si>
  <si>
    <t>Associação dos Pequenos Produtores Rurais e Agricultores Familiares de Catulé Pequeno</t>
  </si>
  <si>
    <t>Apoio à sociedade</t>
  </si>
  <si>
    <t>"Diante do agravamento de indicadores sociais no Brasil, endereçamos diversas iniciativas de apoio à sociedade, envolvendo várias ações de combate à fome e doações de equipamentos para hospitais. Desde o início da pandemia, em 2020, a BRF destinou R$ 100 milhões a iniciativas de saúde e assistência social para enfrentamento dos impactos gerados pela Covid-19. Também foram doadas pela BRF mais de 660 toneladas de alimentos. Além das doações coordenadas pelo próprio Instituto BRF (IBRF), que beneficiaram principalmente organizações e projetos sociais nos municípios com operações da empresa, somamos esforços junto a instituições como Fundação Banco do Brasil, Ação da Cidadania e Amigos do Bem para ampliar o alcance das doações de alimentos, contribuindo com o combate à fome, cenário agravado no país em função da pandemia."</t>
  </si>
  <si>
    <t>Ação da Cidadania; Amigos do Bem; Fundação Banco do Brasil</t>
  </si>
  <si>
    <t>https://www.brf-global.com/wp-content/themes/brf-global/assets/documents/relatorio/BRF_RI2021_PT.pdf</t>
  </si>
  <si>
    <t>Fundo das Nações Unidas para a Infância (UNICEF)</t>
  </si>
  <si>
    <t>Participação em Live</t>
  </si>
  <si>
    <t>"Destaca-se a participação na primeira live do cantor Luan Santana, que contou com a doação de 52 toneladas de produtos da Camil Alimentos e teve grande contribuição por meio de uma campanha interna com os colaboradores, que fizeram suas doações, e a Camil que dobrou o total arrecadado, somando 114 toneladas ao volume inicial. Estes alimentos foram destinados para a Central Única das Favelas (CUFA) na cidade de São Paulo e para a UNICEF no Maranhão, Recife e nas capitais do Rio de Janeiro e de São Paulo. "</t>
  </si>
  <si>
    <t>Central Única das Favelas (CUFA); UNICEF</t>
  </si>
  <si>
    <t>São Paulo; Rio de Janeiro; Maranhão; Pernambuco</t>
  </si>
  <si>
    <t>Sudeste; Nordeste</t>
  </si>
  <si>
    <t>https://api.mziq.com/mzfilemanager/v2/d/65f65acb-ad9a-44b1-a3d5-620b6199a637/4d791652-1419-b565-d605-0dfdf457361e?origin=2</t>
  </si>
  <si>
    <t>Apoio institucional: "Uma organização sem fins lucrativos, o CREN já atendeu, em seus 24 anos de existência, cerca de 144 mil crianças e adolescentes para o tratamento da desnutrição e beneficiou aproximadamente 3,8 milhões de pessoas. O CREN, localizado em São Paulo (SP), é referência internacional, que desenvolve pesquisa de ponta sobre alimentação e nutrição."</t>
  </si>
  <si>
    <t>Doação ao Instituto Caça Fome</t>
  </si>
  <si>
    <t>https://editoramol.com.br/impacto/ong/141-caca-fome</t>
  </si>
  <si>
    <t>Doação ao município Cabo de Santo Agostinho</t>
  </si>
  <si>
    <t>Doação ao Fundo Social de Aparecida de Goiânia</t>
  </si>
  <si>
    <t>"A campanha 'Brasil sem Fome' tem como objetivo arrecadar e distribuir alimentos para famílias em todo o país como forma de assegurar o direito à alimentação adequada, principalmente na primeira infância." "Fundada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t>
  </si>
  <si>
    <t>Goiás; Maranhão; Rio de Janeiro</t>
  </si>
  <si>
    <t>"O Mesa Brasil Sesc é uma Rede nacional de Bancos de Alimentos que atua contra a fome e o desperdício. A Rede de Bancos de Alimentos combate a fome e o desperdício, a partir de doações de parceiros, e contribui para a garantia da segurança alimentar e nutricional de crianças, jovens, adultos e idosos, em vulnerabilidade social, em todo o Brasil. A equipe do Mesa Brasil Sesc retira as doações junto aos parceiros e entregam diretamente nas entidades sociais cadastradas no Programa. O trabalho do Mesa Brasil Sesc vai além da distribuição de alimentos. O programa desenvolve ações educativas nas áreas de Nutrição e Serviço Social, com o objetivo de promover a alimentação adequada, a reeducação alimentar e fortalecer a gestão das entidades sociais assistidas." "O programa, que atua com bancos de alimentos no combate à fome e ao desperdício, recebeu cerca de 5 toneladas de alimentos nos estados de Pernambuco, São Paulo e Maranhão.</t>
  </si>
  <si>
    <t>Pernambuco; São Paulo; Maranhão</t>
  </si>
  <si>
    <t xml:space="preserve">Doação ao Centro de Desenvolvimento Humano Atitude Social </t>
  </si>
  <si>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"Projeto de cozinha solidária também focado em doar alimentos a pessoas em situação de insegurança alimentar. Além disso, ministram cursos de qualificação profissional, para apoiar a geração de emprego e renda." " Em 2022, a Camil doou 19 toneladas de produtos, contribuindo para o atendimento de cerca de 8 mil pessoas beneficiadas pelos projetos."</t>
  </si>
  <si>
    <t>https://api.mziq.com/mzfilemanager/v2/d/65f65acb-ad9a-44b1-a3d5-620b6199a637/49efaa1a-14e2-4ade-726a-13d15fd4bfea?origin=2</t>
  </si>
  <si>
    <t>Doação à Ação da Cidadania</t>
  </si>
  <si>
    <t>"A Camil colaborou doando cerca de 12 toneladas de alimentos destinadas a compor cestas básicas para famílias em situação de vulnerabilidade social, como forma de apoiar comunidades no enfrentamento à insegurança alimentar causada pela pandemia. As comunidades que receberam as doações foram selecionadas a partir da análise do Índice de Desenvolvimento Humano (IDH) local e da proximidade com as unidades fabris da Companhia."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</si>
  <si>
    <t>Maranhão; Pernambuco; Bahia; Minas Gerais</t>
  </si>
  <si>
    <t>Doação ao Projeto Arrastão</t>
  </si>
  <si>
    <t>"A Camil doou 3 toneladas de alimentos ao projeto em 2022, que permitiram a oferta de 22,4 mil refeições por dia a famílias em situação de vulnerabilidade social."</t>
  </si>
  <si>
    <t>https://api.mziq.com/mzfilemanager/v2/d/65f65acb-ad9a-44b1-a3d5-620b6199a637/9caf2713-6db8-a8b6-cd90-e733526a83a8?origin=2</t>
  </si>
  <si>
    <t>Carrefour</t>
  </si>
  <si>
    <t>Amigos do Bem; CUFA; Exército da Salvação; União SP; Aldeias Infantis; SOS Brasil; World Food Programme (WFP); Gastromotiva; Gerando Falcões; Mesa Brasil SESC</t>
  </si>
  <si>
    <t>https://api.mziq.com/mzfilemanager/v2/d/32539bbc-7be4-42e1-a485-98a052dc3a81/a4206840-d103-b7ec-1bff-86265a5cd847?origin=1</t>
  </si>
  <si>
    <t>https://www.instagram.com/projetoservir_sp/</t>
  </si>
  <si>
    <t>Mesa Brasil SESC; Banco de Alimentos</t>
  </si>
  <si>
    <t>Varejo; Consumo</t>
  </si>
  <si>
    <t>https://api.mziq.com/mzfilemanager/v2/d/32539bbc-7be4-42e1-a485-98a052dc3a81/3291b33d-ab23-26f0-8679-5e9c2e7cba8f?origin=1</t>
  </si>
  <si>
    <t>https://api.mziq.com/mzfilemanager/v2/d/32539bbc-7be4-42e1-a485-98a052dc3a81/50b53529-b976-18bc-43d8-7e34e8d8b4d1?origin=1</t>
  </si>
  <si>
    <t>https://cvee2f.p3cdn1.secureserver.net/wp-content/uploads/2022/04/Relato%CC%81rio-de-Atividades-2020_Gerando-Falco%CC%83es.pdf</t>
  </si>
  <si>
    <t>https://www.diariodesuzano.com.br/regiao/com-agravamento-da-pandemia-gerando-falcoes-retoma-campanha-corona/57977/</t>
  </si>
  <si>
    <t>https://www.redebancodealimentos.org.br/Pagina/266/Quem-ja-Participa</t>
  </si>
  <si>
    <t xml:space="preserve">"Em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 </t>
  </si>
  <si>
    <t>Fundação Getúlio Vargas; Fundação Carrefour</t>
  </si>
  <si>
    <t>Produção Sustentável de Bezerros</t>
  </si>
  <si>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t>
  </si>
  <si>
    <t>Fundação Carrefour; Iniciativa para o Comércio Sustentável (IDH); a Cooperativa dos Agricultores do Vale do Amanhecer (Coopavam)</t>
  </si>
  <si>
    <t>Mato Grosso; Rondônia</t>
  </si>
  <si>
    <t>Centro-Oeste; Norte</t>
  </si>
  <si>
    <t>"Em parceria com a Fundação Carrefour, o projeto sistematiza metodologias relacionadas à gastronomia social, criadas pela ONG Gastromotiva, incluindo: Educação nutricional lúdica e divertida para crianças; Transformação do alimento para novas abordagens do mundo gastronômico; Gastronomia que atenda a questões globais de inclusão social;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</si>
  <si>
    <t>Horta Escolar</t>
  </si>
  <si>
    <t>Construindo novos hábitos</t>
  </si>
  <si>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</si>
  <si>
    <t xml:space="preserve">"Desde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 </t>
  </si>
  <si>
    <t>Paraná; Minas Gerais; São Paulo</t>
  </si>
  <si>
    <t>Natal do bem</t>
  </si>
  <si>
    <t>Mesa Brasil SESC; Amigos do Bem</t>
  </si>
  <si>
    <t>https://www.carrefour.com.br/grupo-carrefour/sustentabilidade/social/campanhas-solidarias</t>
  </si>
  <si>
    <t>"O projeto promove doações para mais de 75 mil pessoas do sertão dos Estados de Alagoas, Pernambuco e Ceará. Entre 2015 e 2019, foram arrecadadas 2.152 toneladas de alimentos que garantiram 4,3 milhões de refeições. Em 2020, o total foi de 58 toneladas.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t>
  </si>
  <si>
    <t>Alagoas; Pernambuco; Ceará</t>
  </si>
  <si>
    <t>Parceria com o Fundo das Nações Unidas para a Infância (Unicef)</t>
  </si>
  <si>
    <t xml:space="preserve">"A ação é realizada em mais de 10 lojas da capital paulista e em Campinas (SP), por cerca de 100 voluntários ligados ao Unicef, que solicitam aos clientes doações às causas sociais da instituição. Além de ceder o espaço das lojas, o Grupo está desenvolvendo um projeto conjunto para que, nas abordagens feitas aos consumidores, também sejam disseminadas informações sobre alimentação saudável, em linha com os objetivos do Act for Food. A ação ocorreu no primeiro semestre de 2020." </t>
  </si>
  <si>
    <t>Movimento Solidário</t>
  </si>
  <si>
    <t>"Para reduzir o impacto social da pandemia, o Grupo Carrefour Brasil investiu recursos próprios e prestou ajuda emergencial à população de várias localidades do país. Liderou ainda a campanha 'Movimento Solidário', por meio da qual criou um ecossistema de mobilização de clientes, colaboradores, fornecedores e parceiros institucionais para arrecadar verbas para doação. De abril a julho de 2020, R$ 21 milhões foram doados para pessoas impactadas pela pandemia, somando a verba direta investida à arrecadação por meio da campanha 'Movimento Solidário'. A iniciativa beneficiou mais de 2,5 milhões de pessoas em situação de vulnerabilidade em âmbito nacional."</t>
  </si>
  <si>
    <t>https://www.grupocarrefourbrasil.com.br/sustentabilidade/alimentacao/mobilizacao-social/</t>
  </si>
  <si>
    <t>CyberCook</t>
  </si>
  <si>
    <t>"A CyberCook é uma foodtech brasileira que foi o primeiro portal da internet brasileira totalmente voltado para a gastronomia. A companhia foi fundada em julho de 1997, sob controle do grupo e-Mídia, fundada por Alexandre Canatella e adquirida em 2018 pelo Grupo Carrefour." "Para evitar o desperdício e aproveitar ao máximo os alimentos que se tem em casa, a plataforma de receitas do Carrefour CyberCook disponibiliza o botão 'Aproveite o que sobrou', em que é possível encontrar novas receitas a partir de sobras. [...] Todos os anos, o Brasil desperdiça 23,6 milhões de toneladas de alimentos13 , gerando em cada período um prejuízo de mais de R$ 3 trilhões. Combater esse desperdício foi uma das bandeiras adotadas pelo CyberCook em 2020. Para isso, o portal lançou o índice Aproveitômetro, elaborado com base nas informações coletadas nas conversas que a ferramenta estabelece com os lares. Com o intuito de contribuir à conscientização das pessoas sobre esse tema, o indicador passará a ser divulgado trimestralmente, a partir de 2021. Os dados consideram a economia estimada com base na busca por receitas com ingredientes que sobraram de outras preparações. Essa metodologia, por exemplo, identificou que, entre março e setembro de 2020 – diante das medidas de isolamento e do maior número de pessoas cozinhando em suas casas –, a economia gerada com o aproveitamento de ingredientes de outras receitas seria de mais de R$ 2 milhões."</t>
  </si>
  <si>
    <t>Super Chef</t>
  </si>
  <si>
    <t>"O Projeto Super Chef busca discutir as questões relacionadas à alimentação saudável respeitando o interesse das crianças pelos alimentos, de forma que tenham autonomia para decidir pela melhor opção, compreendendo a importância nutricional de cada alimento escolhido. Para isso, a peça teatral tem fundamental importância na sensibilização das crianças."</t>
  </si>
  <si>
    <t>MR2 Cultural; Think Projetos</t>
  </si>
  <si>
    <t>https://www.mr2cultural.com/superchef/projeto-carrefour/#</t>
  </si>
  <si>
    <t>https://regional24horas.com.br/noticia/projeto-super-chef-chega-em-olimpia-e-regiao-com-pecas-teatrais-gratuitas/4677</t>
  </si>
  <si>
    <t>"Curso técnico de agroecologia para adolescentes e jovens filhos de pequenos produtores de Pernambuco."</t>
  </si>
  <si>
    <t>"O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t>
  </si>
  <si>
    <t>Instituto Comida e Cultura (ICC)</t>
  </si>
  <si>
    <t>https://fsp.usp.br/eccco/index.php/2023/03/26/curso-de-formacao-cozinhas-infancias/</t>
  </si>
  <si>
    <t>https://lunetas.com.br/cozinhas-e-infancias/</t>
  </si>
  <si>
    <t>Ações emergenciais de combate à fome - Petrópolis</t>
  </si>
  <si>
    <t>"As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</si>
  <si>
    <t>Ações emergenciais de combate à fome - Recife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</si>
</sst>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R$ ]#,##0.00"/>
    <numFmt numFmtId="165" formatCode="dd/mm/yyyy"/>
    <numFmt numFmtId="166" formatCode="mm/dd/yyyy"/>
    <numFmt numFmtId="167" formatCode="d.m"/>
  </numFmts>
  <fonts count="98">
    <font>
      <sz val="10.0"/>
      <color rgb="FF000000"/>
      <name val="Arial"/>
      <scheme val="minor"/>
    </font>
    <font>
      <b/>
      <sz val="11.0"/>
      <color theme="1"/>
      <name val="Calibri"/>
    </font>
    <font>
      <b/>
      <sz val="11.0"/>
      <color rgb="FF000000"/>
      <name val="Calibri"/>
    </font>
    <font>
      <sz val="11.0"/>
      <color theme="1"/>
      <name val="Calibri"/>
    </font>
    <font>
      <sz val="11.0"/>
      <color rgb="FF000000"/>
      <name val="Calibri"/>
    </font>
    <font>
      <u/>
      <sz val="11.0"/>
      <color rgb="FF1155CC"/>
      <name val="Calibri"/>
    </font>
    <font>
      <sz val="11.0"/>
      <color rgb="FF1155CC"/>
      <name val="Calibri"/>
    </font>
    <font>
      <u/>
      <sz val="11.0"/>
      <color rgb="FF1155CC"/>
      <name val="Calibri"/>
    </font>
    <font>
      <u/>
      <sz val="11.0"/>
      <color rgb="FF1155CC"/>
      <name val="Calibri"/>
    </font>
    <font>
      <sz val="11.0"/>
      <color rgb="FF000000"/>
      <name val="Docs-Calibri"/>
    </font>
    <font>
      <u/>
      <sz val="11.0"/>
      <color rgb="FF1155CC"/>
      <name val="Calibri"/>
    </font>
    <font>
      <u/>
      <sz val="11.0"/>
      <color rgb="FF0000FF"/>
      <name val="Calibri"/>
    </font>
    <font>
      <u/>
      <sz val="11.0"/>
      <color rgb="FF000000"/>
      <name val="Calibri"/>
    </font>
    <font>
      <color theme="1"/>
      <name val="Arial"/>
      <scheme val="minor"/>
    </font>
    <font>
      <u/>
      <sz val="11.0"/>
      <color rgb="FF1155CC"/>
      <name val="Calibri"/>
    </font>
    <font>
      <u/>
      <sz val="11.0"/>
      <color rgb="FF1155CC"/>
      <name val="Calibri"/>
    </font>
    <font>
      <u/>
      <sz val="11.0"/>
      <color rgb="FF1155CC"/>
      <name val="Calibri"/>
    </font>
    <font>
      <color theme="1"/>
      <name val="Arial"/>
    </font>
    <font>
      <sz val="11.0"/>
      <color rgb="FF1F1F1F"/>
      <name val="Calibri"/>
    </font>
    <font>
      <u/>
      <sz val="11.0"/>
      <color rgb="FF1155CC"/>
      <name val="Calibri"/>
    </font>
    <font>
      <b/>
      <color theme="1"/>
      <name val="Arial"/>
      <scheme val="minor"/>
    </font>
    <font>
      <u/>
      <color rgb="FF0000FF"/>
    </font>
    <font>
      <b/>
      <sz val="12.0"/>
      <color theme="1"/>
      <name val="Calibri"/>
    </font>
    <font>
      <sz val="12.0"/>
      <color theme="1"/>
      <name val="Calibri"/>
    </font>
    <font>
      <b/>
      <sz val="11.0"/>
      <color rgb="FF1F1F1F"/>
      <name val="Calibri"/>
    </font>
    <font>
      <color rgb="FF000000"/>
      <name val="Arial"/>
    </font>
    <font>
      <b/>
      <sz val="10.0"/>
      <color rgb="FF000000"/>
      <name val="Calibri"/>
    </font>
    <font>
      <sz val="10.0"/>
      <color theme="1"/>
      <name val="Calibri"/>
    </font>
    <font>
      <color theme="1"/>
      <name val="Calibri"/>
    </font>
    <font>
      <u/>
      <color rgb="FF0000FF"/>
      <name val="Calibri"/>
    </font>
    <font>
      <u/>
      <sz val="11.0"/>
      <color rgb="FF0000FF"/>
      <name val="Calibri"/>
    </font>
    <font>
      <u/>
      <sz val="11.0"/>
      <color rgb="FF0000FF"/>
      <name val="Calibri"/>
    </font>
    <font>
      <u/>
      <sz val="11.0"/>
      <color rgb="FF0000FF"/>
      <name val="Calibri"/>
    </font>
    <font>
      <u/>
      <sz val="11.0"/>
      <color rgb="FF0000FF"/>
      <name val="Calibri"/>
    </font>
    <font>
      <u/>
      <color rgb="FF0000FF"/>
      <name val="Calibri"/>
    </font>
    <font>
      <u/>
      <color rgb="FF0000FF"/>
      <name val="Calibri"/>
    </font>
    <font>
      <u/>
      <sz val="11.0"/>
      <color rgb="FF0000FF"/>
      <name val="Calibri"/>
    </font>
    <font>
      <u/>
      <color rgb="FF0000FF"/>
      <name val="Calibri"/>
    </font>
    <font>
      <color rgb="FF000000"/>
      <name val="Calibri"/>
    </font>
    <font>
      <u/>
      <color rgb="FF0000FF"/>
      <name val="Calibri"/>
    </font>
    <font>
      <u/>
      <sz val="11.0"/>
      <color rgb="FF0000FF"/>
      <name val="Calibri"/>
    </font>
    <font>
      <sz val="10.0"/>
      <color rgb="FF000000"/>
      <name val="Calibri"/>
    </font>
    <font>
      <u/>
      <color rgb="FF000000"/>
      <name val="Calibri"/>
    </font>
    <font>
      <u/>
      <color theme="1"/>
      <name val="Calibri"/>
    </font>
    <font>
      <u/>
      <sz val="11.0"/>
      <color rgb="FF1155CC"/>
      <name val="Calibri"/>
    </font>
    <font>
      <u/>
      <sz val="11.0"/>
      <color rgb="FF1155CC"/>
      <name val="Calibri"/>
    </font>
    <font>
      <color rgb="FF1155CC"/>
      <name val="Calibri"/>
    </font>
    <font>
      <u/>
      <sz val="11.0"/>
      <color rgb="FF0000FF"/>
      <name val="Calibri"/>
    </font>
    <font>
      <u/>
      <sz val="11.0"/>
      <color rgb="FF0000FF"/>
      <name val="Calibri"/>
    </font>
    <font>
      <u/>
      <sz val="11.0"/>
      <color rgb="FF0000FF"/>
      <name val="Calibri"/>
    </font>
    <font>
      <u/>
      <sz val="11.0"/>
      <color theme="1"/>
      <name val="Calibri"/>
    </font>
    <font>
      <u/>
      <color rgb="FF0000FF"/>
    </font>
    <font>
      <u/>
      <sz val="11.0"/>
      <color rgb="FF0000FF"/>
      <name val="Calibri"/>
    </font>
    <font>
      <u/>
      <sz val="11.0"/>
      <color rgb="FF0000FF"/>
      <name val="Calibri"/>
    </font>
    <font>
      <sz val="10.0"/>
      <color theme="1"/>
      <name val="Arial"/>
    </font>
    <font>
      <sz val="10.0"/>
      <color theme="1"/>
      <name val="Arial"/>
      <scheme val="minor"/>
    </font>
    <font>
      <u/>
      <sz val="11.0"/>
      <color rgb="FF1155CC"/>
      <name val="Calibri"/>
    </font>
    <font>
      <u/>
      <color rgb="FF1155CC"/>
    </font>
    <font>
      <u/>
      <color rgb="FF1155CC"/>
    </font>
    <font>
      <u/>
      <color rgb="FF0000FF"/>
    </font>
    <font>
      <color rgb="FF1155CC"/>
      <name val="Arial"/>
      <scheme val="minor"/>
    </font>
    <font>
      <u/>
      <sz val="11.0"/>
      <color rgb="FF1155CC"/>
      <name val="Calibri"/>
    </font>
    <font>
      <u/>
      <sz val="11.0"/>
      <color theme="1"/>
      <name val="Calibri"/>
    </font>
    <font>
      <b/>
      <color theme="1"/>
      <name val="Arial"/>
    </font>
    <font>
      <sz val="11.0"/>
      <color rgb="FF000000"/>
      <name val="&quot;Aptos Narrow&quot;"/>
    </font>
    <font>
      <sz val="15.0"/>
      <color rgb="FF0071D0"/>
      <name val="Arial"/>
    </font>
    <font>
      <b/>
      <i/>
      <color rgb="FF1D2A57"/>
      <name val="Arial"/>
    </font>
    <font>
      <b/>
      <sz val="11.0"/>
      <color rgb="FF111111"/>
      <name val="Calibri"/>
    </font>
    <font>
      <color rgb="FF555555"/>
      <name val="Inherit"/>
    </font>
    <font>
      <b/>
      <color rgb="FF555555"/>
      <name val="Inherit"/>
    </font>
    <font>
      <color rgb="FF333333"/>
      <name val="Inherit"/>
    </font>
    <font>
      <b/>
      <strike/>
      <color rgb="FF555555"/>
      <name val="Inherit"/>
    </font>
    <font>
      <b/>
      <sz val="9.0"/>
      <color rgb="FFFFFFFF"/>
      <name val="Arial"/>
    </font>
    <font>
      <b/>
      <sz val="7.0"/>
      <color rgb="FFFFFFFF"/>
      <name val="Arial"/>
    </font>
    <font/>
    <font>
      <sz val="9.0"/>
      <color theme="1"/>
      <name val="Arial"/>
    </font>
    <font>
      <b/>
      <color rgb="FF000000"/>
      <name val="Arial"/>
    </font>
    <font>
      <b/>
      <u/>
      <color rgb="FF0000FF"/>
      <name val="Arial"/>
    </font>
    <font>
      <b/>
      <color rgb="FFFFFFFF"/>
      <name val="Arial"/>
    </font>
    <font>
      <b/>
      <color rgb="FFFF0000"/>
      <name val="Arial"/>
    </font>
    <font>
      <color rgb="FFFF0000"/>
      <name val="Arial"/>
    </font>
    <font>
      <b/>
      <sz val="9.0"/>
      <color theme="1"/>
      <name val="Arial"/>
    </font>
    <font>
      <u/>
      <color rgb="FF0000FF"/>
    </font>
    <font>
      <u/>
      <sz val="11.0"/>
      <color rgb="FF0000FF"/>
      <name val="Calibri"/>
    </font>
    <font>
      <u/>
      <sz val="11.0"/>
      <color rgb="FF0000FF"/>
      <name val="Calibri"/>
    </font>
    <font>
      <u/>
      <sz val="12.0"/>
      <color rgb="FF0000FF"/>
      <name val="Calibri"/>
    </font>
    <font>
      <u/>
      <sz val="11.0"/>
      <color rgb="FF0563C1"/>
      <name val="Calibri"/>
    </font>
    <font>
      <u/>
      <sz val="11.0"/>
      <color rgb="FF0000FF"/>
      <name val="Calibri"/>
    </font>
    <font>
      <u/>
      <sz val="11.0"/>
      <color rgb="FF0000FF"/>
      <name val="Calibri"/>
    </font>
    <font>
      <u/>
      <sz val="11.0"/>
      <color rgb="FF0000FF"/>
      <name val="Calibri"/>
    </font>
    <font>
      <sz val="11.0"/>
      <color rgb="FF222222"/>
      <name val="Calibri"/>
    </font>
    <font>
      <u/>
      <sz val="12.0"/>
      <color rgb="FF0000FF"/>
      <name val="Calibri"/>
    </font>
    <font>
      <u/>
      <sz val="11.0"/>
      <color rgb="FF0563C1"/>
      <name val="Calibri"/>
    </font>
    <font>
      <u/>
      <sz val="12.0"/>
      <color rgb="FF0000FF"/>
      <name val="Calibri"/>
    </font>
    <font>
      <u/>
      <sz val="11.0"/>
      <color theme="1"/>
      <name val="Calibri"/>
    </font>
    <font>
      <u/>
      <sz val="11.0"/>
      <color theme="1"/>
      <name val="Calibri"/>
    </font>
    <font>
      <u/>
      <sz val="12.0"/>
      <color rgb="FF0000FF"/>
      <name val="Calibri"/>
    </font>
    <font>
      <u/>
      <sz val="12.0"/>
      <color rgb="FF0000FF"/>
      <name val="Calibri"/>
    </font>
  </fonts>
  <fills count="30">
    <fill>
      <patternFill patternType="none"/>
    </fill>
    <fill>
      <patternFill patternType="lightGray"/>
    </fill>
    <fill>
      <patternFill patternType="solid">
        <fgColor rgb="FFD5A6BD"/>
        <bgColor rgb="FFD5A6BD"/>
      </patternFill>
    </fill>
    <fill>
      <patternFill patternType="solid">
        <fgColor rgb="FFEAD1DC"/>
        <bgColor rgb="FFEAD1DC"/>
      </patternFill>
    </fill>
    <fill>
      <patternFill patternType="solid">
        <fgColor rgb="FFC27BA0"/>
        <bgColor rgb="FFC27BA0"/>
      </patternFill>
    </fill>
    <fill>
      <patternFill patternType="solid">
        <fgColor rgb="FFBF9000"/>
        <bgColor rgb="FFBF9000"/>
      </patternFill>
    </fill>
    <fill>
      <patternFill patternType="solid">
        <fgColor rgb="FFFF00FF"/>
        <bgColor rgb="FFFF00FF"/>
      </patternFill>
    </fill>
    <fill>
      <patternFill patternType="solid">
        <fgColor rgb="FFFFFFFF"/>
        <bgColor rgb="FFFFFFFF"/>
      </patternFill>
    </fill>
    <fill>
      <patternFill patternType="solid">
        <fgColor rgb="FFF9CB9C"/>
        <bgColor rgb="FFF9CB9C"/>
      </patternFill>
    </fill>
    <fill>
      <patternFill patternType="solid">
        <fgColor rgb="FFF4CCCC"/>
        <bgColor rgb="FFF4CCCC"/>
      </patternFill>
    </fill>
    <fill>
      <patternFill patternType="solid">
        <fgColor rgb="FF00FF00"/>
        <bgColor rgb="FF00FF00"/>
      </patternFill>
    </fill>
    <fill>
      <patternFill patternType="solid">
        <fgColor rgb="FFFFFF00"/>
        <bgColor rgb="FFFFFF00"/>
      </patternFill>
    </fill>
    <fill>
      <patternFill patternType="solid">
        <fgColor rgb="FF00FFFF"/>
        <bgColor rgb="FF00FFFF"/>
      </patternFill>
    </fill>
    <fill>
      <patternFill patternType="solid">
        <fgColor rgb="FFC9DAF8"/>
        <bgColor rgb="FFC9DAF8"/>
      </patternFill>
    </fill>
    <fill>
      <patternFill patternType="solid">
        <fgColor rgb="FF4A86E8"/>
        <bgColor rgb="FF4A86E8"/>
      </patternFill>
    </fill>
    <fill>
      <patternFill patternType="solid">
        <fgColor rgb="FF6D9EEB"/>
        <bgColor rgb="FF6D9EEB"/>
      </patternFill>
    </fill>
    <fill>
      <patternFill patternType="solid">
        <fgColor rgb="FFA4C2F4"/>
        <bgColor rgb="FFA4C2F4"/>
      </patternFill>
    </fill>
    <fill>
      <patternFill patternType="solid">
        <fgColor rgb="FFFF9900"/>
        <bgColor rgb="FFFF9900"/>
      </patternFill>
    </fill>
    <fill>
      <patternFill patternType="solid">
        <fgColor rgb="FFFF0000"/>
        <bgColor rgb="FFFF0000"/>
      </patternFill>
    </fill>
    <fill>
      <patternFill patternType="solid">
        <fgColor rgb="FFEA9999"/>
        <bgColor rgb="FFEA9999"/>
      </patternFill>
    </fill>
    <fill>
      <patternFill patternType="solid">
        <fgColor rgb="FFE06666"/>
        <bgColor rgb="FFE06666"/>
      </patternFill>
    </fill>
    <fill>
      <patternFill patternType="solid">
        <fgColor rgb="FFFFE599"/>
        <bgColor rgb="FFFFE599"/>
      </patternFill>
    </fill>
    <fill>
      <patternFill patternType="solid">
        <fgColor rgb="FFFFF2CC"/>
        <bgColor rgb="FFFFF2CC"/>
      </patternFill>
    </fill>
    <fill>
      <patternFill patternType="solid">
        <fgColor rgb="FFF2F0EB"/>
        <bgColor rgb="FFF2F0EB"/>
      </patternFill>
    </fill>
    <fill>
      <patternFill patternType="solid">
        <fgColor rgb="FFE7F1F3"/>
        <bgColor rgb="FFE7F1F3"/>
      </patternFill>
    </fill>
    <fill>
      <patternFill patternType="solid">
        <fgColor rgb="FFF3F8F9"/>
        <bgColor rgb="FFF3F8F9"/>
      </patternFill>
    </fill>
    <fill>
      <patternFill patternType="solid">
        <fgColor rgb="FF008080"/>
        <bgColor rgb="FF008080"/>
      </patternFill>
    </fill>
    <fill>
      <patternFill patternType="solid">
        <fgColor rgb="FFC0C0C0"/>
        <bgColor rgb="FFC0C0C0"/>
      </patternFill>
    </fill>
    <fill>
      <patternFill patternType="solid">
        <fgColor rgb="FFCCCCCC"/>
        <bgColor rgb="FFCCCCCC"/>
      </patternFill>
    </fill>
    <fill>
      <patternFill patternType="solid">
        <fgColor rgb="FFB6D7A8"/>
        <bgColor rgb="FFB6D7A8"/>
      </patternFill>
    </fill>
  </fills>
  <borders count="1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bottom style="thin">
        <color rgb="FF000000"/>
      </bottom>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border>
    <border>
      <right style="thin">
        <color rgb="FF000000"/>
      </right>
    </border>
    <border>
      <left style="thin">
        <color rgb="FF000000"/>
      </left>
      <bottom style="thin">
        <color rgb="FF000000"/>
      </bottom>
    </border>
    <border>
      <left style="thin">
        <color rgb="FF000000"/>
      </left>
      <right style="thin">
        <color rgb="FF000000"/>
      </right>
    </border>
    <border>
      <left style="thin">
        <color rgb="FF000000"/>
      </left>
      <top style="thin">
        <color rgb="FF000000"/>
      </top>
    </border>
  </borders>
  <cellStyleXfs count="1">
    <xf borderId="0" fillId="0" fontId="0" numFmtId="0" applyAlignment="1" applyFont="1"/>
  </cellStyleXfs>
  <cellXfs count="494">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0" fillId="2" fontId="1" numFmtId="0" xfId="0" applyAlignment="1" applyFill="1" applyFont="1">
      <alignment horizontal="center" readingOrder="0" shrinkToFit="0" vertical="center" wrapText="1"/>
    </xf>
    <xf borderId="0" fillId="3" fontId="1" numFmtId="0" xfId="0" applyAlignment="1" applyFill="1" applyFont="1">
      <alignment horizontal="center" readingOrder="0" shrinkToFit="0" vertical="center" wrapText="1"/>
    </xf>
    <xf borderId="0" fillId="3" fontId="1" numFmtId="0" xfId="0" applyAlignment="1" applyFont="1">
      <alignment horizontal="center" readingOrder="0" shrinkToFit="0" vertical="center" wrapText="0"/>
    </xf>
    <xf borderId="0" fillId="4" fontId="2" numFmtId="0" xfId="0" applyAlignment="1" applyFill="1" applyFont="1">
      <alignment horizontal="center" readingOrder="0" shrinkToFit="0" vertical="center" wrapText="1"/>
    </xf>
    <xf borderId="0" fillId="3" fontId="2" numFmtId="0" xfId="0" applyAlignment="1" applyFont="1">
      <alignment horizontal="center" readingOrder="0" shrinkToFit="0" vertical="center" wrapText="0"/>
    </xf>
    <xf borderId="0" fillId="3" fontId="2" numFmtId="0" xfId="0" applyAlignment="1" applyFont="1">
      <alignment horizontal="center" readingOrder="0" vertical="center"/>
    </xf>
    <xf borderId="0" fillId="0" fontId="3" numFmtId="0" xfId="0" applyAlignment="1" applyFont="1">
      <alignment horizontal="center" readingOrder="0" shrinkToFit="0" vertical="center" wrapText="0"/>
    </xf>
    <xf borderId="0" fillId="0" fontId="3" numFmtId="0" xfId="0" applyAlignment="1" applyFont="1">
      <alignment horizontal="left" readingOrder="0" shrinkToFit="0" vertical="center" wrapText="0"/>
    </xf>
    <xf borderId="0" fillId="0" fontId="4" numFmtId="0" xfId="0" applyAlignment="1" applyFont="1">
      <alignment horizontal="center" readingOrder="0" shrinkToFit="0" vertical="bottom" wrapText="0"/>
    </xf>
    <xf borderId="0" fillId="0" fontId="4" numFmtId="0" xfId="0" applyAlignment="1" applyFont="1">
      <alignment readingOrder="0" shrinkToFit="0" vertical="bottom" wrapText="0"/>
    </xf>
    <xf borderId="0" fillId="0" fontId="4" numFmtId="0" xfId="0" applyAlignment="1" applyFont="1">
      <alignment horizontal="center" shrinkToFit="0" vertical="bottom" wrapText="0"/>
    </xf>
    <xf borderId="0" fillId="0" fontId="3" numFmtId="0" xfId="0" applyAlignment="1" applyFont="1">
      <alignment shrinkToFit="0" vertical="center" wrapText="0"/>
    </xf>
    <xf borderId="0" fillId="0" fontId="3" numFmtId="0" xfId="0" applyAlignment="1" applyFont="1">
      <alignment readingOrder="0" shrinkToFit="0" vertical="center" wrapText="0"/>
    </xf>
    <xf borderId="0" fillId="0" fontId="3" numFmtId="0" xfId="0" applyAlignment="1" applyFont="1">
      <alignment horizontal="center" shrinkToFit="0" vertical="center" wrapText="0"/>
    </xf>
    <xf borderId="0" fillId="0" fontId="3" numFmtId="0" xfId="0" applyAlignment="1" applyFont="1">
      <alignment horizontal="left" shrinkToFit="0" vertical="center" wrapText="0"/>
    </xf>
    <xf borderId="0" fillId="0" fontId="5" numFmtId="0" xfId="0" applyAlignment="1" applyFont="1">
      <alignment horizontal="left" shrinkToFit="0" vertical="center" wrapText="0"/>
    </xf>
    <xf borderId="0" fillId="0" fontId="6" numFmtId="0" xfId="0" applyAlignment="1" applyFont="1">
      <alignment horizontal="left" shrinkToFit="0" vertical="center" wrapText="0"/>
    </xf>
    <xf borderId="0" fillId="5" fontId="3" numFmtId="0" xfId="0" applyAlignment="1" applyFill="1" applyFont="1">
      <alignment horizontal="left" readingOrder="0" shrinkToFit="0" vertical="center" wrapText="0"/>
    </xf>
    <xf borderId="0" fillId="0" fontId="7" numFmtId="0" xfId="0" applyAlignment="1" applyFont="1">
      <alignment horizontal="left" readingOrder="0" shrinkToFit="0" vertical="center" wrapText="0"/>
    </xf>
    <xf borderId="0" fillId="0" fontId="6" numFmtId="0" xfId="0" applyAlignment="1" applyFont="1">
      <alignment horizontal="left"/>
    </xf>
    <xf borderId="0" fillId="0" fontId="3" numFmtId="0" xfId="0" applyAlignment="1" applyFont="1">
      <alignment shrinkToFit="0" vertical="center" wrapText="0"/>
    </xf>
    <xf borderId="0" fillId="0" fontId="3" numFmtId="0" xfId="0" applyAlignment="1" applyFont="1">
      <alignment horizontal="center" shrinkToFit="0" vertical="center" wrapText="0"/>
    </xf>
    <xf borderId="0" fillId="0" fontId="8" numFmtId="0" xfId="0" applyAlignment="1" applyFont="1">
      <alignment horizontal="left" readingOrder="0" shrinkToFit="0" vertical="center" wrapText="0"/>
    </xf>
    <xf borderId="0" fillId="0" fontId="4" numFmtId="0" xfId="0" applyAlignment="1" applyFont="1">
      <alignment horizontal="center" shrinkToFit="0" vertical="bottom" wrapText="0"/>
    </xf>
    <xf borderId="0" fillId="0" fontId="4" numFmtId="0" xfId="0" applyAlignment="1" applyFont="1">
      <alignment readingOrder="0" shrinkToFit="0" vertical="center" wrapText="0"/>
    </xf>
    <xf borderId="0" fillId="5" fontId="3" numFmtId="0" xfId="0" applyAlignment="1" applyFont="1">
      <alignment horizontal="left" shrinkToFit="0" vertical="center" wrapText="0"/>
    </xf>
    <xf borderId="0" fillId="6" fontId="3" numFmtId="0" xfId="0" applyAlignment="1" applyFill="1" applyFont="1">
      <alignment horizontal="left" shrinkToFit="0" vertical="center" wrapText="0"/>
    </xf>
    <xf borderId="0" fillId="0" fontId="4" numFmtId="0" xfId="0" applyAlignment="1" applyFont="1">
      <alignment horizontal="left" readingOrder="0" shrinkToFit="0" vertical="center" wrapText="0"/>
    </xf>
    <xf borderId="0" fillId="7" fontId="9" numFmtId="0" xfId="0" applyAlignment="1" applyFill="1" applyFont="1">
      <alignment horizontal="left" readingOrder="0" shrinkToFit="0" vertical="center" wrapText="0"/>
    </xf>
    <xf borderId="0" fillId="0" fontId="6" numFmtId="0" xfId="0" applyAlignment="1" applyFont="1">
      <alignment horizontal="left" readingOrder="0" shrinkToFit="0" vertical="center" wrapText="0"/>
    </xf>
    <xf borderId="0" fillId="7" fontId="3" numFmtId="0" xfId="0" applyAlignment="1" applyFont="1">
      <alignment readingOrder="0" shrinkToFit="0" vertical="center" wrapText="0"/>
    </xf>
    <xf borderId="0" fillId="7" fontId="10" numFmtId="0" xfId="0" applyAlignment="1" applyFont="1">
      <alignment horizontal="left" shrinkToFit="0" vertical="center" wrapText="0"/>
    </xf>
    <xf borderId="0" fillId="0" fontId="6" numFmtId="0" xfId="0" applyAlignment="1" applyFont="1">
      <alignment horizontal="left" shrinkToFit="0" vertical="center" wrapText="0"/>
    </xf>
    <xf borderId="0" fillId="7" fontId="3" numFmtId="0" xfId="0" applyAlignment="1" applyFont="1">
      <alignment shrinkToFit="0" vertical="center" wrapText="0"/>
    </xf>
    <xf borderId="0" fillId="7" fontId="3" numFmtId="0" xfId="0" applyAlignment="1" applyFont="1">
      <alignment horizontal="center" shrinkToFit="0" vertical="center" wrapText="0"/>
    </xf>
    <xf borderId="0" fillId="7" fontId="3" numFmtId="0" xfId="0" applyAlignment="1" applyFont="1">
      <alignment horizontal="left" shrinkToFit="0" vertical="center" wrapText="0"/>
    </xf>
    <xf borderId="0" fillId="7" fontId="6" numFmtId="0" xfId="0" applyAlignment="1" applyFont="1">
      <alignment horizontal="left" shrinkToFit="0" vertical="center" wrapText="0"/>
    </xf>
    <xf borderId="0" fillId="0" fontId="11" numFmtId="0" xfId="0" applyAlignment="1" applyFont="1">
      <alignment horizontal="left" readingOrder="0" shrinkToFit="0" vertical="center" wrapText="0"/>
    </xf>
    <xf borderId="0" fillId="0" fontId="12" numFmtId="0" xfId="0" applyAlignment="1" applyFont="1">
      <alignment readingOrder="0" shrinkToFit="0" vertical="center" wrapText="0"/>
    </xf>
    <xf borderId="0" fillId="0" fontId="13"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6" fontId="3" numFmtId="0" xfId="0" applyAlignment="1" applyFont="1">
      <alignment horizontal="left" readingOrder="0" shrinkToFit="0" vertical="center" wrapText="0"/>
    </xf>
    <xf borderId="0" fillId="7" fontId="4" numFmtId="0" xfId="0" applyAlignment="1" applyFont="1">
      <alignment horizontal="left" readingOrder="0" shrinkToFit="0" vertical="center" wrapText="0"/>
    </xf>
    <xf borderId="0" fillId="0" fontId="9" numFmtId="0" xfId="0" applyAlignment="1" applyFont="1">
      <alignment horizontal="left" readingOrder="0" shrinkToFit="0" vertical="center" wrapText="0"/>
    </xf>
    <xf borderId="0" fillId="0" fontId="3" numFmtId="0" xfId="0" applyAlignment="1" applyFont="1">
      <alignment shrinkToFit="0" vertical="bottom" wrapText="0"/>
    </xf>
    <xf borderId="0" fillId="0" fontId="3" numFmtId="0" xfId="0" applyAlignment="1" applyFont="1">
      <alignment readingOrder="0" shrinkToFit="0" vertical="bottom" wrapText="0"/>
    </xf>
    <xf borderId="0" fillId="0" fontId="3" numFmtId="0" xfId="0" applyAlignment="1" applyFont="1">
      <alignment horizontal="center" shrinkToFit="0" vertical="bottom" wrapText="0"/>
    </xf>
    <xf borderId="0" fillId="0" fontId="3" numFmtId="0" xfId="0" applyAlignment="1" applyFont="1">
      <alignment horizontal="center" shrinkToFit="0" wrapText="0"/>
    </xf>
    <xf borderId="0" fillId="0" fontId="3" numFmtId="0" xfId="0" applyAlignment="1" applyFont="1">
      <alignment shrinkToFit="0" wrapText="0"/>
    </xf>
    <xf borderId="0" fillId="0" fontId="3" numFmtId="0" xfId="0" applyAlignment="1" applyFont="1">
      <alignment horizontal="center" shrinkToFit="0" vertical="bottom" wrapText="0"/>
    </xf>
    <xf borderId="0" fillId="0" fontId="3" numFmtId="0" xfId="0" applyAlignment="1" applyFont="1">
      <alignment shrinkToFit="0" wrapText="0"/>
    </xf>
    <xf borderId="0" fillId="0" fontId="14" numFmtId="0" xfId="0" applyAlignment="1" applyFont="1">
      <alignment shrinkToFit="0" vertical="bottom" wrapText="0"/>
    </xf>
    <xf borderId="0" fillId="0" fontId="4" numFmtId="0" xfId="0" applyAlignment="1" applyFont="1">
      <alignment horizontal="center" shrinkToFit="0" vertical="bottom" wrapText="0"/>
    </xf>
    <xf borderId="0" fillId="0" fontId="4" numFmtId="0" xfId="0" applyAlignment="1" applyFont="1">
      <alignment horizontal="left" shrinkToFit="0" vertical="center" wrapText="0"/>
    </xf>
    <xf borderId="0" fillId="0" fontId="4" numFmtId="0" xfId="0" applyAlignment="1" applyFont="1">
      <alignment horizontal="center" readingOrder="0" shrinkToFit="0" vertical="center" wrapText="0"/>
    </xf>
    <xf borderId="0" fillId="7" fontId="4" numFmtId="0" xfId="0" applyAlignment="1" applyFont="1">
      <alignment horizontal="left" shrinkToFit="0" vertical="center" wrapText="0"/>
    </xf>
    <xf borderId="0" fillId="0" fontId="3" numFmtId="0" xfId="0" applyAlignment="1" applyFont="1">
      <alignment readingOrder="0" shrinkToFit="0" wrapText="0"/>
    </xf>
    <xf borderId="0" fillId="0" fontId="15" numFmtId="0" xfId="0" applyAlignment="1" applyFont="1">
      <alignment shrinkToFit="0" wrapText="0"/>
    </xf>
    <xf borderId="0" fillId="0" fontId="16" numFmtId="0" xfId="0" applyAlignment="1" applyFont="1">
      <alignment shrinkToFit="0" wrapText="0"/>
    </xf>
    <xf borderId="0" fillId="0" fontId="3" numFmtId="0" xfId="0" applyAlignment="1" applyFont="1">
      <alignment horizontal="center" readingOrder="0" shrinkToFit="0" wrapText="0"/>
    </xf>
    <xf borderId="0" fillId="0" fontId="3" numFmtId="0" xfId="0" applyAlignment="1" applyFont="1">
      <alignment horizontal="left" readingOrder="0"/>
    </xf>
    <xf borderId="0" fillId="0" fontId="17" numFmtId="0" xfId="0" applyFont="1"/>
    <xf borderId="0" fillId="0" fontId="4" numFmtId="0" xfId="0" applyAlignment="1" applyFont="1">
      <alignment shrinkToFit="0" vertical="center" wrapText="0"/>
    </xf>
    <xf borderId="0" fillId="0" fontId="3" numFmtId="4" xfId="0" applyAlignment="1" applyFont="1" applyNumberFormat="1">
      <alignment horizontal="left" readingOrder="0" shrinkToFit="0" vertical="center" wrapText="0"/>
    </xf>
    <xf borderId="0" fillId="0" fontId="4" numFmtId="4" xfId="0" applyAlignment="1" applyFont="1" applyNumberFormat="1">
      <alignment horizontal="center" readingOrder="0" shrinkToFit="0" vertical="bottom" wrapText="0"/>
    </xf>
    <xf borderId="0" fillId="6" fontId="3" numFmtId="4" xfId="0" applyAlignment="1" applyFont="1" applyNumberFormat="1">
      <alignment horizontal="left" readingOrder="0" shrinkToFit="0" vertical="center" wrapText="0"/>
    </xf>
    <xf borderId="0" fillId="5" fontId="3" numFmtId="4" xfId="0" applyAlignment="1" applyFont="1" applyNumberFormat="1">
      <alignment horizontal="left" readingOrder="0" shrinkToFit="0" vertical="center" wrapText="0"/>
    </xf>
    <xf borderId="0" fillId="7" fontId="18" numFmtId="0" xfId="0" applyAlignment="1" applyFont="1">
      <alignment horizontal="center" readingOrder="0" shrinkToFit="0" vertical="center" wrapText="0"/>
    </xf>
    <xf borderId="0" fillId="0" fontId="19" numFmtId="0" xfId="0" applyAlignment="1" applyFont="1">
      <alignment horizontal="left" readingOrder="0" shrinkToFit="0" vertical="center" wrapText="0"/>
    </xf>
    <xf borderId="0" fillId="7" fontId="9" numFmtId="0" xfId="0" applyAlignment="1" applyFont="1">
      <alignment horizontal="center" readingOrder="0" shrinkToFit="0" vertical="center" wrapText="0"/>
    </xf>
    <xf borderId="0" fillId="8" fontId="1" numFmtId="0" xfId="0" applyAlignment="1" applyFill="1" applyFont="1">
      <alignment horizontal="center" readingOrder="0" shrinkToFit="0" vertical="center" wrapText="1"/>
    </xf>
    <xf borderId="0" fillId="8" fontId="1" numFmtId="0" xfId="0" applyAlignment="1" applyFont="1">
      <alignment horizontal="center" readingOrder="0" shrinkToFit="0" vertical="center" wrapText="0"/>
    </xf>
    <xf borderId="0" fillId="8" fontId="1" numFmtId="0" xfId="0" applyAlignment="1" applyFont="1">
      <alignment horizontal="center" shrinkToFit="0" vertical="center" wrapText="0"/>
    </xf>
    <xf borderId="0" fillId="0" fontId="1" numFmtId="0" xfId="0" applyAlignment="1" applyFont="1">
      <alignment horizontal="center" shrinkToFit="0" vertical="center" wrapText="0"/>
    </xf>
    <xf borderId="0" fillId="0" fontId="1" numFmtId="0" xfId="0" applyAlignment="1" applyFont="1">
      <alignment horizontal="center" vertical="center"/>
    </xf>
    <xf borderId="0" fillId="2" fontId="1" numFmtId="0" xfId="0" applyAlignment="1" applyFont="1">
      <alignment horizontal="left" readingOrder="0" shrinkToFit="0" vertical="center" wrapText="1"/>
    </xf>
    <xf borderId="0" fillId="2" fontId="1" numFmtId="0" xfId="0" applyAlignment="1" applyFont="1">
      <alignment horizontal="left" readingOrder="0" shrinkToFit="0" vertical="center" wrapText="0"/>
    </xf>
    <xf borderId="0" fillId="2" fontId="1" numFmtId="0" xfId="0" applyAlignment="1" applyFont="1">
      <alignment horizontal="center" readingOrder="0" shrinkToFit="0" vertical="center" wrapText="0"/>
    </xf>
    <xf borderId="0" fillId="0" fontId="1" numFmtId="0" xfId="0" applyAlignment="1" applyFont="1">
      <alignment horizontal="left" shrinkToFit="0" vertical="center" wrapText="0"/>
    </xf>
    <xf borderId="0" fillId="0" fontId="1" numFmtId="0" xfId="0" applyAlignment="1" applyFont="1">
      <alignment horizontal="left" vertical="center"/>
    </xf>
    <xf borderId="0" fillId="3" fontId="1" numFmtId="0" xfId="0" applyAlignment="1" applyFont="1">
      <alignment horizontal="left" readingOrder="0" shrinkToFit="0" vertical="center" wrapText="1"/>
    </xf>
    <xf borderId="0" fillId="3" fontId="1" numFmtId="0" xfId="0" applyAlignment="1" applyFont="1">
      <alignment horizontal="left" readingOrder="0" shrinkToFit="0" vertical="center" wrapText="0"/>
    </xf>
    <xf borderId="0" fillId="2" fontId="1" numFmtId="0" xfId="0" applyAlignment="1" applyFont="1">
      <alignment horizontal="left" shrinkToFit="0" vertical="center" wrapText="0"/>
    </xf>
    <xf borderId="0" fillId="2" fontId="1" numFmtId="0" xfId="0" applyAlignment="1" applyFont="1">
      <alignment horizontal="center" shrinkToFit="0" vertical="center" wrapText="0"/>
    </xf>
    <xf borderId="0" fillId="0" fontId="1" numFmtId="0" xfId="0" applyAlignment="1" applyFont="1">
      <alignment horizontal="left" readingOrder="0" shrinkToFit="0" vertical="center" wrapText="0"/>
    </xf>
    <xf borderId="0" fillId="3" fontId="1" numFmtId="0" xfId="0" applyAlignment="1" applyFont="1">
      <alignment horizontal="left" readingOrder="0" shrinkToFit="0" wrapText="1"/>
    </xf>
    <xf borderId="0" fillId="3" fontId="1" numFmtId="0" xfId="0" applyAlignment="1" applyFont="1">
      <alignment readingOrder="0" shrinkToFit="0" wrapText="0"/>
    </xf>
    <xf borderId="0" fillId="3" fontId="1" numFmtId="0" xfId="0" applyAlignment="1" applyFont="1">
      <alignment horizontal="center" shrinkToFit="0" vertical="center" wrapText="0"/>
    </xf>
    <xf borderId="0" fillId="2" fontId="20" numFmtId="0" xfId="0" applyAlignment="1" applyFont="1">
      <alignment readingOrder="0"/>
    </xf>
    <xf borderId="0" fillId="3" fontId="2" numFmtId="0" xfId="0" applyAlignment="1" applyFont="1">
      <alignment horizontal="left" readingOrder="0" shrinkToFit="0" vertical="center" wrapText="1"/>
    </xf>
    <xf borderId="0" fillId="3" fontId="2" numFmtId="0" xfId="0" applyAlignment="1" applyFont="1">
      <alignment readingOrder="0" shrinkToFit="0" vertical="center" wrapText="0"/>
    </xf>
    <xf borderId="0" fillId="3" fontId="1" numFmtId="0" xfId="0" applyAlignment="1" applyFont="1">
      <alignment horizontal="left" readingOrder="0" vertical="center"/>
    </xf>
    <xf borderId="0" fillId="2" fontId="1" numFmtId="0" xfId="0" applyAlignment="1" applyFont="1">
      <alignment horizontal="left" readingOrder="0" vertical="center"/>
    </xf>
    <xf borderId="0" fillId="3" fontId="20" numFmtId="0" xfId="0" applyAlignment="1" applyFont="1">
      <alignment readingOrder="0"/>
    </xf>
    <xf borderId="0" fillId="2" fontId="2" numFmtId="0" xfId="0" applyAlignment="1" applyFont="1">
      <alignment horizontal="left" readingOrder="0" shrinkToFit="0" vertical="center" wrapText="1"/>
    </xf>
    <xf borderId="0" fillId="2" fontId="1" numFmtId="0" xfId="0" applyAlignment="1" applyFont="1">
      <alignment readingOrder="0" shrinkToFit="0" wrapText="0"/>
    </xf>
    <xf borderId="0" fillId="2" fontId="2" numFmtId="0" xfId="0" applyAlignment="1" applyFont="1">
      <alignment horizontal="center" shrinkToFit="0" vertical="center" wrapText="0"/>
    </xf>
    <xf borderId="0" fillId="0" fontId="3" numFmtId="0" xfId="0" applyFont="1"/>
    <xf borderId="0" fillId="2" fontId="2" numFmtId="0" xfId="0" applyAlignment="1" applyFont="1">
      <alignment horizontal="center" readingOrder="0" shrinkToFit="0" vertical="center" wrapText="0"/>
    </xf>
    <xf borderId="0" fillId="0" fontId="1" numFmtId="0" xfId="0" applyAlignment="1" applyFont="1">
      <alignment horizontal="center" readingOrder="0" shrinkToFit="0" vertical="center" wrapText="0"/>
    </xf>
    <xf borderId="0" fillId="0" fontId="3" numFmtId="0" xfId="0" applyFont="1"/>
    <xf borderId="0" fillId="0" fontId="3" numFmtId="0" xfId="0" applyAlignment="1" applyFont="1">
      <alignment shrinkToFit="0" wrapText="0"/>
    </xf>
    <xf borderId="0" fillId="0" fontId="3" numFmtId="0" xfId="0" applyAlignment="1" applyFont="1">
      <alignment horizontal="center" shrinkToFit="0" wrapText="0"/>
    </xf>
    <xf borderId="0" fillId="2" fontId="2" numFmtId="0" xfId="0" applyAlignment="1" applyFont="1">
      <alignment horizontal="center" readingOrder="0" shrinkToFit="0" vertical="bottom" wrapText="0"/>
    </xf>
    <xf borderId="0" fillId="9" fontId="1" numFmtId="0" xfId="0" applyAlignment="1" applyFill="1" applyFont="1">
      <alignment horizontal="center" readingOrder="0"/>
    </xf>
    <xf borderId="0" fillId="0" fontId="13" numFmtId="0" xfId="0" applyFont="1"/>
    <xf borderId="0" fillId="0" fontId="13" numFmtId="10" xfId="0" applyFont="1" applyNumberFormat="1"/>
    <xf borderId="0" fillId="9" fontId="1" numFmtId="0" xfId="0" applyAlignment="1" applyFont="1">
      <alignment readingOrder="0"/>
    </xf>
    <xf borderId="0" fillId="0" fontId="13" numFmtId="0" xfId="0" applyAlignment="1" applyFont="1">
      <alignment shrinkToFit="0" wrapText="0"/>
    </xf>
    <xf borderId="0" fillId="10" fontId="13" numFmtId="0" xfId="0" applyFill="1" applyFont="1"/>
    <xf borderId="0" fillId="0" fontId="13" numFmtId="0" xfId="0" applyAlignment="1" applyFont="1">
      <alignment readingOrder="0"/>
    </xf>
    <xf borderId="0" fillId="11" fontId="13" numFmtId="0" xfId="0" applyFill="1" applyFont="1"/>
    <xf borderId="0" fillId="12" fontId="13" numFmtId="0" xfId="0" applyFill="1" applyFont="1"/>
    <xf borderId="0" fillId="0" fontId="13" numFmtId="4" xfId="0" applyFont="1" applyNumberFormat="1"/>
    <xf borderId="0" fillId="0" fontId="21" numFmtId="0" xfId="0" applyAlignment="1" applyFont="1">
      <alignment shrinkToFit="0" wrapText="0"/>
    </xf>
    <xf borderId="1" fillId="13" fontId="22" numFmtId="0" xfId="0" applyAlignment="1" applyBorder="1" applyFill="1" applyFont="1">
      <alignment horizontal="center" vertical="bottom"/>
    </xf>
    <xf borderId="1" fillId="0" fontId="22" numFmtId="0" xfId="0" applyAlignment="1" applyBorder="1" applyFont="1">
      <alignment horizontal="center" vertical="bottom"/>
    </xf>
    <xf borderId="1" fillId="0" fontId="23" numFmtId="10" xfId="0" applyAlignment="1" applyBorder="1" applyFont="1" applyNumberFormat="1">
      <alignment horizontal="center" vertical="bottom"/>
    </xf>
    <xf borderId="1" fillId="0" fontId="23" numFmtId="0" xfId="0" applyAlignment="1" applyBorder="1" applyFont="1">
      <alignment horizontal="center" vertical="bottom"/>
    </xf>
    <xf borderId="1" fillId="0" fontId="22" numFmtId="0" xfId="0" applyAlignment="1" applyBorder="1" applyFont="1">
      <alignment horizontal="center" readingOrder="0" vertical="bottom"/>
    </xf>
    <xf borderId="1" fillId="0" fontId="13" numFmtId="10" xfId="0" applyAlignment="1" applyBorder="1" applyFont="1" applyNumberFormat="1">
      <alignment horizontal="center"/>
    </xf>
    <xf borderId="1" fillId="0" fontId="13" numFmtId="0" xfId="0" applyAlignment="1" applyBorder="1" applyFont="1">
      <alignment horizontal="center"/>
    </xf>
    <xf borderId="1" fillId="0" fontId="4" numFmtId="0" xfId="0" applyAlignment="1" applyBorder="1" applyFont="1">
      <alignment horizontal="center" readingOrder="0" shrinkToFit="0" vertical="bottom" wrapText="0"/>
    </xf>
    <xf borderId="0" fillId="3" fontId="1" numFmtId="0" xfId="0" applyAlignment="1" applyFont="1">
      <alignment horizontal="center" shrinkToFit="0" vertical="center" wrapText="1"/>
    </xf>
    <xf borderId="0" fillId="3" fontId="20" numFmtId="0" xfId="0" applyAlignment="1" applyFont="1">
      <alignment horizontal="center" readingOrder="0"/>
    </xf>
    <xf borderId="0" fillId="0" fontId="13" numFmtId="0" xfId="0" applyFont="1"/>
    <xf borderId="1" fillId="14" fontId="20" numFmtId="0" xfId="0" applyAlignment="1" applyBorder="1" applyFill="1" applyFont="1">
      <alignment horizontal="center" readingOrder="0"/>
    </xf>
    <xf borderId="1" fillId="0" fontId="13" numFmtId="0" xfId="0" applyBorder="1" applyFont="1"/>
    <xf borderId="1" fillId="0" fontId="13" numFmtId="0" xfId="0" applyAlignment="1" applyBorder="1" applyFont="1">
      <alignment horizontal="center" readingOrder="0"/>
    </xf>
    <xf borderId="0" fillId="0" fontId="20" numFmtId="0" xfId="0" applyAlignment="1" applyFont="1">
      <alignment readingOrder="0"/>
    </xf>
    <xf borderId="0" fillId="0" fontId="20" numFmtId="10" xfId="0" applyFont="1" applyNumberFormat="1"/>
    <xf borderId="0" fillId="2" fontId="1" numFmtId="0" xfId="0" applyAlignment="1" applyFont="1">
      <alignment horizontal="center" shrinkToFit="0" vertical="center" wrapText="1"/>
    </xf>
    <xf borderId="0" fillId="0" fontId="1" numFmtId="0" xfId="0" applyAlignment="1" applyFont="1">
      <alignment horizontal="left" readingOrder="0"/>
    </xf>
    <xf borderId="0" fillId="0" fontId="1" numFmtId="0" xfId="0" applyAlignment="1" applyFont="1">
      <alignment horizontal="left" readingOrder="0" shrinkToFit="0" vertical="center" wrapText="1"/>
    </xf>
    <xf borderId="0" fillId="0" fontId="4" numFmtId="0" xfId="0" applyAlignment="1" applyFont="1">
      <alignment horizontal="right" readingOrder="0" shrinkToFit="0" vertical="bottom" wrapText="0"/>
    </xf>
    <xf borderId="0" fillId="3" fontId="13" numFmtId="0" xfId="0" applyAlignment="1" applyFont="1">
      <alignment readingOrder="0"/>
    </xf>
    <xf borderId="0" fillId="2" fontId="13" numFmtId="0" xfId="0" applyAlignment="1" applyFont="1">
      <alignment readingOrder="0"/>
    </xf>
    <xf borderId="0" fillId="0" fontId="3" numFmtId="0" xfId="0" applyAlignment="1" applyFont="1">
      <alignment shrinkToFit="0" vertical="center" wrapText="0"/>
    </xf>
    <xf borderId="0" fillId="0" fontId="3" numFmtId="0" xfId="0" applyAlignment="1" applyFont="1">
      <alignment horizontal="right"/>
    </xf>
    <xf borderId="0" fillId="0" fontId="3" numFmtId="10" xfId="0" applyAlignment="1" applyFont="1" applyNumberFormat="1">
      <alignment horizontal="right"/>
    </xf>
    <xf borderId="0" fillId="3" fontId="24" numFmtId="0" xfId="0" applyAlignment="1" applyFont="1">
      <alignment readingOrder="0"/>
    </xf>
    <xf borderId="0" fillId="3" fontId="1" numFmtId="0" xfId="0" applyAlignment="1" applyFont="1">
      <alignment readingOrder="0" shrinkToFit="0" vertical="center" wrapText="0"/>
    </xf>
    <xf borderId="0" fillId="3" fontId="1" numFmtId="0" xfId="0" applyAlignment="1" applyFont="1">
      <alignment readingOrder="0"/>
    </xf>
    <xf borderId="0" fillId="0" fontId="4" numFmtId="10" xfId="0" applyAlignment="1" applyFont="1" applyNumberFormat="1">
      <alignment horizontal="right" readingOrder="0" shrinkToFit="0" vertical="bottom" wrapText="0"/>
    </xf>
    <xf borderId="0" fillId="3" fontId="1" numFmtId="0" xfId="0" applyAlignment="1" applyFont="1">
      <alignment horizontal="center" readingOrder="0"/>
    </xf>
    <xf borderId="0" fillId="0" fontId="13" numFmtId="10" xfId="0" applyAlignment="1" applyFont="1" applyNumberFormat="1">
      <alignment readingOrder="0"/>
    </xf>
    <xf borderId="1" fillId="15" fontId="1" numFmtId="0" xfId="0" applyAlignment="1" applyBorder="1" applyFill="1" applyFont="1">
      <alignment horizontal="center" shrinkToFit="0" vertical="center" wrapText="1"/>
    </xf>
    <xf borderId="1" fillId="15" fontId="20" numFmtId="0" xfId="0" applyAlignment="1" applyBorder="1" applyFont="1">
      <alignment horizontal="center" readingOrder="0"/>
    </xf>
    <xf borderId="1" fillId="16" fontId="1" numFmtId="0" xfId="0" applyAlignment="1" applyBorder="1" applyFill="1" applyFont="1">
      <alignment readingOrder="0"/>
    </xf>
    <xf borderId="1" fillId="0" fontId="13" numFmtId="0" xfId="0" applyBorder="1" applyFont="1"/>
    <xf borderId="1" fillId="0" fontId="13" numFmtId="10" xfId="0" applyBorder="1" applyFont="1" applyNumberFormat="1"/>
    <xf borderId="1" fillId="15" fontId="1" numFmtId="0" xfId="0" applyAlignment="1" applyBorder="1" applyFont="1">
      <alignment readingOrder="0"/>
    </xf>
    <xf borderId="1" fillId="15" fontId="20" numFmtId="0" xfId="0" applyBorder="1" applyFont="1"/>
    <xf borderId="1" fillId="15" fontId="20" numFmtId="10" xfId="0" applyBorder="1" applyFont="1" applyNumberFormat="1"/>
    <xf borderId="0" fillId="0" fontId="13" numFmtId="0" xfId="0" applyAlignment="1" applyFont="1">
      <alignment horizontal="center" readingOrder="0"/>
    </xf>
    <xf borderId="0" fillId="0" fontId="13" numFmtId="49" xfId="0" applyAlignment="1" applyFont="1" applyNumberFormat="1">
      <alignment readingOrder="0"/>
    </xf>
    <xf borderId="1" fillId="10" fontId="3" numFmtId="0" xfId="0" applyAlignment="1" applyBorder="1" applyFont="1">
      <alignment horizontal="center" readingOrder="0"/>
    </xf>
    <xf borderId="1" fillId="10" fontId="4" numFmtId="0" xfId="0" applyAlignment="1" applyBorder="1" applyFont="1">
      <alignment horizontal="center" shrinkToFit="0" vertical="center" wrapText="0"/>
    </xf>
    <xf borderId="0" fillId="10" fontId="13" numFmtId="0" xfId="0" applyAlignment="1" applyFont="1">
      <alignment readingOrder="0"/>
    </xf>
    <xf borderId="0" fillId="17" fontId="13" numFmtId="0" xfId="0" applyAlignment="1" applyFill="1" applyFont="1">
      <alignment readingOrder="0"/>
    </xf>
    <xf borderId="1" fillId="6" fontId="3" numFmtId="0" xfId="0" applyAlignment="1" applyBorder="1" applyFont="1">
      <alignment horizontal="center" readingOrder="0"/>
    </xf>
    <xf borderId="1" fillId="6" fontId="4" numFmtId="0" xfId="0" applyAlignment="1" applyBorder="1" applyFont="1">
      <alignment horizontal="center" shrinkToFit="0" vertical="center" wrapText="0"/>
    </xf>
    <xf borderId="0" fillId="10" fontId="13" numFmtId="0" xfId="0" applyFont="1"/>
    <xf borderId="1" fillId="12" fontId="3" numFmtId="0" xfId="0" applyAlignment="1" applyBorder="1" applyFont="1">
      <alignment horizontal="center" readingOrder="0"/>
    </xf>
    <xf borderId="1" fillId="12" fontId="4" numFmtId="0" xfId="0" applyAlignment="1" applyBorder="1" applyFont="1">
      <alignment horizontal="center" shrinkToFit="0" vertical="center" wrapText="0"/>
    </xf>
    <xf borderId="1" fillId="11" fontId="3" numFmtId="0" xfId="0" applyAlignment="1" applyBorder="1" applyFont="1">
      <alignment horizontal="center" readingOrder="0"/>
    </xf>
    <xf borderId="1" fillId="11" fontId="4" numFmtId="0" xfId="0" applyAlignment="1" applyBorder="1" applyFont="1">
      <alignment horizontal="center" shrinkToFit="0" vertical="center" wrapText="0"/>
    </xf>
    <xf borderId="0" fillId="10" fontId="13" numFmtId="10" xfId="0" applyFont="1" applyNumberFormat="1"/>
    <xf borderId="1" fillId="17" fontId="3" numFmtId="0" xfId="0" applyAlignment="1" applyBorder="1" applyFont="1">
      <alignment horizontal="center" readingOrder="0"/>
    </xf>
    <xf borderId="1" fillId="17" fontId="4" numFmtId="0" xfId="0" applyAlignment="1" applyBorder="1" applyFont="1">
      <alignment horizontal="center" shrinkToFit="0" vertical="center" wrapText="0"/>
    </xf>
    <xf borderId="1" fillId="18" fontId="3" numFmtId="0" xfId="0" applyAlignment="1" applyBorder="1" applyFill="1" applyFont="1">
      <alignment horizontal="center"/>
    </xf>
    <xf borderId="1" fillId="18" fontId="4" numFmtId="0" xfId="0" applyAlignment="1" applyBorder="1" applyFont="1">
      <alignment horizontal="center" shrinkToFit="0" vertical="center" wrapText="0"/>
    </xf>
    <xf borderId="0" fillId="2" fontId="22" numFmtId="0" xfId="0" applyAlignment="1" applyFont="1">
      <alignment horizontal="center" vertical="bottom"/>
    </xf>
    <xf borderId="0" fillId="3" fontId="1" numFmtId="0" xfId="0" applyAlignment="1" applyFont="1">
      <alignment horizontal="center" shrinkToFit="0" wrapText="1"/>
    </xf>
    <xf borderId="0" fillId="3" fontId="20" numFmtId="10" xfId="0" applyAlignment="1" applyFont="1" applyNumberFormat="1">
      <alignment horizontal="center" readingOrder="0"/>
    </xf>
    <xf borderId="0" fillId="2" fontId="20" numFmtId="0" xfId="0" applyAlignment="1" applyFont="1">
      <alignment horizontal="center" readingOrder="0"/>
    </xf>
    <xf borderId="0" fillId="0" fontId="25" numFmtId="0" xfId="0" applyAlignment="1" applyFont="1">
      <alignment horizontal="right" readingOrder="0" shrinkToFit="0" vertical="bottom" wrapText="0"/>
    </xf>
    <xf borderId="0" fillId="0" fontId="25" numFmtId="10" xfId="0" applyAlignment="1" applyFont="1" applyNumberFormat="1">
      <alignment horizontal="right" readingOrder="0" shrinkToFit="0" vertical="bottom" wrapText="0"/>
    </xf>
    <xf borderId="1" fillId="13" fontId="22" numFmtId="0" xfId="0" applyAlignment="1" applyBorder="1" applyFont="1">
      <alignment horizontal="center" readingOrder="0" vertical="bottom"/>
    </xf>
    <xf borderId="0" fillId="0" fontId="20" numFmtId="0" xfId="0" applyAlignment="1" applyFont="1">
      <alignment horizontal="center" readingOrder="0"/>
    </xf>
    <xf borderId="1" fillId="0" fontId="23" numFmtId="4" xfId="0" applyAlignment="1" applyBorder="1" applyFont="1" applyNumberFormat="1">
      <alignment horizontal="center" readingOrder="0" vertical="bottom"/>
    </xf>
    <xf borderId="1" fillId="0" fontId="23" numFmtId="3" xfId="0" applyAlignment="1" applyBorder="1" applyFont="1" applyNumberFormat="1">
      <alignment horizontal="center" vertical="bottom"/>
    </xf>
    <xf borderId="0" fillId="0" fontId="23" numFmtId="0" xfId="0" applyAlignment="1" applyFont="1">
      <alignment horizontal="center" vertical="bottom"/>
    </xf>
    <xf borderId="0" fillId="0" fontId="13" numFmtId="4" xfId="0" applyAlignment="1" applyFont="1" applyNumberFormat="1">
      <alignment readingOrder="0"/>
    </xf>
    <xf borderId="0" fillId="0" fontId="13" numFmtId="3" xfId="0" applyFont="1" applyNumberFormat="1"/>
    <xf borderId="0" fillId="0" fontId="1" numFmtId="0" xfId="0" applyAlignment="1" applyFont="1">
      <alignment readingOrder="0" shrinkToFit="0" vertical="center" wrapText="0"/>
    </xf>
    <xf borderId="0" fillId="19" fontId="26" numFmtId="0" xfId="0" applyAlignment="1" applyFill="1" applyFont="1">
      <alignment horizontal="center" readingOrder="0" shrinkToFit="0" vertical="center" wrapText="0"/>
    </xf>
    <xf borderId="0" fillId="20" fontId="2" numFmtId="0" xfId="0" applyAlignment="1" applyFill="1" applyFont="1">
      <alignment horizontal="center" readingOrder="0" shrinkToFit="0" vertical="center" wrapText="1"/>
    </xf>
    <xf borderId="0" fillId="20" fontId="2" numFmtId="0" xfId="0" applyAlignment="1" applyFont="1">
      <alignment horizontal="center" readingOrder="0" shrinkToFit="0" vertical="center" wrapText="0"/>
    </xf>
    <xf borderId="0" fillId="9" fontId="2" numFmtId="0" xfId="0" applyAlignment="1" applyFont="1">
      <alignment horizontal="center" readingOrder="0" vertical="center"/>
    </xf>
    <xf borderId="0" fillId="9" fontId="2" numFmtId="0" xfId="0" applyAlignment="1" applyFont="1">
      <alignment horizontal="center" shrinkToFit="0" vertical="center" wrapText="1"/>
    </xf>
    <xf borderId="0" fillId="9" fontId="2" numFmtId="0" xfId="0" applyAlignment="1" applyFont="1">
      <alignment horizontal="center" readingOrder="0" shrinkToFit="0" vertical="center" wrapText="1"/>
    </xf>
    <xf borderId="0" fillId="9" fontId="2" numFmtId="0" xfId="0" applyAlignment="1" applyFont="1">
      <alignment horizontal="center" readingOrder="0" shrinkToFit="0" vertical="center" wrapText="0"/>
    </xf>
    <xf borderId="0" fillId="9" fontId="2" numFmtId="0" xfId="0" applyAlignment="1" applyFont="1">
      <alignment horizontal="center" readingOrder="0" shrinkToFit="0" vertical="center" wrapText="0"/>
    </xf>
    <xf borderId="0" fillId="9" fontId="2" numFmtId="0" xfId="0" applyAlignment="1" applyFont="1">
      <alignment horizontal="center" vertical="center"/>
    </xf>
    <xf borderId="0" fillId="0" fontId="3" numFmtId="0" xfId="0" applyAlignment="1" applyFont="1">
      <alignment horizontal="center"/>
    </xf>
    <xf borderId="0" fillId="0" fontId="27" numFmtId="0" xfId="0" applyAlignment="1" applyFont="1">
      <alignment horizontal="left" shrinkToFit="0" wrapText="0"/>
    </xf>
    <xf borderId="0" fillId="0" fontId="27" numFmtId="0" xfId="0" applyAlignment="1" applyFont="1">
      <alignment horizontal="center"/>
    </xf>
    <xf borderId="0" fillId="0" fontId="28" numFmtId="0" xfId="0" applyAlignment="1" applyFont="1">
      <alignment horizontal="center" readingOrder="0"/>
    </xf>
    <xf borderId="0" fillId="0" fontId="28" numFmtId="0" xfId="0" applyAlignment="1" applyFont="1">
      <alignment horizontal="center"/>
    </xf>
    <xf borderId="0" fillId="0" fontId="28" numFmtId="164" xfId="0" applyAlignment="1" applyFont="1" applyNumberFormat="1">
      <alignment horizontal="center"/>
    </xf>
    <xf borderId="0" fillId="0" fontId="3" numFmtId="0" xfId="0" applyAlignment="1" applyFont="1">
      <alignment horizontal="center" readingOrder="0"/>
    </xf>
    <xf borderId="0" fillId="0" fontId="27" numFmtId="0" xfId="0" applyAlignment="1" applyFont="1">
      <alignment horizontal="left" readingOrder="0" shrinkToFit="0" wrapText="0"/>
    </xf>
    <xf borderId="0" fillId="0" fontId="28" numFmtId="0" xfId="0" applyAlignment="1" applyFont="1">
      <alignment horizontal="left" readingOrder="0" shrinkToFit="0" wrapText="0"/>
    </xf>
    <xf borderId="0" fillId="0" fontId="29" numFmtId="0" xfId="0" applyAlignment="1" applyFont="1">
      <alignment horizontal="center"/>
    </xf>
    <xf borderId="0" fillId="0" fontId="30" numFmtId="0" xfId="0" applyAlignment="1" applyFont="1">
      <alignment horizontal="center"/>
    </xf>
    <xf borderId="0" fillId="0" fontId="3" numFmtId="165" xfId="0" applyAlignment="1" applyFont="1" applyNumberFormat="1">
      <alignment horizontal="center"/>
    </xf>
    <xf borderId="0" fillId="0" fontId="3" numFmtId="0" xfId="0" applyAlignment="1" applyFont="1">
      <alignment horizontal="left"/>
    </xf>
    <xf borderId="0" fillId="0" fontId="31" numFmtId="0" xfId="0" applyAlignment="1" applyFont="1">
      <alignment horizontal="left" shrinkToFit="0" wrapText="0"/>
    </xf>
    <xf borderId="0" fillId="0" fontId="32" numFmtId="0" xfId="0" applyAlignment="1" applyFont="1">
      <alignment horizontal="left" readingOrder="0" shrinkToFit="0" wrapText="0"/>
    </xf>
    <xf borderId="0" fillId="0" fontId="28" numFmtId="0" xfId="0" applyAlignment="1" applyFont="1">
      <alignment horizontal="center" shrinkToFit="0" wrapText="0"/>
    </xf>
    <xf borderId="0" fillId="0" fontId="33" numFmtId="0" xfId="0" applyAlignment="1" applyFont="1">
      <alignment shrinkToFit="0" wrapText="0"/>
    </xf>
    <xf borderId="0" fillId="0" fontId="13" numFmtId="0" xfId="0" applyAlignment="1" applyFont="1">
      <alignment horizontal="center"/>
    </xf>
    <xf borderId="0" fillId="0" fontId="27" numFmtId="0" xfId="0" applyAlignment="1" applyFont="1">
      <alignment horizontal="left"/>
    </xf>
    <xf borderId="0" fillId="0" fontId="34" numFmtId="0" xfId="0" applyAlignment="1" applyFont="1">
      <alignment horizontal="center" shrinkToFit="0" wrapText="0"/>
    </xf>
    <xf borderId="0" fillId="0" fontId="35" numFmtId="0" xfId="0" applyAlignment="1" applyFont="1">
      <alignment horizontal="center" readingOrder="0" shrinkToFit="0" wrapText="0"/>
    </xf>
    <xf borderId="0" fillId="0" fontId="36" numFmtId="0" xfId="0" applyAlignment="1" applyFont="1">
      <alignment horizontal="center" readingOrder="0"/>
    </xf>
    <xf borderId="0" fillId="0" fontId="3" numFmtId="0" xfId="0" applyAlignment="1" applyFont="1">
      <alignment horizontal="left" shrinkToFit="0" wrapText="0"/>
    </xf>
    <xf borderId="0" fillId="0" fontId="28" numFmtId="165" xfId="0" applyAlignment="1" applyFont="1" applyNumberFormat="1">
      <alignment horizontal="center"/>
    </xf>
    <xf borderId="0" fillId="0" fontId="28" numFmtId="164" xfId="0" applyAlignment="1" applyFont="1" applyNumberFormat="1">
      <alignment horizontal="center" readingOrder="0"/>
    </xf>
    <xf borderId="0" fillId="0" fontId="37" numFmtId="0" xfId="0" applyAlignment="1" applyFont="1">
      <alignment horizontal="center" readingOrder="0"/>
    </xf>
    <xf borderId="0" fillId="0" fontId="3" numFmtId="0" xfId="0" applyAlignment="1" applyFont="1">
      <alignment horizontal="center" shrinkToFit="0" wrapText="0"/>
    </xf>
    <xf borderId="0" fillId="7" fontId="38" numFmtId="164" xfId="0" applyAlignment="1" applyFont="1" applyNumberFormat="1">
      <alignment horizontal="center" shrinkToFit="0" wrapText="0"/>
    </xf>
    <xf borderId="0" fillId="0" fontId="28" numFmtId="0" xfId="0" applyAlignment="1" applyFont="1">
      <alignment horizontal="center" shrinkToFit="0" wrapText="0"/>
    </xf>
    <xf borderId="0" fillId="0" fontId="39" numFmtId="0" xfId="0" applyAlignment="1" applyFont="1">
      <alignment horizontal="center" shrinkToFit="0" wrapText="0"/>
    </xf>
    <xf borderId="0" fillId="0" fontId="40" numFmtId="0" xfId="0" applyAlignment="1" applyFont="1">
      <alignment horizontal="center" shrinkToFit="0" wrapText="0"/>
    </xf>
    <xf borderId="0" fillId="0" fontId="3" numFmtId="0" xfId="0" applyAlignment="1" applyFont="1">
      <alignment horizontal="center" readingOrder="0" shrinkToFit="0" wrapText="0"/>
    </xf>
    <xf borderId="0" fillId="0" fontId="27" numFmtId="0" xfId="0" applyAlignment="1" applyFont="1">
      <alignment horizontal="left" shrinkToFit="0" wrapText="0"/>
    </xf>
    <xf borderId="0" fillId="0" fontId="28" numFmtId="0" xfId="0" applyAlignment="1" applyFont="1">
      <alignment horizontal="left" shrinkToFit="0" wrapText="0"/>
    </xf>
    <xf borderId="0" fillId="0" fontId="27" numFmtId="0" xfId="0" applyAlignment="1" applyFont="1">
      <alignment horizontal="left" readingOrder="0" shrinkToFit="0" vertical="center" wrapText="0"/>
    </xf>
    <xf borderId="0" fillId="0" fontId="28" numFmtId="0" xfId="0" applyAlignment="1" applyFont="1">
      <alignment horizontal="left" readingOrder="0" shrinkToFit="0" vertical="bottom" wrapText="0"/>
    </xf>
    <xf borderId="0" fillId="0" fontId="27" numFmtId="0" xfId="0" applyAlignment="1" applyFont="1">
      <alignment horizontal="left" readingOrder="0" shrinkToFit="0" wrapText="0"/>
    </xf>
    <xf borderId="0" fillId="19" fontId="41" numFmtId="0" xfId="0" applyAlignment="1" applyFont="1">
      <alignment horizontal="center" shrinkToFit="0" wrapText="1"/>
    </xf>
    <xf borderId="0" fillId="0" fontId="42" numFmtId="0" xfId="0" applyAlignment="1" applyFont="1">
      <alignment horizontal="center" readingOrder="0" shrinkToFit="0" wrapText="0"/>
    </xf>
    <xf borderId="0" fillId="0" fontId="43" numFmtId="0" xfId="0" applyAlignment="1" applyFont="1">
      <alignment horizontal="center" readingOrder="0" shrinkToFit="0" wrapText="0"/>
    </xf>
    <xf borderId="0" fillId="0" fontId="27" numFmtId="0" xfId="0" applyAlignment="1" applyFont="1">
      <alignment horizontal="center" readingOrder="0"/>
    </xf>
    <xf borderId="0" fillId="0" fontId="28" numFmtId="164" xfId="0" applyAlignment="1" applyFont="1" applyNumberFormat="1">
      <alignment horizontal="center" readingOrder="0"/>
    </xf>
    <xf borderId="0" fillId="0" fontId="44" numFmtId="0" xfId="0" applyAlignment="1" applyFont="1">
      <alignment horizontal="left" readingOrder="0" shrinkToFit="0" wrapText="0"/>
    </xf>
    <xf borderId="0" fillId="0" fontId="45" numFmtId="0" xfId="0" applyAlignment="1" applyFont="1">
      <alignment horizontal="left" readingOrder="0" shrinkToFit="0" wrapText="0"/>
    </xf>
    <xf borderId="0" fillId="0" fontId="46" numFmtId="0" xfId="0" applyAlignment="1" applyFont="1">
      <alignment horizontal="center"/>
    </xf>
    <xf borderId="0" fillId="0" fontId="3" numFmtId="166" xfId="0" applyAlignment="1" applyFont="1" applyNumberFormat="1">
      <alignment horizontal="center" readingOrder="0"/>
    </xf>
    <xf borderId="0" fillId="0" fontId="47" numFmtId="0" xfId="0" applyAlignment="1" applyFont="1">
      <alignment readingOrder="0" shrinkToFit="0" wrapText="0"/>
    </xf>
    <xf borderId="0" fillId="0" fontId="48" numFmtId="0" xfId="0" applyAlignment="1" applyFont="1">
      <alignment horizontal="center" readingOrder="0" vertical="center"/>
    </xf>
    <xf borderId="0" fillId="0" fontId="49" numFmtId="0" xfId="0" applyAlignment="1" applyFont="1">
      <alignment horizontal="center" readingOrder="0" shrinkToFit="0" wrapText="0"/>
    </xf>
    <xf borderId="0" fillId="0" fontId="27" numFmtId="0" xfId="0" applyAlignment="1" applyFont="1">
      <alignment horizontal="left" readingOrder="0"/>
    </xf>
    <xf borderId="0" fillId="0" fontId="27" numFmtId="0" xfId="0" applyAlignment="1" applyFont="1">
      <alignment horizontal="center" readingOrder="0" shrinkToFit="0" wrapText="0"/>
    </xf>
    <xf borderId="0" fillId="0" fontId="28" numFmtId="0" xfId="0" applyAlignment="1" applyFont="1">
      <alignment horizontal="center" readingOrder="0" shrinkToFit="0" wrapText="0"/>
    </xf>
    <xf borderId="0" fillId="0" fontId="3" numFmtId="0" xfId="0" applyAlignment="1" applyFont="1">
      <alignment horizontal="left" readingOrder="0" shrinkToFit="0" wrapText="0"/>
    </xf>
    <xf borderId="0" fillId="0" fontId="50" numFmtId="0" xfId="0" applyAlignment="1" applyFont="1">
      <alignment horizontal="left" readingOrder="0" shrinkToFit="0" wrapText="0"/>
    </xf>
    <xf borderId="0" fillId="0" fontId="51" numFmtId="0" xfId="0" applyAlignment="1" applyFont="1">
      <alignment readingOrder="0"/>
    </xf>
    <xf borderId="0" fillId="0" fontId="52" numFmtId="0" xfId="0" applyAlignment="1" applyFont="1">
      <alignment horizontal="left" readingOrder="0"/>
    </xf>
    <xf borderId="0" fillId="0" fontId="17" numFmtId="0" xfId="0" applyAlignment="1" applyFont="1">
      <alignment horizontal="center" shrinkToFit="0" wrapText="0"/>
    </xf>
    <xf borderId="0" fillId="0" fontId="17" numFmtId="0" xfId="0" applyAlignment="1" applyFont="1">
      <alignment horizontal="center"/>
    </xf>
    <xf borderId="0" fillId="0" fontId="53" numFmtId="0" xfId="0" applyAlignment="1" applyFont="1">
      <alignment horizontal="left" readingOrder="0" shrinkToFit="0" wrapText="0"/>
    </xf>
    <xf borderId="0" fillId="0" fontId="28" numFmtId="0" xfId="0" applyAlignment="1" applyFont="1">
      <alignment horizontal="left" readingOrder="0"/>
    </xf>
    <xf borderId="0" fillId="0" fontId="54" numFmtId="0" xfId="0" applyAlignment="1" applyFont="1">
      <alignment horizontal="center" readingOrder="0"/>
    </xf>
    <xf borderId="0" fillId="0" fontId="17" numFmtId="164" xfId="0" applyAlignment="1" applyFont="1" applyNumberFormat="1">
      <alignment horizontal="center" readingOrder="0"/>
    </xf>
    <xf borderId="0" fillId="0" fontId="54" numFmtId="0" xfId="0" applyAlignment="1" applyFont="1">
      <alignment horizontal="center"/>
    </xf>
    <xf borderId="0" fillId="0" fontId="17" numFmtId="164" xfId="0" applyAlignment="1" applyFont="1" applyNumberFormat="1">
      <alignment horizontal="center"/>
    </xf>
    <xf borderId="0" fillId="0" fontId="3" numFmtId="0" xfId="0" applyAlignment="1" applyFont="1">
      <alignment horizontal="center"/>
    </xf>
    <xf borderId="0" fillId="0" fontId="55" numFmtId="0" xfId="0" applyAlignment="1" applyFont="1">
      <alignment horizontal="left" shrinkToFit="0" wrapText="0"/>
    </xf>
    <xf borderId="0" fillId="0" fontId="17" numFmtId="0" xfId="0" applyAlignment="1" applyFont="1">
      <alignment horizontal="left" shrinkToFit="0" wrapText="0"/>
    </xf>
    <xf borderId="0" fillId="0" fontId="3" numFmtId="0" xfId="0" applyAlignment="1" applyFont="1">
      <alignment horizontal="left"/>
    </xf>
    <xf borderId="0" fillId="0" fontId="3" numFmtId="0" xfId="0" applyAlignment="1" applyFont="1">
      <alignment horizontal="left" readingOrder="0" shrinkToFit="0" wrapText="0"/>
    </xf>
    <xf borderId="0" fillId="0" fontId="27" numFmtId="0" xfId="0" applyAlignment="1" applyFont="1">
      <alignment horizontal="left"/>
    </xf>
    <xf borderId="0" fillId="0" fontId="27" numFmtId="0" xfId="0" applyAlignment="1" applyFont="1">
      <alignment horizontal="center"/>
    </xf>
    <xf borderId="0" fillId="0" fontId="55" numFmtId="0" xfId="0" applyAlignment="1" applyFont="1">
      <alignment horizontal="center"/>
    </xf>
    <xf borderId="0" fillId="0" fontId="13" numFmtId="164" xfId="0" applyAlignment="1" applyFont="1" applyNumberFormat="1">
      <alignment horizontal="center"/>
    </xf>
    <xf borderId="0" fillId="0" fontId="13" numFmtId="0" xfId="0" applyAlignment="1" applyFont="1">
      <alignment horizontal="left" shrinkToFit="0" wrapText="0"/>
    </xf>
    <xf borderId="0" fillId="0" fontId="3" numFmtId="0" xfId="0" applyAlignment="1" applyFont="1">
      <alignment horizontal="left" shrinkToFit="0" wrapText="0"/>
    </xf>
    <xf borderId="0" fillId="0" fontId="13" numFmtId="0" xfId="0" applyAlignment="1" applyFont="1">
      <alignment horizontal="center" shrinkToFit="0" wrapText="0"/>
    </xf>
    <xf borderId="0" fillId="8" fontId="2" numFmtId="0" xfId="0" applyAlignment="1" applyFont="1">
      <alignment horizontal="center" readingOrder="0" shrinkToFit="0" vertical="center" wrapText="0"/>
    </xf>
    <xf borderId="0" fillId="8" fontId="2" numFmtId="0" xfId="0" applyAlignment="1" applyFont="1">
      <alignment horizontal="center" shrinkToFit="0" vertical="center" wrapText="0"/>
    </xf>
    <xf borderId="0" fillId="0" fontId="2" numFmtId="0" xfId="0" applyAlignment="1" applyFont="1">
      <alignment horizontal="center" shrinkToFit="0" vertical="center" wrapText="0"/>
    </xf>
    <xf borderId="0" fillId="19" fontId="2" numFmtId="0" xfId="0" applyAlignment="1" applyFont="1">
      <alignment horizontal="left" readingOrder="0" shrinkToFit="0" vertical="center" wrapText="0"/>
    </xf>
    <xf borderId="0" fillId="19" fontId="2" numFmtId="0" xfId="0" applyAlignment="1" applyFont="1">
      <alignment readingOrder="0" shrinkToFit="0" vertical="center" wrapText="0"/>
    </xf>
    <xf borderId="0" fillId="19" fontId="2" numFmtId="0" xfId="0" applyAlignment="1" applyFont="1">
      <alignment horizontal="center" shrinkToFit="0" vertical="center" wrapText="0"/>
    </xf>
    <xf borderId="0" fillId="0" fontId="2" numFmtId="0" xfId="0" applyAlignment="1" applyFont="1">
      <alignment shrinkToFit="0" vertical="center" wrapText="0"/>
    </xf>
    <xf borderId="0" fillId="9" fontId="2" numFmtId="0" xfId="0" applyAlignment="1" applyFont="1">
      <alignment horizontal="left" readingOrder="0" shrinkToFit="0" vertical="center" wrapText="0"/>
    </xf>
    <xf borderId="0" fillId="9" fontId="2" numFmtId="0" xfId="0" applyAlignment="1" applyFont="1">
      <alignment readingOrder="0" shrinkToFit="0" vertical="center" wrapText="0"/>
    </xf>
    <xf borderId="0" fillId="9" fontId="2" numFmtId="0" xfId="0" applyAlignment="1" applyFont="1">
      <alignment horizontal="center" shrinkToFit="0" vertical="center" wrapText="0"/>
    </xf>
    <xf borderId="0" fillId="9" fontId="2" numFmtId="0" xfId="0" applyAlignment="1" applyFont="1">
      <alignment horizontal="left" readingOrder="0" shrinkToFit="0" wrapText="0"/>
    </xf>
    <xf borderId="0" fillId="19" fontId="2" numFmtId="0" xfId="0" applyAlignment="1" applyFont="1">
      <alignment horizontal="left" readingOrder="0" shrinkToFit="0" wrapText="0"/>
    </xf>
    <xf borderId="0" fillId="19" fontId="2" numFmtId="0" xfId="0" applyAlignment="1" applyFont="1">
      <alignment horizontal="center" readingOrder="0" shrinkToFit="0" vertical="center" wrapText="0"/>
    </xf>
    <xf borderId="0" fillId="9" fontId="2" numFmtId="0" xfId="0" applyAlignment="1" applyFont="1">
      <alignment horizontal="left" shrinkToFit="0" vertical="center" wrapText="0"/>
    </xf>
    <xf borderId="0" fillId="19" fontId="1" numFmtId="0" xfId="0" applyAlignment="1" applyFont="1">
      <alignment horizontal="left" readingOrder="0" shrinkToFit="0" vertical="center" wrapText="0"/>
    </xf>
    <xf borderId="0" fillId="0" fontId="2" numFmtId="0" xfId="0" applyAlignment="1" applyFont="1">
      <alignment horizontal="left" shrinkToFit="0" vertical="center" wrapText="0"/>
    </xf>
    <xf borderId="0" fillId="0" fontId="2" numFmtId="0" xfId="0" applyAlignment="1" applyFont="1">
      <alignment readingOrder="0" shrinkToFit="0" vertical="center" wrapText="0"/>
    </xf>
    <xf borderId="0" fillId="20" fontId="2" numFmtId="0" xfId="0" applyAlignment="1" applyFont="1">
      <alignment horizontal="center" shrinkToFit="0" vertical="center" wrapText="0"/>
    </xf>
    <xf borderId="0" fillId="0" fontId="3" numFmtId="0" xfId="0" applyAlignment="1" applyFont="1">
      <alignment readingOrder="0"/>
    </xf>
    <xf borderId="0" fillId="0" fontId="56" numFmtId="0" xfId="0" applyAlignment="1" applyFont="1">
      <alignment readingOrder="0"/>
    </xf>
    <xf borderId="0" fillId="0" fontId="57" numFmtId="0" xfId="0" applyAlignment="1" applyFont="1">
      <alignment readingOrder="0"/>
    </xf>
    <xf borderId="0" fillId="7" fontId="18" numFmtId="0" xfId="0" applyAlignment="1" applyFont="1">
      <alignment readingOrder="0"/>
    </xf>
    <xf borderId="0" fillId="0" fontId="58" numFmtId="0" xfId="0" applyAlignment="1" applyFont="1">
      <alignment readingOrder="0"/>
    </xf>
    <xf borderId="0" fillId="0" fontId="59" numFmtId="0" xfId="0" applyAlignment="1" applyFont="1">
      <alignment readingOrder="0"/>
    </xf>
    <xf borderId="0" fillId="0" fontId="13" numFmtId="0" xfId="0" applyAlignment="1" applyFont="1">
      <alignment horizontal="left" readingOrder="0"/>
    </xf>
    <xf borderId="0" fillId="7" fontId="9" numFmtId="0" xfId="0" applyAlignment="1" applyFont="1">
      <alignment horizontal="left" readingOrder="0"/>
    </xf>
    <xf borderId="0" fillId="0" fontId="9" numFmtId="0" xfId="0" applyAlignment="1" applyFont="1">
      <alignment horizontal="left" readingOrder="0"/>
    </xf>
    <xf borderId="0" fillId="0" fontId="60" numFmtId="0" xfId="0" applyAlignment="1" applyFont="1">
      <alignment readingOrder="0"/>
    </xf>
    <xf borderId="0" fillId="0" fontId="61" numFmtId="0" xfId="0" applyAlignment="1" applyFont="1">
      <alignment readingOrder="0"/>
    </xf>
    <xf borderId="0" fillId="0" fontId="60" numFmtId="0" xfId="0" applyFont="1"/>
    <xf borderId="0" fillId="7" fontId="4" numFmtId="0" xfId="0" applyAlignment="1" applyFont="1">
      <alignment horizontal="left" readingOrder="0"/>
    </xf>
    <xf borderId="0" fillId="0" fontId="3" numFmtId="0" xfId="0" applyAlignment="1" applyFont="1">
      <alignment horizontal="left" readingOrder="0" shrinkToFit="0" wrapText="0"/>
    </xf>
    <xf borderId="0" fillId="0" fontId="4" numFmtId="0" xfId="0" applyAlignment="1" applyFont="1">
      <alignment horizontal="left" readingOrder="0"/>
    </xf>
    <xf borderId="0" fillId="0" fontId="3" numFmtId="0" xfId="0" applyAlignment="1" applyFont="1">
      <alignment readingOrder="0" shrinkToFit="0" wrapText="0"/>
    </xf>
    <xf borderId="0" fillId="0" fontId="6" numFmtId="0" xfId="0" applyAlignment="1" applyFont="1">
      <alignment readingOrder="0"/>
    </xf>
    <xf borderId="0" fillId="0" fontId="62" numFmtId="0" xfId="0" applyAlignment="1" applyFont="1">
      <alignment readingOrder="0"/>
    </xf>
    <xf borderId="0" fillId="0" fontId="2" numFmtId="0" xfId="0" applyAlignment="1" applyFont="1">
      <alignment horizontal="center" readingOrder="0" shrinkToFit="0" vertical="center" wrapText="0"/>
    </xf>
    <xf borderId="0" fillId="21" fontId="2" numFmtId="0" xfId="0" applyAlignment="1" applyFill="1" applyFont="1">
      <alignment horizontal="left" shrinkToFit="0" vertical="center" wrapText="0"/>
    </xf>
    <xf borderId="0" fillId="21" fontId="2" numFmtId="0" xfId="0" applyAlignment="1" applyFont="1">
      <alignment horizontal="left" readingOrder="0" shrinkToFit="0" vertical="center" wrapText="0"/>
    </xf>
    <xf borderId="0" fillId="22" fontId="2" numFmtId="0" xfId="0" applyAlignment="1" applyFill="1" applyFont="1">
      <alignment horizontal="left" readingOrder="0" shrinkToFit="0" vertical="center" wrapText="0"/>
    </xf>
    <xf borderId="0" fillId="19" fontId="2" numFmtId="0" xfId="0" applyAlignment="1" applyFont="1">
      <alignment horizontal="center" shrinkToFit="0" vertical="center" wrapText="1"/>
    </xf>
    <xf borderId="0" fillId="19" fontId="2" numFmtId="0" xfId="0" applyAlignment="1" applyFont="1">
      <alignment horizontal="center" readingOrder="0" shrinkToFit="0" vertical="center" wrapText="1"/>
    </xf>
    <xf borderId="0" fillId="9" fontId="2" numFmtId="0" xfId="0" applyAlignment="1" applyFont="1">
      <alignment horizontal="center" shrinkToFit="0" wrapText="1"/>
    </xf>
    <xf borderId="0" fillId="9" fontId="2" numFmtId="0" xfId="0" applyAlignment="1" applyFont="1">
      <alignment horizontal="center" readingOrder="0" shrinkToFit="0" wrapText="1"/>
    </xf>
    <xf borderId="0" fillId="4" fontId="1" numFmtId="0" xfId="0" applyAlignment="1" applyFont="1">
      <alignment horizontal="center" shrinkToFit="0" wrapText="1"/>
    </xf>
    <xf borderId="0" fillId="2" fontId="1" numFmtId="0" xfId="0" applyAlignment="1" applyFont="1">
      <alignment horizontal="center" shrinkToFit="0" wrapText="1"/>
    </xf>
    <xf borderId="0" fillId="0" fontId="3" numFmtId="0" xfId="0" applyAlignment="1" applyFont="1">
      <alignment horizontal="right"/>
    </xf>
    <xf borderId="0" fillId="9" fontId="20" numFmtId="0" xfId="0" applyAlignment="1" applyFont="1">
      <alignment readingOrder="0"/>
    </xf>
    <xf borderId="0" fillId="0" fontId="63" numFmtId="0" xfId="0" applyAlignment="1" applyFont="1">
      <alignment shrinkToFit="0" wrapText="0"/>
    </xf>
    <xf borderId="0" fillId="0" fontId="63" numFmtId="0" xfId="0" applyFont="1"/>
    <xf borderId="0" fillId="0" fontId="63" numFmtId="0" xfId="0" applyAlignment="1" applyFont="1">
      <alignment horizontal="center" vertical="center"/>
    </xf>
    <xf borderId="0" fillId="0" fontId="17" numFmtId="0" xfId="0" applyAlignment="1" applyFont="1">
      <alignment shrinkToFit="0" wrapText="0"/>
    </xf>
    <xf borderId="0" fillId="9" fontId="17" numFmtId="0" xfId="0" applyAlignment="1" applyFont="1">
      <alignment shrinkToFit="0" wrapText="0"/>
    </xf>
    <xf borderId="0" fillId="9" fontId="17" numFmtId="0" xfId="0" applyAlignment="1" applyFont="1">
      <alignment horizontal="center" vertical="center"/>
    </xf>
    <xf borderId="0" fillId="9" fontId="17" numFmtId="0" xfId="0" applyFont="1"/>
    <xf borderId="0" fillId="0" fontId="17" numFmtId="0" xfId="0" applyAlignment="1" applyFont="1">
      <alignment horizontal="center" vertical="center"/>
    </xf>
    <xf borderId="0" fillId="11" fontId="17" numFmtId="0" xfId="0" applyAlignment="1" applyFont="1">
      <alignment horizontal="center" vertical="center"/>
    </xf>
    <xf borderId="2" fillId="0" fontId="64" numFmtId="0" xfId="0" applyAlignment="1" applyBorder="1" applyFont="1">
      <alignment readingOrder="0" vertical="bottom"/>
    </xf>
    <xf borderId="0" fillId="0" fontId="65" numFmtId="0" xfId="0" applyFont="1"/>
    <xf borderId="0" fillId="0" fontId="66" numFmtId="0" xfId="0" applyFont="1"/>
    <xf borderId="0" fillId="11" fontId="17" numFmtId="0" xfId="0" applyAlignment="1" applyFont="1">
      <alignment horizontal="center" readingOrder="0" vertical="center"/>
    </xf>
    <xf borderId="1" fillId="23" fontId="67" numFmtId="0" xfId="0" applyAlignment="1" applyBorder="1" applyFill="1" applyFont="1">
      <alignment horizontal="center" shrinkToFit="0" vertical="bottom" wrapText="0"/>
    </xf>
    <xf borderId="1" fillId="24" fontId="68" numFmtId="0" xfId="0" applyAlignment="1" applyBorder="1" applyFill="1" applyFont="1">
      <alignment horizontal="center" shrinkToFit="0" wrapText="0"/>
    </xf>
    <xf borderId="3" fillId="24" fontId="68" numFmtId="0" xfId="0" applyAlignment="1" applyBorder="1" applyFont="1">
      <alignment horizontal="center" shrinkToFit="0" wrapText="0"/>
    </xf>
    <xf borderId="3" fillId="25" fontId="68" numFmtId="0" xfId="0" applyAlignment="1" applyBorder="1" applyFill="1" applyFont="1">
      <alignment horizontal="center" shrinkToFit="0" wrapText="0"/>
    </xf>
    <xf borderId="3" fillId="7" fontId="69" numFmtId="0" xfId="0" applyAlignment="1" applyBorder="1" applyFont="1">
      <alignment horizontal="left" shrinkToFit="0" wrapText="0"/>
    </xf>
    <xf borderId="3" fillId="7" fontId="70" numFmtId="0" xfId="0" applyAlignment="1" applyBorder="1" applyFont="1">
      <alignment horizontal="center" shrinkToFit="0" wrapText="0"/>
    </xf>
    <xf borderId="3" fillId="7" fontId="68" numFmtId="0" xfId="0" applyAlignment="1" applyBorder="1" applyFont="1">
      <alignment horizontal="left" shrinkToFit="0" wrapText="0"/>
    </xf>
    <xf borderId="3" fillId="7" fontId="68" numFmtId="4" xfId="0" applyAlignment="1" applyBorder="1" applyFont="1" applyNumberFormat="1">
      <alignment horizontal="right" shrinkToFit="0" wrapText="0"/>
    </xf>
    <xf borderId="3" fillId="7" fontId="68" numFmtId="0" xfId="0" applyAlignment="1" applyBorder="1" applyFont="1">
      <alignment horizontal="right" shrinkToFit="0" wrapText="0"/>
    </xf>
    <xf borderId="1" fillId="7" fontId="68" numFmtId="4" xfId="0" applyAlignment="1" applyBorder="1" applyFont="1" applyNumberFormat="1">
      <alignment horizontal="right" shrinkToFit="0" wrapText="0"/>
    </xf>
    <xf borderId="0" fillId="0" fontId="68" numFmtId="0" xfId="0" applyAlignment="1" applyFont="1">
      <alignment horizontal="right" shrinkToFit="0" wrapText="0"/>
    </xf>
    <xf borderId="3" fillId="10" fontId="69" numFmtId="0" xfId="0" applyAlignment="1" applyBorder="1" applyFont="1">
      <alignment horizontal="left" shrinkToFit="0" wrapText="0"/>
    </xf>
    <xf borderId="1" fillId="7" fontId="68" numFmtId="0" xfId="0" applyAlignment="1" applyBorder="1" applyFont="1">
      <alignment horizontal="right" shrinkToFit="0" wrapText="0"/>
    </xf>
    <xf borderId="3" fillId="11" fontId="69" numFmtId="0" xfId="0" applyAlignment="1" applyBorder="1" applyFont="1">
      <alignment horizontal="left" shrinkToFit="0" wrapText="0"/>
    </xf>
    <xf borderId="3" fillId="7" fontId="71" numFmtId="0" xfId="0" applyAlignment="1" applyBorder="1" applyFont="1">
      <alignment horizontal="left" shrinkToFit="0" wrapText="0"/>
    </xf>
    <xf borderId="0" fillId="7" fontId="25" numFmtId="0" xfId="0" applyAlignment="1" applyFont="1">
      <alignment shrinkToFit="0" vertical="bottom" wrapText="0"/>
    </xf>
    <xf borderId="0" fillId="7" fontId="25" numFmtId="0" xfId="0" applyAlignment="1" applyFont="1">
      <alignment horizontal="center" shrinkToFit="0" vertical="bottom" wrapText="0"/>
    </xf>
    <xf borderId="0" fillId="0" fontId="25" numFmtId="0" xfId="0" applyAlignment="1" applyFont="1">
      <alignment shrinkToFit="0" vertical="bottom" wrapText="0"/>
    </xf>
    <xf borderId="0" fillId="26" fontId="72" numFmtId="0" xfId="0" applyAlignment="1" applyFill="1" applyFont="1">
      <alignment horizontal="center" shrinkToFit="0" wrapText="0"/>
    </xf>
    <xf borderId="4" fillId="26" fontId="72" numFmtId="0" xfId="0" applyAlignment="1" applyBorder="1" applyFont="1">
      <alignment horizontal="center" shrinkToFit="0" wrapText="0"/>
    </xf>
    <xf borderId="5" fillId="26" fontId="73" numFmtId="0" xfId="0" applyAlignment="1" applyBorder="1" applyFont="1">
      <alignment horizontal="center" shrinkToFit="0" wrapText="0"/>
    </xf>
    <xf borderId="6" fillId="0" fontId="74" numFmtId="0" xfId="0" applyBorder="1" applyFont="1"/>
    <xf borderId="0" fillId="0" fontId="75" numFmtId="0" xfId="0" applyAlignment="1" applyFont="1">
      <alignment shrinkToFit="0" vertical="bottom" wrapText="0"/>
    </xf>
    <xf borderId="7" fillId="26" fontId="72" numFmtId="0" xfId="0" applyAlignment="1" applyBorder="1" applyFont="1">
      <alignment horizontal="center" shrinkToFit="0" wrapText="0"/>
    </xf>
    <xf borderId="3" fillId="26" fontId="73" numFmtId="0" xfId="0" applyAlignment="1" applyBorder="1" applyFont="1">
      <alignment horizontal="center" shrinkToFit="0" wrapText="0"/>
    </xf>
    <xf borderId="8" fillId="26" fontId="73" numFmtId="0" xfId="0" applyAlignment="1" applyBorder="1" applyFont="1">
      <alignment horizontal="center" shrinkToFit="0" wrapText="0"/>
    </xf>
    <xf borderId="1" fillId="0" fontId="25" numFmtId="0" xfId="0" applyAlignment="1" applyBorder="1" applyFont="1">
      <alignment shrinkToFit="0" vertical="bottom" wrapText="0"/>
    </xf>
    <xf borderId="1" fillId="0" fontId="76" numFmtId="0" xfId="0" applyAlignment="1" applyBorder="1" applyFont="1">
      <alignment shrinkToFit="0" vertical="bottom" wrapText="0"/>
    </xf>
    <xf borderId="1" fillId="0" fontId="25" numFmtId="0" xfId="0" applyAlignment="1" applyBorder="1" applyFont="1">
      <alignment horizontal="center" shrinkToFit="0" vertical="bottom" wrapText="0"/>
    </xf>
    <xf borderId="1" fillId="11" fontId="25" numFmtId="0" xfId="0" applyAlignment="1" applyBorder="1" applyFont="1">
      <alignment shrinkToFit="0" vertical="bottom" wrapText="0"/>
    </xf>
    <xf borderId="1" fillId="0" fontId="17" numFmtId="0" xfId="0" applyAlignment="1" applyBorder="1" applyFont="1">
      <alignment horizontal="center" shrinkToFit="0" vertical="bottom" wrapText="0"/>
    </xf>
    <xf borderId="1" fillId="0" fontId="63" numFmtId="0" xfId="0" applyAlignment="1" applyBorder="1" applyFont="1">
      <alignment shrinkToFit="0" vertical="bottom" wrapText="0"/>
    </xf>
    <xf borderId="1" fillId="0" fontId="17" numFmtId="0" xfId="0" applyAlignment="1" applyBorder="1" applyFont="1">
      <alignment shrinkToFit="0" vertical="bottom" wrapText="0"/>
    </xf>
    <xf borderId="1" fillId="10" fontId="25" numFmtId="0" xfId="0" applyAlignment="1" applyBorder="1" applyFont="1">
      <alignment shrinkToFit="0" vertical="bottom" wrapText="0"/>
    </xf>
    <xf borderId="1" fillId="11" fontId="17" numFmtId="0" xfId="0" applyAlignment="1" applyBorder="1" applyFont="1">
      <alignment shrinkToFit="0" vertical="bottom" wrapText="0"/>
    </xf>
    <xf borderId="1" fillId="0" fontId="17" numFmtId="0" xfId="0" applyAlignment="1" applyBorder="1" applyFont="1">
      <alignment horizontal="left" shrinkToFit="0" vertical="bottom" wrapText="0"/>
    </xf>
    <xf borderId="1" fillId="0" fontId="25" numFmtId="0" xfId="0" applyAlignment="1" applyBorder="1" applyFont="1">
      <alignment horizontal="left" shrinkToFit="0" vertical="bottom" wrapText="0"/>
    </xf>
    <xf borderId="0" fillId="0" fontId="63" numFmtId="0" xfId="0" applyAlignment="1" applyFont="1">
      <alignment horizontal="center" shrinkToFit="0" wrapText="0"/>
    </xf>
    <xf borderId="0" fillId="0" fontId="77" numFmtId="0" xfId="0" applyAlignment="1" applyFont="1">
      <alignment horizontal="left" shrinkToFit="0" wrapText="0"/>
    </xf>
    <xf borderId="0" fillId="0" fontId="17" numFmtId="0" xfId="0" applyAlignment="1" applyFont="1">
      <alignment shrinkToFit="0" vertical="bottom" wrapText="0"/>
    </xf>
    <xf borderId="9" fillId="26" fontId="78" numFmtId="0" xfId="0" applyAlignment="1" applyBorder="1" applyFont="1">
      <alignment horizontal="center" shrinkToFit="0" wrapText="0"/>
    </xf>
    <xf borderId="10" fillId="0" fontId="74" numFmtId="0" xfId="0" applyBorder="1" applyFont="1"/>
    <xf borderId="9" fillId="0" fontId="74" numFmtId="0" xfId="0" applyBorder="1" applyFont="1"/>
    <xf borderId="11" fillId="0" fontId="74" numFmtId="0" xfId="0" applyBorder="1" applyFont="1"/>
    <xf borderId="3" fillId="0" fontId="74" numFmtId="0" xfId="0" applyBorder="1" applyFont="1"/>
    <xf borderId="8" fillId="0" fontId="74" numFmtId="0" xfId="0" applyBorder="1" applyFont="1"/>
    <xf borderId="0" fillId="0" fontId="25" numFmtId="0" xfId="0" applyAlignment="1" applyFont="1">
      <alignment horizontal="center" shrinkToFit="0" vertical="bottom" wrapText="0"/>
    </xf>
    <xf borderId="7" fillId="0" fontId="74" numFmtId="0" xfId="0" applyBorder="1" applyFont="1"/>
    <xf borderId="12" fillId="27" fontId="76" numFmtId="0" xfId="0" applyAlignment="1" applyBorder="1" applyFill="1" applyFont="1">
      <alignment shrinkToFit="0" vertical="bottom" wrapText="0"/>
    </xf>
    <xf borderId="10" fillId="27" fontId="76" numFmtId="0" xfId="0" applyAlignment="1" applyBorder="1" applyFont="1">
      <alignment shrinkToFit="0" vertical="bottom" wrapText="0"/>
    </xf>
    <xf borderId="10" fillId="27" fontId="63" numFmtId="0" xfId="0" applyAlignment="1" applyBorder="1" applyFont="1">
      <alignment shrinkToFit="0" vertical="bottom" wrapText="0"/>
    </xf>
    <xf borderId="10" fillId="27" fontId="76" numFmtId="0" xfId="0" applyAlignment="1" applyBorder="1" applyFont="1">
      <alignment horizontal="center" shrinkToFit="0" vertical="bottom" wrapText="0"/>
    </xf>
    <xf borderId="12" fillId="7" fontId="25" numFmtId="0" xfId="0" applyAlignment="1" applyBorder="1" applyFont="1">
      <alignment shrinkToFit="0" vertical="bottom" wrapText="0"/>
    </xf>
    <xf borderId="10" fillId="7" fontId="25" numFmtId="0" xfId="0" applyAlignment="1" applyBorder="1" applyFont="1">
      <alignment shrinkToFit="0" vertical="bottom" wrapText="0"/>
    </xf>
    <xf borderId="10" fillId="7" fontId="17" numFmtId="0" xfId="0" applyAlignment="1" applyBorder="1" applyFont="1">
      <alignment shrinkToFit="0" vertical="bottom" wrapText="0"/>
    </xf>
    <xf borderId="10" fillId="7" fontId="17" numFmtId="0" xfId="0" applyAlignment="1" applyBorder="1" applyFont="1">
      <alignment horizontal="center" shrinkToFit="0" vertical="bottom" wrapText="0"/>
    </xf>
    <xf borderId="0" fillId="0" fontId="79" numFmtId="0" xfId="0" applyAlignment="1" applyFont="1">
      <alignment shrinkToFit="0" vertical="bottom" wrapText="0"/>
    </xf>
    <xf borderId="10" fillId="7" fontId="25" numFmtId="0" xfId="0" applyAlignment="1" applyBorder="1" applyFont="1">
      <alignment horizontal="center" shrinkToFit="0" vertical="bottom" wrapText="0"/>
    </xf>
    <xf borderId="10" fillId="7" fontId="25" numFmtId="0" xfId="0" applyAlignment="1" applyBorder="1" applyFont="1">
      <alignment horizontal="left" shrinkToFit="0" vertical="bottom" wrapText="0"/>
    </xf>
    <xf borderId="7" fillId="7" fontId="25" numFmtId="0" xfId="0" applyAlignment="1" applyBorder="1" applyFont="1">
      <alignment shrinkToFit="0" vertical="bottom" wrapText="0"/>
    </xf>
    <xf borderId="7" fillId="7" fontId="25" numFmtId="0" xfId="0" applyAlignment="1" applyBorder="1" applyFont="1">
      <alignment horizontal="center" shrinkToFit="0" vertical="bottom" wrapText="0"/>
    </xf>
    <xf borderId="0" fillId="7" fontId="80" numFmtId="0" xfId="0" applyAlignment="1" applyFont="1">
      <alignment shrinkToFit="0" vertical="bottom" wrapText="0"/>
    </xf>
    <xf borderId="10" fillId="11" fontId="76" numFmtId="0" xfId="0" applyAlignment="1" applyBorder="1" applyFont="1">
      <alignment shrinkToFit="0" vertical="bottom" wrapText="0"/>
    </xf>
    <xf borderId="8" fillId="7" fontId="25" numFmtId="0" xfId="0" applyAlignment="1" applyBorder="1" applyFont="1">
      <alignment shrinkToFit="0" vertical="bottom" wrapText="0"/>
    </xf>
    <xf borderId="8" fillId="7" fontId="25" numFmtId="0" xfId="0" applyAlignment="1" applyBorder="1" applyFont="1">
      <alignment horizontal="center" shrinkToFit="0" vertical="bottom" wrapText="0"/>
    </xf>
    <xf borderId="10" fillId="7" fontId="63" numFmtId="0" xfId="0" applyAlignment="1" applyBorder="1" applyFont="1">
      <alignment shrinkToFit="0" vertical="bottom" wrapText="0"/>
    </xf>
    <xf borderId="12" fillId="7" fontId="76" numFmtId="0" xfId="0" applyAlignment="1" applyBorder="1" applyFont="1">
      <alignment shrinkToFit="0" vertical="bottom" wrapText="0"/>
    </xf>
    <xf borderId="12" fillId="7" fontId="17" numFmtId="0" xfId="0" applyAlignment="1" applyBorder="1" applyFont="1">
      <alignment shrinkToFit="0" vertical="bottom" wrapText="0"/>
    </xf>
    <xf borderId="10" fillId="0" fontId="17" numFmtId="0" xfId="0" applyAlignment="1" applyBorder="1" applyFont="1">
      <alignment shrinkToFit="0" vertical="bottom" wrapText="0"/>
    </xf>
    <xf borderId="10" fillId="0" fontId="17" numFmtId="0" xfId="0" applyAlignment="1" applyBorder="1" applyFont="1">
      <alignment horizontal="center" shrinkToFit="0" vertical="bottom" wrapText="0"/>
    </xf>
    <xf borderId="10" fillId="27" fontId="79" numFmtId="0" xfId="0" applyAlignment="1" applyBorder="1" applyFont="1">
      <alignment horizontal="center" shrinkToFit="0" vertical="bottom" wrapText="0"/>
    </xf>
    <xf borderId="10" fillId="0" fontId="25" numFmtId="0" xfId="0" applyAlignment="1" applyBorder="1" applyFont="1">
      <alignment horizontal="center" shrinkToFit="0" vertical="bottom" wrapText="0"/>
    </xf>
    <xf borderId="10" fillId="11" fontId="63" numFmtId="0" xfId="0" applyAlignment="1" applyBorder="1" applyFont="1">
      <alignment shrinkToFit="0" vertical="bottom" wrapText="0"/>
    </xf>
    <xf borderId="12" fillId="0" fontId="25" numFmtId="0" xfId="0" applyAlignment="1" applyBorder="1" applyFont="1">
      <alignment shrinkToFit="0" vertical="bottom" wrapText="0"/>
    </xf>
    <xf borderId="10" fillId="0" fontId="25" numFmtId="0" xfId="0" applyAlignment="1" applyBorder="1" applyFont="1">
      <alignment shrinkToFit="0" vertical="bottom" wrapText="0"/>
    </xf>
    <xf borderId="10" fillId="7" fontId="17" numFmtId="0" xfId="0" applyAlignment="1" applyBorder="1" applyFont="1">
      <alignment horizontal="left" shrinkToFit="0" vertical="bottom" wrapText="0"/>
    </xf>
    <xf borderId="10" fillId="0" fontId="25" numFmtId="0" xfId="0" applyAlignment="1" applyBorder="1" applyFont="1">
      <alignment horizontal="left" shrinkToFit="0" vertical="bottom" wrapText="0"/>
    </xf>
    <xf borderId="10" fillId="27" fontId="63" numFmtId="0" xfId="0" applyAlignment="1" applyBorder="1" applyFont="1">
      <alignment horizontal="center" shrinkToFit="0" vertical="bottom" wrapText="0"/>
    </xf>
    <xf borderId="12" fillId="0" fontId="76" numFmtId="0" xfId="0" applyAlignment="1" applyBorder="1" applyFont="1">
      <alignment shrinkToFit="0" vertical="bottom" wrapText="0"/>
    </xf>
    <xf borderId="10" fillId="7" fontId="76" numFmtId="0" xfId="0" applyAlignment="1" applyBorder="1" applyFont="1">
      <alignment shrinkToFit="0" vertical="bottom" wrapText="0"/>
    </xf>
    <xf borderId="12" fillId="7" fontId="25" numFmtId="0" xfId="0" applyAlignment="1" applyBorder="1" applyFont="1">
      <alignment horizontal="center" shrinkToFit="0" vertical="bottom" wrapText="0"/>
    </xf>
    <xf borderId="12" fillId="27" fontId="63" numFmtId="0" xfId="0" applyAlignment="1" applyBorder="1" applyFont="1">
      <alignment shrinkToFit="0" vertical="bottom" wrapText="0"/>
    </xf>
    <xf borderId="7" fillId="7" fontId="17" numFmtId="0" xfId="0" applyAlignment="1" applyBorder="1" applyFont="1">
      <alignment shrinkToFit="0" vertical="bottom" wrapText="0"/>
    </xf>
    <xf borderId="7" fillId="7" fontId="25" numFmtId="0" xfId="0" applyAlignment="1" applyBorder="1" applyFont="1">
      <alignment horizontal="left" shrinkToFit="0" vertical="bottom" wrapText="0"/>
    </xf>
    <xf borderId="12" fillId="0" fontId="25" numFmtId="0" xfId="0" applyAlignment="1" applyBorder="1" applyFont="1">
      <alignment horizontal="center" shrinkToFit="0" vertical="bottom" wrapText="0"/>
    </xf>
    <xf borderId="10" fillId="27" fontId="76" numFmtId="0" xfId="0" applyAlignment="1" applyBorder="1" applyFont="1">
      <alignment shrinkToFit="0" wrapText="0"/>
    </xf>
    <xf borderId="7" fillId="7" fontId="76" numFmtId="0" xfId="0" applyAlignment="1" applyBorder="1" applyFont="1">
      <alignment shrinkToFit="0" wrapText="0"/>
    </xf>
    <xf borderId="7" fillId="0" fontId="25" numFmtId="0" xfId="0" applyAlignment="1" applyBorder="1" applyFont="1">
      <alignment shrinkToFit="0" vertical="bottom" wrapText="0"/>
    </xf>
    <xf borderId="7" fillId="0" fontId="25" numFmtId="0" xfId="0" applyAlignment="1" applyBorder="1" applyFont="1">
      <alignment horizontal="center" shrinkToFit="0" vertical="bottom" wrapText="0"/>
    </xf>
    <xf borderId="7" fillId="0" fontId="25" numFmtId="0" xfId="0" applyAlignment="1" applyBorder="1" applyFont="1">
      <alignment horizontal="left" shrinkToFit="0" vertical="bottom" wrapText="0"/>
    </xf>
    <xf borderId="12" fillId="7" fontId="25" numFmtId="0" xfId="0" applyAlignment="1" applyBorder="1" applyFont="1">
      <alignment horizontal="left" shrinkToFit="0" vertical="bottom" wrapText="0"/>
    </xf>
    <xf borderId="10" fillId="0" fontId="76" numFmtId="0" xfId="0" applyAlignment="1" applyBorder="1" applyFont="1">
      <alignment shrinkToFit="0" vertical="bottom" wrapText="0"/>
    </xf>
    <xf borderId="0" fillId="0" fontId="81" numFmtId="0" xfId="0" applyAlignment="1" applyFont="1">
      <alignment shrinkToFit="0" vertical="bottom" wrapText="0"/>
    </xf>
    <xf borderId="0" fillId="0" fontId="75" numFmtId="0" xfId="0" applyAlignment="1" applyFont="1">
      <alignment horizontal="center" shrinkToFit="0" vertical="bottom" wrapText="0"/>
    </xf>
    <xf borderId="0" fillId="0" fontId="81" numFmtId="0" xfId="0" applyAlignment="1" applyFont="1">
      <alignment horizontal="center" shrinkToFit="0" vertical="bottom" wrapText="0"/>
    </xf>
    <xf borderId="13" fillId="0" fontId="81" numFmtId="0" xfId="0" applyAlignment="1" applyBorder="1" applyFont="1">
      <alignment shrinkToFit="0" vertical="bottom" wrapText="0"/>
    </xf>
    <xf borderId="5" fillId="0" fontId="81" numFmtId="0" xfId="0" applyAlignment="1" applyBorder="1" applyFont="1">
      <alignment shrinkToFit="0" vertical="bottom" wrapText="0"/>
    </xf>
    <xf borderId="5" fillId="0" fontId="75" numFmtId="0" xfId="0" applyAlignment="1" applyBorder="1" applyFont="1">
      <alignment shrinkToFit="0" vertical="bottom" wrapText="0"/>
    </xf>
    <xf borderId="5" fillId="0" fontId="75" numFmtId="0" xfId="0" applyAlignment="1" applyBorder="1" applyFont="1">
      <alignment horizontal="center" shrinkToFit="0" vertical="bottom" wrapText="0"/>
    </xf>
    <xf borderId="6" fillId="0" fontId="81" numFmtId="0" xfId="0" applyAlignment="1" applyBorder="1" applyFont="1">
      <alignment horizontal="center" shrinkToFit="0" vertical="bottom" wrapText="0"/>
    </xf>
    <xf borderId="9" fillId="0" fontId="81" numFmtId="0" xfId="0" applyAlignment="1" applyBorder="1" applyFont="1">
      <alignment shrinkToFit="0" vertical="bottom" wrapText="0"/>
    </xf>
    <xf borderId="10" fillId="0" fontId="81" numFmtId="0" xfId="0" applyAlignment="1" applyBorder="1" applyFont="1">
      <alignment horizontal="center" shrinkToFit="0" vertical="bottom" wrapText="0"/>
    </xf>
    <xf borderId="9" fillId="0" fontId="81" numFmtId="0" xfId="0" applyAlignment="1" applyBorder="1" applyFont="1">
      <alignment horizontal="left" shrinkToFit="0" vertical="bottom" wrapText="0"/>
    </xf>
    <xf borderId="11" fillId="0" fontId="81" numFmtId="0" xfId="0" applyAlignment="1" applyBorder="1" applyFont="1">
      <alignment horizontal="left" shrinkToFit="0" vertical="bottom" wrapText="0"/>
    </xf>
    <xf borderId="3" fillId="0" fontId="81" numFmtId="0" xfId="0" applyAlignment="1" applyBorder="1" applyFont="1">
      <alignment shrinkToFit="0" vertical="bottom" wrapText="0"/>
    </xf>
    <xf borderId="3" fillId="0" fontId="75" numFmtId="0" xfId="0" applyAlignment="1" applyBorder="1" applyFont="1">
      <alignment shrinkToFit="0" vertical="bottom" wrapText="0"/>
    </xf>
    <xf borderId="3" fillId="0" fontId="75" numFmtId="0" xfId="0" applyAlignment="1" applyBorder="1" applyFont="1">
      <alignment horizontal="center" shrinkToFit="0" vertical="bottom" wrapText="0"/>
    </xf>
    <xf borderId="8" fillId="0" fontId="81" numFmtId="0" xfId="0" applyAlignment="1" applyBorder="1" applyFont="1">
      <alignment horizontal="center" shrinkToFit="0" vertical="bottom" wrapText="0"/>
    </xf>
    <xf borderId="5" fillId="0" fontId="81" numFmtId="0" xfId="0" applyAlignment="1" applyBorder="1" applyFont="1">
      <alignment horizontal="center" shrinkToFit="0" vertical="bottom" wrapText="0"/>
    </xf>
    <xf borderId="11" fillId="0" fontId="81" numFmtId="0" xfId="0" applyAlignment="1" applyBorder="1" applyFont="1">
      <alignment shrinkToFit="0" vertical="bottom" wrapText="0"/>
    </xf>
    <xf borderId="3" fillId="0" fontId="81" numFmtId="0" xfId="0" applyAlignment="1" applyBorder="1" applyFont="1">
      <alignment horizontal="center" shrinkToFit="0" vertical="bottom" wrapText="0"/>
    </xf>
    <xf borderId="0" fillId="0" fontId="82" numFmtId="0" xfId="0" applyFont="1"/>
    <xf borderId="0" fillId="0" fontId="25" numFmtId="0" xfId="0" applyAlignment="1" applyFont="1">
      <alignment readingOrder="0" shrinkToFit="0" vertical="bottom" wrapText="0"/>
    </xf>
    <xf borderId="0" fillId="0" fontId="25" numFmtId="0" xfId="0" applyAlignment="1" applyFont="1">
      <alignment readingOrder="0"/>
    </xf>
    <xf borderId="0" fillId="0" fontId="1" numFmtId="0" xfId="0" applyAlignment="1" applyFont="1">
      <alignment horizontal="center" shrinkToFit="0" wrapText="1"/>
    </xf>
    <xf borderId="0" fillId="28" fontId="1" numFmtId="0" xfId="0" applyAlignment="1" applyFill="1" applyFont="1">
      <alignment horizontal="center" shrinkToFit="0" wrapText="1"/>
    </xf>
    <xf borderId="0" fillId="22" fontId="1" numFmtId="0" xfId="0" applyAlignment="1" applyFont="1">
      <alignment horizontal="center" shrinkToFit="0" wrapText="1"/>
    </xf>
    <xf borderId="0" fillId="29" fontId="1" numFmtId="0" xfId="0" applyAlignment="1" applyFill="1" applyFont="1">
      <alignment horizontal="center" shrinkToFit="0" vertical="center" wrapText="1"/>
    </xf>
    <xf borderId="0" fillId="28" fontId="1" numFmtId="0" xfId="0" applyAlignment="1" applyFont="1">
      <alignment horizontal="center" shrinkToFit="0" vertical="center" wrapText="1"/>
    </xf>
    <xf borderId="0" fillId="29" fontId="1" numFmtId="0" xfId="0" applyAlignment="1" applyFont="1">
      <alignment horizontal="center" shrinkToFit="0" wrapText="1"/>
    </xf>
    <xf borderId="0" fillId="28" fontId="1" numFmtId="167" xfId="0" applyAlignment="1" applyFont="1" applyNumberFormat="1">
      <alignment horizontal="center" shrinkToFit="0" wrapText="1"/>
    </xf>
    <xf borderId="0" fillId="28" fontId="1" numFmtId="0" xfId="0" applyAlignment="1" applyFont="1">
      <alignment horizontal="center" shrinkToFit="0" wrapText="0"/>
    </xf>
    <xf borderId="0" fillId="7" fontId="23" numFmtId="0" xfId="0" applyFont="1"/>
    <xf borderId="0" fillId="8" fontId="3" numFmtId="0" xfId="0" applyAlignment="1" applyFont="1">
      <alignment horizontal="center"/>
    </xf>
    <xf borderId="0" fillId="8" fontId="3" numFmtId="0" xfId="0" applyFont="1"/>
    <xf borderId="0" fillId="0" fontId="23" numFmtId="0" xfId="0" applyAlignment="1" applyFont="1">
      <alignment vertical="bottom"/>
    </xf>
    <xf borderId="0" fillId="0" fontId="3" numFmtId="0" xfId="0" applyAlignment="1" applyFont="1">
      <alignment horizontal="center" vertical="bottom"/>
    </xf>
    <xf borderId="0" fillId="8" fontId="83" numFmtId="0" xfId="0" applyAlignment="1" applyFont="1">
      <alignment shrinkToFit="0" wrapText="0"/>
    </xf>
    <xf borderId="0" fillId="8" fontId="23" numFmtId="0" xfId="0" applyAlignment="1" applyFont="1">
      <alignment shrinkToFit="0" wrapText="0"/>
    </xf>
    <xf borderId="0" fillId="8" fontId="23" numFmtId="0" xfId="0" applyFont="1"/>
    <xf borderId="0" fillId="8" fontId="3" numFmtId="0" xfId="0" applyAlignment="1" applyFont="1">
      <alignment vertical="bottom"/>
    </xf>
    <xf borderId="0" fillId="8" fontId="3" numFmtId="0" xfId="0" applyAlignment="1" applyFont="1">
      <alignment shrinkToFit="0" wrapText="0"/>
    </xf>
    <xf borderId="0" fillId="8" fontId="84" numFmtId="0" xfId="0" applyFont="1"/>
    <xf borderId="0" fillId="8" fontId="85" numFmtId="0" xfId="0" applyAlignment="1" applyFont="1">
      <alignment shrinkToFit="0" vertical="bottom" wrapText="0"/>
    </xf>
    <xf borderId="0" fillId="8" fontId="86" numFmtId="0" xfId="0" applyAlignment="1" applyFont="1">
      <alignment shrinkToFit="0" wrapText="0"/>
    </xf>
    <xf borderId="0" fillId="7" fontId="18" numFmtId="0" xfId="0" applyAlignment="1" applyFont="1">
      <alignment vertical="bottom"/>
    </xf>
    <xf borderId="0" fillId="0" fontId="3" numFmtId="0" xfId="0" applyAlignment="1" applyFont="1">
      <alignment shrinkToFit="0" wrapText="0"/>
    </xf>
    <xf borderId="0" fillId="11" fontId="3" numFmtId="0" xfId="0" applyFont="1"/>
    <xf borderId="0" fillId="7" fontId="87" numFmtId="0" xfId="0" applyAlignment="1" applyFont="1">
      <alignment shrinkToFit="0" wrapText="0"/>
    </xf>
    <xf borderId="0" fillId="0" fontId="88" numFmtId="0" xfId="0" applyAlignment="1" applyFont="1">
      <alignment shrinkToFit="0" vertical="bottom" wrapText="0"/>
    </xf>
    <xf borderId="0" fillId="0" fontId="23" numFmtId="0" xfId="0" applyAlignment="1" applyFont="1">
      <alignment shrinkToFit="0" wrapText="0"/>
    </xf>
    <xf borderId="0" fillId="0" fontId="23" numFmtId="0" xfId="0" applyFont="1"/>
    <xf borderId="0" fillId="7" fontId="23" numFmtId="0" xfId="0" applyAlignment="1" applyFont="1">
      <alignment shrinkToFit="0" wrapText="0"/>
    </xf>
    <xf borderId="0" fillId="0" fontId="89" numFmtId="0" xfId="0" applyFont="1"/>
    <xf borderId="0" fillId="7" fontId="3" numFmtId="0" xfId="0" applyAlignment="1" applyFont="1">
      <alignment vertical="bottom"/>
    </xf>
    <xf borderId="0" fillId="0" fontId="3" numFmtId="0" xfId="0" applyAlignment="1" applyFont="1">
      <alignment vertical="bottom"/>
    </xf>
    <xf borderId="0" fillId="0" fontId="90" numFmtId="0" xfId="0" applyAlignment="1" applyFont="1">
      <alignment vertical="bottom"/>
    </xf>
    <xf borderId="0" fillId="0" fontId="91" numFmtId="0" xfId="0" applyAlignment="1" applyFont="1">
      <alignment shrinkToFit="0" vertical="bottom" wrapText="0"/>
    </xf>
    <xf borderId="0" fillId="0" fontId="23" numFmtId="0" xfId="0" applyAlignment="1" applyFont="1">
      <alignment shrinkToFit="0" vertical="bottom" wrapText="0"/>
    </xf>
    <xf borderId="0" fillId="0" fontId="92" numFmtId="0" xfId="0" applyAlignment="1" applyFont="1">
      <alignment shrinkToFit="0" wrapText="0"/>
    </xf>
    <xf borderId="0" fillId="21" fontId="1" numFmtId="0" xfId="0" applyAlignment="1" applyFont="1">
      <alignment horizontal="center"/>
    </xf>
    <xf borderId="0" fillId="21" fontId="3" numFmtId="0" xfId="0" applyFont="1"/>
    <xf borderId="0" fillId="21" fontId="3" numFmtId="0" xfId="0" applyAlignment="1" applyFont="1">
      <alignment horizontal="center"/>
    </xf>
    <xf borderId="0" fillId="21" fontId="23" numFmtId="0" xfId="0" applyAlignment="1" applyFont="1">
      <alignment vertical="bottom"/>
    </xf>
    <xf borderId="0" fillId="21" fontId="3" numFmtId="0" xfId="0" applyAlignment="1" applyFont="1">
      <alignment shrinkToFit="0" wrapText="0"/>
    </xf>
    <xf borderId="0" fillId="0" fontId="93" numFmtId="0" xfId="0" applyAlignment="1" applyFont="1">
      <alignment shrinkToFit="0" wrapText="0"/>
    </xf>
    <xf borderId="0" fillId="0" fontId="94" numFmtId="0" xfId="0" applyAlignment="1" applyFont="1">
      <alignment shrinkToFit="0" wrapText="0"/>
    </xf>
    <xf borderId="0" fillId="0" fontId="95" numFmtId="0" xfId="0" applyFont="1"/>
    <xf borderId="0" fillId="7" fontId="96" numFmtId="0" xfId="0" applyAlignment="1" applyFont="1">
      <alignment shrinkToFit="0" wrapText="0"/>
    </xf>
    <xf borderId="0" fillId="0" fontId="97" numFmtId="0" xfId="0"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50" Type="http://customschemas.google.com/relationships/workbookmetadata" Target="metadata"/></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Ações por setor </a:t>
            </a:r>
          </a:p>
        </c:rich>
      </c:tx>
      <c:overlay val="0"/>
    </c:title>
    <c:plotArea>
      <c:layout/>
      <c:pieChart>
        <c:varyColors val="1"/>
        <c:ser>
          <c:idx val="0"/>
          <c:order val="0"/>
          <c:tx>
            <c:strRef>
              <c:f>'Setor_ações'!$D$3</c:f>
            </c:strRef>
          </c:tx>
          <c:dPt>
            <c:idx val="0"/>
            <c:spPr>
              <a:solidFill>
                <a:srgbClr val="4285F4"/>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'Setor_ações'!$B$4:$B$6</c:f>
            </c:strRef>
          </c:cat>
          <c:val>
            <c:numRef>
              <c:f>'Setor_ações'!$D$4:$D$6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Nº de ações por setor</c:v>
          </c:tx>
          <c:spPr>
            <a:solidFill>
              <a:schemeClr val="accent1"/>
            </a:solidFill>
            <a:ln cmpd="sng">
              <a:solidFill>
                <a:srgbClr val="000000"/>
              </a:solidFill>
            </a:ln>
          </c:spPr>
          <c:dPt>
            <c:idx val="0"/>
          </c:dPt>
          <c:dPt>
            <c:idx val="1"/>
          </c:dPt>
          <c:dPt>
            <c:idx val="2"/>
          </c:dPt>
          <c:dLbls>
            <c:dLbl>
              <c:idx val="0"/>
              <c:tx>
                <c:rich>
                  <a:bodyPr/>
                  <a:lstStyle/>
                  <a:p>
                    <a:pPr lvl="0">
                      <a:defRPr b="1">
                        <a:solidFill>
                          <a:srgbClr val="000000"/>
                        </a:solidFill>
                        <a:latin typeface="Roboto"/>
                      </a:defRPr>
                    </a:pPr>
                    <a:r>
                      <a:rPr b="1">
                        <a:solidFill>
                          <a:srgbClr val="000000"/>
                        </a:solidFill>
                        <a:latin typeface="Roboto"/>
                      </a:rPr>
                      <a:t>368 (52.87%)</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183 (26.29%)</a:t>
                    </a:r>
                  </a:p>
                </c:rich>
              </c:tx>
              <c:numFmt formatCode="General" sourceLinked="1"/>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145 (20.83%)</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'Setor_ações'!$B$4:$B$6</c:f>
            </c:strRef>
          </c:cat>
          <c:val>
            <c:numRef>
              <c:f>'Setor_ações'!$C$4:$C$6</c:f>
              <c:numCache/>
            </c:numRef>
          </c:val>
        </c:ser>
        <c:axId val="172976937"/>
        <c:axId val="571212245"/>
      </c:barChart>
      <c:catAx>
        <c:axId val="1729769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71212245"/>
      </c:catAx>
      <c:valAx>
        <c:axId val="5712122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976937"/>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7653580729166663"/>
          <c:y val="0.12185929648241206"/>
          <c:w val="0.8902975260416668"/>
          <c:h val="0.7527638190954774"/>
        </c:manualLayout>
      </c:layout>
      <c:barChart>
        <c:barDir val="col"/>
        <c:ser>
          <c:idx val="0"/>
          <c:order val="0"/>
          <c:tx>
            <c:strRef>
              <c:f>Tipo!$D$2</c:f>
            </c:strRef>
          </c:tx>
          <c:spPr>
            <a:solidFill>
              <a:schemeClr val="accent1"/>
            </a:solidFill>
            <a:ln cmpd="sng">
              <a:solidFill>
                <a:srgbClr val="000000"/>
              </a:solidFill>
            </a:ln>
          </c:spPr>
          <c:dPt>
            <c:idx val="0"/>
          </c:dPt>
          <c:dPt>
            <c:idx val="1"/>
          </c:dPt>
          <c:dPt>
            <c:idx val="2"/>
          </c:dPt>
          <c:dPt>
            <c:idx val="3"/>
          </c:dPt>
          <c:dPt>
            <c:idx val="4"/>
          </c:dPt>
          <c:dLbls>
            <c:dLbl>
              <c:idx val="0"/>
              <c:tx>
                <c:rich>
                  <a:bodyPr/>
                  <a:lstStyle/>
                  <a:p>
                    <a:pPr lvl="0">
                      <a:defRPr b="1">
                        <a:solidFill>
                          <a:srgbClr val="000000"/>
                        </a:solidFill>
                        <a:latin typeface="Roboto"/>
                      </a:defRPr>
                    </a:pPr>
                    <a:r>
                      <a:rPr b="1">
                        <a:solidFill>
                          <a:srgbClr val="000000"/>
                        </a:solidFill>
                        <a:latin typeface="Roboto"/>
                      </a:rPr>
                      <a:t>489 (71,81%)</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116 (17,03%)</a:t>
                    </a:r>
                  </a:p>
                </c:rich>
              </c:tx>
              <c:numFmt formatCode="General" sourceLinked="1"/>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58 (8,52%)</a:t>
                    </a:r>
                  </a:p>
                </c:rich>
              </c:tx>
              <c:numFmt formatCode="General" sourceLinked="1"/>
              <c:txPr>
                <a:bodyPr/>
                <a:lstStyle/>
                <a:p>
                  <a:pPr lvl="0">
                    <a:defRPr b="1"/>
                  </a:pPr>
                </a:p>
              </c:txPr>
              <c:showLegendKey val="0"/>
              <c:showVal val="1"/>
              <c:showCatName val="0"/>
              <c:showSerName val="0"/>
              <c:showPercent val="0"/>
              <c:showBubbleSize val="0"/>
            </c:dLbl>
            <c:dLbl>
              <c:idx val="3"/>
              <c:tx>
                <c:rich>
                  <a:bodyPr/>
                  <a:lstStyle/>
                  <a:p>
                    <a:pPr lvl="0">
                      <a:defRPr b="1">
                        <a:solidFill>
                          <a:srgbClr val="000000"/>
                        </a:solidFill>
                        <a:latin typeface="Roboto"/>
                      </a:defRPr>
                    </a:pPr>
                    <a:r>
                      <a:rPr b="1">
                        <a:solidFill>
                          <a:srgbClr val="000000"/>
                        </a:solidFill>
                        <a:latin typeface="Roboto"/>
                      </a:rPr>
                      <a:t>16 (2,35%)</a:t>
                    </a:r>
                  </a:p>
                </c:rich>
              </c:tx>
              <c:numFmt formatCode="General" sourceLinked="1"/>
              <c:txPr>
                <a:bodyPr/>
                <a:lstStyle/>
                <a:p>
                  <a:pPr lvl="0">
                    <a:defRPr b="1"/>
                  </a:pPr>
                </a:p>
              </c:txPr>
              <c:showLegendKey val="0"/>
              <c:showVal val="1"/>
              <c:showCatName val="0"/>
              <c:showSerName val="0"/>
              <c:showPercent val="0"/>
              <c:showBubbleSize val="0"/>
            </c:dLbl>
            <c:dLbl>
              <c:idx val="4"/>
              <c:tx>
                <c:rich>
                  <a:bodyPr/>
                  <a:lstStyle/>
                  <a:p>
                    <a:pPr lvl="0">
                      <a:defRPr b="1">
                        <a:solidFill>
                          <a:srgbClr val="000000"/>
                        </a:solidFill>
                        <a:latin typeface="Roboto"/>
                      </a:defRPr>
                    </a:pPr>
                    <a:r>
                      <a:rPr b="1">
                        <a:solidFill>
                          <a:srgbClr val="000000"/>
                        </a:solidFill>
                        <a:latin typeface="Roboto"/>
                      </a:rPr>
                      <a:t>2 (0,29%)</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Tipo!$B$3:$B$7</c:f>
            </c:strRef>
          </c:cat>
          <c:val>
            <c:numRef>
              <c:f>Tipo!$D$3:$D$7</c:f>
              <c:numCache/>
            </c:numRef>
          </c:val>
        </c:ser>
        <c:axId val="433597359"/>
        <c:axId val="902460824"/>
      </c:barChart>
      <c:catAx>
        <c:axId val="4335973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layout>
            <c:manualLayout>
              <c:xMode val="edge"/>
              <c:yMode val="edge"/>
              <c:x val="0.07428580729166666"/>
              <c:y val="0.9149595687331536"/>
            </c:manualLayout>
          </c:layout>
          <c:overlay val="0"/>
        </c:title>
        <c:numFmt formatCode="General" sourceLinked="1"/>
        <c:majorTickMark val="none"/>
        <c:minorTickMark val="none"/>
        <c:spPr/>
        <c:txPr>
          <a:bodyPr/>
          <a:lstStyle/>
          <a:p>
            <a:pPr lvl="0">
              <a:defRPr b="0">
                <a:solidFill>
                  <a:srgbClr val="000000"/>
                </a:solidFill>
                <a:latin typeface="+mn-lt"/>
              </a:defRPr>
            </a:pPr>
          </a:p>
        </c:txPr>
        <c:crossAx val="902460824"/>
      </c:catAx>
      <c:valAx>
        <c:axId val="9024608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3597359"/>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6692726367728534"/>
          <c:y val="0.05717488789237668"/>
          <c:w val="0.902186309729917"/>
          <c:h val="0.8255605381165919"/>
        </c:manualLayout>
      </c:layout>
      <c:barChart>
        <c:barDir val="col"/>
        <c:ser>
          <c:idx val="0"/>
          <c:order val="0"/>
          <c:tx>
            <c:strRef>
              <c:f>Tipo!$D$14</c:f>
            </c:strRef>
          </c:tx>
          <c:spPr>
            <a:solidFill>
              <a:schemeClr val="accent1"/>
            </a:solidFill>
            <a:ln cmpd="sng">
              <a:solidFill>
                <a:srgbClr val="000000"/>
              </a:solidFill>
            </a:ln>
          </c:spPr>
          <c:dPt>
            <c:idx val="0"/>
          </c:dPt>
          <c:dPt>
            <c:idx val="1"/>
          </c:dPt>
          <c:dPt>
            <c:idx val="2"/>
          </c:dPt>
          <c:dPt>
            <c:idx val="3"/>
          </c:dPt>
          <c:dPt>
            <c:idx val="4"/>
          </c:dPt>
          <c:dLbls>
            <c:dLbl>
              <c:idx val="0"/>
              <c:tx>
                <c:rich>
                  <a:bodyPr/>
                  <a:lstStyle/>
                  <a:p>
                    <a:pPr lvl="0">
                      <a:defRPr b="1">
                        <a:solidFill>
                          <a:srgbClr val="000000"/>
                        </a:solidFill>
                        <a:latin typeface="Roboto"/>
                      </a:defRPr>
                    </a:pPr>
                    <a:r>
                      <a:rPr b="1">
                        <a:solidFill>
                          <a:srgbClr val="000000"/>
                        </a:solidFill>
                        <a:latin typeface="Roboto"/>
                      </a:rPr>
                      <a:t>472 (69.31%)</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118 (17.33%)</a:t>
                    </a:r>
                  </a:p>
                </c:rich>
              </c:tx>
              <c:numFmt formatCode="General" sourceLinked="1"/>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73 (10.72%)</a:t>
                    </a:r>
                  </a:p>
                </c:rich>
              </c:tx>
              <c:numFmt formatCode="General" sourceLinked="1"/>
              <c:txPr>
                <a:bodyPr/>
                <a:lstStyle/>
                <a:p>
                  <a:pPr lvl="0">
                    <a:defRPr b="1"/>
                  </a:pPr>
                </a:p>
              </c:txPr>
              <c:showLegendKey val="0"/>
              <c:showVal val="1"/>
              <c:showCatName val="0"/>
              <c:showSerName val="0"/>
              <c:showPercent val="0"/>
              <c:showBubbleSize val="0"/>
            </c:dLbl>
            <c:dLbl>
              <c:idx val="3"/>
              <c:tx>
                <c:rich>
                  <a:bodyPr/>
                  <a:lstStyle/>
                  <a:p>
                    <a:pPr lvl="0">
                      <a:defRPr b="1">
                        <a:solidFill>
                          <a:srgbClr val="000000"/>
                        </a:solidFill>
                        <a:latin typeface="Roboto"/>
                      </a:defRPr>
                    </a:pPr>
                    <a:r>
                      <a:rPr b="1">
                        <a:solidFill>
                          <a:srgbClr val="000000"/>
                        </a:solidFill>
                        <a:latin typeface="Roboto"/>
                      </a:rPr>
                      <a:t>16 (2.35%)</a:t>
                    </a:r>
                  </a:p>
                </c:rich>
              </c:tx>
              <c:numFmt formatCode="General" sourceLinked="1"/>
              <c:txPr>
                <a:bodyPr/>
                <a:lstStyle/>
                <a:p>
                  <a:pPr lvl="0">
                    <a:defRPr b="1"/>
                  </a:pPr>
                </a:p>
              </c:txPr>
              <c:showLegendKey val="0"/>
              <c:showVal val="1"/>
              <c:showCatName val="0"/>
              <c:showSerName val="0"/>
              <c:showPercent val="0"/>
              <c:showBubbleSize val="0"/>
            </c:dLbl>
            <c:dLbl>
              <c:idx val="4"/>
              <c:tx>
                <c:rich>
                  <a:bodyPr/>
                  <a:lstStyle/>
                  <a:p>
                    <a:pPr lvl="0">
                      <a:defRPr b="1">
                        <a:solidFill>
                          <a:srgbClr val="000000"/>
                        </a:solidFill>
                        <a:latin typeface="Roboto"/>
                      </a:defRPr>
                    </a:pPr>
                    <a:r>
                      <a:rPr b="1">
                        <a:solidFill>
                          <a:srgbClr val="000000"/>
                        </a:solidFill>
                        <a:latin typeface="Roboto"/>
                      </a:rPr>
                      <a:t>2 (0.29%)</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Tipo!$B$15:$B$19</c:f>
            </c:strRef>
          </c:cat>
          <c:val>
            <c:numRef>
              <c:f>Tipo!$D$15:$D$19</c:f>
              <c:numCache/>
            </c:numRef>
          </c:val>
        </c:ser>
        <c:axId val="14574259"/>
        <c:axId val="225954108"/>
      </c:barChart>
      <c:catAx>
        <c:axId val="145742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5954108"/>
      </c:catAx>
      <c:valAx>
        <c:axId val="2259541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74259"/>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Nº vs. Objetivo da iniciativa
</a:t>
            </a:r>
          </a:p>
        </c:rich>
      </c:tx>
      <c:overlay val="0"/>
    </c:title>
    <c:plotArea>
      <c:layout/>
      <c:barChart>
        <c:barDir val="col"/>
        <c:ser>
          <c:idx val="0"/>
          <c:order val="0"/>
          <c:tx>
            <c:strRef>
              <c:f>Objetivo!$B$3</c:f>
            </c:strRef>
          </c:tx>
          <c:spPr>
            <a:solidFill>
              <a:schemeClr val="accent1"/>
            </a:solidFill>
            <a:ln cmpd="sng">
              <a:solidFill>
                <a:srgbClr val="000000"/>
              </a:solidFill>
            </a:ln>
          </c:spPr>
          <c:cat>
            <c:strRef>
              <c:f>Objetivo!$A$4:$A$12</c:f>
            </c:strRef>
          </c:cat>
          <c:val>
            <c:numRef>
              <c:f>Objetivo!$B$4:$B$12</c:f>
              <c:numCache/>
            </c:numRef>
          </c:val>
        </c:ser>
        <c:axId val="619398591"/>
        <c:axId val="618568394"/>
      </c:barChart>
      <c:catAx>
        <c:axId val="6193985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Objetivo da iniciativa
</a:t>
                </a:r>
              </a:p>
            </c:rich>
          </c:tx>
          <c:overlay val="0"/>
        </c:title>
        <c:numFmt formatCode="General" sourceLinked="1"/>
        <c:majorTickMark val="none"/>
        <c:minorTickMark val="none"/>
        <c:spPr/>
        <c:txPr>
          <a:bodyPr/>
          <a:lstStyle/>
          <a:p>
            <a:pPr lvl="0">
              <a:defRPr b="0">
                <a:solidFill>
                  <a:srgbClr val="000000"/>
                </a:solidFill>
                <a:latin typeface="+mn-lt"/>
              </a:defRPr>
            </a:pPr>
          </a:p>
        </c:txPr>
        <c:crossAx val="618568394"/>
      </c:catAx>
      <c:valAx>
        <c:axId val="6185683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Nº</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939859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40997229916895"/>
          <c:y val="0.11222222222222222"/>
          <c:w val="0.8197205203772625"/>
          <c:h val="0.7377777777777778"/>
        </c:manualLayout>
      </c:layout>
      <c:barChart>
        <c:barDir val="col"/>
        <c:ser>
          <c:idx val="0"/>
          <c:order val="0"/>
          <c:tx>
            <c:v>Total de ações</c:v>
          </c:tx>
          <c:spPr>
            <a:solidFill>
              <a:schemeClr val="accent1"/>
            </a:solidFill>
            <a:ln cmpd="sng">
              <a:solidFill>
                <a:srgbClr val="000000"/>
              </a:solidFill>
            </a:ln>
          </c:spPr>
          <c:dPt>
            <c:idx val="0"/>
          </c:dPt>
          <c:dPt>
            <c:idx val="1"/>
          </c:dPt>
          <c:dPt>
            <c:idx val="2"/>
          </c:dPt>
          <c:dLbls>
            <c:dLbl>
              <c:idx val="0"/>
              <c:tx>
                <c:rich>
                  <a:bodyPr/>
                  <a:lstStyle/>
                  <a:p>
                    <a:pPr lvl="0">
                      <a:defRPr b="1">
                        <a:solidFill>
                          <a:srgbClr val="000000"/>
                        </a:solidFill>
                        <a:latin typeface="Roboto"/>
                      </a:defRPr>
                    </a:pPr>
                    <a:r>
                      <a:rPr b="1">
                        <a:solidFill>
                          <a:srgbClr val="000000"/>
                        </a:solidFill>
                        <a:latin typeface="Roboto"/>
                      </a:rPr>
                      <a:t>516 (75.74%)</a:t>
                    </a:r>
                  </a:p>
                </c:rich>
              </c:tx>
              <c:numFmt formatCode="General" sourceLinked="1"/>
              <c:txPr>
                <a:bodyPr/>
                <a:lstStyle/>
                <a:p>
                  <a:pPr lvl="0">
                    <a:defRPr/>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331 (47.28%)</a:t>
                    </a:r>
                  </a:p>
                </c:rich>
              </c:tx>
              <c:numFmt formatCode="General" sourceLinked="1"/>
              <c:txPr>
                <a:bodyPr/>
                <a:lstStyle/>
                <a:p>
                  <a:pPr lvl="0">
                    <a:defRPr/>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44 (6.46%)</a:t>
                    </a:r>
                  </a:p>
                </c:rich>
              </c:tx>
              <c:numFmt formatCode="General" sourceLinked="1"/>
              <c:txPr>
                <a:bodyPr/>
                <a:lstStyle/>
                <a:p>
                  <a:pPr lvl="0">
                    <a:defRPr/>
                  </a:pPr>
                </a:p>
              </c:txPr>
              <c:showLegendKey val="0"/>
              <c:showVal val="1"/>
              <c:showCatName val="0"/>
              <c:showSerName val="0"/>
              <c:showPercent val="0"/>
              <c:showBubbleSize val="0"/>
            </c:dLbl>
            <c:numFmt formatCode="General" sourceLinked="1"/>
            <c:txPr>
              <a:bodyPr/>
              <a:lstStyle/>
              <a:p>
                <a:pPr lvl="0">
                  <a:defRPr/>
                </a:pPr>
              </a:p>
            </c:txPr>
            <c:showLegendKey val="0"/>
            <c:showVal val="1"/>
            <c:showCatName val="0"/>
            <c:showSerName val="0"/>
            <c:showPercent val="0"/>
            <c:showBubbleSize val="0"/>
          </c:dLbls>
          <c:cat>
            <c:strRef>
              <c:f>ESG!$A$4:$A$6</c:f>
            </c:strRef>
          </c:cat>
          <c:val>
            <c:numRef>
              <c:f>ESG!$B$4:$B$6</c:f>
              <c:numCache/>
            </c:numRef>
          </c:val>
        </c:ser>
        <c:axId val="1774486209"/>
        <c:axId val="1336783339"/>
      </c:barChart>
      <c:catAx>
        <c:axId val="17744862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36783339"/>
      </c:catAx>
      <c:valAx>
        <c:axId val="13367833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4486209"/>
      </c:valAx>
    </c:plotArea>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Principal mecanismo de atuação</a:t>
            </a:r>
          </a:p>
        </c:rich>
      </c:tx>
      <c:overlay val="0"/>
    </c:title>
    <c:plotArea>
      <c:layout/>
      <c:barChart>
        <c:barDir val="col"/>
        <c:ser>
          <c:idx val="0"/>
          <c:order val="0"/>
          <c:tx>
            <c:strRef>
              <c:f>Mecanismo!$C$3</c:f>
            </c:strRef>
          </c:tx>
          <c:spPr>
            <a:solidFill>
              <a:schemeClr val="accent1"/>
            </a:solidFill>
            <a:ln cmpd="sng">
              <a:solidFill>
                <a:srgbClr val="000000"/>
              </a:solidFill>
            </a:ln>
          </c:spPr>
          <c:cat>
            <c:strRef>
              <c:f>Mecanismo!$B$4:$B$10</c:f>
            </c:strRef>
          </c:cat>
          <c:val>
            <c:numRef>
              <c:f>Mecanismo!$C$4:$C$10</c:f>
              <c:numCache/>
            </c:numRef>
          </c:val>
        </c:ser>
        <c:axId val="468075877"/>
        <c:axId val="867537537"/>
      </c:barChart>
      <c:catAx>
        <c:axId val="4680758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Principal mecanismo de atuação</a:t>
                </a:r>
              </a:p>
            </c:rich>
          </c:tx>
          <c:overlay val="0"/>
        </c:title>
        <c:numFmt formatCode="General" sourceLinked="1"/>
        <c:majorTickMark val="none"/>
        <c:minorTickMark val="none"/>
        <c:spPr/>
        <c:txPr>
          <a:bodyPr/>
          <a:lstStyle/>
          <a:p>
            <a:pPr lvl="0">
              <a:defRPr b="0">
                <a:solidFill>
                  <a:srgbClr val="000000"/>
                </a:solidFill>
                <a:latin typeface="+mn-lt"/>
              </a:defRPr>
            </a:pPr>
          </a:p>
        </c:txPr>
        <c:crossAx val="867537537"/>
      </c:catAx>
      <c:valAx>
        <c:axId val="8675375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8075877"/>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Nº de ações or mecanismo de atuação</c:v>
          </c:tx>
          <c:spPr>
            <a:solidFill>
              <a:schemeClr val="accent1"/>
            </a:solidFill>
            <a:ln cmpd="sng">
              <a:solidFill>
                <a:srgbClr val="000000"/>
              </a:solidFill>
            </a:ln>
          </c:spPr>
          <c:dPt>
            <c:idx val="0"/>
          </c:dPt>
          <c:dPt>
            <c:idx val="1"/>
          </c:dPt>
          <c:dPt>
            <c:idx val="2"/>
          </c:dPt>
          <c:dPt>
            <c:idx val="3"/>
          </c:dPt>
          <c:dPt>
            <c:idx val="4"/>
          </c:dPt>
          <c:dPt>
            <c:idx val="5"/>
          </c:dPt>
          <c:dPt>
            <c:idx val="6"/>
          </c:dPt>
          <c:dLbls>
            <c:dLbl>
              <c:idx val="0"/>
              <c:tx>
                <c:rich>
                  <a:bodyPr/>
                  <a:lstStyle/>
                  <a:p>
                    <a:pPr lvl="0">
                      <a:defRPr b="1">
                        <a:solidFill>
                          <a:srgbClr val="000000"/>
                        </a:solidFill>
                        <a:latin typeface="Roboto"/>
                      </a:defRPr>
                    </a:pPr>
                    <a:r>
                      <a:rPr b="1">
                        <a:solidFill>
                          <a:srgbClr val="000000"/>
                        </a:solidFill>
                        <a:latin typeface="Roboto"/>
                      </a:rPr>
                      <a:t>245 (35.98%)</a:t>
                    </a:r>
                  </a:p>
                </c:rich>
              </c:tx>
              <c:numFmt formatCode="General" sourceLinked="0"/>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242 (35.54%)</a:t>
                    </a:r>
                  </a:p>
                </c:rich>
              </c:tx>
              <c:numFmt formatCode="General" sourceLinked="0"/>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87 (12.78%)</a:t>
                    </a:r>
                  </a:p>
                </c:rich>
              </c:tx>
              <c:numFmt formatCode="General" sourceLinked="0"/>
              <c:txPr>
                <a:bodyPr/>
                <a:lstStyle/>
                <a:p>
                  <a:pPr lvl="0">
                    <a:defRPr b="1"/>
                  </a:pPr>
                </a:p>
              </c:txPr>
              <c:showLegendKey val="0"/>
              <c:showVal val="1"/>
              <c:showCatName val="0"/>
              <c:showSerName val="0"/>
              <c:showPercent val="0"/>
              <c:showBubbleSize val="0"/>
            </c:dLbl>
            <c:dLbl>
              <c:idx val="3"/>
              <c:tx>
                <c:rich>
                  <a:bodyPr/>
                  <a:lstStyle/>
                  <a:p>
                    <a:pPr lvl="0">
                      <a:defRPr b="1">
                        <a:solidFill>
                          <a:srgbClr val="000000"/>
                        </a:solidFill>
                        <a:latin typeface="Roboto"/>
                      </a:defRPr>
                    </a:pPr>
                    <a:r>
                      <a:rPr b="1">
                        <a:solidFill>
                          <a:srgbClr val="000000"/>
                        </a:solidFill>
                        <a:latin typeface="Roboto"/>
                      </a:rPr>
                      <a:t>62 (9.10%)</a:t>
                    </a:r>
                  </a:p>
                </c:rich>
              </c:tx>
              <c:numFmt formatCode="General" sourceLinked="0"/>
              <c:txPr>
                <a:bodyPr/>
                <a:lstStyle/>
                <a:p>
                  <a:pPr lvl="0">
                    <a:defRPr b="1"/>
                  </a:pPr>
                </a:p>
              </c:txPr>
              <c:showLegendKey val="0"/>
              <c:showVal val="1"/>
              <c:showCatName val="0"/>
              <c:showSerName val="0"/>
              <c:showPercent val="0"/>
              <c:showBubbleSize val="0"/>
            </c:dLbl>
            <c:dLbl>
              <c:idx val="4"/>
              <c:tx>
                <c:rich>
                  <a:bodyPr/>
                  <a:lstStyle/>
                  <a:p>
                    <a:pPr lvl="0">
                      <a:defRPr b="1">
                        <a:solidFill>
                          <a:srgbClr val="000000"/>
                        </a:solidFill>
                        <a:latin typeface="Roboto"/>
                      </a:defRPr>
                    </a:pPr>
                    <a:r>
                      <a:rPr b="1">
                        <a:solidFill>
                          <a:srgbClr val="000000"/>
                        </a:solidFill>
                        <a:latin typeface="Roboto"/>
                      </a:rPr>
                      <a:t>21(3.08%)</a:t>
                    </a:r>
                  </a:p>
                </c:rich>
              </c:tx>
              <c:numFmt formatCode="General" sourceLinked="0"/>
              <c:txPr>
                <a:bodyPr/>
                <a:lstStyle/>
                <a:p>
                  <a:pPr lvl="0">
                    <a:defRPr b="1"/>
                  </a:pPr>
                </a:p>
              </c:txPr>
              <c:showLegendKey val="0"/>
              <c:showVal val="1"/>
              <c:showCatName val="0"/>
              <c:showSerName val="0"/>
              <c:showPercent val="0"/>
              <c:showBubbleSize val="0"/>
            </c:dLbl>
            <c:dLbl>
              <c:idx val="5"/>
              <c:tx>
                <c:rich>
                  <a:bodyPr/>
                  <a:lstStyle/>
                  <a:p>
                    <a:pPr lvl="0">
                      <a:defRPr b="1">
                        <a:solidFill>
                          <a:srgbClr val="000000"/>
                        </a:solidFill>
                        <a:latin typeface="Roboto"/>
                      </a:defRPr>
                    </a:pPr>
                    <a:r>
                      <a:rPr b="1">
                        <a:solidFill>
                          <a:srgbClr val="000000"/>
                        </a:solidFill>
                        <a:latin typeface="Roboto"/>
                      </a:rPr>
                      <a:t>16 (2.35%)</a:t>
                    </a:r>
                  </a:p>
                </c:rich>
              </c:tx>
              <c:numFmt formatCode="General" sourceLinked="0"/>
              <c:txPr>
                <a:bodyPr/>
                <a:lstStyle/>
                <a:p>
                  <a:pPr lvl="0">
                    <a:defRPr b="1"/>
                  </a:pPr>
                </a:p>
              </c:txPr>
              <c:showLegendKey val="0"/>
              <c:showVal val="1"/>
              <c:showCatName val="0"/>
              <c:showSerName val="0"/>
              <c:showPercent val="0"/>
              <c:showBubbleSize val="0"/>
            </c:dLbl>
            <c:dLbl>
              <c:idx val="6"/>
              <c:tx>
                <c:rich>
                  <a:bodyPr/>
                  <a:lstStyle/>
                  <a:p>
                    <a:pPr lvl="0">
                      <a:defRPr b="1">
                        <a:solidFill>
                          <a:srgbClr val="000000"/>
                        </a:solidFill>
                        <a:latin typeface="Roboto"/>
                      </a:defRPr>
                    </a:pPr>
                    <a:r>
                      <a:rPr b="1">
                        <a:solidFill>
                          <a:srgbClr val="000000"/>
                        </a:solidFill>
                        <a:latin typeface="Roboto"/>
                      </a:rPr>
                      <a:t>8 (1.17%)</a:t>
                    </a:r>
                  </a:p>
                </c:rich>
              </c:tx>
              <c:numFmt formatCode="General" sourceLinked="0"/>
              <c:txPr>
                <a:bodyPr/>
                <a:lstStyle/>
                <a:p>
                  <a:pPr lvl="0">
                    <a:defRPr b="1"/>
                  </a:pPr>
                </a:p>
              </c:txPr>
              <c:showLegendKey val="0"/>
              <c:showVal val="1"/>
              <c:showCatName val="0"/>
              <c:showSerName val="0"/>
              <c:showPercent val="0"/>
              <c:showBubbleSize val="0"/>
            </c:dLbl>
            <c:numFmt formatCode="General" sourceLinked="0"/>
            <c:txPr>
              <a:bodyPr/>
              <a:lstStyle/>
              <a:p>
                <a:pPr lvl="0">
                  <a:defRPr b="1"/>
                </a:pPr>
              </a:p>
            </c:txPr>
            <c:showLegendKey val="0"/>
            <c:showVal val="1"/>
            <c:showCatName val="0"/>
            <c:showSerName val="0"/>
            <c:showPercent val="0"/>
            <c:showBubbleSize val="0"/>
          </c:dLbls>
          <c:cat>
            <c:strRef>
              <c:f>Mecanismo!$B$4:$B$10</c:f>
            </c:strRef>
          </c:cat>
          <c:val>
            <c:numRef>
              <c:f>Mecanismo!$D$4:$D$10</c:f>
              <c:numCache/>
            </c:numRef>
          </c:val>
        </c:ser>
        <c:axId val="659827970"/>
        <c:axId val="1091127107"/>
      </c:barChart>
      <c:catAx>
        <c:axId val="659827970"/>
        <c:scaling>
          <c:orientation val="minMax"/>
        </c:scaling>
        <c:delete val="0"/>
        <c:axPos val="b"/>
        <c:title>
          <c:tx>
            <c:rich>
              <a:bodyPr/>
              <a:lstStyle/>
              <a:p>
                <a:pPr lvl="0">
                  <a:defRPr b="1">
                    <a:solidFill>
                      <a:srgbClr val="000000"/>
                    </a:solidFill>
                    <a:latin typeface="+mn-lt"/>
                  </a:defRPr>
                </a:pPr>
                <a:r>
                  <a:rPr b="1">
                    <a:solidFill>
                      <a:srgbClr val="000000"/>
                    </a:solidFill>
                    <a:latin typeface="+mn-lt"/>
                  </a:rPr>
                  <a:t/>
                </a:r>
              </a:p>
            </c:rich>
          </c:tx>
          <c:overlay val="0"/>
        </c:title>
        <c:numFmt formatCode="General" sourceLinked="1"/>
        <c:majorTickMark val="none"/>
        <c:minorTickMark val="none"/>
        <c:spPr/>
        <c:txPr>
          <a:bodyPr rot="0"/>
          <a:lstStyle/>
          <a:p>
            <a:pPr lvl="0">
              <a:defRPr b="0" sz="1000">
                <a:solidFill>
                  <a:srgbClr val="000000"/>
                </a:solidFill>
                <a:latin typeface="+mn-lt"/>
              </a:defRPr>
            </a:pPr>
          </a:p>
        </c:txPr>
        <c:crossAx val="1091127107"/>
      </c:catAx>
      <c:valAx>
        <c:axId val="10911271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9827970"/>
      </c:valAx>
    </c:plotArea>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80458712526769"/>
          <c:y val="0.0603448275862069"/>
          <c:w val="0.9162510873929336"/>
          <c:h val="0.8091954022988506"/>
        </c:manualLayout>
      </c:layout>
      <c:barChart>
        <c:barDir val="col"/>
        <c:ser>
          <c:idx val="0"/>
          <c:order val="0"/>
          <c:tx>
            <c:strRef>
              <c:f>Mecanismo!$D$45</c:f>
            </c:strRef>
          </c:tx>
          <c:spPr>
            <a:solidFill>
              <a:schemeClr val="accent1"/>
            </a:solidFill>
            <a:ln cmpd="sng">
              <a:solidFill>
                <a:srgbClr val="000000"/>
              </a:solidFill>
            </a:ln>
          </c:spPr>
          <c:dPt>
            <c:idx val="0"/>
          </c:dPt>
          <c:dPt>
            <c:idx val="1"/>
          </c:dPt>
          <c:dPt>
            <c:idx val="2"/>
          </c:dPt>
          <c:dPt>
            <c:idx val="3"/>
          </c:dPt>
          <c:dPt>
            <c:idx val="4"/>
          </c:dPt>
          <c:dPt>
            <c:idx val="5"/>
          </c:dPt>
          <c:dPt>
            <c:idx val="6"/>
          </c:dPt>
          <c:dLbls>
            <c:dLbl>
              <c:idx val="0"/>
              <c:tx>
                <c:rich>
                  <a:bodyPr/>
                  <a:lstStyle/>
                  <a:p>
                    <a:pPr lvl="0">
                      <a:defRPr b="1">
                        <a:solidFill>
                          <a:srgbClr val="000000"/>
                        </a:solidFill>
                        <a:latin typeface="Roboto"/>
                      </a:defRPr>
                    </a:pPr>
                    <a:r>
                      <a:rPr b="1">
                        <a:solidFill>
                          <a:srgbClr val="000000"/>
                        </a:solidFill>
                        <a:latin typeface="Roboto"/>
                      </a:rPr>
                      <a:t>246 (36.12%)</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241 (35.39%)</a:t>
                    </a:r>
                  </a:p>
                </c:rich>
              </c:tx>
              <c:numFmt formatCode="General" sourceLinked="1"/>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87 (12.78%)</a:t>
                    </a:r>
                  </a:p>
                </c:rich>
              </c:tx>
              <c:numFmt formatCode="General" sourceLinked="1"/>
              <c:txPr>
                <a:bodyPr/>
                <a:lstStyle/>
                <a:p>
                  <a:pPr lvl="0">
                    <a:defRPr b="1"/>
                  </a:pPr>
                </a:p>
              </c:txPr>
              <c:showLegendKey val="0"/>
              <c:showVal val="1"/>
              <c:showCatName val="0"/>
              <c:showSerName val="0"/>
              <c:showPercent val="0"/>
              <c:showBubbleSize val="0"/>
            </c:dLbl>
            <c:dLbl>
              <c:idx val="3"/>
              <c:tx>
                <c:rich>
                  <a:bodyPr/>
                  <a:lstStyle/>
                  <a:p>
                    <a:pPr lvl="0">
                      <a:defRPr b="1">
                        <a:solidFill>
                          <a:srgbClr val="000000"/>
                        </a:solidFill>
                        <a:latin typeface="Roboto"/>
                      </a:defRPr>
                    </a:pPr>
                    <a:r>
                      <a:rPr b="1">
                        <a:solidFill>
                          <a:srgbClr val="000000"/>
                        </a:solidFill>
                        <a:latin typeface="Roboto"/>
                      </a:rPr>
                      <a:t>62 (9.10%)</a:t>
                    </a:r>
                  </a:p>
                </c:rich>
              </c:tx>
              <c:numFmt formatCode="General" sourceLinked="1"/>
              <c:txPr>
                <a:bodyPr/>
                <a:lstStyle/>
                <a:p>
                  <a:pPr lvl="0">
                    <a:defRPr b="1"/>
                  </a:pPr>
                </a:p>
              </c:txPr>
              <c:showLegendKey val="0"/>
              <c:showVal val="1"/>
              <c:showCatName val="0"/>
              <c:showSerName val="0"/>
              <c:showPercent val="0"/>
              <c:showBubbleSize val="0"/>
            </c:dLbl>
            <c:dLbl>
              <c:idx val="4"/>
              <c:tx>
                <c:rich>
                  <a:bodyPr/>
                  <a:lstStyle/>
                  <a:p>
                    <a:pPr lvl="0">
                      <a:defRPr b="1">
                        <a:solidFill>
                          <a:srgbClr val="000000"/>
                        </a:solidFill>
                        <a:latin typeface="Roboto"/>
                      </a:defRPr>
                    </a:pPr>
                    <a:r>
                      <a:rPr b="1">
                        <a:solidFill>
                          <a:srgbClr val="000000"/>
                        </a:solidFill>
                        <a:latin typeface="Roboto"/>
                      </a:rPr>
                      <a:t>21 (3.08%)</a:t>
                    </a:r>
                  </a:p>
                </c:rich>
              </c:tx>
              <c:numFmt formatCode="General" sourceLinked="1"/>
              <c:txPr>
                <a:bodyPr/>
                <a:lstStyle/>
                <a:p>
                  <a:pPr lvl="0">
                    <a:defRPr b="1"/>
                  </a:pPr>
                </a:p>
              </c:txPr>
              <c:showLegendKey val="0"/>
              <c:showVal val="1"/>
              <c:showCatName val="0"/>
              <c:showSerName val="0"/>
              <c:showPercent val="0"/>
              <c:showBubbleSize val="0"/>
            </c:dLbl>
            <c:dLbl>
              <c:idx val="5"/>
              <c:tx>
                <c:rich>
                  <a:bodyPr/>
                  <a:lstStyle/>
                  <a:p>
                    <a:pPr lvl="0">
                      <a:defRPr b="1">
                        <a:solidFill>
                          <a:srgbClr val="000000"/>
                        </a:solidFill>
                        <a:latin typeface="Roboto"/>
                      </a:defRPr>
                    </a:pPr>
                    <a:r>
                      <a:rPr b="1">
                        <a:solidFill>
                          <a:srgbClr val="000000"/>
                        </a:solidFill>
                        <a:latin typeface="Roboto"/>
                      </a:rPr>
                      <a:t>16 (2.35%)</a:t>
                    </a:r>
                  </a:p>
                </c:rich>
              </c:tx>
              <c:numFmt formatCode="General" sourceLinked="1"/>
              <c:txPr>
                <a:bodyPr/>
                <a:lstStyle/>
                <a:p>
                  <a:pPr lvl="0">
                    <a:defRPr b="1"/>
                  </a:pPr>
                </a:p>
              </c:txPr>
              <c:showLegendKey val="0"/>
              <c:showVal val="1"/>
              <c:showCatName val="0"/>
              <c:showSerName val="0"/>
              <c:showPercent val="0"/>
              <c:showBubbleSize val="0"/>
            </c:dLbl>
            <c:dLbl>
              <c:idx val="6"/>
              <c:tx>
                <c:rich>
                  <a:bodyPr/>
                  <a:lstStyle/>
                  <a:p>
                    <a:pPr lvl="0">
                      <a:defRPr b="1">
                        <a:solidFill>
                          <a:srgbClr val="000000"/>
                        </a:solidFill>
                        <a:latin typeface="Roboto"/>
                      </a:defRPr>
                    </a:pPr>
                    <a:r>
                      <a:rPr b="1">
                        <a:solidFill>
                          <a:srgbClr val="000000"/>
                        </a:solidFill>
                        <a:latin typeface="Roboto"/>
                      </a:rPr>
                      <a:t>8 (1.17%)</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Mecanismo!$B$46:$B$52</c:f>
            </c:strRef>
          </c:cat>
          <c:val>
            <c:numRef>
              <c:f>Mecanismo!$D$46:$D$52</c:f>
              <c:numCache/>
            </c:numRef>
          </c:val>
        </c:ser>
        <c:axId val="1122935468"/>
        <c:axId val="931732934"/>
      </c:barChart>
      <c:catAx>
        <c:axId val="11229354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31732934"/>
      </c:catAx>
      <c:valAx>
        <c:axId val="9317329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2935468"/>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7428580729166664"/>
          <c:y val="0.07412398921832884"/>
          <c:w val="0.838911481859943"/>
          <c:h val="0.7616801437556154"/>
        </c:manualLayout>
      </c:layout>
      <c:barChart>
        <c:barDir val="col"/>
        <c:ser>
          <c:idx val="0"/>
          <c:order val="0"/>
          <c:tx>
            <c:v>Nº de ações de ano de financiamento</c:v>
          </c:tx>
          <c:spPr>
            <a:solidFill>
              <a:schemeClr val="accent1"/>
            </a:solidFill>
            <a:ln cmpd="sng">
              <a:solidFill>
                <a:srgbClr val="000000"/>
              </a:solidFill>
            </a:ln>
          </c:spPr>
          <c:dPt>
            <c:idx val="0"/>
          </c:dPt>
          <c:dPt>
            <c:idx val="1"/>
          </c:dPt>
          <c:dPt>
            <c:idx val="2"/>
          </c:dPt>
          <c:dPt>
            <c:idx val="3"/>
          </c:dPt>
          <c:dLbls>
            <c:dLbl>
              <c:idx val="0"/>
              <c:tx>
                <c:rich>
                  <a:bodyPr/>
                  <a:lstStyle/>
                  <a:p>
                    <a:pPr lvl="0">
                      <a:defRPr b="1" sz="1200">
                        <a:solidFill>
                          <a:srgbClr val="000000"/>
                        </a:solidFill>
                        <a:latin typeface="Roboto"/>
                      </a:defRPr>
                    </a:pPr>
                    <a:r>
                      <a:rPr b="1" sz="1200">
                        <a:solidFill>
                          <a:srgbClr val="000000"/>
                        </a:solidFill>
                        <a:latin typeface="Roboto"/>
                      </a:rPr>
                      <a:t>258 (37.89%)</a:t>
                    </a:r>
                  </a:p>
                </c:rich>
              </c:tx>
              <c:numFmt formatCode="General" sourceLinked="1"/>
              <c:txPr>
                <a:bodyPr/>
                <a:lstStyle/>
                <a:p>
                  <a:pPr lvl="0">
                    <a:defRPr b="1" sz="1200"/>
                  </a:pPr>
                </a:p>
              </c:txPr>
              <c:showLegendKey val="0"/>
              <c:showVal val="1"/>
              <c:showCatName val="0"/>
              <c:showSerName val="0"/>
              <c:showPercent val="0"/>
              <c:showBubbleSize val="0"/>
            </c:dLbl>
            <c:dLbl>
              <c:idx val="1"/>
              <c:tx>
                <c:rich>
                  <a:bodyPr/>
                  <a:lstStyle/>
                  <a:p>
                    <a:pPr lvl="0">
                      <a:defRPr b="1" sz="1200">
                        <a:solidFill>
                          <a:srgbClr val="000000"/>
                        </a:solidFill>
                        <a:latin typeface="Roboto"/>
                      </a:defRPr>
                    </a:pPr>
                    <a:r>
                      <a:rPr b="1" sz="1200">
                        <a:solidFill>
                          <a:srgbClr val="000000"/>
                        </a:solidFill>
                        <a:latin typeface="Roboto"/>
                      </a:rPr>
                      <a:t>278 (40.82%)</a:t>
                    </a:r>
                  </a:p>
                </c:rich>
              </c:tx>
              <c:numFmt formatCode="General" sourceLinked="1"/>
              <c:txPr>
                <a:bodyPr/>
                <a:lstStyle/>
                <a:p>
                  <a:pPr lvl="0">
                    <a:defRPr b="1" sz="1200"/>
                  </a:pPr>
                </a:p>
              </c:txPr>
              <c:showLegendKey val="0"/>
              <c:showVal val="1"/>
              <c:showCatName val="0"/>
              <c:showSerName val="0"/>
              <c:showPercent val="0"/>
              <c:showBubbleSize val="0"/>
            </c:dLbl>
            <c:dLbl>
              <c:idx val="2"/>
              <c:tx>
                <c:rich>
                  <a:bodyPr/>
                  <a:lstStyle/>
                  <a:p>
                    <a:pPr lvl="0">
                      <a:defRPr b="1" sz="1200">
                        <a:solidFill>
                          <a:srgbClr val="000000"/>
                        </a:solidFill>
                        <a:latin typeface="Roboto"/>
                      </a:defRPr>
                    </a:pPr>
                    <a:r>
                      <a:rPr b="1" sz="1200">
                        <a:solidFill>
                          <a:srgbClr val="000000"/>
                        </a:solidFill>
                        <a:latin typeface="Roboto"/>
                      </a:rPr>
                      <a:t>354 (51.98%)</a:t>
                    </a:r>
                  </a:p>
                </c:rich>
              </c:tx>
              <c:numFmt formatCode="General" sourceLinked="1"/>
              <c:txPr>
                <a:bodyPr/>
                <a:lstStyle/>
                <a:p>
                  <a:pPr lvl="0">
                    <a:defRPr b="1" sz="1200"/>
                  </a:pPr>
                </a:p>
              </c:txPr>
              <c:showLegendKey val="0"/>
              <c:showVal val="1"/>
              <c:showCatName val="0"/>
              <c:showSerName val="0"/>
              <c:showPercent val="0"/>
              <c:showBubbleSize val="0"/>
            </c:dLbl>
            <c:dLbl>
              <c:idx val="3"/>
              <c:tx>
                <c:rich>
                  <a:bodyPr/>
                  <a:lstStyle/>
                  <a:p>
                    <a:pPr lvl="0">
                      <a:defRPr b="1" sz="1200">
                        <a:solidFill>
                          <a:srgbClr val="000000"/>
                        </a:solidFill>
                        <a:latin typeface="Roboto"/>
                      </a:defRPr>
                    </a:pPr>
                    <a:r>
                      <a:rPr b="1" sz="1200">
                        <a:solidFill>
                          <a:srgbClr val="000000"/>
                        </a:solidFill>
                        <a:latin typeface="Roboto"/>
                      </a:rPr>
                      <a:t>361 (53.01%)</a:t>
                    </a:r>
                  </a:p>
                </c:rich>
              </c:tx>
              <c:numFmt formatCode="General" sourceLinked="1"/>
              <c:txPr>
                <a:bodyPr/>
                <a:lstStyle/>
                <a:p>
                  <a:pPr lvl="0">
                    <a:defRPr b="1" sz="1200"/>
                  </a:pPr>
                </a:p>
              </c:txPr>
              <c:showLegendKey val="0"/>
              <c:showVal val="1"/>
              <c:showCatName val="0"/>
              <c:showSerName val="0"/>
              <c:showPercent val="0"/>
              <c:showBubbleSize val="0"/>
            </c:dLbl>
            <c:numFmt formatCode="General" sourceLinked="1"/>
            <c:txPr>
              <a:bodyPr/>
              <a:lstStyle/>
              <a:p>
                <a:pPr lvl="0">
                  <a:defRPr b="1" sz="1200"/>
                </a:pPr>
              </a:p>
            </c:txPr>
            <c:showLegendKey val="0"/>
            <c:showVal val="1"/>
            <c:showCatName val="0"/>
            <c:showSerName val="0"/>
            <c:showPercent val="0"/>
            <c:showBubbleSize val="0"/>
          </c:dLbls>
          <c:cat>
            <c:strRef>
              <c:f>Financiamento!$A$4:$A$7</c:f>
            </c:strRef>
          </c:cat>
          <c:val>
            <c:numRef>
              <c:f>Financiamento!$B$4:$B$7</c:f>
              <c:numCache/>
            </c:numRef>
          </c:val>
        </c:ser>
        <c:axId val="1511785464"/>
        <c:axId val="1475695243"/>
      </c:barChart>
      <c:catAx>
        <c:axId val="15117854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1475695243"/>
      </c:catAx>
      <c:valAx>
        <c:axId val="14756952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1785464"/>
      </c:valAx>
    </c:plotArea>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Financiamento!$B$31</c:f>
            </c:strRef>
          </c:tx>
          <c:spPr>
            <a:solidFill>
              <a:schemeClr val="accent1"/>
            </a:solidFill>
            <a:ln cmpd="sng">
              <a:solidFill>
                <a:srgbClr val="000000"/>
              </a:solidFill>
            </a:ln>
          </c:spPr>
          <c:dPt>
            <c:idx val="0"/>
          </c:dPt>
          <c:dPt>
            <c:idx val="1"/>
          </c:dPt>
          <c:dPt>
            <c:idx val="2"/>
          </c:dPt>
          <c:dPt>
            <c:idx val="3"/>
          </c:dPt>
          <c:dLbls>
            <c:dLbl>
              <c:idx val="0"/>
              <c:tx>
                <c:rich>
                  <a:bodyPr/>
                  <a:lstStyle/>
                  <a:p>
                    <a:pPr lvl="0">
                      <a:defRPr b="1">
                        <a:solidFill>
                          <a:srgbClr val="000000"/>
                        </a:solidFill>
                        <a:latin typeface="Roboto"/>
                      </a:defRPr>
                    </a:pPr>
                    <a:r>
                      <a:rPr b="1">
                        <a:solidFill>
                          <a:srgbClr val="000000"/>
                        </a:solidFill>
                        <a:latin typeface="Roboto"/>
                      </a:rPr>
                      <a:t>256 (37.54%)</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279 (40.91%)</a:t>
                    </a:r>
                  </a:p>
                </c:rich>
              </c:tx>
              <c:numFmt formatCode="General" sourceLinked="1"/>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355 (52.05%)</a:t>
                    </a:r>
                  </a:p>
                </c:rich>
              </c:tx>
              <c:numFmt formatCode="General" sourceLinked="1"/>
              <c:txPr>
                <a:bodyPr/>
                <a:lstStyle/>
                <a:p>
                  <a:pPr lvl="0">
                    <a:defRPr b="1"/>
                  </a:pPr>
                </a:p>
              </c:txPr>
              <c:showLegendKey val="0"/>
              <c:showVal val="1"/>
              <c:showCatName val="0"/>
              <c:showSerName val="0"/>
              <c:showPercent val="0"/>
              <c:showBubbleSize val="0"/>
            </c:dLbl>
            <c:dLbl>
              <c:idx val="3"/>
              <c:tx>
                <c:rich>
                  <a:bodyPr/>
                  <a:lstStyle/>
                  <a:p>
                    <a:pPr lvl="0">
                      <a:defRPr b="1">
                        <a:solidFill>
                          <a:srgbClr val="000000"/>
                        </a:solidFill>
                        <a:latin typeface="Roboto"/>
                      </a:defRPr>
                    </a:pPr>
                    <a:r>
                      <a:rPr b="1">
                        <a:solidFill>
                          <a:srgbClr val="000000"/>
                        </a:solidFill>
                        <a:latin typeface="Roboto"/>
                      </a:rPr>
                      <a:t>361 (52.93%)</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Financiamento!$A$32:$A$35</c:f>
            </c:strRef>
          </c:cat>
          <c:val>
            <c:numRef>
              <c:f>Financiamento!$B$32:$B$35</c:f>
              <c:numCache/>
            </c:numRef>
          </c:val>
        </c:ser>
        <c:axId val="2030686585"/>
        <c:axId val="45539615"/>
      </c:barChart>
      <c:catAx>
        <c:axId val="20306865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5539615"/>
      </c:catAx>
      <c:valAx>
        <c:axId val="455396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0686585"/>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Nº de ações por status</c:v>
          </c:tx>
          <c:spPr>
            <a:solidFill>
              <a:schemeClr val="accent1"/>
            </a:solidFill>
            <a:ln cmpd="sng">
              <a:solidFill>
                <a:srgbClr val="000000"/>
              </a:solidFill>
            </a:ln>
          </c:spPr>
          <c:dPt>
            <c:idx val="0"/>
          </c:dPt>
          <c:dPt>
            <c:idx val="1"/>
          </c:dPt>
          <c:dPt>
            <c:idx val="2"/>
          </c:dPt>
          <c:dPt>
            <c:idx val="3"/>
          </c:dPt>
          <c:dLbls>
            <c:dLbl>
              <c:idx val="0"/>
              <c:tx>
                <c:rich>
                  <a:bodyPr/>
                  <a:lstStyle/>
                  <a:p>
                    <a:pPr lvl="0">
                      <a:defRPr b="1">
                        <a:solidFill>
                          <a:srgbClr val="000000"/>
                        </a:solidFill>
                        <a:latin typeface="Roboto"/>
                      </a:defRPr>
                    </a:pPr>
                    <a:r>
                      <a:rPr b="1">
                        <a:solidFill>
                          <a:srgbClr val="000000"/>
                        </a:solidFill>
                        <a:latin typeface="Roboto"/>
                      </a:rPr>
                      <a:t>325 (47,72%)</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208 (30,54%)</a:t>
                    </a:r>
                  </a:p>
                </c:rich>
              </c:tx>
              <c:numFmt formatCode="General" sourceLinked="1"/>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132 (19,38%)</a:t>
                    </a:r>
                  </a:p>
                </c:rich>
              </c:tx>
              <c:numFmt formatCode="General" sourceLinked="1"/>
              <c:txPr>
                <a:bodyPr/>
                <a:lstStyle/>
                <a:p>
                  <a:pPr lvl="0">
                    <a:defRPr b="1"/>
                  </a:pPr>
                </a:p>
              </c:txPr>
              <c:showLegendKey val="0"/>
              <c:showVal val="1"/>
              <c:showCatName val="0"/>
              <c:showSerName val="0"/>
              <c:showPercent val="0"/>
              <c:showBubbleSize val="0"/>
            </c:dLbl>
            <c:dLbl>
              <c:idx val="3"/>
              <c:tx>
                <c:rich>
                  <a:bodyPr/>
                  <a:lstStyle/>
                  <a:p>
                    <a:pPr lvl="0">
                      <a:defRPr b="1">
                        <a:solidFill>
                          <a:srgbClr val="000000"/>
                        </a:solidFill>
                        <a:latin typeface="Roboto"/>
                      </a:defRPr>
                    </a:pPr>
                    <a:r>
                      <a:rPr b="1">
                        <a:solidFill>
                          <a:srgbClr val="000000"/>
                        </a:solidFill>
                        <a:latin typeface="Roboto"/>
                      </a:rPr>
                      <a:t>16 (2,35%)</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Status!$B$4:$B$7</c:f>
            </c:strRef>
          </c:cat>
          <c:val>
            <c:numRef>
              <c:f>Status!$C$4:$C$7</c:f>
              <c:numCache/>
            </c:numRef>
          </c:val>
        </c:ser>
        <c:axId val="1507215259"/>
        <c:axId val="1696603897"/>
      </c:barChart>
      <c:catAx>
        <c:axId val="15072152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96603897"/>
      </c:catAx>
      <c:valAx>
        <c:axId val="16966038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7215259"/>
      </c:valAx>
    </c:plotArea>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'Duração'!$C$3</c:f>
            </c:strRef>
          </c:tx>
          <c:spPr>
            <a:solidFill>
              <a:schemeClr val="accent1"/>
            </a:solidFill>
            <a:ln cmpd="sng">
              <a:solidFill>
                <a:srgbClr val="000000"/>
              </a:solidFill>
            </a:ln>
          </c:spPr>
          <c:dPt>
            <c:idx val="0"/>
          </c:dPt>
          <c:dPt>
            <c:idx val="1"/>
          </c:dPt>
          <c:dPt>
            <c:idx val="2"/>
          </c:dPt>
          <c:dPt>
            <c:idx val="3"/>
          </c:dPt>
          <c:dLbls>
            <c:dLbl>
              <c:idx val="0"/>
              <c:tx>
                <c:rich>
                  <a:bodyPr/>
                  <a:lstStyle/>
                  <a:p>
                    <a:pPr lvl="0">
                      <a:defRPr b="1">
                        <a:solidFill>
                          <a:srgbClr val="000000"/>
                        </a:solidFill>
                        <a:latin typeface="Roboto"/>
                      </a:defRPr>
                    </a:pPr>
                    <a:r>
                      <a:rPr b="1">
                        <a:solidFill>
                          <a:srgbClr val="000000"/>
                        </a:solidFill>
                        <a:latin typeface="Roboto"/>
                      </a:rPr>
                      <a:t>309 (45,37%)</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191 (28,05%)</a:t>
                    </a:r>
                  </a:p>
                </c:rich>
              </c:tx>
              <c:numFmt formatCode="General" sourceLinked="1"/>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165 (24,23%)</a:t>
                    </a:r>
                  </a:p>
                </c:rich>
              </c:tx>
              <c:numFmt formatCode="General" sourceLinked="1"/>
              <c:txPr>
                <a:bodyPr/>
                <a:lstStyle/>
                <a:p>
                  <a:pPr lvl="0">
                    <a:defRPr b="1"/>
                  </a:pPr>
                </a:p>
              </c:txPr>
              <c:showLegendKey val="0"/>
              <c:showVal val="1"/>
              <c:showCatName val="0"/>
              <c:showSerName val="0"/>
              <c:showPercent val="0"/>
              <c:showBubbleSize val="0"/>
            </c:dLbl>
            <c:dLbl>
              <c:idx val="3"/>
              <c:tx>
                <c:rich>
                  <a:bodyPr/>
                  <a:lstStyle/>
                  <a:p>
                    <a:pPr lvl="0">
                      <a:defRPr b="1">
                        <a:solidFill>
                          <a:srgbClr val="000000"/>
                        </a:solidFill>
                        <a:latin typeface="Roboto"/>
                      </a:defRPr>
                    </a:pPr>
                    <a:r>
                      <a:rPr b="1">
                        <a:solidFill>
                          <a:srgbClr val="000000"/>
                        </a:solidFill>
                        <a:latin typeface="Roboto"/>
                      </a:rPr>
                      <a:t>16 (2,35%)</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'Duração'!$B$4:$B$7</c:f>
            </c:strRef>
          </c:cat>
          <c:val>
            <c:numRef>
              <c:f>'Duração'!$C$4:$C$7</c:f>
              <c:numCache/>
            </c:numRef>
          </c:val>
        </c:ser>
        <c:axId val="4398854"/>
        <c:axId val="91985658"/>
      </c:barChart>
      <c:catAx>
        <c:axId val="43988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1985658"/>
      </c:catAx>
      <c:valAx>
        <c:axId val="919856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98854"/>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'Duração'!$C$26</c:f>
            </c:strRef>
          </c:tx>
          <c:spPr>
            <a:solidFill>
              <a:schemeClr val="accent1"/>
            </a:solidFill>
            <a:ln cmpd="sng">
              <a:solidFill>
                <a:srgbClr val="000000"/>
              </a:solidFill>
            </a:ln>
          </c:spPr>
          <c:dPt>
            <c:idx val="0"/>
          </c:dPt>
          <c:dPt>
            <c:idx val="1"/>
          </c:dPt>
          <c:dPt>
            <c:idx val="2"/>
          </c:dPt>
          <c:dPt>
            <c:idx val="3"/>
          </c:dPt>
          <c:dLbls>
            <c:dLbl>
              <c:idx val="0"/>
              <c:tx>
                <c:rich>
                  <a:bodyPr/>
                  <a:lstStyle/>
                  <a:p>
                    <a:pPr lvl="0">
                      <a:defRPr b="1">
                        <a:solidFill>
                          <a:srgbClr val="000000"/>
                        </a:solidFill>
                        <a:latin typeface="Roboto"/>
                      </a:defRPr>
                    </a:pPr>
                    <a:r>
                      <a:rPr b="1">
                        <a:solidFill>
                          <a:srgbClr val="000000"/>
                        </a:solidFill>
                        <a:latin typeface="Roboto"/>
                      </a:rPr>
                      <a:t>309 (45.37%)</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192 (28.19%)</a:t>
                    </a:r>
                  </a:p>
                </c:rich>
              </c:tx>
              <c:numFmt formatCode="General" sourceLinked="1"/>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164 (24.08%)</a:t>
                    </a:r>
                  </a:p>
                </c:rich>
              </c:tx>
              <c:numFmt formatCode="General" sourceLinked="1"/>
              <c:txPr>
                <a:bodyPr/>
                <a:lstStyle/>
                <a:p>
                  <a:pPr lvl="0">
                    <a:defRPr b="1"/>
                  </a:pPr>
                </a:p>
              </c:txPr>
              <c:showLegendKey val="0"/>
              <c:showVal val="1"/>
              <c:showCatName val="0"/>
              <c:showSerName val="0"/>
              <c:showPercent val="0"/>
              <c:showBubbleSize val="0"/>
            </c:dLbl>
            <c:dLbl>
              <c:idx val="3"/>
              <c:tx>
                <c:rich>
                  <a:bodyPr/>
                  <a:lstStyle/>
                  <a:p>
                    <a:pPr lvl="0">
                      <a:defRPr b="1">
                        <a:solidFill>
                          <a:srgbClr val="000000"/>
                        </a:solidFill>
                        <a:latin typeface="Roboto"/>
                      </a:defRPr>
                    </a:pPr>
                    <a:r>
                      <a:rPr b="1">
                        <a:solidFill>
                          <a:srgbClr val="000000"/>
                        </a:solidFill>
                        <a:latin typeface="Roboto"/>
                      </a:rPr>
                      <a:t>16 (2.35%)</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'Duração'!$B$27:$B$30</c:f>
            </c:strRef>
          </c:cat>
          <c:val>
            <c:numRef>
              <c:f>'Duração'!$C$27:$C$30</c:f>
              <c:numCache/>
            </c:numRef>
          </c:val>
        </c:ser>
        <c:axId val="775354652"/>
        <c:axId val="595267844"/>
      </c:barChart>
      <c:catAx>
        <c:axId val="7753546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95267844"/>
      </c:catAx>
      <c:valAx>
        <c:axId val="5952678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5354652"/>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Iniciativas com motivação emergencial</a:t>
            </a:r>
          </a:p>
        </c:rich>
      </c:tx>
      <c:overlay val="0"/>
    </c:title>
    <c:plotArea>
      <c:layout/>
      <c:barChart>
        <c:barDir val="col"/>
        <c:ser>
          <c:idx val="0"/>
          <c:order val="0"/>
          <c:tx>
            <c:v>Nº total de ações</c:v>
          </c:tx>
          <c:spPr>
            <a:solidFill>
              <a:schemeClr val="accent1"/>
            </a:solidFill>
            <a:ln cmpd="sng">
              <a:solidFill>
                <a:srgbClr val="000000"/>
              </a:solidFill>
            </a:ln>
          </c:spPr>
          <c:dPt>
            <c:idx val="1"/>
          </c:dPt>
          <c:dPt>
            <c:idx val="2"/>
          </c:dPt>
          <c:dLbls>
            <c:dLbl>
              <c:idx val="2"/>
              <c:layout>
                <c:manualLayout>
                  <c:xMode val="edge"/>
                  <c:yMode val="edge"/>
                  <c:x val="0.7811498706549014"/>
                  <c:y val="0.8690009874917709"/>
                </c:manualLayout>
              </c:layout>
              <c:numFmt formatCode="General" sourceLinked="1"/>
              <c:txPr>
                <a:bodyPr/>
                <a:lstStyle/>
                <a:p>
                  <a:pPr lvl="0">
                    <a:defRPr/>
                  </a:pPr>
                </a:p>
              </c:txPr>
              <c:showLegendKey val="0"/>
              <c:showVal val="1"/>
              <c:showCatName val="0"/>
              <c:showSerName val="0"/>
              <c:showPercent val="0"/>
              <c:showBubbleSize val="0"/>
            </c:dLbl>
            <c:numFmt formatCode="General" sourceLinked="1"/>
            <c:txPr>
              <a:bodyPr/>
              <a:lstStyle/>
              <a:p>
                <a:pPr lvl="0">
                  <a:defRPr/>
                </a:pPr>
              </a:p>
            </c:txPr>
            <c:showLegendKey val="0"/>
            <c:showVal val="1"/>
            <c:showCatName val="0"/>
            <c:showSerName val="0"/>
            <c:showPercent val="0"/>
            <c:showBubbleSize val="0"/>
          </c:dLbls>
          <c:cat>
            <c:strRef>
              <c:f>Emergencial!$B$3:$B$5</c:f>
            </c:strRef>
          </c:cat>
          <c:val>
            <c:numRef>
              <c:f>Emergencial!$C$3:$C$5</c:f>
              <c:numCache/>
            </c:numRef>
          </c:val>
        </c:ser>
        <c:axId val="1821519502"/>
        <c:axId val="1692005495"/>
      </c:barChart>
      <c:catAx>
        <c:axId val="18215195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92005495"/>
      </c:catAx>
      <c:valAx>
        <c:axId val="16920054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1519502"/>
      </c:valAx>
      <c:lineChart>
        <c:varyColors val="0"/>
        <c:ser>
          <c:idx val="1"/>
          <c:order val="1"/>
          <c:tx>
            <c:v>% do toal</c:v>
          </c:tx>
          <c:spPr>
            <a:ln cmpd="sng">
              <a:solidFill>
                <a:srgbClr val="EA4335"/>
              </a:solidFill>
            </a:ln>
          </c:spPr>
          <c:marker>
            <c:symbol val="none"/>
          </c:marker>
          <c:dPt>
            <c:idx val="1"/>
            <c:marker>
              <c:symbol val="none"/>
            </c:marker>
          </c:dPt>
          <c:dPt>
            <c:idx val="2"/>
            <c:marker>
              <c:symbol val="none"/>
            </c:marker>
          </c:dPt>
          <c:dLbls>
            <c:dLbl>
              <c:idx val="1"/>
              <c:layout>
                <c:manualLayout>
                  <c:xMode val="edge"/>
                  <c:yMode val="edge"/>
                  <c:x val="0.461840772224978"/>
                  <c:y val="0.1047682850317902"/>
                </c:manualLayout>
              </c:layout>
              <c:numFmt formatCode="General" sourceLinked="1"/>
              <c:txPr>
                <a:bodyPr/>
                <a:lstStyle/>
                <a:p>
                  <a:pPr lvl="0">
                    <a:defRPr>
                      <a:solidFill>
                        <a:srgbClr val="FFFFFF"/>
                      </a:solidFill>
                    </a:defRPr>
                  </a:pPr>
                </a:p>
              </c:txPr>
              <c:showLegendKey val="0"/>
              <c:showVal val="1"/>
              <c:showCatName val="0"/>
              <c:showSerName val="0"/>
              <c:showPercent val="0"/>
              <c:showBubbleSize val="0"/>
            </c:dLbl>
            <c:dLbl>
              <c:idx val="2"/>
              <c:layout>
                <c:manualLayout>
                  <c:xMode val="edge"/>
                  <c:yMode val="edge"/>
                  <c:x val="0.7652481600998268"/>
                  <c:y val="0.79785506926943"/>
                </c:manualLayout>
              </c:layout>
              <c:numFmt formatCode="General" sourceLinked="1"/>
              <c:txPr>
                <a:bodyPr/>
                <a:lstStyle/>
                <a:p>
                  <a:pPr lvl="0">
                    <a:defRPr/>
                  </a:pPr>
                </a:p>
              </c:txPr>
              <c:showLegendKey val="0"/>
              <c:showVal val="1"/>
              <c:showCatName val="0"/>
              <c:showSerName val="0"/>
              <c:showPercent val="0"/>
              <c:showBubbleSize val="0"/>
            </c:dLbl>
            <c:numFmt formatCode="General" sourceLinked="1"/>
            <c:txPr>
              <a:bodyPr/>
              <a:lstStyle/>
              <a:p>
                <a:pPr lvl="0">
                  <a:defRPr/>
                </a:pPr>
              </a:p>
            </c:txPr>
            <c:showLegendKey val="0"/>
            <c:showVal val="1"/>
            <c:showCatName val="0"/>
            <c:showSerName val="0"/>
            <c:showPercent val="0"/>
            <c:showBubbleSize val="0"/>
          </c:dLbls>
          <c:cat>
            <c:strRef>
              <c:f>Emergencial!$B$3:$B$5</c:f>
            </c:strRef>
          </c:cat>
          <c:val>
            <c:numRef>
              <c:f>Emergencial!$D$3:$D$5</c:f>
              <c:numCache/>
            </c:numRef>
          </c:val>
          <c:smooth val="0"/>
        </c:ser>
        <c:axId val="15407783"/>
        <c:axId val="2022302870"/>
      </c:lineChart>
      <c:catAx>
        <c:axId val="15407783"/>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022302870"/>
      </c:catAx>
      <c:valAx>
        <c:axId val="202230287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07783"/>
        <c:crosses val="max"/>
      </c:valAx>
    </c:plotArea>
    <c:legend>
      <c:legendPos val="b"/>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Iniciativas com motivação emergencial</a:t>
            </a:r>
          </a:p>
        </c:rich>
      </c:tx>
      <c:overlay val="0"/>
    </c:title>
    <c:plotArea>
      <c:layout/>
      <c:doughnutChart>
        <c:varyColors val="1"/>
        <c:ser>
          <c:idx val="0"/>
          <c:order val="0"/>
          <c:tx>
            <c:strRef>
              <c:f>Emergencial!$C$2</c:f>
            </c:strRef>
          </c:tx>
          <c:dPt>
            <c:idx val="0"/>
            <c:spPr>
              <a:solidFill>
                <a:srgbClr val="4285F4"/>
              </a:solidFill>
            </c:spPr>
          </c:dPt>
          <c:dPt>
            <c:idx val="1"/>
            <c:explosion val="0"/>
            <c:spPr>
              <a:solidFill>
                <a:srgbClr val="EA4335"/>
              </a:solidFill>
            </c:spPr>
          </c:dPt>
          <c:dPt>
            <c:idx val="2"/>
            <c:explosion val="0"/>
            <c:spPr>
              <a:solidFill>
                <a:srgbClr val="FBBC04"/>
              </a:solidFill>
            </c:spPr>
          </c:dPt>
          <c:dLbls>
            <c:showLegendKey val="0"/>
            <c:showVal val="0"/>
            <c:showCatName val="0"/>
            <c:showSerName val="0"/>
            <c:showPercent val="0"/>
            <c:showBubbleSize val="0"/>
            <c:showLeaderLines val="1"/>
          </c:dLbls>
          <c:cat>
            <c:strRef>
              <c:f>Emergencial!$B$3:$B$5</c:f>
            </c:strRef>
          </c:cat>
          <c:val>
            <c:numRef>
              <c:f>Emergencial!$C$3:$C$5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1">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Nº de ações por elo da cadeia</c:v>
          </c:tx>
          <c:spPr>
            <a:solidFill>
              <a:schemeClr val="accent1"/>
            </a:solidFill>
            <a:ln cmpd="sng">
              <a:solidFill>
                <a:srgbClr val="000000"/>
              </a:solidFill>
            </a:ln>
          </c:spPr>
          <c:dPt>
            <c:idx val="0"/>
          </c:dPt>
          <c:dPt>
            <c:idx val="1"/>
          </c:dPt>
          <c:dPt>
            <c:idx val="2"/>
          </c:dPt>
          <c:dPt>
            <c:idx val="3"/>
          </c:dPt>
          <c:dPt>
            <c:idx val="4"/>
          </c:dPt>
          <c:dPt>
            <c:idx val="5"/>
          </c:dPt>
          <c:dLbls>
            <c:dLbl>
              <c:idx val="0"/>
              <c:tx>
                <c:rich>
                  <a:bodyPr/>
                  <a:lstStyle/>
                  <a:p>
                    <a:pPr lvl="0">
                      <a:defRPr b="1">
                        <a:solidFill>
                          <a:srgbClr val="000000"/>
                        </a:solidFill>
                        <a:latin typeface="Roboto"/>
                      </a:defRPr>
                    </a:pPr>
                    <a:r>
                      <a:rPr b="1">
                        <a:solidFill>
                          <a:srgbClr val="000000"/>
                        </a:solidFill>
                        <a:latin typeface="Roboto"/>
                      </a:rPr>
                      <a:t>362 (53,16%)</a:t>
                    </a:r>
                  </a:p>
                </c:rich>
              </c:tx>
              <c:numFmt formatCode="General" sourceLinked="0"/>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326 (47,87%)</a:t>
                    </a:r>
                  </a:p>
                </c:rich>
              </c:tx>
              <c:numFmt formatCode="General" sourceLinked="0"/>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18 (2,64%)</a:t>
                    </a:r>
                  </a:p>
                </c:rich>
              </c:tx>
              <c:numFmt formatCode="General" sourceLinked="0"/>
              <c:txPr>
                <a:bodyPr/>
                <a:lstStyle/>
                <a:p>
                  <a:pPr lvl="0">
                    <a:defRPr b="1"/>
                  </a:pPr>
                </a:p>
              </c:txPr>
              <c:showLegendKey val="0"/>
              <c:showVal val="1"/>
              <c:showCatName val="0"/>
              <c:showSerName val="0"/>
              <c:showPercent val="0"/>
              <c:showBubbleSize val="0"/>
            </c:dLbl>
            <c:dLbl>
              <c:idx val="3"/>
              <c:tx>
                <c:rich>
                  <a:bodyPr/>
                  <a:lstStyle/>
                  <a:p>
                    <a:pPr lvl="0">
                      <a:defRPr b="1">
                        <a:solidFill>
                          <a:srgbClr val="000000"/>
                        </a:solidFill>
                        <a:latin typeface="Roboto"/>
                      </a:defRPr>
                    </a:pPr>
                    <a:r>
                      <a:rPr b="1">
                        <a:solidFill>
                          <a:srgbClr val="000000"/>
                        </a:solidFill>
                        <a:latin typeface="Roboto"/>
                      </a:rPr>
                      <a:t>10 (1,47%)</a:t>
                    </a:r>
                  </a:p>
                </c:rich>
              </c:tx>
              <c:numFmt formatCode="General" sourceLinked="0"/>
              <c:txPr>
                <a:bodyPr/>
                <a:lstStyle/>
                <a:p>
                  <a:pPr lvl="0">
                    <a:defRPr b="1"/>
                  </a:pPr>
                </a:p>
              </c:txPr>
              <c:showLegendKey val="0"/>
              <c:showVal val="1"/>
              <c:showCatName val="0"/>
              <c:showSerName val="0"/>
              <c:showPercent val="0"/>
              <c:showBubbleSize val="0"/>
            </c:dLbl>
            <c:dLbl>
              <c:idx val="4"/>
              <c:tx>
                <c:rich>
                  <a:bodyPr/>
                  <a:lstStyle/>
                  <a:p>
                    <a:pPr lvl="0">
                      <a:defRPr b="1">
                        <a:solidFill>
                          <a:srgbClr val="000000"/>
                        </a:solidFill>
                        <a:latin typeface="Roboto"/>
                      </a:defRPr>
                    </a:pPr>
                    <a:r>
                      <a:rPr b="1">
                        <a:solidFill>
                          <a:srgbClr val="000000"/>
                        </a:solidFill>
                        <a:latin typeface="Roboto"/>
                      </a:rPr>
                      <a:t>9 (1,32%)</a:t>
                    </a:r>
                  </a:p>
                </c:rich>
              </c:tx>
              <c:numFmt formatCode="General" sourceLinked="0"/>
              <c:txPr>
                <a:bodyPr/>
                <a:lstStyle/>
                <a:p>
                  <a:pPr lvl="0">
                    <a:defRPr b="1"/>
                  </a:pPr>
                </a:p>
              </c:txPr>
              <c:showLegendKey val="0"/>
              <c:showVal val="1"/>
              <c:showCatName val="0"/>
              <c:showSerName val="0"/>
              <c:showPercent val="0"/>
              <c:showBubbleSize val="0"/>
            </c:dLbl>
            <c:dLbl>
              <c:idx val="5"/>
              <c:tx>
                <c:rich>
                  <a:bodyPr/>
                  <a:lstStyle/>
                  <a:p>
                    <a:pPr lvl="0">
                      <a:defRPr b="1">
                        <a:solidFill>
                          <a:srgbClr val="000000"/>
                        </a:solidFill>
                        <a:latin typeface="Roboto"/>
                      </a:defRPr>
                    </a:pPr>
                    <a:r>
                      <a:rPr b="1">
                        <a:solidFill>
                          <a:srgbClr val="000000"/>
                        </a:solidFill>
                        <a:latin typeface="Roboto"/>
                      </a:rPr>
                      <a:t>3 (0,44%)</a:t>
                    </a:r>
                  </a:p>
                </c:rich>
              </c:tx>
              <c:numFmt formatCode="General" sourceLinked="0"/>
              <c:txPr>
                <a:bodyPr/>
                <a:lstStyle/>
                <a:p>
                  <a:pPr lvl="0">
                    <a:defRPr b="1"/>
                  </a:pPr>
                </a:p>
              </c:txPr>
              <c:showLegendKey val="0"/>
              <c:showVal val="1"/>
              <c:showCatName val="0"/>
              <c:showSerName val="0"/>
              <c:showPercent val="0"/>
              <c:showBubbleSize val="0"/>
            </c:dLbl>
            <c:numFmt formatCode="General" sourceLinked="0"/>
            <c:txPr>
              <a:bodyPr/>
              <a:lstStyle/>
              <a:p>
                <a:pPr lvl="0">
                  <a:defRPr b="1"/>
                </a:pPr>
              </a:p>
            </c:txPr>
            <c:showLegendKey val="0"/>
            <c:showVal val="1"/>
            <c:showCatName val="0"/>
            <c:showSerName val="0"/>
            <c:showPercent val="0"/>
            <c:showBubbleSize val="0"/>
          </c:dLbls>
          <c:cat>
            <c:strRef>
              <c:f>'Elos_ações'!$A$3:$A$8</c:f>
            </c:strRef>
          </c:cat>
          <c:val>
            <c:numRef>
              <c:f>'Elos_ações'!$B$3:$B$8</c:f>
              <c:numCache/>
            </c:numRef>
          </c:val>
        </c:ser>
        <c:axId val="1193570859"/>
        <c:axId val="1388637896"/>
      </c:barChart>
      <c:catAx>
        <c:axId val="11935708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8637896"/>
      </c:catAx>
      <c:valAx>
        <c:axId val="13886378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3570859"/>
      </c:valAx>
    </c:plotArea>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'Elos_ações'!$B$15</c:f>
            </c:strRef>
          </c:tx>
          <c:spPr>
            <a:solidFill>
              <a:schemeClr val="accent1"/>
            </a:solidFill>
            <a:ln cmpd="sng">
              <a:solidFill>
                <a:srgbClr val="000000"/>
              </a:solidFill>
            </a:ln>
          </c:spPr>
          <c:dPt>
            <c:idx val="0"/>
          </c:dPt>
          <c:dPt>
            <c:idx val="1"/>
          </c:dPt>
          <c:dPt>
            <c:idx val="2"/>
          </c:dPt>
          <c:dPt>
            <c:idx val="3"/>
          </c:dPt>
          <c:dPt>
            <c:idx val="4"/>
          </c:dPt>
          <c:dPt>
            <c:idx val="5"/>
          </c:dPt>
          <c:dLbls>
            <c:dLbl>
              <c:idx val="0"/>
              <c:tx>
                <c:rich>
                  <a:bodyPr/>
                  <a:lstStyle/>
                  <a:p>
                    <a:pPr lvl="0">
                      <a:defRPr b="1">
                        <a:solidFill>
                          <a:srgbClr val="000000"/>
                        </a:solidFill>
                        <a:latin typeface="Roboto"/>
                      </a:defRPr>
                    </a:pPr>
                    <a:r>
                      <a:rPr b="1">
                        <a:solidFill>
                          <a:srgbClr val="000000"/>
                        </a:solidFill>
                        <a:latin typeface="Roboto"/>
                      </a:rPr>
                      <a:t>363 (53.15%)</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326 (47.73%)</a:t>
                    </a:r>
                  </a:p>
                </c:rich>
              </c:tx>
              <c:numFmt formatCode="General" sourceLinked="1"/>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18 (2.64%)</a:t>
                    </a:r>
                  </a:p>
                </c:rich>
              </c:tx>
              <c:numFmt formatCode="General" sourceLinked="1"/>
              <c:txPr>
                <a:bodyPr/>
                <a:lstStyle/>
                <a:p>
                  <a:pPr lvl="0">
                    <a:defRPr b="1"/>
                  </a:pPr>
                </a:p>
              </c:txPr>
              <c:showLegendKey val="0"/>
              <c:showVal val="1"/>
              <c:showCatName val="0"/>
              <c:showSerName val="0"/>
              <c:showPercent val="0"/>
              <c:showBubbleSize val="0"/>
            </c:dLbl>
            <c:dLbl>
              <c:idx val="3"/>
              <c:tx>
                <c:rich>
                  <a:bodyPr/>
                  <a:lstStyle/>
                  <a:p>
                    <a:pPr lvl="0">
                      <a:defRPr b="1">
                        <a:solidFill>
                          <a:srgbClr val="000000"/>
                        </a:solidFill>
                        <a:latin typeface="Roboto"/>
                      </a:defRPr>
                    </a:pPr>
                    <a:r>
                      <a:rPr b="1">
                        <a:solidFill>
                          <a:srgbClr val="000000"/>
                        </a:solidFill>
                        <a:latin typeface="Roboto"/>
                      </a:rPr>
                      <a:t>11 (1.16%)</a:t>
                    </a:r>
                  </a:p>
                </c:rich>
              </c:tx>
              <c:numFmt formatCode="General" sourceLinked="1"/>
              <c:txPr>
                <a:bodyPr/>
                <a:lstStyle/>
                <a:p>
                  <a:pPr lvl="0">
                    <a:defRPr b="1"/>
                  </a:pPr>
                </a:p>
              </c:txPr>
              <c:showLegendKey val="0"/>
              <c:showVal val="1"/>
              <c:showCatName val="0"/>
              <c:showSerName val="0"/>
              <c:showPercent val="0"/>
              <c:showBubbleSize val="0"/>
            </c:dLbl>
            <c:dLbl>
              <c:idx val="4"/>
              <c:tx>
                <c:rich>
                  <a:bodyPr/>
                  <a:lstStyle/>
                  <a:p>
                    <a:pPr lvl="0">
                      <a:defRPr b="1">
                        <a:solidFill>
                          <a:srgbClr val="000000"/>
                        </a:solidFill>
                        <a:latin typeface="Roboto"/>
                      </a:defRPr>
                    </a:pPr>
                    <a:r>
                      <a:rPr b="1">
                        <a:solidFill>
                          <a:srgbClr val="000000"/>
                        </a:solidFill>
                        <a:latin typeface="Roboto"/>
                      </a:rPr>
                      <a:t>9 (1.32%)</a:t>
                    </a:r>
                  </a:p>
                </c:rich>
              </c:tx>
              <c:numFmt formatCode="General" sourceLinked="1"/>
              <c:txPr>
                <a:bodyPr/>
                <a:lstStyle/>
                <a:p>
                  <a:pPr lvl="0">
                    <a:defRPr b="1"/>
                  </a:pPr>
                </a:p>
              </c:txPr>
              <c:showLegendKey val="0"/>
              <c:showVal val="1"/>
              <c:showCatName val="0"/>
              <c:showSerName val="0"/>
              <c:showPercent val="0"/>
              <c:showBubbleSize val="0"/>
            </c:dLbl>
            <c:dLbl>
              <c:idx val="5"/>
              <c:tx>
                <c:rich>
                  <a:bodyPr/>
                  <a:lstStyle/>
                  <a:p>
                    <a:pPr lvl="0">
                      <a:defRPr b="1">
                        <a:solidFill>
                          <a:srgbClr val="000000"/>
                        </a:solidFill>
                        <a:latin typeface="Roboto"/>
                      </a:defRPr>
                    </a:pPr>
                    <a:r>
                      <a:rPr b="1">
                        <a:solidFill>
                          <a:srgbClr val="000000"/>
                        </a:solidFill>
                        <a:latin typeface="Roboto"/>
                      </a:rPr>
                      <a:t>3 (0.44%)</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'Elos_ações'!$A$16:$A$22</c:f>
            </c:strRef>
          </c:cat>
          <c:val>
            <c:numRef>
              <c:f>'Elos_ações'!$B$16:$B$22</c:f>
              <c:numCache/>
            </c:numRef>
          </c:val>
        </c:ser>
        <c:axId val="697245588"/>
        <c:axId val="920900760"/>
      </c:barChart>
      <c:catAx>
        <c:axId val="6972455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20900760"/>
      </c:catAx>
      <c:valAx>
        <c:axId val="9209007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7245588"/>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Total de ações de apoio institucional</c:v>
          </c:tx>
          <c:spPr>
            <a:solidFill>
              <a:schemeClr val="accent1"/>
            </a:solidFill>
            <a:ln cmpd="sng">
              <a:solidFill>
                <a:srgbClr val="000000"/>
              </a:solidFill>
            </a:ln>
          </c:spPr>
          <c:dPt>
            <c:idx val="0"/>
          </c:dPt>
          <c:dPt>
            <c:idx val="1"/>
          </c:dPt>
          <c:dLbls>
            <c:dLbl>
              <c:idx val="0"/>
              <c:tx>
                <c:rich>
                  <a:bodyPr/>
                  <a:lstStyle/>
                  <a:p>
                    <a:pPr lvl="0">
                      <a:defRPr b="1">
                        <a:solidFill>
                          <a:srgbClr val="000000"/>
                        </a:solidFill>
                        <a:latin typeface="Roboto"/>
                      </a:defRPr>
                    </a:pPr>
                    <a:r>
                      <a:rPr b="1">
                        <a:solidFill>
                          <a:srgbClr val="000000"/>
                        </a:solidFill>
                        <a:latin typeface="Roboto"/>
                      </a:rPr>
                      <a:t>27 (3,96%)</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654 (96,04%)</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'Apoio institucional'!$B$3:$B$4</c:f>
            </c:strRef>
          </c:cat>
          <c:val>
            <c:numRef>
              <c:f>'Apoio institucional'!$C$3:$C$4</c:f>
              <c:numCache/>
            </c:numRef>
          </c:val>
        </c:ser>
        <c:axId val="1775643900"/>
        <c:axId val="1974399594"/>
      </c:barChart>
      <c:catAx>
        <c:axId val="17756439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74399594"/>
      </c:catAx>
      <c:valAx>
        <c:axId val="19743995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5643900"/>
      </c:valAx>
    </c:plotArea>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153673986486484"/>
          <c:y val="0.06191588785046729"/>
          <c:w val="0.8774902871621624"/>
          <c:h val="0.8566704995840877"/>
        </c:manualLayout>
      </c:layout>
      <c:barChart>
        <c:barDir val="col"/>
        <c:ser>
          <c:idx val="0"/>
          <c:order val="0"/>
          <c:tx>
            <c:strRef>
              <c:f>ODS!$B$2</c:f>
            </c:strRef>
          </c:tx>
          <c:spPr>
            <a:solidFill>
              <a:schemeClr val="accent1"/>
            </a:solidFill>
            <a:ln cmpd="sng">
              <a:solidFill>
                <a:srgbClr val="000000"/>
              </a:solidFill>
            </a:ln>
          </c:spPr>
          <c:dPt>
            <c:idx val="0"/>
          </c:dPt>
          <c:dPt>
            <c:idx val="1"/>
          </c:dPt>
          <c:dPt>
            <c:idx val="2"/>
          </c:dPt>
          <c:dPt>
            <c:idx val="3"/>
          </c:dPt>
          <c:dPt>
            <c:idx val="4"/>
          </c:dPt>
          <c:dPt>
            <c:idx val="5"/>
          </c:dPt>
          <c:dPt>
            <c:idx val="6"/>
          </c:dPt>
          <c:dPt>
            <c:idx val="7"/>
          </c:dPt>
          <c:dPt>
            <c:idx val="8"/>
          </c:dPt>
          <c:dPt>
            <c:idx val="9"/>
          </c:dPt>
          <c:dPt>
            <c:idx val="10"/>
          </c:dPt>
          <c:dLbls>
            <c:dLbl>
              <c:idx val="0"/>
              <c:tx>
                <c:rich>
                  <a:bodyPr/>
                  <a:lstStyle/>
                  <a:p>
                    <a:pPr lvl="0">
                      <a:defRPr b="1">
                        <a:solidFill>
                          <a:srgbClr val="000000"/>
                        </a:solidFill>
                        <a:latin typeface="Roboto"/>
                      </a:defRPr>
                    </a:pPr>
                    <a:r>
                      <a:rPr b="1">
                        <a:solidFill>
                          <a:srgbClr val="000000"/>
                        </a:solidFill>
                        <a:latin typeface="Roboto"/>
                      </a:rPr>
                      <a:t>312 (45.81%)</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288 (42.29%)</a:t>
                    </a:r>
                  </a:p>
                </c:rich>
              </c:tx>
              <c:numFmt formatCode="General" sourceLinked="1"/>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189 (27.75%)</a:t>
                    </a:r>
                  </a:p>
                </c:rich>
              </c:tx>
              <c:numFmt formatCode="General" sourceLinked="1"/>
              <c:txPr>
                <a:bodyPr/>
                <a:lstStyle/>
                <a:p>
                  <a:pPr lvl="0">
                    <a:defRPr b="1"/>
                  </a:pPr>
                </a:p>
              </c:txPr>
              <c:showLegendKey val="0"/>
              <c:showVal val="1"/>
              <c:showCatName val="0"/>
              <c:showSerName val="0"/>
              <c:showPercent val="0"/>
              <c:showBubbleSize val="0"/>
            </c:dLbl>
            <c:dLbl>
              <c:idx val="3"/>
              <c:layout>
                <c:manualLayout>
                  <c:xMode val="edge"/>
                  <c:yMode val="edge"/>
                  <c:x val="0.27468398340120065"/>
                  <c:y val="0.6160580670303974"/>
                </c:manualLayout>
              </c:layout>
              <c:tx>
                <c:rich>
                  <a:bodyPr/>
                  <a:lstStyle/>
                  <a:p>
                    <a:pPr lvl="0">
                      <a:defRPr b="1">
                        <a:solidFill>
                          <a:srgbClr val="000000"/>
                        </a:solidFill>
                        <a:latin typeface="Roboto"/>
                      </a:defRPr>
                    </a:pPr>
                    <a:r>
                      <a:rPr b="1">
                        <a:solidFill>
                          <a:srgbClr val="000000"/>
                        </a:solidFill>
                        <a:latin typeface="Roboto"/>
                      </a:rPr>
                      <a:t>133(19.53%)</a:t>
                    </a:r>
                  </a:p>
                </c:rich>
              </c:tx>
              <c:numFmt formatCode="General" sourceLinked="1"/>
              <c:txPr>
                <a:bodyPr/>
                <a:lstStyle/>
                <a:p>
                  <a:pPr lvl="0">
                    <a:defRPr b="1"/>
                  </a:pPr>
                </a:p>
              </c:txPr>
              <c:showLegendKey val="0"/>
              <c:showVal val="1"/>
              <c:showCatName val="0"/>
              <c:showSerName val="0"/>
              <c:showPercent val="0"/>
              <c:showBubbleSize val="0"/>
            </c:dLbl>
            <c:dLbl>
              <c:idx val="4"/>
              <c:tx>
                <c:rich>
                  <a:bodyPr/>
                  <a:lstStyle/>
                  <a:p>
                    <a:pPr lvl="0">
                      <a:defRPr b="1">
                        <a:solidFill>
                          <a:srgbClr val="000000"/>
                        </a:solidFill>
                        <a:latin typeface="Roboto"/>
                      </a:defRPr>
                    </a:pPr>
                    <a:r>
                      <a:rPr b="1">
                        <a:solidFill>
                          <a:srgbClr val="000000"/>
                        </a:solidFill>
                        <a:latin typeface="Roboto"/>
                      </a:rPr>
                      <a:t>132 (19.38%)</a:t>
                    </a:r>
                  </a:p>
                </c:rich>
              </c:tx>
              <c:numFmt formatCode="General" sourceLinked="1"/>
              <c:txPr>
                <a:bodyPr/>
                <a:lstStyle/>
                <a:p>
                  <a:pPr lvl="0">
                    <a:defRPr b="1"/>
                  </a:pPr>
                </a:p>
              </c:txPr>
              <c:showLegendKey val="0"/>
              <c:showVal val="1"/>
              <c:showCatName val="0"/>
              <c:showSerName val="0"/>
              <c:showPercent val="0"/>
              <c:showBubbleSize val="0"/>
            </c:dLbl>
            <c:dLbl>
              <c:idx val="5"/>
              <c:layout>
                <c:manualLayout>
                  <c:xMode val="edge"/>
                  <c:yMode val="edge"/>
                  <c:x val="0.4871992150930699"/>
                  <c:y val="0.6670591250854409"/>
                </c:manualLayout>
              </c:layout>
              <c:tx>
                <c:rich>
                  <a:bodyPr/>
                  <a:lstStyle/>
                  <a:p>
                    <a:pPr lvl="0">
                      <a:defRPr b="1">
                        <a:solidFill>
                          <a:srgbClr val="000000"/>
                        </a:solidFill>
                        <a:latin typeface="Roboto"/>
                      </a:defRPr>
                    </a:pPr>
                    <a:r>
                      <a:rPr b="1">
                        <a:solidFill>
                          <a:srgbClr val="000000"/>
                        </a:solidFill>
                        <a:latin typeface="Roboto"/>
                      </a:rPr>
                      <a:t>99(14.54%)</a:t>
                    </a:r>
                  </a:p>
                </c:rich>
              </c:tx>
              <c:numFmt formatCode="General" sourceLinked="1"/>
              <c:txPr>
                <a:bodyPr/>
                <a:lstStyle/>
                <a:p>
                  <a:pPr lvl="0">
                    <a:defRPr b="1"/>
                  </a:pPr>
                </a:p>
              </c:txPr>
              <c:showLegendKey val="0"/>
              <c:showVal val="1"/>
              <c:showCatName val="0"/>
              <c:showSerName val="0"/>
              <c:showPercent val="0"/>
              <c:showBubbleSize val="0"/>
            </c:dLbl>
            <c:dLbl>
              <c:idx val="6"/>
              <c:tx>
                <c:rich>
                  <a:bodyPr/>
                  <a:lstStyle/>
                  <a:p>
                    <a:pPr lvl="0">
                      <a:defRPr b="1">
                        <a:solidFill>
                          <a:srgbClr val="000000"/>
                        </a:solidFill>
                        <a:latin typeface="Roboto"/>
                      </a:defRPr>
                    </a:pPr>
                    <a:r>
                      <a:rPr b="1">
                        <a:solidFill>
                          <a:srgbClr val="000000"/>
                        </a:solidFill>
                        <a:latin typeface="Roboto"/>
                      </a:rPr>
                      <a:t>57 (8.37%)</a:t>
                    </a:r>
                  </a:p>
                </c:rich>
              </c:tx>
              <c:numFmt formatCode="General" sourceLinked="1"/>
              <c:txPr>
                <a:bodyPr/>
                <a:lstStyle/>
                <a:p>
                  <a:pPr lvl="0">
                    <a:defRPr b="1"/>
                  </a:pPr>
                </a:p>
              </c:txPr>
              <c:showLegendKey val="0"/>
              <c:showVal val="1"/>
              <c:showCatName val="0"/>
              <c:showSerName val="0"/>
              <c:showPercent val="0"/>
              <c:showBubbleSize val="0"/>
            </c:dLbl>
            <c:dLbl>
              <c:idx val="7"/>
              <c:tx>
                <c:rich>
                  <a:bodyPr/>
                  <a:lstStyle/>
                  <a:p>
                    <a:pPr lvl="0">
                      <a:defRPr b="1">
                        <a:solidFill>
                          <a:srgbClr val="000000"/>
                        </a:solidFill>
                        <a:latin typeface="Roboto"/>
                      </a:defRPr>
                    </a:pPr>
                    <a:r>
                      <a:rPr b="1">
                        <a:solidFill>
                          <a:srgbClr val="000000"/>
                        </a:solidFill>
                        <a:latin typeface="Roboto"/>
                      </a:rPr>
                      <a:t>44 (6.46%)</a:t>
                    </a:r>
                  </a:p>
                </c:rich>
              </c:tx>
              <c:numFmt formatCode="General" sourceLinked="1"/>
              <c:txPr>
                <a:bodyPr/>
                <a:lstStyle/>
                <a:p>
                  <a:pPr lvl="0">
                    <a:defRPr b="1"/>
                  </a:pPr>
                </a:p>
              </c:txPr>
              <c:showLegendKey val="0"/>
              <c:showVal val="1"/>
              <c:showCatName val="0"/>
              <c:showSerName val="0"/>
              <c:showPercent val="0"/>
              <c:showBubbleSize val="0"/>
            </c:dLbl>
            <c:dLbl>
              <c:idx val="8"/>
              <c:tx>
                <c:rich>
                  <a:bodyPr/>
                  <a:lstStyle/>
                  <a:p>
                    <a:pPr lvl="0">
                      <a:defRPr b="1">
                        <a:solidFill>
                          <a:srgbClr val="000000"/>
                        </a:solidFill>
                        <a:latin typeface="Roboto"/>
                      </a:defRPr>
                    </a:pPr>
                    <a:r>
                      <a:rPr b="1">
                        <a:solidFill>
                          <a:srgbClr val="000000"/>
                        </a:solidFill>
                        <a:latin typeface="Roboto"/>
                      </a:rPr>
                      <a:t>38 (5.58%)</a:t>
                    </a:r>
                  </a:p>
                </c:rich>
              </c:tx>
              <c:numFmt formatCode="General" sourceLinked="1"/>
              <c:txPr>
                <a:bodyPr/>
                <a:lstStyle/>
                <a:p>
                  <a:pPr lvl="0">
                    <a:defRPr b="1"/>
                  </a:pPr>
                </a:p>
              </c:txPr>
              <c:showLegendKey val="0"/>
              <c:showVal val="1"/>
              <c:showCatName val="0"/>
              <c:showSerName val="0"/>
              <c:showPercent val="0"/>
              <c:showBubbleSize val="0"/>
            </c:dLbl>
            <c:dLbl>
              <c:idx val="9"/>
              <c:tx>
                <c:rich>
                  <a:bodyPr/>
                  <a:lstStyle/>
                  <a:p>
                    <a:pPr lvl="0">
                      <a:defRPr b="1">
                        <a:solidFill>
                          <a:srgbClr val="000000"/>
                        </a:solidFill>
                        <a:latin typeface="Roboto"/>
                      </a:defRPr>
                    </a:pPr>
                    <a:r>
                      <a:rPr b="1">
                        <a:solidFill>
                          <a:srgbClr val="000000"/>
                        </a:solidFill>
                        <a:latin typeface="Roboto"/>
                      </a:rPr>
                      <a:t>30 (4.41%)</a:t>
                    </a:r>
                  </a:p>
                </c:rich>
              </c:tx>
              <c:numFmt formatCode="General" sourceLinked="1"/>
              <c:txPr>
                <a:bodyPr/>
                <a:lstStyle/>
                <a:p>
                  <a:pPr lvl="0">
                    <a:defRPr b="1"/>
                  </a:pPr>
                </a:p>
              </c:txPr>
              <c:showLegendKey val="0"/>
              <c:showVal val="1"/>
              <c:showCatName val="0"/>
              <c:showSerName val="0"/>
              <c:showPercent val="0"/>
              <c:showBubbleSize val="0"/>
            </c:dLbl>
            <c:dLbl>
              <c:idx val="10"/>
              <c:tx>
                <c:rich>
                  <a:bodyPr/>
                  <a:lstStyle/>
                  <a:p>
                    <a:pPr lvl="0">
                      <a:defRPr b="1">
                        <a:solidFill>
                          <a:srgbClr val="000000"/>
                        </a:solidFill>
                        <a:latin typeface="Roboto"/>
                      </a:defRPr>
                    </a:pPr>
                    <a:r>
                      <a:rPr b="1">
                        <a:solidFill>
                          <a:srgbClr val="000000"/>
                        </a:solidFill>
                        <a:latin typeface="Roboto"/>
                      </a:rPr>
                      <a:t>24 (3.52%)</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ODS!$A$3:$A$13</c:f>
            </c:strRef>
          </c:cat>
          <c:val>
            <c:numRef>
              <c:f>ODS!$B$3:$B$13</c:f>
              <c:numCache/>
            </c:numRef>
          </c:val>
        </c:ser>
        <c:axId val="1690347805"/>
        <c:axId val="1104819477"/>
      </c:barChart>
      <c:catAx>
        <c:axId val="16903478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04819477"/>
      </c:catAx>
      <c:valAx>
        <c:axId val="11048194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0347805"/>
      </c:valAx>
    </c:plotArea>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ODS!$B$16</c:f>
            </c:strRef>
          </c:tx>
          <c:spPr>
            <a:solidFill>
              <a:schemeClr val="accent1"/>
            </a:solidFill>
            <a:ln cmpd="sng">
              <a:solidFill>
                <a:srgbClr val="000000"/>
              </a:solidFill>
            </a:ln>
          </c:spPr>
          <c:dPt>
            <c:idx val="0"/>
          </c:dPt>
          <c:dPt>
            <c:idx val="1"/>
          </c:dPt>
          <c:dPt>
            <c:idx val="2"/>
          </c:dPt>
          <c:dPt>
            <c:idx val="3"/>
          </c:dPt>
          <c:dPt>
            <c:idx val="4"/>
          </c:dPt>
          <c:dPt>
            <c:idx val="5"/>
          </c:dPt>
          <c:dPt>
            <c:idx val="6"/>
          </c:dPt>
          <c:dPt>
            <c:idx val="7"/>
          </c:dPt>
          <c:dPt>
            <c:idx val="8"/>
          </c:dPt>
          <c:dPt>
            <c:idx val="9"/>
          </c:dPt>
          <c:dPt>
            <c:idx val="10"/>
          </c:dPt>
          <c:dLbls>
            <c:dLbl>
              <c:idx val="0"/>
              <c:tx>
                <c:rich>
                  <a:bodyPr/>
                  <a:lstStyle/>
                  <a:p>
                    <a:pPr lvl="0">
                      <a:defRPr b="1">
                        <a:solidFill>
                          <a:srgbClr val="000000"/>
                        </a:solidFill>
                        <a:latin typeface="Roboto"/>
                      </a:defRPr>
                    </a:pPr>
                    <a:r>
                      <a:rPr b="1">
                        <a:solidFill>
                          <a:srgbClr val="000000"/>
                        </a:solidFill>
                        <a:latin typeface="Roboto"/>
                      </a:rPr>
                      <a:t>311 (45.67%)</a:t>
                    </a:r>
                  </a:p>
                </c:rich>
              </c:tx>
              <c:numFmt formatCode="General" sourceLinked="1"/>
              <c:txPr>
                <a:bodyPr/>
                <a:lstStyle/>
                <a:p>
                  <a:pPr lvl="0">
                    <a:defRPr b="1"/>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289 (42.44%)</a:t>
                    </a:r>
                  </a:p>
                </c:rich>
              </c:tx>
              <c:numFmt formatCode="General" sourceLinked="1"/>
              <c:txPr>
                <a:bodyPr/>
                <a:lstStyle/>
                <a:p>
                  <a:pPr lvl="0">
                    <a:defRPr b="1"/>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189 (27.75%)</a:t>
                    </a:r>
                  </a:p>
                </c:rich>
              </c:tx>
              <c:numFmt formatCode="General" sourceLinked="1"/>
              <c:txPr>
                <a:bodyPr/>
                <a:lstStyle/>
                <a:p>
                  <a:pPr lvl="0">
                    <a:defRPr b="1"/>
                  </a:pPr>
                </a:p>
              </c:txPr>
              <c:showLegendKey val="0"/>
              <c:showVal val="1"/>
              <c:showCatName val="0"/>
              <c:showSerName val="0"/>
              <c:showPercent val="0"/>
              <c:showBubbleSize val="0"/>
            </c:dLbl>
            <c:dLbl>
              <c:idx val="3"/>
              <c:tx>
                <c:rich>
                  <a:bodyPr/>
                  <a:lstStyle/>
                  <a:p>
                    <a:pPr lvl="0">
                      <a:defRPr b="1">
                        <a:solidFill>
                          <a:srgbClr val="000000"/>
                        </a:solidFill>
                        <a:latin typeface="Roboto"/>
                      </a:defRPr>
                    </a:pPr>
                    <a:r>
                      <a:rPr b="1">
                        <a:solidFill>
                          <a:srgbClr val="000000"/>
                        </a:solidFill>
                        <a:latin typeface="Roboto"/>
                      </a:rPr>
                      <a:t>133 (19.53%)</a:t>
                    </a:r>
                  </a:p>
                </c:rich>
              </c:tx>
              <c:numFmt formatCode="General" sourceLinked="1"/>
              <c:txPr>
                <a:bodyPr/>
                <a:lstStyle/>
                <a:p>
                  <a:pPr lvl="0">
                    <a:defRPr b="1"/>
                  </a:pPr>
                </a:p>
              </c:txPr>
              <c:showLegendKey val="0"/>
              <c:showVal val="1"/>
              <c:showCatName val="0"/>
              <c:showSerName val="0"/>
              <c:showPercent val="0"/>
              <c:showBubbleSize val="0"/>
            </c:dLbl>
            <c:dLbl>
              <c:idx val="4"/>
              <c:tx>
                <c:rich>
                  <a:bodyPr/>
                  <a:lstStyle/>
                  <a:p>
                    <a:pPr lvl="0">
                      <a:defRPr b="1">
                        <a:solidFill>
                          <a:srgbClr val="000000"/>
                        </a:solidFill>
                        <a:latin typeface="Roboto"/>
                      </a:defRPr>
                    </a:pPr>
                    <a:r>
                      <a:rPr b="1">
                        <a:solidFill>
                          <a:srgbClr val="000000"/>
                        </a:solidFill>
                        <a:latin typeface="Roboto"/>
                      </a:rPr>
                      <a:t>132 (19.38%)</a:t>
                    </a:r>
                  </a:p>
                </c:rich>
              </c:tx>
              <c:numFmt formatCode="General" sourceLinked="1"/>
              <c:txPr>
                <a:bodyPr/>
                <a:lstStyle/>
                <a:p>
                  <a:pPr lvl="0">
                    <a:defRPr b="1"/>
                  </a:pPr>
                </a:p>
              </c:txPr>
              <c:showLegendKey val="0"/>
              <c:showVal val="1"/>
              <c:showCatName val="0"/>
              <c:showSerName val="0"/>
              <c:showPercent val="0"/>
              <c:showBubbleSize val="0"/>
            </c:dLbl>
            <c:dLbl>
              <c:idx val="5"/>
              <c:tx>
                <c:rich>
                  <a:bodyPr/>
                  <a:lstStyle/>
                  <a:p>
                    <a:pPr lvl="0">
                      <a:defRPr b="1">
                        <a:solidFill>
                          <a:srgbClr val="000000"/>
                        </a:solidFill>
                        <a:latin typeface="Roboto"/>
                      </a:defRPr>
                    </a:pPr>
                    <a:r>
                      <a:rPr b="1">
                        <a:solidFill>
                          <a:srgbClr val="000000"/>
                        </a:solidFill>
                        <a:latin typeface="Roboto"/>
                      </a:rPr>
                      <a:t>99 (14.54%)</a:t>
                    </a:r>
                  </a:p>
                </c:rich>
              </c:tx>
              <c:numFmt formatCode="General" sourceLinked="1"/>
              <c:txPr>
                <a:bodyPr/>
                <a:lstStyle/>
                <a:p>
                  <a:pPr lvl="0">
                    <a:defRPr b="1"/>
                  </a:pPr>
                </a:p>
              </c:txPr>
              <c:showLegendKey val="0"/>
              <c:showVal val="1"/>
              <c:showCatName val="0"/>
              <c:showSerName val="0"/>
              <c:showPercent val="0"/>
              <c:showBubbleSize val="0"/>
            </c:dLbl>
            <c:dLbl>
              <c:idx val="6"/>
              <c:tx>
                <c:rich>
                  <a:bodyPr/>
                  <a:lstStyle/>
                  <a:p>
                    <a:pPr lvl="0">
                      <a:defRPr b="1">
                        <a:solidFill>
                          <a:srgbClr val="000000"/>
                        </a:solidFill>
                        <a:latin typeface="Roboto"/>
                      </a:defRPr>
                    </a:pPr>
                    <a:r>
                      <a:rPr b="1">
                        <a:solidFill>
                          <a:srgbClr val="000000"/>
                        </a:solidFill>
                        <a:latin typeface="Roboto"/>
                      </a:rPr>
                      <a:t>57 (8.37%)</a:t>
                    </a:r>
                  </a:p>
                </c:rich>
              </c:tx>
              <c:numFmt formatCode="General" sourceLinked="1"/>
              <c:txPr>
                <a:bodyPr/>
                <a:lstStyle/>
                <a:p>
                  <a:pPr lvl="0">
                    <a:defRPr b="1"/>
                  </a:pPr>
                </a:p>
              </c:txPr>
              <c:showLegendKey val="0"/>
              <c:showVal val="1"/>
              <c:showCatName val="0"/>
              <c:showSerName val="0"/>
              <c:showPercent val="0"/>
              <c:showBubbleSize val="0"/>
            </c:dLbl>
            <c:dLbl>
              <c:idx val="7"/>
              <c:tx>
                <c:rich>
                  <a:bodyPr/>
                  <a:lstStyle/>
                  <a:p>
                    <a:pPr lvl="0">
                      <a:defRPr b="1">
                        <a:solidFill>
                          <a:srgbClr val="000000"/>
                        </a:solidFill>
                        <a:latin typeface="Roboto"/>
                      </a:defRPr>
                    </a:pPr>
                    <a:r>
                      <a:rPr b="1">
                        <a:solidFill>
                          <a:srgbClr val="000000"/>
                        </a:solidFill>
                        <a:latin typeface="Roboto"/>
                      </a:rPr>
                      <a:t>44 (6.46%)</a:t>
                    </a:r>
                  </a:p>
                </c:rich>
              </c:tx>
              <c:numFmt formatCode="General" sourceLinked="1"/>
              <c:txPr>
                <a:bodyPr/>
                <a:lstStyle/>
                <a:p>
                  <a:pPr lvl="0">
                    <a:defRPr b="1"/>
                  </a:pPr>
                </a:p>
              </c:txPr>
              <c:showLegendKey val="0"/>
              <c:showVal val="1"/>
              <c:showCatName val="0"/>
              <c:showSerName val="0"/>
              <c:showPercent val="0"/>
              <c:showBubbleSize val="0"/>
            </c:dLbl>
            <c:dLbl>
              <c:idx val="8"/>
              <c:tx>
                <c:rich>
                  <a:bodyPr/>
                  <a:lstStyle/>
                  <a:p>
                    <a:pPr lvl="0">
                      <a:defRPr b="1">
                        <a:solidFill>
                          <a:srgbClr val="000000"/>
                        </a:solidFill>
                        <a:latin typeface="Roboto"/>
                      </a:defRPr>
                    </a:pPr>
                    <a:r>
                      <a:rPr b="1">
                        <a:solidFill>
                          <a:srgbClr val="000000"/>
                        </a:solidFill>
                        <a:latin typeface="Roboto"/>
                      </a:rPr>
                      <a:t>38 (5.58%)</a:t>
                    </a:r>
                  </a:p>
                </c:rich>
              </c:tx>
              <c:numFmt formatCode="General" sourceLinked="1"/>
              <c:txPr>
                <a:bodyPr/>
                <a:lstStyle/>
                <a:p>
                  <a:pPr lvl="0">
                    <a:defRPr b="1"/>
                  </a:pPr>
                </a:p>
              </c:txPr>
              <c:showLegendKey val="0"/>
              <c:showVal val="1"/>
              <c:showCatName val="0"/>
              <c:showSerName val="0"/>
              <c:showPercent val="0"/>
              <c:showBubbleSize val="0"/>
            </c:dLbl>
            <c:dLbl>
              <c:idx val="9"/>
              <c:tx>
                <c:rich>
                  <a:bodyPr/>
                  <a:lstStyle/>
                  <a:p>
                    <a:pPr lvl="0">
                      <a:defRPr b="1">
                        <a:solidFill>
                          <a:srgbClr val="000000"/>
                        </a:solidFill>
                        <a:latin typeface="Roboto"/>
                      </a:defRPr>
                    </a:pPr>
                    <a:r>
                      <a:rPr b="1">
                        <a:solidFill>
                          <a:srgbClr val="000000"/>
                        </a:solidFill>
                        <a:latin typeface="Roboto"/>
                      </a:rPr>
                      <a:t>30 (4.41%)</a:t>
                    </a:r>
                  </a:p>
                </c:rich>
              </c:tx>
              <c:numFmt formatCode="General" sourceLinked="1"/>
              <c:txPr>
                <a:bodyPr/>
                <a:lstStyle/>
                <a:p>
                  <a:pPr lvl="0">
                    <a:defRPr b="1"/>
                  </a:pPr>
                </a:p>
              </c:txPr>
              <c:showLegendKey val="0"/>
              <c:showVal val="1"/>
              <c:showCatName val="0"/>
              <c:showSerName val="0"/>
              <c:showPercent val="0"/>
              <c:showBubbleSize val="0"/>
            </c:dLbl>
            <c:dLbl>
              <c:idx val="10"/>
              <c:tx>
                <c:rich>
                  <a:bodyPr/>
                  <a:lstStyle/>
                  <a:p>
                    <a:pPr lvl="0">
                      <a:defRPr b="1">
                        <a:solidFill>
                          <a:srgbClr val="000000"/>
                        </a:solidFill>
                        <a:latin typeface="Roboto"/>
                      </a:defRPr>
                    </a:pPr>
                    <a:r>
                      <a:rPr b="1">
                        <a:solidFill>
                          <a:srgbClr val="000000"/>
                        </a:solidFill>
                        <a:latin typeface="Roboto"/>
                      </a:rPr>
                      <a:t>24 (3.52%)</a:t>
                    </a:r>
                  </a:p>
                </c:rich>
              </c:tx>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ODS!$A$17:$A$27</c:f>
            </c:strRef>
          </c:cat>
          <c:val>
            <c:numRef>
              <c:f>ODS!$B$17:$B$27</c:f>
              <c:numCache/>
            </c:numRef>
          </c:val>
        </c:ser>
        <c:axId val="808855764"/>
        <c:axId val="1195238983"/>
      </c:barChart>
      <c:catAx>
        <c:axId val="8088557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95238983"/>
      </c:catAx>
      <c:valAx>
        <c:axId val="11952389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8855764"/>
      </c:valAx>
    </c:plotArea>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'Ações2022'!$B$3</c:f>
            </c:strRef>
          </c:tx>
          <c:spPr>
            <a:solidFill>
              <a:srgbClr val="FF0000"/>
            </a:solidFill>
            <a:ln cmpd="sng">
              <a:solidFill>
                <a:srgbClr val="000000"/>
              </a:solidFill>
            </a:ln>
          </c:spPr>
          <c:dPt>
            <c:idx val="2"/>
          </c:dPt>
          <c:dPt>
            <c:idx val="7"/>
          </c:dPt>
          <c:dLbls>
            <c:dLbl>
              <c:idx val="7"/>
              <c:numFmt formatCode="General" sourceLinked="1"/>
              <c:txPr>
                <a:bodyPr/>
                <a:lstStyle/>
                <a:p>
                  <a:pPr lvl="0">
                    <a:defRPr b="1"/>
                  </a:pPr>
                </a:p>
              </c:txPr>
              <c:showLegendKey val="0"/>
              <c:showVal val="1"/>
              <c:showCatName val="0"/>
              <c:showSerName val="0"/>
              <c:showPercent val="0"/>
              <c:showBubbleSize val="0"/>
            </c:dLbl>
            <c:numFmt formatCode="General" sourceLinked="1"/>
            <c:txPr>
              <a:bodyPr/>
              <a:lstStyle/>
              <a:p>
                <a:pPr lvl="0">
                  <a:defRPr b="1"/>
                </a:pPr>
              </a:p>
            </c:txPr>
            <c:showLegendKey val="0"/>
            <c:showVal val="1"/>
            <c:showCatName val="0"/>
            <c:showSerName val="0"/>
            <c:showPercent val="0"/>
            <c:showBubbleSize val="0"/>
          </c:dLbls>
          <c:cat>
            <c:strRef>
              <c:f>'Ações2022'!$A$4:$A$13</c:f>
            </c:strRef>
          </c:cat>
          <c:val>
            <c:numRef>
              <c:f>'Ações2022'!$B$4:$B$13</c:f>
              <c:numCache/>
            </c:numRef>
          </c:val>
        </c:ser>
        <c:axId val="888394280"/>
        <c:axId val="1024463170"/>
      </c:barChart>
      <c:catAx>
        <c:axId val="8883942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Objetivo da iniciativa
</a:t>
                </a:r>
              </a:p>
            </c:rich>
          </c:tx>
          <c:overlay val="0"/>
        </c:title>
        <c:numFmt formatCode="General" sourceLinked="1"/>
        <c:majorTickMark val="none"/>
        <c:minorTickMark val="none"/>
        <c:spPr/>
        <c:txPr>
          <a:bodyPr rot="-1800000"/>
          <a:lstStyle/>
          <a:p>
            <a:pPr lvl="0">
              <a:defRPr b="0" sz="1400">
                <a:solidFill>
                  <a:srgbClr val="000000"/>
                </a:solidFill>
                <a:latin typeface="+mn-lt"/>
              </a:defRPr>
            </a:pPr>
          </a:p>
        </c:txPr>
        <c:crossAx val="1024463170"/>
      </c:catAx>
      <c:valAx>
        <c:axId val="10244631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Nº</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8394280"/>
      </c:valAx>
    </c:plotArea>
    <c:legend>
      <c:legendPos val="r"/>
      <c:overlay val="0"/>
      <c:txPr>
        <a:bodyPr/>
        <a:lstStyle/>
        <a:p>
          <a:pPr lvl="0">
            <a:defRPr b="0" sz="180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'Ações2022'!$V$3</c:f>
            </c:strRef>
          </c:tx>
          <c:spPr>
            <a:solidFill>
              <a:srgbClr val="FF0000"/>
            </a:solidFill>
            <a:ln cmpd="sng">
              <a:solidFill>
                <a:srgbClr val="000000"/>
              </a:solidFill>
            </a:ln>
          </c:spPr>
          <c:dLbls>
            <c:numFmt formatCode="General" sourceLinked="1"/>
            <c:txPr>
              <a:bodyPr/>
              <a:lstStyle/>
              <a:p>
                <a:pPr lvl="0">
                  <a:defRPr b="1"/>
                </a:pPr>
              </a:p>
            </c:txPr>
            <c:showLegendKey val="0"/>
            <c:showVal val="1"/>
            <c:showCatName val="0"/>
            <c:showSerName val="0"/>
            <c:showPercent val="0"/>
            <c:showBubbleSize val="0"/>
          </c:dLbls>
          <c:cat>
            <c:strRef>
              <c:f>'Ações2022'!$U$4:$U$10</c:f>
            </c:strRef>
          </c:cat>
          <c:val>
            <c:numRef>
              <c:f>'Ações2022'!$V$4:$V$10</c:f>
              <c:numCache/>
            </c:numRef>
          </c:val>
        </c:ser>
        <c:axId val="631441955"/>
        <c:axId val="104536386"/>
      </c:barChart>
      <c:catAx>
        <c:axId val="6314419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layout>
            <c:manualLayout>
              <c:xMode val="edge"/>
              <c:yMode val="edge"/>
              <c:x val="0.12247032752403847"/>
              <c:y val="0.9190721649484537"/>
            </c:manualLayout>
          </c:layout>
          <c:overlay val="0"/>
        </c:title>
        <c:numFmt formatCode="General" sourceLinked="1"/>
        <c:majorTickMark val="none"/>
        <c:minorTickMark val="none"/>
        <c:spPr/>
        <c:txPr>
          <a:bodyPr rot="-1800000"/>
          <a:lstStyle/>
          <a:p>
            <a:pPr lvl="0">
              <a:defRPr b="0" sz="1000">
                <a:solidFill>
                  <a:srgbClr val="000000"/>
                </a:solidFill>
                <a:latin typeface="+mn-lt"/>
              </a:defRPr>
            </a:pPr>
          </a:p>
        </c:txPr>
        <c:crossAx val="104536386"/>
      </c:catAx>
      <c:valAx>
        <c:axId val="1045363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Nº</a:t>
                </a:r>
              </a:p>
            </c:rich>
          </c:tx>
          <c:overlay val="0"/>
        </c:title>
        <c:numFmt formatCode="General" sourceLinked="1"/>
        <c:majorTickMark val="none"/>
        <c:minorTickMark val="none"/>
        <c:tickLblPos val="nextTo"/>
        <c:spPr>
          <a:ln/>
        </c:spPr>
        <c:txPr>
          <a:bodyPr/>
          <a:lstStyle/>
          <a:p>
            <a:pPr lvl="0">
              <a:defRPr b="0" sz="1800">
                <a:solidFill>
                  <a:srgbClr val="000000"/>
                </a:solidFill>
                <a:latin typeface="+mn-lt"/>
              </a:defRPr>
            </a:pPr>
          </a:p>
        </c:txPr>
        <c:crossAx val="631441955"/>
      </c:valAx>
    </c:plotArea>
    <c:legend>
      <c:legendPos val="r"/>
      <c:overlay val="0"/>
      <c:txPr>
        <a:bodyPr/>
        <a:lstStyle/>
        <a:p>
          <a:pPr lvl="0">
            <a:defRPr b="0" sz="240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'Ações2022'!$AB$3</c:f>
            </c:strRef>
          </c:tx>
          <c:spPr>
            <a:solidFill>
              <a:srgbClr val="FF0000"/>
            </a:solidFill>
            <a:ln cmpd="sng">
              <a:solidFill>
                <a:srgbClr val="000000"/>
              </a:solidFill>
            </a:ln>
          </c:spPr>
          <c:dPt>
            <c:idx val="0"/>
          </c:dPt>
          <c:dLbls>
            <c:numFmt formatCode="General" sourceLinked="1"/>
            <c:txPr>
              <a:bodyPr/>
              <a:lstStyle/>
              <a:p>
                <a:pPr lvl="0">
                  <a:defRPr/>
                </a:pPr>
              </a:p>
            </c:txPr>
            <c:showLegendKey val="0"/>
            <c:showVal val="1"/>
            <c:showCatName val="0"/>
            <c:showSerName val="0"/>
            <c:showPercent val="0"/>
            <c:showBubbleSize val="0"/>
          </c:dLbls>
          <c:cat>
            <c:strRef>
              <c:f>'Ações2022'!$AA$4:$AA$9</c:f>
            </c:strRef>
          </c:cat>
          <c:val>
            <c:numRef>
              <c:f>'Ações2022'!$AB$4:$AB$9</c:f>
              <c:numCache/>
            </c:numRef>
          </c:val>
        </c:ser>
        <c:ser>
          <c:idx val="1"/>
          <c:order val="1"/>
          <c:tx>
            <c:strRef>
              <c:f>'Ações2022'!$AC$3</c:f>
            </c:strRef>
          </c:tx>
          <c:cat>
            <c:strRef>
              <c:f>'Ações2022'!$AA$4:$AA$9</c:f>
            </c:strRef>
          </c:cat>
          <c:val>
            <c:numRef>
              <c:f>'Ações2022'!$AC$4:$AC$9</c:f>
              <c:numCache/>
            </c:numRef>
          </c:val>
        </c:ser>
        <c:axId val="918831711"/>
        <c:axId val="205449339"/>
      </c:barChart>
      <c:catAx>
        <c:axId val="9188317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5449339"/>
      </c:catAx>
      <c:valAx>
        <c:axId val="2054493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Nº</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8831711"/>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Setor de atividade</a:t>
            </a:r>
          </a:p>
        </c:rich>
      </c:tx>
      <c:overlay val="0"/>
    </c:title>
    <c:plotArea>
      <c:layout/>
      <c:barChart>
        <c:barDir val="col"/>
        <c:ser>
          <c:idx val="0"/>
          <c:order val="0"/>
          <c:tx>
            <c:strRef>
              <c:f>Setor_empresas!$C$2</c:f>
            </c:strRef>
          </c:tx>
          <c:spPr>
            <a:solidFill>
              <a:schemeClr val="accent1"/>
            </a:solidFill>
            <a:ln cmpd="sng">
              <a:solidFill>
                <a:srgbClr val="000000"/>
              </a:solidFill>
            </a:ln>
          </c:spPr>
          <c:cat>
            <c:strRef>
              <c:f>Setor_empresas!$B$3:$B$5</c:f>
            </c:strRef>
          </c:cat>
          <c:val>
            <c:numRef>
              <c:f>Setor_empresas!$C$3:$C$5</c:f>
              <c:numCache/>
            </c:numRef>
          </c:val>
        </c:ser>
        <c:axId val="223724637"/>
        <c:axId val="1638783830"/>
      </c:barChart>
      <c:catAx>
        <c:axId val="2237246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Setor de atividade</a:t>
                </a:r>
              </a:p>
            </c:rich>
          </c:tx>
          <c:overlay val="0"/>
        </c:title>
        <c:numFmt formatCode="General" sourceLinked="1"/>
        <c:majorTickMark val="none"/>
        <c:minorTickMark val="none"/>
        <c:spPr/>
        <c:txPr>
          <a:bodyPr/>
          <a:lstStyle/>
          <a:p>
            <a:pPr lvl="0">
              <a:defRPr b="0">
                <a:solidFill>
                  <a:srgbClr val="000000"/>
                </a:solidFill>
                <a:latin typeface="+mn-lt"/>
              </a:defRPr>
            </a:pPr>
          </a:p>
        </c:txPr>
        <c:crossAx val="1638783830"/>
      </c:catAx>
      <c:valAx>
        <c:axId val="16387838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3724637"/>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Setor_empresas!$D$2</c:f>
            </c:strRef>
          </c:tx>
          <c:spPr>
            <a:solidFill>
              <a:schemeClr val="accent1"/>
            </a:solidFill>
            <a:ln cmpd="sng">
              <a:solidFill>
                <a:srgbClr val="000000"/>
              </a:solidFill>
            </a:ln>
          </c:spPr>
          <c:dPt>
            <c:idx val="0"/>
          </c:dPt>
          <c:dPt>
            <c:idx val="1"/>
          </c:dPt>
          <c:dPt>
            <c:idx val="2"/>
          </c:dPt>
          <c:dLbls>
            <c:dLbl>
              <c:idx val="0"/>
              <c:layout>
                <c:manualLayout>
                  <c:xMode val="edge"/>
                  <c:yMode val="edge"/>
                  <c:x val="0.1451110986613155"/>
                  <c:y val="0.17871571474669254"/>
                </c:manualLayout>
              </c:layout>
              <c:tx>
                <c:rich>
                  <a:bodyPr/>
                  <a:lstStyle/>
                  <a:p>
                    <a:pPr lvl="0">
                      <a:defRPr b="1">
                        <a:solidFill>
                          <a:srgbClr val="000000"/>
                        </a:solidFill>
                        <a:latin typeface="Roboto"/>
                      </a:defRPr>
                    </a:pPr>
                    <a:r>
                      <a:rPr b="1">
                        <a:solidFill>
                          <a:srgbClr val="000000"/>
                        </a:solidFill>
                        <a:latin typeface="Roboto"/>
                      </a:rPr>
                      <a:t>42 (42.86%)</a:t>
                    </a:r>
                  </a:p>
                </c:rich>
              </c:tx>
              <c:numFmt formatCode="General" sourceLinked="1"/>
              <c:txPr>
                <a:bodyPr/>
                <a:lstStyle/>
                <a:p>
                  <a:pPr lvl="0">
                    <a:defRPr/>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29 (29.59%)</a:t>
                    </a:r>
                  </a:p>
                </c:rich>
              </c:tx>
              <c:numFmt formatCode="General" sourceLinked="1"/>
              <c:txPr>
                <a:bodyPr/>
                <a:lstStyle/>
                <a:p>
                  <a:pPr lvl="0">
                    <a:defRPr/>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27 (27.55%)</a:t>
                    </a:r>
                  </a:p>
                </c:rich>
              </c:tx>
              <c:numFmt formatCode="General" sourceLinked="1"/>
              <c:txPr>
                <a:bodyPr/>
                <a:lstStyle/>
                <a:p>
                  <a:pPr lvl="0">
                    <a:defRPr/>
                  </a:pPr>
                </a:p>
              </c:txPr>
              <c:showLegendKey val="0"/>
              <c:showVal val="1"/>
              <c:showCatName val="0"/>
              <c:showSerName val="0"/>
              <c:showPercent val="0"/>
              <c:showBubbleSize val="0"/>
            </c:dLbl>
            <c:numFmt formatCode="General" sourceLinked="1"/>
            <c:txPr>
              <a:bodyPr/>
              <a:lstStyle/>
              <a:p>
                <a:pPr lvl="0">
                  <a:defRPr/>
                </a:pPr>
              </a:p>
            </c:txPr>
            <c:showLegendKey val="0"/>
            <c:showVal val="1"/>
            <c:showCatName val="0"/>
            <c:showSerName val="0"/>
            <c:showPercent val="0"/>
            <c:showBubbleSize val="0"/>
          </c:dLbls>
          <c:cat>
            <c:strRef>
              <c:f>Setor_empresas!$B$3:$B$5</c:f>
            </c:strRef>
          </c:cat>
          <c:val>
            <c:numRef>
              <c:f>Setor_empresas!$D$3:$D$5</c:f>
              <c:numCache/>
            </c:numRef>
          </c:val>
        </c:ser>
        <c:axId val="218217070"/>
        <c:axId val="59842770"/>
      </c:barChart>
      <c:catAx>
        <c:axId val="218217070"/>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59842770"/>
      </c:catAx>
      <c:valAx>
        <c:axId val="5984277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8217070"/>
        <c:crosses val="max"/>
      </c:valAx>
    </c:plotArea>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 empresa atua na/no</a:t>
            </a:r>
          </a:p>
        </c:rich>
      </c:tx>
      <c:overlay val="0"/>
    </c:title>
    <c:plotArea>
      <c:layout/>
      <c:barChart>
        <c:barDir val="col"/>
        <c:ser>
          <c:idx val="0"/>
          <c:order val="0"/>
          <c:tx>
            <c:strRef>
              <c:f>Elos_empresas!$C$2</c:f>
            </c:strRef>
          </c:tx>
          <c:spPr>
            <a:solidFill>
              <a:schemeClr val="accent1"/>
            </a:solidFill>
            <a:ln cmpd="sng">
              <a:solidFill>
                <a:srgbClr val="000000"/>
              </a:solidFill>
            </a:ln>
          </c:spPr>
          <c:cat>
            <c:strRef>
              <c:f>Elos_empresas!$B$3:$B$9</c:f>
            </c:strRef>
          </c:cat>
          <c:val>
            <c:numRef>
              <c:f>Elos_empresas!$C$3:$C$9</c:f>
              <c:numCache/>
            </c:numRef>
          </c:val>
        </c:ser>
        <c:axId val="2100408570"/>
        <c:axId val="643319055"/>
      </c:barChart>
      <c:catAx>
        <c:axId val="21004085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 empresa atua na/no</a:t>
                </a:r>
              </a:p>
            </c:rich>
          </c:tx>
          <c:overlay val="0"/>
        </c:title>
        <c:numFmt formatCode="General" sourceLinked="1"/>
        <c:majorTickMark val="none"/>
        <c:minorTickMark val="none"/>
        <c:spPr/>
        <c:txPr>
          <a:bodyPr/>
          <a:lstStyle/>
          <a:p>
            <a:pPr lvl="0">
              <a:defRPr b="0">
                <a:solidFill>
                  <a:srgbClr val="000000"/>
                </a:solidFill>
                <a:latin typeface="+mn-lt"/>
              </a:defRPr>
            </a:pPr>
          </a:p>
        </c:txPr>
        <c:crossAx val="643319055"/>
      </c:catAx>
      <c:valAx>
        <c:axId val="6433190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0408570"/>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Nº versus A empresa atua na/no</a:t>
            </a:r>
          </a:p>
        </c:rich>
      </c:tx>
      <c:overlay val="0"/>
    </c:title>
    <c:plotArea>
      <c:layout/>
      <c:barChart>
        <c:barDir val="col"/>
        <c:ser>
          <c:idx val="0"/>
          <c:order val="0"/>
          <c:tx>
            <c:strRef>
              <c:f>Elos_empresas!$D$2</c:f>
            </c:strRef>
          </c:tx>
          <c:spPr>
            <a:solidFill>
              <a:schemeClr val="accent1"/>
            </a:solidFill>
            <a:ln cmpd="sng">
              <a:solidFill>
                <a:srgbClr val="000000"/>
              </a:solidFill>
            </a:ln>
          </c:spPr>
          <c:cat>
            <c:strRef>
              <c:f>Elos_empresas!$B$3:$B$9</c:f>
            </c:strRef>
          </c:cat>
          <c:val>
            <c:numRef>
              <c:f>Elos_empresas!$D$3:$D$9</c:f>
              <c:numCache/>
            </c:numRef>
          </c:val>
        </c:ser>
        <c:axId val="1519169112"/>
        <c:axId val="1225558151"/>
      </c:barChart>
      <c:catAx>
        <c:axId val="15191691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 empresa atua na/no</a:t>
                </a:r>
              </a:p>
            </c:rich>
          </c:tx>
          <c:overlay val="0"/>
        </c:title>
        <c:numFmt formatCode="General" sourceLinked="1"/>
        <c:majorTickMark val="none"/>
        <c:minorTickMark val="none"/>
        <c:spPr/>
        <c:txPr>
          <a:bodyPr/>
          <a:lstStyle/>
          <a:p>
            <a:pPr lvl="0">
              <a:defRPr b="0">
                <a:solidFill>
                  <a:srgbClr val="000000"/>
                </a:solidFill>
                <a:latin typeface="+mn-lt"/>
              </a:defRPr>
            </a:pPr>
          </a:p>
        </c:txPr>
        <c:crossAx val="1225558151"/>
      </c:catAx>
      <c:valAx>
        <c:axId val="12255581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Nº</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9169112"/>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'Fundações'!$B$3</c:f>
            </c:strRef>
          </c:tx>
          <c:spPr>
            <a:solidFill>
              <a:schemeClr val="accent1"/>
            </a:solidFill>
            <a:ln cmpd="sng">
              <a:solidFill>
                <a:srgbClr val="000000"/>
              </a:solidFill>
            </a:ln>
          </c:spPr>
          <c:dPt>
            <c:idx val="0"/>
          </c:dPt>
          <c:dPt>
            <c:idx val="1"/>
          </c:dPt>
          <c:dLbls>
            <c:dLbl>
              <c:idx val="0"/>
              <c:tx>
                <c:rich>
                  <a:bodyPr/>
                  <a:lstStyle/>
                  <a:p>
                    <a:pPr lvl="0">
                      <a:defRPr b="1">
                        <a:solidFill>
                          <a:srgbClr val="000000"/>
                        </a:solidFill>
                        <a:latin typeface="Roboto"/>
                      </a:defRPr>
                    </a:pPr>
                    <a:r>
                      <a:rPr b="1">
                        <a:solidFill>
                          <a:srgbClr val="000000"/>
                        </a:solidFill>
                        <a:latin typeface="Roboto"/>
                      </a:rPr>
                      <a:t>36 (36.36%)</a:t>
                    </a:r>
                  </a:p>
                </c:rich>
              </c:tx>
              <c:numFmt formatCode="General" sourceLinked="1"/>
              <c:txPr>
                <a:bodyPr/>
                <a:lstStyle/>
                <a:p>
                  <a:pPr lvl="0">
                    <a:defRPr/>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63 (63.64%)</a:t>
                    </a:r>
                  </a:p>
                </c:rich>
              </c:tx>
              <c:numFmt formatCode="General" sourceLinked="1"/>
              <c:txPr>
                <a:bodyPr/>
                <a:lstStyle/>
                <a:p>
                  <a:pPr lvl="0">
                    <a:defRPr/>
                  </a:pPr>
                </a:p>
              </c:txPr>
              <c:showLegendKey val="0"/>
              <c:showVal val="1"/>
              <c:showCatName val="0"/>
              <c:showSerName val="0"/>
              <c:showPercent val="0"/>
              <c:showBubbleSize val="0"/>
            </c:dLbl>
            <c:numFmt formatCode="General" sourceLinked="1"/>
            <c:txPr>
              <a:bodyPr/>
              <a:lstStyle/>
              <a:p>
                <a:pPr lvl="0">
                  <a:defRPr/>
                </a:pPr>
              </a:p>
            </c:txPr>
            <c:showLegendKey val="0"/>
            <c:showVal val="1"/>
            <c:showCatName val="0"/>
            <c:showSerName val="0"/>
            <c:showPercent val="0"/>
            <c:showBubbleSize val="0"/>
          </c:dLbls>
          <c:cat>
            <c:strRef>
              <c:f>'Fundações'!$A$4:$A$5</c:f>
            </c:strRef>
          </c:cat>
          <c:val>
            <c:numRef>
              <c:f>'Fundações'!$B$4:$B$5</c:f>
              <c:numCache/>
            </c:numRef>
          </c:val>
        </c:ser>
        <c:axId val="1564984661"/>
        <c:axId val="1234394381"/>
      </c:barChart>
      <c:catAx>
        <c:axId val="15649846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34394381"/>
      </c:catAx>
      <c:valAx>
        <c:axId val="12343943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4984661"/>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'Fundações'!$G$3</c:f>
            </c:strRef>
          </c:tx>
          <c:spPr>
            <a:solidFill>
              <a:schemeClr val="accent1"/>
            </a:solidFill>
            <a:ln cmpd="sng">
              <a:solidFill>
                <a:srgbClr val="000000"/>
              </a:solidFill>
            </a:ln>
          </c:spPr>
          <c:dPt>
            <c:idx val="0"/>
          </c:dPt>
          <c:dPt>
            <c:idx val="1"/>
          </c:dPt>
          <c:dPt>
            <c:idx val="2"/>
          </c:dPt>
          <c:dLbls>
            <c:dLbl>
              <c:idx val="0"/>
              <c:tx>
                <c:rich>
                  <a:bodyPr/>
                  <a:lstStyle/>
                  <a:p>
                    <a:pPr lvl="0">
                      <a:defRPr b="1">
                        <a:solidFill>
                          <a:srgbClr val="000000"/>
                        </a:solidFill>
                        <a:latin typeface="Roboto"/>
                      </a:defRPr>
                    </a:pPr>
                    <a:r>
                      <a:rPr b="1">
                        <a:solidFill>
                          <a:srgbClr val="000000"/>
                        </a:solidFill>
                        <a:latin typeface="Roboto"/>
                      </a:rPr>
                      <a:t>16 (44.44%)</a:t>
                    </a:r>
                  </a:p>
                </c:rich>
              </c:tx>
              <c:numFmt formatCode="General" sourceLinked="1"/>
              <c:txPr>
                <a:bodyPr/>
                <a:lstStyle/>
                <a:p>
                  <a:pPr lvl="0">
                    <a:defRPr/>
                  </a:pPr>
                </a:p>
              </c:txPr>
              <c:showLegendKey val="0"/>
              <c:showVal val="1"/>
              <c:showCatName val="0"/>
              <c:showSerName val="0"/>
              <c:showPercent val="0"/>
              <c:showBubbleSize val="0"/>
            </c:dLbl>
            <c:dLbl>
              <c:idx val="1"/>
              <c:tx>
                <c:rich>
                  <a:bodyPr/>
                  <a:lstStyle/>
                  <a:p>
                    <a:pPr lvl="0">
                      <a:defRPr b="1">
                        <a:solidFill>
                          <a:srgbClr val="000000"/>
                        </a:solidFill>
                        <a:latin typeface="Roboto"/>
                      </a:defRPr>
                    </a:pPr>
                    <a:r>
                      <a:rPr b="1">
                        <a:solidFill>
                          <a:srgbClr val="000000"/>
                        </a:solidFill>
                        <a:latin typeface="Roboto"/>
                      </a:rPr>
                      <a:t>10 (27.78%)</a:t>
                    </a:r>
                  </a:p>
                </c:rich>
              </c:tx>
              <c:numFmt formatCode="General" sourceLinked="1"/>
              <c:txPr>
                <a:bodyPr/>
                <a:lstStyle/>
                <a:p>
                  <a:pPr lvl="0">
                    <a:defRPr/>
                  </a:pPr>
                </a:p>
              </c:txPr>
              <c:showLegendKey val="0"/>
              <c:showVal val="1"/>
              <c:showCatName val="0"/>
              <c:showSerName val="0"/>
              <c:showPercent val="0"/>
              <c:showBubbleSize val="0"/>
            </c:dLbl>
            <c:dLbl>
              <c:idx val="2"/>
              <c:tx>
                <c:rich>
                  <a:bodyPr/>
                  <a:lstStyle/>
                  <a:p>
                    <a:pPr lvl="0">
                      <a:defRPr b="1">
                        <a:solidFill>
                          <a:srgbClr val="000000"/>
                        </a:solidFill>
                        <a:latin typeface="Roboto"/>
                      </a:defRPr>
                    </a:pPr>
                    <a:r>
                      <a:rPr b="1">
                        <a:solidFill>
                          <a:srgbClr val="000000"/>
                        </a:solidFill>
                        <a:latin typeface="Roboto"/>
                      </a:rPr>
                      <a:t>10 (27.78%)</a:t>
                    </a:r>
                  </a:p>
                </c:rich>
              </c:tx>
              <c:numFmt formatCode="General" sourceLinked="1"/>
              <c:txPr>
                <a:bodyPr/>
                <a:lstStyle/>
                <a:p>
                  <a:pPr lvl="0">
                    <a:defRPr/>
                  </a:pPr>
                </a:p>
              </c:txPr>
              <c:showLegendKey val="0"/>
              <c:showVal val="1"/>
              <c:showCatName val="0"/>
              <c:showSerName val="0"/>
              <c:showPercent val="0"/>
              <c:showBubbleSize val="0"/>
            </c:dLbl>
            <c:numFmt formatCode="General" sourceLinked="1"/>
            <c:txPr>
              <a:bodyPr/>
              <a:lstStyle/>
              <a:p>
                <a:pPr lvl="0">
                  <a:defRPr/>
                </a:pPr>
              </a:p>
            </c:txPr>
            <c:showLegendKey val="0"/>
            <c:showVal val="1"/>
            <c:showCatName val="0"/>
            <c:showSerName val="0"/>
            <c:showPercent val="0"/>
            <c:showBubbleSize val="0"/>
          </c:dLbls>
          <c:cat>
            <c:strRef>
              <c:f>'Fundações'!$F$4:$F$6</c:f>
            </c:strRef>
          </c:cat>
          <c:val>
            <c:numRef>
              <c:f>'Fundações'!$G$4:$G$6</c:f>
              <c:numCache/>
            </c:numRef>
          </c:val>
        </c:ser>
        <c:axId val="725271640"/>
        <c:axId val="834132262"/>
      </c:barChart>
      <c:catAx>
        <c:axId val="7252716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34132262"/>
      </c:catAx>
      <c:valAx>
        <c:axId val="8341322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25271640"/>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Nº ações and Nº empresas</a:t>
            </a:r>
          </a:p>
        </c:rich>
      </c:tx>
      <c:overlay val="0"/>
    </c:title>
    <c:plotArea>
      <c:layout/>
      <c:barChart>
        <c:barDir val="col"/>
        <c:grouping val="stacked"/>
        <c:ser>
          <c:idx val="0"/>
          <c:order val="0"/>
          <c:tx>
            <c:strRef>
              <c:f>'Comparações elos'!$C$3</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'Comparações elos'!$B$4:$B$10</c:f>
            </c:strRef>
          </c:cat>
          <c:val>
            <c:numRef>
              <c:f>'Comparações elos'!$C$4:$C$10</c:f>
              <c:numCache/>
            </c:numRef>
          </c:val>
        </c:ser>
        <c:ser>
          <c:idx val="1"/>
          <c:order val="1"/>
          <c:tx>
            <c:strRef>
              <c:f>'Comparações elos'!$D$3</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'Comparações elos'!$B$4:$B$10</c:f>
            </c:strRef>
          </c:cat>
          <c:val>
            <c:numRef>
              <c:f>'Comparações elos'!$D$4:$D$10</c:f>
              <c:numCache/>
            </c:numRef>
          </c:val>
        </c:ser>
        <c:overlap val="100"/>
        <c:axId val="39985802"/>
        <c:axId val="1607303945"/>
      </c:barChart>
      <c:catAx>
        <c:axId val="399858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Ação relacionada à/ao</a:t>
                </a:r>
              </a:p>
            </c:rich>
          </c:tx>
          <c:overlay val="0"/>
        </c:title>
        <c:numFmt formatCode="General" sourceLinked="1"/>
        <c:majorTickMark val="none"/>
        <c:minorTickMark val="none"/>
        <c:spPr/>
        <c:txPr>
          <a:bodyPr/>
          <a:lstStyle/>
          <a:p>
            <a:pPr lvl="0">
              <a:defRPr b="0">
                <a:solidFill>
                  <a:srgbClr val="000000"/>
                </a:solidFill>
                <a:latin typeface="+mn-lt"/>
              </a:defRPr>
            </a:pPr>
          </a:p>
        </c:txPr>
        <c:crossAx val="1607303945"/>
      </c:catAx>
      <c:valAx>
        <c:axId val="160730394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985802"/>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Teste!$C$2</c:f>
            </c:strRef>
          </c:tx>
          <c:spPr>
            <a:solidFill>
              <a:schemeClr val="accent1"/>
            </a:solidFill>
            <a:ln cmpd="sng">
              <a:solidFill>
                <a:srgbClr val="000000"/>
              </a:solidFill>
            </a:ln>
          </c:spPr>
          <c:cat>
            <c:strRef>
              <c:f>Teste!$B$3:$B$29</c:f>
            </c:strRef>
          </c:cat>
          <c:val>
            <c:numRef>
              <c:f>Teste!$C$3:$C$29</c:f>
              <c:numCache/>
            </c:numRef>
          </c:val>
        </c:ser>
        <c:overlap val="100"/>
        <c:axId val="726026068"/>
        <c:axId val="1205932665"/>
      </c:barChart>
      <c:lineChart>
        <c:ser>
          <c:idx val="1"/>
          <c:order val="1"/>
          <c:tx>
            <c:strRef>
              <c:f>Teste!$D$2</c:f>
            </c:strRef>
          </c:tx>
          <c:spPr>
            <a:ln cmpd="sng">
              <a:solidFill>
                <a:srgbClr val="EA4335"/>
              </a:solidFill>
            </a:ln>
          </c:spPr>
          <c:marker>
            <c:symbol val="none"/>
          </c:marker>
          <c:cat>
            <c:strRef>
              <c:f>Teste!$B$3:$B$29</c:f>
            </c:strRef>
          </c:cat>
          <c:val>
            <c:numRef>
              <c:f>Teste!$D$3:$D$29</c:f>
              <c:numCache/>
            </c:numRef>
          </c:val>
          <c:smooth val="0"/>
        </c:ser>
        <c:ser>
          <c:idx val="2"/>
          <c:order val="2"/>
          <c:tx>
            <c:strRef>
              <c:f>Teste!$E$2</c:f>
            </c:strRef>
          </c:tx>
          <c:spPr>
            <a:ln cmpd="sng">
              <a:solidFill>
                <a:srgbClr val="FBBC04"/>
              </a:solidFill>
            </a:ln>
          </c:spPr>
          <c:marker>
            <c:symbol val="none"/>
          </c:marker>
          <c:cat>
            <c:strRef>
              <c:f>Teste!$B$3:$B$29</c:f>
            </c:strRef>
          </c:cat>
          <c:val>
            <c:numRef>
              <c:f>Teste!$E$3:$E$29</c:f>
              <c:numCache/>
            </c:numRef>
          </c:val>
          <c:smooth val="0"/>
        </c:ser>
        <c:axId val="726026068"/>
        <c:axId val="1205932665"/>
      </c:lineChart>
      <c:catAx>
        <c:axId val="7260260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Estado</a:t>
                </a:r>
              </a:p>
            </c:rich>
          </c:tx>
          <c:overlay val="0"/>
        </c:title>
        <c:numFmt formatCode="General" sourceLinked="1"/>
        <c:majorTickMark val="none"/>
        <c:minorTickMark val="none"/>
        <c:spPr/>
        <c:txPr>
          <a:bodyPr/>
          <a:lstStyle/>
          <a:p>
            <a:pPr lvl="0">
              <a:defRPr b="0">
                <a:solidFill>
                  <a:srgbClr val="000000"/>
                </a:solidFill>
                <a:latin typeface="+mn-lt"/>
              </a:defRPr>
            </a:pPr>
          </a:p>
        </c:txPr>
        <c:crossAx val="1205932665"/>
      </c:catAx>
      <c:valAx>
        <c:axId val="1205932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2602606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0.xml"/><Relationship Id="rId2"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3.xml"/><Relationship Id="rId2" Type="http://schemas.openxmlformats.org/officeDocument/2006/relationships/chart" Target="../charts/chart1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5.xml"/><Relationship Id="rId2" Type="http://schemas.openxmlformats.org/officeDocument/2006/relationships/chart" Target="../charts/chart1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0.xml"/><Relationship Id="rId2"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 Id="rId2" Type="http://schemas.openxmlformats.org/officeDocument/2006/relationships/image" Target="../media/Chart23.png"/><Relationship Id="rId3" Type="http://schemas.openxmlformats.org/officeDocument/2006/relationships/chart" Target="../charts/chart23.xml"/><Relationship Id="rId4" Type="http://schemas.openxmlformats.org/officeDocument/2006/relationships/chart" Target="../charts/chart24.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5.xml"/><Relationship Id="rId2" Type="http://schemas.openxmlformats.org/officeDocument/2006/relationships/chart" Target="../charts/chart2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7.xml"/><Relationship Id="rId2" Type="http://schemas.openxmlformats.org/officeDocument/2006/relationships/chart" Target="../charts/chart28.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29.xml"/><Relationship Id="rId2" Type="http://schemas.openxmlformats.org/officeDocument/2006/relationships/chart" Target="../charts/chart30.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762000</xdr:colOff>
      <xdr:row>9</xdr:row>
      <xdr:rowOff>0</xdr:rowOff>
    </xdr:from>
    <xdr:ext cx="4591050" cy="2847975"/>
    <xdr:graphicFrame>
      <xdr:nvGraphicFramePr>
        <xdr:cNvPr id="940565963"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790575</xdr:colOff>
      <xdr:row>1</xdr:row>
      <xdr:rowOff>19050</xdr:rowOff>
    </xdr:from>
    <xdr:ext cx="6086475" cy="3762375"/>
    <xdr:graphicFrame>
      <xdr:nvGraphicFramePr>
        <xdr:cNvPr id="2047114943" name="Chart 2"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533400</xdr:colOff>
      <xdr:row>0</xdr:row>
      <xdr:rowOff>0</xdr:rowOff>
    </xdr:from>
    <xdr:ext cx="6162675" cy="3790950"/>
    <xdr:graphicFrame>
      <xdr:nvGraphicFramePr>
        <xdr:cNvPr id="874513172" name="Chart 3"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28575</xdr:colOff>
      <xdr:row>22</xdr:row>
      <xdr:rowOff>47625</xdr:rowOff>
    </xdr:from>
    <xdr:ext cx="7153275" cy="4419600"/>
    <xdr:graphicFrame>
      <xdr:nvGraphicFramePr>
        <xdr:cNvPr id="387140029" name="Chart 4"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838200</xdr:colOff>
      <xdr:row>7</xdr:row>
      <xdr:rowOff>314325</xdr:rowOff>
    </xdr:from>
    <xdr:ext cx="9182100" cy="5676900"/>
    <xdr:graphicFrame>
      <xdr:nvGraphicFramePr>
        <xdr:cNvPr id="1391535647"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809625</xdr:colOff>
      <xdr:row>8</xdr:row>
      <xdr:rowOff>85725</xdr:rowOff>
    </xdr:from>
    <xdr:ext cx="7153275" cy="4286250"/>
    <xdr:graphicFrame>
      <xdr:nvGraphicFramePr>
        <xdr:cNvPr id="1267851584" name="Chart 6"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314325</xdr:colOff>
      <xdr:row>0</xdr:row>
      <xdr:rowOff>85725</xdr:rowOff>
    </xdr:from>
    <xdr:ext cx="5715000" cy="3533775"/>
    <xdr:graphicFrame>
      <xdr:nvGraphicFramePr>
        <xdr:cNvPr id="1862696111"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466725</xdr:colOff>
      <xdr:row>12</xdr:row>
      <xdr:rowOff>47625</xdr:rowOff>
    </xdr:from>
    <xdr:ext cx="8648700" cy="5076825"/>
    <xdr:graphicFrame>
      <xdr:nvGraphicFramePr>
        <xdr:cNvPr id="2019291841" name="Chart 8"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933450</xdr:colOff>
      <xdr:row>55</xdr:row>
      <xdr:rowOff>66675</xdr:rowOff>
    </xdr:from>
    <xdr:ext cx="7019925" cy="5076825"/>
    <xdr:graphicFrame>
      <xdr:nvGraphicFramePr>
        <xdr:cNvPr id="1802096124" name="Chart 9" title="Gráfico"/>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628650</xdr:colOff>
      <xdr:row>8</xdr:row>
      <xdr:rowOff>142875</xdr:rowOff>
    </xdr:from>
    <xdr:ext cx="5715000" cy="3533775"/>
    <xdr:graphicFrame>
      <xdr:nvGraphicFramePr>
        <xdr:cNvPr id="337598128" name="Chart 10"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933450</xdr:colOff>
      <xdr:row>32</xdr:row>
      <xdr:rowOff>57150</xdr:rowOff>
    </xdr:from>
    <xdr:ext cx="5715000" cy="3533775"/>
    <xdr:graphicFrame>
      <xdr:nvGraphicFramePr>
        <xdr:cNvPr id="1348569868" name="Chart 11"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447675</xdr:colOff>
      <xdr:row>1</xdr:row>
      <xdr:rowOff>0</xdr:rowOff>
    </xdr:from>
    <xdr:ext cx="5715000" cy="3533775"/>
    <xdr:graphicFrame>
      <xdr:nvGraphicFramePr>
        <xdr:cNvPr id="1823159422" name="Chart 12"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1</xdr:row>
      <xdr:rowOff>123825</xdr:rowOff>
    </xdr:from>
    <xdr:ext cx="6610350" cy="4086225"/>
    <xdr:graphicFrame>
      <xdr:nvGraphicFramePr>
        <xdr:cNvPr id="873461178" name="Chart 13"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200025</xdr:colOff>
      <xdr:row>25</xdr:row>
      <xdr:rowOff>28575</xdr:rowOff>
    </xdr:from>
    <xdr:ext cx="5715000" cy="3533775"/>
    <xdr:graphicFrame>
      <xdr:nvGraphicFramePr>
        <xdr:cNvPr id="1280330250" name="Chart 14"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723900</xdr:colOff>
      <xdr:row>0</xdr:row>
      <xdr:rowOff>133350</xdr:rowOff>
    </xdr:from>
    <xdr:ext cx="5715000" cy="3533775"/>
    <xdr:graphicFrame>
      <xdr:nvGraphicFramePr>
        <xdr:cNvPr id="863693776" name="Chart 15"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781050</xdr:colOff>
      <xdr:row>7</xdr:row>
      <xdr:rowOff>76200</xdr:rowOff>
    </xdr:from>
    <xdr:ext cx="5715000" cy="3533775"/>
    <xdr:graphicFrame>
      <xdr:nvGraphicFramePr>
        <xdr:cNvPr id="2011779040" name="Chart 16"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542925</xdr:colOff>
      <xdr:row>7</xdr:row>
      <xdr:rowOff>0</xdr:rowOff>
    </xdr:from>
    <xdr:ext cx="7696200" cy="4762500"/>
    <xdr:graphicFrame>
      <xdr:nvGraphicFramePr>
        <xdr:cNvPr id="1529030403"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933450</xdr:colOff>
      <xdr:row>33</xdr:row>
      <xdr:rowOff>123825</xdr:rowOff>
    </xdr:from>
    <xdr:ext cx="7400925" cy="4572000"/>
    <xdr:graphicFrame>
      <xdr:nvGraphicFramePr>
        <xdr:cNvPr id="1321141231" name="Chart 18"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542925</xdr:colOff>
      <xdr:row>2</xdr:row>
      <xdr:rowOff>57150</xdr:rowOff>
    </xdr:from>
    <xdr:ext cx="5715000" cy="3533775"/>
    <xdr:graphicFrame>
      <xdr:nvGraphicFramePr>
        <xdr:cNvPr id="974732167" name="Chart 19"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952500</xdr:colOff>
      <xdr:row>5</xdr:row>
      <xdr:rowOff>171450</xdr:rowOff>
    </xdr:from>
    <xdr:ext cx="8810625" cy="4000500"/>
    <xdr:graphicFrame>
      <xdr:nvGraphicFramePr>
        <xdr:cNvPr id="480140816" name="Chart 20"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133350</xdr:colOff>
      <xdr:row>27</xdr:row>
      <xdr:rowOff>180975</xdr:rowOff>
    </xdr:from>
    <xdr:ext cx="8572500" cy="4114800"/>
    <xdr:graphicFrame>
      <xdr:nvGraphicFramePr>
        <xdr:cNvPr id="720064398" name="Chart 21"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514350</xdr:colOff>
      <xdr:row>1</xdr:row>
      <xdr:rowOff>123825</xdr:rowOff>
    </xdr:from>
    <xdr:ext cx="6238875" cy="3867150"/>
    <xdr:graphicFrame>
      <xdr:nvGraphicFramePr>
        <xdr:cNvPr id="332471270" name="Chart 2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914400</xdr:colOff>
      <xdr:row>9</xdr:row>
      <xdr:rowOff>190500</xdr:rowOff>
    </xdr:from>
    <xdr:ext cx="5715000" cy="3533775"/>
    <xdr:pic>
      <xdr:nvPicPr>
        <xdr:cNvPr id="1504457105" name="Chart23" title="Chart">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619125</xdr:colOff>
      <xdr:row>19</xdr:row>
      <xdr:rowOff>76200</xdr:rowOff>
    </xdr:from>
    <xdr:ext cx="8458200" cy="5343525"/>
    <xdr:graphicFrame>
      <xdr:nvGraphicFramePr>
        <xdr:cNvPr id="1195256734" name="Chart 2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24</xdr:col>
      <xdr:colOff>838200</xdr:colOff>
      <xdr:row>18</xdr:row>
      <xdr:rowOff>161925</xdr:rowOff>
    </xdr:from>
    <xdr:ext cx="5715000" cy="3533775"/>
    <xdr:graphicFrame>
      <xdr:nvGraphicFramePr>
        <xdr:cNvPr id="275995821" name="Chart 25"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10</xdr:row>
      <xdr:rowOff>9525</xdr:rowOff>
    </xdr:from>
    <xdr:ext cx="5715000" cy="3533775"/>
    <xdr:graphicFrame>
      <xdr:nvGraphicFramePr>
        <xdr:cNvPr id="302194894"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76200</xdr:colOff>
      <xdr:row>1</xdr:row>
      <xdr:rowOff>47625</xdr:rowOff>
    </xdr:from>
    <xdr:ext cx="5715000" cy="3533775"/>
    <xdr:graphicFrame>
      <xdr:nvGraphicFramePr>
        <xdr:cNvPr id="1500411837" name="Chart 27"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523875</xdr:colOff>
      <xdr:row>7</xdr:row>
      <xdr:rowOff>276225</xdr:rowOff>
    </xdr:from>
    <xdr:ext cx="5715000" cy="3533775"/>
    <xdr:graphicFrame>
      <xdr:nvGraphicFramePr>
        <xdr:cNvPr id="948945188" name="Chart 2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857250</xdr:colOff>
      <xdr:row>11</xdr:row>
      <xdr:rowOff>19050</xdr:rowOff>
    </xdr:from>
    <xdr:ext cx="5715000" cy="3533775"/>
    <xdr:graphicFrame>
      <xdr:nvGraphicFramePr>
        <xdr:cNvPr id="1622824218" name="Chart 29"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6</xdr:row>
      <xdr:rowOff>171450</xdr:rowOff>
    </xdr:from>
    <xdr:ext cx="5305425" cy="3276600"/>
    <xdr:graphicFrame>
      <xdr:nvGraphicFramePr>
        <xdr:cNvPr id="1157673377" name="Chart 30"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314325</xdr:colOff>
      <xdr:row>8</xdr:row>
      <xdr:rowOff>57150</xdr:rowOff>
    </xdr:from>
    <xdr:ext cx="7191375" cy="4438650"/>
    <xdr:graphicFrame>
      <xdr:nvGraphicFramePr>
        <xdr:cNvPr id="1344916359" name="Chart 31"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609600</xdr:colOff>
      <xdr:row>10</xdr:row>
      <xdr:rowOff>123825</xdr:rowOff>
    </xdr:from>
    <xdr:ext cx="5715000" cy="3533775"/>
    <xdr:graphicFrame>
      <xdr:nvGraphicFramePr>
        <xdr:cNvPr id="859788305" name="Chart 3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390525</xdr:colOff>
      <xdr:row>4</xdr:row>
      <xdr:rowOff>57150</xdr:rowOff>
    </xdr:from>
    <xdr:ext cx="5715000" cy="3533775"/>
    <xdr:graphicFrame>
      <xdr:nvGraphicFramePr>
        <xdr:cNvPr id="722197264" name="Chart 3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cargill.com/doc/1432226681760/esg-2022-portuguese-report.pdf" TargetMode="External"/><Relationship Id="rId194" Type="http://schemas.openxmlformats.org/officeDocument/2006/relationships/hyperlink" Target="https://globalwaterchallenge.org/cargill-currents/" TargetMode="External"/><Relationship Id="rId193" Type="http://schemas.openxmlformats.org/officeDocument/2006/relationships/hyperlink" Target="https://www.cargill.com/doc/1432226681760/esg-2022-portuguese-report.pdf" TargetMode="External"/><Relationship Id="rId192" Type="http://schemas.openxmlformats.org/officeDocument/2006/relationships/hyperlink" Target="https://www.cargill.com.br/sites/Satellite?c=CGL_PressRelease_C&amp;childpagename=CSF_BR%2FCGL_PressRelease_C%2FCCOM%2FNav1Layout&amp;cid=1432232371656&amp;pagename=CCOM_Wrapper" TargetMode="External"/><Relationship Id="rId191" Type="http://schemas.openxmlformats.org/officeDocument/2006/relationships/hyperlink" Target="https://www.cargill.com/story/trees-are-our-common-heritage-how-cargill-empowers-farm-pt_br" TargetMode="External"/><Relationship Id="rId187" Type="http://schemas.openxmlformats.org/officeDocument/2006/relationships/hyperlink" Target="https://www.cargill.com.br/pt_BR/doc/1432224625088/2020-cargill-annual-report-brazil-brz.pdf" TargetMode="External"/><Relationship Id="rId186" Type="http://schemas.openxmlformats.org/officeDocument/2006/relationships/hyperlink" Target="https://portaldev.sesc.com.br/mesabrasil/historico.html" TargetMode="External"/><Relationship Id="rId185" Type="http://schemas.openxmlformats.org/officeDocument/2006/relationships/hyperlink" Target="https://www.sesc.com.br/atuacoes/assistencia/sesc-mesa-brasil/entenda/" TargetMode="External"/><Relationship Id="rId184" Type="http://schemas.openxmlformats.org/officeDocument/2006/relationships/hyperlink" Target="https://www.cargill.com.br/pt_BR/doc/1432224625088/2020-cargill-annual-report-brazil-brz.pdf" TargetMode="External"/><Relationship Id="rId189" Type="http://schemas.openxmlformats.org/officeDocument/2006/relationships/hyperlink" Target="https://ppa.org.br/ppa-solidariedade/" TargetMode="External"/><Relationship Id="rId188" Type="http://schemas.openxmlformats.org/officeDocument/2006/relationships/hyperlink" Target="https://www.cargill.com.br/pt_BR/doc/1432224625088/2020-cargill-annual-report-brazil-brz.pdf" TargetMode="External"/><Relationship Id="rId183" Type="http://schemas.openxmlformats.org/officeDocument/2006/relationships/hyperlink" Target="https://www.cargill.com.br/pt_BR/doc/1432224625088/2020-cargill-annual-report-brazil-brz.pdf" TargetMode="External"/><Relationship Id="rId182" Type="http://schemas.openxmlformats.org/officeDocument/2006/relationships/hyperlink" Target="https://www.cargill.com.br/pt_BR/doc/1432224625088/2020-cargill-annual-report-brazil-brz.pdf" TargetMode="External"/><Relationship Id="rId181" Type="http://schemas.openxmlformats.org/officeDocument/2006/relationships/hyperlink" Target="https://www.caramuru.com/wp-content/uploads/2024/06/Caramuru_RS2023-compactado.pdf" TargetMode="External"/><Relationship Id="rId180" Type="http://schemas.openxmlformats.org/officeDocument/2006/relationships/hyperlink" Target="https://www.caramuru.com/wp-content/uploads/2024/06/Caramuru_RS2023-compactado.pdf" TargetMode="External"/><Relationship Id="rId176" Type="http://schemas.openxmlformats.org/officeDocument/2006/relationships/hyperlink" Target="https://www.cooperalfa.com.br/storage/images/OodjNWvp8TCeGwhWVTU1Su2F8a2YczdJhKKm4CVf.pdf" TargetMode="External"/><Relationship Id="rId175" Type="http://schemas.openxmlformats.org/officeDocument/2006/relationships/hyperlink" Target="https://www.linkedin.com/posts/cooperativa-agroindustrial-alfa_dia-c-2022-activity-6950084511103651840-eShC?utm_source=share&amp;utm_medium=member_desktop" TargetMode="External"/><Relationship Id="rId174" Type="http://schemas.openxmlformats.org/officeDocument/2006/relationships/hyperlink" Target="https://www.cooperalfa.com.br/storage/images/OodjNWvp8TCeGwhWVTU1Su2F8a2YczdJhKKm4CVf.pdf" TargetMode="External"/><Relationship Id="rId173" Type="http://schemas.openxmlformats.org/officeDocument/2006/relationships/hyperlink" Target="https://www.caramuru.com/wp-content/uploads/2021/11/Relat%C2%A2rio-Caramuru_2020_Interativo.pdf" TargetMode="External"/><Relationship Id="rId179" Type="http://schemas.openxmlformats.org/officeDocument/2006/relationships/hyperlink" Target="https://www.cooperalfa.com.br/storage/images/OodjNWvp8TCeGwhWVTU1Su2F8a2YczdJhKKm4CVf.pdf" TargetMode="External"/><Relationship Id="rId178" Type="http://schemas.openxmlformats.org/officeDocument/2006/relationships/hyperlink" Target="https://entretodos.caramuru.com/docs/RS_Caramuru_2021_DFINAL_26.08.pdf" TargetMode="External"/><Relationship Id="rId177" Type="http://schemas.openxmlformats.org/officeDocument/2006/relationships/hyperlink" Target="https://www.caramuru.com/wp-content/uploads/2021/11/Relat%C2%A2rio-Caramuru_2020_Interativo.pdf" TargetMode="External"/><Relationship Id="rId198" Type="http://schemas.openxmlformats.org/officeDocument/2006/relationships/hyperlink" Target="https://api.mziq.com/mzfilemanager/v2/d/4594750a-94b7-4fcb-bbbc-514e4d1295e3/58f33b40-68c7-e6cc-039d-55fe2800b7c5?origin=1" TargetMode="External"/><Relationship Id="rId197" Type="http://schemas.openxmlformats.org/officeDocument/2006/relationships/hyperlink" Target="https://www.linkedin.com/posts/earthworm-foundation-brasil_projeto-landscape-activity-7059983204253843456-mKHQ/?originalSubdomain=br" TargetMode="External"/><Relationship Id="rId196" Type="http://schemas.openxmlformats.org/officeDocument/2006/relationships/hyperlink" Target="https://www.earthworm.org/pt/our-work/projects/tome-acu-brazil" TargetMode="External"/><Relationship Id="rId195" Type="http://schemas.openxmlformats.org/officeDocument/2006/relationships/hyperlink" Target="https://www.cargill.com/doc/1432226681760/esg-2022-portuguese-report.pdf" TargetMode="External"/><Relationship Id="rId199" Type="http://schemas.openxmlformats.org/officeDocument/2006/relationships/hyperlink" Target="https://www.cargill.com/sustainability/doc/1432249635993/2023-esg-report.pdf" TargetMode="External"/><Relationship Id="rId150" Type="http://schemas.openxmlformats.org/officeDocument/2006/relationships/hyperlink" Target="https://www.capal.coop.br/pdf/publicacao-2024-02-20-12-51-08.pdf" TargetMode="External"/><Relationship Id="rId392" Type="http://schemas.openxmlformats.org/officeDocument/2006/relationships/hyperlink" Target="https://www.copercampos.com.br/relatorios/2021/relatorio_2021.pdf" TargetMode="External"/><Relationship Id="rId391" Type="http://schemas.openxmlformats.org/officeDocument/2006/relationships/hyperlink" Target="https://www.copercampos.com.br/relatorios/2021/relatorio_2021.pdf" TargetMode="External"/><Relationship Id="rId390" Type="http://schemas.openxmlformats.org/officeDocument/2006/relationships/hyperlink" Target="https://www.copercampos.com.br/relatorios/2022/relatorio_2022.pdf" TargetMode="External"/><Relationship Id="rId1" Type="http://schemas.openxmlformats.org/officeDocument/2006/relationships/comments" Target="../comments1.xml"/><Relationship Id="rId2" Type="http://schemas.openxmlformats.org/officeDocument/2006/relationships/hyperlink" Target="https://www.3tentos.com.br/assets/esg/relatorioesg.pdf" TargetMode="External"/><Relationship Id="rId3" Type="http://schemas.openxmlformats.org/officeDocument/2006/relationships/hyperlink" Target="https://www.3tentos.com.br/assets/esg/relatoriodesustentabilidade2022.pdf" TargetMode="External"/><Relationship Id="rId149" Type="http://schemas.openxmlformats.org/officeDocument/2006/relationships/hyperlink" Target="https://www.cvale.com.br/relatoriosustentabilidade/2022-2023/" TargetMode="External"/><Relationship Id="rId4" Type="http://schemas.openxmlformats.org/officeDocument/2006/relationships/hyperlink" Target="https://www.3tentos.com.br/assets/esg/relatorioesg2021.pdf" TargetMode="External"/><Relationship Id="rId148" Type="http://schemas.openxmlformats.org/officeDocument/2006/relationships/hyperlink" Target="https://www.cvale.com.br/relatoriosustentabilidade/2022-2023/" TargetMode="External"/><Relationship Id="rId1090" Type="http://schemas.openxmlformats.org/officeDocument/2006/relationships/hyperlink" Target="https://storage.googleapis.com/br-apps-site-institucional-cs-prod-001/2023/08/958f680d-carrefour_ri_22-12.pdf" TargetMode="External"/><Relationship Id="rId1091" Type="http://schemas.openxmlformats.org/officeDocument/2006/relationships/hyperlink" Target="https://storage.googleapis.com/br-apps-site-institucional-cs-prod-001/2024/04/685c3c96-grupocarrefour_rs23_d3-05.pdf" TargetMode="External"/><Relationship Id="rId1092" Type="http://schemas.openxmlformats.org/officeDocument/2006/relationships/hyperlink" Target="https://storage.googleapis.com/br-apps-site-institucional-cs-prod-001/2022/09/844521e9-relatorio-de-sustentabilidade-20210629-123317-2791.pdf" TargetMode="External"/><Relationship Id="rId1093" Type="http://schemas.openxmlformats.org/officeDocument/2006/relationships/hyperlink" Target="https://storage.googleapis.com/br-apps-site-institucional-cs-prod-001/2022/08/3572970f-relato%CC%81rio-anual-de-sustentabilidade-de-2021-port-22.08.22.pdf" TargetMode="External"/><Relationship Id="rId1094" Type="http://schemas.openxmlformats.org/officeDocument/2006/relationships/hyperlink" Target="https://storage.googleapis.com/br-apps-site-institucional-cs-prod-001/2023/08/958f680d-carrefour_ri_22-12.pdf" TargetMode="External"/><Relationship Id="rId9" Type="http://schemas.openxmlformats.org/officeDocument/2006/relationships/hyperlink" Target="https://www.3tentos.com.br/produzir" TargetMode="External"/><Relationship Id="rId143" Type="http://schemas.openxmlformats.org/officeDocument/2006/relationships/hyperlink" Target="https://api.mziq.com/mzfilemanager/v2/d/2c1e0dd9-31eb-4dc0-ab4d-844683600488/98462bb8-04ad-8cf2-96b6-bd58d7cec962?origin=1" TargetMode="External"/><Relationship Id="rId385" Type="http://schemas.openxmlformats.org/officeDocument/2006/relationships/hyperlink" Target="https://cloud.squidex.io/api/assets/copasul/59a1ac95-9780-4828-b837-0a98659fe741/relatorio-copasul-2023-site.pdf?version=0" TargetMode="External"/><Relationship Id="rId1095" Type="http://schemas.openxmlformats.org/officeDocument/2006/relationships/hyperlink" Target="https://storage.googleapis.com/br-apps-site-institucional-cs-prod-001/2024/04/685c3c96-grupocarrefour_rs23_d3-05.pdf" TargetMode="External"/><Relationship Id="rId142" Type="http://schemas.openxmlformats.org/officeDocument/2006/relationships/hyperlink" Target="https://delivery.bunge.com/-/media/Files/Brazil/Relatorios/Relatrio-de-Sustentabilidade-2023-PT-Final.ash" TargetMode="External"/><Relationship Id="rId384" Type="http://schemas.openxmlformats.org/officeDocument/2006/relationships/hyperlink" Target="https://cloud.squidex.io/api/assets/copasul/59a1ac95-9780-4828-b837-0a98659fe741/relatorio-copasul-2023-site.pdf?version=0" TargetMode="External"/><Relationship Id="rId1096" Type="http://schemas.openxmlformats.org/officeDocument/2006/relationships/hyperlink" Target="https://storage.googleapis.com/br-apps-site-institucional-cs-prod-001/2022/09/844521e9-relatorio-de-sustentabilidade-20210629-123317-2791.pdf" TargetMode="External"/><Relationship Id="rId141" Type="http://schemas.openxmlformats.org/officeDocument/2006/relationships/hyperlink" Target="https://delivery.bunge.com/-/media/Files/Brazil/Relatorios/Bunge_global-RA21-20.ashx" TargetMode="External"/><Relationship Id="rId383" Type="http://schemas.openxmlformats.org/officeDocument/2006/relationships/hyperlink" Target="https://cloud.squidex.io/api/assets/copasul/59a1ac95-9780-4828-b837-0a98659fe741/relatorio-copasul-2023-site.pdf?version=0" TargetMode="External"/><Relationship Id="rId1097" Type="http://schemas.openxmlformats.org/officeDocument/2006/relationships/hyperlink" Target="https://storage.googleapis.com/br-apps-site-institucional-cs-prod-001/2022/08/3572970f-relato%CC%81rio-anual-de-sustentabilidade-de-2021-port-22.08.22.pdf" TargetMode="External"/><Relationship Id="rId140" Type="http://schemas.openxmlformats.org/officeDocument/2006/relationships/hyperlink" Target="https://delivery.bunge.com/-/media/Files/Brazil/Relatorios/Relatrio-de-Sustentabilidade-Global-2022-VF-SITE.ashx" TargetMode="External"/><Relationship Id="rId382" Type="http://schemas.openxmlformats.org/officeDocument/2006/relationships/hyperlink" Target="https://fliphtml5.com/tvtgq/bpsu/relatorio-de-sustentabilidade-copasul-2022/67/" TargetMode="External"/><Relationship Id="rId1098" Type="http://schemas.openxmlformats.org/officeDocument/2006/relationships/hyperlink" Target="https://storage.googleapis.com/br-apps-site-institucional-cs-prod-001/2023/08/958f680d-carrefour_ri_22-12.pdf" TargetMode="External"/><Relationship Id="rId5" Type="http://schemas.openxmlformats.org/officeDocument/2006/relationships/hyperlink" Target="https://www.3tentos.com.br/assets/esg/relatorioesg.pdf" TargetMode="External"/><Relationship Id="rId147" Type="http://schemas.openxmlformats.org/officeDocument/2006/relationships/hyperlink" Target="https://www.cvale.com.br/relatoriosustentabilidade/2022-2023/" TargetMode="External"/><Relationship Id="rId389" Type="http://schemas.openxmlformats.org/officeDocument/2006/relationships/hyperlink" Target="https://www.copercampos.com.br/relatorios/2023/relatorio_2023.pdf" TargetMode="External"/><Relationship Id="rId1099" Type="http://schemas.openxmlformats.org/officeDocument/2006/relationships/hyperlink" Target="https://storage.googleapis.com/br-apps-site-institucional-cs-prod-001/2024/04/685c3c96-grupocarrefour_rs23_d3-05.pdf" TargetMode="External"/><Relationship Id="rId6" Type="http://schemas.openxmlformats.org/officeDocument/2006/relationships/hyperlink" Target="https://www.3tentos.com.br/relatorio2021.pdf" TargetMode="External"/><Relationship Id="rId146" Type="http://schemas.openxmlformats.org/officeDocument/2006/relationships/hyperlink" Target="https://www.cvale.com.br/demonstracoes/2020/relatorio/index.html" TargetMode="External"/><Relationship Id="rId388" Type="http://schemas.openxmlformats.org/officeDocument/2006/relationships/hyperlink" Target="https://www.copercampos.com.br/relatorios/2021/relatorio_2021.pdf" TargetMode="External"/><Relationship Id="rId7" Type="http://schemas.openxmlformats.org/officeDocument/2006/relationships/hyperlink" Target="https://www.3tentos.com.br/assets/esg/relatoriodesustentabilidade2022.pdf" TargetMode="External"/><Relationship Id="rId145" Type="http://schemas.openxmlformats.org/officeDocument/2006/relationships/hyperlink" Target="https://www.cvale.com.br/demonstracoes/2021/relatorio/" TargetMode="External"/><Relationship Id="rId387" Type="http://schemas.openxmlformats.org/officeDocument/2006/relationships/hyperlink" Target="https://www.copercampos.com.br/relatorios/2020/relatorio_2020.pdf" TargetMode="External"/><Relationship Id="rId8" Type="http://schemas.openxmlformats.org/officeDocument/2006/relationships/hyperlink" Target="https://www.3tentos.com.br/assets/esg/relatoriosustentabilidade2023.pdf" TargetMode="External"/><Relationship Id="rId144" Type="http://schemas.openxmlformats.org/officeDocument/2006/relationships/hyperlink" Target="https://delivery.bunge.com/-/media/Files/Brazil/Relatorios/Relatrio-de-Sustentabilidade-2023-PT-Final.ash" TargetMode="External"/><Relationship Id="rId386" Type="http://schemas.openxmlformats.org/officeDocument/2006/relationships/hyperlink" Target="https://cloud.squidex.io/api/assets/copasul/59a1ac95-9780-4828-b837-0a98659fe741/relatorio-copasul-2023-site.pdf?version=0" TargetMode="External"/><Relationship Id="rId381" Type="http://schemas.openxmlformats.org/officeDocument/2006/relationships/hyperlink" Target="https://cloud.squidex.io/api/assets/copasul/59a1ac95-9780-4828-b837-0a98659fe741/relatorio-copasul-2023-site.pdf?version=0" TargetMode="External"/><Relationship Id="rId380" Type="http://schemas.openxmlformats.org/officeDocument/2006/relationships/hyperlink" Target="https://cloud.squidex.io/api/assets/copasul/59a1ac95-9780-4828-b837-0a98659fe741/relatorio-copasul-2023-site.pdf?version=0" TargetMode="External"/><Relationship Id="rId139" Type="http://schemas.openxmlformats.org/officeDocument/2006/relationships/hyperlink" Target="https://delivery.bunge.com/-/media/Files/Brazil/Relatorios/Bunge_global-RA21-20.ashx" TargetMode="External"/><Relationship Id="rId138" Type="http://schemas.openxmlformats.org/officeDocument/2006/relationships/hyperlink" Target="https://delivery.bunge.com/-/media/Files/Brazil/Relatorios/Relatrio-de-Sustentabilidade-2023-PT-Final.ash" TargetMode="External"/><Relationship Id="rId137" Type="http://schemas.openxmlformats.org/officeDocument/2006/relationships/hyperlink" Target="https://www.tnc.org.br/conecte-se/comunicacao/noticias/agroideal/" TargetMode="External"/><Relationship Id="rId379" Type="http://schemas.openxmlformats.org/officeDocument/2006/relationships/hyperlink" Target="https://fliphtml5.com/tvtgq/bpsu/relatorio-de-sustentabilidade-copasul-2022/67/" TargetMode="External"/><Relationship Id="rId1080" Type="http://schemas.openxmlformats.org/officeDocument/2006/relationships/hyperlink" Target="https://storage.googleapis.com/br-apps-site-institucional-cs-prod-001/2023/08/958f680d-carrefour_ri_22-12.pdf" TargetMode="External"/><Relationship Id="rId1081" Type="http://schemas.openxmlformats.org/officeDocument/2006/relationships/hyperlink" Target="https://storage.googleapis.com/br-apps-site-institucional-cs-prod-001/2024/04/685c3c96-grupocarrefour_rs23_d3-05.pdf" TargetMode="External"/><Relationship Id="rId1082" Type="http://schemas.openxmlformats.org/officeDocument/2006/relationships/hyperlink" Target="https://storage.googleapis.com/br-apps-site-institucional-cs-prod-001/2022/09/844521e9-relatorio-de-sustentabilidade-20210629-123317-2791.pdf" TargetMode="External"/><Relationship Id="rId1083" Type="http://schemas.openxmlformats.org/officeDocument/2006/relationships/hyperlink" Target="https://storage.googleapis.com/br-apps-site-institucional-cs-prod-001/2022/09/844521e9-relatorio-de-sustentabilidade-20210629-123317-2791.pdf" TargetMode="External"/><Relationship Id="rId132" Type="http://schemas.openxmlformats.org/officeDocument/2006/relationships/hyperlink" Target="https://delivery.bunge.com/-/media/Files/Brazil/Relatorios/Relatrio-de-Sustentabilidade-2023-PT-Final.ash" TargetMode="External"/><Relationship Id="rId374" Type="http://schemas.openxmlformats.org/officeDocument/2006/relationships/hyperlink" Target="https://www.cooxupe.com.br/wp-content/uploads/2024/03/RELATORIO-GESTAO-COOXUPE-2023.pdf" TargetMode="External"/><Relationship Id="rId1084" Type="http://schemas.openxmlformats.org/officeDocument/2006/relationships/hyperlink" Target="https://storage.googleapis.com/br-apps-site-institucional-cs-prod-001/2022/09/844521e9-relatorio-de-sustentabilidade-20210629-123317-2791.pdf" TargetMode="External"/><Relationship Id="rId131" Type="http://schemas.openxmlformats.org/officeDocument/2006/relationships/hyperlink" Target="https://delivery.bunge.com/-/media/Files/Brazil/Relatorios/Bunge_global-RA21-20.ashx" TargetMode="External"/><Relationship Id="rId373" Type="http://schemas.openxmlformats.org/officeDocument/2006/relationships/hyperlink" Target="https://www.cooxupe.com.br/wp-content/uploads/2022/03/COOXUPE-RELATORIO-GESTAO-2021-1.pdf" TargetMode="External"/><Relationship Id="rId1085" Type="http://schemas.openxmlformats.org/officeDocument/2006/relationships/hyperlink" Target="https://storage.googleapis.com/br-apps-site-institucional-cs-prod-001/2022/09/844521e9-relatorio-de-sustentabilidade-20210629-123317-2791.pdf" TargetMode="External"/><Relationship Id="rId130" Type="http://schemas.openxmlformats.org/officeDocument/2006/relationships/hyperlink" Target="https://api.mziq.com/mzfilemanager/v2/d/2c1e0dd9-31eb-4dc0-ab4d-844683600488/4f8799c4-6b4a-104f-bdb0-9fb317ed4e29?origin=1" TargetMode="External"/><Relationship Id="rId372" Type="http://schemas.openxmlformats.org/officeDocument/2006/relationships/hyperlink" Target="https://www.cooxupe.com.br/noticias/comeca-a-implementacao-do-nascentes-da-mata-do-sino/" TargetMode="External"/><Relationship Id="rId1086" Type="http://schemas.openxmlformats.org/officeDocument/2006/relationships/hyperlink" Target="https://storage.googleapis.com/br-apps-site-institucional-cs-prod-001/2022/09/844521e9-relatorio-de-sustentabilidade-20210629-123317-2791.pdf" TargetMode="External"/><Relationship Id="rId371" Type="http://schemas.openxmlformats.org/officeDocument/2006/relationships/hyperlink" Target="https://www.cooxupe.com.br/wp-content/uploads/2024/03/RELATORIO-GESTAO-COOXUPE-2023.pdf" TargetMode="External"/><Relationship Id="rId1087" Type="http://schemas.openxmlformats.org/officeDocument/2006/relationships/hyperlink" Target="https://storage.googleapis.com/br-apps-site-institucional-cs-prod-001/2022/08/3572970f-relato%CC%81rio-anual-de-sustentabilidade-de-2021-port-22.08.22.pdf" TargetMode="External"/><Relationship Id="rId136" Type="http://schemas.openxmlformats.org/officeDocument/2006/relationships/hyperlink" Target="https://delivery.bunge.com/-/media/Files/Brazil/Relatorios/Relatrio-de-Sustentabilidade-2023-PT-Final.ash" TargetMode="External"/><Relationship Id="rId378" Type="http://schemas.openxmlformats.org/officeDocument/2006/relationships/hyperlink" Target="https://www.cooxupe.com.br/wp-content/uploads/2023/10/Folha-Rural_ed535-SETEMBRO-23-.pdf" TargetMode="External"/><Relationship Id="rId1088" Type="http://schemas.openxmlformats.org/officeDocument/2006/relationships/hyperlink" Target="https://storage.googleapis.com/br-apps-site-institucional-cs-prod-001/2022/09/844521e9-relatorio-de-sustentabilidade-20210629-123317-2791.pdf" TargetMode="External"/><Relationship Id="rId135" Type="http://schemas.openxmlformats.org/officeDocument/2006/relationships/hyperlink" Target="https://delivery.bunge.com/-/media/Files/Brazil/Relatorios/Relatrio-de-Sustentabilidade-Global-2022-VF-SITE.ashx" TargetMode="External"/><Relationship Id="rId377" Type="http://schemas.openxmlformats.org/officeDocument/2006/relationships/hyperlink" Target="https://www.cooxupe.com.br/wp-content/uploads/2024/03/RELATORIO-GESTAO-COOXUPE-2023.pdf" TargetMode="External"/><Relationship Id="rId1089" Type="http://schemas.openxmlformats.org/officeDocument/2006/relationships/hyperlink" Target="https://storage.googleapis.com/br-apps-site-institucional-cs-prod-001/2022/08/3572970f-relato%CC%81rio-anual-de-sustentabilidade-de-2021-port-22.08.22.pdf" TargetMode="External"/><Relationship Id="rId134" Type="http://schemas.openxmlformats.org/officeDocument/2006/relationships/hyperlink" Target="https://delivery.bunge.com/-/media/Files/Brazil/Relatorios/Bunge_global-RA21-20.ashx" TargetMode="External"/><Relationship Id="rId376" Type="http://schemas.openxmlformats.org/officeDocument/2006/relationships/hyperlink" Target="https://www.cooxupe.com.br/wp-content/uploads/2024/03/RELATORIO-GESTAO-COOXUPE-2023.pdf" TargetMode="External"/><Relationship Id="rId133" Type="http://schemas.openxmlformats.org/officeDocument/2006/relationships/hyperlink" Target="https://www.bunge.com.br/Sustentabilidade/Agricultura-Regenerativa" TargetMode="External"/><Relationship Id="rId375" Type="http://schemas.openxmlformats.org/officeDocument/2006/relationships/hyperlink" Target="https://www.cooxupe.com.br/wp-content/uploads/2024/03/RELATORIO-GESTAO-COOXUPE-2023.pdf" TargetMode="External"/><Relationship Id="rId172" Type="http://schemas.openxmlformats.org/officeDocument/2006/relationships/hyperlink" Target="https://entretodos.caramuru.com/docs/RS_Caramuru_2021_DFINAL_26.08.pdf" TargetMode="External"/><Relationship Id="rId171" Type="http://schemas.openxmlformats.org/officeDocument/2006/relationships/hyperlink" Target="https://www.caramuru.com/wp-content/uploads/2021/11/Relat%C2%A2rio-Caramuru_2020_Interativo.pdf" TargetMode="External"/><Relationship Id="rId170" Type="http://schemas.openxmlformats.org/officeDocument/2006/relationships/hyperlink" Target="https://www.capal.coop.br/pdf/publicacao-2024-02-20-12-51-08.pdf" TargetMode="External"/><Relationship Id="rId165" Type="http://schemas.openxmlformats.org/officeDocument/2006/relationships/hyperlink" Target="https://www.capal.coop.br/pdf/publicacao-2023-07-27-20-26-08.pdf" TargetMode="External"/><Relationship Id="rId164" Type="http://schemas.openxmlformats.org/officeDocument/2006/relationships/hyperlink" Target="https://www.capal.coop.br/pdf/publicacao-2023-07-27-20-27-00.pdf" TargetMode="External"/><Relationship Id="rId163" Type="http://schemas.openxmlformats.org/officeDocument/2006/relationships/hyperlink" Target="https://www.capal.coop.br/pdf/publicacao-2023-07-27-20-27-00.pdf" TargetMode="External"/><Relationship Id="rId162" Type="http://schemas.openxmlformats.org/officeDocument/2006/relationships/hyperlink" Target="https://www.capal.coop.br/pdf/publicacao-2023-07-27-20-27-00.pdf" TargetMode="External"/><Relationship Id="rId169" Type="http://schemas.openxmlformats.org/officeDocument/2006/relationships/hyperlink" Target="https://www.capal.coop.br/pdf/publicacao-2023-04-21-19-22-59.pdf" TargetMode="External"/><Relationship Id="rId168" Type="http://schemas.openxmlformats.org/officeDocument/2006/relationships/hyperlink" Target="https://www.capal.coop.br/pdf/publicacao-2023-07-27-20-27-00.pdf" TargetMode="External"/><Relationship Id="rId167" Type="http://schemas.openxmlformats.org/officeDocument/2006/relationships/hyperlink" Target="https://www.castrolanda.coop.br/relatorios/relatorio-anual-2021/" TargetMode="External"/><Relationship Id="rId166" Type="http://schemas.openxmlformats.org/officeDocument/2006/relationships/hyperlink" Target="https://www.capal.coop.br/pdf/publicacao-2023-07-27-20-27-00.pdf" TargetMode="External"/><Relationship Id="rId161" Type="http://schemas.openxmlformats.org/officeDocument/2006/relationships/hyperlink" Target="https://www.capal.coop.br/pdf/Arquivo-2023-01-13-17-18-50.pdf" TargetMode="External"/><Relationship Id="rId160" Type="http://schemas.openxmlformats.org/officeDocument/2006/relationships/hyperlink" Target="https://www.capal.coop.br/pdf/publicacao-2024-02-20-12-51-08.pdf" TargetMode="External"/><Relationship Id="rId159" Type="http://schemas.openxmlformats.org/officeDocument/2006/relationships/hyperlink" Target="https://www.capal.coop.br/pdf/publicacao-2023-04-21-19-22-59.pdf" TargetMode="External"/><Relationship Id="rId154" Type="http://schemas.openxmlformats.org/officeDocument/2006/relationships/hyperlink" Target="https://www.capal.coop.br/pdf/publicacao-2023-07-27-20-27-00.pdf" TargetMode="External"/><Relationship Id="rId396" Type="http://schemas.openxmlformats.org/officeDocument/2006/relationships/hyperlink" Target="https://www.copercampos.com.br/relatorios/2022/relatorio_2022.pdf" TargetMode="External"/><Relationship Id="rId153" Type="http://schemas.openxmlformats.org/officeDocument/2006/relationships/hyperlink" Target="https://www.capal.coop.br/pdf/publicacao-2023-07-27-20-26-08.pdf" TargetMode="External"/><Relationship Id="rId395" Type="http://schemas.openxmlformats.org/officeDocument/2006/relationships/hyperlink" Target="https://www.copercampos.com.br/relatorios/2023/relatorio_2023.pdf" TargetMode="External"/><Relationship Id="rId152" Type="http://schemas.openxmlformats.org/officeDocument/2006/relationships/hyperlink" Target="https://www.capal.coop.br/pdf/publicacao-2024-02-20-12-51-08.pdf" TargetMode="External"/><Relationship Id="rId394" Type="http://schemas.openxmlformats.org/officeDocument/2006/relationships/hyperlink" Target="https://www.copercampos.com.br/relatorios/2022/relatorio_2022.pdf" TargetMode="External"/><Relationship Id="rId151" Type="http://schemas.openxmlformats.org/officeDocument/2006/relationships/hyperlink" Target="https://www.capal.coop.br/pdf/publicacao-2024-02-20-12-51-08.pdf" TargetMode="External"/><Relationship Id="rId393" Type="http://schemas.openxmlformats.org/officeDocument/2006/relationships/hyperlink" Target="https://www.copercampos.com.br/relatorios/2022/relatorio_2022.pdf" TargetMode="External"/><Relationship Id="rId158" Type="http://schemas.openxmlformats.org/officeDocument/2006/relationships/hyperlink" Target="https://www.capal.coop.br/pdf/publicacao-2024-02-20-12-51-08.pdf" TargetMode="External"/><Relationship Id="rId157" Type="http://schemas.openxmlformats.org/officeDocument/2006/relationships/hyperlink" Target="https://www.capal.coop.br/pdf/publicacao-2024-02-20-12-51-08.pdf" TargetMode="External"/><Relationship Id="rId399" Type="http://schemas.openxmlformats.org/officeDocument/2006/relationships/hyperlink" Target="https://www.copercampos.com.br/relatorios/2022/relatorio_2022.pdf" TargetMode="External"/><Relationship Id="rId156" Type="http://schemas.openxmlformats.org/officeDocument/2006/relationships/hyperlink" Target="https://www.capal.coop.br/pdf/publicacao-2024-02-20-12-51-08.pdf" TargetMode="External"/><Relationship Id="rId398" Type="http://schemas.openxmlformats.org/officeDocument/2006/relationships/hyperlink" Target="https://www.copercampos.com.br/relatorios/2023/relatorio_2023.pdf" TargetMode="External"/><Relationship Id="rId155" Type="http://schemas.openxmlformats.org/officeDocument/2006/relationships/hyperlink" Target="https://www.capal.coop.br/pdf/publicacao-2023-04-21-19-22-59.pdf" TargetMode="External"/><Relationship Id="rId397" Type="http://schemas.openxmlformats.org/officeDocument/2006/relationships/hyperlink" Target="https://www.copercampos.com.br/relatorios/2022/relatorio_2022.pdf" TargetMode="External"/><Relationship Id="rId808" Type="http://schemas.openxmlformats.org/officeDocument/2006/relationships/hyperlink" Target="https://jbs.com.br/wp-content/uploads/2023/10/relatorio-anual-e-de-sustentabilidade-jbs-2021.pdf" TargetMode="External"/><Relationship Id="rId807" Type="http://schemas.openxmlformats.org/officeDocument/2006/relationships/hyperlink" Target="https://jbs.com.br/fazerobemfazbem/acaocontrafome/" TargetMode="External"/><Relationship Id="rId806" Type="http://schemas.openxmlformats.org/officeDocument/2006/relationships/hyperlink" Target="https://jbs.com.br/wp-content/uploads/2023/10/relatorio-de-sustentabilidade-jbs-2020.pdf" TargetMode="External"/><Relationship Id="rId805" Type="http://schemas.openxmlformats.org/officeDocument/2006/relationships/hyperlink" Target="https://jbsesg.com/docs/JBS_Sustainability_Report_2023_BR.pdf" TargetMode="External"/><Relationship Id="rId809" Type="http://schemas.openxmlformats.org/officeDocument/2006/relationships/hyperlink" Target="https://jbs.com.br/storage/2023/10/JBS-2022-sumario-executivo_BR_PT-Updated-2.pdf" TargetMode="External"/><Relationship Id="rId800" Type="http://schemas.openxmlformats.org/officeDocument/2006/relationships/hyperlink" Target="https://www.gtfoods.com.br/wp-content/uploads/2024/10/Relatorio-de-Sustentabilidade-GTFoods-2023.pdf" TargetMode="External"/><Relationship Id="rId804" Type="http://schemas.openxmlformats.org/officeDocument/2006/relationships/hyperlink" Target="https://jbs.com.br/storage/2023/10/JBS-2022-sumario-executivo_BR_PT-Updated-2.pdf" TargetMode="External"/><Relationship Id="rId803" Type="http://schemas.openxmlformats.org/officeDocument/2006/relationships/hyperlink" Target="https://jbs.com.br/wp-content/uploads/2023/10/relatorio-anual-e-de-sustentabilidade-jbs-2021.pdf" TargetMode="External"/><Relationship Id="rId802" Type="http://schemas.openxmlformats.org/officeDocument/2006/relationships/hyperlink" Target="https://www.jmacedo.com.br/wp-content/uploads/2024/05/site-jmacedo-relatorio-2023-versao-28_05_2024.pdf" TargetMode="External"/><Relationship Id="rId801" Type="http://schemas.openxmlformats.org/officeDocument/2006/relationships/hyperlink" Target="https://www.jmacedo.com.br/wp-content/uploads/2023/05/site-jmacedo-Relatorio-de-sustentabilidade-2022.pdf" TargetMode="External"/><Relationship Id="rId40" Type="http://schemas.openxmlformats.org/officeDocument/2006/relationships/hyperlink" Target="https://www.agraria.com.br/arquivos/2023/agraria_relatorio_anual_2022.pdf" TargetMode="External"/><Relationship Id="rId42" Type="http://schemas.openxmlformats.org/officeDocument/2006/relationships/hyperlink" Target="https://anjosinocentes.com.br/" TargetMode="External"/><Relationship Id="rId41" Type="http://schemas.openxmlformats.org/officeDocument/2006/relationships/hyperlink" Target="https://www.agraria.com.br/arquivos/2023/relatorio-anual-2023.pdf" TargetMode="External"/><Relationship Id="rId44" Type="http://schemas.openxmlformats.org/officeDocument/2006/relationships/hyperlink" Target="https://www.agraria.com.br/arquivos/2023/agraria_relatorio_anual_2022.pdf" TargetMode="External"/><Relationship Id="rId43" Type="http://schemas.openxmlformats.org/officeDocument/2006/relationships/hyperlink" Target="https://www.agraria.com.br/arquivos/relatorio_anual_2020-v2.pdf" TargetMode="External"/><Relationship Id="rId46" Type="http://schemas.openxmlformats.org/officeDocument/2006/relationships/hyperlink" Target="https://www.agraria.com.br/arquivos/2023/agraria_relatorio_anual_2022.pdf" TargetMode="External"/><Relationship Id="rId45" Type="http://schemas.openxmlformats.org/officeDocument/2006/relationships/hyperlink" Target="https://www.agraria.com.br/arquivos/2023/relatorio-anual-2023.pdf" TargetMode="External"/><Relationship Id="rId509" Type="http://schemas.openxmlformats.org/officeDocument/2006/relationships/hyperlink" Target="https://www.copercampos.com.br/relatorios/2022/relatorio_2022.pdf" TargetMode="External"/><Relationship Id="rId508" Type="http://schemas.openxmlformats.org/officeDocument/2006/relationships/hyperlink" Target="https://www.cargill.com.br/sites/Satellite?c=CGL_PressRelease_C&amp;childpagename=CSF_BR%2FCGL_PressRelease_C%2FCCOM%2FNav1Layout&amp;cid=1432238272600&amp;pagename=CCOM_Wrapper" TargetMode="External"/><Relationship Id="rId503" Type="http://schemas.openxmlformats.org/officeDocument/2006/relationships/hyperlink" Target="https://www.amaggi.com.br/wp-content/uploads/2023/06/AmaggiRegenera_PT-azul.pdf" TargetMode="External"/><Relationship Id="rId745" Type="http://schemas.openxmlformats.org/officeDocument/2006/relationships/hyperlink" Target="https://drive.google.com/file/d/1hvgwN-cvv9hOS6Vep0VGv3LqPlQ97FSM/view?pli=1" TargetMode="External"/><Relationship Id="rId987" Type="http://schemas.openxmlformats.org/officeDocument/2006/relationships/hyperlink" Target="https://www.assai.com.br/revista/setembro-outubro-2022-edicao-53/destino-certo-contra-o-desperdicio-de-alimentos" TargetMode="External"/><Relationship Id="rId502" Type="http://schemas.openxmlformats.org/officeDocument/2006/relationships/hyperlink" Target="https://www.amaggi.com.br/clima-e-floresta/" TargetMode="External"/><Relationship Id="rId744" Type="http://schemas.openxmlformats.org/officeDocument/2006/relationships/hyperlink" Target="https://www.copacol.com.br/downloads/relatorio-2023-adm.pdf" TargetMode="External"/><Relationship Id="rId986" Type="http://schemas.openxmlformats.org/officeDocument/2006/relationships/hyperlink" Target="https://api.mziq.com/mzfilemanager/v2/d/ec14f0ab-c5d4-4b12-a413-b6cc7475ed98/e80db46d-f6cf-6c46-808c-93598dcb5e1a?origin=1" TargetMode="External"/><Relationship Id="rId501" Type="http://schemas.openxmlformats.org/officeDocument/2006/relationships/hyperlink" Target="https://www.amaggi.com.br/amaggi_regenera/" TargetMode="External"/><Relationship Id="rId743" Type="http://schemas.openxmlformats.org/officeDocument/2006/relationships/hyperlink" Target="https://www.copacol.com.br/downloads/relatorio-2022-adm.pdf" TargetMode="External"/><Relationship Id="rId985" Type="http://schemas.openxmlformats.org/officeDocument/2006/relationships/hyperlink" Target="https://api.mziq.com/mzfilemanager/v2/d/ec14f0ab-c5d4-4b12-a413-b6cc7475ed98/64f8c156-7dac-7dbb-04e8-eb74b30d3b42?origin=1" TargetMode="External"/><Relationship Id="rId500" Type="http://schemas.openxmlformats.org/officeDocument/2006/relationships/hyperlink" Target="https://www.embrapa.br/documents/10180/1549626/Relat%C3%B3rio+de+Gest%C3%A3o+2020.pdf/ad615f83-30fa-6e03-680c-00d6f33f9ca7" TargetMode="External"/><Relationship Id="rId742" Type="http://schemas.openxmlformats.org/officeDocument/2006/relationships/hyperlink" Target="https://www.copacol.com.br/downloads/relatorio-2021-adm.pdf" TargetMode="External"/><Relationship Id="rId984" Type="http://schemas.openxmlformats.org/officeDocument/2006/relationships/hyperlink" Target="https://api.mziq.com/mzfilemanager/v2/d/ec14f0ab-c5d4-4b12-a413-b6cc7475ed98/d96a5056-6731-8dc0-e1b3-5142493fd10b?origin=1" TargetMode="External"/><Relationship Id="rId507" Type="http://schemas.openxmlformats.org/officeDocument/2006/relationships/hyperlink" Target="https://www.cargill.com/sustainability/doc/1432249635993/2023-esg-report.pdf" TargetMode="External"/><Relationship Id="rId749" Type="http://schemas.openxmlformats.org/officeDocument/2006/relationships/hyperlink" Target="https://drive.google.com/file/d/1hvgwN-cvv9hOS6Vep0VGv3LqPlQ97FSM/view?pli=1" TargetMode="External"/><Relationship Id="rId506" Type="http://schemas.openxmlformats.org/officeDocument/2006/relationships/hyperlink" Target="https://www.amaggi.com.br/wp-content/uploads/2023/06/AmaggiRegenera_PT-azul.pdf" TargetMode="External"/><Relationship Id="rId748" Type="http://schemas.openxmlformats.org/officeDocument/2006/relationships/hyperlink" Target="https://drive.google.com/file/d/1hvgwN-cvv9hOS6Vep0VGv3LqPlQ97FSM/view?pli=1" TargetMode="External"/><Relationship Id="rId505" Type="http://schemas.openxmlformats.org/officeDocument/2006/relationships/hyperlink" Target="https://ri.amaggi.com.br/Download.aspx?Arquivo=Pno98da7hgR+UlbhXL5Rng==&amp;IdCanal=4J+ssVzd7OBNePB93AoXjA==&amp;linguagem=pt" TargetMode="External"/><Relationship Id="rId747" Type="http://schemas.openxmlformats.org/officeDocument/2006/relationships/hyperlink" Target="https://drive.google.com/file/d/1hvgwN-cvv9hOS6Vep0VGv3LqPlQ97FSM/view?pli=1" TargetMode="External"/><Relationship Id="rId989" Type="http://schemas.openxmlformats.org/officeDocument/2006/relationships/hyperlink" Target="https://acrobat.adobe.com/link/review?uri=urn%3Aaaid%3Ascds%3AUS%3A2088d700-2339-3c06-b96a-48c164a23418" TargetMode="External"/><Relationship Id="rId504" Type="http://schemas.openxmlformats.org/officeDocument/2006/relationships/hyperlink" Target="https://www.amaggi.com.br/wp-content/uploads/2023/07/ESG_Amaggi_2022.pdf" TargetMode="External"/><Relationship Id="rId746" Type="http://schemas.openxmlformats.org/officeDocument/2006/relationships/hyperlink" Target="https://drive.google.com/file/d/1hvgwN-cvv9hOS6Vep0VGv3LqPlQ97FSM/view?pli=1" TargetMode="External"/><Relationship Id="rId988" Type="http://schemas.openxmlformats.org/officeDocument/2006/relationships/hyperlink" Target="https://api.mziq.com/mzfilemanager/v2/d/ec14f0ab-c5d4-4b12-a413-b6cc7475ed98/d96a5056-6731-8dc0-e1b3-5142493fd10b?origin=1" TargetMode="External"/><Relationship Id="rId48" Type="http://schemas.openxmlformats.org/officeDocument/2006/relationships/hyperlink" Target="https://www.agraria.com.br/arquivos/relatorio_anual_2020-v2.pdf" TargetMode="External"/><Relationship Id="rId47" Type="http://schemas.openxmlformats.org/officeDocument/2006/relationships/hyperlink" Target="https://www.agraria.com.br/arquivos/2023/relatorio-anual-2023.pdf" TargetMode="External"/><Relationship Id="rId49" Type="http://schemas.openxmlformats.org/officeDocument/2006/relationships/hyperlink" Target="https://www.agraria.com.br/arquivos/relatorio_anual_2021.pdf" TargetMode="External"/><Relationship Id="rId741" Type="http://schemas.openxmlformats.org/officeDocument/2006/relationships/hyperlink" Target="https://www.copacol.com.br/downloads/relatorio-conselho.pdf" TargetMode="External"/><Relationship Id="rId983" Type="http://schemas.openxmlformats.org/officeDocument/2006/relationships/hyperlink" Target="https://api.mziq.com/mzfilemanager/v2/d/ec14f0ab-c5d4-4b12-a413-b6cc7475ed98/d96a5056-6731-8dc0-e1b3-5142493fd10b?origin=1" TargetMode="External"/><Relationship Id="rId740" Type="http://schemas.openxmlformats.org/officeDocument/2006/relationships/hyperlink" Target="https://www.copacol.com.br/downloads/relatorio-2023-adm.pdf" TargetMode="External"/><Relationship Id="rId982" Type="http://schemas.openxmlformats.org/officeDocument/2006/relationships/hyperlink" Target="https://api.mziq.com/mzfilemanager/v2/d/ec14f0ab-c5d4-4b12-a413-b6cc7475ed98/d96a5056-6731-8dc0-e1b3-5142493fd10b?origin=1" TargetMode="External"/><Relationship Id="rId981" Type="http://schemas.openxmlformats.org/officeDocument/2006/relationships/hyperlink" Target="https://api.mziq.com/mzfilemanager/v2/d/ec14f0ab-c5d4-4b12-a413-b6cc7475ed98/d96a5056-6731-8dc0-e1b3-5142493fd10b?origin=1" TargetMode="External"/><Relationship Id="rId980" Type="http://schemas.openxmlformats.org/officeDocument/2006/relationships/hyperlink" Target="https://api.mziq.com/mzfilemanager/v2/d/ec14f0ab-c5d4-4b12-a413-b6cc7475ed98/d96a5056-6731-8dc0-e1b3-5142493fd10b?origin=1" TargetMode="External"/><Relationship Id="rId31" Type="http://schemas.openxmlformats.org/officeDocument/2006/relationships/hyperlink" Target="https://www.agraria.com.br/arquivos/relatorio_sustentabilidade_2021.pdf" TargetMode="External"/><Relationship Id="rId30" Type="http://schemas.openxmlformats.org/officeDocument/2006/relationships/hyperlink" Target="https://www.agraria.com.br/arquivos/relatorio_anual_2021.pdf" TargetMode="External"/><Relationship Id="rId33" Type="http://schemas.openxmlformats.org/officeDocument/2006/relationships/hyperlink" Target="https://www.agraria.com.br/arquivos/2023/relatorio-anual-2023.pdf" TargetMode="External"/><Relationship Id="rId32" Type="http://schemas.openxmlformats.org/officeDocument/2006/relationships/hyperlink" Target="https://www.agraria.com.br/arquivos/2023/agraria_relatorio_anual_2022.pdf" TargetMode="External"/><Relationship Id="rId35" Type="http://schemas.openxmlformats.org/officeDocument/2006/relationships/hyperlink" Target="https://www.agraria.com.br/arquivos/relatorio_sustentabilidade_2021.pdf" TargetMode="External"/><Relationship Id="rId34" Type="http://schemas.openxmlformats.org/officeDocument/2006/relationships/hyperlink" Target="https://www.agraria.com.br/arquivos/relatorio_sustentabilidade_2020-v2.pdf" TargetMode="External"/><Relationship Id="rId739" Type="http://schemas.openxmlformats.org/officeDocument/2006/relationships/hyperlink" Target="https://www.copacol.com.br/downloads/relatorio-2022-adm.pdf" TargetMode="External"/><Relationship Id="rId734" Type="http://schemas.openxmlformats.org/officeDocument/2006/relationships/hyperlink" Target="https://coca-cola-femsa.com.br/" TargetMode="External"/><Relationship Id="rId976" Type="http://schemas.openxmlformats.org/officeDocument/2006/relationships/hyperlink" Target="https://api.mziq.com/mzfilemanager/v2/d/ec14f0ab-c5d4-4b12-a413-b6cc7475ed98/d96a5056-6731-8dc0-e1b3-5142493fd10b?origin=1" TargetMode="External"/><Relationship Id="rId733" Type="http://schemas.openxmlformats.org/officeDocument/2006/relationships/hyperlink" Target="https://coca-colafemsa.com/wp-content/uploads/2024/04/KOF-AR-2023-ENG_VF.pdf" TargetMode="External"/><Relationship Id="rId975" Type="http://schemas.openxmlformats.org/officeDocument/2006/relationships/hyperlink" Target="https://mosaico.gife.org.br/base-de-projetos/2056-parceria-contra-o-desperdicio" TargetMode="External"/><Relationship Id="rId732" Type="http://schemas.openxmlformats.org/officeDocument/2006/relationships/hyperlink" Target="https://coca-colafemsa.com/wp-content/uploads/2023/04/KOF-2022-english-abr-4-11-00.pdf" TargetMode="External"/><Relationship Id="rId974" Type="http://schemas.openxmlformats.org/officeDocument/2006/relationships/hyperlink" Target="https://api.mziq.com/mzfilemanager/v2/d/ec14f0ab-c5d4-4b12-a413-b6cc7475ed98/9d1775d6-44c3-4944-5e4b-0b0df8ee3d20?origin=1" TargetMode="External"/><Relationship Id="rId731" Type="http://schemas.openxmlformats.org/officeDocument/2006/relationships/hyperlink" Target="https://coca-colafemsa.com/wp-content/uploads/2022/04/KOF-IR-2021-english-FS-3.pdf" TargetMode="External"/><Relationship Id="rId973" Type="http://schemas.openxmlformats.org/officeDocument/2006/relationships/hyperlink" Target="https://api.mziq.com/mzfilemanager/v2/d/ec14f0ab-c5d4-4b12-a413-b6cc7475ed98/9d1775d6-44c3-4944-5e4b-0b0df8ee3d20?origin=1" TargetMode="External"/><Relationship Id="rId738" Type="http://schemas.openxmlformats.org/officeDocument/2006/relationships/hyperlink" Target="https://www.copacol.com.br/downloads/relatorio-2021-adm.pdf" TargetMode="External"/><Relationship Id="rId737" Type="http://schemas.openxmlformats.org/officeDocument/2006/relationships/hyperlink" Target="https://www.copacol.com.br/downloads/relatorio-conselho.pdf" TargetMode="External"/><Relationship Id="rId979" Type="http://schemas.openxmlformats.org/officeDocument/2006/relationships/hyperlink" Target="https://api.mziq.com/mzfilemanager/v2/d/ec14f0ab-c5d4-4b12-a413-b6cc7475ed98/d96a5056-6731-8dc0-e1b3-5142493fd10b?origin=1" TargetMode="External"/><Relationship Id="rId736" Type="http://schemas.openxmlformats.org/officeDocument/2006/relationships/hyperlink" Target="https://www.copacol.com.br/downloads/relatorio-2023-adm.pdf" TargetMode="External"/><Relationship Id="rId978" Type="http://schemas.openxmlformats.org/officeDocument/2006/relationships/hyperlink" Target="https://exame.com/bussola/assai-vai-doar-r-55-mi-em-alimentos-para-mais-de-100-mil-familias/" TargetMode="External"/><Relationship Id="rId735" Type="http://schemas.openxmlformats.org/officeDocument/2006/relationships/hyperlink" Target="https://www.copacol.com.br/downloads/relatorio-conselho.pdf" TargetMode="External"/><Relationship Id="rId977" Type="http://schemas.openxmlformats.org/officeDocument/2006/relationships/hyperlink" Target="https://api.mziq.com/mzfilemanager/v2/d/ec14f0ab-c5d4-4b12-a413-b6cc7475ed98/d96a5056-6731-8dc0-e1b3-5142493fd10b?origin=1" TargetMode="External"/><Relationship Id="rId37" Type="http://schemas.openxmlformats.org/officeDocument/2006/relationships/hyperlink" Target="https://www.agraria.com.br/arquivos/relatorio_anual_2021.pdf" TargetMode="External"/><Relationship Id="rId36" Type="http://schemas.openxmlformats.org/officeDocument/2006/relationships/hyperlink" Target="https://www.agraria.com.br/arquivos/relatorio_anual_2020-v2.pdf" TargetMode="External"/><Relationship Id="rId39" Type="http://schemas.openxmlformats.org/officeDocument/2006/relationships/hyperlink" Target="https://www.agraria.com.br/arquivos/relatorio_sustentabilidade_2021.pdf" TargetMode="External"/><Relationship Id="rId38" Type="http://schemas.openxmlformats.org/officeDocument/2006/relationships/hyperlink" Target="https://www.agraria.com.br/noticia/4820/ao-completar-20-anos-pais-retoma-atividades-em-equipes" TargetMode="External"/><Relationship Id="rId730" Type="http://schemas.openxmlformats.org/officeDocument/2006/relationships/hyperlink" Target="https://coca-colafemsa.com/wp-content/uploads/2021/03/KOF_2020_Eng.pdf" TargetMode="External"/><Relationship Id="rId972" Type="http://schemas.openxmlformats.org/officeDocument/2006/relationships/hyperlink" Target="https://files.mybeehome.com/publicfiles/Solar-RGS2022-FINAL-Site-21-11-2023--133702435.pdf" TargetMode="External"/><Relationship Id="rId971" Type="http://schemas.openxmlformats.org/officeDocument/2006/relationships/hyperlink" Target="https://files.mybeehome.com/publicfiles/Relatorio_de_Sustentabilidade_Solar_2023--1692067600.pdf" TargetMode="External"/><Relationship Id="rId970" Type="http://schemas.openxmlformats.org/officeDocument/2006/relationships/hyperlink" Target="https://files.mybeehome.com/publicfiles/Solar-RGS2022-FINAL-Site-21-11-2023--133702435.pdf" TargetMode="External"/><Relationship Id="rId1114" Type="http://schemas.openxmlformats.org/officeDocument/2006/relationships/hyperlink" Target="https://storage.googleapis.com/br-apps-site-institucional-cs-prod-001/2023/08/958f680d-carrefour_ri_22-12.pdf" TargetMode="External"/><Relationship Id="rId1115" Type="http://schemas.openxmlformats.org/officeDocument/2006/relationships/hyperlink" Target="https://storage.googleapis.com/br-apps-site-institucional-cs-prod-001/2023/08/958f680d-carrefour_ri_22-12.pdf" TargetMode="External"/><Relationship Id="rId20" Type="http://schemas.openxmlformats.org/officeDocument/2006/relationships/hyperlink" Target="https://api.mziq.com/mzfilemanager/v2/d/050fef26-7d75-4607-8a2b-bd8cd509d0c7/585fad32-3cc4-d17e-f506-4ca64948a49a?origin=1" TargetMode="External"/><Relationship Id="rId1116" Type="http://schemas.openxmlformats.org/officeDocument/2006/relationships/hyperlink" Target="https://storage.googleapis.com/br-apps-site-institucional-cs-prod-001/2024/04/685c3c96-grupocarrefour_rs23_d3-05.pdf" TargetMode="External"/><Relationship Id="rId1117" Type="http://schemas.openxmlformats.org/officeDocument/2006/relationships/hyperlink" Target="https://storage.googleapis.com/br-apps-site-institucional-cs-prod-001/2024/04/685c3c96-grupocarrefour_rs23_d3-05.pdf" TargetMode="External"/><Relationship Id="rId22" Type="http://schemas.openxmlformats.org/officeDocument/2006/relationships/hyperlink" Target="https://www.3tentos.com.br/assets/esg/relatoriosustentabilidade2023.pdf" TargetMode="External"/><Relationship Id="rId1118" Type="http://schemas.openxmlformats.org/officeDocument/2006/relationships/hyperlink" Target="https://storage.googleapis.com/br-apps-site-institucional-cs-prod-001/2024/04/685c3c96-grupocarrefour_rs23_d3-05.pdf" TargetMode="External"/><Relationship Id="rId21" Type="http://schemas.openxmlformats.org/officeDocument/2006/relationships/hyperlink" Target="https://www.3tentos.com.br/assets/esg/relatorioesg.pdf" TargetMode="External"/><Relationship Id="rId1119" Type="http://schemas.openxmlformats.org/officeDocument/2006/relationships/hyperlink" Target="https://www.comidaecultura.org/_files/ugd/129d64_a9aafad236b24a808c2ffe1dae72f57c.pdf" TargetMode="External"/><Relationship Id="rId24" Type="http://schemas.openxmlformats.org/officeDocument/2006/relationships/hyperlink" Target="https://www.agraria.com.br/arquivos/relatorio_sustentabilidade_2020-v2.pdf" TargetMode="External"/><Relationship Id="rId23" Type="http://schemas.openxmlformats.org/officeDocument/2006/relationships/hyperlink" Target="https://www.3tentos.com.br/assets/esg/relatorioesg.pdf" TargetMode="External"/><Relationship Id="rId525" Type="http://schemas.openxmlformats.org/officeDocument/2006/relationships/hyperlink" Target="https://fiagril.com.br/wp-content/uploads/2022/11/Relatorio-de-Sustentabilidade-Fiagril-2021_Completo.pdf" TargetMode="External"/><Relationship Id="rId767" Type="http://schemas.openxmlformats.org/officeDocument/2006/relationships/hyperlink" Target="https://api.mziq.com/mzfilemanager/v2/d/48f6609f-056d-4f42-9d80-1a6acee769c1/5f7281bc-6f11-dc1a-3691-9d1c870ba4e5?origin=2" TargetMode="External"/><Relationship Id="rId524" Type="http://schemas.openxmlformats.org/officeDocument/2006/relationships/hyperlink" Target="https://fiagril.com.br/wp-content/uploads/2022/11/Relatorio-de-Sustentabilidade-Fiagril-2021_Completo.pdf" TargetMode="External"/><Relationship Id="rId766" Type="http://schemas.openxmlformats.org/officeDocument/2006/relationships/hyperlink" Target="https://api.mziq.com/mzfilemanager/v2/d/48f6609f-056d-4f42-9d80-1a6acee769c1/42426de9-a45c-c7e6-eb30-4e702a459f6c?origin=2" TargetMode="External"/><Relationship Id="rId523" Type="http://schemas.openxmlformats.org/officeDocument/2006/relationships/hyperlink" Target="https://fiagril.com.br/wp-content/uploads/2022/11/Relatorio-de-Sustentabilidade-Fiagril-2021_Completo.pdf" TargetMode="External"/><Relationship Id="rId765" Type="http://schemas.openxmlformats.org/officeDocument/2006/relationships/hyperlink" Target="https://api.mziq.com/mzfilemanager/v2/d/48f6609f-056d-4f42-9d80-1a6acee769c1/c7eea39b-ba2c-2cdf-cb56-18a5fb8ab625?origin=2" TargetMode="External"/><Relationship Id="rId522" Type="http://schemas.openxmlformats.org/officeDocument/2006/relationships/hyperlink" Target="https://fiagril.com.br/wp-content/uploads/2023/08/Relatorio-de-Sustentabilidade-Fiagril-2022_PT.pdf" TargetMode="External"/><Relationship Id="rId764" Type="http://schemas.openxmlformats.org/officeDocument/2006/relationships/hyperlink" Target="https://api.mziq.com/mzfilemanager/v2/d/48f6609f-056d-4f42-9d80-1a6acee769c1/5f7281bc-6f11-dc1a-3691-9d1c870ba4e5?origin=2" TargetMode="External"/><Relationship Id="rId529" Type="http://schemas.openxmlformats.org/officeDocument/2006/relationships/hyperlink" Target="https://fiagril.com.br/wp-content/uploads/2022/11/15a4e993ad6ff20baa9c019e0d4a436d.pdf" TargetMode="External"/><Relationship Id="rId528" Type="http://schemas.openxmlformats.org/officeDocument/2006/relationships/hyperlink" Target="https://www.gazetadigital.com.br/editorias/mande-seu-whats/vdeo-mostra-esgoto-lixo-e-muito-entulho-no-bairro-carrapicho-em-vrzea-grande/630868" TargetMode="External"/><Relationship Id="rId527" Type="http://schemas.openxmlformats.org/officeDocument/2006/relationships/hyperlink" Target="https://fiagril.com.br/wp-content/uploads/2023/08/Relatorio-de-Sustentabilidade-Fiagril-2022_PT.pdf" TargetMode="External"/><Relationship Id="rId769" Type="http://schemas.openxmlformats.org/officeDocument/2006/relationships/hyperlink" Target="https://www.frimesa.com.br/upload/file/report/relatorio-esg-digital-20231-35-59.pdf" TargetMode="External"/><Relationship Id="rId526" Type="http://schemas.openxmlformats.org/officeDocument/2006/relationships/hyperlink" Target="https://fiagril.com.br/wp-content/uploads/2022/11/Relatorio-de-Sustentabilidade-Fiagril-2021_Completo.pdf" TargetMode="External"/><Relationship Id="rId768" Type="http://schemas.openxmlformats.org/officeDocument/2006/relationships/hyperlink" Target="https://www.frimesa.com.br/upload/file/report/relatorio_sustentabiliade_2019_2020_41-23-89.pdf" TargetMode="External"/><Relationship Id="rId26" Type="http://schemas.openxmlformats.org/officeDocument/2006/relationships/hyperlink" Target="https://www.agraria.com.br/arquivos/relatorio_sustentabilidade_2020-v2.pdf" TargetMode="External"/><Relationship Id="rId25" Type="http://schemas.openxmlformats.org/officeDocument/2006/relationships/hyperlink" Target="https://www.agraria.com.br/arquivos/relatorio_anual_2021.pdf" TargetMode="External"/><Relationship Id="rId28" Type="http://schemas.openxmlformats.org/officeDocument/2006/relationships/hyperlink" Target="https://www.agraria.com.br/arquivos/2023/agraria_relatorio_anual_2022.pdf" TargetMode="External"/><Relationship Id="rId27" Type="http://schemas.openxmlformats.org/officeDocument/2006/relationships/hyperlink" Target="https://www.agraria.com.br/arquivos/relatorio_sustentabilidade_2020-v2.pdf" TargetMode="External"/><Relationship Id="rId521" Type="http://schemas.openxmlformats.org/officeDocument/2006/relationships/hyperlink" Target="https://fiagril.com.br/wp-content/uploads/2022/11/15a4e993ad6ff20baa9c019e0d4a436d.pdf" TargetMode="External"/><Relationship Id="rId763" Type="http://schemas.openxmlformats.org/officeDocument/2006/relationships/hyperlink" Target="https://api.mziq.com/mzfilemanager/v2/d/48f6609f-056d-4f42-9d80-1a6acee769c1/42426de9-a45c-c7e6-eb30-4e702a459f6c?origin=2" TargetMode="External"/><Relationship Id="rId1110" Type="http://schemas.openxmlformats.org/officeDocument/2006/relationships/hyperlink" Target="https://storage.googleapis.com/br-apps-site-institucional-cs-prod-001/2024/04/685c3c96-grupocarrefour_rs23_d3-05.pdf" TargetMode="External"/><Relationship Id="rId29" Type="http://schemas.openxmlformats.org/officeDocument/2006/relationships/hyperlink" Target="https://www.agraria.com.br/arquivos/relatorio_sustentabilidade_2020-v2.pdf" TargetMode="External"/><Relationship Id="rId520" Type="http://schemas.openxmlformats.org/officeDocument/2006/relationships/hyperlink" Target="https://campanha.fiagril.com.br/relatorio-de-sustentabilidade-2023" TargetMode="External"/><Relationship Id="rId762" Type="http://schemas.openxmlformats.org/officeDocument/2006/relationships/hyperlink" Target="https://api.mziq.com/mzfilemanager/v2/d/48f6609f-056d-4f42-9d80-1a6acee769c1/5f7281bc-6f11-dc1a-3691-9d1c870ba4e5?origin=2" TargetMode="External"/><Relationship Id="rId1111" Type="http://schemas.openxmlformats.org/officeDocument/2006/relationships/hyperlink" Target="https://storage.googleapis.com/br-apps-site-institucional-cs-prod-001/2022/08/3572970f-relato%CC%81rio-anual-de-sustentabilidade-de-2021-port-22.08.22.pdf" TargetMode="External"/><Relationship Id="rId761" Type="http://schemas.openxmlformats.org/officeDocument/2006/relationships/hyperlink" Target="https://api.mziq.com/mzfilemanager/v2/d/48f6609f-056d-4f42-9d80-1a6acee769c1/42426de9-a45c-c7e6-eb30-4e702a459f6c?origin=2" TargetMode="External"/><Relationship Id="rId1112" Type="http://schemas.openxmlformats.org/officeDocument/2006/relationships/hyperlink" Target="https://storage.googleapis.com/br-apps-site-institucional-cs-prod-001/2022/08/3572970f-relato%CC%81rio-anual-de-sustentabilidade-de-2021-port-22.08.22.pdf" TargetMode="External"/><Relationship Id="rId760" Type="http://schemas.openxmlformats.org/officeDocument/2006/relationships/hyperlink" Target="https://api.mziq.com/mzfilemanager/v2/d/48f6609f-056d-4f42-9d80-1a6acee769c1/c7eea39b-ba2c-2cdf-cb56-18a5fb8ab625?origin=2" TargetMode="External"/><Relationship Id="rId1113" Type="http://schemas.openxmlformats.org/officeDocument/2006/relationships/hyperlink" Target="https://storage.googleapis.com/br-apps-site-institucional-cs-prod-001/2022/09/844521e9-relatorio-de-sustentabilidade-20210629-123317-2791.pdf" TargetMode="External"/><Relationship Id="rId1103" Type="http://schemas.openxmlformats.org/officeDocument/2006/relationships/hyperlink" Target="https://storage.googleapis.com/br-apps-site-institucional-cs-prod-001/2024/04/685c3c96-grupocarrefour_rs23_d3-05.pdf" TargetMode="External"/><Relationship Id="rId1104" Type="http://schemas.openxmlformats.org/officeDocument/2006/relationships/hyperlink" Target="https://storage.googleapis.com/br-apps-site-institucional-cs-prod-001/2022/09/844521e9-relatorio-de-sustentabilidade-20210629-123317-2791.pdf" TargetMode="External"/><Relationship Id="rId1105" Type="http://schemas.openxmlformats.org/officeDocument/2006/relationships/hyperlink" Target="https://storage.googleapis.com/br-apps-site-institucional-cs-prod-001/2022/09/844521e9-relatorio-de-sustentabilidade-20210629-123317-2791.pdf" TargetMode="External"/><Relationship Id="rId1106" Type="http://schemas.openxmlformats.org/officeDocument/2006/relationships/hyperlink" Target="https://storage.googleapis.com/br-apps-site-institucional-cs-prod-001/2022/08/3572970f-relato%CC%81rio-anual-de-sustentabilidade-de-2021-port-22.08.22.pdf" TargetMode="External"/><Relationship Id="rId11" Type="http://schemas.openxmlformats.org/officeDocument/2006/relationships/hyperlink" Target="https://www.3tentos.com.br/cropshow" TargetMode="External"/><Relationship Id="rId1107" Type="http://schemas.openxmlformats.org/officeDocument/2006/relationships/hyperlink" Target="https://storage.googleapis.com/br-apps-site-institucional-cs-prod-001/2022/08/3572970f-relato%CC%81rio-anual-de-sustentabilidade-de-2021-port-22.08.22.pdf" TargetMode="External"/><Relationship Id="rId10" Type="http://schemas.openxmlformats.org/officeDocument/2006/relationships/hyperlink" Target="https://www.3tentos.com.br/assets/esg/relatorioesg.pdf" TargetMode="External"/><Relationship Id="rId1108" Type="http://schemas.openxmlformats.org/officeDocument/2006/relationships/hyperlink" Target="https://storage.googleapis.com/br-apps-site-institucional-cs-prod-001/2023/08/958f680d-carrefour_ri_22-12.pdf" TargetMode="External"/><Relationship Id="rId13" Type="http://schemas.openxmlformats.org/officeDocument/2006/relationships/hyperlink" Target="https://api.mziq.com/mzfilemanager/v2/d/050fef26-7d75-4607-8a2b-bd8cd509d0c7/585fad32-3cc4-d17e-f506-4ca64948a49a?origin=1" TargetMode="External"/><Relationship Id="rId1109" Type="http://schemas.openxmlformats.org/officeDocument/2006/relationships/hyperlink" Target="https://storage.googleapis.com/br-apps-site-institucional-cs-prod-001/2022/08/3572970f-relato%CC%81rio-anual-de-sustentabilidade-de-2021-port-22.08.22.pdf" TargetMode="External"/><Relationship Id="rId12" Type="http://schemas.openxmlformats.org/officeDocument/2006/relationships/hyperlink" Target="https://www.3tentos.com.br/assets/esg/relatorioesg.pdf" TargetMode="External"/><Relationship Id="rId519" Type="http://schemas.openxmlformats.org/officeDocument/2006/relationships/hyperlink" Target="https://fiagril.com.br/wp-content/uploads/2023/08/Relatorio-de-Sustentabilidade-Fiagril-2022_PT.pdf" TargetMode="External"/><Relationship Id="rId514" Type="http://schemas.openxmlformats.org/officeDocument/2006/relationships/hyperlink" Target="https://www.embrapa.br/documents/10180/1549626/Relato+Integrado+2022/b04ac8fc-0b65-bc6b-e667-d52ad2ec1c41" TargetMode="External"/><Relationship Id="rId756" Type="http://schemas.openxmlformats.org/officeDocument/2006/relationships/hyperlink" Target="https://api.mziq.com/mzfilemanager/v2/d/48f6609f-056d-4f42-9d80-1a6acee769c1/42426de9-a45c-c7e6-eb30-4e702a459f6c?origin=2" TargetMode="External"/><Relationship Id="rId998" Type="http://schemas.openxmlformats.org/officeDocument/2006/relationships/hyperlink" Target="https://www.condor50anos.com.br/" TargetMode="External"/><Relationship Id="rId513" Type="http://schemas.openxmlformats.org/officeDocument/2006/relationships/hyperlink" Target="https://delivery.bunge.com/-/media/Files/Brazil/Relatorios/Relatrio-de-Sustentabilidade-2023-PT-Final.ash" TargetMode="External"/><Relationship Id="rId755" Type="http://schemas.openxmlformats.org/officeDocument/2006/relationships/hyperlink" Target="https://api.mziq.com/mzfilemanager/v2/d/48f6609f-056d-4f42-9d80-1a6acee769c1/c7eea39b-ba2c-2cdf-cb56-18a5fb8ab625?origin=2" TargetMode="External"/><Relationship Id="rId997" Type="http://schemas.openxmlformats.org/officeDocument/2006/relationships/hyperlink" Target="https://api.mziq.com/mzfilemanager/v2/d/6a0279ca-cad9-41a9-9795-4f1a73009165/4de43ee6-9013-7025-b689-751f45c618e6?origin=1" TargetMode="External"/><Relationship Id="rId512" Type="http://schemas.openxmlformats.org/officeDocument/2006/relationships/hyperlink" Target="https://minervafoods.com/wp-content/uploads/2023/05/relatorio-de-sustentabilidade-minerva-foods-2022_compressed.pdf?_t=1684174420" TargetMode="External"/><Relationship Id="rId754" Type="http://schemas.openxmlformats.org/officeDocument/2006/relationships/hyperlink" Target="https://www.linkedin.com/posts/dorialimentos_relat%C3%B3rio-esg-da-dori-activity-6912743046665093120-kpdC/?originalSubdomain=pt" TargetMode="External"/><Relationship Id="rId996" Type="http://schemas.openxmlformats.org/officeDocument/2006/relationships/hyperlink" Target="https://api.mziq.com/mzfilemanager/v2/d/6a0279ca-cad9-41a9-9795-4f1a73009165/4de43ee6-9013-7025-b689-751f45c618e6?origin=1" TargetMode="External"/><Relationship Id="rId511" Type="http://schemas.openxmlformats.org/officeDocument/2006/relationships/hyperlink" Target="https://www.copercampos.com.br/relatorios/2022/relatorio_2022.pdf" TargetMode="External"/><Relationship Id="rId753" Type="http://schemas.openxmlformats.org/officeDocument/2006/relationships/hyperlink" Target="https://www.linkedin.com/posts/dorialimentos_relat%C3%B3rio-esg-da-dori-activity-6912743046665093120-kpdC/?originalSubdomain=pt" TargetMode="External"/><Relationship Id="rId995" Type="http://schemas.openxmlformats.org/officeDocument/2006/relationships/hyperlink" Target="https://api.mziq.com/mzfilemanager/v2/d/6a0279ca-cad9-41a9-9795-4f1a73009165/b7cda436-c8d3-a0d6-a0f5-043a0e9e864c?origin=1" TargetMode="External"/><Relationship Id="rId518" Type="http://schemas.openxmlformats.org/officeDocument/2006/relationships/hyperlink" Target="https://fiagril.com.br/wp-content/uploads/2022/11/Relatorio-de-Sustentabilidade-Fiagril-2021_Completo.pdf" TargetMode="External"/><Relationship Id="rId517" Type="http://schemas.openxmlformats.org/officeDocument/2006/relationships/hyperlink" Target="https://fiagril.com.br/wp-content/uploads/2022/11/15a4e993ad6ff20baa9c019e0d4a436d.pdf" TargetMode="External"/><Relationship Id="rId759" Type="http://schemas.openxmlformats.org/officeDocument/2006/relationships/hyperlink" Target="https://api.mziq.com/mzfilemanager/v2/d/48f6609f-056d-4f42-9d80-1a6acee769c1/5f7281bc-6f11-dc1a-3691-9d1c870ba4e5?origin=2" TargetMode="External"/><Relationship Id="rId516" Type="http://schemas.openxmlformats.org/officeDocument/2006/relationships/hyperlink" Target="https://fiagril.com.br/wp-content/uploads/2022/11/15a4e993ad6ff20baa9c019e0d4a436d.pdf" TargetMode="External"/><Relationship Id="rId758" Type="http://schemas.openxmlformats.org/officeDocument/2006/relationships/hyperlink" Target="https://api.mziq.com/mzfilemanager/v2/d/48f6609f-056d-4f42-9d80-1a6acee769c1/42426de9-a45c-c7e6-eb30-4e702a459f6c?origin=2" TargetMode="External"/><Relationship Id="rId515" Type="http://schemas.openxmlformats.org/officeDocument/2006/relationships/hyperlink" Target="https://fiagril.com.br/wp-content/uploads/2022/11/15a4e993ad6ff20baa9c019e0d4a436d.pdf" TargetMode="External"/><Relationship Id="rId757" Type="http://schemas.openxmlformats.org/officeDocument/2006/relationships/hyperlink" Target="https://api.mziq.com/mzfilemanager/v2/d/48f6609f-056d-4f42-9d80-1a6acee769c1/5f7281bc-6f11-dc1a-3691-9d1c870ba4e5?origin=2" TargetMode="External"/><Relationship Id="rId999" Type="http://schemas.openxmlformats.org/officeDocument/2006/relationships/hyperlink" Target="https://www.campanhasolidariacondor.com.br/" TargetMode="External"/><Relationship Id="rId15" Type="http://schemas.openxmlformats.org/officeDocument/2006/relationships/hyperlink" Target="https://api.mziq.com/mzfilemanager/v2/d/050fef26-7d75-4607-8a2b-bd8cd509d0c7/b0094192-b652-8641-8b68-7e87f0c77703?origin=1" TargetMode="External"/><Relationship Id="rId990" Type="http://schemas.openxmlformats.org/officeDocument/2006/relationships/hyperlink" Target="https://www.valdelykinupp.com.br/sitiopanc" TargetMode="External"/><Relationship Id="rId14" Type="http://schemas.openxmlformats.org/officeDocument/2006/relationships/hyperlink" Target="https://www.3tentos.com.br/assets/esg/relatoriosustentabilidade2023.pdf" TargetMode="External"/><Relationship Id="rId17" Type="http://schemas.openxmlformats.org/officeDocument/2006/relationships/hyperlink" Target="https://api.mziq.com/mzfilemanager/v2/d/050fef26-7d75-4607-8a2b-bd8cd509d0c7/b0094192-b652-8641-8b68-7e87f0c77703?origin=1" TargetMode="External"/><Relationship Id="rId16" Type="http://schemas.openxmlformats.org/officeDocument/2006/relationships/hyperlink" Target="https://api.mziq.com/mzfilemanager/v2/d/050fef26-7d75-4607-8a2b-bd8cd509d0c7/585fad32-3cc4-d17e-f506-4ca64948a49a?origin=1" TargetMode="External"/><Relationship Id="rId19" Type="http://schemas.openxmlformats.org/officeDocument/2006/relationships/hyperlink" Target="https://www.3tentos.com.br/assets/esg/relatoriodesustentabilidade2022.pdf" TargetMode="External"/><Relationship Id="rId510" Type="http://schemas.openxmlformats.org/officeDocument/2006/relationships/hyperlink" Target="https://www.cargill.com/sustainability/doc/1432249635993/2023-esg-report.pdf" TargetMode="External"/><Relationship Id="rId752" Type="http://schemas.openxmlformats.org/officeDocument/2006/relationships/hyperlink" Target="https://drive.google.com/file/d/1hvgwN-cvv9hOS6Vep0VGv3LqPlQ97FSM/view?pli=1" TargetMode="External"/><Relationship Id="rId994" Type="http://schemas.openxmlformats.org/officeDocument/2006/relationships/hyperlink" Target="https://api.mziq.com/mzfilemanager/v2/d/6a0279ca-cad9-41a9-9795-4f1a73009165/4de43ee6-9013-7025-b689-751f45c618e6?origin=1" TargetMode="External"/><Relationship Id="rId18" Type="http://schemas.openxmlformats.org/officeDocument/2006/relationships/hyperlink" Target="https://www.3tentos.com.br/assets/esg/relatoriosustentabilidade2023.pdf" TargetMode="External"/><Relationship Id="rId751" Type="http://schemas.openxmlformats.org/officeDocument/2006/relationships/hyperlink" Target="https://www.cotrisal.com.br/videos/ver/53/operacao-365" TargetMode="External"/><Relationship Id="rId993" Type="http://schemas.openxmlformats.org/officeDocument/2006/relationships/hyperlink" Target="https://api.mziq.com/mzfilemanager/v2/d/6a0279ca-cad9-41a9-9795-4f1a73009165/b7cda436-c8d3-a0d6-a0f5-043a0e9e864c?origin=1" TargetMode="External"/><Relationship Id="rId1100" Type="http://schemas.openxmlformats.org/officeDocument/2006/relationships/hyperlink" Target="https://storage.googleapis.com/br-apps-site-institucional-cs-prod-001/2022/09/844521e9-relatorio-de-sustentabilidade-20210629-123317-2791.pdf" TargetMode="External"/><Relationship Id="rId750" Type="http://schemas.openxmlformats.org/officeDocument/2006/relationships/hyperlink" Target="https://www.embrapa.br/busca-de-noticias/-/noticia/79215546/qualificacao-tecnica-marca-o-lancamento-da-operacao-365" TargetMode="External"/><Relationship Id="rId992" Type="http://schemas.openxmlformats.org/officeDocument/2006/relationships/hyperlink" Target="https://acrobat.adobe.com/link/review?uri=urn%3Aaaid%3Ascds%3AUS%3A2088d700-2339-3c06-b96a-48c164a23418" TargetMode="External"/><Relationship Id="rId1101" Type="http://schemas.openxmlformats.org/officeDocument/2006/relationships/hyperlink" Target="https://storage.googleapis.com/br-apps-site-institucional-cs-prod-001/2022/08/3572970f-relato%CC%81rio-anual-de-sustentabilidade-de-2021-port-22.08.22.pdf" TargetMode="External"/><Relationship Id="rId991" Type="http://schemas.openxmlformats.org/officeDocument/2006/relationships/hyperlink" Target="https://acrobat.adobe.com/link/review?uri=urn%3Aaaid%3Ascds%3AUS%3A2088d700-2339-3c06-b96a-48c164a23418" TargetMode="External"/><Relationship Id="rId1102" Type="http://schemas.openxmlformats.org/officeDocument/2006/relationships/hyperlink" Target="https://storage.googleapis.com/br-apps-site-institucional-cs-prod-001/2023/08/958f680d-carrefour_ri_22-12.pdf" TargetMode="External"/><Relationship Id="rId84" Type="http://schemas.openxmlformats.org/officeDocument/2006/relationships/hyperlink" Target="https://www.amaggi.com.br/wp-content/uploads/2023/07/ESG_Amaggi_2022.pdf" TargetMode="External"/><Relationship Id="rId83" Type="http://schemas.openxmlformats.org/officeDocument/2006/relationships/hyperlink" Target="https://www.amaggi.com.br/wp-content/uploads/2023/06/AmaggiRegenera_PT-azul.pdf" TargetMode="External"/><Relationship Id="rId86" Type="http://schemas.openxmlformats.org/officeDocument/2006/relationships/hyperlink" Target="https://www.amaggi.com.br/wp-content/uploads/2023/06/AmaggiRegenera_PT-azul.pdf" TargetMode="External"/><Relationship Id="rId85" Type="http://schemas.openxmlformats.org/officeDocument/2006/relationships/hyperlink" Target="https://ri.amaggi.com.br/Download.aspx?Arquivo=Pno98da7hgR+UlbhXL5Rng==&amp;IdCanal=4J+ssVzd7OBNePB93AoXjA==&amp;linguagem=pt" TargetMode="External"/><Relationship Id="rId88" Type="http://schemas.openxmlformats.org/officeDocument/2006/relationships/hyperlink" Target="https://www.amaggi.com.br/wp-content/uploads/2022/10/amaggi_relatorio_sustentabilidade_2021-1.pdf" TargetMode="External"/><Relationship Id="rId87" Type="http://schemas.openxmlformats.org/officeDocument/2006/relationships/hyperlink" Target="https://www.amaggi.com.br/wp-content/uploads/2022/10/amaggi_relatorio_sustentabilidade_2021-1.pdf" TargetMode="External"/><Relationship Id="rId89" Type="http://schemas.openxmlformats.org/officeDocument/2006/relationships/hyperlink" Target="https://www.amaggi.com.br/wp-content/uploads/2023/07/ESG_Amaggi_2022.pdf" TargetMode="External"/><Relationship Id="rId709" Type="http://schemas.openxmlformats.org/officeDocument/2006/relationships/hyperlink" Target="https://api.mziq.com/mzfilemanager/v2/d/65f65acb-ad9a-44b1-a3d5-620b6199a637/9caf2713-6db8-a8b6-cd90-e733526a83a8?origin=2" TargetMode="External"/><Relationship Id="rId708" Type="http://schemas.openxmlformats.org/officeDocument/2006/relationships/hyperlink" Target="https://api.mziq.com/mzfilemanager/v2/d/65f65acb-ad9a-44b1-a3d5-620b6199a637/49efaa1a-14e2-4ade-726a-13d15fd4bfea?origin=2" TargetMode="External"/><Relationship Id="rId707" Type="http://schemas.openxmlformats.org/officeDocument/2006/relationships/hyperlink" Target="https://api.mziq.com/mzfilemanager/v2/d/65f65acb-ad9a-44b1-a3d5-620b6199a637/4d791652-1419-b565-d605-0dfdf457361e?origin=2" TargetMode="External"/><Relationship Id="rId949" Type="http://schemas.openxmlformats.org/officeDocument/2006/relationships/hyperlink" Target="https://files.mybeehome.com/publicfiles/RELATORIO_DE_GESTAO_E_SUSTENTABILIDADE_SOLAR_2020--585086897.pdf" TargetMode="External"/><Relationship Id="rId706" Type="http://schemas.openxmlformats.org/officeDocument/2006/relationships/hyperlink" Target="https://api.mziq.com/mzfilemanager/v2/d/65f65acb-ad9a-44b1-a3d5-620b6199a637/4d791652-1419-b565-d605-0dfdf457361e?origin=2" TargetMode="External"/><Relationship Id="rId948" Type="http://schemas.openxmlformats.org/officeDocument/2006/relationships/hyperlink" Target="https://ssa-br.com/wp-content/uploads/2024/07/gri-2023.pdf" TargetMode="External"/><Relationship Id="rId80" Type="http://schemas.openxmlformats.org/officeDocument/2006/relationships/hyperlink" Target="https://www.amaggi.com.br/wp-content/uploads/2022/10/relatorio-amaggi-PT-FINAL-2.pdf" TargetMode="External"/><Relationship Id="rId82" Type="http://schemas.openxmlformats.org/officeDocument/2006/relationships/hyperlink" Target="https://www.amaggi.com.br/clima-e-floresta/" TargetMode="External"/><Relationship Id="rId81" Type="http://schemas.openxmlformats.org/officeDocument/2006/relationships/hyperlink" Target="https://www.amaggi.com.br/amaggi_regenera/" TargetMode="External"/><Relationship Id="rId701" Type="http://schemas.openxmlformats.org/officeDocument/2006/relationships/hyperlink" Target="https://api.mziq.com/mzfilemanager/v2/d/65f65acb-ad9a-44b1-a3d5-620b6199a637/4d791652-1419-b565-d605-0dfdf457361e?origin=2" TargetMode="External"/><Relationship Id="rId943" Type="http://schemas.openxmlformats.org/officeDocument/2006/relationships/hyperlink" Target="https://ssa-br.com/wp-content/uploads/2022/09/gri-ssa-2021.pdf" TargetMode="External"/><Relationship Id="rId700" Type="http://schemas.openxmlformats.org/officeDocument/2006/relationships/hyperlink" Target="https://api.mziq.com/mzfilemanager/v2/d/65f65acb-ad9a-44b1-a3d5-620b6199a637/4d791652-1419-b565-d605-0dfdf457361e?origin=2" TargetMode="External"/><Relationship Id="rId942" Type="http://schemas.openxmlformats.org/officeDocument/2006/relationships/hyperlink" Target="https://ssa-br.com/wp-content/uploads/2024/07/gri-2023.pdf" TargetMode="External"/><Relationship Id="rId941" Type="http://schemas.openxmlformats.org/officeDocument/2006/relationships/hyperlink" Target="https://ssa-br.com/wp-content/uploads/2023/05/GRI-2022.pdf" TargetMode="External"/><Relationship Id="rId940" Type="http://schemas.openxmlformats.org/officeDocument/2006/relationships/hyperlink" Target="https://ssa-br.com/wp-content/uploads/2022/09/gri-ssa-2021.pdf" TargetMode="External"/><Relationship Id="rId705" Type="http://schemas.openxmlformats.org/officeDocument/2006/relationships/hyperlink" Target="https://api.mziq.com/mzfilemanager/v2/d/65f65acb-ad9a-44b1-a3d5-620b6199a637/4d791652-1419-b565-d605-0dfdf457361e?origin=2" TargetMode="External"/><Relationship Id="rId947" Type="http://schemas.openxmlformats.org/officeDocument/2006/relationships/hyperlink" Target="https://ssa-br.com/wp-content/uploads/2023/05/GRI-2022.pdf" TargetMode="External"/><Relationship Id="rId704" Type="http://schemas.openxmlformats.org/officeDocument/2006/relationships/hyperlink" Target="https://api.mziq.com/mzfilemanager/v2/d/65f65acb-ad9a-44b1-a3d5-620b6199a637/4d791652-1419-b565-d605-0dfdf457361e?origin=2" TargetMode="External"/><Relationship Id="rId946" Type="http://schemas.openxmlformats.org/officeDocument/2006/relationships/hyperlink" Target="https://ssa-br.com/wp-content/uploads/2022/09/gri-ssa-2021.pdf" TargetMode="External"/><Relationship Id="rId703" Type="http://schemas.openxmlformats.org/officeDocument/2006/relationships/hyperlink" Target="https://api.mziq.com/mzfilemanager/v2/d/65f65acb-ad9a-44b1-a3d5-620b6199a637/4d791652-1419-b565-d605-0dfdf457361e?origin=2" TargetMode="External"/><Relationship Id="rId945" Type="http://schemas.openxmlformats.org/officeDocument/2006/relationships/hyperlink" Target="https://ssa-br.com/wp-content/uploads/2024/07/gri-2023.pdf" TargetMode="External"/><Relationship Id="rId702" Type="http://schemas.openxmlformats.org/officeDocument/2006/relationships/hyperlink" Target="https://www.brasilsemfome.org.br/" TargetMode="External"/><Relationship Id="rId944" Type="http://schemas.openxmlformats.org/officeDocument/2006/relationships/hyperlink" Target="https://ssa-br.com/wp-content/uploads/2023/05/GRI-2022.pdf" TargetMode="External"/><Relationship Id="rId73" Type="http://schemas.openxmlformats.org/officeDocument/2006/relationships/hyperlink" Target="https://www.pactoglobal.org.br/noticia/pacto-global-apresenta-principios-empresariais-para-alimentos-e-agricultura/" TargetMode="External"/><Relationship Id="rId72" Type="http://schemas.openxmlformats.org/officeDocument/2006/relationships/hyperlink" Target="https://www.pactoglobal.org.br/noticia/pacto-global-apresenta-principios-empresariais-para-alimentos-e-agricultura/" TargetMode="External"/><Relationship Id="rId75" Type="http://schemas.openxmlformats.org/officeDocument/2006/relationships/hyperlink" Target="https://www.amaggi.com.br/wp-content/uploads/2022/10/Relatorio-de-Progresso-2020.pdf" TargetMode="External"/><Relationship Id="rId74" Type="http://schemas.openxmlformats.org/officeDocument/2006/relationships/hyperlink" Target="https://www.amaggi.com.br/wp-content/uploads/2022/10/Amaggi_RS2020-comp.pdf" TargetMode="External"/><Relationship Id="rId77" Type="http://schemas.openxmlformats.org/officeDocument/2006/relationships/hyperlink" Target="https://www.amaggi.com.br/wp-content/uploads/2022/10/relatorio-amaggi-PT-FINAL-2.pdf" TargetMode="External"/><Relationship Id="rId76" Type="http://schemas.openxmlformats.org/officeDocument/2006/relationships/hyperlink" Target="https://www.amaggi.com.br/wp-content/uploads/2022/10/amaggi_relatorio_sustentabilidade_2021-1.pdf" TargetMode="External"/><Relationship Id="rId79" Type="http://schemas.openxmlformats.org/officeDocument/2006/relationships/hyperlink" Target="https://www.amaggi.com.br/wp-content/uploads/2022/10/amaggi_relatorio_sustentabilidade_2021-1.pdf" TargetMode="External"/><Relationship Id="rId78" Type="http://schemas.openxmlformats.org/officeDocument/2006/relationships/hyperlink" Target="https://earthinnovation.org/regions/brazil" TargetMode="External"/><Relationship Id="rId939" Type="http://schemas.openxmlformats.org/officeDocument/2006/relationships/hyperlink" Target="https://ssa-br.com/wp-content/uploads/2022/09/gri-ssa-2020.pdf" TargetMode="External"/><Relationship Id="rId938" Type="http://schemas.openxmlformats.org/officeDocument/2006/relationships/hyperlink" Target="https://ssa-br.com/wp-content/uploads/2022/09/gri-ssa-2020.pdf" TargetMode="External"/><Relationship Id="rId937" Type="http://schemas.openxmlformats.org/officeDocument/2006/relationships/hyperlink" Target="https://ssa-br.com/wp-content/uploads/2023/05/GRI-2022.pdf" TargetMode="External"/><Relationship Id="rId71" Type="http://schemas.openxmlformats.org/officeDocument/2006/relationships/hyperlink" Target="https://www.amaggi.com.br/wp-content/uploads/2022/10/relatorio-amaggi-PT-FINAL-2.pdf" TargetMode="External"/><Relationship Id="rId70" Type="http://schemas.openxmlformats.org/officeDocument/2006/relationships/hyperlink" Target="https://www.amaggi.com.br/wp-content/uploads/2022/10/amaggi_relatorio_sustentabilidade_2021-1.pdf" TargetMode="External"/><Relationship Id="rId932" Type="http://schemas.openxmlformats.org/officeDocument/2006/relationships/hyperlink" Target="https://piracanjuba-institucional-prd.s3.sa-east-1.amazonaws.com/piranews_download/file/livreto-relatorio-de-sustentabilidade2023-novo-10.pdf" TargetMode="External"/><Relationship Id="rId931" Type="http://schemas.openxmlformats.org/officeDocument/2006/relationships/hyperlink" Target="https://www.piracanjuba.com.br/files/Relatorio_Sustentabilidade_2021.pdf" TargetMode="External"/><Relationship Id="rId930" Type="http://schemas.openxmlformats.org/officeDocument/2006/relationships/hyperlink" Target="https://www.piracanjuba.com.br/files/Relatorio_Sustentabilidade_2020.pdf" TargetMode="External"/><Relationship Id="rId936" Type="http://schemas.openxmlformats.org/officeDocument/2006/relationships/hyperlink" Target="https://ssa-br.com/wp-content/uploads/2023/05/GRI-2022.pdf" TargetMode="External"/><Relationship Id="rId935" Type="http://schemas.openxmlformats.org/officeDocument/2006/relationships/hyperlink" Target="https://ssa-br.com/wp-content/uploads/2022/09/gri-ssa-2020.pdf" TargetMode="External"/><Relationship Id="rId934" Type="http://schemas.openxmlformats.org/officeDocument/2006/relationships/hyperlink" Target="https://ssa-br.com/wp-content/uploads/2022/09/gri-ssa-2020.pdf" TargetMode="External"/><Relationship Id="rId933" Type="http://schemas.openxmlformats.org/officeDocument/2006/relationships/hyperlink" Target="https://piracanjuba-institucional-prd.s3.sa-east-1.amazonaws.com/piranews_download/file/relatorio-de-sustentabilidade-2023-21.pdf" TargetMode="External"/><Relationship Id="rId62" Type="http://schemas.openxmlformats.org/officeDocument/2006/relationships/hyperlink" Target="https://api.mziq.com/mzfilemanager/v2/d/4594750a-94b7-4fcb-bbbc-514e4d1295e3/fb76fbe9-80c3-9557-29ef-867c6d789622?origin=1" TargetMode="External"/><Relationship Id="rId61" Type="http://schemas.openxmlformats.org/officeDocument/2006/relationships/hyperlink" Target="https://api.mziq.com/mzfilemanager/v2/d/4594750a-94b7-4fcb-bbbc-514e4d1295e3/58f33b40-68c7-e6cc-039d-55fe2800b7c5?origin=1" TargetMode="External"/><Relationship Id="rId64" Type="http://schemas.openxmlformats.org/officeDocument/2006/relationships/hyperlink" Target="https://api.mziq.com/mzfilemanager/v2/d/4594750a-94b7-4fcb-bbbc-514e4d1295e3/b786f5f7-59de-2715-fcfb-94d5ed728e8d?origin=1" TargetMode="External"/><Relationship Id="rId63" Type="http://schemas.openxmlformats.org/officeDocument/2006/relationships/hyperlink" Target="https://api.mziq.com/mzfilemanager/v2/d/4594750a-94b7-4fcb-bbbc-514e4d1295e3/b786f5f7-59de-2715-fcfb-94d5ed728e8d?origin=1" TargetMode="External"/><Relationship Id="rId66" Type="http://schemas.openxmlformats.org/officeDocument/2006/relationships/hyperlink" Target="https://www.amaggi.com.br/wp-content/uploads/2022/10/Amaggi_RS2020-comp.pdf" TargetMode="External"/><Relationship Id="rId65" Type="http://schemas.openxmlformats.org/officeDocument/2006/relationships/hyperlink" Target="https://api.mziq.com/mzfilemanager/v2/d/4594750a-94b7-4fcb-bbbc-514e4d1295e3/58f33b40-68c7-e6cc-039d-55fe2800b7c5?origin=1" TargetMode="External"/><Relationship Id="rId68" Type="http://schemas.openxmlformats.org/officeDocument/2006/relationships/hyperlink" Target="https://www.amaggi.com.br/wp-content/uploads/2022/10/Amaggi_RS2020-comp.pdf" TargetMode="External"/><Relationship Id="rId67" Type="http://schemas.openxmlformats.org/officeDocument/2006/relationships/hyperlink" Target="https://www.amaggi.com.br/wp-content/uploads/2022/10/Relatorio-de-Progresso-2020.pdf" TargetMode="External"/><Relationship Id="rId729" Type="http://schemas.openxmlformats.org/officeDocument/2006/relationships/hyperlink" Target="https://coca-colafemsa.com/wp-content/uploads/2022/04/KOF-IR-2021-english-FS-3.pdf" TargetMode="External"/><Relationship Id="rId728" Type="http://schemas.openxmlformats.org/officeDocument/2006/relationships/hyperlink" Target="https://www.koandina.com/uploads/Memoria_integrada_2023.pdf" TargetMode="External"/><Relationship Id="rId60" Type="http://schemas.openxmlformats.org/officeDocument/2006/relationships/hyperlink" Target="https://api.mziq.com/mzfilemanager/v2/d/4594750a-94b7-4fcb-bbbc-514e4d1295e3/cb232031-237a-58c3-84a4-e3c1935c4df9?origin=2" TargetMode="External"/><Relationship Id="rId723" Type="http://schemas.openxmlformats.org/officeDocument/2006/relationships/hyperlink" Target="https://www.koandina.com/uploads/Memoria%20Integrada%202022.pdf" TargetMode="External"/><Relationship Id="rId965" Type="http://schemas.openxmlformats.org/officeDocument/2006/relationships/hyperlink" Target="https://files.mybeehome.com/publicfiles/Relatorio_de_Sustentabilidade_Solar_2023--1692067600.pdf" TargetMode="External"/><Relationship Id="rId722" Type="http://schemas.openxmlformats.org/officeDocument/2006/relationships/hyperlink" Target="https://www.koandina.com/uploads/Memoria_integrada_2023.pdf" TargetMode="External"/><Relationship Id="rId964" Type="http://schemas.openxmlformats.org/officeDocument/2006/relationships/hyperlink" Target="https://files.mybeehome.com/publicfiles/Relatorio_de_Sustentabilidade_Solar_2023--1692067600.pdf" TargetMode="External"/><Relationship Id="rId721" Type="http://schemas.openxmlformats.org/officeDocument/2006/relationships/hyperlink" Target="https://www.koandina.com/uploads/Memoria%20Integrada%202022.pdf" TargetMode="External"/><Relationship Id="rId963" Type="http://schemas.openxmlformats.org/officeDocument/2006/relationships/hyperlink" Target="https://files.mybeehome.com/publicfiles/Relatorio_de_Sustentabilidade_Solar_2023--1692067600.pdf" TargetMode="External"/><Relationship Id="rId720" Type="http://schemas.openxmlformats.org/officeDocument/2006/relationships/hyperlink" Target="https://www.koandina.com/uploads/Memoria-Anual2021.pdf" TargetMode="External"/><Relationship Id="rId962" Type="http://schemas.openxmlformats.org/officeDocument/2006/relationships/hyperlink" Target="https://caritasdepesqueira.org.br/2018/09/capacitacao-do-projeto-aguas-para-educar-trabalha-a-educacao-contextualizada-na-convivencia-com-semiarido/" TargetMode="External"/><Relationship Id="rId727" Type="http://schemas.openxmlformats.org/officeDocument/2006/relationships/hyperlink" Target="https://www.koandina.com/uploads/Memoria%20Integrada%202022.pdf" TargetMode="External"/><Relationship Id="rId969" Type="http://schemas.openxmlformats.org/officeDocument/2006/relationships/hyperlink" Target="https://files.mybeehome.com/publicfiles/Solar-RGS2022-FINAL-Site-21-11-2023--133702435.pdf" TargetMode="External"/><Relationship Id="rId726" Type="http://schemas.openxmlformats.org/officeDocument/2006/relationships/hyperlink" Target="https://www.koandina.com/uploads/Memoria-Anual2021.pdf" TargetMode="External"/><Relationship Id="rId968" Type="http://schemas.openxmlformats.org/officeDocument/2006/relationships/hyperlink" Target="https://files.mybeehome.com/publicfiles/Relatorio_de_Gestao_e_Sustentabilidade_2021-460395667.pdf" TargetMode="External"/><Relationship Id="rId725" Type="http://schemas.openxmlformats.org/officeDocument/2006/relationships/hyperlink" Target="https://www.koandina.com/uploads/reportes_financieros/memoria-Anual2020.pdf" TargetMode="External"/><Relationship Id="rId967" Type="http://schemas.openxmlformats.org/officeDocument/2006/relationships/hyperlink" Target="https://files.mybeehome.com/publicfiles/Relatorio_de_Sustentabilidade_Solar_2023--1692067600.pdf" TargetMode="External"/><Relationship Id="rId724" Type="http://schemas.openxmlformats.org/officeDocument/2006/relationships/hyperlink" Target="https://www.koandina.com/uploads/Memoria_integrada_2023.pdf" TargetMode="External"/><Relationship Id="rId966" Type="http://schemas.openxmlformats.org/officeDocument/2006/relationships/hyperlink" Target="https://files.mybeehome.com/publicfiles/Relatorio_de_Sustentabilidade_Solar_2023--1692067600.pdf" TargetMode="External"/><Relationship Id="rId69" Type="http://schemas.openxmlformats.org/officeDocument/2006/relationships/hyperlink" Target="https://www.amaggi.com.br/wp-content/uploads/2022/10/Relatorio-de-Progresso-2020.pdf" TargetMode="External"/><Relationship Id="rId961" Type="http://schemas.openxmlformats.org/officeDocument/2006/relationships/hyperlink" Target="https://files.mybeehome.com/publicfiles/Solar-RGS2022-FINAL-Site-21-11-2023--133702435.pdf" TargetMode="External"/><Relationship Id="rId960" Type="http://schemas.openxmlformats.org/officeDocument/2006/relationships/hyperlink" Target="https://files.mybeehome.com/publicfiles/Solar-RGS2022-FINAL-Site-21-11-2023--133702435.pdf" TargetMode="External"/><Relationship Id="rId51" Type="http://schemas.openxmlformats.org/officeDocument/2006/relationships/hyperlink" Target="https://www.agraria.com.br/arquivos/2023/relatorio-anual-2023.pdf" TargetMode="External"/><Relationship Id="rId50" Type="http://schemas.openxmlformats.org/officeDocument/2006/relationships/hyperlink" Target="https://www.agraria.com.br/arquivos/2023/agraria_relatorio_anual_2022.pdf" TargetMode="External"/><Relationship Id="rId53" Type="http://schemas.openxmlformats.org/officeDocument/2006/relationships/hyperlink" Target="https://www.agraria.com.br/arquivos/relatorio_anual_2021.pdf" TargetMode="External"/><Relationship Id="rId52" Type="http://schemas.openxmlformats.org/officeDocument/2006/relationships/hyperlink" Target="https://www.agraria.com.br/arquivos/relatorio_anual_2020-v2.pdf" TargetMode="External"/><Relationship Id="rId55" Type="http://schemas.openxmlformats.org/officeDocument/2006/relationships/hyperlink" Target="https://api.mziq.com/mzfilemanager/v2/d/4594750a-94b7-4fcb-bbbc-514e4d1295e3/fb76fbe9-80c3-9557-29ef-867c6d789622?origin=1" TargetMode="External"/><Relationship Id="rId54" Type="http://schemas.openxmlformats.org/officeDocument/2006/relationships/hyperlink" Target="https://www.agraria.com.br/arquivos/2023/agraria_relatorio_anual_2022.pdf" TargetMode="External"/><Relationship Id="rId57" Type="http://schemas.openxmlformats.org/officeDocument/2006/relationships/hyperlink" Target="https://api.mziq.com/mzfilemanager/v2/d/4594750a-94b7-4fcb-bbbc-514e4d1295e3/cb232031-237a-58c3-84a4-e3c1935c4df9?origin=2" TargetMode="External"/><Relationship Id="rId56" Type="http://schemas.openxmlformats.org/officeDocument/2006/relationships/hyperlink" Target="https://api.mziq.com/mzfilemanager/v2/d/4594750a-94b7-4fcb-bbbc-514e4d1295e3/fb76fbe9-80c3-9557-29ef-867c6d789622?origin=1" TargetMode="External"/><Relationship Id="rId719" Type="http://schemas.openxmlformats.org/officeDocument/2006/relationships/hyperlink" Target="https://aguamaisacesso.com.br/" TargetMode="External"/><Relationship Id="rId718" Type="http://schemas.openxmlformats.org/officeDocument/2006/relationships/hyperlink" Target="https://www.koandina.com/uploads/Memoria-Anual2021.pdf" TargetMode="External"/><Relationship Id="rId717" Type="http://schemas.openxmlformats.org/officeDocument/2006/relationships/hyperlink" Target="https://www.koandina.com/uploads/reportes_financieros/memoria-Anual2020.pdf" TargetMode="External"/><Relationship Id="rId959" Type="http://schemas.openxmlformats.org/officeDocument/2006/relationships/hyperlink" Target="https://files.mybeehome.com/publicfiles/Solar-RGS2022-FINAL-Site-21-11-2023--133702435.pdf" TargetMode="External"/><Relationship Id="rId712" Type="http://schemas.openxmlformats.org/officeDocument/2006/relationships/hyperlink" Target="https://api.mziq.com/mzfilemanager/v2/d/65f65acb-ad9a-44b1-a3d5-620b6199a637/9caf2713-6db8-a8b6-cd90-e733526a83a8?origin=2" TargetMode="External"/><Relationship Id="rId954" Type="http://schemas.openxmlformats.org/officeDocument/2006/relationships/hyperlink" Target="https://files.mybeehome.com/publicfiles/Relatorio_de_Sustentabilidade_Solar_2023--1692067600.pdf" TargetMode="External"/><Relationship Id="rId711" Type="http://schemas.openxmlformats.org/officeDocument/2006/relationships/hyperlink" Target="https://api.mziq.com/mzfilemanager/v2/d/65f65acb-ad9a-44b1-a3d5-620b6199a637/9caf2713-6db8-a8b6-cd90-e733526a83a8?origin=2" TargetMode="External"/><Relationship Id="rId953" Type="http://schemas.openxmlformats.org/officeDocument/2006/relationships/hyperlink" Target="https://files.mybeehome.com/publicfiles/Solar-RGS2022-FINAL-Site-21-11-2023--133702435.pdf" TargetMode="External"/><Relationship Id="rId710" Type="http://schemas.openxmlformats.org/officeDocument/2006/relationships/hyperlink" Target="https://api.mziq.com/mzfilemanager/v2/d/65f65acb-ad9a-44b1-a3d5-620b6199a637/49efaa1a-14e2-4ade-726a-13d15fd4bfea?origin=2" TargetMode="External"/><Relationship Id="rId952" Type="http://schemas.openxmlformats.org/officeDocument/2006/relationships/hyperlink" Target="https://files.mybeehome.com/publicfiles/Relatorio_de_Gestao_e_Sustentabilidade_2021-460395667.pdf" TargetMode="External"/><Relationship Id="rId951" Type="http://schemas.openxmlformats.org/officeDocument/2006/relationships/hyperlink" Target="https://files.mybeehome.com/publicfiles/RELATORIO_DE_GESTAO_E_SUSTENTABILIDADE_SOLAR_2020--585086897.pdf" TargetMode="External"/><Relationship Id="rId716" Type="http://schemas.openxmlformats.org/officeDocument/2006/relationships/hyperlink" Target="https://api.mziq.com/mzfilemanager/v2/d/65f65acb-ad9a-44b1-a3d5-620b6199a637/9caf2713-6db8-a8b6-cd90-e733526a83a8?origin=2" TargetMode="External"/><Relationship Id="rId958" Type="http://schemas.openxmlformats.org/officeDocument/2006/relationships/hyperlink" Target="https://files.mybeehome.com/publicfiles/Solar-RGS2022-FINAL-Site-21-11-2023--133702435.pdf" TargetMode="External"/><Relationship Id="rId715" Type="http://schemas.openxmlformats.org/officeDocument/2006/relationships/hyperlink" Target="https://api.mziq.com/mzfilemanager/v2/d/65f65acb-ad9a-44b1-a3d5-620b6199a637/49efaa1a-14e2-4ade-726a-13d15fd4bfea?origin=2" TargetMode="External"/><Relationship Id="rId957" Type="http://schemas.openxmlformats.org/officeDocument/2006/relationships/hyperlink" Target="https://files.mybeehome.com/publicfiles/Relatorio_de_Gestao_e_Sustentabilidade_2021-460395667.pdf" TargetMode="External"/><Relationship Id="rId714" Type="http://schemas.openxmlformats.org/officeDocument/2006/relationships/hyperlink" Target="https://api.mziq.com/mzfilemanager/v2/d/65f65acb-ad9a-44b1-a3d5-620b6199a637/4d791652-1419-b565-d605-0dfdf457361e?origin=2" TargetMode="External"/><Relationship Id="rId956" Type="http://schemas.openxmlformats.org/officeDocument/2006/relationships/hyperlink" Target="https://files.mybeehome.com/publicfiles/Relatorio_de_Gestao_e_Sustentabilidade_2021-460395667.pdf" TargetMode="External"/><Relationship Id="rId713" Type="http://schemas.openxmlformats.org/officeDocument/2006/relationships/hyperlink" Target="https://api.mziq.com/mzfilemanager/v2/d/65f65acb-ad9a-44b1-a3d5-620b6199a637/9caf2713-6db8-a8b6-cd90-e733526a83a8?origin=2" TargetMode="External"/><Relationship Id="rId955" Type="http://schemas.openxmlformats.org/officeDocument/2006/relationships/hyperlink" Target="https://files.mybeehome.com/publicfiles/Relatorio_de_Gestao_e_Sustentabilidade_2021-460395667.pdf" TargetMode="External"/><Relationship Id="rId59" Type="http://schemas.openxmlformats.org/officeDocument/2006/relationships/hyperlink" Target="https://api.mziq.com/mzfilemanager/v2/d/4594750a-94b7-4fcb-bbbc-514e4d1295e3/58f33b40-68c7-e6cc-039d-55fe2800b7c5?origin=1" TargetMode="External"/><Relationship Id="rId58" Type="http://schemas.openxmlformats.org/officeDocument/2006/relationships/hyperlink" Target="https://api.mziq.com/mzfilemanager/v2/d/4594750a-94b7-4fcb-bbbc-514e4d1295e3/b786f5f7-59de-2715-fcfb-94d5ed728e8d?origin=1" TargetMode="External"/><Relationship Id="rId950" Type="http://schemas.openxmlformats.org/officeDocument/2006/relationships/hyperlink" Target="https://files.mybeehome.com/publicfiles/Relatorio_de_Gestao_e_Sustentabilidade_2021-460395667.pdf" TargetMode="External"/><Relationship Id="rId590" Type="http://schemas.openxmlformats.org/officeDocument/2006/relationships/hyperlink" Target="https://www.lavoroagro.com/wp-content/uploads/2022/03/relatorio_sustentabilidade_lavoro_2020.pdf" TargetMode="External"/><Relationship Id="rId107" Type="http://schemas.openxmlformats.org/officeDocument/2006/relationships/hyperlink" Target="https://www.amaggi.com.br/wp-content/uploads/2023/07/ESG_Amaggi_2022.pdf" TargetMode="External"/><Relationship Id="rId349" Type="http://schemas.openxmlformats.org/officeDocument/2006/relationships/hyperlink" Target="https://coopercitrus.com.br/wp-content/uploads/2022/04/2020_RELATORIO-DE-SUSTENTABILIDADE-COOPERCITRUS1.pdf" TargetMode="External"/><Relationship Id="rId106" Type="http://schemas.openxmlformats.org/officeDocument/2006/relationships/hyperlink" Target="https://www.amaggi.com.br/wp-content/uploads/2022/10/amaggi_relatorio_sustentabilidade_2021-1.pdf" TargetMode="External"/><Relationship Id="rId348" Type="http://schemas.openxmlformats.org/officeDocument/2006/relationships/hyperlink" Target="https://oguaira.com.br/usina-acucareira-guaira-cria-corrente-do-bem-do-agro-e-arrecada-alimentosas-entidades-do-municipio/" TargetMode="External"/><Relationship Id="rId105" Type="http://schemas.openxmlformats.org/officeDocument/2006/relationships/hyperlink" Target="https://www.amaggi.com.br/wp-content/uploads/2022/10/Amaggi_RS2020-comp.pdf" TargetMode="External"/><Relationship Id="rId347" Type="http://schemas.openxmlformats.org/officeDocument/2006/relationships/hyperlink" Target="https://coopercitrus.com.br/wp-content/uploads/2022/04/2020_RELATORIO-DE-SUSTENTABILIDADE-COOPERCITRUS1.pdf" TargetMode="External"/><Relationship Id="rId589" Type="http://schemas.openxmlformats.org/officeDocument/2006/relationships/hyperlink" Target="https://www.lar.ind.br/wp-content/uploads/2024/01/01.-Relatorio-e-Balanco-2023_TELAO.pdf" TargetMode="External"/><Relationship Id="rId104" Type="http://schemas.openxmlformats.org/officeDocument/2006/relationships/hyperlink" Target="https://www.amaggi.com.br/wp-content/uploads/2022/10/amaggi_relatorio_sustentabilidade_2021-1.pdf" TargetMode="External"/><Relationship Id="rId346" Type="http://schemas.openxmlformats.org/officeDocument/2006/relationships/hyperlink" Target="https://coopercitrus.com.br/wp-content/uploads/2022/04/2020_RELATORIO-DE-SUSTENTABILIDADE-COOPERCITRUS1.pdf" TargetMode="External"/><Relationship Id="rId588" Type="http://schemas.openxmlformats.org/officeDocument/2006/relationships/hyperlink" Target="https://www.lar.ind.br/wp-content/uploads/2023/01/Relatorio-e-Balanco-2022.pdf" TargetMode="External"/><Relationship Id="rId109" Type="http://schemas.openxmlformats.org/officeDocument/2006/relationships/hyperlink" Target="https://www.amaggi.com.br/wp-content/uploads/2022/10/amaggi_relatorio_sustentabilidade_2021-1.pdf" TargetMode="External"/><Relationship Id="rId1170" Type="http://schemas.openxmlformats.org/officeDocument/2006/relationships/hyperlink" Target="https://meli-sustentabilidad-bucket.s3.amazonaws.com/Meli_2022_POR_5f7568efc8.pdf" TargetMode="External"/><Relationship Id="rId108" Type="http://schemas.openxmlformats.org/officeDocument/2006/relationships/hyperlink" Target="https://ri.amaggi.com.br/Download.aspx?Arquivo=Pno98da7hgR+UlbhXL5Rng==&amp;IdCanal=4J+ssVzd7OBNePB93AoXjA==&amp;linguagem=pt" TargetMode="External"/><Relationship Id="rId1171" Type="http://schemas.openxmlformats.org/officeDocument/2006/relationships/hyperlink" Target="https://meli-sustentabilidad-bucket.s3.amazonaws.com/Meli_2022_BONO_ENG_e92be85e23.pdf" TargetMode="External"/><Relationship Id="rId341" Type="http://schemas.openxmlformats.org/officeDocument/2006/relationships/hyperlink" Target="https://coopercitrus.com.br/wp-content/uploads/2022/04/2020_RELATORIO-DE-SUSTENTABILIDADE-COOPERCITRUS1.pdf" TargetMode="External"/><Relationship Id="rId583" Type="http://schemas.openxmlformats.org/officeDocument/2006/relationships/hyperlink" Target="https://www.lar.ind.br/wp-content/uploads/2022/01/Relatorio-e-Balanco-2021.pdf" TargetMode="External"/><Relationship Id="rId1172" Type="http://schemas.openxmlformats.org/officeDocument/2006/relationships/hyperlink" Target="https://meli-sustentabilidad-bucket.s3.amazonaws.com/MELI_2023_POR_26e9d74b05.pdf" TargetMode="External"/><Relationship Id="rId340" Type="http://schemas.openxmlformats.org/officeDocument/2006/relationships/hyperlink" Target="https://coopavel.com.br/wp-content/uploads/2024/01/RR10945-Coopavel-RelatorioAnual2024-Web.pdf" TargetMode="External"/><Relationship Id="rId582" Type="http://schemas.openxmlformats.org/officeDocument/2006/relationships/hyperlink" Target="https://www.lar.ind.br/wp-content/uploads/2023/01/Relatorio-e-Balanco-2022.pdf" TargetMode="External"/><Relationship Id="rId1173" Type="http://schemas.openxmlformats.org/officeDocument/2006/relationships/hyperlink" Target="https://idesam.org/cafe-apui-agroflorestal-chega-a-comunidades-extrativistas-do-rio-unini/" TargetMode="External"/><Relationship Id="rId581" Type="http://schemas.openxmlformats.org/officeDocument/2006/relationships/hyperlink" Target="https://www.lar.ind.br/wp-content/uploads/2023/01/Relatorio-e-Balanco-2022.pdf" TargetMode="External"/><Relationship Id="rId1174" Type="http://schemas.openxmlformats.org/officeDocument/2006/relationships/hyperlink" Target="https://meli-sustentabilidad-bucket.s3.amazonaws.com/MELI_2023_POR_26e9d74b05.pdf" TargetMode="External"/><Relationship Id="rId580" Type="http://schemas.openxmlformats.org/officeDocument/2006/relationships/hyperlink" Target="https://www.lar.ind.br/wp-content/uploads/2024/01/01.-Relatorio-e-Balanco-2023_TELAO.pdf" TargetMode="External"/><Relationship Id="rId1175" Type="http://schemas.openxmlformats.org/officeDocument/2006/relationships/hyperlink" Target="https://api.mziq.com/mzfilemanager/v2/d/b06ff083-901c-4706-adda-d4b8c9344896/ce5fe62e-2d79-7c78-9014-9749f27b15e2?origin=1" TargetMode="External"/><Relationship Id="rId103" Type="http://schemas.openxmlformats.org/officeDocument/2006/relationships/hyperlink" Target="https://ri.amaggi.com.br/Download.aspx?Arquivo=Pno98da7hgR+UlbhXL5Rng==&amp;IdCanal=4J+ssVzd7OBNePB93AoXjA==&amp;linguagem=pt" TargetMode="External"/><Relationship Id="rId345" Type="http://schemas.openxmlformats.org/officeDocument/2006/relationships/hyperlink" Target="https://coopercitrus.com.br/wp-content/uploads/2023/08/RELATORIO_DE_SUSTENTABILIDADE_COOPERCITRUS_2022.pdf" TargetMode="External"/><Relationship Id="rId587" Type="http://schemas.openxmlformats.org/officeDocument/2006/relationships/hyperlink" Target="https://www.lar.ind.br/wp-content/uploads/2022/01/Relatorio-e-Balanco-2021.pdf" TargetMode="External"/><Relationship Id="rId1176" Type="http://schemas.openxmlformats.org/officeDocument/2006/relationships/hyperlink" Target="https://api.mziq.com/mzfilemanager/v2/d/b06ff083-901c-4706-adda-d4b8c9344896/73a5392a-f607-b519-8c1b-ca5834c25403?origin=2" TargetMode="External"/><Relationship Id="rId102" Type="http://schemas.openxmlformats.org/officeDocument/2006/relationships/hyperlink" Target="https://www.amaggi.com.br/wp-content/uploads/2023/07/ESG_Amaggi_2022.pdf" TargetMode="External"/><Relationship Id="rId344" Type="http://schemas.openxmlformats.org/officeDocument/2006/relationships/hyperlink" Target="https://coopercitrus.com.br/wp-content/uploads/2024/04/RELATORIO_GESTAO_COOPERCITRUS_2023_DIGITAL.pdf" TargetMode="External"/><Relationship Id="rId586" Type="http://schemas.openxmlformats.org/officeDocument/2006/relationships/hyperlink" Target="https://www.lar.ind.br/wp-content/uploads/2021/01/Relatorio-e-Balanco-2020.pdf" TargetMode="External"/><Relationship Id="rId1177" Type="http://schemas.openxmlformats.org/officeDocument/2006/relationships/hyperlink" Target="https://www.revistaclinicaveterinaria.com.br/noticias/entidades/ong-moradores-de-rua-e-seus-caes/largo-do-arouche-em-sao-paulo-recebe-acao-de-pascoa-da-ong-moradores-de-rua-e-seus-caes/" TargetMode="External"/><Relationship Id="rId101" Type="http://schemas.openxmlformats.org/officeDocument/2006/relationships/hyperlink" Target="https://www.amaggi.com.br/wp-content/uploads/2022/10/amaggi_relatorio_sustentabilidade_2021-1.pdf" TargetMode="External"/><Relationship Id="rId343" Type="http://schemas.openxmlformats.org/officeDocument/2006/relationships/hyperlink" Target="https://coopercitrus.com.br/wp-content/uploads/2023/08/RELATORIO_DE_SUSTENTABILIDADE_COOPERCITRUS_2022.pdf" TargetMode="External"/><Relationship Id="rId585" Type="http://schemas.openxmlformats.org/officeDocument/2006/relationships/hyperlink" Target="https://www.lar.ind.br/wp-content/uploads/2024/01/01.-Relatorio-e-Balanco-2023_TELAO.pdf" TargetMode="External"/><Relationship Id="rId1178" Type="http://schemas.openxmlformats.org/officeDocument/2006/relationships/hyperlink" Target="https://vetnil.com.br/noticia/mrsc-e-o-dia-mundial-dos-animais-de-rua" TargetMode="External"/><Relationship Id="rId100" Type="http://schemas.openxmlformats.org/officeDocument/2006/relationships/hyperlink" Target="https://www.amaggi.com.br/wp-content/uploads/2022/10/Amaggi_RS2020-comp.pdf" TargetMode="External"/><Relationship Id="rId342" Type="http://schemas.openxmlformats.org/officeDocument/2006/relationships/hyperlink" Target="https://coopercitrus.com.br/wp-content/uploads/2022/04/RELATORIO_SUTENTABILIDADE_COOPERCITRUS_2021.pdf" TargetMode="External"/><Relationship Id="rId584" Type="http://schemas.openxmlformats.org/officeDocument/2006/relationships/hyperlink" Target="https://www.lar.ind.br/wp-content/uploads/2023/01/Relatorio-e-Balanco-2022.pdf" TargetMode="External"/><Relationship Id="rId1179" Type="http://schemas.openxmlformats.org/officeDocument/2006/relationships/hyperlink" Target="https://api.mziq.com/mzfilemanager/v2/d/b06ff083-901c-4706-adda-d4b8c9344896/73a5392a-f607-b519-8c1b-ca5834c25403?origin=2" TargetMode="External"/><Relationship Id="rId1169" Type="http://schemas.openxmlformats.org/officeDocument/2006/relationships/hyperlink" Target="https://meli-sustentabilidad-bucket.s3.amazonaws.com/MELI_2023_POR_26e9d74b05.pdf" TargetMode="External"/><Relationship Id="rId338" Type="http://schemas.openxmlformats.org/officeDocument/2006/relationships/hyperlink" Target="https://coopavel.com.br/wp-content/uploads/2017/02/Revista_Coopavel_Ed411-min1.pdf" TargetMode="External"/><Relationship Id="rId337" Type="http://schemas.openxmlformats.org/officeDocument/2006/relationships/hyperlink" Target="https://braziliansustainableprotein.com/pt/coopavel-projeto-agua-viva-recupera-nascentes-no-brasil-e-no-exterior/" TargetMode="External"/><Relationship Id="rId579" Type="http://schemas.openxmlformats.org/officeDocument/2006/relationships/hyperlink" Target="https://www.lar.ind.br/wp-content/uploads/2023/01/Relatorio-e-Balanco-2022.pdf" TargetMode="External"/><Relationship Id="rId336" Type="http://schemas.openxmlformats.org/officeDocument/2006/relationships/hyperlink" Target="https://coopavel.com.br/a-coopavel/" TargetMode="External"/><Relationship Id="rId578" Type="http://schemas.openxmlformats.org/officeDocument/2006/relationships/hyperlink" Target="https://www.lar.ind.br/wp-content/uploads/2023/01/Relatorio-e-Balanco-2022.pdf" TargetMode="External"/><Relationship Id="rId335" Type="http://schemas.openxmlformats.org/officeDocument/2006/relationships/hyperlink" Target="https://coopavel.com.br/wp-content/uploads/2024/01/RR10945-Coopavel-RelatorioAnual2024-Web.pdf" TargetMode="External"/><Relationship Id="rId577" Type="http://schemas.openxmlformats.org/officeDocument/2006/relationships/hyperlink" Target="https://www.lar.ind.br/wp-content/uploads/2024/01/01.-Relatorio-e-Balanco-2023_TELAO.pdf" TargetMode="External"/><Relationship Id="rId339" Type="http://schemas.openxmlformats.org/officeDocument/2006/relationships/hyperlink" Target="https://coopavel.com.br/wp-content/uploads/2023/01/DIGITAL-RR9288-COOPAVEL-RelatorioAnual-297x210.pdf" TargetMode="External"/><Relationship Id="rId1160" Type="http://schemas.openxmlformats.org/officeDocument/2006/relationships/hyperlink" Target="https://www.youtube.com/watch?v=bdPfd9GU5Rk" TargetMode="External"/><Relationship Id="rId330" Type="http://schemas.openxmlformats.org/officeDocument/2006/relationships/hyperlink" Target="https://comigo.coop.br/wp-content/uploads/2023/12/Relatorio.pdf" TargetMode="External"/><Relationship Id="rId572" Type="http://schemas.openxmlformats.org/officeDocument/2006/relationships/hyperlink" Target="https://www.integrada.coop.br/downloads/relatorio-sustentabilidade.pdf" TargetMode="External"/><Relationship Id="rId1161" Type="http://schemas.openxmlformats.org/officeDocument/2006/relationships/hyperlink" Target="https://meli-sustentabilidad-bucket.s3.amazonaws.com/reporte_2020_pt_dd3211e712.pdf" TargetMode="External"/><Relationship Id="rId571" Type="http://schemas.openxmlformats.org/officeDocument/2006/relationships/hyperlink" Target="https://www.integrada.coop.br/relatorio-atividades.xhtml" TargetMode="External"/><Relationship Id="rId1162" Type="http://schemas.openxmlformats.org/officeDocument/2006/relationships/hyperlink" Target="https://meli-sustentabilidad-bucket.s3.amazonaws.com/reporte_2020_pt_dd3211e712.pdf" TargetMode="External"/><Relationship Id="rId570" Type="http://schemas.openxmlformats.org/officeDocument/2006/relationships/hyperlink" Target="https://www.integrada.coop.br/relatorio-atividades.xhtml" TargetMode="External"/><Relationship Id="rId1163" Type="http://schemas.openxmlformats.org/officeDocument/2006/relationships/hyperlink" Target="https://meli-sustentabilidad-bucket.s3.amazonaws.com/Meli_2021_POR_6cde283fb8.pdf" TargetMode="External"/><Relationship Id="rId1164" Type="http://schemas.openxmlformats.org/officeDocument/2006/relationships/hyperlink" Target="https://meli-sustentabilidad-bucket.s3.amazonaws.com/Meli_2022_BONO_ENG_e92be85e23.pdf" TargetMode="External"/><Relationship Id="rId334" Type="http://schemas.openxmlformats.org/officeDocument/2006/relationships/hyperlink" Target="https://coopavel.com.br/wp-content/uploads/2023/01/DIGITAL-RR9288-COOPAVEL-RelatorioAnual-297x210.pdf" TargetMode="External"/><Relationship Id="rId576" Type="http://schemas.openxmlformats.org/officeDocument/2006/relationships/hyperlink" Target="https://www.lar.ind.br/wp-content/uploads/2023/01/Relatorio-e-Balanco-2022.pdf" TargetMode="External"/><Relationship Id="rId1165" Type="http://schemas.openxmlformats.org/officeDocument/2006/relationships/hyperlink" Target="https://meli-sustentabilidad-bucket.s3.amazonaws.com/Meli_2022_POR_5f7568efc8.pdf" TargetMode="External"/><Relationship Id="rId333" Type="http://schemas.openxmlformats.org/officeDocument/2006/relationships/hyperlink" Target="https://comigo.coop.br/wp-content/uploads/2023/12/Relatorio.pdf" TargetMode="External"/><Relationship Id="rId575" Type="http://schemas.openxmlformats.org/officeDocument/2006/relationships/hyperlink" Target="https://www.lar.ind.br/wp-content/uploads/2024/01/01.-Relatorio-e-Balanco-2023_TELAO.pdf" TargetMode="External"/><Relationship Id="rId1166" Type="http://schemas.openxmlformats.org/officeDocument/2006/relationships/hyperlink" Target="https://meli-sustentabilidad-bucket.s3.amazonaws.com/Meli_2021_POR_6cde283fb8.pdf" TargetMode="External"/><Relationship Id="rId332" Type="http://schemas.openxmlformats.org/officeDocument/2006/relationships/hyperlink" Target="https://drive.google.com/file/d/1EZTbST58Eclwl0nPQxOSmAuZl6cmzNDJ/view" TargetMode="External"/><Relationship Id="rId574" Type="http://schemas.openxmlformats.org/officeDocument/2006/relationships/hyperlink" Target="https://www.lar.ind.br/wp-content/uploads/2022/01/Relatorio-e-Balanco-2021.pdf" TargetMode="External"/><Relationship Id="rId1167" Type="http://schemas.openxmlformats.org/officeDocument/2006/relationships/hyperlink" Target="https://meli-sustentabilidad-bucket.s3.amazonaws.com/Meli_2021_POR_6cde283fb8.pdf" TargetMode="External"/><Relationship Id="rId331" Type="http://schemas.openxmlformats.org/officeDocument/2006/relationships/hyperlink" Target="https://comigo.coop.br/wp-content/uploads/2023/12/Relatorio.pdf" TargetMode="External"/><Relationship Id="rId573" Type="http://schemas.openxmlformats.org/officeDocument/2006/relationships/hyperlink" Target="https://www.integrada.coop.br/relatorio-atividades.xhtml" TargetMode="External"/><Relationship Id="rId1168" Type="http://schemas.openxmlformats.org/officeDocument/2006/relationships/hyperlink" Target="https://meli-sustentabilidad-bucket.s3.amazonaws.com/Meli_2022_POR_5f7568efc8.pdf" TargetMode="External"/><Relationship Id="rId370" Type="http://schemas.openxmlformats.org/officeDocument/2006/relationships/hyperlink" Target="https://www.cooxupe.com.br/wp-content/uploads/2024/03/RELATORIO-GESTAO-COOXUPE-2023.pdf" TargetMode="External"/><Relationship Id="rId129" Type="http://schemas.openxmlformats.org/officeDocument/2006/relationships/hyperlink" Target="https://api.mziq.com/mzfilemanager/v2/d/2c1e0dd9-31eb-4dc0-ab4d-844683600488/c2602ba4-7ca2-0b96-57a5-df7bcd790190?origin=1" TargetMode="External"/><Relationship Id="rId128" Type="http://schemas.openxmlformats.org/officeDocument/2006/relationships/hyperlink" Target="https://www.institutobrasil-agro.org.br/iniciativas" TargetMode="External"/><Relationship Id="rId127" Type="http://schemas.openxmlformats.org/officeDocument/2006/relationships/hyperlink" Target="https://api.mziq.com/mzfilemanager/v2/d/2c1e0dd9-31eb-4dc0-ab4d-844683600488/4f8799c4-6b4a-104f-bdb0-9fb317ed4e29?origin=1" TargetMode="External"/><Relationship Id="rId369" Type="http://schemas.openxmlformats.org/officeDocument/2006/relationships/hyperlink" Target="https://www.cooxupe.com.br/wp-content/uploads/2024/03/RELATORIO-GESTAO-COOXUPE-2023.pdf" TargetMode="External"/><Relationship Id="rId126" Type="http://schemas.openxmlformats.org/officeDocument/2006/relationships/hyperlink" Target="https://www.institutobrasil-agro.org.br/iniciativas" TargetMode="External"/><Relationship Id="rId368" Type="http://schemas.openxmlformats.org/officeDocument/2006/relationships/hyperlink" Target="https://www.cooxupe.com.br/wp-content/uploads/2022/03/COOXUPE-RELATORIO-GESTAO-2021-1.pdf" TargetMode="External"/><Relationship Id="rId1190" Type="http://schemas.openxmlformats.org/officeDocument/2006/relationships/hyperlink" Target="https://online.fliphtml5.com/rhwu/xkfc/" TargetMode="External"/><Relationship Id="rId1191" Type="http://schemas.openxmlformats.org/officeDocument/2006/relationships/hyperlink" Target="https://eletro.supermuffato.com.br/Institucional/pt-br/responsabilidade" TargetMode="External"/><Relationship Id="rId1192" Type="http://schemas.openxmlformats.org/officeDocument/2006/relationships/hyperlink" Target="https://grupo.superabc.com.br/index.php/fale-conosco/solidariedade/117-campanha-doacao-super-essencial" TargetMode="External"/><Relationship Id="rId1193" Type="http://schemas.openxmlformats.org/officeDocument/2006/relationships/hyperlink" Target="https://grupo.superabc.com.br/index.php/fale-conosco/solidariedade/119-campanha-juntos-por-minas" TargetMode="External"/><Relationship Id="rId121" Type="http://schemas.openxmlformats.org/officeDocument/2006/relationships/hyperlink" Target="https://api.mziq.com/mzfilemanager/v2/d/2c1e0dd9-31eb-4dc0-ab4d-844683600488/98462bb8-04ad-8cf2-96b6-bd58d7cec962?origin=1" TargetMode="External"/><Relationship Id="rId363" Type="http://schemas.openxmlformats.org/officeDocument/2006/relationships/hyperlink" Target="https://coopercitrus.com.br/release/mulheres-do-campo-coopercitrus-realiza-encontros-sobre-protagonismo-feminino/" TargetMode="External"/><Relationship Id="rId1194" Type="http://schemas.openxmlformats.org/officeDocument/2006/relationships/hyperlink" Target="https://grupo.superabc.com.br/index.php/fale-conosco/solidariedade/127-habitos-saudaveis-e-combate-ao-desperdicio" TargetMode="External"/><Relationship Id="rId120" Type="http://schemas.openxmlformats.org/officeDocument/2006/relationships/hyperlink" Target="https://api.mziq.com/mzfilemanager/v2/d/2c1e0dd9-31eb-4dc0-ab4d-844683600488/98462bb8-04ad-8cf2-96b6-bd58d7cec962?origin=1" TargetMode="External"/><Relationship Id="rId362" Type="http://schemas.openxmlformats.org/officeDocument/2006/relationships/hyperlink" Target="https://coopercitrus.com.br/wp-content/uploads/2023/08/RELATORIO_DE_SUSTENTABILIDADE_COOPERCITRUS_2022.pdf" TargetMode="External"/><Relationship Id="rId1195" Type="http://schemas.openxmlformats.org/officeDocument/2006/relationships/hyperlink" Target="https://api.mziq.com/mzfilemanager/v2/d/ce9bff9f-fb19-49b9-9588-c4c6b7052c9c/e8cd5c2f-7927-1830-70ec-8bcbf7cc1fe3?origin=1" TargetMode="External"/><Relationship Id="rId361" Type="http://schemas.openxmlformats.org/officeDocument/2006/relationships/hyperlink" Target="https://coopercitrus.com.br/wp-content/uploads/2024/04/RELATORIO_GESTAO_COOPERCITRUS_2023_DIGITAL.pdf" TargetMode="External"/><Relationship Id="rId1196" Type="http://schemas.openxmlformats.org/officeDocument/2006/relationships/hyperlink" Target="https://somos.pangeia.eco/via/" TargetMode="External"/><Relationship Id="rId360" Type="http://schemas.openxmlformats.org/officeDocument/2006/relationships/hyperlink" Target="https://coopercitrus.com.br/wp-content/uploads/2023/08/RELATORIO_DE_SUSTENTABILIDADE_COOPERCITRUS_2022.pdf" TargetMode="External"/><Relationship Id="rId1197" Type="http://schemas.openxmlformats.org/officeDocument/2006/relationships/hyperlink" Target="https://api.mziq.com/mzfilemanager/v2/d/ce9bff9f-fb19-49b9-9588-c4c6b7052c9c/171cc8f2-786d-c18e-3e51-69052c713ee1?origin=1" TargetMode="External"/><Relationship Id="rId125" Type="http://schemas.openxmlformats.org/officeDocument/2006/relationships/hyperlink" Target="https://api.mziq.com/mzfilemanager/v2/d/2c1e0dd9-31eb-4dc0-ab4d-844683600488/4f8799c4-6b4a-104f-bdb0-9fb317ed4e29?origin=1" TargetMode="External"/><Relationship Id="rId367" Type="http://schemas.openxmlformats.org/officeDocument/2006/relationships/hyperlink" Target="https://hubdocafe.cooxupe.com.br/dia-c-sera-comemorado-em-2-de-julho/" TargetMode="External"/><Relationship Id="rId1198" Type="http://schemas.openxmlformats.org/officeDocument/2006/relationships/hyperlink" Target="https://www.grupozaffari.com.br/relatorio-social-2021/" TargetMode="External"/><Relationship Id="rId124" Type="http://schemas.openxmlformats.org/officeDocument/2006/relationships/hyperlink" Target="https://api.mziq.com/mzfilemanager/v2/d/2c1e0dd9-31eb-4dc0-ab4d-844683600488/c2602ba4-7ca2-0b96-57a5-df7bcd790190?origin=1" TargetMode="External"/><Relationship Id="rId366" Type="http://schemas.openxmlformats.org/officeDocument/2006/relationships/hyperlink" Target="https://www.cooxupe.com.br/wp-content/uploads/2024/03/RELATORIO-GESTAO-COOXUPE-2023.pdf" TargetMode="External"/><Relationship Id="rId1199" Type="http://schemas.openxmlformats.org/officeDocument/2006/relationships/hyperlink" Target="https://www.grupozaffari.com.br/relatorio-social-2022/" TargetMode="External"/><Relationship Id="rId123" Type="http://schemas.openxmlformats.org/officeDocument/2006/relationships/hyperlink" Target="https://api.mziq.com/mzfilemanager/v2/d/2c1e0dd9-31eb-4dc0-ab4d-844683600488/4f8799c4-6b4a-104f-bdb0-9fb317ed4e29?origin=1" TargetMode="External"/><Relationship Id="rId365" Type="http://schemas.openxmlformats.org/officeDocument/2006/relationships/hyperlink" Target="https://www.cooxupe.com.br/wp-content/uploads/2022/03/COOXUPE-RELATORIO-GESTAO-2021-1.pdf" TargetMode="External"/><Relationship Id="rId122" Type="http://schemas.openxmlformats.org/officeDocument/2006/relationships/hyperlink" Target="https://api.mziq.com/mzfilemanager/v2/d/2c1e0dd9-31eb-4dc0-ab4d-844683600488/98462bb8-04ad-8cf2-96b6-bd58d7cec962?origin=1" TargetMode="External"/><Relationship Id="rId364" Type="http://schemas.openxmlformats.org/officeDocument/2006/relationships/hyperlink" Target="https://www.cooxupe.com.br/wp-content/uploads/2022/03/COOXUPE-RELATORIO-GESTAO-2021-1.pdf" TargetMode="External"/><Relationship Id="rId95" Type="http://schemas.openxmlformats.org/officeDocument/2006/relationships/hyperlink" Target="https://www.amaggi.com.br/wp-content/uploads/2022/10/Amaggi_RS2020-comp.pdf" TargetMode="External"/><Relationship Id="rId94" Type="http://schemas.openxmlformats.org/officeDocument/2006/relationships/hyperlink" Target="https://ri.amaggi.com.br/Download.aspx?Arquivo=Pno98da7hgR+UlbhXL5Rng==&amp;IdCanal=4J+ssVzd7OBNePB93AoXjA==&amp;linguagem=pt" TargetMode="External"/><Relationship Id="rId97" Type="http://schemas.openxmlformats.org/officeDocument/2006/relationships/hyperlink" Target="https://www.amaggi.com.br/wp-content/uploads/2023/07/ESG_Amaggi_2022.pdf" TargetMode="External"/><Relationship Id="rId96" Type="http://schemas.openxmlformats.org/officeDocument/2006/relationships/hyperlink" Target="https://www.amaggi.com.br/wp-content/uploads/2022/10/amaggi_relatorio_sustentabilidade_2021-1.pdf" TargetMode="External"/><Relationship Id="rId99" Type="http://schemas.openxmlformats.org/officeDocument/2006/relationships/hyperlink" Target="https://ri.amaggi.com.br/Download.aspx?Arquivo=Pno98da7hgR+UlbhXL5Rng==&amp;IdCanal=4J+ssVzd7OBNePB93AoXjA==&amp;linguagem=pt" TargetMode="External"/><Relationship Id="rId98" Type="http://schemas.openxmlformats.org/officeDocument/2006/relationships/hyperlink" Target="https://ri.amaggi.com.br/Download.aspx?Arquivo=Pno98da7hgR+UlbhXL5Rng==&amp;IdCanal=4J+ssVzd7OBNePB93AoXjA==&amp;linguagem=pt" TargetMode="External"/><Relationship Id="rId91" Type="http://schemas.openxmlformats.org/officeDocument/2006/relationships/hyperlink" Target="https://www.amaggi.com.br/wp-content/uploads/2023/07/ESG_Amaggi_2022.pdf" TargetMode="External"/><Relationship Id="rId90" Type="http://schemas.openxmlformats.org/officeDocument/2006/relationships/hyperlink" Target="https://ri.amaggi.com.br/Download.aspx?Arquivo=Pno98da7hgR+UlbhXL5Rng==&amp;IdCanal=4J+ssVzd7OBNePB93AoXjA==&amp;linguagem=pt" TargetMode="External"/><Relationship Id="rId93" Type="http://schemas.openxmlformats.org/officeDocument/2006/relationships/hyperlink" Target="https://www.amaggi.com.br/wp-content/uploads/2023/07/ESG_Amaggi_2022.pdf" TargetMode="External"/><Relationship Id="rId92" Type="http://schemas.openxmlformats.org/officeDocument/2006/relationships/hyperlink" Target="https://ipam.org.br/o-ipam/proposito/" TargetMode="External"/><Relationship Id="rId118" Type="http://schemas.openxmlformats.org/officeDocument/2006/relationships/hyperlink" Target="https://api.mziq.com/mzfilemanager/v2/d/2c1e0dd9-31eb-4dc0-ab4d-844683600488/4f8799c4-6b4a-104f-bdb0-9fb317ed4e29?origin=1" TargetMode="External"/><Relationship Id="rId117" Type="http://schemas.openxmlformats.org/officeDocument/2006/relationships/hyperlink" Target="https://api.mziq.com/mzfilemanager/v2/d/2c1e0dd9-31eb-4dc0-ab4d-844683600488/c2602ba4-7ca2-0b96-57a5-df7bcd790190?origin=1" TargetMode="External"/><Relationship Id="rId359" Type="http://schemas.openxmlformats.org/officeDocument/2006/relationships/hyperlink" Target="https://coopercitrus.com.br/wp-content/uploads/2022/04/RELATORIO_SUTENTABILIDADE_COOPERCITRUS_2021.pdf" TargetMode="External"/><Relationship Id="rId116" Type="http://schemas.openxmlformats.org/officeDocument/2006/relationships/hyperlink" Target="https://drive.google.com/file/d/1xvcv7prWyWiNKx8VPUmb1a-Grg0vaVYJ/view" TargetMode="External"/><Relationship Id="rId358" Type="http://schemas.openxmlformats.org/officeDocument/2006/relationships/hyperlink" Target="https://coopercitrus.com.br/wp-content/uploads/2023/08/RELATORIO_DE_SUSTENTABILIDADE_COOPERCITRUS_2022.pdf" TargetMode="External"/><Relationship Id="rId115" Type="http://schemas.openxmlformats.org/officeDocument/2006/relationships/hyperlink" Target="https://www.lavoroagro.com/wp-content/uploads/2023/01/Lavoro-Relatorio-de-Sustentabilidade-21-22.pdf" TargetMode="External"/><Relationship Id="rId357" Type="http://schemas.openxmlformats.org/officeDocument/2006/relationships/hyperlink" Target="https://coopercitrus.com.br/wp-content/uploads/2022/04/RELATORIO_SUTENTABILIDADE_COOPERCITRUS_2021.pdf" TargetMode="External"/><Relationship Id="rId599" Type="http://schemas.openxmlformats.org/officeDocument/2006/relationships/hyperlink" Target="https://www.ldc.com/sustainability-report-2020/pillars-of-sustainability/communities/orange-juice-donation-in-brazil/" TargetMode="External"/><Relationship Id="rId1180" Type="http://schemas.openxmlformats.org/officeDocument/2006/relationships/hyperlink" Target="https://cdn.rd.com.br/prod-v2/2024/04/b0d11182-rd_relat2022_230424_vf_emendado_reshi_05.07.23.pdf" TargetMode="External"/><Relationship Id="rId1181" Type="http://schemas.openxmlformats.org/officeDocument/2006/relationships/hyperlink" Target="https://www.acaodacidadania.org.br/nossos-projetos?utm_source=meta&amp;utm_medium=teste-midia&amp;utm_campaign=trafego-search&amp;gad_source=1&amp;gclid=Cj0KCQjwtsy1BhD7ARIsAHOi4xYKlBXiJ1eAskzufQg6LTX8MMhbw_oRKJ7ETuoEfo_daczqc6N1oq0aAnuFEALw_wcB" TargetMode="External"/><Relationship Id="rId119" Type="http://schemas.openxmlformats.org/officeDocument/2006/relationships/hyperlink" Target="https://api.mziq.com/mzfilemanager/v2/d/2c1e0dd9-31eb-4dc0-ab4d-844683600488/4f8799c4-6b4a-104f-bdb0-9fb317ed4e29?origin=1" TargetMode="External"/><Relationship Id="rId1182" Type="http://schemas.openxmlformats.org/officeDocument/2006/relationships/hyperlink" Target="https://cdn.rd.com.br/prod-v2/2024/04/b0d11182-rd_relat2022_230424_vf_emendado_reshi_05.07.23.pdf" TargetMode="External"/><Relationship Id="rId110" Type="http://schemas.openxmlformats.org/officeDocument/2006/relationships/hyperlink" Target="https://www.belagricola.com.br/images/uploads/posts/belagricola-ras-2022-pt_1689085779.pdf" TargetMode="External"/><Relationship Id="rId352" Type="http://schemas.openxmlformats.org/officeDocument/2006/relationships/hyperlink" Target="https://coopercitrus.com.br/wp-content/uploads/2023/08/RELATORIO_DE_SUSTENTABILIDADE_COOPERCITRUS_2022.pdf" TargetMode="External"/><Relationship Id="rId594" Type="http://schemas.openxmlformats.org/officeDocument/2006/relationships/hyperlink" Target="https://www.lavoroagro.com/wp-content/uploads/2023/12/Relatorio_sustentabilidade_Lavoro_22-23.pdf" TargetMode="External"/><Relationship Id="rId1183" Type="http://schemas.openxmlformats.org/officeDocument/2006/relationships/hyperlink" Target="https://storage.googleapis.com/cdn.rd.com.br/prod-v2/static/240527_RS_RaiaDrogasil_VF_PT.pdf" TargetMode="External"/><Relationship Id="rId351" Type="http://schemas.openxmlformats.org/officeDocument/2006/relationships/hyperlink" Target="https://coopercitrus.com.br/wp-content/uploads/2022/04/RELATORIO_SUTENTABILIDADE_COOPERCITRUS_2021.pdf" TargetMode="External"/><Relationship Id="rId593" Type="http://schemas.openxmlformats.org/officeDocument/2006/relationships/hyperlink" Target="https://www.lavoroagro.com/wp-content/uploads/2022/03/relatorio_sustentabilidade_lavoro_2020.pdf" TargetMode="External"/><Relationship Id="rId1184" Type="http://schemas.openxmlformats.org/officeDocument/2006/relationships/hyperlink" Target="https://www.acaodacidadania.org.br/nossos-projetos?utm_source=meta&amp;utm_medium=teste-midia&amp;utm_campaign=trafego-search&amp;gad_source=1&amp;gclid=Cj0KCQjwtsy1BhD7ARIsAHOi4xYKlBXiJ1eAskzufQg6LTX8MMhbw_oRKJ7ETuoEfo_daczqc6N1oq0aAnuFEALw_wcB" TargetMode="External"/><Relationship Id="rId350" Type="http://schemas.openxmlformats.org/officeDocument/2006/relationships/hyperlink" Target="https://coopercitrus.com.br/wp-content/uploads/2022/04/2020_RELATORIO-DE-SUSTENTABILIDADE-COOPERCITRUS1.pdf" TargetMode="External"/><Relationship Id="rId592" Type="http://schemas.openxmlformats.org/officeDocument/2006/relationships/hyperlink" Target="https://www.lavoroagro.com/wp-content/uploads/2023/01/Lavoro-Relatorio-de-Sustentabilidade-21-22.pdf" TargetMode="External"/><Relationship Id="rId1185" Type="http://schemas.openxmlformats.org/officeDocument/2006/relationships/hyperlink" Target="https://cdn.rd.com.br/prod-v2/2024/04/b0d11182-rd_relat2022_230424_vf_emendado_reshi_05.07.23.pdf" TargetMode="External"/><Relationship Id="rId591" Type="http://schemas.openxmlformats.org/officeDocument/2006/relationships/hyperlink" Target="https://www.lavoroagro.com/wp-content/uploads/2022/03/relatorio_sustentabilidade_lavoro_2020.pdf" TargetMode="External"/><Relationship Id="rId1186" Type="http://schemas.openxmlformats.org/officeDocument/2006/relationships/hyperlink" Target="https://www.acaodacidadania.org.br/nossos-projetos?utm_source=meta&amp;utm_medium=teste-midia&amp;utm_campaign=trafego-search&amp;gad_source=1&amp;gclid=Cj0KCQjwtsy1BhD7ARIsAHOi4xYKlBXiJ1eAskzufQg6LTX8MMhbw_oRKJ7ETuoEfo_daczqc6N1oq0aAnuFEALw_wcB" TargetMode="External"/><Relationship Id="rId114" Type="http://schemas.openxmlformats.org/officeDocument/2006/relationships/hyperlink" Target="https://drive.google.com/file/d/1xvcv7prWyWiNKx8VPUmb1a-Grg0vaVYJ/view" TargetMode="External"/><Relationship Id="rId356" Type="http://schemas.openxmlformats.org/officeDocument/2006/relationships/hyperlink" Target="https://coopercitrus.com.br/wp-content/uploads/2022/04/2020_RELATORIO-DE-SUSTENTABILIDADE-COOPERCITRUS1.pdf" TargetMode="External"/><Relationship Id="rId598" Type="http://schemas.openxmlformats.org/officeDocument/2006/relationships/hyperlink" Target="https://www.ldc.com/sustainability-report-2020/" TargetMode="External"/><Relationship Id="rId1187" Type="http://schemas.openxmlformats.org/officeDocument/2006/relationships/hyperlink" Target="https://storage.googleapis.com/cdn.rd.com.br/prod-v2/static/240527_RS_RaiaDrogasil_VF_PT.pdf" TargetMode="External"/><Relationship Id="rId113" Type="http://schemas.openxmlformats.org/officeDocument/2006/relationships/hyperlink" Target="https://www.belagricola.com.br/images/uploads/posts/belagricola-ras-2022-pt_1689085779.pdf" TargetMode="External"/><Relationship Id="rId355" Type="http://schemas.openxmlformats.org/officeDocument/2006/relationships/hyperlink" Target="https://coopercitrus.com.br/wp-content/uploads/2023/08/RELATORIO_DE_SUSTENTABILIDADE_COOPERCITRUS_2022.pdf" TargetMode="External"/><Relationship Id="rId597" Type="http://schemas.openxmlformats.org/officeDocument/2006/relationships/hyperlink" Target="https://www.lavoroagro.com/wp-content/uploads/2023/01/Lavoro-Relatorio-de-Sustentabilidade-21-22.pdf" TargetMode="External"/><Relationship Id="rId1188" Type="http://schemas.openxmlformats.org/officeDocument/2006/relationships/hyperlink" Target="https://api.mziq.com/mzfilemanager/v2/d/86bf7d7c-9cad-4e96-ae3b-92cb5c700199/13e9fbcd-0fd1-f6d3-6038-1257e22f0b43?origin=1" TargetMode="External"/><Relationship Id="rId112" Type="http://schemas.openxmlformats.org/officeDocument/2006/relationships/hyperlink" Target="https://drive.google.com/file/d/1xvcv7prWyWiNKx8VPUmb1a-Grg0vaVYJ/view" TargetMode="External"/><Relationship Id="rId354" Type="http://schemas.openxmlformats.org/officeDocument/2006/relationships/hyperlink" Target="https://coopercitrus.com.br/wp-content/uploads/2022/04/RELATORIO_SUTENTABILIDADE_COOPERCITRUS_2021.pdf" TargetMode="External"/><Relationship Id="rId596" Type="http://schemas.openxmlformats.org/officeDocument/2006/relationships/hyperlink" Target="https://www.lavoroagro.com/wp-content/uploads/2023/12/Relatorio_sustentabilidade_Lavoro_22-23.pdf" TargetMode="External"/><Relationship Id="rId1189" Type="http://schemas.openxmlformats.org/officeDocument/2006/relationships/hyperlink" Target="https://api.mziq.com/mzfilemanager/v2/d/86bf7d7c-9cad-4e96-ae3b-92cb5c700199/6777763a-c8b6-b6f3-5727-e01eaaac695e?origin=1" TargetMode="External"/><Relationship Id="rId111" Type="http://schemas.openxmlformats.org/officeDocument/2006/relationships/hyperlink" Target="https://materiais.belagricola.com.br/sustentabilidade" TargetMode="External"/><Relationship Id="rId353" Type="http://schemas.openxmlformats.org/officeDocument/2006/relationships/hyperlink" Target="https://coopercitrus.com.br/wp-content/uploads/2024/04/RELATORIO_GESTAO_COOPERCITRUS_2023_DIGITAL.pdf" TargetMode="External"/><Relationship Id="rId595" Type="http://schemas.openxmlformats.org/officeDocument/2006/relationships/hyperlink" Target="https://www.lavoroagro.com/wp-content/uploads/2023/12/Relatorio_sustentabilidade_Lavoro_22-23.pdf" TargetMode="External"/><Relationship Id="rId1136" Type="http://schemas.openxmlformats.org/officeDocument/2006/relationships/hyperlink" Target="https://ri.magazineluiza.com.br/ShowCanal/Download.aspx?Arquivo=mUahgVR9xqlfXAdcfQXnqg==" TargetMode="External"/><Relationship Id="rId1137" Type="http://schemas.openxmlformats.org/officeDocument/2006/relationships/hyperlink" Target="https://ri.magazineluiza.com.br/ShowCanal/Download.aspx?Arquivo=gAMurj/6OR89OIjMdQsZeA==" TargetMode="External"/><Relationship Id="rId1138" Type="http://schemas.openxmlformats.org/officeDocument/2006/relationships/hyperlink" Target="https://recipeforthefuture.com/wp-content/uploads/sites/2/2021/06/Arcos-Dorados-Relatorio-de-Impacto-Social-e-Desenvolvimento-Sustentavel-2020.pdf" TargetMode="External"/><Relationship Id="rId1139" Type="http://schemas.openxmlformats.org/officeDocument/2006/relationships/hyperlink" Target="https://recipeforthefuture.com/wp-content/uploads/sites/2/2021/06/Arcos-Dorados-Relatorio-de-Impacto-Social-e-Desenvolvimento-Sustentavel-2020.pdf" TargetMode="External"/><Relationship Id="rId305" Type="http://schemas.openxmlformats.org/officeDocument/2006/relationships/hyperlink" Target="https://www.cofcointernational.com/media/zb1fy2hc/cofco-summary-a5-report-portuguese-220727.pdf" TargetMode="External"/><Relationship Id="rId547" Type="http://schemas.openxmlformats.org/officeDocument/2006/relationships/hyperlink" Target="https://www.frisia.coop.br/relatorios-anuais/relatorio_anual_2023.pdf" TargetMode="External"/><Relationship Id="rId789" Type="http://schemas.openxmlformats.org/officeDocument/2006/relationships/hyperlink" Target="https://sites.google.com/3coracoes.com.br/relatorio-de-sustentabilidade/social/panorama-covid-19" TargetMode="External"/><Relationship Id="rId304" Type="http://schemas.openxmlformats.org/officeDocument/2006/relationships/hyperlink" Target="https://www.cofcointernational.com/media/kykdz0yh/cil_sr_2020_digital.pdf" TargetMode="External"/><Relationship Id="rId546" Type="http://schemas.openxmlformats.org/officeDocument/2006/relationships/hyperlink" Target="https://www.frisia.coop.br/relatorios-anuais/relatorio_anual_2022.pdf" TargetMode="External"/><Relationship Id="rId788" Type="http://schemas.openxmlformats.org/officeDocument/2006/relationships/hyperlink" Target="https://sites.google.com/3coracoes.com.br/relatorio-de-sustentabilidade/social/panorama-covid-19" TargetMode="External"/><Relationship Id="rId303" Type="http://schemas.openxmlformats.org/officeDocument/2006/relationships/hyperlink" Target="https://www.cofcointernational.com/media/kykdz0yh/cil_sr_2020_digital.pdf" TargetMode="External"/><Relationship Id="rId545" Type="http://schemas.openxmlformats.org/officeDocument/2006/relationships/hyperlink" Target="https://www.frisia.coop.br/relatorios-anuais/relatorio_anual_2022.pdf" TargetMode="External"/><Relationship Id="rId787" Type="http://schemas.openxmlformats.org/officeDocument/2006/relationships/hyperlink" Target="https://sites.google.com/3coracoes.com.br/relatorio-de-sustentabilidade/social/panorama-covid-19" TargetMode="External"/><Relationship Id="rId302" Type="http://schemas.openxmlformats.org/officeDocument/2006/relationships/hyperlink" Target="https://www.cofcointernational.com/media/kykdz0yh/cil_sr_2020_digital.pdf" TargetMode="External"/><Relationship Id="rId544" Type="http://schemas.openxmlformats.org/officeDocument/2006/relationships/hyperlink" Target="https://www.frisia.coop.br/relatorios-anuais/relatorio_anual_2023.pdf" TargetMode="External"/><Relationship Id="rId786" Type="http://schemas.openxmlformats.org/officeDocument/2006/relationships/hyperlink" Target="https://sites.google.com/3coracoes.com.br/relatorio-de-sustentabilidade/social/panorama-covid-19" TargetMode="External"/><Relationship Id="rId309" Type="http://schemas.openxmlformats.org/officeDocument/2006/relationships/hyperlink" Target="https://br.cofcointernational.com/media/qlopazl1/7582-cofco-sr23-24-05-06-1.pdf" TargetMode="External"/><Relationship Id="rId308" Type="http://schemas.openxmlformats.org/officeDocument/2006/relationships/hyperlink" Target="https://br.cofcointernational.com/media/jval4ls5/7241-cofco-sr22-23-06-30-web.pdf" TargetMode="External"/><Relationship Id="rId307" Type="http://schemas.openxmlformats.org/officeDocument/2006/relationships/hyperlink" Target="https://br.cofcointernational.com/media/jval4ls5/7241-cofco-sr22-23-06-30-web.pdf" TargetMode="External"/><Relationship Id="rId549" Type="http://schemas.openxmlformats.org/officeDocument/2006/relationships/hyperlink" Target="https://www.frisia.coop.br/relatorios-anuais/relatorio_anual_2023.pdf" TargetMode="External"/><Relationship Id="rId306" Type="http://schemas.openxmlformats.org/officeDocument/2006/relationships/hyperlink" Target="https://www.cofcointernational.com/media/zb1fy2hc/cofco-summary-a5-report-portuguese-220727.pdf" TargetMode="External"/><Relationship Id="rId548" Type="http://schemas.openxmlformats.org/officeDocument/2006/relationships/hyperlink" Target="https://www.frisia.coop.br/relatorios-anuais/relatorio_anual_2022.pdf" TargetMode="External"/><Relationship Id="rId781" Type="http://schemas.openxmlformats.org/officeDocument/2006/relationships/hyperlink" Target="https://gomesdacosta.com.br/wp-content/uploads/2023/06/EINF_NAUTERRA_2022_PT_compressed.pdf" TargetMode="External"/><Relationship Id="rId780" Type="http://schemas.openxmlformats.org/officeDocument/2006/relationships/hyperlink" Target="https://gomesdacosta.com.br/politicas/informe-anual-nauterra-2023/" TargetMode="External"/><Relationship Id="rId1130" Type="http://schemas.openxmlformats.org/officeDocument/2006/relationships/hyperlink" Target="https://api.mziq.com/mzfilemanager/v2/d/357a8c2e-106b-4248-8181-2241395742be/11cdc451-254a-c09c-35b7-235662f235af?origin=1" TargetMode="External"/><Relationship Id="rId1131" Type="http://schemas.openxmlformats.org/officeDocument/2006/relationships/hyperlink" Target="https://api.mziq.com/mzfilemanager/v2/d/357a8c2e-106b-4248-8181-2241395742be/c55ecccd-449d-bb51-d620-d3c5965a8d71?origin=1" TargetMode="External"/><Relationship Id="rId301" Type="http://schemas.openxmlformats.org/officeDocument/2006/relationships/hyperlink" Target="https://cnpj.biz/05588805000111" TargetMode="External"/><Relationship Id="rId543" Type="http://schemas.openxmlformats.org/officeDocument/2006/relationships/hyperlink" Target="https://www.frisia.coop.br/relatorios-anuais/relatorio_anual_2022.pdf" TargetMode="External"/><Relationship Id="rId785" Type="http://schemas.openxmlformats.org/officeDocument/2006/relationships/hyperlink" Target="https://sites.google.com/3coracoes.com.br/relatorio-de-sustentabilidade/social/panorama-covid-19" TargetMode="External"/><Relationship Id="rId1132" Type="http://schemas.openxmlformats.org/officeDocument/2006/relationships/hyperlink" Target="https://api.mziq.com/mzfilemanager/v2/d/357a8c2e-106b-4248-8181-2241395742be/883fef93-388d-521d-4b79-c9648d5bbf9f?origin=1" TargetMode="External"/><Relationship Id="rId300" Type="http://schemas.openxmlformats.org/officeDocument/2006/relationships/hyperlink" Target="https://www.cocari.com.br/detalhe-projeto.php?ID=8" TargetMode="External"/><Relationship Id="rId542" Type="http://schemas.openxmlformats.org/officeDocument/2006/relationships/hyperlink" Target="https://www.frisia.coop.br/relatorios-anuais/relatorio_anual_2021.pdf" TargetMode="External"/><Relationship Id="rId784" Type="http://schemas.openxmlformats.org/officeDocument/2006/relationships/hyperlink" Target="https://sites.google.com/3coracoes.com.br/relatorio-de-sustentabilidade/social/panorama-covid-19" TargetMode="External"/><Relationship Id="rId1133" Type="http://schemas.openxmlformats.org/officeDocument/2006/relationships/hyperlink" Target="https://api.mziq.com/mzfilemanager/v2/d/357a8c2e-106b-4248-8181-2241395742be/6abc0ddd-f10b-9ec5-c948-fb2018f733af?origin=1" TargetMode="External"/><Relationship Id="rId541" Type="http://schemas.openxmlformats.org/officeDocument/2006/relationships/hyperlink" Target="https://www.frisia.coop.br/relatorios-anuais/relatorio_anual_2021.pdf" TargetMode="External"/><Relationship Id="rId783" Type="http://schemas.openxmlformats.org/officeDocument/2006/relationships/hyperlink" Target="https://gomesdacosta.com.br/wp-content/uploads/2023/06/EINF_NAUTERRA_2022_PT_compressed.pdf" TargetMode="External"/><Relationship Id="rId1134" Type="http://schemas.openxmlformats.org/officeDocument/2006/relationships/hyperlink" Target="https://api.mziq.com/mzfilemanager/v2/d/357a8c2e-106b-4248-8181-2241395742be/6abc0ddd-f10b-9ec5-c948-fb2018f733af?origin=1" TargetMode="External"/><Relationship Id="rId540" Type="http://schemas.openxmlformats.org/officeDocument/2006/relationships/hyperlink" Target="https://www.frisia.coop.br/relatorios-anuais/relatorio_anual_2020.pdf" TargetMode="External"/><Relationship Id="rId782" Type="http://schemas.openxmlformats.org/officeDocument/2006/relationships/hyperlink" Target="https://gomesdacosta.com.br/politicas/informe-anual-nauterra-2023/" TargetMode="External"/><Relationship Id="rId1135" Type="http://schemas.openxmlformats.org/officeDocument/2006/relationships/hyperlink" Target="https://ri.magazineluiza.com.br/ShowCanal/Download.aspx?Arquivo=BLD2PbAfa2JR1HgnMqBheA==" TargetMode="External"/><Relationship Id="rId1125" Type="http://schemas.openxmlformats.org/officeDocument/2006/relationships/hyperlink" Target="https://www.grupolideronline.com.br/responsabilidade-socioambiental" TargetMode="External"/><Relationship Id="rId1126" Type="http://schemas.openxmlformats.org/officeDocument/2006/relationships/hyperlink" Target="http://www.escolaneuzarodrigues.com.br/" TargetMode="External"/><Relationship Id="rId1127" Type="http://schemas.openxmlformats.org/officeDocument/2006/relationships/hyperlink" Target="https://www.grupolideronline.com.br/transforma" TargetMode="External"/><Relationship Id="rId1128" Type="http://schemas.openxmlformats.org/officeDocument/2006/relationships/hyperlink" Target="https://api.mziq.com/mzfilemanager/v2/d/357a8c2e-106b-4248-8181-2241395742be/11cdc451-254a-c09c-35b7-235662f235af?origin=1" TargetMode="External"/><Relationship Id="rId1129" Type="http://schemas.openxmlformats.org/officeDocument/2006/relationships/hyperlink" Target="https://api.mziq.com/mzfilemanager/v2/d/357a8c2e-106b-4248-8181-2241395742be/c55ecccd-449d-bb51-d620-d3c5965a8d71?origin=1" TargetMode="External"/><Relationship Id="rId536" Type="http://schemas.openxmlformats.org/officeDocument/2006/relationships/hyperlink" Target="https://www.frisia.coop.br/relatorios-anuais/relatorio_anual_2020.pdf" TargetMode="External"/><Relationship Id="rId778" Type="http://schemas.openxmlformats.org/officeDocument/2006/relationships/hyperlink" Target="https://www.frimesa.com.br/upload/file/report/relatorio-esg-digital-20231-35-59.pdf" TargetMode="External"/><Relationship Id="rId535" Type="http://schemas.openxmlformats.org/officeDocument/2006/relationships/hyperlink" Target="https://www.frisia.coop.br/relatorios-anuais/relatorio_anual_2021.pdf" TargetMode="External"/><Relationship Id="rId777" Type="http://schemas.openxmlformats.org/officeDocument/2006/relationships/hyperlink" Target="https://api.mziq.com/mzfilemanager/v2/d/48f6609f-056d-4f42-9d80-1a6acee769c1/5f7281bc-6f11-dc1a-3691-9d1c870ba4e5?origin=2" TargetMode="External"/><Relationship Id="rId534" Type="http://schemas.openxmlformats.org/officeDocument/2006/relationships/hyperlink" Target="https://www.frisia.coop.br/relatorios-anuais/relatorio_anual_2020.pdf" TargetMode="External"/><Relationship Id="rId776" Type="http://schemas.openxmlformats.org/officeDocument/2006/relationships/hyperlink" Target="https://www.frimesa.com.br/upload/file/report/relatorio_sustentabiliade_2019_2020_41-23-89.pdf" TargetMode="External"/><Relationship Id="rId533" Type="http://schemas.openxmlformats.org/officeDocument/2006/relationships/hyperlink" Target="https://www.frisia.coop.br/relatorios-anuais/relatorio_anual_2020.pdf" TargetMode="External"/><Relationship Id="rId775" Type="http://schemas.openxmlformats.org/officeDocument/2006/relationships/hyperlink" Target="https://www.lar.ind.br/wp-content/uploads/2024/01/01.-Relatorio-e-Balanco-2023_TELAO.pdf" TargetMode="External"/><Relationship Id="rId539" Type="http://schemas.openxmlformats.org/officeDocument/2006/relationships/hyperlink" Target="https://www.frisia.coop.br/relatorios-anuais/relatorio_anual_2020.pdf" TargetMode="External"/><Relationship Id="rId538" Type="http://schemas.openxmlformats.org/officeDocument/2006/relationships/hyperlink" Target="https://www.frisia.coop.br/relatorios-anuais/relatorio_anual_2020.pdf" TargetMode="External"/><Relationship Id="rId537" Type="http://schemas.openxmlformats.org/officeDocument/2006/relationships/hyperlink" Target="https://www.frisia.coop.br/relatorios-anuais/relatorio_anual_2021.pdf" TargetMode="External"/><Relationship Id="rId779" Type="http://schemas.openxmlformats.org/officeDocument/2006/relationships/hyperlink" Target="https://gomesdacosta.com.br/wp-content/uploads/2023/06/EINF_NAUTERRA_2022_PT_compressed.pdf" TargetMode="External"/><Relationship Id="rId770" Type="http://schemas.openxmlformats.org/officeDocument/2006/relationships/hyperlink" Target="https://www.frimesa.com.br/upload/file/report/relatorio-esg-digital-20231-35-59.pdf" TargetMode="External"/><Relationship Id="rId1120" Type="http://schemas.openxmlformats.org/officeDocument/2006/relationships/hyperlink" Target="https://storage.googleapis.com/br-apps-site-institucional-cs-prod-001/2024/04/685c3c96-grupocarrefour_rs23_d3-05.pdf" TargetMode="External"/><Relationship Id="rId532" Type="http://schemas.openxmlformats.org/officeDocument/2006/relationships/hyperlink" Target="https://fiagril.com.br/wp-content/uploads/2024/07/Relatorio-de-Sustentabilidade-Fiagril-2023-PT.pdf" TargetMode="External"/><Relationship Id="rId774" Type="http://schemas.openxmlformats.org/officeDocument/2006/relationships/hyperlink" Target="https://www.lar.ind.br/wp-content/uploads/2023/01/Relatorio-e-Balanco-2022.pdf" TargetMode="External"/><Relationship Id="rId1121" Type="http://schemas.openxmlformats.org/officeDocument/2006/relationships/hyperlink" Target="https://www.dia.com.br/responsabilidade-social/" TargetMode="External"/><Relationship Id="rId531" Type="http://schemas.openxmlformats.org/officeDocument/2006/relationships/hyperlink" Target="https://fiagril.com.br/wp-content/uploads/2023/08/Relatorio-de-Sustentabilidade-Fiagril-2022_PT.pdf" TargetMode="External"/><Relationship Id="rId773" Type="http://schemas.openxmlformats.org/officeDocument/2006/relationships/hyperlink" Target="https://www.lar.ind.br/wp-content/uploads/2022/01/Relatorio-e-Balanco-2021.pdf" TargetMode="External"/><Relationship Id="rId1122" Type="http://schemas.openxmlformats.org/officeDocument/2006/relationships/hyperlink" Target="https://g1.globo.com/economia/negocios/noticia/2024/03/14/rede-de-supermercados-dia-decide-fechar-lojas-no-brasil.ghtml" TargetMode="External"/><Relationship Id="rId530" Type="http://schemas.openxmlformats.org/officeDocument/2006/relationships/hyperlink" Target="https://fiagril.com.br/wp-content/uploads/2022/11/Relatorio-de-Sustentabilidade-Fiagril-2021_Completo.pdf" TargetMode="External"/><Relationship Id="rId772" Type="http://schemas.openxmlformats.org/officeDocument/2006/relationships/hyperlink" Target="https://www.frimesa.com.br/upload/file/report/relatorio-esg-digital-20231-35-59.pdf" TargetMode="External"/><Relationship Id="rId1123" Type="http://schemas.openxmlformats.org/officeDocument/2006/relationships/hyperlink" Target="https://issuu.com/superkoch/docs/relat_rio_sustentabilidade_2021" TargetMode="External"/><Relationship Id="rId771" Type="http://schemas.openxmlformats.org/officeDocument/2006/relationships/hyperlink" Target="https://www.frimesa.com.br/pt/sobre/sustentabilidade" TargetMode="External"/><Relationship Id="rId1124" Type="http://schemas.openxmlformats.org/officeDocument/2006/relationships/hyperlink" Target="https://www.igk.org.br/campeoes-da-vida-conheca-o-programa-que-foca-na-inclusao-social-e-na-formacao-dos-educandos/" TargetMode="External"/><Relationship Id="rId1158" Type="http://schemas.openxmlformats.org/officeDocument/2006/relationships/hyperlink" Target="https://meli-sustentabilidad-bucket.s3.amazonaws.com/reporte_2020_pt_dd3211e712.pdf" TargetMode="External"/><Relationship Id="rId1159" Type="http://schemas.openxmlformats.org/officeDocument/2006/relationships/hyperlink" Target="https://idesam.org/regataodobem/" TargetMode="External"/><Relationship Id="rId327" Type="http://schemas.openxmlformats.org/officeDocument/2006/relationships/hyperlink" Target="https://comigo.coop.br/wp-content/uploads/2023/12/Relatorio.pdf" TargetMode="External"/><Relationship Id="rId569" Type="http://schemas.openxmlformats.org/officeDocument/2006/relationships/hyperlink" Target="https://www.integrada.coop.br/downloads/relatorio-sustentabilidade.pdf" TargetMode="External"/><Relationship Id="rId326" Type="http://schemas.openxmlformats.org/officeDocument/2006/relationships/hyperlink" Target="https://drive.google.com/file/d/1EZTbST58Eclwl0nPQxOSmAuZl6cmzNDJ/view" TargetMode="External"/><Relationship Id="rId568" Type="http://schemas.openxmlformats.org/officeDocument/2006/relationships/hyperlink" Target="https://www.integrada.coop.br/downloads/relatorio-sustentabilidade.pdf" TargetMode="External"/><Relationship Id="rId325" Type="http://schemas.openxmlformats.org/officeDocument/2006/relationships/hyperlink" Target="https://comigo.coop.br/wp-content/uploads/2023/04/Relatorio-De-Balanco-COMIGO-2022.pdf" TargetMode="External"/><Relationship Id="rId567" Type="http://schemas.openxmlformats.org/officeDocument/2006/relationships/hyperlink" Target="https://www.integrada.coop.br/downloads/relatorio-sustentabilidade.pdf" TargetMode="External"/><Relationship Id="rId324" Type="http://schemas.openxmlformats.org/officeDocument/2006/relationships/hyperlink" Target="https://comigo.coop.br/wp-content/uploads/2023/04/Relatorio-De-Balanco-COMIGO-2022.pdf" TargetMode="External"/><Relationship Id="rId566" Type="http://schemas.openxmlformats.org/officeDocument/2006/relationships/hyperlink" Target="https://www.integrada.coop.br/relatorio-atividades.xhtml" TargetMode="External"/><Relationship Id="rId329" Type="http://schemas.openxmlformats.org/officeDocument/2006/relationships/hyperlink" Target="https://drive.google.com/file/d/1EZTbST58Eclwl0nPQxOSmAuZl6cmzNDJ/view" TargetMode="External"/><Relationship Id="rId328" Type="http://schemas.openxmlformats.org/officeDocument/2006/relationships/hyperlink" Target="https://comigo.coop.br/wp-content/uploads/2023/12/Relatorio.pdf" TargetMode="External"/><Relationship Id="rId561" Type="http://schemas.openxmlformats.org/officeDocument/2006/relationships/hyperlink" Target="https://montesantotavares.com.br/arquivos/Relatorio_2021_GMT_Final.pdf" TargetMode="External"/><Relationship Id="rId1150" Type="http://schemas.openxmlformats.org/officeDocument/2006/relationships/hyperlink" Target="https://receitadofuturo.com.br/wp-content/uploads/sites/5/2024/07/AD_2023_POR.pdf" TargetMode="External"/><Relationship Id="rId560" Type="http://schemas.openxmlformats.org/officeDocument/2006/relationships/hyperlink" Target="https://montesantotavares.com.br/arquivos/Relatorio_2022_GMT_Final.pdf" TargetMode="External"/><Relationship Id="rId1151" Type="http://schemas.openxmlformats.org/officeDocument/2006/relationships/hyperlink" Target="https://receitadofuturo.com.br/wp-content/uploads/sites/5/2024/07/AD_2023_POR.pdf" TargetMode="External"/><Relationship Id="rId1152" Type="http://schemas.openxmlformats.org/officeDocument/2006/relationships/hyperlink" Target="https://receitadofuturo.com.br/wp-content/uploads/sites/5/2024/07/AD_2023_POR.pdf" TargetMode="External"/><Relationship Id="rId1153" Type="http://schemas.openxmlformats.org/officeDocument/2006/relationships/hyperlink" Target="https://www.mcdonalds.com.br/restmdomequi" TargetMode="External"/><Relationship Id="rId323" Type="http://schemas.openxmlformats.org/officeDocument/2006/relationships/hyperlink" Target="https://comigo.coop.br/wp-content/uploads/2023/04/Relatorio-De-Balanco-COMIGO-2022.pdf" TargetMode="External"/><Relationship Id="rId565" Type="http://schemas.openxmlformats.org/officeDocument/2006/relationships/hyperlink" Target="https://montesantotavares.com.br/arquivos/Relatorio_2022_GMT_Final.pdf" TargetMode="External"/><Relationship Id="rId1154" Type="http://schemas.openxmlformats.org/officeDocument/2006/relationships/hyperlink" Target="https://meli-sustentabilidad-bucket.s3.amazonaws.com/reporte_2020_pt_dd3211e712.pdf" TargetMode="External"/><Relationship Id="rId322" Type="http://schemas.openxmlformats.org/officeDocument/2006/relationships/hyperlink" Target="https://comigo.coop.br/wp-content/uploads/2023/12/Relatorio.pdf" TargetMode="External"/><Relationship Id="rId564" Type="http://schemas.openxmlformats.org/officeDocument/2006/relationships/hyperlink" Target="https://montesantotavares.com.br/arquivos/Relatorio_2022_GMT_Final.pdf" TargetMode="External"/><Relationship Id="rId1155" Type="http://schemas.openxmlformats.org/officeDocument/2006/relationships/hyperlink" Target="https://meli-sustentabilidad-bucket.s3.amazonaws.com/reporte_2020_pt_dd3211e712.pdf" TargetMode="External"/><Relationship Id="rId321" Type="http://schemas.openxmlformats.org/officeDocument/2006/relationships/hyperlink" Target="https://www.cofcointernational.com/sustainability/sustainability-reporting/2022-sustainability-report/" TargetMode="External"/><Relationship Id="rId563" Type="http://schemas.openxmlformats.org/officeDocument/2006/relationships/hyperlink" Target="https://montesantotavares.com.br/arquivos/Relatorio_2022_GMT_Final.pdf" TargetMode="External"/><Relationship Id="rId1156" Type="http://schemas.openxmlformats.org/officeDocument/2006/relationships/hyperlink" Target="https://meli-sustentabilidad-bucket.s3.amazonaws.com/reporte_2020_pt_dd3211e712.pdf" TargetMode="External"/><Relationship Id="rId320" Type="http://schemas.openxmlformats.org/officeDocument/2006/relationships/hyperlink" Target="https://www.cofcointernational.com/sustainability/sustainability-reporting/2021-sustainability-report/" TargetMode="External"/><Relationship Id="rId562" Type="http://schemas.openxmlformats.org/officeDocument/2006/relationships/hyperlink" Target="https://montesantotavares.com.br/arquivos/Relatorio_2022_GMT_Final.pdf" TargetMode="External"/><Relationship Id="rId1157" Type="http://schemas.openxmlformats.org/officeDocument/2006/relationships/hyperlink" Target="https://meli-sustentabilidad-bucket.s3.amazonaws.com/reporte_2020_pt_dd3211e712.pdf" TargetMode="External"/><Relationship Id="rId1147" Type="http://schemas.openxmlformats.org/officeDocument/2006/relationships/hyperlink" Target="https://www.mcdonalds.com.br/restmdomequi" TargetMode="External"/><Relationship Id="rId1148" Type="http://schemas.openxmlformats.org/officeDocument/2006/relationships/hyperlink" Target="https://receitadofuturo.com.br/wp-content/uploads/sites/5/2022/06/ReporteESG_2021_pt.pdf" TargetMode="External"/><Relationship Id="rId1149" Type="http://schemas.openxmlformats.org/officeDocument/2006/relationships/hyperlink" Target="https://receitadofuturo.com.br/wp-content/uploads/sites/5/2024/07/AD_2023_POR.pdf" TargetMode="External"/><Relationship Id="rId316" Type="http://schemas.openxmlformats.org/officeDocument/2006/relationships/hyperlink" Target="https://www.cofcointernational.com/media/zb1fy2hc/cofco-summary-a5-report-portuguese-220727.pdf" TargetMode="External"/><Relationship Id="rId558" Type="http://schemas.openxmlformats.org/officeDocument/2006/relationships/hyperlink" Target="https://montesantotavares.com.br/arquivos/Relatorio_2020_GMT_Final.pdf" TargetMode="External"/><Relationship Id="rId315" Type="http://schemas.openxmlformats.org/officeDocument/2006/relationships/hyperlink" Target="https://br.cofcointernational.com/media/qlopazl1/7582-cofco-sr23-24-05-06-1.pdf" TargetMode="External"/><Relationship Id="rId557" Type="http://schemas.openxmlformats.org/officeDocument/2006/relationships/hyperlink" Target="https://montesantotavares.com.br/arquivos/Relatorio_2020_GMT_Final.pdf" TargetMode="External"/><Relationship Id="rId799" Type="http://schemas.openxmlformats.org/officeDocument/2006/relationships/hyperlink" Target="https://www.gtfoods.com.br/wp-content/uploads/2023/11/AF-Relatorio-de-Sustentabilidade-e-IGEE-GTFoods-20231120-digital.pdf" TargetMode="External"/><Relationship Id="rId314" Type="http://schemas.openxmlformats.org/officeDocument/2006/relationships/hyperlink" Target="https://br.cofcointernational.com/media/qlopazl1/7582-cofco-sr23-24-05-06-1.pdf" TargetMode="External"/><Relationship Id="rId556" Type="http://schemas.openxmlformats.org/officeDocument/2006/relationships/hyperlink" Target="https://granjafaria.com.br/nossa-historia/" TargetMode="External"/><Relationship Id="rId798" Type="http://schemas.openxmlformats.org/officeDocument/2006/relationships/hyperlink" Target="https://www.gtfoods.com.br/wp-content/uploads/2023/11/AF-Relatorio-de-Sustentabilidade-e-IGEE-GTFoods-20231120-digital.pdf" TargetMode="External"/><Relationship Id="rId313" Type="http://schemas.openxmlformats.org/officeDocument/2006/relationships/hyperlink" Target="https://br.cofcointernational.com/media/jval4ls5/7241-cofco-sr22-23-06-30-web.pdf" TargetMode="External"/><Relationship Id="rId555" Type="http://schemas.openxmlformats.org/officeDocument/2006/relationships/hyperlink" Target="https://www.frisia.coop.br/relatorios-anuais/relatorio_anual_2022.pdf" TargetMode="External"/><Relationship Id="rId797" Type="http://schemas.openxmlformats.org/officeDocument/2006/relationships/hyperlink" Target="https://www.gtfoods.com.br/wp-content/uploads/2022/11/RELATORIO-SUSTENTABILIDADE_PORTUGUES.pdf" TargetMode="External"/><Relationship Id="rId319" Type="http://schemas.openxmlformats.org/officeDocument/2006/relationships/hyperlink" Target="https://br.cofcointernational.com/media/qlopazl1/7582-cofco-sr23-24-05-06-1.pdf" TargetMode="External"/><Relationship Id="rId318" Type="http://schemas.openxmlformats.org/officeDocument/2006/relationships/hyperlink" Target="https://br.cofcointernational.com/media/jval4ls5/7241-cofco-sr22-23-06-30-web.pdf" TargetMode="External"/><Relationship Id="rId317" Type="http://schemas.openxmlformats.org/officeDocument/2006/relationships/hyperlink" Target="https://www.cofcointernational.com/media/kqlltp0g/cofco-summary-a5-report-english-220727.pdf" TargetMode="External"/><Relationship Id="rId559" Type="http://schemas.openxmlformats.org/officeDocument/2006/relationships/hyperlink" Target="https://montesantotavares.com.br/arquivos/Relatorio_2020_GMT_Final.pdf" TargetMode="External"/><Relationship Id="rId550" Type="http://schemas.openxmlformats.org/officeDocument/2006/relationships/hyperlink" Target="https://www.frisia.coop.br/relatorios-anuais/relatorio_anual_2023.pdf" TargetMode="External"/><Relationship Id="rId792" Type="http://schemas.openxmlformats.org/officeDocument/2006/relationships/hyperlink" Target="https://sites.google.com/3coracoes.com.br/relatorio-de-sustentabilidade/social/panorama-covid-19" TargetMode="External"/><Relationship Id="rId791" Type="http://schemas.openxmlformats.org/officeDocument/2006/relationships/hyperlink" Target="https://www.3coracoes.com.br/wp-content/uploads/2023/09/Relatorio-Sustentabilidade-2022.pdf?x20808" TargetMode="External"/><Relationship Id="rId1140" Type="http://schemas.openxmlformats.org/officeDocument/2006/relationships/hyperlink" Target="https://recipeforthefuture.com/wp-content/uploads/sites/2/2021/06/Arcos-Dorados-Relatorio-de-Impacto-Social-e-Desenvolvimento-Sustentavel-2020.pdf" TargetMode="External"/><Relationship Id="rId790" Type="http://schemas.openxmlformats.org/officeDocument/2006/relationships/hyperlink" Target="https://sites.google.com/3coracoes.com.br/2021rel-de-sustentabilidade/esg-social/iniciativas-sociais" TargetMode="External"/><Relationship Id="rId1141" Type="http://schemas.openxmlformats.org/officeDocument/2006/relationships/hyperlink" Target="https://recipeforthefuture.com/wp-content/uploads/sites/2/2021/06/Arcos-Dorados-Relatorio-de-Impacto-Social-e-Desenvolvimento-Sustentavel-2020.pdf" TargetMode="External"/><Relationship Id="rId1142" Type="http://schemas.openxmlformats.org/officeDocument/2006/relationships/hyperlink" Target="https://recipeforthefuture.com/wp-content/uploads/sites/2/2021/06/Arcos-Dorados-Relatorio-de-Impacto-Social-e-Desenvolvimento-Sustentavel-2020.pdf" TargetMode="External"/><Relationship Id="rId312" Type="http://schemas.openxmlformats.org/officeDocument/2006/relationships/hyperlink" Target="https://br.cofcointernational.com/media/qlopazl1/7582-cofco-sr23-24-05-06-1.pdf" TargetMode="External"/><Relationship Id="rId554" Type="http://schemas.openxmlformats.org/officeDocument/2006/relationships/hyperlink" Target="https://www.frisia.coop.br/relatorios-anuais/relatorio_anual_2023.pdf" TargetMode="External"/><Relationship Id="rId796" Type="http://schemas.openxmlformats.org/officeDocument/2006/relationships/hyperlink" Target="https://www.gtfoods.com.br/wp-content/uploads/2022/11/RELATORIO-SUSTENTABILIDADE_PORTUGUES.pdf" TargetMode="External"/><Relationship Id="rId1143" Type="http://schemas.openxmlformats.org/officeDocument/2006/relationships/hyperlink" Target="https://receitadofuturo.com.br/wp-content/uploads/sites/5/2022/06/ReporteESG_2021_pt.pdf" TargetMode="External"/><Relationship Id="rId311" Type="http://schemas.openxmlformats.org/officeDocument/2006/relationships/hyperlink" Target="https://br.cofcointernational.com/media/qlopazl1/7582-cofco-sr23-24-05-06-1.pdf" TargetMode="External"/><Relationship Id="rId553" Type="http://schemas.openxmlformats.org/officeDocument/2006/relationships/hyperlink" Target="https://www.castrolanda.coop.br/relatorios/relatorio-anual-2021/" TargetMode="External"/><Relationship Id="rId795" Type="http://schemas.openxmlformats.org/officeDocument/2006/relationships/hyperlink" Target="https://www.3coracoes.com.br/wp-content/uploads/2023/09/Relatorio-Sustentabilidade-2022.pdf?x20808" TargetMode="External"/><Relationship Id="rId1144" Type="http://schemas.openxmlformats.org/officeDocument/2006/relationships/hyperlink" Target="https://recipeforthefuture.com/wp-content/uploads/sites/2/2021/06/Arcos-Dorados-Relatorio-de-Impacto-Social-e-Desenvolvimento-Sustentavel-2020.pdf" TargetMode="External"/><Relationship Id="rId310" Type="http://schemas.openxmlformats.org/officeDocument/2006/relationships/hyperlink" Target="https://br.cofcointernational.com/media/jval4ls5/7241-cofco-sr22-23-06-30-web.pdf" TargetMode="External"/><Relationship Id="rId552" Type="http://schemas.openxmlformats.org/officeDocument/2006/relationships/hyperlink" Target="https://www.frisia.coop.br/relatorios-anuais/relatorio_anual_2020.pdf" TargetMode="External"/><Relationship Id="rId794" Type="http://schemas.openxmlformats.org/officeDocument/2006/relationships/hyperlink" Target="https://www.3coracoes.com.br/wp-content/uploads/2023/09/Relatorio-Sustentabilidade-2022.pdf?x20808" TargetMode="External"/><Relationship Id="rId1145" Type="http://schemas.openxmlformats.org/officeDocument/2006/relationships/hyperlink" Target="https://receitadofuturo.com.br/wp-content/uploads/sites/5/2023/11/AD_2022_POR.pdf" TargetMode="External"/><Relationship Id="rId551" Type="http://schemas.openxmlformats.org/officeDocument/2006/relationships/hyperlink" Target="https://www.frisia.coop.br/relatorios-anuais/relatorio_anual_2023.pdf" TargetMode="External"/><Relationship Id="rId793" Type="http://schemas.openxmlformats.org/officeDocument/2006/relationships/hyperlink" Target="https://sites.google.com/3coracoes.com.br/2021rel-de-sustentabilidade/esg-social/iniciativas-sociais" TargetMode="External"/><Relationship Id="rId1146" Type="http://schemas.openxmlformats.org/officeDocument/2006/relationships/hyperlink" Target="https://receitadofuturo.com.br/wp-content/uploads/sites/5/2024/07/AD_2023_POR.pdf" TargetMode="External"/><Relationship Id="rId297" Type="http://schemas.openxmlformats.org/officeDocument/2006/relationships/hyperlink" Target="http://www.maringa.pr.gov.br/site/noticias/2013/03/18/prefeitura-e-cocari-lancam-programa-de-identificacao-e-recuperacao-de-nascentes/18960" TargetMode="External"/><Relationship Id="rId296" Type="http://schemas.openxmlformats.org/officeDocument/2006/relationships/hyperlink" Target="https://www.cocari.com.br/detalhe-projeto.php?ID=1" TargetMode="External"/><Relationship Id="rId295" Type="http://schemas.openxmlformats.org/officeDocument/2006/relationships/hyperlink" Target="https://www.cocari.com.br/detalhe-projeto.php?ID=1" TargetMode="External"/><Relationship Id="rId294" Type="http://schemas.openxmlformats.org/officeDocument/2006/relationships/hyperlink" Target="https://www.cocamar.com.br/extranet/uploads/Download/9209_cocamar_relatoriodegestao_web_1709320477763.pdf" TargetMode="External"/><Relationship Id="rId299" Type="http://schemas.openxmlformats.org/officeDocument/2006/relationships/hyperlink" Target="https://www.cocari.com.br/detalhe-projeto.php?ID=4" TargetMode="External"/><Relationship Id="rId298" Type="http://schemas.openxmlformats.org/officeDocument/2006/relationships/hyperlink" Target="https://www3.maringa.pr.gov.br/site/imprensa/impressao.php?id=18960" TargetMode="External"/><Relationship Id="rId271" Type="http://schemas.openxmlformats.org/officeDocument/2006/relationships/hyperlink" Target="https://web.coagril.coop.br/relatorio-anual/" TargetMode="External"/><Relationship Id="rId270" Type="http://schemas.openxmlformats.org/officeDocument/2006/relationships/hyperlink" Target="https://www.coagril.coop.br/relatorio-anual-2020/" TargetMode="External"/><Relationship Id="rId269" Type="http://schemas.openxmlformats.org/officeDocument/2006/relationships/hyperlink" Target="https://cjselecta.com.br/wp-content/uploads/2024/03/gri-pt1.pdf" TargetMode="External"/><Relationship Id="rId264" Type="http://schemas.openxmlformats.org/officeDocument/2006/relationships/hyperlink" Target="https://relatorioanual2021.citrosuco.com.br/wp-content/uploads/2022/07/citrosuco_RS_2020_2021_PT_985x600px_AF.pdf" TargetMode="External"/><Relationship Id="rId263" Type="http://schemas.openxmlformats.org/officeDocument/2006/relationships/hyperlink" Target="https://www.citrosuco.com.br/wp-content/uploads/2021/07/Citrosuco_RS2020_02.pdf" TargetMode="External"/><Relationship Id="rId262" Type="http://schemas.openxmlformats.org/officeDocument/2006/relationships/hyperlink" Target="https://www.citrosuco.com.br/wp-content/uploads/2024/04/Citrosuco-RA-22-23.pdf" TargetMode="External"/><Relationship Id="rId261" Type="http://schemas.openxmlformats.org/officeDocument/2006/relationships/hyperlink" Target="https://www.citrosuco.com.br/wp-content/uploads/2024/01/Citrosuco_ra_2021_2022_pt_final.pdf" TargetMode="External"/><Relationship Id="rId268" Type="http://schemas.openxmlformats.org/officeDocument/2006/relationships/hyperlink" Target="https://cjselecta.com.br/wp-content/uploads/filr/133/CJS_RAS2021-pt.pdf" TargetMode="External"/><Relationship Id="rId267" Type="http://schemas.openxmlformats.org/officeDocument/2006/relationships/hyperlink" Target="https://cjselecta.com.br/wp-content/uploads/filr/136/relatorio-sustentabilidade-cjselecta-2020-pt.pdf" TargetMode="External"/><Relationship Id="rId266" Type="http://schemas.openxmlformats.org/officeDocument/2006/relationships/hyperlink" Target="https://www.citrosuco.com.br/wp-content/uploads/2024/04/Citrosuco-RA-22-23.pdf" TargetMode="External"/><Relationship Id="rId265" Type="http://schemas.openxmlformats.org/officeDocument/2006/relationships/hyperlink" Target="https://www.citrosuco.com.br/wp-content/uploads/2024/01/Citrosuco_ra_2021_2022_pt_final.pdf" TargetMode="External"/><Relationship Id="rId260" Type="http://schemas.openxmlformats.org/officeDocument/2006/relationships/hyperlink" Target="https://relatorioanual2021.citrosuco.com.br/wp-content/uploads/2022/07/citrosuco_RS_2020_2021_PT_985x600px_AF.pdf" TargetMode="External"/><Relationship Id="rId259" Type="http://schemas.openxmlformats.org/officeDocument/2006/relationships/hyperlink" Target="https://www.citrosuco.com.br/wp-content/uploads/2021/07/Citrosuco_RS2020_02.pdf" TargetMode="External"/><Relationship Id="rId258" Type="http://schemas.openxmlformats.org/officeDocument/2006/relationships/hyperlink" Target="https://www.citrosuco.com.br/wp-content/uploads/2024/04/Citrosuco-RA-22-23.pdf" TargetMode="External"/><Relationship Id="rId253" Type="http://schemas.openxmlformats.org/officeDocument/2006/relationships/hyperlink" Target="https://www.citrosuco.com.br/wp-content/uploads/2024/01/Citrosuco_ra_2021_2022_pt_final.pdf" TargetMode="External"/><Relationship Id="rId495" Type="http://schemas.openxmlformats.org/officeDocument/2006/relationships/hyperlink" Target="https://www.ecomtrading.com/media/1rafwdn4/ecom-group-sustainability-report-2023-2.pdf" TargetMode="External"/><Relationship Id="rId252" Type="http://schemas.openxmlformats.org/officeDocument/2006/relationships/hyperlink" Target="https://relatorioanual2021.citrosuco.com.br/wp-content/uploads/2022/07/citrosuco_RS_2020_2021_PT_985x600px_AF.pdf" TargetMode="External"/><Relationship Id="rId494" Type="http://schemas.openxmlformats.org/officeDocument/2006/relationships/hyperlink" Target="https://www.ecomtrading.com/media/3nxf10t4/ecom-group-sustainability-r-22.pdf" TargetMode="External"/><Relationship Id="rId251" Type="http://schemas.openxmlformats.org/officeDocument/2006/relationships/hyperlink" Target="https://www.citrosuco.com.br/wp-content/uploads/2021/07/Citrosuco_RS2020_02.pdf" TargetMode="External"/><Relationship Id="rId493" Type="http://schemas.openxmlformats.org/officeDocument/2006/relationships/hyperlink" Target="https://www.ecomtrading.com/media/ljrp0dn2/ecom-group-sustainability-report.pdf" TargetMode="External"/><Relationship Id="rId250" Type="http://schemas.openxmlformats.org/officeDocument/2006/relationships/hyperlink" Target="https://www.citrosuco.com.br/wp-content/uploads/2024/04/Citrosuco-RA-22-23.pdf" TargetMode="External"/><Relationship Id="rId492" Type="http://schemas.openxmlformats.org/officeDocument/2006/relationships/hyperlink" Target="https://www.ecomtrading.com/media/3nxf10t4/ecom-group-sustainability-r-22.pdf" TargetMode="External"/><Relationship Id="rId257" Type="http://schemas.openxmlformats.org/officeDocument/2006/relationships/hyperlink" Target="https://www.citrosuco.com.br/wp-content/uploads/2024/01/Citrosuco_ra_2021_2022_pt_final.pdf" TargetMode="External"/><Relationship Id="rId499" Type="http://schemas.openxmlformats.org/officeDocument/2006/relationships/hyperlink" Target="https://www.embrapa.br/documents/10180/1549626/Relat%C3%B3rio+de+Gest%C3%A3o+2020.pdf/ad615f83-30fa-6e03-680c-00d6f33f9ca7" TargetMode="External"/><Relationship Id="rId256" Type="http://schemas.openxmlformats.org/officeDocument/2006/relationships/hyperlink" Target="https://relatorioanual2021.citrosuco.com.br/wp-content/uploads/2022/07/citrosuco_RS_2020_2021_PT_985x600px_AF.pdf" TargetMode="External"/><Relationship Id="rId498" Type="http://schemas.openxmlformats.org/officeDocument/2006/relationships/hyperlink" Target="https://www.embrapa.br/documents/10180/1549626/Relat%C3%B3rio+de+Gest%C3%A3o+2020.pdf/ad615f83-30fa-6e03-680c-00d6f33f9ca7" TargetMode="External"/><Relationship Id="rId255" Type="http://schemas.openxmlformats.org/officeDocument/2006/relationships/hyperlink" Target="https://www.citrosuco.com.br/wp-content/uploads/2021/07/Citrosuco_RS2020_02.pdf" TargetMode="External"/><Relationship Id="rId497" Type="http://schemas.openxmlformats.org/officeDocument/2006/relationships/hyperlink" Target="https://www.ecomtrading.com/media/gajn0b1c/2020-sustainability_annual_report.pdf" TargetMode="External"/><Relationship Id="rId254" Type="http://schemas.openxmlformats.org/officeDocument/2006/relationships/hyperlink" Target="https://www.citrosuco.com.br/wp-content/uploads/2024/04/Citrosuco-RA-22-23.pdf" TargetMode="External"/><Relationship Id="rId496" Type="http://schemas.openxmlformats.org/officeDocument/2006/relationships/hyperlink" Target="https://www.ecomtrading.com/media/1rafwdn4/ecom-group-sustainability-report-2023-2.pdf" TargetMode="External"/><Relationship Id="rId293" Type="http://schemas.openxmlformats.org/officeDocument/2006/relationships/hyperlink" Target="https://www.cocamar.com.br/downloads/relatorio-de-sustentabilidade-2022.pdf" TargetMode="External"/><Relationship Id="rId292" Type="http://schemas.openxmlformats.org/officeDocument/2006/relationships/hyperlink" Target="https://www.cocamar.com.br/downloads/relatorio-de-sustentabilidade-2022.pdf" TargetMode="External"/><Relationship Id="rId291" Type="http://schemas.openxmlformats.org/officeDocument/2006/relationships/hyperlink" Target="https://www.cocamar.com.br/downloads/relatorio-de-sustentabilidade-2022.pdf" TargetMode="External"/><Relationship Id="rId290" Type="http://schemas.openxmlformats.org/officeDocument/2006/relationships/hyperlink" Target="https://rs.cocamar.com.br/9588_Cocamar_RelatorioGRI_2023_Portugues.pdf" TargetMode="External"/><Relationship Id="rId286" Type="http://schemas.openxmlformats.org/officeDocument/2006/relationships/hyperlink" Target="https://www.cocamar.com.br/extranet/uploads/Download/9209_cocamar_relatoriodegestao_web_1709320477763.pdf" TargetMode="External"/><Relationship Id="rId285" Type="http://schemas.openxmlformats.org/officeDocument/2006/relationships/hyperlink" Target="https://rs.cocamar.com.br/9588_Cocamar_RelatorioGRI_2023_Portugues.pdf" TargetMode="External"/><Relationship Id="rId284" Type="http://schemas.openxmlformats.org/officeDocument/2006/relationships/hyperlink" Target="https://www.cocamar.com.br/downloads/relatorio-de-sustentabilidade-2022.pdf" TargetMode="External"/><Relationship Id="rId283" Type="http://schemas.openxmlformats.org/officeDocument/2006/relationships/hyperlink" Target="https://www.cocamar.com.br/downloads/relatorio-de-sustentabilidade-2022.pdf" TargetMode="External"/><Relationship Id="rId289" Type="http://schemas.openxmlformats.org/officeDocument/2006/relationships/hyperlink" Target="https://rs.cocamar.com.br/9588_Cocamar_RelatorioGRI_2023_Portugues.pdf" TargetMode="External"/><Relationship Id="rId288" Type="http://schemas.openxmlformats.org/officeDocument/2006/relationships/hyperlink" Target="https://rs.cocamar.com.br/9588_Cocamar_RelatorioGRI_2023_Portugues.pdf" TargetMode="External"/><Relationship Id="rId287" Type="http://schemas.openxmlformats.org/officeDocument/2006/relationships/hyperlink" Target="https://rs.cocamar.com.br/9588_Cocamar_RelatorioGRI_2023_Portugues.pdf" TargetMode="External"/><Relationship Id="rId282" Type="http://schemas.openxmlformats.org/officeDocument/2006/relationships/hyperlink" Target="https://www.cocamar.com.br/downloads/relatorio-de-sustentabilidade-2022.pdf" TargetMode="External"/><Relationship Id="rId281" Type="http://schemas.openxmlformats.org/officeDocument/2006/relationships/hyperlink" Target="https://www.coasul.com.br/relatorios/relatorio-anual-2023.pdf" TargetMode="External"/><Relationship Id="rId280" Type="http://schemas.openxmlformats.org/officeDocument/2006/relationships/hyperlink" Target="https://www.coasul.com.br/relatorios/relatorio-anual-2023.pdf" TargetMode="External"/><Relationship Id="rId275" Type="http://schemas.openxmlformats.org/officeDocument/2006/relationships/hyperlink" Target="https://www.coasul.com.br/relatorios/relatorio-anual-2023.pdf" TargetMode="External"/><Relationship Id="rId274" Type="http://schemas.openxmlformats.org/officeDocument/2006/relationships/hyperlink" Target="https://www.coasul.com.br/relatorios/relatorio-anual-2020.pdf" TargetMode="External"/><Relationship Id="rId273" Type="http://schemas.openxmlformats.org/officeDocument/2006/relationships/hyperlink" Target="https://web.coagril.coop.br/relatorio-anual/" TargetMode="External"/><Relationship Id="rId272" Type="http://schemas.openxmlformats.org/officeDocument/2006/relationships/hyperlink" Target="https://web.coagril.coop.br/relatorio-anual/" TargetMode="External"/><Relationship Id="rId279" Type="http://schemas.openxmlformats.org/officeDocument/2006/relationships/hyperlink" Target="https://www.coasul.com.br/relatorios/relatorio-anual-2023.pdf" TargetMode="External"/><Relationship Id="rId278" Type="http://schemas.openxmlformats.org/officeDocument/2006/relationships/hyperlink" Target="https://www.coasul.com.br/relatorios/relatorio-anual-2023.pdf" TargetMode="External"/><Relationship Id="rId277" Type="http://schemas.openxmlformats.org/officeDocument/2006/relationships/hyperlink" Target="https://www.coasul.com.br/relatorios/relatorio-anual-2022-v2.pdf" TargetMode="External"/><Relationship Id="rId276" Type="http://schemas.openxmlformats.org/officeDocument/2006/relationships/hyperlink" Target="https://www.coasul.com.br/relatorios/relatorio-anual-2022-v2.pdf" TargetMode="External"/><Relationship Id="rId907" Type="http://schemas.openxmlformats.org/officeDocument/2006/relationships/hyperlink" Target="https://es.selmi.com.br/relatorio-sustentabilidade-2021.pdf" TargetMode="External"/><Relationship Id="rId906" Type="http://schemas.openxmlformats.org/officeDocument/2006/relationships/hyperlink" Target="https://pt-br.selmi.com.br/relatorio-sustentabilidade-2020.pdf" TargetMode="External"/><Relationship Id="rId905" Type="http://schemas.openxmlformats.org/officeDocument/2006/relationships/hyperlink" Target="https://www.pamplona.com.br/fmanager/pamplona/transparencia/arquivo31_1.pdf" TargetMode="External"/><Relationship Id="rId904" Type="http://schemas.openxmlformats.org/officeDocument/2006/relationships/hyperlink" Target="https://www.pamplona.com.br/fmanager/pamplona/transparencia/arquivo28_1.pdf" TargetMode="External"/><Relationship Id="rId909" Type="http://schemas.openxmlformats.org/officeDocument/2006/relationships/hyperlink" Target="https://es.selmi.com.br/relatorio-sustentabilidade-2023.pdf" TargetMode="External"/><Relationship Id="rId908" Type="http://schemas.openxmlformats.org/officeDocument/2006/relationships/hyperlink" Target="https://es.selmi.com.br/RELAT%C3%93RIO_SUSTENTABILIDADE_2022_05-06_DIG.pdf" TargetMode="External"/><Relationship Id="rId903" Type="http://schemas.openxmlformats.org/officeDocument/2006/relationships/hyperlink" Target="https://www.nestle.com/sites/default/files/2024-02/creating-shared-value-sustainability-report-2023-en.pdf" TargetMode="External"/><Relationship Id="rId902" Type="http://schemas.openxmlformats.org/officeDocument/2006/relationships/hyperlink" Target="https://www.nestle.com.br/sustentabilidade/cadeia-produtiva/sustentabilidade-e-rastreabilidade-na-cadeia-do-cacau" TargetMode="External"/><Relationship Id="rId901" Type="http://schemas.openxmlformats.org/officeDocument/2006/relationships/hyperlink" Target="https://www.nestle.com/sites/default/files/2024-02/creating-shared-value-sustainability-report-2023-en.pdf" TargetMode="External"/><Relationship Id="rId900" Type="http://schemas.openxmlformats.org/officeDocument/2006/relationships/hyperlink" Target="https://www.nestle.com/sites/default/files/2024-02/creating-shared-value-sustainability-report-2023-en.pdf" TargetMode="External"/><Relationship Id="rId929" Type="http://schemas.openxmlformats.org/officeDocument/2006/relationships/hyperlink" Target="https://piracanjuba-institucional-prd.s3.sa-east-1.amazonaws.com/piranews_download/file/relatorio-de-sustentabilidade-2023-21.pdf" TargetMode="External"/><Relationship Id="rId928" Type="http://schemas.openxmlformats.org/officeDocument/2006/relationships/hyperlink" Target="https://piracanjuba-institucional-prd.s3.sa-east-1.amazonaws.com/piranews_download/file/livreto-relatorio-de-sustentabilidade2023-novo-10.pdf" TargetMode="External"/><Relationship Id="rId927" Type="http://schemas.openxmlformats.org/officeDocument/2006/relationships/hyperlink" Target="https://piracanjuba-institucional-prd.s3.sa-east-1.amazonaws.com/piranews_download/file/relatorio-de-sustentabilidade-2023-21.pdf" TargetMode="External"/><Relationship Id="rId926" Type="http://schemas.openxmlformats.org/officeDocument/2006/relationships/hyperlink" Target="https://piracanjuba-institucional-prd.s3.sa-east-1.amazonaws.com/piranews_download/file/relatorio-de-sustentabilidade-2023-21.pdf" TargetMode="External"/><Relationship Id="rId921" Type="http://schemas.openxmlformats.org/officeDocument/2006/relationships/hyperlink" Target="https://www.piracanjuba.com.br/files/Relatorio_Sustentabilidade_2021.pdf" TargetMode="External"/><Relationship Id="rId920" Type="http://schemas.openxmlformats.org/officeDocument/2006/relationships/hyperlink" Target="https://www.piracanjuba.com.br/files/Relatorio_Sustentabilidade_2020.pdf" TargetMode="External"/><Relationship Id="rId925" Type="http://schemas.openxmlformats.org/officeDocument/2006/relationships/hyperlink" Target="https://piracanjuba-institucional-prd.s3.sa-east-1.amazonaws.com/piranews_download/file/relatorio-de-sustentabilidade-2023-21.pdf" TargetMode="External"/><Relationship Id="rId924" Type="http://schemas.openxmlformats.org/officeDocument/2006/relationships/hyperlink" Target="https://piracanjuba-institucional-prd.s3.sa-east-1.amazonaws.com/piranews_download/file/livreto-relatorio-de-sustentabilidade2023-novo-10.pdf" TargetMode="External"/><Relationship Id="rId923" Type="http://schemas.openxmlformats.org/officeDocument/2006/relationships/hyperlink" Target="https://piracanjuba-institucional-prd.s3.sa-east-1.amazonaws.com/piranews_download/file/relatorio-de-sustentabilidade-2023-21.pdf" TargetMode="External"/><Relationship Id="rId922" Type="http://schemas.openxmlformats.org/officeDocument/2006/relationships/hyperlink" Target="https://piracanjuba-institucional-prd.s3.sa-east-1.amazonaws.com/piranews_download/file/livreto-relatorio-de-sustentabilidade2023-novo-10.pdf" TargetMode="External"/><Relationship Id="rId918" Type="http://schemas.openxmlformats.org/officeDocument/2006/relationships/hyperlink" Target="https://es.selmi.com.br/RELAT%C3%93RIO_SUSTENTABILIDADE_2022_05-06_DIG.pdf" TargetMode="External"/><Relationship Id="rId917" Type="http://schemas.openxmlformats.org/officeDocument/2006/relationships/hyperlink" Target="https://es.selmi.com.br/relatorio-sustentabilidade-2021.pdf" TargetMode="External"/><Relationship Id="rId916" Type="http://schemas.openxmlformats.org/officeDocument/2006/relationships/hyperlink" Target="https://pt-br.selmi.com.br/relatorio-sustentabilidade-2020.pdf" TargetMode="External"/><Relationship Id="rId915" Type="http://schemas.openxmlformats.org/officeDocument/2006/relationships/hyperlink" Target="https://pt-br.selmi.com.br/relatorio-sustentabilidade-2020.pdf" TargetMode="External"/><Relationship Id="rId919" Type="http://schemas.openxmlformats.org/officeDocument/2006/relationships/hyperlink" Target="https://es.selmi.com.br/relatorio-sustentabilidade-2023.pdf" TargetMode="External"/><Relationship Id="rId910" Type="http://schemas.openxmlformats.org/officeDocument/2006/relationships/hyperlink" Target="https://pt-br.selmi.com.br/relatorio-sustentabilidade-2020.pdf" TargetMode="External"/><Relationship Id="rId914" Type="http://schemas.openxmlformats.org/officeDocument/2006/relationships/hyperlink" Target="https://pt-br.selmi.com.br/relatorio-sustentabilidade-2020.pdf" TargetMode="External"/><Relationship Id="rId913" Type="http://schemas.openxmlformats.org/officeDocument/2006/relationships/hyperlink" Target="https://pt-br.selmi.com.br/relatorio-sustentabilidade-2020.pdf" TargetMode="External"/><Relationship Id="rId912" Type="http://schemas.openxmlformats.org/officeDocument/2006/relationships/hyperlink" Target="https://pt-br.selmi.com.br/relatorio-sustentabilidade-2020.pdf" TargetMode="External"/><Relationship Id="rId911" Type="http://schemas.openxmlformats.org/officeDocument/2006/relationships/hyperlink" Target="https://pt-br.selmi.com.br/relatorio-sustentabilidade-2020.pdf" TargetMode="External"/><Relationship Id="rId1213"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1214"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1215"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1216"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1217"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1218" Type="http://schemas.openxmlformats.org/officeDocument/2006/relationships/hyperlink" Target="https://www.mambawater.com.br/mamba-water-project" TargetMode="External"/><Relationship Id="rId1219" Type="http://schemas.openxmlformats.org/officeDocument/2006/relationships/drawing" Target="../drawings/drawing1.xml"/><Relationship Id="rId629" Type="http://schemas.openxmlformats.org/officeDocument/2006/relationships/hyperlink" Target="https://www.slcagricola.com.br/ri2023/assets/pdf/SLC_Agricola_RI_2023.pdf" TargetMode="External"/><Relationship Id="rId624" Type="http://schemas.openxmlformats.org/officeDocument/2006/relationships/hyperlink" Target="https://www.slcagricola.com.br/ri2021/pdf/SLC_RelatorioIntegrado2021.pdf" TargetMode="External"/><Relationship Id="rId866" Type="http://schemas.openxmlformats.org/officeDocument/2006/relationships/hyperlink" Target="https://api.mziq.com/mzfilemanager/v2/d/b8180300-b881-4e6c-b970-12ad72a86ec8/39565168-c917-3926-f3a0-0acbbe0eab8b?origin=2" TargetMode="External"/><Relationship Id="rId623" Type="http://schemas.openxmlformats.org/officeDocument/2006/relationships/hyperlink" Target="https://www.slcagricola.com.br/ri2020/pdf/slc_ri_2020.pdf" TargetMode="External"/><Relationship Id="rId865" Type="http://schemas.openxmlformats.org/officeDocument/2006/relationships/hyperlink" Target="https://api.mziq.com/mzfilemanager/v2/d/b8180300-b881-4e6c-b970-12ad72a86ec8/25df60ad-d30f-8e86-f779-68277d1b6af7?origin=1" TargetMode="External"/><Relationship Id="rId622" Type="http://schemas.openxmlformats.org/officeDocument/2006/relationships/hyperlink" Target="https://www.slcagricola.com.br/wp-content/uploads/2023/04/Relatorio-integrado-slcagricola-2022-1.pdf" TargetMode="External"/><Relationship Id="rId864" Type="http://schemas.openxmlformats.org/officeDocument/2006/relationships/hyperlink" Target="https://api.mziq.com/mzfilemanager/v2/d/b8180300-b881-4e6c-b970-12ad72a86ec8/0b821476-592f-37ac-8012-2502c18f3fc5?origin=2" TargetMode="External"/><Relationship Id="rId621" Type="http://schemas.openxmlformats.org/officeDocument/2006/relationships/hyperlink" Target="https://www.slcagricola.com.br/ri2021/pdf/SLC_RelatorioIntegrado2021.pdf" TargetMode="External"/><Relationship Id="rId863" Type="http://schemas.openxmlformats.org/officeDocument/2006/relationships/hyperlink" Target="https://api.mziq.com/mzfilemanager/v2/d/b8180300-b881-4e6c-b970-12ad72a86ec8/39565168-c917-3926-f3a0-0acbbe0eab8b?origin=2" TargetMode="External"/><Relationship Id="rId628" Type="http://schemas.openxmlformats.org/officeDocument/2006/relationships/hyperlink" Target="https://www.slcagricola.com.br/wp-content/uploads/2023/04/Relatorio-integrado-slcagricola-2022-1.pdf" TargetMode="External"/><Relationship Id="rId627" Type="http://schemas.openxmlformats.org/officeDocument/2006/relationships/hyperlink" Target="https://www.slcagricola.com.br/wp-content/uploads/2023/04/Relatorio-integrado-slcagricola-2022-1.pdf" TargetMode="External"/><Relationship Id="rId869" Type="http://schemas.openxmlformats.org/officeDocument/2006/relationships/hyperlink" Target="https://api.mziq.com/mzfilemanager/v2/d/b8180300-b881-4e6c-b970-12ad72a86ec8/39565168-c917-3926-f3a0-0acbbe0eab8b?origin=2" TargetMode="External"/><Relationship Id="rId626" Type="http://schemas.openxmlformats.org/officeDocument/2006/relationships/hyperlink" Target="https://www.slcagricola.com.br/ri2021/pdf/SLC_RelatorioIntegrado2021.pdf" TargetMode="External"/><Relationship Id="rId868" Type="http://schemas.openxmlformats.org/officeDocument/2006/relationships/hyperlink" Target="https://api.mziq.com/mzfilemanager/v2/d/b8180300-b881-4e6c-b970-12ad72a86ec8/25df60ad-d30f-8e86-f779-68277d1b6af7?origin=1" TargetMode="External"/><Relationship Id="rId625" Type="http://schemas.openxmlformats.org/officeDocument/2006/relationships/hyperlink" Target="https://www.slcagricola.com.br/ri2021/pdf/SLC_RelatorioIntegrado2021.pdf" TargetMode="External"/><Relationship Id="rId867" Type="http://schemas.openxmlformats.org/officeDocument/2006/relationships/hyperlink" Target="https://api.mziq.com/mzfilemanager/v2/d/b8180300-b881-4e6c-b970-12ad72a86ec8/0b821476-592f-37ac-8012-2502c18f3fc5?origin=2" TargetMode="External"/><Relationship Id="rId620" Type="http://schemas.openxmlformats.org/officeDocument/2006/relationships/hyperlink" Target="https://www.slcagricola.com.br/ri2023/assets/pdf/SLC_Agricola_RI_2023.pdf" TargetMode="External"/><Relationship Id="rId862" Type="http://schemas.openxmlformats.org/officeDocument/2006/relationships/hyperlink" Target="https://api.mziq.com/mzfilemanager/v2/d/b8180300-b881-4e6c-b970-12ad72a86ec8/25df60ad-d30f-8e86-f779-68277d1b6af7?origin=1" TargetMode="External"/><Relationship Id="rId861" Type="http://schemas.openxmlformats.org/officeDocument/2006/relationships/hyperlink" Target="https://api.mziq.com/mzfilemanager/v2/d/b8180300-b881-4e6c-b970-12ad72a86ec8/0b821476-592f-37ac-8012-2502c18f3fc5?origin=2" TargetMode="External"/><Relationship Id="rId1210"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860" Type="http://schemas.openxmlformats.org/officeDocument/2006/relationships/hyperlink" Target="https://api.mziq.com/mzfilemanager/v2/d/b8180300-b881-4e6c-b970-12ad72a86ec8/5a8e3932-6563-439c-7807-eefbef670e63?origin=2" TargetMode="External"/><Relationship Id="rId1211"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1212"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1202" Type="http://schemas.openxmlformats.org/officeDocument/2006/relationships/hyperlink" Target="https://ri.zamp.com.br/list.aspx?idCanal=G74+nC12nTOaV4s5niHaTg==" TargetMode="External"/><Relationship Id="rId1203"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1204"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1205" Type="http://schemas.openxmlformats.org/officeDocument/2006/relationships/hyperlink" Target="https://www.facebook.com/zonasulsupermercado/videos/primeira-fazenda-vertical-da-am%C3%A9rica-do-sulconhe%C3%A7a-a-mighty-greens-e-seu-conceit/175338281075924/" TargetMode="External"/><Relationship Id="rId1206"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1207"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1208"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1209"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619" Type="http://schemas.openxmlformats.org/officeDocument/2006/relationships/hyperlink" Target="https://www.slcagricola.com.br/wp-content/uploads/2023/04/Relatorio-integrado-slcagricola-2022-1.pdf" TargetMode="External"/><Relationship Id="rId618" Type="http://schemas.openxmlformats.org/officeDocument/2006/relationships/hyperlink" Target="https://www.slcagricola.com.br/ri2021/pdf/SLC_RelatorioIntegrado2021.pdf" TargetMode="External"/><Relationship Id="rId613" Type="http://schemas.openxmlformats.org/officeDocument/2006/relationships/hyperlink" Target="https://www.ldc.com/sustainability/responsible-supply-chain/sustainable-coffee/stronger-coffee-initiative/" TargetMode="External"/><Relationship Id="rId855" Type="http://schemas.openxmlformats.org/officeDocument/2006/relationships/hyperlink" Target="https://api.mziq.com/mzfilemanager/v2/d/b8180300-b881-4e6c-b970-12ad72a86ec8/5a8e3932-6563-439c-7807-eefbef670e63?origin=2" TargetMode="External"/><Relationship Id="rId612" Type="http://schemas.openxmlformats.org/officeDocument/2006/relationships/hyperlink" Target="https://www.ldc.com/wp-content/uploads/LDC_IR2023-Single-Pages_secured.pdf" TargetMode="External"/><Relationship Id="rId854" Type="http://schemas.openxmlformats.org/officeDocument/2006/relationships/hyperlink" Target="https://api.mziq.com/mzfilemanager/v2/d/b8180300-b881-4e6c-b970-12ad72a86ec8/39565168-c917-3926-f3a0-0acbbe0eab8b?origin=2" TargetMode="External"/><Relationship Id="rId611" Type="http://schemas.openxmlformats.org/officeDocument/2006/relationships/hyperlink" Target="https://www.ldc.com/br/en/stories-insights/sustainable-finance-in-action-for-brazilian-juice-operations/" TargetMode="External"/><Relationship Id="rId853" Type="http://schemas.openxmlformats.org/officeDocument/2006/relationships/hyperlink" Target="https://mdiasbranco.com.br/wp-content/uploads/2024/03/RELATORIO-ANUAL-INTEGRADO-2023-M.-DIAS-BRANCO.pdf" TargetMode="External"/><Relationship Id="rId610" Type="http://schemas.openxmlformats.org/officeDocument/2006/relationships/hyperlink" Target="https://www.ldc.com/wp-content/uploads/LDC_IR2023-Single-Pages_secured.pdf" TargetMode="External"/><Relationship Id="rId852" Type="http://schemas.openxmlformats.org/officeDocument/2006/relationships/hyperlink" Target="https://mdiasbranco.com.br/wp-content/uploads/2023/03/RELATORIO-ANUAL-INTEGRADO-2022.pdf" TargetMode="External"/><Relationship Id="rId617" Type="http://schemas.openxmlformats.org/officeDocument/2006/relationships/hyperlink" Target="https://www.slcagricola.com.br/ri2020/pdf/slc_ri_2020.pdf" TargetMode="External"/><Relationship Id="rId859" Type="http://schemas.openxmlformats.org/officeDocument/2006/relationships/hyperlink" Target="https://api.mziq.com/mzfilemanager/v2/d/b8180300-b881-4e6c-b970-12ad72a86ec8/39565168-c917-3926-f3a0-0acbbe0eab8b?origin=2" TargetMode="External"/><Relationship Id="rId616" Type="http://schemas.openxmlformats.org/officeDocument/2006/relationships/hyperlink" Target="https://www.slcagricola.com.br/ri2023/assets/pdf/SLC_Agricola_RI_2023.pdf" TargetMode="External"/><Relationship Id="rId858" Type="http://schemas.openxmlformats.org/officeDocument/2006/relationships/hyperlink" Target="https://api.mziq.com/mzfilemanager/v2/d/b8180300-b881-4e6c-b970-12ad72a86ec8/25df60ad-d30f-8e86-f779-68277d1b6af7?origin=1" TargetMode="External"/><Relationship Id="rId615" Type="http://schemas.openxmlformats.org/officeDocument/2006/relationships/hyperlink" Target="https://www.ldc.com/wp-content/uploads/LDC_IR2023-Single-Pages_secured.pdf" TargetMode="External"/><Relationship Id="rId857" Type="http://schemas.openxmlformats.org/officeDocument/2006/relationships/hyperlink" Target="https://api.mziq.com/mzfilemanager/v2/d/b8180300-b881-4e6c-b970-12ad72a86ec8/0b821476-592f-37ac-8012-2502c18f3fc5?origin=2" TargetMode="External"/><Relationship Id="rId614" Type="http://schemas.openxmlformats.org/officeDocument/2006/relationships/hyperlink" Target="https://www.ldc.com/wp-content/uploads/LDC_IR2023-Single-Pages_secured.pdf" TargetMode="External"/><Relationship Id="rId856" Type="http://schemas.openxmlformats.org/officeDocument/2006/relationships/hyperlink" Target="https://api.mziq.com/mzfilemanager/v2/d/b8180300-b881-4e6c-b970-12ad72a86ec8/5a8e3932-6563-439c-7807-eefbef670e63?origin=2" TargetMode="External"/><Relationship Id="rId851" Type="http://schemas.openxmlformats.org/officeDocument/2006/relationships/hyperlink" Target="https://mdiasbranco.com.br/wp-content/uploads/2024/03/RELATORIO-ANUAL-INTEGRADO-2023-M.-DIAS-BRANCO.pdf" TargetMode="External"/><Relationship Id="rId850" Type="http://schemas.openxmlformats.org/officeDocument/2006/relationships/hyperlink" Target="https://mdiasbranco.com.br/wp-content/uploads/2024/03/RELATORIO-ANUAL-INTEGRADO-2023-M.-DIAS-BRANCO.pdf" TargetMode="External"/><Relationship Id="rId1200" Type="http://schemas.openxmlformats.org/officeDocument/2006/relationships/hyperlink" Target="https://ri.zamp.com.br/list.aspx?idCanal=G74+nC12nTOaV4s5niHaTg==" TargetMode="External"/><Relationship Id="rId1201" Type="http://schemas.openxmlformats.org/officeDocument/2006/relationships/hyperlink" Target="https://api.mziq.com/mzfilemanager/v2/d/b8180300-b881-4e6c-b970-12ad72a86ec8/5a8e3932-6563-439c-7807-eefbef670e63?origin=2" TargetMode="External"/><Relationship Id="rId409" Type="http://schemas.openxmlformats.org/officeDocument/2006/relationships/hyperlink" Target="https://www.copercampos.com.br/relatorios/2021/relatorio_2021.pdf" TargetMode="External"/><Relationship Id="rId404" Type="http://schemas.openxmlformats.org/officeDocument/2006/relationships/hyperlink" Target="https://www.copercampos.com.br/relatorios/2020/relatorio_2020.pdf" TargetMode="External"/><Relationship Id="rId646" Type="http://schemas.openxmlformats.org/officeDocument/2006/relationships/hyperlink" Target="https://api.mziq.com/mzfilemanager/v2/d/c8182463-4b7e-408c-9d0f-42797662435e/ef00e5eb-ba41-50b4-e4ff-9d8a01ef0a07?origin=1" TargetMode="External"/><Relationship Id="rId888" Type="http://schemas.openxmlformats.org/officeDocument/2006/relationships/hyperlink" Target="https://minervafoods.com/wp-content/uploads/2024/05/relatorio-de-sustentabilidade-minerva-foods-2023_compressed.pdf" TargetMode="External"/><Relationship Id="rId403" Type="http://schemas.openxmlformats.org/officeDocument/2006/relationships/hyperlink" Target="https://www.copercampos.com.br/relatorios/2023/relatorio_2023.pdf" TargetMode="External"/><Relationship Id="rId645" Type="http://schemas.openxmlformats.org/officeDocument/2006/relationships/hyperlink" Target="https://api.mziq.com/mzfilemanager/v2/d/c8182463-4b7e-408c-9d0f-42797662435e/647895c0-c87a-984d-4b6f-047d294407ac?origin=1" TargetMode="External"/><Relationship Id="rId887" Type="http://schemas.openxmlformats.org/officeDocument/2006/relationships/hyperlink" Target="https://minervafoods.com/wp-content/uploads/2023/05/relatorio-de-sustentabilidade-minerva-foods-2022_compressed.pdf?_t=1684174420" TargetMode="External"/><Relationship Id="rId402" Type="http://schemas.openxmlformats.org/officeDocument/2006/relationships/hyperlink" Target="https://www.copercampos.com.br/relatorios/2022/relatorio_2022.pdf" TargetMode="External"/><Relationship Id="rId644" Type="http://schemas.openxmlformats.org/officeDocument/2006/relationships/hyperlink" Target="https://api.mziq.com/mzfilemanager/v2/d/c8182463-4b7e-408c-9d0f-42797662435e/735be995-4658-0bbb-0c66-3be9f0987be0?origin=1" TargetMode="External"/><Relationship Id="rId886" Type="http://schemas.openxmlformats.org/officeDocument/2006/relationships/hyperlink" Target="https://minervafoods.com/wp-content/uploads/2023/05/relatorio-de-sustentabilidade-minerva-foods-2022_compressed.pdf?_t=1684174420" TargetMode="External"/><Relationship Id="rId401" Type="http://schemas.openxmlformats.org/officeDocument/2006/relationships/hyperlink" Target="https://www.copercampos.com.br/relatorios/2020/relatorio_2020.pdf" TargetMode="External"/><Relationship Id="rId643" Type="http://schemas.openxmlformats.org/officeDocument/2006/relationships/hyperlink" Target="https://api.mziq.com/mzfilemanager/v2/d/c8182463-4b7e-408c-9d0f-42797662435e/4b04ac91-c1ea-e7ec-8b0d-7b212507651d?origin=1" TargetMode="External"/><Relationship Id="rId885" Type="http://schemas.openxmlformats.org/officeDocument/2006/relationships/hyperlink" Target="https://minervafoods.com/wp-content/uploads/2023/05/relatorio-de-sustentabilidade-minerva-foods-2022_compressed.pdf?_t=1684174420" TargetMode="External"/><Relationship Id="rId408" Type="http://schemas.openxmlformats.org/officeDocument/2006/relationships/hyperlink" Target="https://www.copercampos.com.br/relatorios/2020/relatorio_2020.pdf" TargetMode="External"/><Relationship Id="rId407" Type="http://schemas.openxmlformats.org/officeDocument/2006/relationships/hyperlink" Target="https://www.copercampos.com.br/relatorios/2023/relatorio_2023.pdf" TargetMode="External"/><Relationship Id="rId649" Type="http://schemas.openxmlformats.org/officeDocument/2006/relationships/hyperlink" Target="https://api.mziq.com/mzfilemanager/v2/d/c8182463-4b7e-408c-9d0f-42797662435e/647895c0-c87a-984d-4b6f-047d294407ac?origin=1" TargetMode="External"/><Relationship Id="rId406" Type="http://schemas.openxmlformats.org/officeDocument/2006/relationships/hyperlink" Target="https://www.copercampos.com.br/relatorios/2022/relatorio_2022.pdf" TargetMode="External"/><Relationship Id="rId648" Type="http://schemas.openxmlformats.org/officeDocument/2006/relationships/hyperlink" Target="https://api.mziq.com/mzfilemanager/v2/d/c8182463-4b7e-408c-9d0f-42797662435e/735be995-4658-0bbb-0c66-3be9f0987be0?origin=1" TargetMode="External"/><Relationship Id="rId405" Type="http://schemas.openxmlformats.org/officeDocument/2006/relationships/hyperlink" Target="https://www.copercampos.com.br/relatorios/2021/relatorio_2021.pdf" TargetMode="External"/><Relationship Id="rId647" Type="http://schemas.openxmlformats.org/officeDocument/2006/relationships/hyperlink" Target="https://api.mziq.com/mzfilemanager/v2/d/c8182463-4b7e-408c-9d0f-42797662435e/4b04ac91-c1ea-e7ec-8b0d-7b212507651d?origin=1" TargetMode="External"/><Relationship Id="rId889" Type="http://schemas.openxmlformats.org/officeDocument/2006/relationships/hyperlink" Target="https://minervafoods.com/wp-content/uploads/2023/05/relatorio-de-sustentabilidade-minerva-foods-2022_compressed.pdf?_t=1684174420" TargetMode="External"/><Relationship Id="rId880" Type="http://schemas.openxmlformats.org/officeDocument/2006/relationships/hyperlink" Target="https://minervafoods.com/wp-content/uploads/2024/05/relatorio-de-sustentabilidade-minerva-foods-2023_compressed.pdf" TargetMode="External"/><Relationship Id="rId400" Type="http://schemas.openxmlformats.org/officeDocument/2006/relationships/hyperlink" Target="https://www.copercampos.com.br/relatorios/2021/relatorio_2021.pdf" TargetMode="External"/><Relationship Id="rId642" Type="http://schemas.openxmlformats.org/officeDocument/2006/relationships/hyperlink" Target="https://api.mziq.com/mzfilemanager/v2/d/c8182463-4b7e-408c-9d0f-42797662435e/ef00e5eb-ba41-50b4-e4ff-9d8a01ef0a07?origin=1" TargetMode="External"/><Relationship Id="rId884" Type="http://schemas.openxmlformats.org/officeDocument/2006/relationships/hyperlink" Target="https://exame.com/future-of-money/startup-une-creditos-de-carbono-com-blockchain-para-incentivar-negociacao-e-preservacao-ambiental/" TargetMode="External"/><Relationship Id="rId641" Type="http://schemas.openxmlformats.org/officeDocument/2006/relationships/hyperlink" Target="https://api.mziq.com/mzfilemanager/v2/d/c8182463-4b7e-408c-9d0f-42797662435e/647895c0-c87a-984d-4b6f-047d294407ac?origin=1" TargetMode="External"/><Relationship Id="rId883" Type="http://schemas.openxmlformats.org/officeDocument/2006/relationships/hyperlink" Target="https://minervafoods.com/wp-content/uploads/2024/05/relatorio-de-sustentabilidade-minerva-foods-2023_compressed.pdf" TargetMode="External"/><Relationship Id="rId640" Type="http://schemas.openxmlformats.org/officeDocument/2006/relationships/hyperlink" Target="https://api.mziq.com/mzfilemanager/v2/d/c8182463-4b7e-408c-9d0f-42797662435e/735be995-4658-0bbb-0c66-3be9f0987be0?origin=1" TargetMode="External"/><Relationship Id="rId882" Type="http://schemas.openxmlformats.org/officeDocument/2006/relationships/hyperlink" Target="https://minervafoods.com/wp-content/uploads/2024/05/relatorio-de-sustentabilidade-minerva-foods-2023_compressed.pdf" TargetMode="External"/><Relationship Id="rId881" Type="http://schemas.openxmlformats.org/officeDocument/2006/relationships/hyperlink" Target="https://minervafoods.com/wp-content/uploads/2023/05/relatorio-de-sustentabilidade-minerva-foods-2022_compressed.pdf?_t=1684174420" TargetMode="External"/><Relationship Id="rId635" Type="http://schemas.openxmlformats.org/officeDocument/2006/relationships/hyperlink" Target="https://drive.google.com/file/d/1VmLqS4Fzl7hACQzn32dJQZ_xgiBDLnVK/view" TargetMode="External"/><Relationship Id="rId877" Type="http://schemas.openxmlformats.org/officeDocument/2006/relationships/hyperlink" Target="https://minervafoods.com/wp-content/uploads/2024/05/relatorio-de-sustentabilidade-minerva-foods-2023_compressed.pdf" TargetMode="External"/><Relationship Id="rId634" Type="http://schemas.openxmlformats.org/officeDocument/2006/relationships/hyperlink" Target="https://drive.google.com/file/d/1_GRNr3_WEOUgJPwhBcblwLYeJ6ucH6A2/view" TargetMode="External"/><Relationship Id="rId876" Type="http://schemas.openxmlformats.org/officeDocument/2006/relationships/hyperlink" Target="https://minervafoods.com/wp-content/uploads/2023/05/relatorio-de-sustentabilidade-minerva-foods-2022_compressed.pdf?_t=1684174420" TargetMode="External"/><Relationship Id="rId633" Type="http://schemas.openxmlformats.org/officeDocument/2006/relationships/hyperlink" Target="https://drive.google.com/file/d/1_GRNr3_WEOUgJPwhBcblwLYeJ6ucH6A2/view" TargetMode="External"/><Relationship Id="rId875" Type="http://schemas.openxmlformats.org/officeDocument/2006/relationships/hyperlink" Target="https://minervafoods.com/wp-content/uploads/2023/05/relatorio-de-sustentabilidade-minerva-foods-2022_compressed.pdf?_t=1684174420" TargetMode="External"/><Relationship Id="rId632" Type="http://schemas.openxmlformats.org/officeDocument/2006/relationships/hyperlink" Target="https://drive.google.com/file/d/1VmLqS4Fzl7hACQzn32dJQZ_xgiBDLnVK/view" TargetMode="External"/><Relationship Id="rId874" Type="http://schemas.openxmlformats.org/officeDocument/2006/relationships/hyperlink" Target="https://minervafoods.com/wp-content/uploads/2022/04/RS2020_PT.pdf" TargetMode="External"/><Relationship Id="rId639" Type="http://schemas.openxmlformats.org/officeDocument/2006/relationships/hyperlink" Target="https://api.mziq.com/mzfilemanager/v2/d/c8182463-4b7e-408c-9d0f-42797662435e/4b04ac91-c1ea-e7ec-8b0d-7b212507651d?origin=1" TargetMode="External"/><Relationship Id="rId638" Type="http://schemas.openxmlformats.org/officeDocument/2006/relationships/hyperlink" Target="https://api.mziq.com/mzfilemanager/v2/d/c8182463-4b7e-408c-9d0f-42797662435e/4b04ac91-c1ea-e7ec-8b0d-7b212507651d?origin=1" TargetMode="External"/><Relationship Id="rId637" Type="http://schemas.openxmlformats.org/officeDocument/2006/relationships/hyperlink" Target="https://drive.google.com/file/d/1VmLqS4Fzl7hACQzn32dJQZ_xgiBDLnVK/view" TargetMode="External"/><Relationship Id="rId879" Type="http://schemas.openxmlformats.org/officeDocument/2006/relationships/hyperlink" Target="https://minervafoods.com/wp-content/uploads/2023/05/relatorio-de-sustentabilidade-minerva-foods-2022_compressed.pdf?_t=1684174420" TargetMode="External"/><Relationship Id="rId636" Type="http://schemas.openxmlformats.org/officeDocument/2006/relationships/hyperlink" Target="https://drive.google.com/file/d/1_GRNr3_WEOUgJPwhBcblwLYeJ6ucH6A2/view" TargetMode="External"/><Relationship Id="rId878" Type="http://schemas.openxmlformats.org/officeDocument/2006/relationships/hyperlink" Target="https://minervafoods.com/wp-content/uploads/2023/05/relatorio-de-sustentabilidade-minerva-foods-2022_compressed.pdf?_t=1684174420" TargetMode="External"/><Relationship Id="rId631" Type="http://schemas.openxmlformats.org/officeDocument/2006/relationships/hyperlink" Target="https://www.slcagricola.com.br/wp-content/uploads/2023/04/Relatorio-integrado-slcagricola-2022-1.pdf" TargetMode="External"/><Relationship Id="rId873" Type="http://schemas.openxmlformats.org/officeDocument/2006/relationships/hyperlink" Target="https://api.mziq.com/mzfilemanager/v2/d/b8180300-b881-4e6c-b970-12ad72a86ec8/39565168-c917-3926-f3a0-0acbbe0eab8b?origin=2" TargetMode="External"/><Relationship Id="rId1220" Type="http://schemas.openxmlformats.org/officeDocument/2006/relationships/vmlDrawing" Target="../drawings/vmlDrawing1.vml"/><Relationship Id="rId630" Type="http://schemas.openxmlformats.org/officeDocument/2006/relationships/hyperlink" Target="https://www.slcagricola.com.br/ri2021/pdf/SLC_RelatorioIntegrado2021.pdf" TargetMode="External"/><Relationship Id="rId872" Type="http://schemas.openxmlformats.org/officeDocument/2006/relationships/hyperlink" Target="https://api.mziq.com/mzfilemanager/v2/d/b8180300-b881-4e6c-b970-12ad72a86ec8/25df60ad-d30f-8e86-f779-68277d1b6af7?origin=1" TargetMode="External"/><Relationship Id="rId871" Type="http://schemas.openxmlformats.org/officeDocument/2006/relationships/hyperlink" Target="https://api.mziq.com/mzfilemanager/v2/d/b8180300-b881-4e6c-b970-12ad72a86ec8/39565168-c917-3926-f3a0-0acbbe0eab8b?origin=2" TargetMode="External"/><Relationship Id="rId870" Type="http://schemas.openxmlformats.org/officeDocument/2006/relationships/hyperlink" Target="https://api.mziq.com/mzfilemanager/v2/d/b8180300-b881-4e6c-b970-12ad72a86ec8/25df60ad-d30f-8e86-f779-68277d1b6af7?origin=1" TargetMode="External"/><Relationship Id="rId829" Type="http://schemas.openxmlformats.org/officeDocument/2006/relationships/hyperlink" Target="https://jbsesg.com/docs/JBS_Sustainability_Report_2023_BR.pdf" TargetMode="External"/><Relationship Id="rId828" Type="http://schemas.openxmlformats.org/officeDocument/2006/relationships/hyperlink" Target="https://jbs.com.br/storage/2023/10/JBS-2022-sumario-executivo_BR_PT-Updated-2.pdf" TargetMode="External"/><Relationship Id="rId827" Type="http://schemas.openxmlformats.org/officeDocument/2006/relationships/hyperlink" Target="https://jbs.com.br/wp-content/uploads/2023/10/relatorio-anual-e-de-sustentabilidade-jbs-2021.pdf" TargetMode="External"/><Relationship Id="rId822" Type="http://schemas.openxmlformats.org/officeDocument/2006/relationships/hyperlink" Target="https://jbs.com.br/storage/2023/10/JBS-2022-sumario-executivo_BR_PT-Updated-2.pdf" TargetMode="External"/><Relationship Id="rId821" Type="http://schemas.openxmlformats.org/officeDocument/2006/relationships/hyperlink" Target="https://jbs.com.br/wp-content/uploads/2023/10/relatorio-anual-e-de-sustentabilidade-jbs-2021.pdf" TargetMode="External"/><Relationship Id="rId820" Type="http://schemas.openxmlformats.org/officeDocument/2006/relationships/hyperlink" Target="https://jbs.com.br/wp-content/uploads/2023/10/relatorio-de-sustentabilidade-jbs-2020.pdf" TargetMode="External"/><Relationship Id="rId826" Type="http://schemas.openxmlformats.org/officeDocument/2006/relationships/hyperlink" Target="https://jbs.com.br/wp-content/uploads/2023/10/relatorio-anual-e-de-sustentabilidade-jbs-2021.pdf" TargetMode="External"/><Relationship Id="rId825" Type="http://schemas.openxmlformats.org/officeDocument/2006/relationships/hyperlink" Target="https://jbs.com.br/wp-content/uploads/2023/10/relatorio-anual-e-de-sustentabilidade-jbs-2021.pdf" TargetMode="External"/><Relationship Id="rId824" Type="http://schemas.openxmlformats.org/officeDocument/2006/relationships/hyperlink" Target="https://jbs.com.br/wp-content/uploads/2023/10/relatorio-de-sustentabilidade-jbs-2020.pdf" TargetMode="External"/><Relationship Id="rId823" Type="http://schemas.openxmlformats.org/officeDocument/2006/relationships/hyperlink" Target="https://jbsesg.com/docs/JBS_Sustainability_Report_2023_BR.pdf" TargetMode="External"/><Relationship Id="rId819" Type="http://schemas.openxmlformats.org/officeDocument/2006/relationships/hyperlink" Target="https://jbsesg.com/docs/JBS_Sustainability_Report_2023_BR.pdf" TargetMode="External"/><Relationship Id="rId818" Type="http://schemas.openxmlformats.org/officeDocument/2006/relationships/hyperlink" Target="https://jbs.com.br/storage/2023/10/JBS-2022-sumario-executivo_BR_PT-Updated-2.pdf" TargetMode="External"/><Relationship Id="rId817" Type="http://schemas.openxmlformats.org/officeDocument/2006/relationships/hyperlink" Target="https://jbs.com.br/wp-content/uploads/2023/10/relatorio-anual-e-de-sustentabilidade-jbs-2021.pdf" TargetMode="External"/><Relationship Id="rId816" Type="http://schemas.openxmlformats.org/officeDocument/2006/relationships/hyperlink" Target="https://jbs.com.br/wp-content/uploads/2023/10/relatorio-de-sustentabilidade-jbs-2020.pdf" TargetMode="External"/><Relationship Id="rId811" Type="http://schemas.openxmlformats.org/officeDocument/2006/relationships/hyperlink" Target="https://jbsesg.com/docs/JBS_Sustainability_Report_2023_BR.pdf" TargetMode="External"/><Relationship Id="rId810" Type="http://schemas.openxmlformats.org/officeDocument/2006/relationships/hyperlink" Target="https://jbs.com.br/wp-content/uploads/2023/10/relatorio-de-sustentabilidade-jbs-2020.pdf" TargetMode="External"/><Relationship Id="rId815" Type="http://schemas.openxmlformats.org/officeDocument/2006/relationships/hyperlink" Target="https://jbsesg.com/docs/JBS_Sustainability_Report_2023_BR.pdf" TargetMode="External"/><Relationship Id="rId814" Type="http://schemas.openxmlformats.org/officeDocument/2006/relationships/hyperlink" Target="https://www.amigosdobem.org/sobre-nos/" TargetMode="External"/><Relationship Id="rId813" Type="http://schemas.openxmlformats.org/officeDocument/2006/relationships/hyperlink" Target="https://jbs.com.br/wp-content/uploads/2023/10/relatorio-anual-e-de-sustentabilidade-jbs-2021.pdf" TargetMode="External"/><Relationship Id="rId812" Type="http://schemas.openxmlformats.org/officeDocument/2006/relationships/hyperlink" Target="https://fundojbsamazonia.org/" TargetMode="External"/><Relationship Id="rId609" Type="http://schemas.openxmlformats.org/officeDocument/2006/relationships/hyperlink" Target="https://www.ldc.com/wp-content/uploads/LDC-2022-Sustainability-Report_protected.pdf" TargetMode="External"/><Relationship Id="rId608" Type="http://schemas.openxmlformats.org/officeDocument/2006/relationships/hyperlink" Target="https://www.ldc.com/wp-content/uploads/LDC-2022-Sustainability-Report_protected.pdf" TargetMode="External"/><Relationship Id="rId607" Type="http://schemas.openxmlformats.org/officeDocument/2006/relationships/hyperlink" Target="https://www.ldc.com/wp-content/uploads/LDC_IR2023-Single-Pages_secured.pdf" TargetMode="External"/><Relationship Id="rId849" Type="http://schemas.openxmlformats.org/officeDocument/2006/relationships/hyperlink" Target="https://mdiasbranco.com.br/wp-content/uploads/2024/03/RELATORIO-ANUAL-INTEGRADO-2023-M.-DIAS-BRANCO.pdf" TargetMode="External"/><Relationship Id="rId602" Type="http://schemas.openxmlformats.org/officeDocument/2006/relationships/hyperlink" Target="https://www.ldc.com/sustainability-report-2021/pillars-of-sustainability/communities/future-proofing-the-next-generation-of-brazilian-farmers/" TargetMode="External"/><Relationship Id="rId844" Type="http://schemas.openxmlformats.org/officeDocument/2006/relationships/hyperlink" Target="https://mdiasbranco.com.br/wp-content/uploads/2024/03/RELATORIO-ANUAL-INTEGRADO-2023-M.-DIAS-BRANCO.pdf" TargetMode="External"/><Relationship Id="rId601" Type="http://schemas.openxmlformats.org/officeDocument/2006/relationships/hyperlink" Target="https://www.ldc.com/wp-content/uploads/LDC-Sustainability-Report-2021-Double-Pages.pdf" TargetMode="External"/><Relationship Id="rId843" Type="http://schemas.openxmlformats.org/officeDocument/2006/relationships/hyperlink" Target="https://mdiasbranco.com.br/wp-content/uploads/2023/03/RELATORIO-ANUAL-INTEGRADO-2022.pdf" TargetMode="External"/><Relationship Id="rId600" Type="http://schemas.openxmlformats.org/officeDocument/2006/relationships/hyperlink" Target="https://www.ldc.com/wp-content/uploads/LDC-Sustainability-Report-2021-Double-Pages.pdf" TargetMode="External"/><Relationship Id="rId842" Type="http://schemas.openxmlformats.org/officeDocument/2006/relationships/hyperlink" Target="https://mdiasbranco.com.br/wp-content/uploads/2024/03/RELATORIO-ANUAL-INTEGRADO-2023-M.-DIAS-BRANCO.pdf" TargetMode="External"/><Relationship Id="rId841" Type="http://schemas.openxmlformats.org/officeDocument/2006/relationships/hyperlink" Target="https://mdiasbranco.com.br/nutrir-o-amanha-m-dias-branco-lanca-programa-de-doacao-e-combate-a-fome/" TargetMode="External"/><Relationship Id="rId606" Type="http://schemas.openxmlformats.org/officeDocument/2006/relationships/hyperlink" Target="https://www.vbio.eco/projeto-cerrado-sustentavel" TargetMode="External"/><Relationship Id="rId848" Type="http://schemas.openxmlformats.org/officeDocument/2006/relationships/hyperlink" Target="https://mdiasbranco.com.br/wp-content/uploads/2024/03/RELATORIO-ANUAL-INTEGRADO-2023-M.-DIAS-BRANCO.pdf" TargetMode="External"/><Relationship Id="rId605" Type="http://schemas.openxmlformats.org/officeDocument/2006/relationships/hyperlink" Target="https://www.ldc.com/wp-content/uploads/LDC_IR2023-Single-Pages_secured.pdf" TargetMode="External"/><Relationship Id="rId847" Type="http://schemas.openxmlformats.org/officeDocument/2006/relationships/hyperlink" Target="https://mdiasbranco.com.br/wp-content/uploads/2024/03/RELATORIO-ANUAL-INTEGRADO-2023-M.-DIAS-BRANCO.pdf" TargetMode="External"/><Relationship Id="rId604" Type="http://schemas.openxmlformats.org/officeDocument/2006/relationships/hyperlink" Target="https://www.ldc.com/wp-content/uploads/LDC-2022-Sustainability-Report_protected.pdf" TargetMode="External"/><Relationship Id="rId846" Type="http://schemas.openxmlformats.org/officeDocument/2006/relationships/hyperlink" Target="https://mdiasbranco.com.br/wp-content/uploads/2024/03/RELATORIO-ANUAL-INTEGRADO-2023-M.-DIAS-BRANCO.pdf" TargetMode="External"/><Relationship Id="rId603" Type="http://schemas.openxmlformats.org/officeDocument/2006/relationships/hyperlink" Target="https://www.ldc.com/wp-content/uploads/LDC-Sustainability-Report-2021-Double-Pages.pdf" TargetMode="External"/><Relationship Id="rId845" Type="http://schemas.openxmlformats.org/officeDocument/2006/relationships/hyperlink" Target="https://mdiasbranco.com.br/wp-content/uploads/2024/03/RELATORIO-ANUAL-INTEGRADO-2023-M.-DIAS-BRANCO.pdf" TargetMode="External"/><Relationship Id="rId840" Type="http://schemas.openxmlformats.org/officeDocument/2006/relationships/hyperlink" Target="https://mdiasbranco.com.br/wp-content/uploads/2024/03/RELATORIO-ANUAL-INTEGRADO-2023-M.-DIAS-BRANCO.pdf" TargetMode="External"/><Relationship Id="rId839" Type="http://schemas.openxmlformats.org/officeDocument/2006/relationships/hyperlink" Target="https://mdiasbranco.com.br/wp-content/uploads/2023/03/RELATORIO-ANUAL-INTEGRADO-2022.pdf" TargetMode="External"/><Relationship Id="rId838" Type="http://schemas.openxmlformats.org/officeDocument/2006/relationships/hyperlink" Target="https://jbsesg.com/docs/JBS_Sustainability_Report_2023_BR.pdf" TargetMode="External"/><Relationship Id="rId833" Type="http://schemas.openxmlformats.org/officeDocument/2006/relationships/hyperlink" Target="https://jbs.com.br/wp-content/uploads/2023/10/relatorio-anual-e-de-sustentabilidade-jbs-2021.pdf" TargetMode="External"/><Relationship Id="rId832" Type="http://schemas.openxmlformats.org/officeDocument/2006/relationships/hyperlink" Target="https://jbsesg.com/docs/JBS_Sustainability_Report_2023_BR.pdf" TargetMode="External"/><Relationship Id="rId831" Type="http://schemas.openxmlformats.org/officeDocument/2006/relationships/hyperlink" Target="https://jbsesg.com/docs/JBS_Sustainability_Report_2023_BR.pdf" TargetMode="External"/><Relationship Id="rId830" Type="http://schemas.openxmlformats.org/officeDocument/2006/relationships/hyperlink" Target="https://jbs.com.br/storage/2023/10/JBS-2022-sumario-executivo_BR_PT-Updated-2.pdf" TargetMode="External"/><Relationship Id="rId837" Type="http://schemas.openxmlformats.org/officeDocument/2006/relationships/hyperlink" Target="https://jbs.com.br/wp-content/uploads/2023/10/relatorio-anual-e-de-sustentabilidade-jbs-2021.pdf" TargetMode="External"/><Relationship Id="rId836" Type="http://schemas.openxmlformats.org/officeDocument/2006/relationships/hyperlink" Target="https://jbsesg.com/docs/JBS_Sustainability_Report_2023_BR.pdf" TargetMode="External"/><Relationship Id="rId835" Type="http://schemas.openxmlformats.org/officeDocument/2006/relationships/hyperlink" Target="https://jbs.com.br/wp-content/uploads/2023/10/relatorio-anual-e-de-sustentabilidade-jbs-2021.pdf" TargetMode="External"/><Relationship Id="rId834" Type="http://schemas.openxmlformats.org/officeDocument/2006/relationships/hyperlink" Target="https://jbsesg.com/docs/JBS_Sustainability_Report_2023_BR.pdf" TargetMode="External"/><Relationship Id="rId1059" Type="http://schemas.openxmlformats.org/officeDocument/2006/relationships/hyperlink" Target="https://www.gpabr.com/wp-content/uploads/2024/05/relatorioanual2023_port.pdf" TargetMode="External"/><Relationship Id="rId228" Type="http://schemas.openxmlformats.org/officeDocument/2006/relationships/hyperlink" Target="https://www.castrolanda.coop.br/relatorios/relatorio-anual-2021/" TargetMode="External"/><Relationship Id="rId227" Type="http://schemas.openxmlformats.org/officeDocument/2006/relationships/hyperlink" Target="https://www.castrolanda.coop.br/relatorios/relatorio-anual-2022/" TargetMode="External"/><Relationship Id="rId469" Type="http://schemas.openxmlformats.org/officeDocument/2006/relationships/hyperlink" Target="https://annualreport.dsm.com/ar2021/" TargetMode="External"/><Relationship Id="rId226" Type="http://schemas.openxmlformats.org/officeDocument/2006/relationships/hyperlink" Target="https://www.castrolanda.coop.br/relatorios/relatorio-anual-2022/" TargetMode="External"/><Relationship Id="rId468" Type="http://schemas.openxmlformats.org/officeDocument/2006/relationships/hyperlink" Target="https://annualreport.dsm.com/ar2020/" TargetMode="External"/><Relationship Id="rId225" Type="http://schemas.openxmlformats.org/officeDocument/2006/relationships/hyperlink" Target="https://www.castrolanda.coop.br/relatorios/relatorio-anual-2021/" TargetMode="External"/><Relationship Id="rId467" Type="http://schemas.openxmlformats.org/officeDocument/2006/relationships/hyperlink" Target="https://www.dsm.com/content/dam/dsm/suppliers/en/documents/supplier-code-of-conduct-en.pdf" TargetMode="External"/><Relationship Id="rId229" Type="http://schemas.openxmlformats.org/officeDocument/2006/relationships/hyperlink" Target="https://www.castrolanda.coop.br/wp-content/uploads/2024/05/20240527-Relatorio-Sustentabilidade-Web.pdf" TargetMode="External"/><Relationship Id="rId1050" Type="http://schemas.openxmlformats.org/officeDocument/2006/relationships/hyperlink" Target="https://www.gpabr.com/wp-content/uploads/2023/06/Relatorio-Anual-e-de-Sustentabilidade-GPA-2022.pdf" TargetMode="External"/><Relationship Id="rId220" Type="http://schemas.openxmlformats.org/officeDocument/2006/relationships/hyperlink" Target="https://www.cargill.com/doc/1432226681760/esg-2022-portuguese-report.pdf" TargetMode="External"/><Relationship Id="rId462" Type="http://schemas.openxmlformats.org/officeDocument/2006/relationships/hyperlink" Target="https://annualreport.dsm.com/ar2022/" TargetMode="External"/><Relationship Id="rId1051" Type="http://schemas.openxmlformats.org/officeDocument/2006/relationships/hyperlink" Target="https://www.gpabr.com/wp-content/uploads/2024/05/relatorioanual2023_port.pdf" TargetMode="External"/><Relationship Id="rId461" Type="http://schemas.openxmlformats.org/officeDocument/2006/relationships/hyperlink" Target="https://annualreport.dsm.com/ar2021/" TargetMode="External"/><Relationship Id="rId1052" Type="http://schemas.openxmlformats.org/officeDocument/2006/relationships/hyperlink" Target="https://www.gpabr.com/wp-content/uploads/2022/04/Relatorio_anual_e_de_sustentabilidade_GPA_2021.pdf" TargetMode="External"/><Relationship Id="rId460" Type="http://schemas.openxmlformats.org/officeDocument/2006/relationships/hyperlink" Target="https://annualreport.dsm.com/ar2020/" TargetMode="External"/><Relationship Id="rId1053" Type="http://schemas.openxmlformats.org/officeDocument/2006/relationships/hyperlink" Target="https://www.gpabr.com/wp-content/uploads/2023/06/Relatorio-Anual-e-de-Sustentabilidade-GPA-2022.pdf" TargetMode="External"/><Relationship Id="rId1054" Type="http://schemas.openxmlformats.org/officeDocument/2006/relationships/hyperlink" Target="https://www.gpabr.com/wp-content/uploads/2024/05/relatorioanual2023_port.pdf" TargetMode="External"/><Relationship Id="rId224" Type="http://schemas.openxmlformats.org/officeDocument/2006/relationships/hyperlink" Target="https://www.castrolanda.coop.br/relatorios/relatorio-anual-2021/" TargetMode="External"/><Relationship Id="rId466" Type="http://schemas.openxmlformats.org/officeDocument/2006/relationships/hyperlink" Target="https://annualreport.dsm.com/ar2021/" TargetMode="External"/><Relationship Id="rId1055" Type="http://schemas.openxmlformats.org/officeDocument/2006/relationships/hyperlink" Target="https://www.gpabr.com/wp-content/uploads/2023/06/Relatorio-Anual-e-de-Sustentabilidade-GPA-2022.pdf" TargetMode="External"/><Relationship Id="rId223" Type="http://schemas.openxmlformats.org/officeDocument/2006/relationships/hyperlink" Target="https://www.castrolanda.coop.br/relatorios/relatorio-anual-2020/" TargetMode="External"/><Relationship Id="rId465" Type="http://schemas.openxmlformats.org/officeDocument/2006/relationships/hyperlink" Target="https://annualreport.dsm.com/ar2020/" TargetMode="External"/><Relationship Id="rId1056" Type="http://schemas.openxmlformats.org/officeDocument/2006/relationships/hyperlink" Target="https://www.gpabr.com/wp-content/uploads/2023/06/Relatorio-Anual-e-de-Sustentabilidade-GPA-2022.pdf" TargetMode="External"/><Relationship Id="rId222" Type="http://schemas.openxmlformats.org/officeDocument/2006/relationships/hyperlink" Target="https://www.castrolanda.coop.br/wp-content/uploads/2024/05/20240527-Relatorio-Sustentabilidade-Web.pdf" TargetMode="External"/><Relationship Id="rId464" Type="http://schemas.openxmlformats.org/officeDocument/2006/relationships/hyperlink" Target="https://annualreport.dsm.com/ar2020/" TargetMode="External"/><Relationship Id="rId1057" Type="http://schemas.openxmlformats.org/officeDocument/2006/relationships/hyperlink" Target="https://www.gpabr.com/wp-content/uploads/2024/05/relatorioanual2023_port.pdf" TargetMode="External"/><Relationship Id="rId221" Type="http://schemas.openxmlformats.org/officeDocument/2006/relationships/hyperlink" Target="https://www.castrolanda.coop.br/relatorios/relatorio-anual-2020/" TargetMode="External"/><Relationship Id="rId463" Type="http://schemas.openxmlformats.org/officeDocument/2006/relationships/hyperlink" Target="https://annualreport.dsm.com/ar2020/" TargetMode="External"/><Relationship Id="rId1058" Type="http://schemas.openxmlformats.org/officeDocument/2006/relationships/hyperlink" Target="https://www.gpabr.com/wp-content/uploads/2024/05/relatorioanual2023_port.pdf" TargetMode="External"/><Relationship Id="rId1048" Type="http://schemas.openxmlformats.org/officeDocument/2006/relationships/hyperlink" Target="https://www.gpabr.com/wp-content/uploads/2023/06/Relatorio-Anual-e-de-Sustentabilidade-GPA-2022.pdf" TargetMode="External"/><Relationship Id="rId1049" Type="http://schemas.openxmlformats.org/officeDocument/2006/relationships/hyperlink" Target="https://www.gpabr.com/wp-content/uploads/2024/05/relatorioanual2023_port.pdf" TargetMode="External"/><Relationship Id="rId217" Type="http://schemas.openxmlformats.org/officeDocument/2006/relationships/hyperlink" Target="https://www.cargill.com.br/pt_BR/doc/1432224625088/2020-cargill-annual-report-brazil-brz.pdf" TargetMode="External"/><Relationship Id="rId459" Type="http://schemas.openxmlformats.org/officeDocument/2006/relationships/hyperlink" Target="https://annualreport.dsm.com/ar2022/" TargetMode="External"/><Relationship Id="rId216" Type="http://schemas.openxmlformats.org/officeDocument/2006/relationships/hyperlink" Target="https://www.cargill.com.br/pt_BR/doc/1432224619925/2021-cargill-annual-report-brazil.pdf" TargetMode="External"/><Relationship Id="rId458" Type="http://schemas.openxmlformats.org/officeDocument/2006/relationships/hyperlink" Target="https://annualreport.dsm.com/ar2021/" TargetMode="External"/><Relationship Id="rId215" Type="http://schemas.openxmlformats.org/officeDocument/2006/relationships/hyperlink" Target="https://www.cargill.com.br/pt_BR/doc/1432224619925/2021-cargill-annual-report-brazil.pdf" TargetMode="External"/><Relationship Id="rId457" Type="http://schemas.openxmlformats.org/officeDocument/2006/relationships/hyperlink" Target="https://annualreport.dsm.com/ar2020/" TargetMode="External"/><Relationship Id="rId699" Type="http://schemas.openxmlformats.org/officeDocument/2006/relationships/hyperlink" Target="https://api.mziq.com/mzfilemanager/v2/d/65f65acb-ad9a-44b1-a3d5-620b6199a637/4d791652-1419-b565-d605-0dfdf457361e?origin=2" TargetMode="External"/><Relationship Id="rId214" Type="http://schemas.openxmlformats.org/officeDocument/2006/relationships/hyperlink" Target="https://www.cargill.com.br/pt_BR/doc/1432224619925/2021-cargill-annual-report-brazil.pdf" TargetMode="External"/><Relationship Id="rId456" Type="http://schemas.openxmlformats.org/officeDocument/2006/relationships/hyperlink" Target="https://annualreport.dsm.com/ar2022/" TargetMode="External"/><Relationship Id="rId698" Type="http://schemas.openxmlformats.org/officeDocument/2006/relationships/hyperlink" Target="https://api.mziq.com/mzfilemanager/v2/d/65f65acb-ad9a-44b1-a3d5-620b6199a637/4d791652-1419-b565-d605-0dfdf457361e?origin=2" TargetMode="External"/><Relationship Id="rId219" Type="http://schemas.openxmlformats.org/officeDocument/2006/relationships/hyperlink" Target="https://www.cargill.com.br/pt_BR/doc/1432224619925/2021-cargill-annual-report-brazil.pdf" TargetMode="External"/><Relationship Id="rId218" Type="http://schemas.openxmlformats.org/officeDocument/2006/relationships/hyperlink" Target="https://www.cargill.com.br/pt_BR/doc/1432224625088/2020-cargill-annual-report-brazil-brz.pdf" TargetMode="External"/><Relationship Id="rId451" Type="http://schemas.openxmlformats.org/officeDocument/2006/relationships/hyperlink" Target="https://annualreport.dsm.com/ar2022/" TargetMode="External"/><Relationship Id="rId693" Type="http://schemas.openxmlformats.org/officeDocument/2006/relationships/hyperlink" Target="https://www.brf-global.com/wp-content/themes/brf-global/assets/documents/relatorio/BRF_RI2021_PT.pdf" TargetMode="External"/><Relationship Id="rId1040" Type="http://schemas.openxmlformats.org/officeDocument/2006/relationships/hyperlink" Target="https://www.gpabr.com/wp-content/uploads/2023/06/Relatorio-Anual-e-de-Sustentabilidade-GPA-2022.pdf" TargetMode="External"/><Relationship Id="rId450" Type="http://schemas.openxmlformats.org/officeDocument/2006/relationships/hyperlink" Target="https://annualreport.dsm.com/ar2021/" TargetMode="External"/><Relationship Id="rId692" Type="http://schemas.openxmlformats.org/officeDocument/2006/relationships/hyperlink" Target="https://www.brf-global.com/wp-content/uploads/2023/05/Relatorio-Integrado-2020.pdf" TargetMode="External"/><Relationship Id="rId1041" Type="http://schemas.openxmlformats.org/officeDocument/2006/relationships/hyperlink" Target="https://www.gpabr.com/wp-content/uploads/2024/05/relatorioanual2023_port.pdf" TargetMode="External"/><Relationship Id="rId691" Type="http://schemas.openxmlformats.org/officeDocument/2006/relationships/hyperlink" Target="https://www.brf-global.com/wp-content/uploads/2024/07/relatorio-integrado-2023.pdf" TargetMode="External"/><Relationship Id="rId1042" Type="http://schemas.openxmlformats.org/officeDocument/2006/relationships/hyperlink" Target="https://api.mziq.com/mzfilemanager/v2/d/ec14f0ab-c5d4-4b12-a413-b6cc7475ed98/9d1775d6-44c3-4944-5e4b-0b0df8ee3d20?origin=1" TargetMode="External"/><Relationship Id="rId690" Type="http://schemas.openxmlformats.org/officeDocument/2006/relationships/hyperlink" Target="https://www.brf-global.com/wp-content/uploads/2023/05/BRF_RI2022_26.05.23.pdf" TargetMode="External"/><Relationship Id="rId1043" Type="http://schemas.openxmlformats.org/officeDocument/2006/relationships/hyperlink" Target="https://www.gpabr.com/wp-content/uploads/2022/04/Relatorio_anual_e_de_sustentabilidade_GPA_2021.pdf" TargetMode="External"/><Relationship Id="rId213" Type="http://schemas.openxmlformats.org/officeDocument/2006/relationships/hyperlink" Target="https://www.cargill.com.br/pt_BR/doc/1432224619925/2021-cargill-annual-report-brazil.pdf" TargetMode="External"/><Relationship Id="rId455" Type="http://schemas.openxmlformats.org/officeDocument/2006/relationships/hyperlink" Target="https://annualreport.dsm.com/ar2021/" TargetMode="External"/><Relationship Id="rId697" Type="http://schemas.openxmlformats.org/officeDocument/2006/relationships/hyperlink" Target="https://api.mziq.com/mzfilemanager/v2/d/65f65acb-ad9a-44b1-a3d5-620b6199a637/4d791652-1419-b565-d605-0dfdf457361e?origin=2" TargetMode="External"/><Relationship Id="rId1044" Type="http://schemas.openxmlformats.org/officeDocument/2006/relationships/hyperlink" Target="https://www.gpabr.com/wp-content/uploads/2022/04/Relatorio_anual_e_de_sustentabilidade_GPA_2021.pdf" TargetMode="External"/><Relationship Id="rId212" Type="http://schemas.openxmlformats.org/officeDocument/2006/relationships/hyperlink" Target="https://www.cargill.com.br/pt_BR/doc/1432224619925/2021-cargill-annual-report-brazil.pdf" TargetMode="External"/><Relationship Id="rId454" Type="http://schemas.openxmlformats.org/officeDocument/2006/relationships/hyperlink" Target="https://annualreport.dsm.com/ar2020/" TargetMode="External"/><Relationship Id="rId696" Type="http://schemas.openxmlformats.org/officeDocument/2006/relationships/hyperlink" Target="https://cacique.com.br/cacique-sustentavel/" TargetMode="External"/><Relationship Id="rId1045" Type="http://schemas.openxmlformats.org/officeDocument/2006/relationships/hyperlink" Target="https://www.gpabr.com/wp-content/uploads/2023/06/Relatorio-Anual-e-de-Sustentabilidade-GPA-2022.pdf" TargetMode="External"/><Relationship Id="rId211" Type="http://schemas.openxmlformats.org/officeDocument/2006/relationships/hyperlink" Target="https://www.cargill.com/sustainability/doc/1432249635993/2023-esg-report.pdf" TargetMode="External"/><Relationship Id="rId453" Type="http://schemas.openxmlformats.org/officeDocument/2006/relationships/hyperlink" Target="https://centrodeexcelencia.org.br/seminario/" TargetMode="External"/><Relationship Id="rId695" Type="http://schemas.openxmlformats.org/officeDocument/2006/relationships/hyperlink" Target="https://www.brf-global.com/wp-content/uploads/2024/07/relatorio-integrado-2023.pdf" TargetMode="External"/><Relationship Id="rId1046" Type="http://schemas.openxmlformats.org/officeDocument/2006/relationships/hyperlink" Target="https://www.gpabr.com/wp-content/uploads/2024/05/relatorioanual2023_port.pdf" TargetMode="External"/><Relationship Id="rId210" Type="http://schemas.openxmlformats.org/officeDocument/2006/relationships/hyperlink" Target="https://www.cargill.com/sustainability/doc/1432249635993/2023-esg-report.pdf" TargetMode="External"/><Relationship Id="rId452" Type="http://schemas.openxmlformats.org/officeDocument/2006/relationships/hyperlink" Target="https://annualreport.dsm.com/ar2020/" TargetMode="External"/><Relationship Id="rId694" Type="http://schemas.openxmlformats.org/officeDocument/2006/relationships/hyperlink" Target="https://www.brf-global.com/wp-content/uploads/2023/05/BRF_RI2022_26.05.23.pdf" TargetMode="External"/><Relationship Id="rId1047" Type="http://schemas.openxmlformats.org/officeDocument/2006/relationships/hyperlink" Target="https://api.mziq.com/mzfilemanager/v2/d/ec14f0ab-c5d4-4b12-a413-b6cc7475ed98/9d1775d6-44c3-4944-5e4b-0b0df8ee3d20?origin=1" TargetMode="External"/><Relationship Id="rId491" Type="http://schemas.openxmlformats.org/officeDocument/2006/relationships/hyperlink" Target="https://www.ecomtrading.com/media/3nxf10t4/ecom-group-sustainability-r-22.pdf" TargetMode="External"/><Relationship Id="rId490" Type="http://schemas.openxmlformats.org/officeDocument/2006/relationships/hyperlink" Target="https://www.ecomtrading.com/media/3nxf10t4/ecom-group-sustainability-r-22.pdf" TargetMode="External"/><Relationship Id="rId249" Type="http://schemas.openxmlformats.org/officeDocument/2006/relationships/hyperlink" Target="https://www.citrosuco.com.br/wp-content/uploads/2021/07/Citrosuco_RS2020_02.pdf" TargetMode="External"/><Relationship Id="rId248" Type="http://schemas.openxmlformats.org/officeDocument/2006/relationships/hyperlink" Target="https://www.citrosuco.com.br/wp-content/uploads/2024/04/Citrosuco-RA-22-23.pdf" TargetMode="External"/><Relationship Id="rId247" Type="http://schemas.openxmlformats.org/officeDocument/2006/relationships/hyperlink" Target="https://www.citrosuco.com.br/wp-content/uploads/2024/01/Citrosuco_ra_2021_2022_pt_final.pdf" TargetMode="External"/><Relationship Id="rId489" Type="http://schemas.openxmlformats.org/officeDocument/2006/relationships/hyperlink" Target="https://www.ecomtrading.com/media/3nxf10t4/ecom-group-sustainability-r-22.pdf" TargetMode="External"/><Relationship Id="rId1070" Type="http://schemas.openxmlformats.org/officeDocument/2006/relationships/hyperlink" Target="https://storage.googleapis.com/br-apps-site-institucional-cs-prod-001/2022/09/844521e9-relatorio-de-sustentabilidade-20210629-123317-2791.pdf" TargetMode="External"/><Relationship Id="rId1071" Type="http://schemas.openxmlformats.org/officeDocument/2006/relationships/hyperlink" Target="https://storage.googleapis.com/br-apps-site-institucional-cs-prod-001/2022/08/3572970f-relato%CC%81rio-anual-de-sustentabilidade-de-2021-port-22.08.22.pdf" TargetMode="External"/><Relationship Id="rId1072" Type="http://schemas.openxmlformats.org/officeDocument/2006/relationships/hyperlink" Target="https://storage.googleapis.com/br-apps-site-institucional-cs-prod-001/2022/09/844521e9-relatorio-de-sustentabilidade-20210629-123317-2791.pdf" TargetMode="External"/><Relationship Id="rId242" Type="http://schemas.openxmlformats.org/officeDocument/2006/relationships/hyperlink" Target="https://relatorioanual2021.citrosuco.com.br/wp-content/uploads/2022/07/citrosuco_RS_2020_2021_PT_985x600px_AF.pdf" TargetMode="External"/><Relationship Id="rId484" Type="http://schemas.openxmlformats.org/officeDocument/2006/relationships/hyperlink" Target="https://www.ecomtrading.com/media/gajn0b1c/2020-sustainability_annual_report.pdf" TargetMode="External"/><Relationship Id="rId1073" Type="http://schemas.openxmlformats.org/officeDocument/2006/relationships/hyperlink" Target="https://storage.googleapis.com/br-apps-site-institucional-cs-prod-001/2024/04/685c3c96-grupocarrefour_rs23_d3-05.pdf" TargetMode="External"/><Relationship Id="rId241" Type="http://schemas.openxmlformats.org/officeDocument/2006/relationships/hyperlink" Target="https://www.citrosuco.com.br/wp-content/uploads/2021/07/Citrosuco_RS2020_02.pdf" TargetMode="External"/><Relationship Id="rId483" Type="http://schemas.openxmlformats.org/officeDocument/2006/relationships/hyperlink" Target="https://www.dsm-firmenich.com/content/dam/dsm-firmenich/corporate/documents/results-center/entire-dsmfirmenich-iar23.pdf" TargetMode="External"/><Relationship Id="rId1074" Type="http://schemas.openxmlformats.org/officeDocument/2006/relationships/hyperlink" Target="https://storage.googleapis.com/br-apps-site-institucional-cs-prod-001/2022/09/844521e9-relatorio-de-sustentabilidade-20210629-123317-2791.pdf" TargetMode="External"/><Relationship Id="rId240" Type="http://schemas.openxmlformats.org/officeDocument/2006/relationships/hyperlink" Target="https://www.citrosuco.com.br/wp-content/uploads/2024/04/Citrosuco-RA-22-23.pdf" TargetMode="External"/><Relationship Id="rId482" Type="http://schemas.openxmlformats.org/officeDocument/2006/relationships/hyperlink" Target="https://annualreport.dsm.com/ar2022/" TargetMode="External"/><Relationship Id="rId1075" Type="http://schemas.openxmlformats.org/officeDocument/2006/relationships/hyperlink" Target="https://storage.googleapis.com/br-apps-site-institucional-cs-prod-001/2022/08/3572970f-relato%CC%81rio-anual-de-sustentabilidade-de-2021-port-22.08.22.pdf" TargetMode="External"/><Relationship Id="rId481" Type="http://schemas.openxmlformats.org/officeDocument/2006/relationships/hyperlink" Target="https://annualreport.dsm.com/ar2022/" TargetMode="External"/><Relationship Id="rId1076" Type="http://schemas.openxmlformats.org/officeDocument/2006/relationships/hyperlink" Target="https://storage.googleapis.com/br-apps-site-institucional-cs-prod-001/2023/08/958f680d-carrefour_ri_22-12.pdf" TargetMode="External"/><Relationship Id="rId246" Type="http://schemas.openxmlformats.org/officeDocument/2006/relationships/hyperlink" Target="https://relatorioanual2021.citrosuco.com.br/wp-content/uploads/2022/07/citrosuco_RS_2020_2021_PT_985x600px_AF.pdf" TargetMode="External"/><Relationship Id="rId488" Type="http://schemas.openxmlformats.org/officeDocument/2006/relationships/hyperlink" Target="https://www.ecomtrading.com/media/ljrp0dn2/ecom-group-sustainability-report.pdf" TargetMode="External"/><Relationship Id="rId1077" Type="http://schemas.openxmlformats.org/officeDocument/2006/relationships/hyperlink" Target="https://storage.googleapis.com/br-apps-site-institucional-cs-prod-001/2022/09/844521e9-relatorio-de-sustentabilidade-20210629-123317-2791.pdf" TargetMode="External"/><Relationship Id="rId245" Type="http://schemas.openxmlformats.org/officeDocument/2006/relationships/hyperlink" Target="https://www.citrosuco.com.br/wp-content/uploads/2021/07/Citrosuco_RS2020_02.pdf" TargetMode="External"/><Relationship Id="rId487" Type="http://schemas.openxmlformats.org/officeDocument/2006/relationships/hyperlink" Target="https://www.ecomtrading.com/media/gajn0b1c/2020-sustainability_annual_report.pdf" TargetMode="External"/><Relationship Id="rId1078" Type="http://schemas.openxmlformats.org/officeDocument/2006/relationships/hyperlink" Target="https://storage.googleapis.com/br-apps-site-institucional-cs-prod-001/2022/09/844521e9-relatorio-de-sustentabilidade-20210629-123317-2791.pdf" TargetMode="External"/><Relationship Id="rId244" Type="http://schemas.openxmlformats.org/officeDocument/2006/relationships/hyperlink" Target="https://www.citrosuco.com.br/wp-content/uploads/2024/04/Citrosuco-RA-22-23.pdf" TargetMode="External"/><Relationship Id="rId486" Type="http://schemas.openxmlformats.org/officeDocument/2006/relationships/hyperlink" Target="https://www.ecomtrading.com/media/1rafwdn4/ecom-group-sustainability-report-2023-2.pdf" TargetMode="External"/><Relationship Id="rId1079" Type="http://schemas.openxmlformats.org/officeDocument/2006/relationships/hyperlink" Target="https://storage.googleapis.com/br-apps-site-institucional-cs-prod-001/2022/08/3572970f-relato%CC%81rio-anual-de-sustentabilidade-de-2021-port-22.08.22.pdf" TargetMode="External"/><Relationship Id="rId243" Type="http://schemas.openxmlformats.org/officeDocument/2006/relationships/hyperlink" Target="https://www.citrosuco.com.br/wp-content/uploads/2024/01/Citrosuco_ra_2021_2022_pt_final.pdf" TargetMode="External"/><Relationship Id="rId485" Type="http://schemas.openxmlformats.org/officeDocument/2006/relationships/hyperlink" Target="https://www.ecomtrading.com/media/gajn0b1c/2020-sustainability_annual_report.pdf" TargetMode="External"/><Relationship Id="rId480" Type="http://schemas.openxmlformats.org/officeDocument/2006/relationships/hyperlink" Target="https://annualreport.dsm.com/ar2022/" TargetMode="External"/><Relationship Id="rId239" Type="http://schemas.openxmlformats.org/officeDocument/2006/relationships/hyperlink" Target="https://www.citrosuco.com.br/wp-content/uploads/2024/01/Citrosuco_ra_2021_2022_pt_final.pdf" TargetMode="External"/><Relationship Id="rId238" Type="http://schemas.openxmlformats.org/officeDocument/2006/relationships/hyperlink" Target="https://relatorioanual2021.citrosuco.com.br/wp-content/uploads/2022/07/citrosuco_RS_2020_2021_PT_985x600px_AF.pdf" TargetMode="External"/><Relationship Id="rId237" Type="http://schemas.openxmlformats.org/officeDocument/2006/relationships/hyperlink" Target="https://www.citrosuco.com.br/wp-content/uploads/2021/07/Citrosuco_RS2020_02.pdf" TargetMode="External"/><Relationship Id="rId479" Type="http://schemas.openxmlformats.org/officeDocument/2006/relationships/hyperlink" Target="https://annualreport.dsm.com/ar2022/" TargetMode="External"/><Relationship Id="rId236" Type="http://schemas.openxmlformats.org/officeDocument/2006/relationships/hyperlink" Target="https://www.citrosuco.com.br/wp-content/uploads/2024/04/Citrosuco-RA-22-23.pdf" TargetMode="External"/><Relationship Id="rId478" Type="http://schemas.openxmlformats.org/officeDocument/2006/relationships/hyperlink" Target="https://annualreport.dsm.com/ar2021/" TargetMode="External"/><Relationship Id="rId1060" Type="http://schemas.openxmlformats.org/officeDocument/2006/relationships/hyperlink" Target="https://www.gpabr.com/wp-content/uploads/2024/05/relatorioanual2023_port.pdf" TargetMode="External"/><Relationship Id="rId1061" Type="http://schemas.openxmlformats.org/officeDocument/2006/relationships/hyperlink" Target="https://storage.googleapis.com/br-apps-site-institucional-cs-prod-001/2022/09/844521e9-relatorio-de-sustentabilidade-20210629-123317-2791.pdf" TargetMode="External"/><Relationship Id="rId231" Type="http://schemas.openxmlformats.org/officeDocument/2006/relationships/hyperlink" Target="https://www.castrolanda.coop.br/relatorios/relatorio-anual-2022/" TargetMode="External"/><Relationship Id="rId473" Type="http://schemas.openxmlformats.org/officeDocument/2006/relationships/hyperlink" Target="https://annualreport.dsm.com/ar2022/" TargetMode="External"/><Relationship Id="rId1062" Type="http://schemas.openxmlformats.org/officeDocument/2006/relationships/hyperlink" Target="https://storage.googleapis.com/br-apps-site-institucional-cs-prod-001/2024/04/685c3c96-grupocarrefour_rs23_d3-05.pdf" TargetMode="External"/><Relationship Id="rId230" Type="http://schemas.openxmlformats.org/officeDocument/2006/relationships/hyperlink" Target="https://www.castrolanda.coop.br/relatorios/relatorio-anual-2021/" TargetMode="External"/><Relationship Id="rId472" Type="http://schemas.openxmlformats.org/officeDocument/2006/relationships/hyperlink" Target="https://annualreport.dsm.com/ar2021/" TargetMode="External"/><Relationship Id="rId1063" Type="http://schemas.openxmlformats.org/officeDocument/2006/relationships/hyperlink" Target="https://storage.googleapis.com/br-apps-site-institucional-cs-prod-001/2022/08/3572970f-relato%CC%81rio-anual-de-sustentabilidade-de-2021-port-22.08.22.pdf" TargetMode="External"/><Relationship Id="rId471" Type="http://schemas.openxmlformats.org/officeDocument/2006/relationships/hyperlink" Target="https://annualreport.dsm.com/ar2021/" TargetMode="External"/><Relationship Id="rId1064" Type="http://schemas.openxmlformats.org/officeDocument/2006/relationships/hyperlink" Target="https://storage.googleapis.com/br-apps-site-institucional-cs-prod-001/2022/09/844521e9-relatorio-de-sustentabilidade-20210629-123317-2791.pdf" TargetMode="External"/><Relationship Id="rId470" Type="http://schemas.openxmlformats.org/officeDocument/2006/relationships/hyperlink" Target="https://annualreport.dsm.com/ar2022/" TargetMode="External"/><Relationship Id="rId1065" Type="http://schemas.openxmlformats.org/officeDocument/2006/relationships/hyperlink" Target="https://storage.googleapis.com/br-apps-site-institucional-cs-prod-001/2022/08/3572970f-relato%CC%81rio-anual-de-sustentabilidade-de-2021-port-22.08.22.pdf" TargetMode="External"/><Relationship Id="rId235" Type="http://schemas.openxmlformats.org/officeDocument/2006/relationships/hyperlink" Target="https://www.citrosuco.com.br/wp-content/uploads/2024/01/Citrosuco_ra_2021_2022_pt_final.pdf" TargetMode="External"/><Relationship Id="rId477" Type="http://schemas.openxmlformats.org/officeDocument/2006/relationships/hyperlink" Target="https://annualreport.dsm.com/ar2022/" TargetMode="External"/><Relationship Id="rId1066" Type="http://schemas.openxmlformats.org/officeDocument/2006/relationships/hyperlink" Target="https://storage.googleapis.com/br-apps-site-institucional-cs-prod-001/2022/09/844521e9-relatorio-de-sustentabilidade-20210629-123317-2791.pdf" TargetMode="External"/><Relationship Id="rId234" Type="http://schemas.openxmlformats.org/officeDocument/2006/relationships/hyperlink" Target="https://www.citrosuco.com.br/wp-content/uploads/2024/01/Citrosuco_ra_2021_2022_pt_final.pdf" TargetMode="External"/><Relationship Id="rId476" Type="http://schemas.openxmlformats.org/officeDocument/2006/relationships/hyperlink" Target="https://annualreport.dsm.com/ar2021/" TargetMode="External"/><Relationship Id="rId1067" Type="http://schemas.openxmlformats.org/officeDocument/2006/relationships/hyperlink" Target="https://storage.googleapis.com/br-apps-site-institucional-cs-prod-001/2022/09/844521e9-relatorio-de-sustentabilidade-20210629-123317-2791.pdf" TargetMode="External"/><Relationship Id="rId233" Type="http://schemas.openxmlformats.org/officeDocument/2006/relationships/hyperlink" Target="https://www.citrosuco.com.br/wp-content/uploads/2021/07/Citrosuco_RS2020_02.pdf" TargetMode="External"/><Relationship Id="rId475" Type="http://schemas.openxmlformats.org/officeDocument/2006/relationships/hyperlink" Target="https://annualreport.dsm.com/ar2022/" TargetMode="External"/><Relationship Id="rId1068" Type="http://schemas.openxmlformats.org/officeDocument/2006/relationships/hyperlink" Target="https://storage.googleapis.com/br-apps-site-institucional-cs-prod-001/2022/09/844521e9-relatorio-de-sustentabilidade-20210629-123317-2791.pdf" TargetMode="External"/><Relationship Id="rId232" Type="http://schemas.openxmlformats.org/officeDocument/2006/relationships/hyperlink" Target="https://www.citrosuco.com.br/wp-content/uploads/2021/07/Citrosuco_RS2020_02.pdf" TargetMode="External"/><Relationship Id="rId474" Type="http://schemas.openxmlformats.org/officeDocument/2006/relationships/hyperlink" Target="https://annualreport.dsm.com/ar2021/" TargetMode="External"/><Relationship Id="rId1069" Type="http://schemas.openxmlformats.org/officeDocument/2006/relationships/hyperlink" Target="https://storage.googleapis.com/br-apps-site-institucional-cs-prod-001/2022/09/844521e9-relatorio-de-sustentabilidade-20210629-123317-2791.pdf" TargetMode="External"/><Relationship Id="rId1015" Type="http://schemas.openxmlformats.org/officeDocument/2006/relationships/hyperlink" Target="https://media.starlightcms.io/workspaces/pague-menos/esg/original/vf-paguemenos-rs2022-19052023pdf-i114huknbq.pdf" TargetMode="External"/><Relationship Id="rId1016" Type="http://schemas.openxmlformats.org/officeDocument/2006/relationships/hyperlink" Target="https://media.starlightcms.io/workspaces/pague-menos/esg/original/pague-menos-rs-2023-v9-060524-baixapdf-rp3o6lcwfe.pdf" TargetMode="External"/><Relationship Id="rId1017" Type="http://schemas.openxmlformats.org/officeDocument/2006/relationships/hyperlink" Target="https://grupogazin.com.br/balanco_social/BALANCO_SOCIAL_GAZIN_2020.pdf" TargetMode="External"/><Relationship Id="rId1018" Type="http://schemas.openxmlformats.org/officeDocument/2006/relationships/hyperlink" Target="https://grupogazin.com.br/balanco_social/BALANCO_SOCIAL_GAZIN_2022.pdf" TargetMode="External"/><Relationship Id="rId1019" Type="http://schemas.openxmlformats.org/officeDocument/2006/relationships/hyperlink" Target="https://grupogazin.com.br/balanco_social/BOOK_COMEMORATIVO_55_ANOS_MIN.pdf" TargetMode="External"/><Relationship Id="rId426" Type="http://schemas.openxmlformats.org/officeDocument/2006/relationships/hyperlink" Target="https://www.cotrijal.com.br/adm/files/relatorios_institucionais/Relat%C3%B3rioInstitucional2021-BAIXA-65f8aab9124bf.pdf" TargetMode="External"/><Relationship Id="rId668" Type="http://schemas.openxmlformats.org/officeDocument/2006/relationships/hyperlink" Target="https://www.bembrasil.ind.br/wp-content/uploads/2022/12/RS_BemBrasil_2021-PT-0712.pdf" TargetMode="External"/><Relationship Id="rId425" Type="http://schemas.openxmlformats.org/officeDocument/2006/relationships/hyperlink" Target="https://www.cotrijal.com.br/adm/files/relatorios_institucionais/Relat%C3%B3rioInstitucional(Baixa)-65f8ab03907e9.pdf" TargetMode="External"/><Relationship Id="rId667" Type="http://schemas.openxmlformats.org/officeDocument/2006/relationships/hyperlink" Target="https://www.orangesalimentos.com.br/wp-content/uploads/2023/07/Relatorio_De_Sustentabilidade_BarraMansa.pdf" TargetMode="External"/><Relationship Id="rId424" Type="http://schemas.openxmlformats.org/officeDocument/2006/relationships/hyperlink" Target="https://www.cotrijal.com.br/adm/files/relatorios_institucionais/Relat%C3%B3rioInstitucional(Baixa)-65f8ab03907e9.pdf" TargetMode="External"/><Relationship Id="rId666" Type="http://schemas.openxmlformats.org/officeDocument/2006/relationships/hyperlink" Target="https://api.mziq.com/mzfilemanager/v2/d/c8182463-4b7e-408c-9d0f-42797662435e/647895c0-c87a-984d-4b6f-047d294407ac?origin=1" TargetMode="External"/><Relationship Id="rId423" Type="http://schemas.openxmlformats.org/officeDocument/2006/relationships/hyperlink" Target="https://www.cotrijal.com.br/adm/files/relatorios_institucionais/Relat%C3%B3rioInstitucional2021-BAIXA-65f8aab9124bf.pdf" TargetMode="External"/><Relationship Id="rId665" Type="http://schemas.openxmlformats.org/officeDocument/2006/relationships/hyperlink" Target="https://api.mziq.com/mzfilemanager/v2/d/c8182463-4b7e-408c-9d0f-42797662435e/ef00e5eb-ba41-50b4-e4ff-9d8a01ef0a07?origin=1" TargetMode="External"/><Relationship Id="rId429" Type="http://schemas.openxmlformats.org/officeDocument/2006/relationships/hyperlink" Target="https://www.cotrisal.com.br/balanco/" TargetMode="External"/><Relationship Id="rId428" Type="http://schemas.openxmlformats.org/officeDocument/2006/relationships/hyperlink" Target="https://www.cotrisal.com.br/balanco/" TargetMode="External"/><Relationship Id="rId427" Type="http://schemas.openxmlformats.org/officeDocument/2006/relationships/hyperlink" Target="https://hubdocafe.cooxupe.com.br/dia-c-sera-comemorado-em-2-de-julho/" TargetMode="External"/><Relationship Id="rId669" Type="http://schemas.openxmlformats.org/officeDocument/2006/relationships/hyperlink" Target="https://www.bembrasil.ind.br/wp-content/uploads/2023/06/Bem%20Brasil%20-%20Relat%C3%B3rio%20de%20Sustentabilidade%202022.pdf?_t=1688125669" TargetMode="External"/><Relationship Id="rId660" Type="http://schemas.openxmlformats.org/officeDocument/2006/relationships/hyperlink" Target="https://api.mziq.com/mzfilemanager/v2/d/c8182463-4b7e-408c-9d0f-42797662435e/647895c0-c87a-984d-4b6f-047d294407ac?origin=1" TargetMode="External"/><Relationship Id="rId1010" Type="http://schemas.openxmlformats.org/officeDocument/2006/relationships/hyperlink" Target="https://www.grupodpsp.com.br/wp-content/uploads/2024/04/informe-sustentabilidade-2024.pdf" TargetMode="External"/><Relationship Id="rId422" Type="http://schemas.openxmlformats.org/officeDocument/2006/relationships/hyperlink" Target="https://www.cotrijal.com.br/adm/files/relatorios_institucionais/Relat%C3%B3rioInstitucionalembaixa-completo-65f8aa4fe82e4.pdf" TargetMode="External"/><Relationship Id="rId664" Type="http://schemas.openxmlformats.org/officeDocument/2006/relationships/hyperlink" Target="https://api.mziq.com/mzfilemanager/v2/d/c8182463-4b7e-408c-9d0f-42797662435e/ef00e5eb-ba41-50b4-e4ff-9d8a01ef0a07?origin=1" TargetMode="External"/><Relationship Id="rId1011" Type="http://schemas.openxmlformats.org/officeDocument/2006/relationships/hyperlink" Target="https://www.grupodpsp.com.br/wp-content/uploads/2024/04/informe-sustentabilidade-2024.pdf" TargetMode="External"/><Relationship Id="rId421" Type="http://schemas.openxmlformats.org/officeDocument/2006/relationships/hyperlink" Target="https://www.cotrijal.com.br/adm/files/relatorios_institucionais/Relat%C3%B3rioInstitucional(Baixa)-65f8ab03907e9.pdf" TargetMode="External"/><Relationship Id="rId663" Type="http://schemas.openxmlformats.org/officeDocument/2006/relationships/hyperlink" Target="https://api.mziq.com/mzfilemanager/v2/d/c8182463-4b7e-408c-9d0f-42797662435e/647895c0-c87a-984d-4b6f-047d294407ac?origin=1" TargetMode="External"/><Relationship Id="rId1012" Type="http://schemas.openxmlformats.org/officeDocument/2006/relationships/hyperlink" Target="https://media.starlightcms.io/workspaces/pague-menos/esg/original/vf-paguemenos-rs2022-19052023pdf-i114huknbq.pdf" TargetMode="External"/><Relationship Id="rId420" Type="http://schemas.openxmlformats.org/officeDocument/2006/relationships/hyperlink" Target="https://www.cotrijal.com.br/adm/files/relatorios_institucionais/Relat%C3%B3rioInstitucional(Baixa)-65f8ab03907e9.pdf" TargetMode="External"/><Relationship Id="rId662" Type="http://schemas.openxmlformats.org/officeDocument/2006/relationships/hyperlink" Target="https://api.mziq.com/mzfilemanager/v2/d/c8182463-4b7e-408c-9d0f-42797662435e/735be995-4658-0bbb-0c66-3be9f0987be0?origin=1" TargetMode="External"/><Relationship Id="rId1013" Type="http://schemas.openxmlformats.org/officeDocument/2006/relationships/hyperlink" Target="https://media.starlightcms.io/workspaces/pague-menos/esg/original/vf-paguemenos-rs2022-19052023pdf-i114huknbq.pdf" TargetMode="External"/><Relationship Id="rId661" Type="http://schemas.openxmlformats.org/officeDocument/2006/relationships/hyperlink" Target="https://api.mziq.com/mzfilemanager/v2/d/c8182463-4b7e-408c-9d0f-42797662435e/4b04ac91-c1ea-e7ec-8b0d-7b212507651d?origin=1" TargetMode="External"/><Relationship Id="rId1014" Type="http://schemas.openxmlformats.org/officeDocument/2006/relationships/hyperlink" Target="https://media.starlightcms.io/workspaces/pague-menos/esg/original/pague-menos-rs-2023-v9-060524-baixapdf-rp3o6lcwfe.pdf" TargetMode="External"/><Relationship Id="rId1004" Type="http://schemas.openxmlformats.org/officeDocument/2006/relationships/hyperlink" Target="https://www.grupodpaschoal.com.br/wp-content/uploads/2023/07/2022_Relatorio-Sustentabilidade-CDP_vFinal.pdf" TargetMode="External"/><Relationship Id="rId1005" Type="http://schemas.openxmlformats.org/officeDocument/2006/relationships/hyperlink" Target="https://www.grupodpaschoal.com.br/wp-content/uploads/2023/07/2022_Relatorio-Sustentabilidade-CDP_vFinal.pdf" TargetMode="External"/><Relationship Id="rId1006" Type="http://schemas.openxmlformats.org/officeDocument/2006/relationships/hyperlink" Target="https://www.grupodpaschoal.com.br/wp-content/uploads/2022/04/Relatorio-Sustentabilidade_CDP_PT_vF.pdf" TargetMode="External"/><Relationship Id="rId1007" Type="http://schemas.openxmlformats.org/officeDocument/2006/relationships/hyperlink" Target="https://daterracoffee.com.br/quem-somos/?lang=pt-br" TargetMode="External"/><Relationship Id="rId1008" Type="http://schemas.openxmlformats.org/officeDocument/2006/relationships/hyperlink" Target="https://www.grupodpaschoal.com.br/wp-content/uploads/2023/07/2022_Relatorio-Sustentabilidade-CDP_vFinal.pdf" TargetMode="External"/><Relationship Id="rId1009" Type="http://schemas.openxmlformats.org/officeDocument/2006/relationships/hyperlink" Target="https://www.grupodpsp.com.br/wp-content/uploads/2023/04/Book-DPSP-Consolidado-2022_v3-1.pdf" TargetMode="External"/><Relationship Id="rId415" Type="http://schemas.openxmlformats.org/officeDocument/2006/relationships/hyperlink" Target="https://copercana.com.br/files/relatorio-sustentabilidade-2021.pdf" TargetMode="External"/><Relationship Id="rId657" Type="http://schemas.openxmlformats.org/officeDocument/2006/relationships/hyperlink" Target="https://api.mziq.com/mzfilemanager/v2/d/c8182463-4b7e-408c-9d0f-42797662435e/4b04ac91-c1ea-e7ec-8b0d-7b212507651d?origin=1" TargetMode="External"/><Relationship Id="rId899" Type="http://schemas.openxmlformats.org/officeDocument/2006/relationships/hyperlink" Target="https://www.nestle.com.br/sites/g/files/pydnoa436/files/2023-05/Nestle_RCVCS2022_Conext_v3.pdf" TargetMode="External"/><Relationship Id="rId414" Type="http://schemas.openxmlformats.org/officeDocument/2006/relationships/hyperlink" Target="https://copercana.com.br/files/relatorio-sustentabilidade-2021.pdf" TargetMode="External"/><Relationship Id="rId656" Type="http://schemas.openxmlformats.org/officeDocument/2006/relationships/hyperlink" Target="https://api.mziq.com/mzfilemanager/v2/d/c8182463-4b7e-408c-9d0f-42797662435e/4b04ac91-c1ea-e7ec-8b0d-7b212507651d?origin=1" TargetMode="External"/><Relationship Id="rId898" Type="http://schemas.openxmlformats.org/officeDocument/2006/relationships/hyperlink" Target="https://www.nestle.com.br/sites/g/files/pydnoa436/files/2023-05/Nestle_RCVCS2022_Conext_v3.pdf" TargetMode="External"/><Relationship Id="rId413" Type="http://schemas.openxmlformats.org/officeDocument/2006/relationships/hyperlink" Target="https://copercana.com.br/files/relatorio-sustentabilidade-2022.pdf" TargetMode="External"/><Relationship Id="rId655" Type="http://schemas.openxmlformats.org/officeDocument/2006/relationships/hyperlink" Target="https://api.mziq.com/mzfilemanager/v2/d/c8182463-4b7e-408c-9d0f-42797662435e/4b04ac91-c1ea-e7ec-8b0d-7b212507651d?origin=1" TargetMode="External"/><Relationship Id="rId897" Type="http://schemas.openxmlformats.org/officeDocument/2006/relationships/hyperlink" Target="https://www.nestle.com.br/sites/g/files/pydnoa436/files/2023-05/Nestle_RCVCS2022_Conext_v3.pdf" TargetMode="External"/><Relationship Id="rId412" Type="http://schemas.openxmlformats.org/officeDocument/2006/relationships/hyperlink" Target="https://copercana.com.br/files/relatorio-sustentabilidade-2021.pdf" TargetMode="External"/><Relationship Id="rId654" Type="http://schemas.openxmlformats.org/officeDocument/2006/relationships/hyperlink" Target="https://api.mziq.com/mzfilemanager/v2/d/c8182463-4b7e-408c-9d0f-42797662435e/ef00e5eb-ba41-50b4-e4ff-9d8a01ef0a07?origin=1" TargetMode="External"/><Relationship Id="rId896" Type="http://schemas.openxmlformats.org/officeDocument/2006/relationships/hyperlink" Target="https://www.nestle.com.br/sites/g/files/pydnoa436/files/2022-08/Feira%20Santana.pdf" TargetMode="External"/><Relationship Id="rId419" Type="http://schemas.openxmlformats.org/officeDocument/2006/relationships/hyperlink" Target="https://portal.coperdia.com.br/acoes-ambientais/" TargetMode="External"/><Relationship Id="rId418" Type="http://schemas.openxmlformats.org/officeDocument/2006/relationships/hyperlink" Target="https://portal.coperdia.com.br/energia-solar/" TargetMode="External"/><Relationship Id="rId417" Type="http://schemas.openxmlformats.org/officeDocument/2006/relationships/hyperlink" Target="https://portal.coperdia.com.br/acoes-ambientais/" TargetMode="External"/><Relationship Id="rId659" Type="http://schemas.openxmlformats.org/officeDocument/2006/relationships/hyperlink" Target="https://api.mziq.com/mzfilemanager/v2/d/c8182463-4b7e-408c-9d0f-42797662435e/735be995-4658-0bbb-0c66-3be9f0987be0?origin=1" TargetMode="External"/><Relationship Id="rId416" Type="http://schemas.openxmlformats.org/officeDocument/2006/relationships/hyperlink" Target="https://copercana.com.br/files/relatorio-sustentabilidade-2022.pdf" TargetMode="External"/><Relationship Id="rId658" Type="http://schemas.openxmlformats.org/officeDocument/2006/relationships/hyperlink" Target="https://api.mziq.com/mzfilemanager/v2/d/c8182463-4b7e-408c-9d0f-42797662435e/4b04ac91-c1ea-e7ec-8b0d-7b212507651d?origin=1" TargetMode="External"/><Relationship Id="rId891" Type="http://schemas.openxmlformats.org/officeDocument/2006/relationships/hyperlink" Target="https://minervafoods.com/wp-content/uploads/2023/05/relatorio-de-sustentabilidade-minerva-foods-2022_compressed.pdf?_t=1684174420" TargetMode="External"/><Relationship Id="rId890" Type="http://schemas.openxmlformats.org/officeDocument/2006/relationships/hyperlink" Target="https://minervafoods.com/wp-content/uploads/2024/05/relatorio-de-sustentabilidade-minerva-foods-2023_compressed.pdf" TargetMode="External"/><Relationship Id="rId411" Type="http://schemas.openxmlformats.org/officeDocument/2006/relationships/hyperlink" Target="https://www.copercampos.com.br/relatorios/2023/relatorio_2023.pdf" TargetMode="External"/><Relationship Id="rId653" Type="http://schemas.openxmlformats.org/officeDocument/2006/relationships/hyperlink" Target="https://api.mziq.com/mzfilemanager/v2/d/c8182463-4b7e-408c-9d0f-42797662435e/647895c0-c87a-984d-4b6f-047d294407ac?origin=1" TargetMode="External"/><Relationship Id="rId895" Type="http://schemas.openxmlformats.org/officeDocument/2006/relationships/hyperlink" Target="https://www.nestle.com.br/sites/g/files/pydnoa436/files/2022-08/Cordeir%C3%B3polis.pdf" TargetMode="External"/><Relationship Id="rId1000" Type="http://schemas.openxmlformats.org/officeDocument/2006/relationships/hyperlink" Target="https://www.condor50anos.com.br/" TargetMode="External"/><Relationship Id="rId410" Type="http://schemas.openxmlformats.org/officeDocument/2006/relationships/hyperlink" Target="https://www.copercampos.com.br/relatorios/2022/relatorio_2022.pdf" TargetMode="External"/><Relationship Id="rId652" Type="http://schemas.openxmlformats.org/officeDocument/2006/relationships/hyperlink" Target="https://api.mziq.com/mzfilemanager/v2/d/c8182463-4b7e-408c-9d0f-42797662435e/735be995-4658-0bbb-0c66-3be9f0987be0?origin=1" TargetMode="External"/><Relationship Id="rId894" Type="http://schemas.openxmlformats.org/officeDocument/2006/relationships/hyperlink" Target="https://www.nestle.com.br/sites/g/files/pydnoa436/files/2022-08/Araras.pdf" TargetMode="External"/><Relationship Id="rId1001" Type="http://schemas.openxmlformats.org/officeDocument/2006/relationships/hyperlink" Target="https://www.grupopanvel.com.br/todosbem/assets/pdf/Relatorio_Sustentabilidade_2022_PT-Br.pdf" TargetMode="External"/><Relationship Id="rId651" Type="http://schemas.openxmlformats.org/officeDocument/2006/relationships/hyperlink" Target="https://api.mziq.com/mzfilemanager/v2/d/c8182463-4b7e-408c-9d0f-42797662435e/4b04ac91-c1ea-e7ec-8b0d-7b212507651d?origin=1" TargetMode="External"/><Relationship Id="rId893" Type="http://schemas.openxmlformats.org/officeDocument/2006/relationships/hyperlink" Target="https://www.nestle.com.br/sites/g/files/pydnoa436/files/2022-08/Dolce%20Gusto%20%E2%80%93%20Montes%20Claros.pdf" TargetMode="External"/><Relationship Id="rId1002" Type="http://schemas.openxmlformats.org/officeDocument/2006/relationships/hyperlink" Target="https://www.grupopanvel.com.br/todosbem/assets/pdf/Relatorio_Sustentabilidade_2023_PT-Br.pdf" TargetMode="External"/><Relationship Id="rId650" Type="http://schemas.openxmlformats.org/officeDocument/2006/relationships/hyperlink" Target="https://api.mziq.com/mzfilemanager/v2/d/c8182463-4b7e-408c-9d0f-42797662435e/ef00e5eb-ba41-50b4-e4ff-9d8a01ef0a07?origin=1" TargetMode="External"/><Relationship Id="rId892" Type="http://schemas.openxmlformats.org/officeDocument/2006/relationships/hyperlink" Target="https://www.nestle.com.br/sites/g/files/pydnoa436/files/2023-05/Nestle_RCVCS2022_Conext_v3.pdf" TargetMode="External"/><Relationship Id="rId1003" Type="http://schemas.openxmlformats.org/officeDocument/2006/relationships/hyperlink" Target="https://www.grupopanvel.com.br/todosbem/assets/pdf/Relatorio_Sustentabilidade_2023_PT-Br.pdf" TargetMode="External"/><Relationship Id="rId1037" Type="http://schemas.openxmlformats.org/officeDocument/2006/relationships/hyperlink" Target="https://api.mziq.com/mzfilemanager/v2/d/ec14f0ab-c5d4-4b12-a413-b6cc7475ed98/9d1775d6-44c3-4944-5e4b-0b0df8ee3d20?origin=1" TargetMode="External"/><Relationship Id="rId1038" Type="http://schemas.openxmlformats.org/officeDocument/2006/relationships/hyperlink" Target="https://www.gpabr.com/wp-content/uploads/2022/04/Relatorio_anual_e_de_sustentabilidade_GPA_2021.pdf" TargetMode="External"/><Relationship Id="rId1039" Type="http://schemas.openxmlformats.org/officeDocument/2006/relationships/hyperlink" Target="https://www.gpabr.com/wp-content/uploads/2022/04/Relatorio_anual_e_de_sustentabilidade_GPA_2021.pdf" TargetMode="External"/><Relationship Id="rId206" Type="http://schemas.openxmlformats.org/officeDocument/2006/relationships/hyperlink" Target="https://www.cargill.com/sustainability/doc/1432249635993/2023-esg-report.pdf" TargetMode="External"/><Relationship Id="rId448" Type="http://schemas.openxmlformats.org/officeDocument/2006/relationships/hyperlink" Target="https://annualreport.dsm.com/ar2021/" TargetMode="External"/><Relationship Id="rId205" Type="http://schemas.openxmlformats.org/officeDocument/2006/relationships/hyperlink" Target="https://www.cargill.com/sustainability/doc/1432249635993/2023-esg-report.pdf" TargetMode="External"/><Relationship Id="rId447" Type="http://schemas.openxmlformats.org/officeDocument/2006/relationships/hyperlink" Target="https://annualreport.dsm.com/ar2020/" TargetMode="External"/><Relationship Id="rId689" Type="http://schemas.openxmlformats.org/officeDocument/2006/relationships/hyperlink" Target="https://www.brf-global.com/wp-content/themes/brf-global/assets/documents/relatorio/BRF_RI2021_PT.pdf" TargetMode="External"/><Relationship Id="rId204" Type="http://schemas.openxmlformats.org/officeDocument/2006/relationships/hyperlink" Target="https://www.cargill.com/sustainability/doc/1432249635993/2023-esg-report.pdf" TargetMode="External"/><Relationship Id="rId446" Type="http://schemas.openxmlformats.org/officeDocument/2006/relationships/hyperlink" Target="https://www.dsm-firmenich.com/content/dam/dsm-firmenich/corporate/documents/results-center/entire-dsmfirmenich-iar23.pdf" TargetMode="External"/><Relationship Id="rId688" Type="http://schemas.openxmlformats.org/officeDocument/2006/relationships/hyperlink" Target="https://www.brf-global.com/wp-content/uploads/2024/07/relatorio-integrado-2023.pdf" TargetMode="External"/><Relationship Id="rId203" Type="http://schemas.openxmlformats.org/officeDocument/2006/relationships/hyperlink" Target="https://www.cargill.com/sustainability/doc/1432249635993/2023-esg-report.pdf" TargetMode="External"/><Relationship Id="rId445" Type="http://schemas.openxmlformats.org/officeDocument/2006/relationships/hyperlink" Target="https://annualreport.dsm.com/ar2021/" TargetMode="External"/><Relationship Id="rId687" Type="http://schemas.openxmlformats.org/officeDocument/2006/relationships/hyperlink" Target="https://www.brf-global.com/wp-content/uploads/2023/05/BRF_RI2022_26.05.23.pdf" TargetMode="External"/><Relationship Id="rId209" Type="http://schemas.openxmlformats.org/officeDocument/2006/relationships/hyperlink" Target="https://www.cargill.com/sustainability/doc/1432249635993/2023-esg-report.pdf" TargetMode="External"/><Relationship Id="rId208" Type="http://schemas.openxmlformats.org/officeDocument/2006/relationships/hyperlink" Target="https://www.cargill.com/sustainability/doc/1432249635993/2023-esg-report.pdf" TargetMode="External"/><Relationship Id="rId207" Type="http://schemas.openxmlformats.org/officeDocument/2006/relationships/hyperlink" Target="https://www.cargill.com/sustainability/doc/1432249635993/2023-esg-report.pdf" TargetMode="External"/><Relationship Id="rId449" Type="http://schemas.openxmlformats.org/officeDocument/2006/relationships/hyperlink" Target="https://annualreport.dsm.com/ar2020/" TargetMode="External"/><Relationship Id="rId440" Type="http://schemas.openxmlformats.org/officeDocument/2006/relationships/hyperlink" Target="https://annualreport.dsm.com/ar2021/" TargetMode="External"/><Relationship Id="rId682" Type="http://schemas.openxmlformats.org/officeDocument/2006/relationships/hyperlink" Target="https://www.brf-global.com/wp-content/themes/brf-global/assets/documents/relatorio/BRF_RI2021_PT.pdf" TargetMode="External"/><Relationship Id="rId681" Type="http://schemas.openxmlformats.org/officeDocument/2006/relationships/hyperlink" Target="https://dr7dcgej7t392.cloudfront.net/uploads/RA_BRASAL_2023_DIGITAL_compactado_081340a7e1.pdf" TargetMode="External"/><Relationship Id="rId1030" Type="http://schemas.openxmlformats.org/officeDocument/2006/relationships/hyperlink" Target="https://www.gpabr.com/wp-content/uploads/2024/05/relatorioanual2023_port.pdf" TargetMode="External"/><Relationship Id="rId680" Type="http://schemas.openxmlformats.org/officeDocument/2006/relationships/hyperlink" Target="https://www.brasal.com.br/refrigerantes/files/ra2021.pdf" TargetMode="External"/><Relationship Id="rId1031" Type="http://schemas.openxmlformats.org/officeDocument/2006/relationships/hyperlink" Target="https://api.mziq.com/mzfilemanager/v2/d/ec14f0ab-c5d4-4b12-a413-b6cc7475ed98/9d1775d6-44c3-4944-5e4b-0b0df8ee3d20?origin=1" TargetMode="External"/><Relationship Id="rId1032" Type="http://schemas.openxmlformats.org/officeDocument/2006/relationships/hyperlink" Target="https://www.gpabr.com/wp-content/uploads/2022/04/Relatorio_anual_e_de_sustentabilidade_GPA_2021.pdf" TargetMode="External"/><Relationship Id="rId202" Type="http://schemas.openxmlformats.org/officeDocument/2006/relationships/hyperlink" Target="https://redeilpf.org.br/tag/sustentagro/" TargetMode="External"/><Relationship Id="rId444" Type="http://schemas.openxmlformats.org/officeDocument/2006/relationships/hyperlink" Target="https://publique.com/dsm-e-gastromotiva-promovem-gastronomia-social/" TargetMode="External"/><Relationship Id="rId686" Type="http://schemas.openxmlformats.org/officeDocument/2006/relationships/hyperlink" Target="https://www.brf-global.com/wp-content/themes/brf-global/assets/documents/relatorio/BRF_RI2021_PT.pdf" TargetMode="External"/><Relationship Id="rId1033" Type="http://schemas.openxmlformats.org/officeDocument/2006/relationships/hyperlink" Target="https://www.gpabr.com/wp-content/uploads/2023/06/Relatorio-Anual-e-de-Sustentabilidade-GPA-2022.pdf" TargetMode="External"/><Relationship Id="rId201" Type="http://schemas.openxmlformats.org/officeDocument/2006/relationships/hyperlink" Target="https://www.cargill.com/sustainability/doc/1432249635993/2023-esg-report.pdf" TargetMode="External"/><Relationship Id="rId443" Type="http://schemas.openxmlformats.org/officeDocument/2006/relationships/hyperlink" Target="https://annualreport.dsm.com/ar2021/" TargetMode="External"/><Relationship Id="rId685" Type="http://schemas.openxmlformats.org/officeDocument/2006/relationships/hyperlink" Target="https://www.brf-global.com/wp-content/uploads/2023/05/Relatorio-Integrado-2020.pdf" TargetMode="External"/><Relationship Id="rId1034" Type="http://schemas.openxmlformats.org/officeDocument/2006/relationships/hyperlink" Target="https://www.gpabr.com/wp-content/uploads/2024/05/relatorioanual2023_port.pdf" TargetMode="External"/><Relationship Id="rId200" Type="http://schemas.openxmlformats.org/officeDocument/2006/relationships/hyperlink" Target="https://www.cargill.com.br/sites/Satellite?c=CGL_PressRelease_C&amp;childpagename=CSF_BR%2FCGL_PressRelease_C%2FCCOM%2FNav1Layout&amp;cid=1432238272600&amp;pagename=CCOM_Wrapper" TargetMode="External"/><Relationship Id="rId442" Type="http://schemas.openxmlformats.org/officeDocument/2006/relationships/hyperlink" Target="https://annualreport.dsm.com/ar2020/" TargetMode="External"/><Relationship Id="rId684" Type="http://schemas.openxmlformats.org/officeDocument/2006/relationships/hyperlink" Target="https://www.brf-global.com/wp-content/uploads/2024/07/relatorio-integrado-2023.pdf" TargetMode="External"/><Relationship Id="rId1035" Type="http://schemas.openxmlformats.org/officeDocument/2006/relationships/hyperlink" Target="https://api.mziq.com/mzfilemanager/v2/d/ec14f0ab-c5d4-4b12-a413-b6cc7475ed98/9d1775d6-44c3-4944-5e4b-0b0df8ee3d20?origin=1" TargetMode="External"/><Relationship Id="rId441" Type="http://schemas.openxmlformats.org/officeDocument/2006/relationships/hyperlink" Target="https://annualreport.dsm.com/ar2022/" TargetMode="External"/><Relationship Id="rId683" Type="http://schemas.openxmlformats.org/officeDocument/2006/relationships/hyperlink" Target="https://www.brf-global.com/wp-content/uploads/2023/05/BRF_RI2022_26.05.23.pdf" TargetMode="External"/><Relationship Id="rId1036" Type="http://schemas.openxmlformats.org/officeDocument/2006/relationships/hyperlink" Target="https://www.gpabr.com/wp-content/uploads/2024/05/relatorioanual2023_port.pdf" TargetMode="External"/><Relationship Id="rId1026" Type="http://schemas.openxmlformats.org/officeDocument/2006/relationships/hyperlink" Target="https://grupogazin.com.br/balanco_social/RELATORIO_ANUAL_GAZIN_2022_DIGITAL_T_REDUZIDO.pdf" TargetMode="External"/><Relationship Id="rId1027" Type="http://schemas.openxmlformats.org/officeDocument/2006/relationships/hyperlink" Target="https://api.mziq.com/mzfilemanager/v2/d/ec14f0ab-c5d4-4b12-a413-b6cc7475ed98/9d1775d6-44c3-4944-5e4b-0b0df8ee3d20?origin=1" TargetMode="External"/><Relationship Id="rId1028" Type="http://schemas.openxmlformats.org/officeDocument/2006/relationships/hyperlink" Target="https://www.gpabr.com/wp-content/uploads/2022/04/Relatorio_anual_e_de_sustentabilidade_GPA_2021.pdf" TargetMode="External"/><Relationship Id="rId1029" Type="http://schemas.openxmlformats.org/officeDocument/2006/relationships/hyperlink" Target="https://www.gpabr.com/wp-content/uploads/2023/06/Relatorio-Anual-e-de-Sustentabilidade-GPA-2022.pdf" TargetMode="External"/><Relationship Id="rId437" Type="http://schemas.openxmlformats.org/officeDocument/2006/relationships/hyperlink" Target="https://annualreport.dsm.com/ar2021/" TargetMode="External"/><Relationship Id="rId679" Type="http://schemas.openxmlformats.org/officeDocument/2006/relationships/hyperlink" Target="https://www.brasal.com.br/refrigerantes/files/ra2021.pdf" TargetMode="External"/><Relationship Id="rId436" Type="http://schemas.openxmlformats.org/officeDocument/2006/relationships/hyperlink" Target="https://annualreport.dsm.com/ar2020/" TargetMode="External"/><Relationship Id="rId678" Type="http://schemas.openxmlformats.org/officeDocument/2006/relationships/hyperlink" Target="https://www.bembrasil.ind.br/wp-content/uploads/2024/07/Bem-Brasil-RS-2023_D11.pdf" TargetMode="External"/><Relationship Id="rId435" Type="http://schemas.openxmlformats.org/officeDocument/2006/relationships/hyperlink" Target="https://annualreport.dsm.com/ar2020/" TargetMode="External"/><Relationship Id="rId677" Type="http://schemas.openxmlformats.org/officeDocument/2006/relationships/hyperlink" Target="https://www.bembrasil.ind.br/wp-content/uploads/2023/06/Bem%20Brasil%20-%20Relat%C3%B3rio%20de%20Sustentabilidade%202022.pdf?_t=1688125669" TargetMode="External"/><Relationship Id="rId434" Type="http://schemas.openxmlformats.org/officeDocument/2006/relationships/hyperlink" Target="https://www.cotrisal.com.br/balanco/" TargetMode="External"/><Relationship Id="rId676" Type="http://schemas.openxmlformats.org/officeDocument/2006/relationships/hyperlink" Target="https://www.bembrasil.ind.br/wp-content/uploads/2022/12/RS_BemBrasil_2021-PT-0712.pdf" TargetMode="External"/><Relationship Id="rId439" Type="http://schemas.openxmlformats.org/officeDocument/2006/relationships/hyperlink" Target="https://annualreport.dsm.com/ar2020/" TargetMode="External"/><Relationship Id="rId438" Type="http://schemas.openxmlformats.org/officeDocument/2006/relationships/hyperlink" Target="https://annualreport.dsm.com/ar2022/" TargetMode="External"/><Relationship Id="rId671" Type="http://schemas.openxmlformats.org/officeDocument/2006/relationships/hyperlink" Target="https://www.bembrasil.ind.br/wp-content/uploads/2023/06/Bem%20Brasil%20-%20Relat%C3%B3rio%20de%20Sustentabilidade%202022.pdf?_t=1688125669" TargetMode="External"/><Relationship Id="rId670" Type="http://schemas.openxmlformats.org/officeDocument/2006/relationships/hyperlink" Target="https://www.bembrasil.ind.br/wp-content/uploads/2024/07/Bem-Brasil-RS-2023_D11.pdf" TargetMode="External"/><Relationship Id="rId1020" Type="http://schemas.openxmlformats.org/officeDocument/2006/relationships/hyperlink" Target="https://grupogazin.com.br/balanco_social/RELATORIO_ANUAL_GAZIN_2022_DIGITAL_T_REDUZIDO.pdf" TargetMode="External"/><Relationship Id="rId1021" Type="http://schemas.openxmlformats.org/officeDocument/2006/relationships/hyperlink" Target="https://grupogazin.com.br/balanco_social/BALANCO_SOCIAL_GAZIN_2022.pdf" TargetMode="External"/><Relationship Id="rId433" Type="http://schemas.openxmlformats.org/officeDocument/2006/relationships/hyperlink" Target="https://www.cotrisal.com.br/balanco/" TargetMode="External"/><Relationship Id="rId675" Type="http://schemas.openxmlformats.org/officeDocument/2006/relationships/hyperlink" Target="https://www.bembrasil.ind.br/wp-content/uploads/2024/07/Bem-Brasil-RS-2023_D11.pdf" TargetMode="External"/><Relationship Id="rId1022" Type="http://schemas.openxmlformats.org/officeDocument/2006/relationships/hyperlink" Target="https://grupogazin.com.br/balanco_social/RELATORIO_ANUAL_GAZIN_2022_DIGITAL_T_REDUZIDO.pdf" TargetMode="External"/><Relationship Id="rId432" Type="http://schemas.openxmlformats.org/officeDocument/2006/relationships/hyperlink" Target="https://www.cotrisal.com.br/balanco/" TargetMode="External"/><Relationship Id="rId674" Type="http://schemas.openxmlformats.org/officeDocument/2006/relationships/hyperlink" Target="https://www.bembrasil.ind.br/wp-content/uploads/2023/06/Bem%20Brasil%20-%20Relat%C3%B3rio%20de%20Sustentabilidade%202022.pdf?_t=1688125669" TargetMode="External"/><Relationship Id="rId1023" Type="http://schemas.openxmlformats.org/officeDocument/2006/relationships/hyperlink" Target="https://grupogazin.com.br/sustentabilidade/saude-em-primeiro-lugar" TargetMode="External"/><Relationship Id="rId431" Type="http://schemas.openxmlformats.org/officeDocument/2006/relationships/hyperlink" Target="https://www.cotrisal.com.br/balanco/" TargetMode="External"/><Relationship Id="rId673" Type="http://schemas.openxmlformats.org/officeDocument/2006/relationships/hyperlink" Target="https://www.bembrasil.ind.br/wp-content/uploads/2022/12/RS_BemBrasil_2021-PT-0712.pdf" TargetMode="External"/><Relationship Id="rId1024" Type="http://schemas.openxmlformats.org/officeDocument/2006/relationships/hyperlink" Target="https://grupogazin.com.br/balanco_social/RELATORIO_ANUAL_GAZIN_2022_DIGITAL_T_REDUZIDO.pdf" TargetMode="External"/><Relationship Id="rId430" Type="http://schemas.openxmlformats.org/officeDocument/2006/relationships/hyperlink" Target="https://www.cotrisal.com.br/balanco/" TargetMode="External"/><Relationship Id="rId672" Type="http://schemas.openxmlformats.org/officeDocument/2006/relationships/hyperlink" Target="https://www.bembrasil.ind.br/wp-content/uploads/2024/07/Bem-Brasil-RS-2023_D11.pdf" TargetMode="External"/><Relationship Id="rId1025" Type="http://schemas.openxmlformats.org/officeDocument/2006/relationships/hyperlink" Target="https://grupogazin.com.br/sustentabilidade/programa-de-alimentacao-alternativa"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tnc.org.br/conecte-se/comunicacao/noticias/agroideal/"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0.xml"/><Relationship Id="rId3" Type="http://schemas.openxmlformats.org/officeDocument/2006/relationships/vmlDrawing" Target="../drawings/vmlDrawing3.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90" Type="http://schemas.openxmlformats.org/officeDocument/2006/relationships/hyperlink" Target="https://www.frisia.coop.br/relatorios-anuais/relatorio_anual_2021.pdf" TargetMode="External"/><Relationship Id="rId194" Type="http://schemas.openxmlformats.org/officeDocument/2006/relationships/hyperlink" Target="https://www.ecomfoundation.org/en/" TargetMode="External"/><Relationship Id="rId193" Type="http://schemas.openxmlformats.org/officeDocument/2006/relationships/hyperlink" Target="https://www.ecomtrading.com/" TargetMode="External"/><Relationship Id="rId192" Type="http://schemas.openxmlformats.org/officeDocument/2006/relationships/hyperlink" Target="https://www.frisia.coop.br/relatorios-anuais/relatorio_anual_2023.pdf" TargetMode="External"/><Relationship Id="rId191" Type="http://schemas.openxmlformats.org/officeDocument/2006/relationships/hyperlink" Target="https://www.frisia.coop.br/relatorios-anuais/relatorio_anual_2022.pdf" TargetMode="External"/><Relationship Id="rId187" Type="http://schemas.openxmlformats.org/officeDocument/2006/relationships/hyperlink" Target="https://www.frisia.coop.br/" TargetMode="External"/><Relationship Id="rId186" Type="http://schemas.openxmlformats.org/officeDocument/2006/relationships/hyperlink" Target="https://www.castrolanda.coop.br/wp-content/uploads/2024/05/20240527-Relatorio-Sustentabilidade-Web.pdf" TargetMode="External"/><Relationship Id="rId185" Type="http://schemas.openxmlformats.org/officeDocument/2006/relationships/hyperlink" Target="https://www.castrolanda.coop.br/castrolanda-completa-71-anos-de-historia-e-conquistas/" TargetMode="External"/><Relationship Id="rId184" Type="http://schemas.openxmlformats.org/officeDocument/2006/relationships/hyperlink" Target="https://www.castrolanda.coop.br/relatorios/relatorio-anual-2022/" TargetMode="External"/><Relationship Id="rId189" Type="http://schemas.openxmlformats.org/officeDocument/2006/relationships/hyperlink" Target="https://www.frisia.coop.br/relatorios-anuais/relatorio_anual_2020.pdf" TargetMode="External"/><Relationship Id="rId188" Type="http://schemas.openxmlformats.org/officeDocument/2006/relationships/hyperlink" Target="https://fundacaoabc.org/" TargetMode="External"/><Relationship Id="rId183" Type="http://schemas.openxmlformats.org/officeDocument/2006/relationships/hyperlink" Target="https://www.castrolanda.coop.br/relatorios/relatorio-anual-2021/" TargetMode="External"/><Relationship Id="rId182" Type="http://schemas.openxmlformats.org/officeDocument/2006/relationships/hyperlink" Target="https://www.castrolanda.coop.br/relatorios/relatorio-anual-2020/" TargetMode="External"/><Relationship Id="rId181" Type="http://schemas.openxmlformats.org/officeDocument/2006/relationships/hyperlink" Target="https://fundacaoabc.org/" TargetMode="External"/><Relationship Id="rId180" Type="http://schemas.openxmlformats.org/officeDocument/2006/relationships/hyperlink" Target="https://www.castrolanda.coop.br/" TargetMode="External"/><Relationship Id="rId176" Type="http://schemas.openxmlformats.org/officeDocument/2006/relationships/hyperlink" Target="https://www.agraria.com.br/arquivos/2023/agraria_relatorio_anual_2022.pdf" TargetMode="External"/><Relationship Id="rId175" Type="http://schemas.openxmlformats.org/officeDocument/2006/relationships/hyperlink" Target="https://www.agraria.com.br/arquivos/relatorio_anual_2021.pdf" TargetMode="External"/><Relationship Id="rId174" Type="http://schemas.openxmlformats.org/officeDocument/2006/relationships/hyperlink" Target="https://www.agraria.com.br/arquivos/relatorio_anual_2020-v2.pdf" TargetMode="External"/><Relationship Id="rId173" Type="http://schemas.openxmlformats.org/officeDocument/2006/relationships/hyperlink" Target="https://www.agraria.com.br/agraria" TargetMode="External"/><Relationship Id="rId179" Type="http://schemas.openxmlformats.org/officeDocument/2006/relationships/hyperlink" Target="https://www.agraria.com.br/arquivos/relatorio_sustentabilidade_2021.pdf" TargetMode="External"/><Relationship Id="rId178" Type="http://schemas.openxmlformats.org/officeDocument/2006/relationships/hyperlink" Target="https://www.agraria.com.br/arquivos/relatorio_sustentabilidade_2020-v2.pdf" TargetMode="External"/><Relationship Id="rId177" Type="http://schemas.openxmlformats.org/officeDocument/2006/relationships/hyperlink" Target="https://www.agraria.com.br/arquivos/2023/relatorio-anual-2023.pdf" TargetMode="External"/><Relationship Id="rId198" Type="http://schemas.openxmlformats.org/officeDocument/2006/relationships/hyperlink" Target="https://www.ecomtrading.com/media/1rafwdn4/ecom-group-sustainability-report-2023-2.pdf" TargetMode="External"/><Relationship Id="rId197" Type="http://schemas.openxmlformats.org/officeDocument/2006/relationships/hyperlink" Target="https://www.ecomtrading.com/media/3nxf10t4/ecom-group-sustainability-r-22.pdf" TargetMode="External"/><Relationship Id="rId196" Type="http://schemas.openxmlformats.org/officeDocument/2006/relationships/hyperlink" Target="https://www.ecomtrading.com/media/ljrp0dn2/ecom-group-sustainability-report.pdf" TargetMode="External"/><Relationship Id="rId195" Type="http://schemas.openxmlformats.org/officeDocument/2006/relationships/hyperlink" Target="https://www.ecomtrading.com/media/gajn0b1c/2020-sustainability_annual_report.pdf" TargetMode="External"/><Relationship Id="rId199" Type="http://schemas.openxmlformats.org/officeDocument/2006/relationships/hyperlink" Target="https://www.cotrijal.com.br/" TargetMode="External"/><Relationship Id="rId150" Type="http://schemas.openxmlformats.org/officeDocument/2006/relationships/hyperlink" Target="https://www.linkedin.com/company/cooperativa-agroindustrial-alfa/?originalSubdomain=br" TargetMode="External"/><Relationship Id="rId392" Type="http://schemas.openxmlformats.org/officeDocument/2006/relationships/hyperlink" Target="https://media.starlightcms.io/workspaces/pague-menos/esg/original/paguemenos-ra21pdf-bqjg90vpsn.pdf" TargetMode="External"/><Relationship Id="rId391" Type="http://schemas.openxmlformats.org/officeDocument/2006/relationships/hyperlink" Target="https://esg.paguemenos.com.br/pt" TargetMode="External"/><Relationship Id="rId390" Type="http://schemas.openxmlformats.org/officeDocument/2006/relationships/hyperlink" Target="https://ri.cencosud.com.br/o-grupo/quem-somos/" TargetMode="External"/><Relationship Id="rId1" Type="http://schemas.openxmlformats.org/officeDocument/2006/relationships/comments" Target="../comments5.xml"/><Relationship Id="rId2" Type="http://schemas.openxmlformats.org/officeDocument/2006/relationships/hyperlink" Target="https://www.linkedin.com/company/3tentosagro/" TargetMode="External"/><Relationship Id="rId3" Type="http://schemas.openxmlformats.org/officeDocument/2006/relationships/hyperlink" Target="https://www.instagram.com/3tentos/" TargetMode="External"/><Relationship Id="rId149" Type="http://schemas.openxmlformats.org/officeDocument/2006/relationships/hyperlink" Target="https://www.caramuru.com/wp-content/uploads/2024/06/Caramuru_RS2023-compactado.pdf" TargetMode="External"/><Relationship Id="rId4" Type="http://schemas.openxmlformats.org/officeDocument/2006/relationships/hyperlink" Target="https://www.3tentos.com.br/" TargetMode="External"/><Relationship Id="rId148" Type="http://schemas.openxmlformats.org/officeDocument/2006/relationships/hyperlink" Target="https://www.caramuru.com/wp-content/uploads/2023/07/Caramuru_RS_2022.pdf" TargetMode="External"/><Relationship Id="rId9" Type="http://schemas.openxmlformats.org/officeDocument/2006/relationships/hyperlink" Target="https://www.3tentos.com.br/assets/esg/relatoriosustentabilidade2023.pdf" TargetMode="External"/><Relationship Id="rId143" Type="http://schemas.openxmlformats.org/officeDocument/2006/relationships/hyperlink" Target="https://coopercitrus.com.br/wp-content/uploads/2024/04/RELATORIO_GESTAO_COOPERCITRUS_2023_DIGITAL.pdf" TargetMode="External"/><Relationship Id="rId385" Type="http://schemas.openxmlformats.org/officeDocument/2006/relationships/hyperlink" Target="https://eletro.supermuffato.com.br/Institucional/pt-br/responsabilidade" TargetMode="External"/><Relationship Id="rId142" Type="http://schemas.openxmlformats.org/officeDocument/2006/relationships/hyperlink" Target="https://coopercitrus.com.br/wp-content/uploads/2023/08/RELATORIO_DE_SUSTENTABILIDADE_COOPERCITRUS_2022.pdf" TargetMode="External"/><Relationship Id="rId384" Type="http://schemas.openxmlformats.org/officeDocument/2006/relationships/hyperlink" Target="https://eletro.supermuffato.com.br/Institucional/pt-br/tradicao-historia" TargetMode="External"/><Relationship Id="rId141" Type="http://schemas.openxmlformats.org/officeDocument/2006/relationships/hyperlink" Target="https://coopercitrus.com.br/wp-content/uploads/2022/04/RELATORIO_SUTENTABILIDADE_COOPERCITRUS_2021.pdf" TargetMode="External"/><Relationship Id="rId383" Type="http://schemas.openxmlformats.org/officeDocument/2006/relationships/hyperlink" Target="https://eletro.supermuffato.com.br/Institucional/pt-br/grupo-muffato" TargetMode="External"/><Relationship Id="rId140" Type="http://schemas.openxmlformats.org/officeDocument/2006/relationships/hyperlink" Target="https://coopercitrus.com.br/wp-content/uploads/2022/04/2020_RELATORIO-DE-SUSTENTABILIDADE-COOPERCITRUS1.pdf" TargetMode="External"/><Relationship Id="rId382" Type="http://schemas.openxmlformats.org/officeDocument/2006/relationships/hyperlink" Target="https://eletro.supermuffato.com.br/" TargetMode="External"/><Relationship Id="rId5" Type="http://schemas.openxmlformats.org/officeDocument/2006/relationships/hyperlink" Target="https://www.facebook.com/3tentos/" TargetMode="External"/><Relationship Id="rId147" Type="http://schemas.openxmlformats.org/officeDocument/2006/relationships/hyperlink" Target="https://entretodos.caramuru.com/docs/RS_Caramuru_2021_DFINAL_26.08.pdf" TargetMode="External"/><Relationship Id="rId389" Type="http://schemas.openxmlformats.org/officeDocument/2006/relationships/hyperlink" Target="https://api.mziq.com/mzfilemanager/v2/d/6a0279ca-cad9-41a9-9795-4f1a73009165/4de43ee6-9013-7025-b689-751f45c618e6?origin=1" TargetMode="External"/><Relationship Id="rId6" Type="http://schemas.openxmlformats.org/officeDocument/2006/relationships/hyperlink" Target="https://www.3tentos.com.br/sobre-nos" TargetMode="External"/><Relationship Id="rId146" Type="http://schemas.openxmlformats.org/officeDocument/2006/relationships/hyperlink" Target="https://www.caramuru.com/wp-content/uploads/2021/11/Relat%C2%A2rio-Caramuru_2020_Interativo.pdf" TargetMode="External"/><Relationship Id="rId388" Type="http://schemas.openxmlformats.org/officeDocument/2006/relationships/hyperlink" Target="https://api.mziq.com/mzfilemanager/v2/d/6a0279ca-cad9-41a9-9795-4f1a73009165/b7cda436-c8d3-a0d6-a0f5-043a0e9e864c?origin=1" TargetMode="External"/><Relationship Id="rId7" Type="http://schemas.openxmlformats.org/officeDocument/2006/relationships/hyperlink" Target="https://www.3tentos.com.br/assets/esg/relatoriodesustentabilidade2022.pdf" TargetMode="External"/><Relationship Id="rId145" Type="http://schemas.openxmlformats.org/officeDocument/2006/relationships/hyperlink" Target="https://www.caramuru.com/" TargetMode="External"/><Relationship Id="rId387" Type="http://schemas.openxmlformats.org/officeDocument/2006/relationships/hyperlink" Target="https://ri.cencosud.com.br/o-grupo/sustentabilidade/" TargetMode="External"/><Relationship Id="rId8" Type="http://schemas.openxmlformats.org/officeDocument/2006/relationships/hyperlink" Target="https://www.3tentos.com.br/esg" TargetMode="External"/><Relationship Id="rId144" Type="http://schemas.openxmlformats.org/officeDocument/2006/relationships/hyperlink" Target="https://www.linkedin.com/company/caramuru-alimentos-s.a./?originalSubdomain=br" TargetMode="External"/><Relationship Id="rId386" Type="http://schemas.openxmlformats.org/officeDocument/2006/relationships/hyperlink" Target="https://ri.cencosud.com.br/" TargetMode="External"/><Relationship Id="rId381" Type="http://schemas.openxmlformats.org/officeDocument/2006/relationships/hyperlink" Target="https://www.grupodpsp.com.br/quem-somos/" TargetMode="External"/><Relationship Id="rId380" Type="http://schemas.openxmlformats.org/officeDocument/2006/relationships/hyperlink" Target="https://www.grupodpsp.com.br/wp-content/uploads/2024/04/informe-sustentabilidade-2024.pdf" TargetMode="External"/><Relationship Id="rId139" Type="http://schemas.openxmlformats.org/officeDocument/2006/relationships/hyperlink" Target="http://fndcoopercitruscredicitrus.org.br/" TargetMode="External"/><Relationship Id="rId138" Type="http://schemas.openxmlformats.org/officeDocument/2006/relationships/hyperlink" Target="https://www.facebook.com/coopercitrusoficial/?locale=pt_BR" TargetMode="External"/><Relationship Id="rId137" Type="http://schemas.openxmlformats.org/officeDocument/2006/relationships/hyperlink" Target="https://coopercitrus.com.br/" TargetMode="External"/><Relationship Id="rId379" Type="http://schemas.openxmlformats.org/officeDocument/2006/relationships/hyperlink" Target="https://www.grupodpsp.com.br/wp-content/uploads/2023/04/Book-DPSP-Consolidado-2022_v3-1.pdf" TargetMode="External"/><Relationship Id="rId132" Type="http://schemas.openxmlformats.org/officeDocument/2006/relationships/hyperlink" Target="https://web.facebook.com/cooperativacooxupe/?locale=pt_BR&amp;_rdc=1&amp;_rdr" TargetMode="External"/><Relationship Id="rId374" Type="http://schemas.openxmlformats.org/officeDocument/2006/relationships/hyperlink" Target="https://meli-sustentabilidad-bucket.s3.amazonaws.com/MELI_2023_POR_26e9d74b05.pdf" TargetMode="External"/><Relationship Id="rId131" Type="http://schemas.openxmlformats.org/officeDocument/2006/relationships/hyperlink" Target="https://www.cooxupe.com.br/" TargetMode="External"/><Relationship Id="rId373" Type="http://schemas.openxmlformats.org/officeDocument/2006/relationships/hyperlink" Target="https://meli-sustentabilidad-bucket.s3.amazonaws.com/Meli_2022_POR_5f7568efc8.pdf" TargetMode="External"/><Relationship Id="rId130" Type="http://schemas.openxmlformats.org/officeDocument/2006/relationships/hyperlink" Target="https://www.instagram.com/cooperativacooxupe/" TargetMode="External"/><Relationship Id="rId372" Type="http://schemas.openxmlformats.org/officeDocument/2006/relationships/hyperlink" Target="https://meli-sustentabilidad-bucket.s3.amazonaws.com/Meli_2021_POR_6cde283fb8.pdf" TargetMode="External"/><Relationship Id="rId371" Type="http://schemas.openxmlformats.org/officeDocument/2006/relationships/hyperlink" Target="https://meli-sustentabilidad-bucket.s3.amazonaws.com/reporte_2020_pt_dd3211e712.pdf" TargetMode="External"/><Relationship Id="rId136" Type="http://schemas.openxmlformats.org/officeDocument/2006/relationships/hyperlink" Target="https://www.instagram.com/coopercitrusoficial/" TargetMode="External"/><Relationship Id="rId378" Type="http://schemas.openxmlformats.org/officeDocument/2006/relationships/hyperlink" Target="https://www.grupodpsp.com.br/" TargetMode="External"/><Relationship Id="rId135" Type="http://schemas.openxmlformats.org/officeDocument/2006/relationships/hyperlink" Target="https://www.linkedin.com/company/coopercitrus/?originalSubdomain=br" TargetMode="External"/><Relationship Id="rId377" Type="http://schemas.openxmlformats.org/officeDocument/2006/relationships/hyperlink" Target="https://meli-sustentabilidad-bucket.s3.amazonaws.com/MELI_2023_BONO_ENG_14_2_ccc47a7e7a.pdf" TargetMode="External"/><Relationship Id="rId134" Type="http://schemas.openxmlformats.org/officeDocument/2006/relationships/hyperlink" Target="https://www.cooxupe.com.br/wp-content/uploads/2024/03/RELATORIO-GESTAO-COOXUPE-2023.pdf" TargetMode="External"/><Relationship Id="rId376" Type="http://schemas.openxmlformats.org/officeDocument/2006/relationships/hyperlink" Target="https://meli-sustentabilidad-bucket.s3.amazonaws.com/Meli_2022_BONO_ENG_e92be85e23.pdf" TargetMode="External"/><Relationship Id="rId133" Type="http://schemas.openxmlformats.org/officeDocument/2006/relationships/hyperlink" Target="https://www.cooxupe.com.br/wp-content/uploads/2022/03/COOXUPE-RELATORIO-GESTAO-2021-1.pdf" TargetMode="External"/><Relationship Id="rId375" Type="http://schemas.openxmlformats.org/officeDocument/2006/relationships/hyperlink" Target="https://meli-sustentabilidad-bucket.s3.amazonaws.com/Meli_2021_Bond_ENG_22_2_c35fdaac96.pdf" TargetMode="External"/><Relationship Id="rId172" Type="http://schemas.openxmlformats.org/officeDocument/2006/relationships/hyperlink" Target="https://www.agraria.com.br/" TargetMode="External"/><Relationship Id="rId171" Type="http://schemas.openxmlformats.org/officeDocument/2006/relationships/hyperlink" Target="https://www.belagricola.com.br/images/uploads/posts/belagricola-ras-2022-pt_1689085779.pdf" TargetMode="External"/><Relationship Id="rId170" Type="http://schemas.openxmlformats.org/officeDocument/2006/relationships/hyperlink" Target="https://drive.google.com/file/d/1xvcv7prWyWiNKx8VPUmb1a-Grg0vaVYJ/view" TargetMode="External"/><Relationship Id="rId165" Type="http://schemas.openxmlformats.org/officeDocument/2006/relationships/hyperlink" Target="https://www.integrada.coop.br/downloads/relatorio-sustentabilidade.pdf" TargetMode="External"/><Relationship Id="rId164" Type="http://schemas.openxmlformats.org/officeDocument/2006/relationships/hyperlink" Target="https://www.integrada.coop.br/relatorio-atividades.xhtml" TargetMode="External"/><Relationship Id="rId163" Type="http://schemas.openxmlformats.org/officeDocument/2006/relationships/hyperlink" Target="https://www.integrada.coop.br/relatorio-atividades.xhtml" TargetMode="External"/><Relationship Id="rId162" Type="http://schemas.openxmlformats.org/officeDocument/2006/relationships/hyperlink" Target="https://www.integrada.coop.br/relatorio-atividades.xhtml" TargetMode="External"/><Relationship Id="rId169" Type="http://schemas.openxmlformats.org/officeDocument/2006/relationships/hyperlink" Target="https://www.facebook.com/belagricola/?locale=pt_BR" TargetMode="External"/><Relationship Id="rId168" Type="http://schemas.openxmlformats.org/officeDocument/2006/relationships/hyperlink" Target="https://www.belagricola.com.br/" TargetMode="External"/><Relationship Id="rId167" Type="http://schemas.openxmlformats.org/officeDocument/2006/relationships/hyperlink" Target="https://www.instagram.com/belagricola/" TargetMode="External"/><Relationship Id="rId166" Type="http://schemas.openxmlformats.org/officeDocument/2006/relationships/hyperlink" Target="https://www.linkedin.com/company/belagricola/?originalSubdomain=br" TargetMode="External"/><Relationship Id="rId161" Type="http://schemas.openxmlformats.org/officeDocument/2006/relationships/hyperlink" Target="https://www.integrada.coop.br/relatorio-atividades.xhtml" TargetMode="External"/><Relationship Id="rId160" Type="http://schemas.openxmlformats.org/officeDocument/2006/relationships/hyperlink" Target="https://www.facebook.com/cooperativaintegrada/?locale=pt_BR" TargetMode="External"/><Relationship Id="rId159" Type="http://schemas.openxmlformats.org/officeDocument/2006/relationships/hyperlink" Target="https://www.integrada.coop.br/" TargetMode="External"/><Relationship Id="rId154" Type="http://schemas.openxmlformats.org/officeDocument/2006/relationships/hyperlink" Target="https://www.cooperalfa.com.br/storage/arquivopdf/YZyXROPaGnRuNRmXD3oVVCANeBr8DdAjA4ch3GmA.pdf" TargetMode="External"/><Relationship Id="rId396" Type="http://schemas.openxmlformats.org/officeDocument/2006/relationships/hyperlink" Target="https://www.copacol.com.br/downloads/relatorio-conselho.pdf" TargetMode="External"/><Relationship Id="rId153" Type="http://schemas.openxmlformats.org/officeDocument/2006/relationships/hyperlink" Target="https://www.facebook.com/cooperalfaoficial/?locale=pt_BR" TargetMode="External"/><Relationship Id="rId395" Type="http://schemas.openxmlformats.org/officeDocument/2006/relationships/hyperlink" Target="https://www.copacol.com.br/" TargetMode="External"/><Relationship Id="rId152" Type="http://schemas.openxmlformats.org/officeDocument/2006/relationships/hyperlink" Target="https://www.cooperalfa.com.br/" TargetMode="External"/><Relationship Id="rId394" Type="http://schemas.openxmlformats.org/officeDocument/2006/relationships/hyperlink" Target="https://media.starlightcms.io/workspaces/pague-menos/esg/original/pague-menos-rs-2023-v9-060524-baixapdf-rp3o6lcwfe.pdf" TargetMode="External"/><Relationship Id="rId151" Type="http://schemas.openxmlformats.org/officeDocument/2006/relationships/hyperlink" Target="https://www.instagram.com/cooperalfaoficial/" TargetMode="External"/><Relationship Id="rId393" Type="http://schemas.openxmlformats.org/officeDocument/2006/relationships/hyperlink" Target="https://media.starlightcms.io/workspaces/pague-menos/esg/original/vf-paguemenos-rs2022-19052023pdf-i114huknbq.pdf" TargetMode="External"/><Relationship Id="rId158" Type="http://schemas.openxmlformats.org/officeDocument/2006/relationships/hyperlink" Target="https://www.instagram.com/coopintegrada/" TargetMode="External"/><Relationship Id="rId157" Type="http://schemas.openxmlformats.org/officeDocument/2006/relationships/hyperlink" Target="https://www.linkedin.com/company/cooperativaintegrada/?originalSubdomain=br" TargetMode="External"/><Relationship Id="rId399" Type="http://schemas.openxmlformats.org/officeDocument/2006/relationships/hyperlink" Target="https://www.copacol.com.br/downloads/relatorio-2023-adm.pdf" TargetMode="External"/><Relationship Id="rId156" Type="http://schemas.openxmlformats.org/officeDocument/2006/relationships/hyperlink" Target="https://www.cooperalfa.com.br/storage/images/OodjNWvp8TCeGwhWVTU1Su2F8a2YczdJhKKm4CVf.pdf" TargetMode="External"/><Relationship Id="rId398" Type="http://schemas.openxmlformats.org/officeDocument/2006/relationships/hyperlink" Target="https://www.copacol.com.br/downloads/relatorio-2022-adm.pdf" TargetMode="External"/><Relationship Id="rId155" Type="http://schemas.openxmlformats.org/officeDocument/2006/relationships/hyperlink" Target="https://www.cooperalfa.com.br/storage/arquivopdf/MmnmeTbA3nCbrt1b3mWfx9aKDfZYKrRV96YNwUI5.pdf" TargetMode="External"/><Relationship Id="rId397" Type="http://schemas.openxmlformats.org/officeDocument/2006/relationships/hyperlink" Target="https://www.copacol.com.br/downloads/relatorio-2021-adm.pdf" TargetMode="External"/><Relationship Id="rId40" Type="http://schemas.openxmlformats.org/officeDocument/2006/relationships/hyperlink" Target="https://api.mziq.com/mzfilemanager/v2/d/4594750a-94b7-4fcb-bbbc-514e4d1295e3/b786f5f7-59de-2715-fcfb-94d5ed728e8d?origin=1" TargetMode="External"/><Relationship Id="rId42" Type="http://schemas.openxmlformats.org/officeDocument/2006/relationships/hyperlink" Target="https://ri.agrogalaxy.com.br/governanca-corporativa-e-sustentabilidade/relatorio-de-sustentabilidade/" TargetMode="External"/><Relationship Id="rId41" Type="http://schemas.openxmlformats.org/officeDocument/2006/relationships/hyperlink" Target="https://www.institutoagrogalaxy.org.br/" TargetMode="External"/><Relationship Id="rId44" Type="http://schemas.openxmlformats.org/officeDocument/2006/relationships/hyperlink" Target="https://www.linkedin.com/company/bunge/" TargetMode="External"/><Relationship Id="rId43" Type="http://schemas.openxmlformats.org/officeDocument/2006/relationships/hyperlink" Target="https://api.mziq.com/mzfilemanager/v2/d/4594750a-94b7-4fcb-bbbc-514e4d1295e3/58f33b40-68c7-e6cc-039d-55fe2800b7c5?origin=1" TargetMode="External"/><Relationship Id="rId46" Type="http://schemas.openxmlformats.org/officeDocument/2006/relationships/hyperlink" Target="https://www.bunge.com.br/en/" TargetMode="External"/><Relationship Id="rId45" Type="http://schemas.openxmlformats.org/officeDocument/2006/relationships/hyperlink" Target="https://www.instagram.com/proudtobebunge/" TargetMode="External"/><Relationship Id="rId509" Type="http://schemas.openxmlformats.org/officeDocument/2006/relationships/hyperlink" Target="https://api.mziq.com/mzfilemanager/v2/d/357a8c2e-106b-4248-8181-2241395742be/c55ecccd-449d-bb51-d620-d3c5965a8d71?origin=1" TargetMode="External"/><Relationship Id="rId508" Type="http://schemas.openxmlformats.org/officeDocument/2006/relationships/hyperlink" Target="https://api.mziq.com/mzfilemanager/v2/d/357a8c2e-106b-4248-8181-2241395742be/11cdc451-254a-c09c-35b7-235662f235af?origin=1" TargetMode="External"/><Relationship Id="rId503" Type="http://schemas.openxmlformats.org/officeDocument/2006/relationships/hyperlink" Target="https://www.dpaschoal.com.br/nosso-jeito-de-ser" TargetMode="External"/><Relationship Id="rId502" Type="http://schemas.openxmlformats.org/officeDocument/2006/relationships/hyperlink" Target="https://www.zonasul.com.br/institucional/quem-somos" TargetMode="External"/><Relationship Id="rId501" Type="http://schemas.openxmlformats.org/officeDocument/2006/relationships/hyperlink" Target="https://zonasul.vtexcommercestable.com.br/api/dataentities/PD/documents/4c6cc80e-6468-11ef-b37f-d0aee1cf2e0e/arquivo/attachments/Relat%C3%B3rio%20-%20A%C3%A7%C3%B5es%20Sustent%C3%A1veis%202023.pdf" TargetMode="External"/><Relationship Id="rId500" Type="http://schemas.openxmlformats.org/officeDocument/2006/relationships/hyperlink" Target="https://zonasul.vtexcommercestable.com.br/api/dataentities/PD/documents/411a883f-90eb-11ed-83ab-0a9dd5f3892d/arquivo/attachments/digital_relatorio_sustentabilidade_zona_sul_2022v3.pdf" TargetMode="External"/><Relationship Id="rId507" Type="http://schemas.openxmlformats.org/officeDocument/2006/relationships/hyperlink" Target="https://ri.quero-quero.com.br/" TargetMode="External"/><Relationship Id="rId506" Type="http://schemas.openxmlformats.org/officeDocument/2006/relationships/hyperlink" Target="https://www.grupodpaschoal.com.br/wp-content/uploads/2023/07/2022_Relatorio-Sustentabilidade-CDP_vFinal.pdf" TargetMode="External"/><Relationship Id="rId505" Type="http://schemas.openxmlformats.org/officeDocument/2006/relationships/hyperlink" Target="https://www.grupodpaschoal.com.br/wp-content/uploads/2022/04/Relatorio-Sustentabilidade_CDP_PT_vF.pdf" TargetMode="External"/><Relationship Id="rId504" Type="http://schemas.openxmlformats.org/officeDocument/2006/relationships/hyperlink" Target="https://fundacaoeducar.org.br/" TargetMode="External"/><Relationship Id="rId48" Type="http://schemas.openxmlformats.org/officeDocument/2006/relationships/hyperlink" Target="https://www.bunge.com.br/Somos-Bunge/Nossa-Historia" TargetMode="External"/><Relationship Id="rId47" Type="http://schemas.openxmlformats.org/officeDocument/2006/relationships/hyperlink" Target="https://fundacaobunge.org.br/" TargetMode="External"/><Relationship Id="rId49" Type="http://schemas.openxmlformats.org/officeDocument/2006/relationships/hyperlink" Target="https://www.bunge.com.br/Sustentabilidade/Nossos-Relatorios" TargetMode="External"/><Relationship Id="rId31" Type="http://schemas.openxmlformats.org/officeDocument/2006/relationships/hyperlink" Target="https://www.instagram.com/granja.faria/" TargetMode="External"/><Relationship Id="rId30" Type="http://schemas.openxmlformats.org/officeDocument/2006/relationships/hyperlink" Target="https://www.linkedin.com/company/granja-faria/about/" TargetMode="External"/><Relationship Id="rId33" Type="http://schemas.openxmlformats.org/officeDocument/2006/relationships/hyperlink" Target="https://www.facebook.com/grupo.granjafaria/" TargetMode="External"/><Relationship Id="rId32" Type="http://schemas.openxmlformats.org/officeDocument/2006/relationships/hyperlink" Target="https://granjafaria.com.br/" TargetMode="External"/><Relationship Id="rId35" Type="http://schemas.openxmlformats.org/officeDocument/2006/relationships/hyperlink" Target="https://www.linkedin.com/company/agro-galaxy/" TargetMode="External"/><Relationship Id="rId34" Type="http://schemas.openxmlformats.org/officeDocument/2006/relationships/hyperlink" Target="https://granjafaria.com.br/nossa-historia/" TargetMode="External"/><Relationship Id="rId37" Type="http://schemas.openxmlformats.org/officeDocument/2006/relationships/hyperlink" Target="https://agrogalaxy.com.br/" TargetMode="External"/><Relationship Id="rId36" Type="http://schemas.openxmlformats.org/officeDocument/2006/relationships/hyperlink" Target="https://www.instagram.com/agrogalaxy/" TargetMode="External"/><Relationship Id="rId39" Type="http://schemas.openxmlformats.org/officeDocument/2006/relationships/hyperlink" Target="https://agrogalaxy.com.br/quem-somos/" TargetMode="External"/><Relationship Id="rId38" Type="http://schemas.openxmlformats.org/officeDocument/2006/relationships/hyperlink" Target="https://www.facebook.com/agrogalaxy/about" TargetMode="External"/><Relationship Id="rId20" Type="http://schemas.openxmlformats.org/officeDocument/2006/relationships/hyperlink" Target="https://www.linkedin.com/company/slcagricola/about/" TargetMode="External"/><Relationship Id="rId22" Type="http://schemas.openxmlformats.org/officeDocument/2006/relationships/hyperlink" Target="https://www.facebook.com/grupo.slc/" TargetMode="External"/><Relationship Id="rId21" Type="http://schemas.openxmlformats.org/officeDocument/2006/relationships/hyperlink" Target="https://www.slc.com.br/home" TargetMode="External"/><Relationship Id="rId24" Type="http://schemas.openxmlformats.org/officeDocument/2006/relationships/hyperlink" Target="https://www.slcagricola.com.br/ri2021/pdf/SLC_RelatorioIntegrado2021.pdf" TargetMode="External"/><Relationship Id="rId23" Type="http://schemas.openxmlformats.org/officeDocument/2006/relationships/hyperlink" Target="https://www.linkedin.com/company/slcagricola/about/" TargetMode="External"/><Relationship Id="rId525" Type="http://schemas.openxmlformats.org/officeDocument/2006/relationships/hyperlink" Target="https://es.selmi.com.br/relatorio-sustentabilidade-2023.pdf" TargetMode="External"/><Relationship Id="rId524" Type="http://schemas.openxmlformats.org/officeDocument/2006/relationships/hyperlink" Target="https://es.selmi.com.br/RELAT%C3%93RIO_SUSTENTABILIDADE_2022_05-06_DIG.pdf" TargetMode="External"/><Relationship Id="rId523" Type="http://schemas.openxmlformats.org/officeDocument/2006/relationships/hyperlink" Target="https://es.selmi.com.br/relatorio-sustentabilidade-2021.pdf" TargetMode="External"/><Relationship Id="rId522" Type="http://schemas.openxmlformats.org/officeDocument/2006/relationships/hyperlink" Target="https://pt-br.selmi.com.br/relatorio-sustentabilidade-2020.pdf" TargetMode="External"/><Relationship Id="rId529" Type="http://schemas.openxmlformats.org/officeDocument/2006/relationships/hyperlink" Target="https://www.linkedin.com/posts/dorialimentos_relat%C3%B3rio-esg-da-dori-activity-6912743046665093120-kpdC/?originalSubdomain=pt" TargetMode="External"/><Relationship Id="rId528" Type="http://schemas.openxmlformats.org/officeDocument/2006/relationships/hyperlink" Target="https://dori.com.br/" TargetMode="External"/><Relationship Id="rId527" Type="http://schemas.openxmlformats.org/officeDocument/2006/relationships/hyperlink" Target="https://drive.google.com/file/d/1hvgwN-cvv9hOS6Vep0VGv3LqPlQ97FSM/view?pli=1" TargetMode="External"/><Relationship Id="rId526" Type="http://schemas.openxmlformats.org/officeDocument/2006/relationships/hyperlink" Target="https://www.cotrisel.com/" TargetMode="External"/><Relationship Id="rId26" Type="http://schemas.openxmlformats.org/officeDocument/2006/relationships/hyperlink" Target="https://www.slcagricola.com.br/ri2020/pdf/slc_ri_2020.pdf" TargetMode="External"/><Relationship Id="rId25" Type="http://schemas.openxmlformats.org/officeDocument/2006/relationships/hyperlink" Target="https://www.slcagricola.com.br/quem-somos/" TargetMode="External"/><Relationship Id="rId28" Type="http://schemas.openxmlformats.org/officeDocument/2006/relationships/hyperlink" Target="https://www.slcagricola.com.br/relatorio-integrado/" TargetMode="External"/><Relationship Id="rId27" Type="http://schemas.openxmlformats.org/officeDocument/2006/relationships/hyperlink" Target="https://www.slcagricola.com.br/wp-content/uploads/2023/04/Relatorio-integrado-slcagricola-2022-1.pdf" TargetMode="External"/><Relationship Id="rId521" Type="http://schemas.openxmlformats.org/officeDocument/2006/relationships/hyperlink" Target="https://pt-br.selmi.com.br/" TargetMode="External"/><Relationship Id="rId29" Type="http://schemas.openxmlformats.org/officeDocument/2006/relationships/hyperlink" Target="https://www.slcagricola.com.br/ri2023/assets/pdf/SLC_Agricola_RI_2023.pdf" TargetMode="External"/><Relationship Id="rId520" Type="http://schemas.openxmlformats.org/officeDocument/2006/relationships/hyperlink" Target="https://www.pamplona.com.br/fmanager/pamplona/transparencia/arquivo37_1.pdf" TargetMode="External"/><Relationship Id="rId11" Type="http://schemas.openxmlformats.org/officeDocument/2006/relationships/hyperlink" Target="https://www.instagram.com/brasilagro.oficial/" TargetMode="External"/><Relationship Id="rId10" Type="http://schemas.openxmlformats.org/officeDocument/2006/relationships/hyperlink" Target="https://www.linkedin.com/company/brasilagro/" TargetMode="External"/><Relationship Id="rId13" Type="http://schemas.openxmlformats.org/officeDocument/2006/relationships/hyperlink" Target="https://www.facebook.com/BrasilAgroOficial" TargetMode="External"/><Relationship Id="rId12" Type="http://schemas.openxmlformats.org/officeDocument/2006/relationships/hyperlink" Target="https://ri.brasil-agro.com/" TargetMode="External"/><Relationship Id="rId519" Type="http://schemas.openxmlformats.org/officeDocument/2006/relationships/hyperlink" Target="https://www.pamplona.com.br/fmanager/pamplona/transparencia/arquivo34_1.pdf" TargetMode="External"/><Relationship Id="rId514" Type="http://schemas.openxmlformats.org/officeDocument/2006/relationships/hyperlink" Target="https://www.bembrasil.ind.br/wp-content/uploads/2023/06/Bem%20Brasil%20-%20Relat%C3%B3rio%20de%20Sustentabilidade%202022.pdf?_t=1688125669" TargetMode="External"/><Relationship Id="rId513" Type="http://schemas.openxmlformats.org/officeDocument/2006/relationships/hyperlink" Target="https://www.bembrasil.ind.br/wp-content/uploads/2022/12/RS_BemBrasil_2021-PT-0712.pdf" TargetMode="External"/><Relationship Id="rId512" Type="http://schemas.openxmlformats.org/officeDocument/2006/relationships/hyperlink" Target="https://www.bembrasil.ind.br/" TargetMode="External"/><Relationship Id="rId511" Type="http://schemas.openxmlformats.org/officeDocument/2006/relationships/hyperlink" Target="https://api.mziq.com/mzfilemanager/v2/d/357a8c2e-106b-4248-8181-2241395742be/6abc0ddd-f10b-9ec5-c948-fb2018f733af?origin=1" TargetMode="External"/><Relationship Id="rId518" Type="http://schemas.openxmlformats.org/officeDocument/2006/relationships/hyperlink" Target="https://www.pamplona.com.br/fmanager/pamplona/transparencia/arquivo31_1.pdf" TargetMode="External"/><Relationship Id="rId517" Type="http://schemas.openxmlformats.org/officeDocument/2006/relationships/hyperlink" Target="https://www.pamplona.com.br/fmanager/pamplona/transparencia/arquivo28_1.pdf" TargetMode="External"/><Relationship Id="rId516" Type="http://schemas.openxmlformats.org/officeDocument/2006/relationships/hyperlink" Target="https://www.pamplona.com.br/" TargetMode="External"/><Relationship Id="rId515" Type="http://schemas.openxmlformats.org/officeDocument/2006/relationships/hyperlink" Target="https://www.bembrasil.ind.br/wp-content/uploads/2024/07/Bem-Brasil-RS-2023_D11.pdf" TargetMode="External"/><Relationship Id="rId15" Type="http://schemas.openxmlformats.org/officeDocument/2006/relationships/hyperlink" Target="https://www.institutobrasil-agro.org.br/" TargetMode="External"/><Relationship Id="rId14" Type="http://schemas.openxmlformats.org/officeDocument/2006/relationships/hyperlink" Target="https://ri.brasil-agro.com/governanca/visao-geral/" TargetMode="External"/><Relationship Id="rId17" Type="http://schemas.openxmlformats.org/officeDocument/2006/relationships/hyperlink" Target="https://ri.brasil-agro.com/governanca/relatorio-de-sustentabilidade/" TargetMode="External"/><Relationship Id="rId16" Type="http://schemas.openxmlformats.org/officeDocument/2006/relationships/hyperlink" Target="https://api.mziq.com/mzfilemanager/v2/d/2c1e0dd9-31eb-4dc0-ab4d-844683600488/c2602ba4-7ca2-0b96-57a5-df7bcd790190?origin=1" TargetMode="External"/><Relationship Id="rId19" Type="http://schemas.openxmlformats.org/officeDocument/2006/relationships/hyperlink" Target="https://api.mziq.com/mzfilemanager/v2/d/2c1e0dd9-31eb-4dc0-ab4d-844683600488/4f8799c4-6b4a-104f-bdb0-9fb317ed4e29?origin=1" TargetMode="External"/><Relationship Id="rId510" Type="http://schemas.openxmlformats.org/officeDocument/2006/relationships/hyperlink" Target="https://api.mziq.com/mzfilemanager/v2/d/357a8c2e-106b-4248-8181-2241395742be/883fef93-388d-521d-4b79-c9648d5bbf9f?origin=1" TargetMode="External"/><Relationship Id="rId18" Type="http://schemas.openxmlformats.org/officeDocument/2006/relationships/hyperlink" Target="https://api.mziq.com/mzfilemanager/v2/d/2c1e0dd9-31eb-4dc0-ab4d-844683600488/98462bb8-04ad-8cf2-96b6-bd58d7cec962?origin=1" TargetMode="External"/><Relationship Id="rId84" Type="http://schemas.openxmlformats.org/officeDocument/2006/relationships/hyperlink" Target="https://www.linkedin.com/company/louis-dreyfus-company/" TargetMode="External"/><Relationship Id="rId83" Type="http://schemas.openxmlformats.org/officeDocument/2006/relationships/hyperlink" Target="https://ri.amaggi.com.br/Download.aspx?Arquivo=Pno98da7hgR+UlbhXL5Rng==&amp;IdCanal=4J+ssVzd7OBNePB93AoXjA==&amp;linguagem=pt" TargetMode="External"/><Relationship Id="rId86" Type="http://schemas.openxmlformats.org/officeDocument/2006/relationships/hyperlink" Target="https://www.louisdreyfusfoundation.org/pt" TargetMode="External"/><Relationship Id="rId85" Type="http://schemas.openxmlformats.org/officeDocument/2006/relationships/hyperlink" Target="https://www.ldc.com/br/pt/" TargetMode="External"/><Relationship Id="rId88" Type="http://schemas.openxmlformats.org/officeDocument/2006/relationships/hyperlink" Target="https://www.ldc.com/annual-report-2020/" TargetMode="External"/><Relationship Id="rId87" Type="http://schemas.openxmlformats.org/officeDocument/2006/relationships/hyperlink" Target="https://www.ldc.com/sustainability-report-2020/" TargetMode="External"/><Relationship Id="rId89" Type="http://schemas.openxmlformats.org/officeDocument/2006/relationships/hyperlink" Target="https://www.ldc.com/wp-content/uploads/LDC-Sustainability-Report-2021-Double-Pages.pdf" TargetMode="External"/><Relationship Id="rId80" Type="http://schemas.openxmlformats.org/officeDocument/2006/relationships/hyperlink" Target="https://www.amaggi.com.br/wp-content/uploads/2022/10/relatorio-amaggi-PT-FINAL-2.pdf" TargetMode="External"/><Relationship Id="rId82" Type="http://schemas.openxmlformats.org/officeDocument/2006/relationships/hyperlink" Target="https://www.amaggi.com.br/wp-content/uploads/2023/09/Amaggi_RelatoriodeProgresso_2022.pdf" TargetMode="External"/><Relationship Id="rId81" Type="http://schemas.openxmlformats.org/officeDocument/2006/relationships/hyperlink" Target="https://www.amaggi.com.br/wp-content/uploads/2023/07/ESG_Amaggi_2022.pdf" TargetMode="External"/><Relationship Id="rId73" Type="http://schemas.openxmlformats.org/officeDocument/2006/relationships/hyperlink" Target="https://www.instagram.com/amaggibr/" TargetMode="External"/><Relationship Id="rId72" Type="http://schemas.openxmlformats.org/officeDocument/2006/relationships/hyperlink" Target="https://www.linkedin.com/company/amaggi/?originalSubdomain=br" TargetMode="External"/><Relationship Id="rId75" Type="http://schemas.openxmlformats.org/officeDocument/2006/relationships/hyperlink" Target="https://www.facebook.com/Amaggi.Brasil/?locale=pt_BR" TargetMode="External"/><Relationship Id="rId74" Type="http://schemas.openxmlformats.org/officeDocument/2006/relationships/hyperlink" Target="https://www.amaggi.com.br/" TargetMode="External"/><Relationship Id="rId77" Type="http://schemas.openxmlformats.org/officeDocument/2006/relationships/hyperlink" Target="https://www.amaggi.com.br/wp-content/uploads/2022/10/Amaggi_RS2020-comp.pdf" TargetMode="External"/><Relationship Id="rId76" Type="http://schemas.openxmlformats.org/officeDocument/2006/relationships/hyperlink" Target="https://fundacaoandreeluciamaggi.org.br/" TargetMode="External"/><Relationship Id="rId79" Type="http://schemas.openxmlformats.org/officeDocument/2006/relationships/hyperlink" Target="https://www.amaggi.com.br/wp-content/uploads/2022/10/amaggi_relatorio_sustentabilidade_2021-1.pdf" TargetMode="External"/><Relationship Id="rId78" Type="http://schemas.openxmlformats.org/officeDocument/2006/relationships/hyperlink" Target="https://www.amaggi.com.br/wp-content/uploads/2022/10/Relatorio-de-Progresso-2020.pdf" TargetMode="External"/><Relationship Id="rId71" Type="http://schemas.openxmlformats.org/officeDocument/2006/relationships/hyperlink" Target="https://br.cofcointernational.com/media/qlopazl1/7582-cofco-sr23-24-05-06-1.pdf" TargetMode="External"/><Relationship Id="rId70" Type="http://schemas.openxmlformats.org/officeDocument/2006/relationships/hyperlink" Target="https://br.cofcointernational.com/" TargetMode="External"/><Relationship Id="rId62" Type="http://schemas.openxmlformats.org/officeDocument/2006/relationships/hyperlink" Target="https://www.cargill.com/sustainability/doc/1432249635993/2023-esg-report.pdf" TargetMode="External"/><Relationship Id="rId61" Type="http://schemas.openxmlformats.org/officeDocument/2006/relationships/hyperlink" Target="https://www.cargill.com/doc/1432226681760/esg-2022-portuguese-report.pdf" TargetMode="External"/><Relationship Id="rId64" Type="http://schemas.openxmlformats.org/officeDocument/2006/relationships/hyperlink" Target="https://www.instagram.com/cofcointl_brasil/" TargetMode="External"/><Relationship Id="rId63" Type="http://schemas.openxmlformats.org/officeDocument/2006/relationships/hyperlink" Target="https://www.linkedin.com/company/cofco/" TargetMode="External"/><Relationship Id="rId66" Type="http://schemas.openxmlformats.org/officeDocument/2006/relationships/hyperlink" Target="https://www.facebook.com/COFCO1949/" TargetMode="External"/><Relationship Id="rId65" Type="http://schemas.openxmlformats.org/officeDocument/2006/relationships/hyperlink" Target="https://br.cofcointernational.com/" TargetMode="External"/><Relationship Id="rId68" Type="http://schemas.openxmlformats.org/officeDocument/2006/relationships/hyperlink" Target="https://www.cofcointernational.com/sustainability/sustainability-reporting/2021-sustainability-report/" TargetMode="External"/><Relationship Id="rId67" Type="http://schemas.openxmlformats.org/officeDocument/2006/relationships/hyperlink" Target="https://www.cofcointernational.com/media/kykdz0yh/cil_sr_2020_digital.pdf" TargetMode="External"/><Relationship Id="rId60" Type="http://schemas.openxmlformats.org/officeDocument/2006/relationships/hyperlink" Target="https://www.cargill.com.br/pt_BR/doc/1432224619925/2021-cargill-annual-report-brazil.pdf" TargetMode="External"/><Relationship Id="rId69" Type="http://schemas.openxmlformats.org/officeDocument/2006/relationships/hyperlink" Target="https://www.cofcointernational.com/sustainability/sustainability-reporting/2022-sustainability-report/" TargetMode="External"/><Relationship Id="rId51" Type="http://schemas.openxmlformats.org/officeDocument/2006/relationships/hyperlink" Target="https://www.linkedin.com/company/cargill/?originalSubdomain=br" TargetMode="External"/><Relationship Id="rId50" Type="http://schemas.openxmlformats.org/officeDocument/2006/relationships/hyperlink" Target="https://www.bunge.com.br/en/Sustentabilidade/Nossos-Relatorios" TargetMode="External"/><Relationship Id="rId53" Type="http://schemas.openxmlformats.org/officeDocument/2006/relationships/hyperlink" Target="https://www.cargill.com.br/pt_BR/in%C3%ADcio" TargetMode="External"/><Relationship Id="rId52" Type="http://schemas.openxmlformats.org/officeDocument/2006/relationships/hyperlink" Target="https://www.instagram.com/cargill/" TargetMode="External"/><Relationship Id="rId55" Type="http://schemas.openxmlformats.org/officeDocument/2006/relationships/hyperlink" Target="https://fundacaocargill.org.br/" TargetMode="External"/><Relationship Id="rId54" Type="http://schemas.openxmlformats.org/officeDocument/2006/relationships/hyperlink" Target="https://www.facebook.com/CargillLATAM/?brand_redir=958164574314945&amp;locale=pt_BR" TargetMode="External"/><Relationship Id="rId57" Type="http://schemas.openxmlformats.org/officeDocument/2006/relationships/hyperlink" Target="https://www.cargill.com.br/pt_BR/nossa-hist%C3%B3ria" TargetMode="External"/><Relationship Id="rId56" Type="http://schemas.openxmlformats.org/officeDocument/2006/relationships/hyperlink" Target="https://www.cargill.com.br/pt_BR/cargill-em-resumo" TargetMode="External"/><Relationship Id="rId59" Type="http://schemas.openxmlformats.org/officeDocument/2006/relationships/hyperlink" Target="https://www.cargill.com.br/pt_BR/doc/1432224625088/2020-cargill-annual-report-brazil-brz.pdf" TargetMode="External"/><Relationship Id="rId58" Type="http://schemas.openxmlformats.org/officeDocument/2006/relationships/hyperlink" Target="https://www.cargill.com.br/pt_BR/produtos-e-servi%C3%A7os" TargetMode="External"/><Relationship Id="rId107" Type="http://schemas.openxmlformats.org/officeDocument/2006/relationships/hyperlink" Target="https://www.instagram.com/larcooperativa/" TargetMode="External"/><Relationship Id="rId349" Type="http://schemas.openxmlformats.org/officeDocument/2006/relationships/hyperlink" Target="https://coca-colafemsa.com/wp-content/uploads/2023/04/KOF-2022-english-abr-4-11-00.pdf" TargetMode="External"/><Relationship Id="rId106" Type="http://schemas.openxmlformats.org/officeDocument/2006/relationships/hyperlink" Target="https://www.linkedin.com/company/larcooperativa/?originalSubdomain=br" TargetMode="External"/><Relationship Id="rId348" Type="http://schemas.openxmlformats.org/officeDocument/2006/relationships/hyperlink" Target="https://coca-colafemsa.com/wp-content/uploads/2022/04/KOF-IR-2021-english-FS-3.pdf" TargetMode="External"/><Relationship Id="rId105" Type="http://schemas.openxmlformats.org/officeDocument/2006/relationships/hyperlink" Target="https://www.lavoroagro.com/wp-content/uploads/2023/12/Relatorio_sustentabilidade_Lavoro_22-23.pdf" TargetMode="External"/><Relationship Id="rId347" Type="http://schemas.openxmlformats.org/officeDocument/2006/relationships/hyperlink" Target="https://coca-colafemsa.com/wp-content/uploads/2021/03/KOF_2020_Eng.pdf" TargetMode="External"/><Relationship Id="rId104" Type="http://schemas.openxmlformats.org/officeDocument/2006/relationships/hyperlink" Target="https://www.lavoroagro.com/wp-content/uploads/2023/01/Lavoro-Relatorio-de-Sustentabilidade-21-22.pdf" TargetMode="External"/><Relationship Id="rId346" Type="http://schemas.openxmlformats.org/officeDocument/2006/relationships/hyperlink" Target="https://www.femsa.com/en/femsa-foundation/" TargetMode="External"/><Relationship Id="rId109" Type="http://schemas.openxmlformats.org/officeDocument/2006/relationships/hyperlink" Target="https://www.facebook.com/larcooperativaagro/?locale=pt_BR" TargetMode="External"/><Relationship Id="rId108" Type="http://schemas.openxmlformats.org/officeDocument/2006/relationships/hyperlink" Target="https://www.lar.ind.br/" TargetMode="External"/><Relationship Id="rId341" Type="http://schemas.openxmlformats.org/officeDocument/2006/relationships/hyperlink" Target="https://www.nestle.com/sites/default/files/2021-03/2020-annual-review-en.pdf" TargetMode="External"/><Relationship Id="rId340" Type="http://schemas.openxmlformats.org/officeDocument/2006/relationships/hyperlink" Target="https://www.nestle.com.br/nossas-historias/fundacao-nestle-brasil" TargetMode="External"/><Relationship Id="rId103" Type="http://schemas.openxmlformats.org/officeDocument/2006/relationships/hyperlink" Target="https://www.lavoroagro.com/wp-content/uploads/2022/03/relatorio_sustentabilidade_lavoro_2020.pdf" TargetMode="External"/><Relationship Id="rId345" Type="http://schemas.openxmlformats.org/officeDocument/2006/relationships/hyperlink" Target="https://coca-colafemsa.com/pt-br/" TargetMode="External"/><Relationship Id="rId102" Type="http://schemas.openxmlformats.org/officeDocument/2006/relationships/hyperlink" Target="https://www.lavoroagro.com/" TargetMode="External"/><Relationship Id="rId344" Type="http://schemas.openxmlformats.org/officeDocument/2006/relationships/hyperlink" Target="https://www.nestle.com/sites/default/files/2024-02/creating-shared-value-sustainability-report-2023-en.pdf" TargetMode="External"/><Relationship Id="rId101" Type="http://schemas.openxmlformats.org/officeDocument/2006/relationships/hyperlink" Target="https://www.cvale.com.br/relatoriosustentabilidade/2022-2023/" TargetMode="External"/><Relationship Id="rId343" Type="http://schemas.openxmlformats.org/officeDocument/2006/relationships/hyperlink" Target="https://www.nestle.com.br/sites/g/files/pydnoa436/files/2023-05/Nestle_RCVCS2022_Conext_v3.pdf" TargetMode="External"/><Relationship Id="rId100" Type="http://schemas.openxmlformats.org/officeDocument/2006/relationships/hyperlink" Target="https://www.cvale.com.br/demonstracoes/2023/relatorio/site/" TargetMode="External"/><Relationship Id="rId342" Type="http://schemas.openxmlformats.org/officeDocument/2006/relationships/hyperlink" Target="https://www.nestle.com.br/sites/g/files/pydnoa436/files/2022-03/CSV-2021-revisao-anual-pt.pdf" TargetMode="External"/><Relationship Id="rId338" Type="http://schemas.openxmlformats.org/officeDocument/2006/relationships/hyperlink" Target="https://ri.magazineluiza.com.br/ShowCanal/Download.aspx?Arquivo=H1ayl6447DCS1lTN0tqlhQ==" TargetMode="External"/><Relationship Id="rId337" Type="http://schemas.openxmlformats.org/officeDocument/2006/relationships/hyperlink" Target="https://ri.magazineluiza.com.br/ShowCanal/Download.aspx?Arquivo=gAMurj/6OR89OIjMdQsZeA==" TargetMode="External"/><Relationship Id="rId336" Type="http://schemas.openxmlformats.org/officeDocument/2006/relationships/hyperlink" Target="https://ri.magazineluiza.com.br/ShowCanal/Download.aspx?Arquivo=mUahgVR9xqlfXAdcfQXnqg==" TargetMode="External"/><Relationship Id="rId335" Type="http://schemas.openxmlformats.org/officeDocument/2006/relationships/hyperlink" Target="https://ri.magazineluiza.com.br/ShowCanal/Download.aspx?Arquivo=BLD2PbAfa2JR1HgnMqBheA==" TargetMode="External"/><Relationship Id="rId339" Type="http://schemas.openxmlformats.org/officeDocument/2006/relationships/hyperlink" Target="https://www.nestle.com.br/" TargetMode="External"/><Relationship Id="rId330" Type="http://schemas.openxmlformats.org/officeDocument/2006/relationships/hyperlink" Target="https://minervafoods.com/wp-content/uploads/2022/04/RS2020_PT.pdf" TargetMode="External"/><Relationship Id="rId334" Type="http://schemas.openxmlformats.org/officeDocument/2006/relationships/hyperlink" Target="https://ri.magazineluiza.com.br/" TargetMode="External"/><Relationship Id="rId333" Type="http://schemas.openxmlformats.org/officeDocument/2006/relationships/hyperlink" Target="https://minervafoods.com/wp-content/uploads/2024/05/relatorio-de-sustentabilidade-minerva-foods-2023_compressed.pdf" TargetMode="External"/><Relationship Id="rId332" Type="http://schemas.openxmlformats.org/officeDocument/2006/relationships/hyperlink" Target="https://minervafoods.com/wp-content/uploads/2023/05/relatorio-de-sustentabilidade-minerva-foods-2022_compressed.pdf?_t=1684174420" TargetMode="External"/><Relationship Id="rId331" Type="http://schemas.openxmlformats.org/officeDocument/2006/relationships/hyperlink" Target="https://minervafoods.com/wp-content/uploads/2022/04/Minerva_Foods-RS2021_PT.pdf" TargetMode="External"/><Relationship Id="rId370" Type="http://schemas.openxmlformats.org/officeDocument/2006/relationships/hyperlink" Target="https://www.mercadolivre.com.br/institucional" TargetMode="External"/><Relationship Id="rId129" Type="http://schemas.openxmlformats.org/officeDocument/2006/relationships/hyperlink" Target="https://www.linkedin.com/company/cooperativacooxupe/" TargetMode="External"/><Relationship Id="rId128" Type="http://schemas.openxmlformats.org/officeDocument/2006/relationships/hyperlink" Target="https://www.cocamar.com.br/extranet/uploads/Download/9209_cocamar_relatoriodegestao_web_1709320477763.pdf" TargetMode="External"/><Relationship Id="rId127" Type="http://schemas.openxmlformats.org/officeDocument/2006/relationships/hyperlink" Target="https://www.cocamar.com.br/extranet/uploads/Download/20230214150826_1686158564168.pdf" TargetMode="External"/><Relationship Id="rId369" Type="http://schemas.openxmlformats.org/officeDocument/2006/relationships/hyperlink" Target="https://mdiasbranco.com.br/wp-content/uploads/2024/03/RELATORIO-ANUAL-INTEGRADO-2023-M.-DIAS-BRANCO.pdf" TargetMode="External"/><Relationship Id="rId126" Type="http://schemas.openxmlformats.org/officeDocument/2006/relationships/hyperlink" Target="https://www.cocamar.com.br/downloads/relatorio-de-sustentabilidade-2022.pdf" TargetMode="External"/><Relationship Id="rId368" Type="http://schemas.openxmlformats.org/officeDocument/2006/relationships/hyperlink" Target="https://mdiasbranco.com.br/wp-content/uploads/2023/03/RELATORIO-ANUAL-INTEGRADO-2022.pdf" TargetMode="External"/><Relationship Id="rId121" Type="http://schemas.openxmlformats.org/officeDocument/2006/relationships/hyperlink" Target="https://www.linkedin.com/company/cocamar-cooperativa-agroindustrial/?originalSubdomain=br" TargetMode="External"/><Relationship Id="rId363" Type="http://schemas.openxmlformats.org/officeDocument/2006/relationships/hyperlink" Target="https://cdn.rd.com.br/prod-v2/2024/04/3103498f-raia_drogasil_rs2021_20220601.pdf" TargetMode="External"/><Relationship Id="rId120" Type="http://schemas.openxmlformats.org/officeDocument/2006/relationships/hyperlink" Target="https://drive.google.com/file/d/1EZTbST58Eclwl0nPQxOSmAuZl6cmzNDJ/view" TargetMode="External"/><Relationship Id="rId362" Type="http://schemas.openxmlformats.org/officeDocument/2006/relationships/hyperlink" Target="https://rdsaude.com.br/relatorio-anual-de-sustentabilidade-2020/pdf/raia-drogasil-RS2020-pt.pdf" TargetMode="External"/><Relationship Id="rId361" Type="http://schemas.openxmlformats.org/officeDocument/2006/relationships/hyperlink" Target="https://rdsaude.com.br/" TargetMode="External"/><Relationship Id="rId360" Type="http://schemas.openxmlformats.org/officeDocument/2006/relationships/hyperlink" Target="https://api.mziq.com/mzfilemanager/v2/d/ce9bff9f-fb19-49b9-9588-c4c6b7052c9c/d0fa8561-9fb0-de05-eff3-a5294d04b563?origin=1" TargetMode="External"/><Relationship Id="rId125" Type="http://schemas.openxmlformats.org/officeDocument/2006/relationships/hyperlink" Target="https://www.cocamar.com.br/sobre/instituto-cocamar" TargetMode="External"/><Relationship Id="rId367" Type="http://schemas.openxmlformats.org/officeDocument/2006/relationships/hyperlink" Target="https://mdiasbranco.com.br/" TargetMode="External"/><Relationship Id="rId124" Type="http://schemas.openxmlformats.org/officeDocument/2006/relationships/hyperlink" Target="https://www.facebook.com/cocamarcooperativa/?locale=pt_BR" TargetMode="External"/><Relationship Id="rId366" Type="http://schemas.openxmlformats.org/officeDocument/2006/relationships/hyperlink" Target="https://rdsaude.com.br/sobre-a-rd/quem-somos/" TargetMode="External"/><Relationship Id="rId123" Type="http://schemas.openxmlformats.org/officeDocument/2006/relationships/hyperlink" Target="https://www.cocamar.com.br/inicial" TargetMode="External"/><Relationship Id="rId365" Type="http://schemas.openxmlformats.org/officeDocument/2006/relationships/hyperlink" Target="https://storage.googleapis.com/cdn.rd.com.br/prod-v2/static/240527_RS_RaiaDrogasil_VF_PT.pdf" TargetMode="External"/><Relationship Id="rId122" Type="http://schemas.openxmlformats.org/officeDocument/2006/relationships/hyperlink" Target="https://www.instagram.com/cocamarcooperativa/" TargetMode="External"/><Relationship Id="rId364" Type="http://schemas.openxmlformats.org/officeDocument/2006/relationships/hyperlink" Target="https://cdn.rd.com.br/prod-v2/2024/04/b0d11182-rd_relat2022_230424_vf_emendado_reshi_05.07.23.pdf" TargetMode="External"/><Relationship Id="rId95" Type="http://schemas.openxmlformats.org/officeDocument/2006/relationships/hyperlink" Target="https://www.cvale.com.br/" TargetMode="External"/><Relationship Id="rId94" Type="http://schemas.openxmlformats.org/officeDocument/2006/relationships/hyperlink" Target="https://www.instagram.com/cvale_cooperativa/" TargetMode="External"/><Relationship Id="rId97" Type="http://schemas.openxmlformats.org/officeDocument/2006/relationships/hyperlink" Target="https://www.cvale.com.br/demonstracoes/2020/relatorio/index.html" TargetMode="External"/><Relationship Id="rId96" Type="http://schemas.openxmlformats.org/officeDocument/2006/relationships/hyperlink" Target="https://www.facebook.com/cooperativacvale/?locale=pt_BR" TargetMode="External"/><Relationship Id="rId99" Type="http://schemas.openxmlformats.org/officeDocument/2006/relationships/hyperlink" Target="https://www.cvale.com.br/demonstracoes/2022/relatorio/" TargetMode="External"/><Relationship Id="rId98" Type="http://schemas.openxmlformats.org/officeDocument/2006/relationships/hyperlink" Target="https://www.cvale.com.br/demonstracoes/2021/relatorio/" TargetMode="External"/><Relationship Id="rId91" Type="http://schemas.openxmlformats.org/officeDocument/2006/relationships/hyperlink" Target="https://www.ldc.com/wp-content/uploads/LDC-2022-Sustainability-Report_protected.pdf" TargetMode="External"/><Relationship Id="rId90" Type="http://schemas.openxmlformats.org/officeDocument/2006/relationships/hyperlink" Target="https://www.ldc.com/wp-content/uploads/LDC_AR2021_2303_Digital_Spreads.pdf" TargetMode="External"/><Relationship Id="rId93" Type="http://schemas.openxmlformats.org/officeDocument/2006/relationships/hyperlink" Target="https://www.linkedin.com/company/c.vale/?originalSubdomain=br" TargetMode="External"/><Relationship Id="rId92" Type="http://schemas.openxmlformats.org/officeDocument/2006/relationships/hyperlink" Target="https://www.ldc.com/wp-content/uploads/LDC_IR2023-Single-Pages_secured.pdf" TargetMode="External"/><Relationship Id="rId118" Type="http://schemas.openxmlformats.org/officeDocument/2006/relationships/hyperlink" Target="https://comigo.coop.br/wp-content/uploads/2023/12/Relatorio.pdf" TargetMode="External"/><Relationship Id="rId117" Type="http://schemas.openxmlformats.org/officeDocument/2006/relationships/hyperlink" Target="https://www.facebook.com/cooperativacomigo/" TargetMode="External"/><Relationship Id="rId359" Type="http://schemas.openxmlformats.org/officeDocument/2006/relationships/hyperlink" Target="https://api.mziq.com/mzfilemanager/v2/d/ce9bff9f-fb19-49b9-9588-c4c6b7052c9c/171cc8f2-786d-c18e-3e51-69052c713ee1?origin=1" TargetMode="External"/><Relationship Id="rId116" Type="http://schemas.openxmlformats.org/officeDocument/2006/relationships/hyperlink" Target="https://comigo.coop.br/" TargetMode="External"/><Relationship Id="rId358" Type="http://schemas.openxmlformats.org/officeDocument/2006/relationships/hyperlink" Target="https://api.mziq.com/mzfilemanager/v2/d/ce9bff9f-fb19-49b9-9588-c4c6b7052c9c/e8cd5c2f-7927-1830-70ec-8bcbf7cc1fe3?origin=1" TargetMode="External"/><Relationship Id="rId115" Type="http://schemas.openxmlformats.org/officeDocument/2006/relationships/hyperlink" Target="https://www.instagram.com/cooperativacomigo/" TargetMode="External"/><Relationship Id="rId357" Type="http://schemas.openxmlformats.org/officeDocument/2006/relationships/hyperlink" Target="https://api.mziq.com/mzfilemanager/v2/d/ce9bff9f-fb19-49b9-9588-c4c6b7052c9c/fac7de63-e354-a1f8-2160-5f5a27dfc2c7?origin=1" TargetMode="External"/><Relationship Id="rId119" Type="http://schemas.openxmlformats.org/officeDocument/2006/relationships/hyperlink" Target="https://comigo.coop.br/wp-content/uploads/2023/04/Relatorio-De-Balanco-COMIGO-2022.pdf" TargetMode="External"/><Relationship Id="rId110" Type="http://schemas.openxmlformats.org/officeDocument/2006/relationships/hyperlink" Target="https://www.lar.ind.br/wp-content/uploads/2021/01/Relatorio-e-Balanco-2020.pdf" TargetMode="External"/><Relationship Id="rId352" Type="http://schemas.openxmlformats.org/officeDocument/2006/relationships/hyperlink" Target="https://api.mziq.com/mzfilemanager/v2/d/65f65acb-ad9a-44b1-a3d5-620b6199a637/4d791652-1419-b565-d605-0dfdf457361e?origin=2" TargetMode="External"/><Relationship Id="rId351" Type="http://schemas.openxmlformats.org/officeDocument/2006/relationships/hyperlink" Target="https://camilalimentos.com.br/" TargetMode="External"/><Relationship Id="rId350" Type="http://schemas.openxmlformats.org/officeDocument/2006/relationships/hyperlink" Target="https://coca-colafemsa.com/wp-content/uploads/2024/04/KOF-AR-2023-ENG_VF.pdf" TargetMode="External"/><Relationship Id="rId114" Type="http://schemas.openxmlformats.org/officeDocument/2006/relationships/hyperlink" Target="https://www.linkedin.com/company/cooperativacomigo/?originalSubdomain=br" TargetMode="External"/><Relationship Id="rId356" Type="http://schemas.openxmlformats.org/officeDocument/2006/relationships/hyperlink" Target="https://www.grupocasasbahia.com.br/fundacao-cb/" TargetMode="External"/><Relationship Id="rId113" Type="http://schemas.openxmlformats.org/officeDocument/2006/relationships/hyperlink" Target="https://www.lar.ind.br/wp-content/uploads/2024/01/01.-Relatorio-e-Balanco-2023_TELAO.pdf" TargetMode="External"/><Relationship Id="rId355" Type="http://schemas.openxmlformats.org/officeDocument/2006/relationships/hyperlink" Target="https://ri.grupocasasbahia.com.br/" TargetMode="External"/><Relationship Id="rId112" Type="http://schemas.openxmlformats.org/officeDocument/2006/relationships/hyperlink" Target="https://www.lar.ind.br/wp-content/uploads/2023/01/Relatorio-e-Balanco-2022.pdf" TargetMode="External"/><Relationship Id="rId354" Type="http://schemas.openxmlformats.org/officeDocument/2006/relationships/hyperlink" Target="https://api.mziq.com/mzfilemanager/v2/d/65f65acb-ad9a-44b1-a3d5-620b6199a637/9caf2713-6db8-a8b6-cd90-e733526a83a8?origin=2" TargetMode="External"/><Relationship Id="rId111" Type="http://schemas.openxmlformats.org/officeDocument/2006/relationships/hyperlink" Target="https://www.lar.ind.br/wp-content/uploads/2022/01/Relatorio-e-Balanco-2021.pdf" TargetMode="External"/><Relationship Id="rId353" Type="http://schemas.openxmlformats.org/officeDocument/2006/relationships/hyperlink" Target="https://api.mziq.com/mzfilemanager/v2/d/65f65acb-ad9a-44b1-a3d5-620b6199a637/49efaa1a-14e2-4ade-726a-13d15fd4bfea?origin=2" TargetMode="External"/><Relationship Id="rId305" Type="http://schemas.openxmlformats.org/officeDocument/2006/relationships/hyperlink" Target="https://api.mziq.com/mzfilemanager/v2/d/c8182463-4b7e-408c-9d0f-42797662435e/4b04ac91-c1ea-e7ec-8b0d-7b212507651d?origin=1" TargetMode="External"/><Relationship Id="rId547" Type="http://schemas.openxmlformats.org/officeDocument/2006/relationships/hyperlink" Target="https://www.frimesa.com.br/pt/" TargetMode="External"/><Relationship Id="rId304" Type="http://schemas.openxmlformats.org/officeDocument/2006/relationships/hyperlink" Target="https://www.ambev.com.br/" TargetMode="External"/><Relationship Id="rId546" Type="http://schemas.openxmlformats.org/officeDocument/2006/relationships/hyperlink" Target="https://www.cotrisal.com.br/balanco/" TargetMode="External"/><Relationship Id="rId303" Type="http://schemas.openxmlformats.org/officeDocument/2006/relationships/hyperlink" Target="https://storage.googleapis.com/br-apps-site-institucional-cs-prod-001/2024/04/685c3c96-grupocarrefour_rs23_d3-05.pdf" TargetMode="External"/><Relationship Id="rId545" Type="http://schemas.openxmlformats.org/officeDocument/2006/relationships/hyperlink" Target="https://www.cotrisal.com.br/" TargetMode="External"/><Relationship Id="rId302" Type="http://schemas.openxmlformats.org/officeDocument/2006/relationships/hyperlink" Target="https://storage.googleapis.com/br-apps-site-institucional-cs-prod-001/2023/08/958f680d-carrefour_ri_22-12.pdf" TargetMode="External"/><Relationship Id="rId544" Type="http://schemas.openxmlformats.org/officeDocument/2006/relationships/hyperlink" Target="https://www.copercampos.com.br/relatorios/2023/relatorio_2023.pdf" TargetMode="External"/><Relationship Id="rId309" Type="http://schemas.openxmlformats.org/officeDocument/2006/relationships/hyperlink" Target="https://www.assai.com.br/" TargetMode="External"/><Relationship Id="rId308" Type="http://schemas.openxmlformats.org/officeDocument/2006/relationships/hyperlink" Target="https://api.mziq.com/mzfilemanager/v2/d/c8182463-4b7e-408c-9d0f-42797662435e/ef00e5eb-ba41-50b4-e4ff-9d8a01ef0a07?origin=1" TargetMode="External"/><Relationship Id="rId307" Type="http://schemas.openxmlformats.org/officeDocument/2006/relationships/hyperlink" Target="https://api.mziq.com/mzfilemanager/v2/d/c8182463-4b7e-408c-9d0f-42797662435e/647895c0-c87a-984d-4b6f-047d294407ac?origin=1" TargetMode="External"/><Relationship Id="rId549" Type="http://schemas.openxmlformats.org/officeDocument/2006/relationships/hyperlink" Target="https://www.frimesa.com.br/upload/file/report/relatorio_capacontracapa_completo1-25-19.pdf" TargetMode="External"/><Relationship Id="rId306" Type="http://schemas.openxmlformats.org/officeDocument/2006/relationships/hyperlink" Target="https://api.mziq.com/mzfilemanager/v2/d/c8182463-4b7e-408c-9d0f-42797662435e/735be995-4658-0bbb-0c66-3be9f0987be0?origin=1" TargetMode="External"/><Relationship Id="rId548" Type="http://schemas.openxmlformats.org/officeDocument/2006/relationships/hyperlink" Target="https://www.frimesa.com.br/upload/file/report/relatorio_anual_2020_41-19-11.pdf" TargetMode="External"/><Relationship Id="rId301" Type="http://schemas.openxmlformats.org/officeDocument/2006/relationships/hyperlink" Target="https://storage.googleapis.com/br-apps-site-institucional-cs-prod-001/2022/08/3572970f-relato%CC%81rio-anual-de-sustentabilidade-de-2021-port-22.08.22.pdf" TargetMode="External"/><Relationship Id="rId543" Type="http://schemas.openxmlformats.org/officeDocument/2006/relationships/hyperlink" Target="https://www.copercampos.com.br/relatorios/2022/relatorio_2022.pdf" TargetMode="External"/><Relationship Id="rId300" Type="http://schemas.openxmlformats.org/officeDocument/2006/relationships/hyperlink" Target="https://storage.googleapis.com/br-apps-site-institucional-cs-prod-001/2022/09/844521e9-relatorio-de-sustentabilidade-20210629-123317-2791.pdf" TargetMode="External"/><Relationship Id="rId542" Type="http://schemas.openxmlformats.org/officeDocument/2006/relationships/hyperlink" Target="https://www.copercampos.com.br/relatorios/2021/relatorio_2021.pdf" TargetMode="External"/><Relationship Id="rId541" Type="http://schemas.openxmlformats.org/officeDocument/2006/relationships/hyperlink" Target="https://www.copercampos.com.br/relatorios/2020/relatorio_2020.pdf" TargetMode="External"/><Relationship Id="rId540" Type="http://schemas.openxmlformats.org/officeDocument/2006/relationships/hyperlink" Target="https://www.copercampos.com.br/" TargetMode="External"/><Relationship Id="rId536" Type="http://schemas.openxmlformats.org/officeDocument/2006/relationships/hyperlink" Target="https://dr7dcgej7t392.cloudfront.net/uploads/RA_BRASAL_2023_DIGITAL_compactado_081340a7e1.pdf" TargetMode="External"/><Relationship Id="rId535" Type="http://schemas.openxmlformats.org/officeDocument/2006/relationships/hyperlink" Target="https://www.brasal.com.br/refrigerantes/files/ra2021.pdf" TargetMode="External"/><Relationship Id="rId534" Type="http://schemas.openxmlformats.org/officeDocument/2006/relationships/hyperlink" Target="https://www.brasal.com.br/instituto/" TargetMode="External"/><Relationship Id="rId533" Type="http://schemas.openxmlformats.org/officeDocument/2006/relationships/hyperlink" Target="https://www.brasal.com.br/" TargetMode="External"/><Relationship Id="rId539" Type="http://schemas.openxmlformats.org/officeDocument/2006/relationships/hyperlink" Target="https://gomesdacosta.com.br/politicas/informe-anual-nauterra-2023/" TargetMode="External"/><Relationship Id="rId538" Type="http://schemas.openxmlformats.org/officeDocument/2006/relationships/hyperlink" Target="https://gomesdacosta.com.br/wp-content/uploads/2023/06/EINF_NAUTERRA_2022_PT_compressed.pdf" TargetMode="External"/><Relationship Id="rId537" Type="http://schemas.openxmlformats.org/officeDocument/2006/relationships/hyperlink" Target="https://gomesdacosta.com.br/" TargetMode="External"/><Relationship Id="rId532" Type="http://schemas.openxmlformats.org/officeDocument/2006/relationships/hyperlink" Target="https://cacique.com.br/certificacoes/" TargetMode="External"/><Relationship Id="rId531" Type="http://schemas.openxmlformats.org/officeDocument/2006/relationships/hyperlink" Target="https://cacique.com.br/cacique-sustentavel/" TargetMode="External"/><Relationship Id="rId530" Type="http://schemas.openxmlformats.org/officeDocument/2006/relationships/hyperlink" Target="https://cacique.com.br/" TargetMode="External"/><Relationship Id="rId327" Type="http://schemas.openxmlformats.org/officeDocument/2006/relationships/hyperlink" Target="https://www.brf-global.com/wp-content/uploads/2023/05/BRF_RI2022_26.05.23.pdf" TargetMode="External"/><Relationship Id="rId326" Type="http://schemas.openxmlformats.org/officeDocument/2006/relationships/hyperlink" Target="https://www.brf-global.com/wp-content/themes/brf-global/assets/documents/relatorio/BRF_RI2021_PT.pdf" TargetMode="External"/><Relationship Id="rId325" Type="http://schemas.openxmlformats.org/officeDocument/2006/relationships/hyperlink" Target="https://www.brf-global.com/wp-content/uploads/2023/05/Relatorio-Integrado-2020.pdf" TargetMode="External"/><Relationship Id="rId324" Type="http://schemas.openxmlformats.org/officeDocument/2006/relationships/hyperlink" Target="https://institutobrf.com/pt" TargetMode="External"/><Relationship Id="rId329" Type="http://schemas.openxmlformats.org/officeDocument/2006/relationships/hyperlink" Target="https://minervafoods.com/" TargetMode="External"/><Relationship Id="rId328" Type="http://schemas.openxmlformats.org/officeDocument/2006/relationships/hyperlink" Target="https://www.brf-global.com/wp-content/uploads/2024/07/relatorio-integrado-2023.pdf" TargetMode="External"/><Relationship Id="rId323" Type="http://schemas.openxmlformats.org/officeDocument/2006/relationships/hyperlink" Target="https://www.brf-global.com/" TargetMode="External"/><Relationship Id="rId322" Type="http://schemas.openxmlformats.org/officeDocument/2006/relationships/hyperlink" Target="https://www.gpabr.com/pt/conheca-o-gpa/historia-e-premios-do-gpa/" TargetMode="External"/><Relationship Id="rId321" Type="http://schemas.openxmlformats.org/officeDocument/2006/relationships/hyperlink" Target="https://www.gpabr.com/wp-content/uploads/2024/05/relatorioanual2023_port.pdf" TargetMode="External"/><Relationship Id="rId320" Type="http://schemas.openxmlformats.org/officeDocument/2006/relationships/hyperlink" Target="https://www.gpabr.com/wp-content/uploads/2023/06/Relatorio-Anual-e-de-Sustentabilidade-GPA-2022.pdf" TargetMode="External"/><Relationship Id="rId316" Type="http://schemas.openxmlformats.org/officeDocument/2006/relationships/hyperlink" Target="https://www.gpabr.com/pt/" TargetMode="External"/><Relationship Id="rId558" Type="http://schemas.openxmlformats.org/officeDocument/2006/relationships/vmlDrawing" Target="../drawings/vmlDrawing5.vml"/><Relationship Id="rId315" Type="http://schemas.openxmlformats.org/officeDocument/2006/relationships/hyperlink" Target="https://www.assai.com.br/quem-somos" TargetMode="External"/><Relationship Id="rId557" Type="http://schemas.openxmlformats.org/officeDocument/2006/relationships/drawing" Target="../drawings/drawing27.xml"/><Relationship Id="rId314" Type="http://schemas.openxmlformats.org/officeDocument/2006/relationships/hyperlink" Target="https://api.mziq.com/mzfilemanager/v2/d/ec14f0ab-c5d4-4b12-a413-b6cc7475ed98/e80db46d-f6cf-6c46-808c-93598dcb5e1a?origin=1" TargetMode="External"/><Relationship Id="rId556" Type="http://schemas.openxmlformats.org/officeDocument/2006/relationships/hyperlink" Target="https://api.mziq.com/mzfilemanager/v2/d/48f6609f-056d-4f42-9d80-1a6acee769c1/5f7281bc-6f11-dc1a-3691-9d1c870ba4e5?origin=2" TargetMode="External"/><Relationship Id="rId313" Type="http://schemas.openxmlformats.org/officeDocument/2006/relationships/hyperlink" Target="https://api.mziq.com/mzfilemanager/v2/d/ec14f0ab-c5d4-4b12-a413-b6cc7475ed98/64f8c156-7dac-7dbb-04e8-eb74b30d3b42?origin=1" TargetMode="External"/><Relationship Id="rId555" Type="http://schemas.openxmlformats.org/officeDocument/2006/relationships/hyperlink" Target="https://api.mziq.com/mzfilemanager/v2/d/48f6609f-056d-4f42-9d80-1a6acee769c1/42426de9-a45c-c7e6-eb30-4e702a459f6c?origin=2" TargetMode="External"/><Relationship Id="rId319" Type="http://schemas.openxmlformats.org/officeDocument/2006/relationships/hyperlink" Target="https://www.gpabr.com/wp-content/uploads/2022/04/Relatorio_anual_e_de_sustentabilidade_GPA_2021.pdf" TargetMode="External"/><Relationship Id="rId318" Type="http://schemas.openxmlformats.org/officeDocument/2006/relationships/hyperlink" Target="https://api.mziq.com/mzfilemanager/v2/d/ec14f0ab-c5d4-4b12-a413-b6cc7475ed98/9d1775d6-44c3-4944-5e4b-0b0df8ee3d20?origin=1" TargetMode="External"/><Relationship Id="rId317" Type="http://schemas.openxmlformats.org/officeDocument/2006/relationships/hyperlink" Target="https://institutogpa.org.br/" TargetMode="External"/><Relationship Id="rId550" Type="http://schemas.openxmlformats.org/officeDocument/2006/relationships/hyperlink" Target="https://www.frimesa.com.br/upload/file/report/relatorio_anual_2022-completo1-29-38.pdf" TargetMode="External"/><Relationship Id="rId312" Type="http://schemas.openxmlformats.org/officeDocument/2006/relationships/hyperlink" Target="https://api.mziq.com/mzfilemanager/v2/d/ec14f0ab-c5d4-4b12-a413-b6cc7475ed98/d96a5056-6731-8dc0-e1b3-5142493fd10b?origin=1" TargetMode="External"/><Relationship Id="rId554" Type="http://schemas.openxmlformats.org/officeDocument/2006/relationships/hyperlink" Target="https://api.mziq.com/mzfilemanager/v2/d/48f6609f-056d-4f42-9d80-1a6acee769c1/c7eea39b-ba2c-2cdf-cb56-18a5fb8ab625?origin=2" TargetMode="External"/><Relationship Id="rId311" Type="http://schemas.openxmlformats.org/officeDocument/2006/relationships/hyperlink" Target="https://api.mziq.com/mzfilemanager/v2/d/ec14f0ab-c5d4-4b12-a413-b6cc7475ed98/9d1775d6-44c3-4944-5e4b-0b0df8ee3d20?origin=1" TargetMode="External"/><Relationship Id="rId553" Type="http://schemas.openxmlformats.org/officeDocument/2006/relationships/hyperlink" Target="https://www.frigol.com.br/investidores/" TargetMode="External"/><Relationship Id="rId310" Type="http://schemas.openxmlformats.org/officeDocument/2006/relationships/hyperlink" Target="https://www.institutoassai.org.br/?utm_source=assai&amp;utm_medium=menu-principal" TargetMode="External"/><Relationship Id="rId552" Type="http://schemas.openxmlformats.org/officeDocument/2006/relationships/hyperlink" Target="https://www.frimesa.com.br/upload/file/report/relatorio_sustentabiliade_2019_2020_41-23-89.pdf" TargetMode="External"/><Relationship Id="rId551" Type="http://schemas.openxmlformats.org/officeDocument/2006/relationships/hyperlink" Target="https://www.frimesa.com.br/upload/file/report/relatorio-esg-digital-20231-35-59.pdf" TargetMode="External"/><Relationship Id="rId297" Type="http://schemas.openxmlformats.org/officeDocument/2006/relationships/hyperlink" Target="https://api.mziq.com/mzfilemanager/v2/d/b8180300-b881-4e6c-b970-12ad72a86ec8/39565168-c917-3926-f3a0-0acbbe0eab8b?origin=2" TargetMode="External"/><Relationship Id="rId296" Type="http://schemas.openxmlformats.org/officeDocument/2006/relationships/hyperlink" Target="https://api.mziq.com/mzfilemanager/v2/d/b8180300-b881-4e6c-b970-12ad72a86ec8/25df60ad-d30f-8e86-f779-68277d1b6af7?origin=1" TargetMode="External"/><Relationship Id="rId295" Type="http://schemas.openxmlformats.org/officeDocument/2006/relationships/hyperlink" Target="https://api.mziq.com/mzfilemanager/v2/d/b8180300-b881-4e6c-b970-12ad72a86ec8/0b821476-592f-37ac-8012-2502c18f3fc5?origin=2" TargetMode="External"/><Relationship Id="rId294" Type="http://schemas.openxmlformats.org/officeDocument/2006/relationships/hyperlink" Target="https://api.mziq.com/mzfilemanager/v2/d/b8180300-b881-4e6c-b970-12ad72a86ec8/5a8e3932-6563-439c-7807-eefbef670e63?origin=2" TargetMode="External"/><Relationship Id="rId299" Type="http://schemas.openxmlformats.org/officeDocument/2006/relationships/hyperlink" Target="https://www.carrefour.com.br/grupo-carrefour/instituto-carrefour/quem-somos" TargetMode="External"/><Relationship Id="rId298" Type="http://schemas.openxmlformats.org/officeDocument/2006/relationships/hyperlink" Target="https://www.grupocarrefourbrasil.com.br/" TargetMode="External"/><Relationship Id="rId271" Type="http://schemas.openxmlformats.org/officeDocument/2006/relationships/hyperlink" Target="https://fliphtml5.com/tvtgq/bpsu/relatorio-de-sustentabilidade-copasul-2022/67/" TargetMode="External"/><Relationship Id="rId270" Type="http://schemas.openxmlformats.org/officeDocument/2006/relationships/hyperlink" Target="https://www.copasul.coop.br/fecularia" TargetMode="External"/><Relationship Id="rId269" Type="http://schemas.openxmlformats.org/officeDocument/2006/relationships/hyperlink" Target="https://www.copasul.coop.br/nossasUnidades" TargetMode="External"/><Relationship Id="rId264" Type="http://schemas.openxmlformats.org/officeDocument/2006/relationships/hyperlink" Target="https://web.coagril.coop.br/relatorio-anual/" TargetMode="External"/><Relationship Id="rId263" Type="http://schemas.openxmlformats.org/officeDocument/2006/relationships/hyperlink" Target="https://web.coagril.coop.br/relatorio-anual/" TargetMode="External"/><Relationship Id="rId262" Type="http://schemas.openxmlformats.org/officeDocument/2006/relationships/hyperlink" Target="https://web.coagril.coop.br/" TargetMode="External"/><Relationship Id="rId261" Type="http://schemas.openxmlformats.org/officeDocument/2006/relationships/hyperlink" Target="https://www.citrosuco.com.br/wp-content/uploads/2024/04/Citrosuco-RA-22-23.pdf" TargetMode="External"/><Relationship Id="rId268" Type="http://schemas.openxmlformats.org/officeDocument/2006/relationships/hyperlink" Target="https://www.copasul.coop.br/nossaHistoria" TargetMode="External"/><Relationship Id="rId267" Type="http://schemas.openxmlformats.org/officeDocument/2006/relationships/hyperlink" Target="https://www.copasul.coop.br/" TargetMode="External"/><Relationship Id="rId266" Type="http://schemas.openxmlformats.org/officeDocument/2006/relationships/hyperlink" Target="https://web.coagril.coop.br/relatorio-anual/" TargetMode="External"/><Relationship Id="rId265" Type="http://schemas.openxmlformats.org/officeDocument/2006/relationships/hyperlink" Target="https://web.coagril.coop.br/relatorio-anual/" TargetMode="External"/><Relationship Id="rId260" Type="http://schemas.openxmlformats.org/officeDocument/2006/relationships/hyperlink" Target="https://www.citrosuco.com.br/wp-content/uploads/2024/01/Citrosuco_ra_2021_2022_pt_final.pdf" TargetMode="External"/><Relationship Id="rId259" Type="http://schemas.openxmlformats.org/officeDocument/2006/relationships/hyperlink" Target="https://relatorioanual2021.citrosuco.com.br/wp-content/uploads/2022/07/citrosuco_RS_2020_2021_PT_985x600px_AF.pdf" TargetMode="External"/><Relationship Id="rId258" Type="http://schemas.openxmlformats.org/officeDocument/2006/relationships/hyperlink" Target="https://www.citrosuco.com.br/wp-content/uploads/2021/07/Citrosuco_RS2020_02.pdf" TargetMode="External"/><Relationship Id="rId253" Type="http://schemas.openxmlformats.org/officeDocument/2006/relationships/hyperlink" Target="https://portal.coperdia.com.br/" TargetMode="External"/><Relationship Id="rId495" Type="http://schemas.openxmlformats.org/officeDocument/2006/relationships/hyperlink" Target="https://grupo.superabc.com.br/index.php/fale-conosco/solidariedade/127-habitos-saudaveis-e-combate-ao-desperdicio" TargetMode="External"/><Relationship Id="rId252" Type="http://schemas.openxmlformats.org/officeDocument/2006/relationships/hyperlink" Target="https://cjselecta.com.br/onde-estamos/" TargetMode="External"/><Relationship Id="rId494" Type="http://schemas.openxmlformats.org/officeDocument/2006/relationships/hyperlink" Target="https://grupo.superabc.com.br/index.php/fale-conosco/solidariedade/119-campanha-juntos-por-minas" TargetMode="External"/><Relationship Id="rId251" Type="http://schemas.openxmlformats.org/officeDocument/2006/relationships/hyperlink" Target="https://cjselecta.com.br/sustentabilidade/" TargetMode="External"/><Relationship Id="rId493" Type="http://schemas.openxmlformats.org/officeDocument/2006/relationships/hyperlink" Target="https://grupo.superabc.com.br/index.php/fale-conosco/solidariedade/117-campanha-doacao-super-essencial" TargetMode="External"/><Relationship Id="rId250" Type="http://schemas.openxmlformats.org/officeDocument/2006/relationships/hyperlink" Target="https://cjselecta.com.br/sobre-nos/" TargetMode="External"/><Relationship Id="rId492" Type="http://schemas.openxmlformats.org/officeDocument/2006/relationships/hyperlink" Target="https://grupo.superabc.com.br/" TargetMode="External"/><Relationship Id="rId257" Type="http://schemas.openxmlformats.org/officeDocument/2006/relationships/hyperlink" Target="https://www.citrosuco.com.br/" TargetMode="External"/><Relationship Id="rId499" Type="http://schemas.openxmlformats.org/officeDocument/2006/relationships/hyperlink" Target="https://www.zonasul.com.br/sustentabilidade" TargetMode="External"/><Relationship Id="rId256" Type="http://schemas.openxmlformats.org/officeDocument/2006/relationships/hyperlink" Target="https://portal.coperdia.com.br/encadeamento-produtivo/" TargetMode="External"/><Relationship Id="rId498" Type="http://schemas.openxmlformats.org/officeDocument/2006/relationships/hyperlink" Target="https://api.mziq.com/mzfilemanager/v2/d/b06ff083-901c-4706-adda-d4b8c9344896/73a5392a-f607-b519-8c1b-ca5834c25403?origin=2" TargetMode="External"/><Relationship Id="rId255" Type="http://schemas.openxmlformats.org/officeDocument/2006/relationships/hyperlink" Target="https://portal.coperdia.com.br/acoes-ambientais/" TargetMode="External"/><Relationship Id="rId497" Type="http://schemas.openxmlformats.org/officeDocument/2006/relationships/hyperlink" Target="https://api.mziq.com/mzfilemanager/v2/d/b06ff083-901c-4706-adda-d4b8c9344896/ce5fe62e-2d79-7c78-9014-9749f27b15e2?origin=1" TargetMode="External"/><Relationship Id="rId254" Type="http://schemas.openxmlformats.org/officeDocument/2006/relationships/hyperlink" Target="https://portal.coperdia.com.br/historia/" TargetMode="External"/><Relationship Id="rId496" Type="http://schemas.openxmlformats.org/officeDocument/2006/relationships/hyperlink" Target="https://ri.petz.com.br/" TargetMode="External"/><Relationship Id="rId293" Type="http://schemas.openxmlformats.org/officeDocument/2006/relationships/hyperlink" Target="https://www.marfrig.com.br/pt/instituto-marfrig" TargetMode="External"/><Relationship Id="rId292" Type="http://schemas.openxmlformats.org/officeDocument/2006/relationships/hyperlink" Target="https://www.marfrig.com.br/pt/home" TargetMode="External"/><Relationship Id="rId291" Type="http://schemas.openxmlformats.org/officeDocument/2006/relationships/hyperlink" Target="https://ainfo.cnptia.embrapa.br/digital/bitstream/doc/1164612/1/relatorio-admin-2023.pdf" TargetMode="External"/><Relationship Id="rId290" Type="http://schemas.openxmlformats.org/officeDocument/2006/relationships/hyperlink" Target="https://www.embrapa.br/documents/10180/1549626/Relato+Integrado+2022/b04ac8fc-0b65-bc6b-e667-d52ad2ec1c41" TargetMode="External"/><Relationship Id="rId286" Type="http://schemas.openxmlformats.org/officeDocument/2006/relationships/hyperlink" Target="https://jbsesg.com/docs/JBS_Sustainability_Report_2023_BR.pdf" TargetMode="External"/><Relationship Id="rId285" Type="http://schemas.openxmlformats.org/officeDocument/2006/relationships/hyperlink" Target="https://ri.jbs.com.br/a-jbs/unidades-de-negocios/" TargetMode="External"/><Relationship Id="rId284" Type="http://schemas.openxmlformats.org/officeDocument/2006/relationships/hyperlink" Target="https://jbs.com.br/sobre/nossa-historia/" TargetMode="External"/><Relationship Id="rId283" Type="http://schemas.openxmlformats.org/officeDocument/2006/relationships/hyperlink" Target="https://jbs.com.br/storage/2023/10/JBS-2022-sumario-executivo_BR_PT-Updated-2.pdf" TargetMode="External"/><Relationship Id="rId289" Type="http://schemas.openxmlformats.org/officeDocument/2006/relationships/hyperlink" Target="https://www.embrapa.br/documents/10180/1549626/Relat%C3%B3rio+de+Gest%C3%A3o+2021/20b8f81f-e139-42e0-c0fd-185f8f1dd3dd" TargetMode="External"/><Relationship Id="rId288" Type="http://schemas.openxmlformats.org/officeDocument/2006/relationships/hyperlink" Target="https://www.embrapa.br/documents/10180/1549626/Relat%C3%B3rio+de+Gest%C3%A3o+2020.pdf/ad615f83-30fa-6e03-680c-00d6f33f9ca7" TargetMode="External"/><Relationship Id="rId287" Type="http://schemas.openxmlformats.org/officeDocument/2006/relationships/hyperlink" Target="https://www.embrapa.br/" TargetMode="External"/><Relationship Id="rId282" Type="http://schemas.openxmlformats.org/officeDocument/2006/relationships/hyperlink" Target="https://jbs.com.br/wp-content/uploads/2023/10/relatorio-anual-e-de-sustentabilidade-jbs-2021.pdf" TargetMode="External"/><Relationship Id="rId281" Type="http://schemas.openxmlformats.org/officeDocument/2006/relationships/hyperlink" Target="https://jbs.com.br/wp-content/uploads/2023/10/relatorio-de-sustentabilidade-jbs-2020.pdf" TargetMode="External"/><Relationship Id="rId280" Type="http://schemas.openxmlformats.org/officeDocument/2006/relationships/hyperlink" Target="https://fundojbsamazonia.org/" TargetMode="External"/><Relationship Id="rId275" Type="http://schemas.openxmlformats.org/officeDocument/2006/relationships/hyperlink" Target="https://www.atlanticacoffee.com/grupo-montesanto-tavares-do-plantio-a-comercializacao-internacional-do-cafe/" TargetMode="External"/><Relationship Id="rId274" Type="http://schemas.openxmlformats.org/officeDocument/2006/relationships/hyperlink" Target="https://institutocafesolidario.org.br/" TargetMode="External"/><Relationship Id="rId273" Type="http://schemas.openxmlformats.org/officeDocument/2006/relationships/hyperlink" Target="https://montesantotavares.com.br/" TargetMode="External"/><Relationship Id="rId272" Type="http://schemas.openxmlformats.org/officeDocument/2006/relationships/hyperlink" Target="https://cloud.squidex.io/api/assets/copasul/59a1ac95-9780-4828-b837-0a98659fe741/relatorio-copasul-2023-site.pdf?version=0" TargetMode="External"/><Relationship Id="rId279" Type="http://schemas.openxmlformats.org/officeDocument/2006/relationships/hyperlink" Target="https://jbs.com.br/" TargetMode="External"/><Relationship Id="rId278" Type="http://schemas.openxmlformats.org/officeDocument/2006/relationships/hyperlink" Target="https://montesantotavares.com.br/arquivos/Relatorio_2022_GMT_Final.pdf" TargetMode="External"/><Relationship Id="rId277" Type="http://schemas.openxmlformats.org/officeDocument/2006/relationships/hyperlink" Target="https://montesantotavares.com.br/arquivos/Relatorio_2021_GMT_Final.pdf" TargetMode="External"/><Relationship Id="rId276" Type="http://schemas.openxmlformats.org/officeDocument/2006/relationships/hyperlink" Target="https://montesantotavares.com.br/arquivos/Relatorio_2020_GMT_Final.pdf" TargetMode="External"/><Relationship Id="rId409" Type="http://schemas.openxmlformats.org/officeDocument/2006/relationships/hyperlink" Target="https://piracanjuba-institucional-prd.s3.sa-east-1.amazonaws.com/piranews_download/file/relatorio-de-sustentabilidade-2023-21.pdf" TargetMode="External"/><Relationship Id="rId404" Type="http://schemas.openxmlformats.org/officeDocument/2006/relationships/hyperlink" Target="https://files.mybeehome.com/publicfiles/Relatorio_de_Sustentabilidade_Solar_2023--1692067600.pdf" TargetMode="External"/><Relationship Id="rId403" Type="http://schemas.openxmlformats.org/officeDocument/2006/relationships/hyperlink" Target="https://files.mybeehome.com/publicfiles/Solar-RGS2022-FINAL-Site-21-11-2023--133702435.pdf" TargetMode="External"/><Relationship Id="rId402" Type="http://schemas.openxmlformats.org/officeDocument/2006/relationships/hyperlink" Target="https://files.mybeehome.com/publicfiles/Relatorio_de_Gestao_e_Sustentabilidade_2021-460395667.pdf" TargetMode="External"/><Relationship Id="rId401" Type="http://schemas.openxmlformats.org/officeDocument/2006/relationships/hyperlink" Target="https://files.mybeehome.com/publicfiles/RELATORIO_DE_GESTAO_E_SUSTENTABILIDADE_SOLAR_2020--585086897.pdf" TargetMode="External"/><Relationship Id="rId408" Type="http://schemas.openxmlformats.org/officeDocument/2006/relationships/hyperlink" Target="https://piracanjuba-institucional-prd.s3.sa-east-1.amazonaws.com/piranews_download/file/livreto-relatorio-de-sustentabilidade2023-novo-10.pdf" TargetMode="External"/><Relationship Id="rId407" Type="http://schemas.openxmlformats.org/officeDocument/2006/relationships/hyperlink" Target="https://www.piracanjuba.com.br/files/Relatorio_Sustentabilidade_2021.pdf" TargetMode="External"/><Relationship Id="rId406" Type="http://schemas.openxmlformats.org/officeDocument/2006/relationships/hyperlink" Target="https://www.piracanjuba.com.br/files/Relatorio_Sustentabilidade_2020.pdf" TargetMode="External"/><Relationship Id="rId405" Type="http://schemas.openxmlformats.org/officeDocument/2006/relationships/hyperlink" Target="https://www.piracanjuba.com.br/" TargetMode="External"/><Relationship Id="rId400" Type="http://schemas.openxmlformats.org/officeDocument/2006/relationships/hyperlink" Target="https://ri.solarbr.com.br/" TargetMode="External"/><Relationship Id="rId228" Type="http://schemas.openxmlformats.org/officeDocument/2006/relationships/hyperlink" Target="https://copercana.com.br/files/relatorio-sustentabilidade-2021.pdf" TargetMode="External"/><Relationship Id="rId227" Type="http://schemas.openxmlformats.org/officeDocument/2006/relationships/hyperlink" Target="https://copercana.com.br/" TargetMode="External"/><Relationship Id="rId469" Type="http://schemas.openxmlformats.org/officeDocument/2006/relationships/hyperlink" Target="https://www.gtfoods.com.br/wp-content/uploads/2022/11/RELATORIO-SUSTENTABILIDADE_PORTUGUES.pdf" TargetMode="External"/><Relationship Id="rId226" Type="http://schemas.openxmlformats.org/officeDocument/2006/relationships/hyperlink" Target="https://www.coasul.com.br/sobre" TargetMode="External"/><Relationship Id="rId468" Type="http://schemas.openxmlformats.org/officeDocument/2006/relationships/hyperlink" Target="https://www.gtfoods.com.br/" TargetMode="External"/><Relationship Id="rId225" Type="http://schemas.openxmlformats.org/officeDocument/2006/relationships/hyperlink" Target="https://www.coasul.com.br/relatorios/relatorio-anual-2023.pdf" TargetMode="External"/><Relationship Id="rId467" Type="http://schemas.openxmlformats.org/officeDocument/2006/relationships/hyperlink" Target="https://www.grupolideronline.com.br/transforma" TargetMode="External"/><Relationship Id="rId229" Type="http://schemas.openxmlformats.org/officeDocument/2006/relationships/hyperlink" Target="https://copercana.com.br/files/relatorio-sustentabilidade-2022.pdf" TargetMode="External"/><Relationship Id="rId220" Type="http://schemas.openxmlformats.org/officeDocument/2006/relationships/hyperlink" Target="https://coopavel.com.br/receitas/" TargetMode="External"/><Relationship Id="rId462" Type="http://schemas.openxmlformats.org/officeDocument/2006/relationships/hyperlink" Target="https://www.grupolideronline.com.br/responsabilidade-socioambiental" TargetMode="External"/><Relationship Id="rId461" Type="http://schemas.openxmlformats.org/officeDocument/2006/relationships/hyperlink" Target="https://www.grupolideronline.com.br/" TargetMode="External"/><Relationship Id="rId460" Type="http://schemas.openxmlformats.org/officeDocument/2006/relationships/hyperlink" Target="https://www.koandina.com/uploads/Memoria_integrada_2023.pdf" TargetMode="External"/><Relationship Id="rId224" Type="http://schemas.openxmlformats.org/officeDocument/2006/relationships/hyperlink" Target="https://www.coasul.com.br/relatorios/relatorio-anual-2022-v2.pdf" TargetMode="External"/><Relationship Id="rId466" Type="http://schemas.openxmlformats.org/officeDocument/2006/relationships/hyperlink" Target="https://www.grupolideronline.com.br/fazenda" TargetMode="External"/><Relationship Id="rId223" Type="http://schemas.openxmlformats.org/officeDocument/2006/relationships/hyperlink" Target="https://www.coasul.com.br/relatorios/relatorio-anual-2021.pdf" TargetMode="External"/><Relationship Id="rId465" Type="http://schemas.openxmlformats.org/officeDocument/2006/relationships/hyperlink" Target="https://www.grupolideronline.com.br/cafe-lider" TargetMode="External"/><Relationship Id="rId222" Type="http://schemas.openxmlformats.org/officeDocument/2006/relationships/hyperlink" Target="https://www.coasul.com.br/relatorios/relatorio-anual-2020.pdf" TargetMode="External"/><Relationship Id="rId464" Type="http://schemas.openxmlformats.org/officeDocument/2006/relationships/hyperlink" Target="https://www.grupolideronline.com.br/centro" TargetMode="External"/><Relationship Id="rId221" Type="http://schemas.openxmlformats.org/officeDocument/2006/relationships/hyperlink" Target="https://www.coasul.com.br/" TargetMode="External"/><Relationship Id="rId463" Type="http://schemas.openxmlformats.org/officeDocument/2006/relationships/hyperlink" Target="https://www.grupolideronline.com.br/historia" TargetMode="External"/><Relationship Id="rId217" Type="http://schemas.openxmlformats.org/officeDocument/2006/relationships/hyperlink" Target="https://coopavel.com.br/wp-content/uploads/2023/01/DIGITAL-RR9288-COOPAVEL-RelatorioAnual-297x210.pdf" TargetMode="External"/><Relationship Id="rId459" Type="http://schemas.openxmlformats.org/officeDocument/2006/relationships/hyperlink" Target="https://www.koandina.com/uploads/Memoria%20Integrada%202022.pdf" TargetMode="External"/><Relationship Id="rId216" Type="http://schemas.openxmlformats.org/officeDocument/2006/relationships/hyperlink" Target="https://coopavel.com.br/wp-content/uploads/2022/01/RelatorioAnual-2021-Web.pdf" TargetMode="External"/><Relationship Id="rId458" Type="http://schemas.openxmlformats.org/officeDocument/2006/relationships/hyperlink" Target="https://www.koandina.com/uploads/Memoria-Anual2021.pdf" TargetMode="External"/><Relationship Id="rId215" Type="http://schemas.openxmlformats.org/officeDocument/2006/relationships/hyperlink" Target="https://coopavel.com.br/wp-content/uploads/2021/01/RelatorioAnual2020-Web.pdf" TargetMode="External"/><Relationship Id="rId457" Type="http://schemas.openxmlformats.org/officeDocument/2006/relationships/hyperlink" Target="https://www.koandina.com/uploads/reportes_financieros/memoria-Anual2020.pdf" TargetMode="External"/><Relationship Id="rId214" Type="http://schemas.openxmlformats.org/officeDocument/2006/relationships/hyperlink" Target="https://coopavel.com.br/" TargetMode="External"/><Relationship Id="rId456" Type="http://schemas.openxmlformats.org/officeDocument/2006/relationships/hyperlink" Target="https://www.coca-colacompany.com/social/coca-cola-foundation" TargetMode="External"/><Relationship Id="rId219" Type="http://schemas.openxmlformats.org/officeDocument/2006/relationships/hyperlink" Target="https://coopavel.com.br/receitas/" TargetMode="External"/><Relationship Id="rId218" Type="http://schemas.openxmlformats.org/officeDocument/2006/relationships/hyperlink" Target="https://coopavel.com.br/wp-content/uploads/2024/01/RR10945-Coopavel-RelatorioAnual2024-Web.pdf" TargetMode="External"/><Relationship Id="rId451" Type="http://schemas.openxmlformats.org/officeDocument/2006/relationships/hyperlink" Target="https://www.condor50anos.com.br/" TargetMode="External"/><Relationship Id="rId450" Type="http://schemas.openxmlformats.org/officeDocument/2006/relationships/hyperlink" Target="https://www.campanhasolidariacondor.com.br/" TargetMode="External"/><Relationship Id="rId213" Type="http://schemas.openxmlformats.org/officeDocument/2006/relationships/hyperlink" Target="https://www.cocari.com.br/unidade.php" TargetMode="External"/><Relationship Id="rId455" Type="http://schemas.openxmlformats.org/officeDocument/2006/relationships/hyperlink" Target="https://www.koandina.com/" TargetMode="External"/><Relationship Id="rId212" Type="http://schemas.openxmlformats.org/officeDocument/2006/relationships/hyperlink" Target="https://www.cocari.com.br/produto-servico.php?ID=12" TargetMode="External"/><Relationship Id="rId454" Type="http://schemas.openxmlformats.org/officeDocument/2006/relationships/hyperlink" Target="https://diacorporate.com/wp-content/uploads/2022/07/DIA_memoria2021_PT_0722.pdf" TargetMode="External"/><Relationship Id="rId211" Type="http://schemas.openxmlformats.org/officeDocument/2006/relationships/hyperlink" Target="https://www.cocari.com.br/" TargetMode="External"/><Relationship Id="rId453" Type="http://schemas.openxmlformats.org/officeDocument/2006/relationships/hyperlink" Target="https://www.dia.com.br/responsabilidade-social/" TargetMode="External"/><Relationship Id="rId210" Type="http://schemas.openxmlformats.org/officeDocument/2006/relationships/hyperlink" Target="https://fiagril.com.br/nossa-historia/" TargetMode="External"/><Relationship Id="rId452" Type="http://schemas.openxmlformats.org/officeDocument/2006/relationships/hyperlink" Target="https://www.dia.com.br/institucional/sobre-dia/" TargetMode="External"/><Relationship Id="rId491" Type="http://schemas.openxmlformats.org/officeDocument/2006/relationships/hyperlink" Target="https://acrobat.adobe.com/link/review?uri=urn%3Aaaid%3Ascds%3AUS%3A2088d700-2339-3c06-b96a-48c164a23418" TargetMode="External"/><Relationship Id="rId490" Type="http://schemas.openxmlformats.org/officeDocument/2006/relationships/hyperlink" Target="https://www.bemol.com.br/conteudo/institucional/quem-somos" TargetMode="External"/><Relationship Id="rId249" Type="http://schemas.openxmlformats.org/officeDocument/2006/relationships/hyperlink" Target="https://cjselecta.com.br/wp-content/uploads/2024/08/2024-07-26-cj-digital-v7.pdf" TargetMode="External"/><Relationship Id="rId248" Type="http://schemas.openxmlformats.org/officeDocument/2006/relationships/hyperlink" Target="https://cjselecta.com.br/wp-content/uploads/2024/03/gri-pt1.pdf" TargetMode="External"/><Relationship Id="rId247" Type="http://schemas.openxmlformats.org/officeDocument/2006/relationships/hyperlink" Target="https://cjselecta.com.br/wp-content/uploads/filr/133/CJS_RAS2021-pt.pdf" TargetMode="External"/><Relationship Id="rId489" Type="http://schemas.openxmlformats.org/officeDocument/2006/relationships/hyperlink" Target="https://ri.zamp.com.br/list.aspx?idCanal=G74+nC12nTOaV4s5niHaTg==" TargetMode="External"/><Relationship Id="rId242" Type="http://schemas.openxmlformats.org/officeDocument/2006/relationships/hyperlink" Target="https://www.capal.coop.br/pdf/publicacao-2024-02-20-12-51-08.pdf" TargetMode="External"/><Relationship Id="rId484" Type="http://schemas.openxmlformats.org/officeDocument/2006/relationships/hyperlink" Target="https://www.grupopanvel.com.br/pt/sustainability" TargetMode="External"/><Relationship Id="rId241" Type="http://schemas.openxmlformats.org/officeDocument/2006/relationships/hyperlink" Target="https://www.capal.coop.br/pdf/publicacao-2023-04-21-19-22-59.pdf" TargetMode="External"/><Relationship Id="rId483" Type="http://schemas.openxmlformats.org/officeDocument/2006/relationships/hyperlink" Target="https://www.orangesalimentos.com.br/wp-content/uploads/2024/08/Relatorio_Sustentabilidade_2023_Oranges-2-compactado-1.pdf" TargetMode="External"/><Relationship Id="rId240" Type="http://schemas.openxmlformats.org/officeDocument/2006/relationships/hyperlink" Target="https://www.capal.coop.br/pdf/publicacao-2023-07-27-20-27-00.pdf" TargetMode="External"/><Relationship Id="rId482" Type="http://schemas.openxmlformats.org/officeDocument/2006/relationships/hyperlink" Target="https://www.orangesalimentos.com.br/wp-content/uploads/2023/07/Relatorio_De_Sustentabilidade_BarraMansa.pdf" TargetMode="External"/><Relationship Id="rId481" Type="http://schemas.openxmlformats.org/officeDocument/2006/relationships/hyperlink" Target="https://www.orangesalimentos.com.br/" TargetMode="External"/><Relationship Id="rId246" Type="http://schemas.openxmlformats.org/officeDocument/2006/relationships/hyperlink" Target="https://cjselecta.com.br/wp-content/uploads/filr/136/relatorio-sustentabilidade-cjselecta-2020-pt.pdf" TargetMode="External"/><Relationship Id="rId488" Type="http://schemas.openxmlformats.org/officeDocument/2006/relationships/hyperlink" Target="https://www.zamp.com.br/" TargetMode="External"/><Relationship Id="rId245" Type="http://schemas.openxmlformats.org/officeDocument/2006/relationships/hyperlink" Target="https://cjselecta.com.br/" TargetMode="External"/><Relationship Id="rId487" Type="http://schemas.openxmlformats.org/officeDocument/2006/relationships/hyperlink" Target="https://www.grupopanvel.com.br/pt/who-we-are" TargetMode="External"/><Relationship Id="rId244" Type="http://schemas.openxmlformats.org/officeDocument/2006/relationships/hyperlink" Target="https://fundacaoabc.org/quem-somos/" TargetMode="External"/><Relationship Id="rId486" Type="http://schemas.openxmlformats.org/officeDocument/2006/relationships/hyperlink" Target="https://www.grupopanvel.com.br/todosbem/assets/pdf/Relatorio_Sustentabilidade_2023_PT-Br.pdf" TargetMode="External"/><Relationship Id="rId243" Type="http://schemas.openxmlformats.org/officeDocument/2006/relationships/hyperlink" Target="https://www.capal.coop.br/site/cooperativa.php" TargetMode="External"/><Relationship Id="rId485" Type="http://schemas.openxmlformats.org/officeDocument/2006/relationships/hyperlink" Target="https://www.grupopanvel.com.br/todosbem/assets/pdf/Relatorio_Sustentabilidade_2022_PT-Br.pdf" TargetMode="External"/><Relationship Id="rId480" Type="http://schemas.openxmlformats.org/officeDocument/2006/relationships/hyperlink" Target="https://www.jmacedo.com.br/wp-content/uploads/2024/05/site-jmacedo-relatorio-2023-versao-28_05_2024.pdf" TargetMode="External"/><Relationship Id="rId239" Type="http://schemas.openxmlformats.org/officeDocument/2006/relationships/hyperlink" Target="https://www.capal.coop.br/pdf/publicacao-2023-07-27-20-26-08.pdf" TargetMode="External"/><Relationship Id="rId238" Type="http://schemas.openxmlformats.org/officeDocument/2006/relationships/hyperlink" Target="https://fundacaoabc.org/" TargetMode="External"/><Relationship Id="rId237" Type="http://schemas.openxmlformats.org/officeDocument/2006/relationships/hyperlink" Target="https://www.capal.coop.br/" TargetMode="External"/><Relationship Id="rId479" Type="http://schemas.openxmlformats.org/officeDocument/2006/relationships/hyperlink" Target="https://www.jmacedo.com.br/wp-content/uploads/2023/05/site-jmacedo-Relatorio-de-sustentabilidade-2022.pdf" TargetMode="External"/><Relationship Id="rId236" Type="http://schemas.openxmlformats.org/officeDocument/2006/relationships/hyperlink" Target="https://unglobalcompact.org/what-is-gc/participants/3759-DSM-Firmenich" TargetMode="External"/><Relationship Id="rId478" Type="http://schemas.openxmlformats.org/officeDocument/2006/relationships/hyperlink" Target="https://moinhocultural.org.br/" TargetMode="External"/><Relationship Id="rId231" Type="http://schemas.openxmlformats.org/officeDocument/2006/relationships/hyperlink" Target="https://www.dsm.com/tortuga/pt_BR/tortuga/social-responsability.html" TargetMode="External"/><Relationship Id="rId473" Type="http://schemas.openxmlformats.org/officeDocument/2006/relationships/hyperlink" Target="https://ssa-br.com/wp-content/uploads/2022/09/gri-ssa-2020.pdf" TargetMode="External"/><Relationship Id="rId230" Type="http://schemas.openxmlformats.org/officeDocument/2006/relationships/hyperlink" Target="https://www.dsm.com/human-nutrition/pt_BR/home.html" TargetMode="External"/><Relationship Id="rId472" Type="http://schemas.openxmlformats.org/officeDocument/2006/relationships/hyperlink" Target="https://ssa-br.com/" TargetMode="External"/><Relationship Id="rId471" Type="http://schemas.openxmlformats.org/officeDocument/2006/relationships/hyperlink" Target="https://www.gtfoods.com.br/wp-content/uploads/2024/10/Relatorio-de-Sustentabilidade-GTFoods-2023.pdf" TargetMode="External"/><Relationship Id="rId470" Type="http://schemas.openxmlformats.org/officeDocument/2006/relationships/hyperlink" Target="https://www.gtfoods.com.br/wp-content/uploads/2023/11/AF-Relatorio-de-Sustentabilidade-e-IGEE-GTFoods-20231120-digital.pdf" TargetMode="External"/><Relationship Id="rId235" Type="http://schemas.openxmlformats.org/officeDocument/2006/relationships/hyperlink" Target="https://www.dsm-firmenich.com/content/dam/dsm-firmenich/corporate/documents/results-center/entire-dsmfirmenich-iar23.pdf" TargetMode="External"/><Relationship Id="rId477" Type="http://schemas.openxmlformats.org/officeDocument/2006/relationships/hyperlink" Target="https://www.jmacedo.com.br/" TargetMode="External"/><Relationship Id="rId234" Type="http://schemas.openxmlformats.org/officeDocument/2006/relationships/hyperlink" Target="https://annualreport.dsm.com/ar2022/" TargetMode="External"/><Relationship Id="rId476" Type="http://schemas.openxmlformats.org/officeDocument/2006/relationships/hyperlink" Target="https://ssa-br.com/wp-content/uploads/2024/07/gri-2023.pdf" TargetMode="External"/><Relationship Id="rId233" Type="http://schemas.openxmlformats.org/officeDocument/2006/relationships/hyperlink" Target="https://annualreport.dsm.com/ar2021/" TargetMode="External"/><Relationship Id="rId475" Type="http://schemas.openxmlformats.org/officeDocument/2006/relationships/hyperlink" Target="https://ssa-br.com/wp-content/uploads/2023/05/GRI-2022.pdf" TargetMode="External"/><Relationship Id="rId232" Type="http://schemas.openxmlformats.org/officeDocument/2006/relationships/hyperlink" Target="https://annualreport.dsm.com/ar2020/" TargetMode="External"/><Relationship Id="rId474" Type="http://schemas.openxmlformats.org/officeDocument/2006/relationships/hyperlink" Target="https://ssa-br.com/wp-content/uploads/2022/09/gri-ssa-2021.pdf" TargetMode="External"/><Relationship Id="rId426" Type="http://schemas.openxmlformats.org/officeDocument/2006/relationships/hyperlink" Target="https://www.grupozaffari.com.br/relatorio-social-2022/" TargetMode="External"/><Relationship Id="rId425" Type="http://schemas.openxmlformats.org/officeDocument/2006/relationships/hyperlink" Target="https://www.grupozaffari.com.br/relatorio-social-2021/" TargetMode="External"/><Relationship Id="rId424" Type="http://schemas.openxmlformats.org/officeDocument/2006/relationships/hyperlink" Target="https://www.grupozaffari.com.br/relatorio-social-2020/index/" TargetMode="External"/><Relationship Id="rId423" Type="http://schemas.openxmlformats.org/officeDocument/2006/relationships/hyperlink" Target="https://www.zaffari.com.br/" TargetMode="External"/><Relationship Id="rId429" Type="http://schemas.openxmlformats.org/officeDocument/2006/relationships/hyperlink" Target="https://institutomariogazin.com.br/" TargetMode="External"/><Relationship Id="rId428" Type="http://schemas.openxmlformats.org/officeDocument/2006/relationships/hyperlink" Target="https://grupogazin.com.br/" TargetMode="External"/><Relationship Id="rId427" Type="http://schemas.openxmlformats.org/officeDocument/2006/relationships/hyperlink" Target="https://www.zaffari.com.br/institucional" TargetMode="External"/><Relationship Id="rId422" Type="http://schemas.openxmlformats.org/officeDocument/2006/relationships/hyperlink" Target="https://www.3coracoes.com.br/wp-content/uploads/2024/09/Relatorio-de-Sustentabilidade-2023.pdf?x20808" TargetMode="External"/><Relationship Id="rId421" Type="http://schemas.openxmlformats.org/officeDocument/2006/relationships/hyperlink" Target="https://www.3coracoes.com.br/wp-content/uploads/2023/09/Relatorio-Sustentabilidade-2022.pdf?x20808" TargetMode="External"/><Relationship Id="rId420" Type="http://schemas.openxmlformats.org/officeDocument/2006/relationships/hyperlink" Target="https://sites.google.com/3coracoes.com.br/2021rel-de-sustentabilidade/esg-social/iniciativas-sociais" TargetMode="External"/><Relationship Id="rId415" Type="http://schemas.openxmlformats.org/officeDocument/2006/relationships/hyperlink" Target="https://receitadofuturo.com.br/wp-content/uploads/sites/5/2024/07/AD_2023_POR.pdf" TargetMode="External"/><Relationship Id="rId414" Type="http://schemas.openxmlformats.org/officeDocument/2006/relationships/hyperlink" Target="https://receitadofuturo.com.br/wp-content/uploads/sites/5/2023/11/AD_2022_POR.pdf" TargetMode="External"/><Relationship Id="rId413" Type="http://schemas.openxmlformats.org/officeDocument/2006/relationships/hyperlink" Target="https://receitadofuturo.com.br/wp-content/uploads/sites/5/2022/06/ReporteESG_2021_pt.pdf" TargetMode="External"/><Relationship Id="rId412" Type="http://schemas.openxmlformats.org/officeDocument/2006/relationships/hyperlink" Target="https://recipeforthefuture.com/wp-content/uploads/sites/2/2021/06/Arcos-Dorados-Relatorio-de-Impacto-Social-e-Desenvolvimento-Sustentavel-2020.pdf" TargetMode="External"/><Relationship Id="rId419" Type="http://schemas.openxmlformats.org/officeDocument/2006/relationships/hyperlink" Target="https://sites.google.com/3coracoes.com.br/relatorio-de-sustentabilidade/social/panorama-covid-19" TargetMode="External"/><Relationship Id="rId418" Type="http://schemas.openxmlformats.org/officeDocument/2006/relationships/hyperlink" Target="https://www.3coracoes.com.br/" TargetMode="External"/><Relationship Id="rId417" Type="http://schemas.openxmlformats.org/officeDocument/2006/relationships/hyperlink" Target="https://www.arcosdorados.com/wp-content/uploads/2015/12/Normas-de-Conduta-Nos-Nego%CC%81cios.pdf" TargetMode="External"/><Relationship Id="rId416" Type="http://schemas.openxmlformats.org/officeDocument/2006/relationships/hyperlink" Target="https://www.terra.com.br/culinaria/infograficos/dentro-do-macdonalds/" TargetMode="External"/><Relationship Id="rId411" Type="http://schemas.openxmlformats.org/officeDocument/2006/relationships/hyperlink" Target="https://institutoronald.org.br/" TargetMode="External"/><Relationship Id="rId410" Type="http://schemas.openxmlformats.org/officeDocument/2006/relationships/hyperlink" Target="https://www.arcosdorados.com/" TargetMode="External"/><Relationship Id="rId206" Type="http://schemas.openxmlformats.org/officeDocument/2006/relationships/hyperlink" Target="https://fiagril.com.br/wp-content/uploads/2022/11/15a4e993ad6ff20baa9c019e0d4a436d.pdf" TargetMode="External"/><Relationship Id="rId448" Type="http://schemas.openxmlformats.org/officeDocument/2006/relationships/hyperlink" Target="https://www.condor.com.br/" TargetMode="External"/><Relationship Id="rId205" Type="http://schemas.openxmlformats.org/officeDocument/2006/relationships/hyperlink" Target="https://fiagril.com.br/" TargetMode="External"/><Relationship Id="rId447" Type="http://schemas.openxmlformats.org/officeDocument/2006/relationships/hyperlink" Target="https://www.superkoch.com.br/quem-somos?srsltid=AfmBOopGngz3yz6zN-H0_y02nbDdXg5mZ_AyilAGyLbfx2sXuTwhC2c4" TargetMode="External"/><Relationship Id="rId204" Type="http://schemas.openxmlformats.org/officeDocument/2006/relationships/hyperlink" Target="https://www.cotrijal.com.br/adm/files/relatorios_institucionais/relat%C3%B3rioinstitucional2023_Cotrijal_compressed-669e5e3f51400.pdf" TargetMode="External"/><Relationship Id="rId446" Type="http://schemas.openxmlformats.org/officeDocument/2006/relationships/hyperlink" Target="https://www.superkoch.com.br/acoesesg?srsltid=AfmBOoprZpnT6Hz4W594__himJwAB48VD8W1hPz96kUfRECVCH3XUA1I" TargetMode="External"/><Relationship Id="rId203" Type="http://schemas.openxmlformats.org/officeDocument/2006/relationships/hyperlink" Target="https://www.cotrijal.com.br/adm/files/relatorios_institucionais/Relat%C3%B3rioInstitucional(Baixa)-65f8ab03907e9.pdf" TargetMode="External"/><Relationship Id="rId445" Type="http://schemas.openxmlformats.org/officeDocument/2006/relationships/hyperlink" Target="https://issuu.com/superkoch/docs/relat_rio_de_sustentabilidade_2023" TargetMode="External"/><Relationship Id="rId209" Type="http://schemas.openxmlformats.org/officeDocument/2006/relationships/hyperlink" Target="https://campanha.fiagril.com.br/relatorio-de-sustentabilidade-2023" TargetMode="External"/><Relationship Id="rId208" Type="http://schemas.openxmlformats.org/officeDocument/2006/relationships/hyperlink" Target="https://fiagril.com.br/wp-content/uploads/2023/08/Relatorio-de-Sustentabilidade-Fiagril-2022_PT.pdf" TargetMode="External"/><Relationship Id="rId207" Type="http://schemas.openxmlformats.org/officeDocument/2006/relationships/hyperlink" Target="https://fiagril.com.br/wp-content/uploads/2022/11/Relatorio-de-Sustentabilidade-Fiagril-2021_Completo.pdf" TargetMode="External"/><Relationship Id="rId449" Type="http://schemas.openxmlformats.org/officeDocument/2006/relationships/hyperlink" Target="https://institucional.condor.com.br/acoes-condor/instituto-joanir-zonta/" TargetMode="External"/><Relationship Id="rId440" Type="http://schemas.openxmlformats.org/officeDocument/2006/relationships/hyperlink" Target="https://www.alvoarlacteos.com.br/" TargetMode="External"/><Relationship Id="rId202" Type="http://schemas.openxmlformats.org/officeDocument/2006/relationships/hyperlink" Target="https://www.cotrijal.com.br/adm/files/relatorios_institucionais/Relat%C3%B3rioInstitucional2021-BAIXA-65f8aab9124bf.pdf" TargetMode="External"/><Relationship Id="rId444" Type="http://schemas.openxmlformats.org/officeDocument/2006/relationships/hyperlink" Target="https://issuu.com/superkoch/docs/relat_rio_sustentabilidade_2021" TargetMode="External"/><Relationship Id="rId201" Type="http://schemas.openxmlformats.org/officeDocument/2006/relationships/hyperlink" Target="https://www.cotrijal.com.br/adm/files/relatorios_institucionais/Relat%C3%B3rioInstitucionalembaixa-completo-65f8aa4fe82e4.pdf" TargetMode="External"/><Relationship Id="rId443" Type="http://schemas.openxmlformats.org/officeDocument/2006/relationships/hyperlink" Target="https://www.superkoch.com.br/" TargetMode="External"/><Relationship Id="rId200" Type="http://schemas.openxmlformats.org/officeDocument/2006/relationships/hyperlink" Target="https://www.cotrijal.com.br/sobre.php" TargetMode="External"/><Relationship Id="rId442" Type="http://schemas.openxmlformats.org/officeDocument/2006/relationships/hyperlink" Target="https://drive.google.com/file/d/1_GRNr3_WEOUgJPwhBcblwLYeJ6ucH6A2/view" TargetMode="External"/><Relationship Id="rId441" Type="http://schemas.openxmlformats.org/officeDocument/2006/relationships/hyperlink" Target="https://drive.google.com/file/d/1VmLqS4Fzl7hACQzn32dJQZ_xgiBDLnVK/view" TargetMode="External"/><Relationship Id="rId437" Type="http://schemas.openxmlformats.org/officeDocument/2006/relationships/hyperlink" Target="https://api.mziq.com/mzfilemanager/v2/d/86bf7d7c-9cad-4e96-ae3b-92cb5c700199/13e9fbcd-0fd1-f6d3-6038-1257e22f0b43?origin=1" TargetMode="External"/><Relationship Id="rId436" Type="http://schemas.openxmlformats.org/officeDocument/2006/relationships/hyperlink" Target="https://instituto.rodobens.com.br/projetos" TargetMode="External"/><Relationship Id="rId435" Type="http://schemas.openxmlformats.org/officeDocument/2006/relationships/hyperlink" Target="https://ri.rodobens.com.br/" TargetMode="External"/><Relationship Id="rId434" Type="http://schemas.openxmlformats.org/officeDocument/2006/relationships/hyperlink" Target="https://gazincombr-my.sharepoint.com/personal/michely_tonhi_gazin_com_br/_layouts/15/onedrive.aspx?id=%2Fpersonal%2Fmichely%5Ftonhi%5Fgazin%5Fcom%5Fbr%2FDocuments%2FRELATORIO%20SUS%202024%2Epdf&amp;parent=%2Fpersonal%2Fmichely%5Ftonhi%5Fgazin%5Fcom%5Fbr%2FDocuments&amp;ga=1" TargetMode="External"/><Relationship Id="rId439" Type="http://schemas.openxmlformats.org/officeDocument/2006/relationships/hyperlink" Target="https://online.fliphtml5.com/rhwu/xkfc/" TargetMode="External"/><Relationship Id="rId438" Type="http://schemas.openxmlformats.org/officeDocument/2006/relationships/hyperlink" Target="https://api.mziq.com/mzfilemanager/v2/d/86bf7d7c-9cad-4e96-ae3b-92cb5c700199/6777763a-c8b6-b6f3-5727-e01eaaac695e?origin=1" TargetMode="External"/><Relationship Id="rId433" Type="http://schemas.openxmlformats.org/officeDocument/2006/relationships/hyperlink" Target="https://grupogazin.com.br/balanco_social/BOOK_COMEMORATIVO_55_ANOS_MIN.pdf" TargetMode="External"/><Relationship Id="rId432" Type="http://schemas.openxmlformats.org/officeDocument/2006/relationships/hyperlink" Target="https://grupogazin.com.br/balanco_social/RELATORIO_ANUAL_GAZIN_2022_DIGITAL_T_REDUZIDO.pdf" TargetMode="External"/><Relationship Id="rId431" Type="http://schemas.openxmlformats.org/officeDocument/2006/relationships/hyperlink" Target="https://grupogazin.com.br/balanco_social/BALANCO_SOCIAL_GAZIN_2022.pdf" TargetMode="External"/><Relationship Id="rId430" Type="http://schemas.openxmlformats.org/officeDocument/2006/relationships/hyperlink" Target="https://grupogazin.com.br/balanco_social/BALANCO_SOCIAL_GAZIN_2020.pdf" TargetMode="External"/></Relationships>
</file>

<file path=xl/worksheets/_rels/sheet2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28.xml"/><Relationship Id="rId3" Type="http://schemas.openxmlformats.org/officeDocument/2006/relationships/vmlDrawing" Target="../drawings/vmlDrawing6.vml"/></Relationships>
</file>

<file path=xl/worksheets/_rels/sheet29.xml.rels><?xml version="1.0" encoding="UTF-8" standalone="yes"?><Relationships xmlns="http://schemas.openxmlformats.org/package/2006/relationships"><Relationship Id="rId190" Type="http://schemas.openxmlformats.org/officeDocument/2006/relationships/hyperlink" Target="https://support.ecovadis.com/hc/pt-br/articles/210460227-Entendendo-as-medalhas-e-selos-da-EcoVadis" TargetMode="External"/><Relationship Id="rId194" Type="http://schemas.openxmlformats.org/officeDocument/2006/relationships/hyperlink" Target="https://eaesp.fgv.br/centros/centro-estudos-sustentabilidade/projetos/programa-brasileiro-ghg-protocol" TargetMode="External"/><Relationship Id="rId193" Type="http://schemas.openxmlformats.org/officeDocument/2006/relationships/hyperlink" Target="https://eaesp.fgv.br/centros/centro-estudos-sustentabilidade/projetos/programa-brasileiro-ghg-protocol" TargetMode="External"/><Relationship Id="rId192" Type="http://schemas.openxmlformats.org/officeDocument/2006/relationships/hyperlink" Target="https://www.gov.br/agricultura/pt-br/assuntos/integridade/integridade-no-setor-privado/selo-mais-integridade" TargetMode="External"/><Relationship Id="rId191" Type="http://schemas.openxmlformats.org/officeDocument/2006/relationships/hyperlink" Target="https://www.jusbrasil.com.br/artigos/voce-sabe-o-que-e-o-selo-mais-integridade/845859049" TargetMode="External"/><Relationship Id="rId187" Type="http://schemas.openxmlformats.org/officeDocument/2006/relationships/hyperlink" Target="https://eaesp.fgv.br/centros/centro-estudos-sustentabilidade/projetos/programa-brasileiro-ghg-protocol" TargetMode="External"/><Relationship Id="rId186" Type="http://schemas.openxmlformats.org/officeDocument/2006/relationships/hyperlink" Target="https://agriculture.basf.com/br/pt/protecao-de-cultivos-e-sementes/tratamento-sementes-on-farm-e-industrial" TargetMode="External"/><Relationship Id="rId185" Type="http://schemas.openxmlformats.org/officeDocument/2006/relationships/hyperlink" Target="https://www.sedex.com/become-a-member/" TargetMode="External"/><Relationship Id="rId184" Type="http://schemas.openxmlformats.org/officeDocument/2006/relationships/hyperlink" Target="https://sciencebasedtargets.org/" TargetMode="External"/><Relationship Id="rId189" Type="http://schemas.openxmlformats.org/officeDocument/2006/relationships/hyperlink" Target="https://www.gov.br/mda/pt-br/acesso-a-informacao/acoes-e-programas/programas-projetos-acoes-obras-e-atividades/selo-biocombustivel-social" TargetMode="External"/><Relationship Id="rId188" Type="http://schemas.openxmlformats.org/officeDocument/2006/relationships/hyperlink" Target="https://www.sedest.pr.gov.br/Pagina/Selo-Clima-Parana-1" TargetMode="External"/><Relationship Id="rId183" Type="http://schemas.openxmlformats.org/officeDocument/2006/relationships/hyperlink" Target="https://www.sanitationandwaterforall.org/about/about-us" TargetMode="External"/><Relationship Id="rId182" Type="http://schemas.openxmlformats.org/officeDocument/2006/relationships/hyperlink" Target="https://www.sqfi.com/pt/our-program/what-is-sqf" TargetMode="External"/><Relationship Id="rId181" Type="http://schemas.openxmlformats.org/officeDocument/2006/relationships/hyperlink" Target="https://rspo.org/pt/" TargetMode="External"/><Relationship Id="rId180" Type="http://schemas.openxmlformats.org/officeDocument/2006/relationships/hyperlink" Target="https://responsiblesoy.org/estandar-rtrs-de-produccion-responsable-de-maiz?lang=pt-br" TargetMode="External"/><Relationship Id="rId176" Type="http://schemas.openxmlformats.org/officeDocument/2006/relationships/hyperlink" Target="https://www.redeplastico.com.br/" TargetMode="External"/><Relationship Id="rId175" Type="http://schemas.openxmlformats.org/officeDocument/2006/relationships/hyperlink" Target="https://www.abiplast.org.br/rede-plastico/" TargetMode="External"/><Relationship Id="rId174" Type="http://schemas.openxmlformats.org/officeDocument/2006/relationships/hyperlink" Target="https://www.redeempresarialdeinclusao.org.br/sobre-a-rede/" TargetMode="External"/><Relationship Id="rId173" Type="http://schemas.openxmlformats.org/officeDocument/2006/relationships/hyperlink" Target="https://recs.org/" TargetMode="External"/><Relationship Id="rId179" Type="http://schemas.openxmlformats.org/officeDocument/2006/relationships/hyperlink" Target="https://responsiblesoy.org/sobre-la-rtrs?lang=pt-br" TargetMode="External"/><Relationship Id="rId178" Type="http://schemas.openxmlformats.org/officeDocument/2006/relationships/hyperlink" Target="https://www.gov.br/anp/pt-br/assuntos/renovabio/sobre-o-renovabio" TargetMode="External"/><Relationship Id="rId177" Type="http://schemas.openxmlformats.org/officeDocument/2006/relationships/hyperlink" Target="https://regenagri.org/" TargetMode="External"/><Relationship Id="rId198" Type="http://schemas.openxmlformats.org/officeDocument/2006/relationships/hyperlink" Target="https://www.defesa.agricultura.sp.gov.br/www/programas/?/sanidade-animal/sisbov-sistema-brasileiro-de-identificacao-individual-de-bovinos-e-bufalos/&amp;cod=65" TargetMode="External"/><Relationship Id="rId197" Type="http://schemas.openxmlformats.org/officeDocument/2006/relationships/hyperlink" Target="https://www.sindicerv.com.br/" TargetMode="External"/><Relationship Id="rId196" Type="http://schemas.openxmlformats.org/officeDocument/2006/relationships/hyperlink" Target="https://www.agrumariacorleone.com/en/sgf-certification.html" TargetMode="External"/><Relationship Id="rId195" Type="http://schemas.openxmlformats.org/officeDocument/2006/relationships/hyperlink" Target="https://www.gov.br/participamaisbrasil/programa-selo-verde-brasil" TargetMode="External"/><Relationship Id="rId199" Type="http://schemas.openxmlformats.org/officeDocument/2006/relationships/hyperlink" Target="https://www.gov.br/agricultura/pt-br/assuntos/sustentabilidade/organicos/regularizacao-da-producao-organica" TargetMode="External"/><Relationship Id="rId150" Type="http://schemas.openxmlformats.org/officeDocument/2006/relationships/hyperlink" Target="https://jaguars.org/certificado-onca-pintada/" TargetMode="External"/><Relationship Id="rId1" Type="http://schemas.openxmlformats.org/officeDocument/2006/relationships/hyperlink" Target="https://www.2bsvs.org/our-services.html" TargetMode="External"/><Relationship Id="rId2" Type="http://schemas.openxmlformats.org/officeDocument/2006/relationships/hyperlink" Target="https://30percentclub.org/chapters/brazil/" TargetMode="External"/><Relationship Id="rId3" Type="http://schemas.openxmlformats.org/officeDocument/2006/relationships/hyperlink" Target="https://www.ecocert.com/index.php/pt-BR/artigo/o-que-voce-precisa-saber-sobre-a-certificacao-4c-5092273" TargetMode="External"/><Relationship Id="rId149" Type="http://schemas.openxmlformats.org/officeDocument/2006/relationships/hyperlink" Target="https://index.org.mx/oea-certification/" TargetMode="External"/><Relationship Id="rId4" Type="http://schemas.openxmlformats.org/officeDocument/2006/relationships/hyperlink" Target="https://cetesb.sp.gov.br/acordo-ambiental-sao-paulo/" TargetMode="External"/><Relationship Id="rId148" Type="http://schemas.openxmlformats.org/officeDocument/2006/relationships/hyperlink" Target="https://apx.com/about-nar/" TargetMode="External"/><Relationship Id="rId9" Type="http://schemas.openxmlformats.org/officeDocument/2006/relationships/hyperlink" Target="https://a4ws.org/" TargetMode="External"/><Relationship Id="rId143" Type="http://schemas.openxmlformats.org/officeDocument/2006/relationships/hyperlink" Target="https://movimentomulher360.com.br/" TargetMode="External"/><Relationship Id="rId142" Type="http://schemas.openxmlformats.org/officeDocument/2006/relationships/hyperlink" Target="https://conib.org.br/noticias/todas-as-noticias/conib-apoia-o-movimento-ar-vidas-negras-importam-mobilizacao-de-combate-ao-racismo-e-ao-preconceito.html" TargetMode="External"/><Relationship Id="rId141" Type="http://schemas.openxmlformats.org/officeDocument/2006/relationships/hyperlink" Target="https://somosmover.org/quem-somos/" TargetMode="External"/><Relationship Id="rId140" Type="http://schemas.openxmlformats.org/officeDocument/2006/relationships/hyperlink" Target="https://somosmover.org/" TargetMode="External"/><Relationship Id="rId5" Type="http://schemas.openxmlformats.org/officeDocument/2006/relationships/hyperlink" Target="https://www.tropicalforestalliance.org/assets/Agriculture-Sector-Roadmap-November-2022-v2.pdf" TargetMode="External"/><Relationship Id="rId147" Type="http://schemas.openxmlformats.org/officeDocument/2006/relationships/hyperlink" Target="https://www.nongmoproject.org/" TargetMode="External"/><Relationship Id="rId6" Type="http://schemas.openxmlformats.org/officeDocument/2006/relationships/hyperlink" Target="https://aijn.eu/en/about-us" TargetMode="External"/><Relationship Id="rId146" Type="http://schemas.openxmlformats.org/officeDocument/2006/relationships/hyperlink" Target="https://www.nationalchickencouncil.org/about/" TargetMode="External"/><Relationship Id="rId7" Type="http://schemas.openxmlformats.org/officeDocument/2006/relationships/hyperlink" Target="https://abrapa.com.br/algodao-brasileiro-responsavel-abr/" TargetMode="External"/><Relationship Id="rId145" Type="http://schemas.openxmlformats.org/officeDocument/2006/relationships/hyperlink" Target="https://www.msc.org/what-we-are-doing/our-approach/what-does-the-blue-msc-label-mean" TargetMode="External"/><Relationship Id="rId8" Type="http://schemas.openxmlformats.org/officeDocument/2006/relationships/hyperlink" Target="https://www.allianceforintegrity.org/en/alliance-for-integrity/about-us/index.php" TargetMode="External"/><Relationship Id="rId144" Type="http://schemas.openxmlformats.org/officeDocument/2006/relationships/hyperlink" Target="https://www.todosamesabrasil.com.br/" TargetMode="External"/><Relationship Id="rId139" Type="http://schemas.openxmlformats.org/officeDocument/2006/relationships/hyperlink" Target="https://moratoriadasoja.com.br/home" TargetMode="External"/><Relationship Id="rId138" Type="http://schemas.openxmlformats.org/officeDocument/2006/relationships/hyperlink" Target="https://pecuariasustentavel.org.br/quem-somos/" TargetMode="External"/><Relationship Id="rId137" Type="http://schemas.openxmlformats.org/officeDocument/2006/relationships/hyperlink" Target="https://www.leatherworkinggroup.com/" TargetMode="External"/><Relationship Id="rId132" Type="http://schemas.openxmlformats.org/officeDocument/2006/relationships/hyperlink" Target="https://www.omniaonline.com.br/abnt-publica-emenda-da-nbr-iso-220002019-sistemas-de-gestao-de-seguranca-de-alimentos/" TargetMode="External"/><Relationship Id="rId131" Type="http://schemas.openxmlformats.org/officeDocument/2006/relationships/hyperlink" Target="https://certificacaoiso.com.br/iso-9001/" TargetMode="External"/><Relationship Id="rId130" Type="http://schemas.openxmlformats.org/officeDocument/2006/relationships/hyperlink" Target="https://www.bureauveritas.com.br/pt-br/mercados-servicos/certificacoes/solucoes/sistema-de-gestao/ISO-45001" TargetMode="External"/><Relationship Id="rId136" Type="http://schemas.openxmlformats.org/officeDocument/2006/relationships/hyperlink" Target="https://www.usgbc.org/leed" TargetMode="External"/><Relationship Id="rId135" Type="http://schemas.openxmlformats.org/officeDocument/2006/relationships/hyperlink" Target="https://certificadokosher.com.br//about.php" TargetMode="External"/><Relationship Id="rId134" Type="http://schemas.openxmlformats.org/officeDocument/2006/relationships/hyperlink" Target="https://verdeghaia.eadbox.com/courses/abnt-iso-barra-ts-22002-1-2012-programa-de-pre-requisitos-na-seguranca-de-alimentos-parte-1-processamento-industrial-de-alimentos" TargetMode="External"/><Relationship Id="rId133" Type="http://schemas.openxmlformats.org/officeDocument/2006/relationships/hyperlink" Target="https://www.iso.org/standard/27001" TargetMode="External"/><Relationship Id="rId172" Type="http://schemas.openxmlformats.org/officeDocument/2006/relationships/hyperlink" Target="https://www.rainforest-alliance.org/pt-br/intuicoes/o-que-certificado-rainforest-alliance-significa/" TargetMode="External"/><Relationship Id="rId171" Type="http://schemas.openxmlformats.org/officeDocument/2006/relationships/hyperlink" Target="https://protocolodegraos.com.br/" TargetMode="External"/><Relationship Id="rId170" Type="http://schemas.openxmlformats.org/officeDocument/2006/relationships/hyperlink" Target="https://www.boinalinha.org/quem-somos/" TargetMode="External"/><Relationship Id="rId165" Type="http://schemas.openxmlformats.org/officeDocument/2006/relationships/hyperlink" Target="https://animalauditor.org/" TargetMode="External"/><Relationship Id="rId164" Type="http://schemas.openxmlformats.org/officeDocument/2006/relationships/hyperlink" Target="https://www.cerradoprotocol.net/empresas-que-adotam-o-protocolo-do-cerrado" TargetMode="External"/><Relationship Id="rId163" Type="http://schemas.openxmlformats.org/officeDocument/2006/relationships/hyperlink" Target="https://www.cerradoprotocol.net/" TargetMode="External"/><Relationship Id="rId162" Type="http://schemas.openxmlformats.org/officeDocument/2006/relationships/hyperlink" Target="https://www.onumulheres.org.br/referencias/principios-de-empoderamento-das-mulheres/" TargetMode="External"/><Relationship Id="rId169" Type="http://schemas.openxmlformats.org/officeDocument/2006/relationships/hyperlink" Target="https://redproterra.org/pt/sobre-proterra/" TargetMode="External"/><Relationship Id="rId168" Type="http://schemas.openxmlformats.org/officeDocument/2006/relationships/hyperlink" Target="https://pefc.org/discover-pefc/what-is-pefc" TargetMode="External"/><Relationship Id="rId167" Type="http://schemas.openxmlformats.org/officeDocument/2006/relationships/hyperlink" Target="https://namaocerta.org.br/programa-na-mao-certa/iniciativa/" TargetMode="External"/><Relationship Id="rId166" Type="http://schemas.openxmlformats.org/officeDocument/2006/relationships/hyperlink" Target="https://fadc.org.br/o-que-fazemos/programa-empresa-amiga-da-crianca" TargetMode="External"/><Relationship Id="rId161" Type="http://schemas.openxmlformats.org/officeDocument/2006/relationships/hyperlink" Target="https://ppa.org.br/" TargetMode="External"/><Relationship Id="rId160" Type="http://schemas.openxmlformats.org/officeDocument/2006/relationships/hyperlink" Target="https://saiplatform.org/" TargetMode="External"/><Relationship Id="rId159" Type="http://schemas.openxmlformats.org/officeDocument/2006/relationships/hyperlink" Target="https://institutoparar.com.br/eventos/parar-awards/" TargetMode="External"/><Relationship Id="rId154" Type="http://schemas.openxmlformats.org/officeDocument/2006/relationships/hyperlink" Target="https://pactocontrafome.org/quem-somos/" TargetMode="External"/><Relationship Id="rId153" Type="http://schemas.openxmlformats.org/officeDocument/2006/relationships/hyperlink" Target="https://origensbrasil.org.br/" TargetMode="External"/><Relationship Id="rId152" Type="http://schemas.openxmlformats.org/officeDocument/2006/relationships/hyperlink" Target="https://pt.wikipedia.org/wiki/Certifica%C3%A7%C3%A3o_org%C3%A2nica" TargetMode="External"/><Relationship Id="rId151" Type="http://schemas.openxmlformats.org/officeDocument/2006/relationships/hyperlink" Target="https://op2b.org/home/" TargetMode="External"/><Relationship Id="rId158" Type="http://schemas.openxmlformats.org/officeDocument/2006/relationships/hyperlink" Target="https://paradigm4parity.org/" TargetMode="External"/><Relationship Id="rId157" Type="http://schemas.openxmlformats.org/officeDocument/2006/relationships/hyperlink" Target="https://palmoilcollaborationgroup.net/" TargetMode="External"/><Relationship Id="rId156" Type="http://schemas.openxmlformats.org/officeDocument/2006/relationships/hyperlink" Target="https://inpacto.org.br/sobre-nos/" TargetMode="External"/><Relationship Id="rId155" Type="http://schemas.openxmlformats.org/officeDocument/2006/relationships/hyperlink" Target="http://www.empresalimpa.org.br/index.php/empresa-limpa/pacto-contra-a-corrupcao/termo-de-adesao" TargetMode="External"/><Relationship Id="rId40" Type="http://schemas.openxmlformats.org/officeDocument/2006/relationships/hyperlink" Target="https://www.adiaesp.com.br/quem_somos/" TargetMode="External"/><Relationship Id="rId42" Type="http://schemas.openxmlformats.org/officeDocument/2006/relationships/hyperlink" Target="https://aprobio.com.br/" TargetMode="External"/><Relationship Id="rId41" Type="http://schemas.openxmlformats.org/officeDocument/2006/relationships/hyperlink" Target="http://www.adita.org.br/quemsomos/" TargetMode="External"/><Relationship Id="rId44" Type="http://schemas.openxmlformats.org/officeDocument/2006/relationships/hyperlink" Target="https://www.abrasem.com.br/associacao-dos-produtores-e-comerciantes-de-sementes-e-mudas-do-rio-grande-do-sul-apassul/" TargetMode="External"/><Relationship Id="rId43" Type="http://schemas.openxmlformats.org/officeDocument/2006/relationships/hyperlink" Target="https://aprosem.com/" TargetMode="External"/><Relationship Id="rId46" Type="http://schemas.openxmlformats.org/officeDocument/2006/relationships/hyperlink" Target="https://www.linkedin.com/company/andapassociacao/?originalSubdomain=br" TargetMode="External"/><Relationship Id="rId45" Type="http://schemas.openxmlformats.org/officeDocument/2006/relationships/hyperlink" Target="https://anrbrasil.org.br/a-anr/" TargetMode="External"/><Relationship Id="rId48" Type="http://schemas.openxmlformats.org/officeDocument/2006/relationships/hyperlink" Target="https://apas.com.br/quem-somos/" TargetMode="External"/><Relationship Id="rId47" Type="http://schemas.openxmlformats.org/officeDocument/2006/relationships/hyperlink" Target="https://andav.com.br/sobre/" TargetMode="External"/><Relationship Id="rId49" Type="http://schemas.openxmlformats.org/officeDocument/2006/relationships/hyperlink" Target="https://www.bapcertification.org/WhoWeAre" TargetMode="External"/><Relationship Id="rId31" Type="http://schemas.openxmlformats.org/officeDocument/2006/relationships/hyperlink" Target="https://www.abrafarma.com.br/sobre" TargetMode="External"/><Relationship Id="rId30" Type="http://schemas.openxmlformats.org/officeDocument/2006/relationships/hyperlink" Target="https://abpa-br.org/" TargetMode="External"/><Relationship Id="rId33" Type="http://schemas.openxmlformats.org/officeDocument/2006/relationships/hyperlink" Target="https://site.abcfarma.org.br/quem-somos/" TargetMode="External"/><Relationship Id="rId32" Type="http://schemas.openxmlformats.org/officeDocument/2006/relationships/hyperlink" Target="https://www.abras.com.br/" TargetMode="External"/><Relationship Id="rId35" Type="http://schemas.openxmlformats.org/officeDocument/2006/relationships/hyperlink" Target="https://abaas.com.br/quem-somos/" TargetMode="External"/><Relationship Id="rId34" Type="http://schemas.openxmlformats.org/officeDocument/2006/relationships/hyperlink" Target="https://www.abvtex.org.br/selo-abvtex/" TargetMode="External"/><Relationship Id="rId37" Type="http://schemas.openxmlformats.org/officeDocument/2006/relationships/hyperlink" Target="https://www.abitrigo.com.br/quem-somos/" TargetMode="External"/><Relationship Id="rId36" Type="http://schemas.openxmlformats.org/officeDocument/2006/relationships/hyperlink" Target="https://abrass.org.br/quem-somos" TargetMode="External"/><Relationship Id="rId39" Type="http://schemas.openxmlformats.org/officeDocument/2006/relationships/hyperlink" Target="https://www.acergs.com.br/site/acergs/" TargetMode="External"/><Relationship Id="rId38" Type="http://schemas.openxmlformats.org/officeDocument/2006/relationships/hyperlink" Target="https://www.acebra.org.br/acemat/" TargetMode="External"/><Relationship Id="rId20" Type="http://schemas.openxmlformats.org/officeDocument/2006/relationships/hyperlink" Target="https://www.abiq.com.br/" TargetMode="External"/><Relationship Id="rId22" Type="http://schemas.openxmlformats.org/officeDocument/2006/relationships/hyperlink" Target="https://www.abiec.com.br/en/" TargetMode="External"/><Relationship Id="rId21" Type="http://schemas.openxmlformats.org/officeDocument/2006/relationships/hyperlink" Target="https://abir.org.br/" TargetMode="External"/><Relationship Id="rId24" Type="http://schemas.openxmlformats.org/officeDocument/2006/relationships/hyperlink" Target="https://abbins.org.br/institucional/" TargetMode="External"/><Relationship Id="rId23" Type="http://schemas.openxmlformats.org/officeDocument/2006/relationships/hyperlink" Target="https://abrasel.com.br/" TargetMode="External"/><Relationship Id="rId26" Type="http://schemas.openxmlformats.org/officeDocument/2006/relationships/hyperlink" Target="https://www.aenda.org.br/quem-somos/" TargetMode="External"/><Relationship Id="rId25" Type="http://schemas.openxmlformats.org/officeDocument/2006/relationships/hyperlink" Target="https://bufalo.com.br/acbc/" TargetMode="External"/><Relationship Id="rId28" Type="http://schemas.openxmlformats.org/officeDocument/2006/relationships/hyperlink" Target="https://www.linkedin.com/company/abmapro---associa%C3%A7%C3%A3o-brasileira-de-marcas-pr%C3%B3prias-e-terceiriza%C3%A7%C3%A3o/?originalSubdomain=br" TargetMode="External"/><Relationship Id="rId27" Type="http://schemas.openxmlformats.org/officeDocument/2006/relationships/hyperlink" Target="https://www.vivalacteos.org.br/" TargetMode="External"/><Relationship Id="rId29" Type="http://schemas.openxmlformats.org/officeDocument/2006/relationships/hyperlink" Target="https://www.linkedin.com/company/abrappe/?originalSubdomain=br" TargetMode="External"/><Relationship Id="rId11" Type="http://schemas.openxmlformats.org/officeDocument/2006/relationships/hyperlink" Target="https://www.brf-global.com/sobre/qualidade/certificacoes/" TargetMode="External"/><Relationship Id="rId10" Type="http://schemas.openxmlformats.org/officeDocument/2006/relationships/hyperlink" Target="https://www.wqs.com.br/wqs/en/servicos/visualizar/codservicos/31/alo-free.html" TargetMode="External"/><Relationship Id="rId13" Type="http://schemas.openxmlformats.org/officeDocument/2006/relationships/hyperlink" Target="https://asidbrasil.org.br/" TargetMode="External"/><Relationship Id="rId12" Type="http://schemas.openxmlformats.org/officeDocument/2006/relationships/hyperlink" Target="https://asc-aqua.org/the-new-asc-farm-standard/" TargetMode="External"/><Relationship Id="rId15" Type="http://schemas.openxmlformats.org/officeDocument/2006/relationships/hyperlink" Target="https://www.abic.com.br/" TargetMode="External"/><Relationship Id="rId14" Type="http://schemas.openxmlformats.org/officeDocument/2006/relationships/hyperlink" Target="https://www.abia.org.br/" TargetMode="External"/><Relationship Id="rId17" Type="http://schemas.openxmlformats.org/officeDocument/2006/relationships/hyperlink" Target="https://abramat.org.br/quem-somos/" TargetMode="External"/><Relationship Id="rId16" Type="http://schemas.openxmlformats.org/officeDocument/2006/relationships/hyperlink" Target="https://ablv.org.br/" TargetMode="External"/><Relationship Id="rId19" Type="http://schemas.openxmlformats.org/officeDocument/2006/relationships/hyperlink" Target="https://abiove.org.br/" TargetMode="External"/><Relationship Id="rId18" Type="http://schemas.openxmlformats.org/officeDocument/2006/relationships/hyperlink" Target="https://abimapi.com.br/quem-somos/" TargetMode="External"/><Relationship Id="rId84" Type="http://schemas.openxmlformats.org/officeDocument/2006/relationships/hyperlink" Target="https://www.fiesp.com.br/" TargetMode="External"/><Relationship Id="rId83" Type="http://schemas.openxmlformats.org/officeDocument/2006/relationships/hyperlink" Target="https://www.firjan.com.br/pagina-inicial.htm?_gl=1*12ufn6o*_gcl_au*NDI1NDc4NDAwLjE3Mjg2ODA2Nzg." TargetMode="External"/><Relationship Id="rId86" Type="http://schemas.openxmlformats.org/officeDocument/2006/relationships/hyperlink" Target="https://fieldtomarket.org/the-alliance/" TargetMode="External"/><Relationship Id="rId85" Type="http://schemas.openxmlformats.org/officeDocument/2006/relationships/hyperlink" Target="https://www.fecomercio.com.br/institucional/sobre" TargetMode="External"/><Relationship Id="rId88" Type="http://schemas.openxmlformats.org/officeDocument/2006/relationships/hyperlink" Target="https://www.forumempresaslgbt.com/" TargetMode="External"/><Relationship Id="rId87" Type="http://schemas.openxmlformats.org/officeDocument/2006/relationships/hyperlink" Target="https://initiatives.weforum.org/first-movers-coalition/home" TargetMode="External"/><Relationship Id="rId89" Type="http://schemas.openxmlformats.org/officeDocument/2006/relationships/hyperlink" Target="https://www.forumgeracoes.com.br/" TargetMode="External"/><Relationship Id="rId80" Type="http://schemas.openxmlformats.org/officeDocument/2006/relationships/hyperlink" Target="https://www.fisheries.noaa.gov/national/marine-mammal-protection/dolphin-safe-certification" TargetMode="External"/><Relationship Id="rId82" Type="http://schemas.openxmlformats.org/officeDocument/2006/relationships/hyperlink" Target="https://www.fairtrade.net/about/certification" TargetMode="External"/><Relationship Id="rId81" Type="http://schemas.openxmlformats.org/officeDocument/2006/relationships/hyperlink" Target="https://www.linkedin.com/company/seloeureciclo/" TargetMode="External"/><Relationship Id="rId73" Type="http://schemas.openxmlformats.org/officeDocument/2006/relationships/hyperlink" Target="https://www.equidade.org.br/" TargetMode="External"/><Relationship Id="rId72" Type="http://schemas.openxmlformats.org/officeDocument/2006/relationships/hyperlink" Target="https://coalizaobr.com.br/sobre-nos/" TargetMode="External"/><Relationship Id="rId75" Type="http://schemas.openxmlformats.org/officeDocument/2006/relationships/hyperlink" Target="https://www.portaldaindustria.com.br/cni/" TargetMode="External"/><Relationship Id="rId74" Type="http://schemas.openxmlformats.org/officeDocument/2006/relationships/hyperlink" Target="https://www.coalizaoempresarial.com.br/" TargetMode="External"/><Relationship Id="rId77" Type="http://schemas.openxmlformats.org/officeDocument/2006/relationships/hyperlink" Target="https://www.cecafe.com.br/conheca-o-cecafe/historico/" TargetMode="External"/><Relationship Id="rId76" Type="http://schemas.openxmlformats.org/officeDocument/2006/relationships/hyperlink" Target="https://www.gov.br/sri/pt-br/cdess" TargetMode="External"/><Relationship Id="rId79" Type="http://schemas.openxmlformats.org/officeDocument/2006/relationships/hyperlink" Target="https://www.internationalegg.com/pt/our-work/industry-representation/consumer-goods-forum/" TargetMode="External"/><Relationship Id="rId78" Type="http://schemas.openxmlformats.org/officeDocument/2006/relationships/hyperlink" Target="https://cebds.org/quem-somos/" TargetMode="External"/><Relationship Id="rId71" Type="http://schemas.openxmlformats.org/officeDocument/2006/relationships/hyperlink" Target="https://citrusbr.com/sobre-nos/" TargetMode="External"/><Relationship Id="rId70" Type="http://schemas.openxmlformats.org/officeDocument/2006/relationships/hyperlink" Target="https://certifiedhumanebrasil.org/quem-somos/" TargetMode="External"/><Relationship Id="rId62" Type="http://schemas.openxmlformats.org/officeDocument/2006/relationships/hyperlink" Target="https://cibiogas.org/" TargetMode="External"/><Relationship Id="rId61" Type="http://schemas.openxmlformats.org/officeDocument/2006/relationships/hyperlink" Target="https://www.carbontrust.com/what-we-do/product-carbon-footprint-labelling/carbon-neutral-verification" TargetMode="External"/><Relationship Id="rId64" Type="http://schemas.openxmlformats.org/officeDocument/2006/relationships/hyperlink" Target="https://sistemabbrasil.org/seja-empresa-b/" TargetMode="External"/><Relationship Id="rId63" Type="http://schemas.openxmlformats.org/officeDocument/2006/relationships/hyperlink" Target="https://www.agricultura.mg.gov.br/certificaminas/website/documentos/cartilha_cafe.pdf" TargetMode="External"/><Relationship Id="rId66" Type="http://schemas.openxmlformats.org/officeDocument/2006/relationships/hyperlink" Target="https://www.savassiagronegocio.com.br/certificadora/unidade-armazenadora-ambiente-natural" TargetMode="External"/><Relationship Id="rId65" Type="http://schemas.openxmlformats.org/officeDocument/2006/relationships/hyperlink" Target="https://cicb.org.br/cscb" TargetMode="External"/><Relationship Id="rId68" Type="http://schemas.openxmlformats.org/officeDocument/2006/relationships/hyperlink" Target="https://lp.certificacaolixozero.com/?gad_source=1&amp;gclid=Cj0KCQjwsJO4BhDoARIsADDv4vAYxAjcowLYkCs1x77LHCDpqTPm7pjAItXe9J96hROgh0bFX0g7t1IaAt43EALw_wcB" TargetMode="External"/><Relationship Id="rId67" Type="http://schemas.openxmlformats.org/officeDocument/2006/relationships/hyperlink" Target="https://www.ibd.com.br/about-us/" TargetMode="External"/><Relationship Id="rId60" Type="http://schemas.openxmlformats.org/officeDocument/2006/relationships/hyperlink" Target="https://cdlsp.com.br/institucional/" TargetMode="External"/><Relationship Id="rId69" Type="http://schemas.openxmlformats.org/officeDocument/2006/relationships/hyperlink" Target="https://www.b3.com.br/pt_br/produtos-e-servicos/negociacao/renda-fixa/certificado-de-recebiveis-do-agronegocio.htm" TargetMode="External"/><Relationship Id="rId51" Type="http://schemas.openxmlformats.org/officeDocument/2006/relationships/hyperlink" Target="https://biomaisbrasil.com.br/" TargetMode="External"/><Relationship Id="rId50" Type="http://schemas.openxmlformats.org/officeDocument/2006/relationships/hyperlink" Target="https://bettercotton.org/pt/certification-2024/" TargetMode="External"/><Relationship Id="rId53" Type="http://schemas.openxmlformats.org/officeDocument/2006/relationships/hyperlink" Target="https://www.bsca.com.br/page/a-bsca" TargetMode="External"/><Relationship Id="rId52" Type="http://schemas.openxmlformats.org/officeDocument/2006/relationships/hyperlink" Target="https://bonsucro.com/" TargetMode="External"/><Relationship Id="rId55" Type="http://schemas.openxmlformats.org/officeDocument/2006/relationships/hyperlink" Target="https://wqs.com.br/certifications/brcgs-certification-for-food-safety-standards?&amp;lang=pt&amp;xtor=sec-1119&amp;matchType=p&amp;kw=certifica%C3%A7%C3%A3o%20brc&amp;device=c&amp;loc=9197575&amp;network=g&amp;placement=certificate&amp;campaign=BRCGS&amp;serviceType=certification&amp;campaignid=18771586240&amp;adgroupid=142577039946&amp;sc=47253000932437566&amp;creative=631904940458&amp;mkwid=&amp;slid=&amp;kwid=kwd-452278241695&amp;locint=&amp;utm_source=google&amp;utm_medium=cpc&amp;gad_source=1&amp;gclid=Cj0KCQjwxsm3BhDrARIsAMtVz6MfCgLj1szpZtdpGL6fdmwlw42P_8ZTImjbqzsrwPYzSx2INIBlOBwaApXgEALw_wcB" TargetMode="External"/><Relationship Id="rId54" Type="http://schemas.openxmlformats.org/officeDocument/2006/relationships/hyperlink" Target="https://www.brcgs.com/about-brcgs/why-brcgs/" TargetMode="External"/><Relationship Id="rId57" Type="http://schemas.openxmlformats.org/officeDocument/2006/relationships/hyperlink" Target="https://www.businessfornature.org/" TargetMode="External"/><Relationship Id="rId56" Type="http://schemas.openxmlformats.org/officeDocument/2006/relationships/hyperlink" Target="https://www.wcs.org/our-work/bbs-sustainable-commodities-partnership" TargetMode="External"/><Relationship Id="rId59" Type="http://schemas.openxmlformats.org/officeDocument/2006/relationships/hyperlink" Target="https://pt.scsglobalservices.com/services/starbucks-cafe-practices" TargetMode="External"/><Relationship Id="rId58" Type="http://schemas.openxmlformats.org/officeDocument/2006/relationships/hyperlink" Target="https://www.starbucksathome.com/br/blog/cafe-practices.html" TargetMode="External"/><Relationship Id="rId107" Type="http://schemas.openxmlformats.org/officeDocument/2006/relationships/hyperlink" Target="https://iard.org/actions/The-Global-Standards-Coalition" TargetMode="External"/><Relationship Id="rId106" Type="http://schemas.openxmlformats.org/officeDocument/2006/relationships/hyperlink" Target="https://cdialhalal.com.br/certificacoes/" TargetMode="External"/><Relationship Id="rId105" Type="http://schemas.openxmlformats.org/officeDocument/2006/relationships/hyperlink" Target="https://www.gov.br/siscomex/pt-br/servicos/aprendendo-a-exportarr/conhecendo-temas-importantes-1/sistema-appcc-haccp" TargetMode="External"/><Relationship Id="rId104" Type="http://schemas.openxmlformats.org/officeDocument/2006/relationships/hyperlink" Target="https://www.grupomulheresdobrasil.org.br/nossa-historia/" TargetMode="External"/><Relationship Id="rId109" Type="http://schemas.openxmlformats.org/officeDocument/2006/relationships/hyperlink" Target="https://www.intertek-br.com/alimentos/global-markets/" TargetMode="External"/><Relationship Id="rId108" Type="http://schemas.openxmlformats.org/officeDocument/2006/relationships/hyperlink" Target="https://www.ifs-certification.com/en/food-standard" TargetMode="External"/><Relationship Id="rId103" Type="http://schemas.openxmlformats.org/officeDocument/2006/relationships/hyperlink" Target="https://www.gov.br/agricultura/pt-br/assuntos/camaras-setoriais-tematicas/documentos/camaras-setoriais/carne-bovina/anos-anteriores/grupo-de-trabalho-da-pecuaria-sustentavel.pdf" TargetMode="External"/><Relationship Id="rId102" Type="http://schemas.openxmlformats.org/officeDocument/2006/relationships/hyperlink" Target="https://gtfi.org.br/o-gtfi/" TargetMode="External"/><Relationship Id="rId101" Type="http://schemas.openxmlformats.org/officeDocument/2006/relationships/hyperlink" Target="https://gife.org.br/quem-somos-gife/" TargetMode="External"/><Relationship Id="rId100" Type="http://schemas.openxmlformats.org/officeDocument/2006/relationships/hyperlink" Target="https://greeneletron.org.br/sobre" TargetMode="External"/><Relationship Id="rId129" Type="http://schemas.openxmlformats.org/officeDocument/2006/relationships/hyperlink" Target="https://www.gov.br/dnit/pt-br/assuntos/integridade/coordenacao-geral-de-integridade/legislacao-basica/ISO_37001_Gestao_AntiSuborno.pdf" TargetMode="External"/><Relationship Id="rId128" Type="http://schemas.openxmlformats.org/officeDocument/2006/relationships/hyperlink" Target="https://dintegcgcin.saude.gov.br/attachments/download/23/2018%20-%20Diretrizes%20-%20Gest%C3%A3o%20de%20Riscos_ABNT%20NBR%20ISO%2031000.pdf" TargetMode="External"/><Relationship Id="rId127" Type="http://schemas.openxmlformats.org/officeDocument/2006/relationships/hyperlink" Target="http://www.inmetro.gov.br/qualidade/responsabilidade_social/iso26000.asp" TargetMode="External"/><Relationship Id="rId126" Type="http://schemas.openxmlformats.org/officeDocument/2006/relationships/hyperlink" Target="https://pt.wikipedia.org/wiki/ISO/IEC_17025" TargetMode="External"/><Relationship Id="rId121" Type="http://schemas.openxmlformats.org/officeDocument/2006/relationships/hyperlink" Target="https://wqs.com.br/services/unidades-armazenadoras" TargetMode="External"/><Relationship Id="rId120" Type="http://schemas.openxmlformats.org/officeDocument/2006/relationships/hyperlink" Target="https://www.idv.org.br/o-que-e-o-idv" TargetMode="External"/><Relationship Id="rId125" Type="http://schemas.openxmlformats.org/officeDocument/2006/relationships/hyperlink" Target="https://www.dnv.com.br/services/iso-14001-sistema-de-gestao-ambiental-74433/" TargetMode="External"/><Relationship Id="rId124" Type="http://schemas.openxmlformats.org/officeDocument/2006/relationships/hyperlink" Target="http://www.inmetro.gov.br/qualidade/responsabilidade_social/norma_nacional.asp" TargetMode="External"/><Relationship Id="rId123" Type="http://schemas.openxmlformats.org/officeDocument/2006/relationships/hyperlink" Target="https://www.iscc-system.org/about/who-we-are/" TargetMode="External"/><Relationship Id="rId122" Type="http://schemas.openxmlformats.org/officeDocument/2006/relationships/hyperlink" Target="https://www.trackingstandard.org/the-standard/" TargetMode="External"/><Relationship Id="rId95" Type="http://schemas.openxmlformats.org/officeDocument/2006/relationships/hyperlink" Target="https://www.globalcoffeeplatform.org/about-gcp/" TargetMode="External"/><Relationship Id="rId94" Type="http://schemas.openxmlformats.org/officeDocument/2006/relationships/hyperlink" Target="https://www.kaffeeverband.de/en" TargetMode="External"/><Relationship Id="rId97" Type="http://schemas.openxmlformats.org/officeDocument/2006/relationships/hyperlink" Target="https://grsbeef.org/" TargetMode="External"/><Relationship Id="rId96" Type="http://schemas.openxmlformats.org/officeDocument/2006/relationships/hyperlink" Target="https://www.globalgap.org/" TargetMode="External"/><Relationship Id="rId99" Type="http://schemas.openxmlformats.org/officeDocument/2006/relationships/hyperlink" Target="https://www.linkedin.com/company/great-place-to-work-brasil/" TargetMode="External"/><Relationship Id="rId98" Type="http://schemas.openxmlformats.org/officeDocument/2006/relationships/hyperlink" Target="https://www.sgs.com/pt-br/noticias/2020/02/certificacao-gmp-plus" TargetMode="External"/><Relationship Id="rId91" Type="http://schemas.openxmlformats.org/officeDocument/2006/relationships/hyperlink" Target="https://www.ellenmacarthurfoundation.org/pt/sobre-nos/o-que-fazemos" TargetMode="External"/><Relationship Id="rId90" Type="http://schemas.openxmlformats.org/officeDocument/2006/relationships/hyperlink" Target="https://fsc.org/en/fsc-standards" TargetMode="External"/><Relationship Id="rId93" Type="http://schemas.openxmlformats.org/officeDocument/2006/relationships/hyperlink" Target="https://embracedifference.ert.eu/case-studies/geeis-an-international-certification-in-diversity/" TargetMode="External"/><Relationship Id="rId92" Type="http://schemas.openxmlformats.org/officeDocument/2006/relationships/hyperlink" Target="https://www.fundecitrus.com.br/ofundecitrus/quem_somos" TargetMode="External"/><Relationship Id="rId118" Type="http://schemas.openxmlformats.org/officeDocument/2006/relationships/hyperlink" Target="https://www.linkedin.com/company/id_br/?originalSubdomain=br" TargetMode="External"/><Relationship Id="rId117" Type="http://schemas.openxmlformats.org/officeDocument/2006/relationships/hyperlink" Target="https://www.institutofoodservicebrasil.org.br/" TargetMode="External"/><Relationship Id="rId116" Type="http://schemas.openxmlformats.org/officeDocument/2006/relationships/hyperlink" Target="https://www.ethos.org.br/instituto-ethos/" TargetMode="External"/><Relationship Id="rId115" Type="http://schemas.openxmlformats.org/officeDocument/2006/relationships/hyperlink" Target="https://www.iedi.org.br/" TargetMode="External"/><Relationship Id="rId119" Type="http://schemas.openxmlformats.org/officeDocument/2006/relationships/hyperlink" Target="https://www.inpev.org.br/inpev/quem-somos/" TargetMode="External"/><Relationship Id="rId110" Type="http://schemas.openxmlformats.org/officeDocument/2006/relationships/hyperlink" Target="https://ics-asso.org/" TargetMode="External"/><Relationship Id="rId114" Type="http://schemas.openxmlformats.org/officeDocument/2006/relationships/hyperlink" Target="https://ibgc.org.br/quemsomos" TargetMode="External"/><Relationship Id="rId113" Type="http://schemas.openxmlformats.org/officeDocument/2006/relationships/hyperlink" Target="https://www.ibevar.org.br/sobre-o-ibevar/" TargetMode="External"/><Relationship Id="rId112" Type="http://schemas.openxmlformats.org/officeDocument/2006/relationships/hyperlink" Target="https://www.tnc.org.br/o-que-fazemos/nossas-iniciativas/financas-sustentaveis/ifacc/" TargetMode="External"/><Relationship Id="rId111" Type="http://schemas.openxmlformats.org/officeDocument/2006/relationships/hyperlink" Target="https://quemsomos.iniciativaempresarial.com.br/" TargetMode="External"/><Relationship Id="rId212" Type="http://schemas.openxmlformats.org/officeDocument/2006/relationships/drawing" Target="../drawings/drawing29.xml"/><Relationship Id="rId211" Type="http://schemas.openxmlformats.org/officeDocument/2006/relationships/hyperlink" Target="https://wobwomenonboard.com/en/" TargetMode="External"/><Relationship Id="rId210" Type="http://schemas.openxmlformats.org/officeDocument/2006/relationships/hyperlink" Target="https://www.welfarequalitynetwork.net/en-us/about-us/" TargetMode="External"/><Relationship Id="rId206" Type="http://schemas.openxmlformats.org/officeDocument/2006/relationships/hyperlink" Target="https://www.ecf-coffee.org/about/" TargetMode="External"/><Relationship Id="rId205" Type="http://schemas.openxmlformats.org/officeDocument/2006/relationships/hyperlink" Target="https://ico.org/the-coffee-public-private-task-force/" TargetMode="External"/><Relationship Id="rId204" Type="http://schemas.openxmlformats.org/officeDocument/2006/relationships/hyperlink" Target="https://portal.syngenta.com.br/seedcare" TargetMode="External"/><Relationship Id="rId203" Type="http://schemas.openxmlformats.org/officeDocument/2006/relationships/hyperlink" Target="https://www.cics-americas.com/mcdonalds-sqms-audit-certification/" TargetMode="External"/><Relationship Id="rId209" Type="http://schemas.openxmlformats.org/officeDocument/2006/relationships/hyperlink" Target="https://www.unstereotypealliance.org/en/about" TargetMode="External"/><Relationship Id="rId208" Type="http://schemas.openxmlformats.org/officeDocument/2006/relationships/hyperlink" Target="https://www.tropicalforestalliance.org/" TargetMode="External"/><Relationship Id="rId207" Type="http://schemas.openxmlformats.org/officeDocument/2006/relationships/hyperlink" Target="https://www.sustaincoffee.org/about/" TargetMode="External"/><Relationship Id="rId202" Type="http://schemas.openxmlformats.org/officeDocument/2006/relationships/hyperlink" Target="https://www.frimesa.com.br/pt/imprensa/noticia/suino-certificado-frimesa" TargetMode="External"/><Relationship Id="rId201" Type="http://schemas.openxmlformats.org/officeDocument/2006/relationships/hyperlink" Target="https://sca.coffee/about" TargetMode="External"/><Relationship Id="rId200" Type="http://schemas.openxmlformats.org/officeDocument/2006/relationships/hyperlink" Target="https://wbcsdpublications.org/scf/wp-content/uploads/2022/12/SCF-Exec_summary_EN_v4-1.pdf"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36.xml"/><Relationship Id="rId3" Type="http://schemas.openxmlformats.org/officeDocument/2006/relationships/vmlDrawing" Target="../drawings/vmlDrawing7.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40.xml"/><Relationship Id="rId3" Type="http://schemas.openxmlformats.org/officeDocument/2006/relationships/vmlDrawing" Target="../drawings/vmlDrawing8.vml"/></Relationships>
</file>

<file path=xl/worksheets/_rels/sheet41.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infograficos.valor.globo.com/valor1000/rankings/ranking-das-1000-maiores/2023" TargetMode="External"/><Relationship Id="rId3" Type="http://schemas.openxmlformats.org/officeDocument/2006/relationships/drawing" Target="../drawings/drawing41.xml"/><Relationship Id="rId4" Type="http://schemas.openxmlformats.org/officeDocument/2006/relationships/vmlDrawing" Target="../drawings/vmlDrawing9.v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s://www.b3.com.br/pt_br/produtos-e-servicos/negociacao/renda-variavel/empresas-listadas.htm" TargetMode="External"/><Relationship Id="rId2"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web.facebook.com/laranjalsolidario/videos/238047834595510/" TargetMode="External"/><Relationship Id="rId2" Type="http://schemas.openxmlformats.org/officeDocument/2006/relationships/hyperlink" Target="https://web.facebook.com/assaiatacadistaoficial/videos/279751140132475/" TargetMode="External"/><Relationship Id="rId3" Type="http://schemas.openxmlformats.org/officeDocument/2006/relationships/hyperlink" Target="https://www.youtube.com/watch?v=8GvoUJq3nx4" TargetMode="External"/><Relationship Id="rId4" Type="http://schemas.openxmlformats.org/officeDocument/2006/relationships/hyperlink" Target="https://www.youtube.com/watch?v=sL1eTsHohuI" TargetMode="External"/><Relationship Id="rId9" Type="http://schemas.openxmlformats.org/officeDocument/2006/relationships/drawing" Target="../drawings/drawing44.xml"/><Relationship Id="rId5" Type="http://schemas.openxmlformats.org/officeDocument/2006/relationships/hyperlink" Target="https://economia.ig.com.br/2021-07-23/assai-doar-alimentos.html" TargetMode="External"/><Relationship Id="rId6" Type="http://schemas.openxmlformats.org/officeDocument/2006/relationships/hyperlink" Target="https://artemisia.org.br/alimentacao/" TargetMode="External"/><Relationship Id="rId7" Type="http://schemas.openxmlformats.org/officeDocument/2006/relationships/hyperlink" Target="https://www.pedefeijao.com.br/" TargetMode="External"/><Relationship Id="rId8" Type="http://schemas.openxmlformats.org/officeDocument/2006/relationships/hyperlink" Target="https://institutogpa.org.br/category/covid-19/doacoes/"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90" Type="http://schemas.openxmlformats.org/officeDocument/2006/relationships/hyperlink" Target="https://www.cocacolabrasil.com.br/historias/como-os-recursos-do-fundo-estamos-nessa-juntos-tem-sido-usados" TargetMode="External"/><Relationship Id="rId194" Type="http://schemas.openxmlformats.org/officeDocument/2006/relationships/hyperlink" Target="https://lab.procomum.org/baixada-pela-vida/" TargetMode="External"/><Relationship Id="rId193" Type="http://schemas.openxmlformats.org/officeDocument/2006/relationships/hyperlink" Target="https://gastromotiva.org/cozinhas-solidarias-gastromotiva/" TargetMode="External"/><Relationship Id="rId192" Type="http://schemas.openxmlformats.org/officeDocument/2006/relationships/hyperlink" Target="https://www.pepsico.com.br/imprensa/press-release/gastromotiva" TargetMode="External"/><Relationship Id="rId191" Type="http://schemas.openxmlformats.org/officeDocument/2006/relationships/hyperlink" Target="https://www.cocacolabrasil.com.br/historias/solidariedade-historias-do-fundo-estamos-nessa-juntos" TargetMode="External"/><Relationship Id="rId187" Type="http://schemas.openxmlformats.org/officeDocument/2006/relationships/hyperlink" Target="https://pratocheio.org.br/wp-content/uploads/2023/01/Relatorio-APC-2022.pdf" TargetMode="External"/><Relationship Id="rId186" Type="http://schemas.openxmlformats.org/officeDocument/2006/relationships/hyperlink" Target="https://pratocheio.org.br/wp-content/uploads/2022/04/Relatorio-APC-2021.pdf" TargetMode="External"/><Relationship Id="rId185" Type="http://schemas.openxmlformats.org/officeDocument/2006/relationships/hyperlink" Target="https://pratocheio.org.br/wp-content/uploads/2021/08/Relatorio-de-Atividades-2020-1.pdf" TargetMode="External"/><Relationship Id="rId184" Type="http://schemas.openxmlformats.org/officeDocument/2006/relationships/hyperlink" Target="https://pratocheio.org.br/o-que-fazemos/" TargetMode="External"/><Relationship Id="rId189" Type="http://schemas.openxmlformats.org/officeDocument/2006/relationships/hyperlink" Target="https://mosaico.gife.org.br/base-de-projetos/1376-fundo-estamos-nessa-juntos" TargetMode="External"/><Relationship Id="rId188" Type="http://schemas.openxmlformats.org/officeDocument/2006/relationships/hyperlink" Target="https://www.cocacolabrasil.com.br/institutococacolabrasil" TargetMode="External"/><Relationship Id="rId183" Type="http://schemas.openxmlformats.org/officeDocument/2006/relationships/hyperlink" Target="http://paraquemdoar.com/" TargetMode="External"/><Relationship Id="rId182" Type="http://schemas.openxmlformats.org/officeDocument/2006/relationships/hyperlink" Target="https://manejebem.com/projeto-cacau-digital-fundacao-cargill-e-manejebem/" TargetMode="External"/><Relationship Id="rId181" Type="http://schemas.openxmlformats.org/officeDocument/2006/relationships/hyperlink" Target="https://fundacaocargill.org.br/quem-somos/projetos/" TargetMode="External"/><Relationship Id="rId180" Type="http://schemas.openxmlformats.org/officeDocument/2006/relationships/hyperlink" Target="https://www.arcah.org/horta-social-urbana" TargetMode="External"/><Relationship Id="rId176" Type="http://schemas.openxmlformats.org/officeDocument/2006/relationships/hyperlink" Target="https://www.pepsico.com.br/imprensa/hist%C3%B3rias/food-for-good" TargetMode="External"/><Relationship Id="rId175" Type="http://schemas.openxmlformats.org/officeDocument/2006/relationships/hyperlink" Target="https://portal.campinas.sp.gov.br/noticia/33400" TargetMode="External"/><Relationship Id="rId174" Type="http://schemas.openxmlformats.org/officeDocument/2006/relationships/hyperlink" Target="https://isacontraafome.com.br/history.html" TargetMode="External"/><Relationship Id="rId173" Type="http://schemas.openxmlformats.org/officeDocument/2006/relationships/hyperlink" Target="http://www.ceasacampinas.com.br/programas-sociais/isa" TargetMode="External"/><Relationship Id="rId179" Type="http://schemas.openxmlformats.org/officeDocument/2006/relationships/hyperlink" Target="https://www.pepsico.com.br/sustentabilidade/cidadania-corporativa" TargetMode="External"/><Relationship Id="rId178" Type="http://schemas.openxmlformats.org/officeDocument/2006/relationships/hyperlink" Target="https://www.pepsico.com.br/imprensa/hist%C3%B3rias/r$-16-5-milh%C3%B5es-para-as-comunidades-brasileiras-at%C3%A9-2022" TargetMode="External"/><Relationship Id="rId177" Type="http://schemas.openxmlformats.org/officeDocument/2006/relationships/hyperlink" Target="https://www.pepsico.com.br/press-release/pepsico-brasil-e-funda%C3%A7%C3%A3o-pepsico-doam-cerca-de-1-tonelada-de-alimentos-al%C3%A9m-de-2.500-cestas-b%C3%A1sicas-itens-de-higiene-e-%C3%A1gua-em-pernambuco" TargetMode="External"/><Relationship Id="rId198" Type="http://schemas.openxmlformats.org/officeDocument/2006/relationships/hyperlink" Target="https://brasil.elpais.com/brasil/2021-02-22/as-guardias-que-protegem-o-jardim-lapena-na-periferia-de-sao-paulo-contra-a-covid-19.html?fbclid=IwAR0IvGEECVWMfLShSlWLFITqTRG-AU4bk6yi1iELZ8gvNzOwYpsI6VgJICY" TargetMode="External"/><Relationship Id="rId197" Type="http://schemas.openxmlformats.org/officeDocument/2006/relationships/hyperlink" Target="https://lab.procomum.org/wp-content/uploads/2022/02/Baixada-pela-Vida-prestacao-de-contas.pdf" TargetMode="External"/><Relationship Id="rId196" Type="http://schemas.openxmlformats.org/officeDocument/2006/relationships/hyperlink" Target="https://lab.procomum.org/wp-content/uploads/2022/02/RELEASE_Baixada_pela_Vida_entidades_da_Baixada_Santista_criam_fundo.pdf" TargetMode="External"/><Relationship Id="rId195" Type="http://schemas.openxmlformats.org/officeDocument/2006/relationships/hyperlink" Target="https://baixadapelavida.org/" TargetMode="External"/><Relationship Id="rId199" Type="http://schemas.openxmlformats.org/officeDocument/2006/relationships/hyperlink" Target="http://www.g10favelas.org/" TargetMode="External"/><Relationship Id="rId150" Type="http://schemas.openxmlformats.org/officeDocument/2006/relationships/hyperlink" Target="https://www.connectingfood.com/" TargetMode="External"/><Relationship Id="rId392" Type="http://schemas.openxmlformats.org/officeDocument/2006/relationships/hyperlink" Target="https://www.acaodacidadania.org.br/nossos-projetos" TargetMode="External"/><Relationship Id="rId391" Type="http://schemas.openxmlformats.org/officeDocument/2006/relationships/hyperlink" Target="https://api.mziq.com/mzfilemanager/v2/d/347dba24-05d2-479e-a775-2ea8677c50f2/7622be70-92e0-b48b-7d12-069ccd9ee63b?origin=1" TargetMode="External"/><Relationship Id="rId390" Type="http://schemas.openxmlformats.org/officeDocument/2006/relationships/hyperlink" Target="https://api.mziq.com/mzfilemanager/v2/d/c8182463-4b7e-408c-9d0f-42797662435e/647895c0-c87a-984d-4b6f-047d294407ac?origin=1" TargetMode="External"/><Relationship Id="rId1" Type="http://schemas.openxmlformats.org/officeDocument/2006/relationships/comments" Target="../comments10.xml"/><Relationship Id="rId2" Type="http://schemas.openxmlformats.org/officeDocument/2006/relationships/hyperlink" Target="https://frutaimperfeita.com.br/?pagina=parceiros" TargetMode="External"/><Relationship Id="rId3" Type="http://schemas.openxmlformats.org/officeDocument/2006/relationships/hyperlink" Target="https://pt.linkedin.com/company/fruta-imperfeita" TargetMode="External"/><Relationship Id="rId149" Type="http://schemas.openxmlformats.org/officeDocument/2006/relationships/hyperlink" Target="https://transforma.fbb.org.br/tecnologia-social/semente-para-todos" TargetMode="External"/><Relationship Id="rId4" Type="http://schemas.openxmlformats.org/officeDocument/2006/relationships/hyperlink" Target="https://news.ifood.com.br/movimento-todos-a-mesa-e-premiado-no-eco-brasil-2022/" TargetMode="External"/><Relationship Id="rId148" Type="http://schemas.openxmlformats.org/officeDocument/2006/relationships/hyperlink" Target="https://www.ceara.gov.br/2020/07/08/maranguape-recebe-primeira-entrega-de-projeto-que-doa-cestas-basicas-e-produtos-de-higiene/" TargetMode="External"/><Relationship Id="rId9" Type="http://schemas.openxmlformats.org/officeDocument/2006/relationships/hyperlink" Target="https://www.inthemine.com.br/site/aura-apoena-da-inicio-ao-programa-agronegocio-sustentavel/" TargetMode="External"/><Relationship Id="rId143" Type="http://schemas.openxmlformats.org/officeDocument/2006/relationships/hyperlink" Target="https://www.cidadessemfome.org/" TargetMode="External"/><Relationship Id="rId385" Type="http://schemas.openxmlformats.org/officeDocument/2006/relationships/hyperlink" Target="https://www.projetodraft.com/ama-a-agua-com-proposito-ou-como-um-negocio-social-corporativo-brotou-de-dentro-da-ambev/" TargetMode="External"/><Relationship Id="rId142" Type="http://schemas.openxmlformats.org/officeDocument/2006/relationships/hyperlink" Target="https://br.linkedin.com/company/org%C3%A2nico-solid%C3%A1rio" TargetMode="External"/><Relationship Id="rId384" Type="http://schemas.openxmlformats.org/officeDocument/2006/relationships/hyperlink" Target="https://www.ambev.com.br/ama" TargetMode="External"/><Relationship Id="rId141" Type="http://schemas.openxmlformats.org/officeDocument/2006/relationships/hyperlink" Target="https://organicosolidario.org/" TargetMode="External"/><Relationship Id="rId383" Type="http://schemas.openxmlformats.org/officeDocument/2006/relationships/hyperlink" Target="https://api.mziq.com/mzfilemanager/v2/d/c8182463-4b7e-408c-9d0f-42797662435e/4b04ac91-c1ea-e7ec-8b0d-7b212507651d?origin=1" TargetMode="External"/><Relationship Id="rId140" Type="http://schemas.openxmlformats.org/officeDocument/2006/relationships/hyperlink" Target="https://fundacaocargill.org.br/quem-somos/projetos/" TargetMode="External"/><Relationship Id="rId382" Type="http://schemas.openxmlformats.org/officeDocument/2006/relationships/hyperlink" Target="https://www1.folha.uol.com.br/empreendedorsocial/2020/06/empresas-doam-540-mil-fatias-de-pao-para-comunidades-vulneraveis.shtml" TargetMode="External"/><Relationship Id="rId5" Type="http://schemas.openxmlformats.org/officeDocument/2006/relationships/hyperlink" Target="https://www.news.ifood.com.br/todos-a-mesa-cresce-e-busca-mais-parceiros-para-combater-a-fome/" TargetMode="External"/><Relationship Id="rId147" Type="http://schemas.openxmlformats.org/officeDocument/2006/relationships/hyperlink" Target="https://www.teresopolis.rj.gov.br/campanha-proteja-e-salve-vidas-entrega-550-cestas-da-agricultura-familiar-para-pessoas-em-extrema-vulnerabilidade-social/" TargetMode="External"/><Relationship Id="rId389" Type="http://schemas.openxmlformats.org/officeDocument/2006/relationships/hyperlink" Target="https://api.mziq.com/mzfilemanager/v2/d/c8182463-4b7e-408c-9d0f-42797662435e/647895c0-c87a-984d-4b6f-047d294407ac?origin=1" TargetMode="External"/><Relationship Id="rId6" Type="http://schemas.openxmlformats.org/officeDocument/2006/relationships/hyperlink" Target="https://www.todosamesabrasil.com.br/" TargetMode="External"/><Relationship Id="rId146" Type="http://schemas.openxmlformats.org/officeDocument/2006/relationships/hyperlink" Target="https://www.cetap.org.br/site/campanha-proteja-e-salve-vidas/" TargetMode="External"/><Relationship Id="rId388" Type="http://schemas.openxmlformats.org/officeDocument/2006/relationships/hyperlink" Target="https://foodforum.com.br/ambev-projeto-contra-fome/" TargetMode="External"/><Relationship Id="rId7" Type="http://schemas.openxmlformats.org/officeDocument/2006/relationships/hyperlink" Target="https://www.unilever.com.br/news/press-releases/2020/todos-a-mesa/" TargetMode="External"/><Relationship Id="rId145" Type="http://schemas.openxmlformats.org/officeDocument/2006/relationships/hyperlink" Target="https://coronavirus.fbb.org.br/" TargetMode="External"/><Relationship Id="rId387" Type="http://schemas.openxmlformats.org/officeDocument/2006/relationships/hyperlink" Target="https://api.mziq.com/mzfilemanager/v2/d/c8182463-4b7e-408c-9d0f-42797662435e/647895c0-c87a-984d-4b6f-047d294407ac?origin=1" TargetMode="External"/><Relationship Id="rId8" Type="http://schemas.openxmlformats.org/officeDocument/2006/relationships/hyperlink" Target="https://manejebem.com/" TargetMode="External"/><Relationship Id="rId144" Type="http://schemas.openxmlformats.org/officeDocument/2006/relationships/hyperlink" Target="https://www.uol.com.br/ecoa/ultimas-noticias/2022/03/02/hortas-criadas-em-terrenos-ociosos-de-sp-colhem-6-t-de-alimentos-todo-mes.htm" TargetMode="External"/><Relationship Id="rId386" Type="http://schemas.openxmlformats.org/officeDocument/2006/relationships/hyperlink" Target="https://api.mziq.com/mzfilemanager/v2/d/c8182463-4b7e-408c-9d0f-42797662435e/4b04ac91-c1ea-e7ec-8b0d-7b212507651d?origin=1" TargetMode="External"/><Relationship Id="rId381" Type="http://schemas.openxmlformats.org/officeDocument/2006/relationships/hyperlink" Target="https://exame.com/bussola/ambev-produz-270-mil-unidades-de-bebida-nutritiva-para-baixa-renda/" TargetMode="External"/><Relationship Id="rId380" Type="http://schemas.openxmlformats.org/officeDocument/2006/relationships/hyperlink" Target="https://gazetaregional.com.br/ambev-faz-acao-de-arrecadacao-de-alimentos-nao-pereciveis-em-troca-de-cerveja-em-jaguariuna/" TargetMode="External"/><Relationship Id="rId139" Type="http://schemas.openxmlformats.org/officeDocument/2006/relationships/hyperlink" Target="https://www.cidadessemfome.org/" TargetMode="External"/><Relationship Id="rId138" Type="http://schemas.openxmlformats.org/officeDocument/2006/relationships/hyperlink" Target="https://gife.org.br/primeira-edicao-do-ecco-comunidades-do-instituto-brf-foca-em-desenvolvimento-local-e-solucoes-para-enfrentar-o-desperdicio-de-alimentos/" TargetMode="External"/><Relationship Id="rId137" Type="http://schemas.openxmlformats.org/officeDocument/2006/relationships/hyperlink" Target="https://editaisibrf.prosas.com.br/eccocomunidadesstartups.html" TargetMode="External"/><Relationship Id="rId379" Type="http://schemas.openxmlformats.org/officeDocument/2006/relationships/hyperlink" Target="https://www.linkedin.com/posts/baumanncit_semprejuntosday-pormaismotivosparabrindar-activity-6874039288435093504-gQv-/?trk=public_profile_like_view&amp;originalSubdomain=pt" TargetMode="External"/><Relationship Id="rId132" Type="http://schemas.openxmlformats.org/officeDocument/2006/relationships/hyperlink" Target="https://exame.com/colunistas/carol-paiffer/startup-lucra-com-desperdicio-alimento-saiba-empreendedorismo/" TargetMode="External"/><Relationship Id="rId374" Type="http://schemas.openxmlformats.org/officeDocument/2006/relationships/hyperlink" Target="https://goodtruck.org.br/acoes/" TargetMode="External"/><Relationship Id="rId131" Type="http://schemas.openxmlformats.org/officeDocument/2006/relationships/hyperlink" Target="https://exame.com/colunistas/carol-paiffer/restin-investida-de-carol-paiffer-transforma-desperdicio-em-lucro/" TargetMode="External"/><Relationship Id="rId373" Type="http://schemas.openxmlformats.org/officeDocument/2006/relationships/hyperlink" Target="https://www.3tentos.com.br/assets/esg/relatoriodesustentabilidade2022.pdf" TargetMode="External"/><Relationship Id="rId130" Type="http://schemas.openxmlformats.org/officeDocument/2006/relationships/hyperlink" Target="https://www.linkedin.com/company/restin-brasil/" TargetMode="External"/><Relationship Id="rId372" Type="http://schemas.openxmlformats.org/officeDocument/2006/relationships/hyperlink" Target="https://www.3tentos.com.br/assets/esg/relatorioesg2021.pdf" TargetMode="External"/><Relationship Id="rId371" Type="http://schemas.openxmlformats.org/officeDocument/2006/relationships/hyperlink" Target="https://www.3tentos.com.br/assets/esg/relatoriodesustentabilidade2022.pdf" TargetMode="External"/><Relationship Id="rId136" Type="http://schemas.openxmlformats.org/officeDocument/2006/relationships/hyperlink" Target="https://mandusocial.org/blog/desenvolvimento-de-negocios-comunitarios/como-a-economia-da-floresta-em-pe-pode-ajudar-o-brasil-e-o-mundo/" TargetMode="External"/><Relationship Id="rId378" Type="http://schemas.openxmlformats.org/officeDocument/2006/relationships/hyperlink" Target="https://www.ambev.com.br/sustentabilidade/juntos-distancia" TargetMode="External"/><Relationship Id="rId135" Type="http://schemas.openxmlformats.org/officeDocument/2006/relationships/hyperlink" Target="https://centraldeindicadores.gerdau.digital/social" TargetMode="External"/><Relationship Id="rId377" Type="http://schemas.openxmlformats.org/officeDocument/2006/relationships/hyperlink" Target="https://goodtruck.org.br/wp-content/uploads/Relatorio_Impacto_GoodTruck.pdf" TargetMode="External"/><Relationship Id="rId134" Type="http://schemas.openxmlformats.org/officeDocument/2006/relationships/hyperlink" Target="https://mandusocial.org/blog/sem-categoria/programa-nectar-do-futuro-fortalecendo-associacoes-de-apicultores-em-minas-gerais/" TargetMode="External"/><Relationship Id="rId376" Type="http://schemas.openxmlformats.org/officeDocument/2006/relationships/hyperlink" Target="https://www.katiavelo.com.br/ong-realiza-sonho-de-500-criancas-em-comunidade-carente-na-grande-curitiba/" TargetMode="External"/><Relationship Id="rId133" Type="http://schemas.openxmlformats.org/officeDocument/2006/relationships/hyperlink" Target="https://www2.gerdau.com.br/noticias/programa-nectar-do-futuro-valoriza-apicultores-e-colabora-para-a-consolidacao-da-atividade-em-minas-gerais/" TargetMode="External"/><Relationship Id="rId375" Type="http://schemas.openxmlformats.org/officeDocument/2006/relationships/hyperlink" Target="https://www.gazetadopovo.com.br/bomgourmet/historias/coronavirus-ong-e-restaurantes-doacao-almoco-a-pessoas-em-situacao-vulneravel/" TargetMode="External"/><Relationship Id="rId172" Type="http://schemas.openxmlformats.org/officeDocument/2006/relationships/hyperlink" Target="https://pratocheio.org.br/o-que-fazemos/" TargetMode="External"/><Relationship Id="rId171" Type="http://schemas.openxmlformats.org/officeDocument/2006/relationships/hyperlink" Target="http://paraquemdoar.com/" TargetMode="External"/><Relationship Id="rId170" Type="http://schemas.openxmlformats.org/officeDocument/2006/relationships/hyperlink" Target="http://na-ab43.marketo.com/rs/099-WED-945/images/Relato%CC%81rio%20de%20Atividades%202020_Gerando%20Falco%CC%83es.pdf" TargetMode="External"/><Relationship Id="rId165" Type="http://schemas.openxmlformats.org/officeDocument/2006/relationships/hyperlink" Target="https://www.acaodacidadania.org.br/nossos-projetos" TargetMode="External"/><Relationship Id="rId164" Type="http://schemas.openxmlformats.org/officeDocument/2006/relationships/hyperlink" Target="https://glamurama.uol.com.br/notas/refettorio-gastromotiva-celebra-4-anos-com-chefs-renomados-cozinhando-para-pessoas-em-vulnerabilidade-social/" TargetMode="External"/><Relationship Id="rId163" Type="http://schemas.openxmlformats.org/officeDocument/2006/relationships/hyperlink" Target="https://gastromotiva.org/wp-content/uploads/2021/09/RELAT_2020_Gastromotiva.pdf" TargetMode="External"/><Relationship Id="rId162" Type="http://schemas.openxmlformats.org/officeDocument/2006/relationships/hyperlink" Target="https://gife.org.br/primeira-edicao-do-ecco-comunidades-do-instituto-brf-foca-em-desenvolvimento-local-e-solucoes-para-enfrentar-o-desperdicio-de-alimentos/" TargetMode="External"/><Relationship Id="rId169" Type="http://schemas.openxmlformats.org/officeDocument/2006/relationships/hyperlink" Target="https://mosaico.gife.org.br/base-de-projetos/1580-corona-no-paredao-fome-aqui-nao" TargetMode="External"/><Relationship Id="rId168" Type="http://schemas.openxmlformats.org/officeDocument/2006/relationships/hyperlink" Target="https://site.gerandofalcoes.com/resultados" TargetMode="External"/><Relationship Id="rId167" Type="http://schemas.openxmlformats.org/officeDocument/2006/relationships/hyperlink" Target="https://site.gerandofalcoes.com/coronanoparedao" TargetMode="External"/><Relationship Id="rId166" Type="http://schemas.openxmlformats.org/officeDocument/2006/relationships/hyperlink" Target="https://www.brasildefato.com.br/2023/06/08/acao-da-cidadania-inaugura-hortas-comunitarias-para-incentivar-alimentacao-saudavel" TargetMode="External"/><Relationship Id="rId161" Type="http://schemas.openxmlformats.org/officeDocument/2006/relationships/hyperlink" Target="https://www.whywaste.com.br/semafor" TargetMode="External"/><Relationship Id="rId160" Type="http://schemas.openxmlformats.org/officeDocument/2006/relationships/hyperlink" Target="https://startups.com.br/noticias/superopa-quer-captar-r-10-mi-para-ampliar-vendas-para-as-classes-c-e-d/" TargetMode="External"/><Relationship Id="rId159" Type="http://schemas.openxmlformats.org/officeDocument/2006/relationships/hyperlink" Target="https://fundacaotidesetubal.org.br/o-acesso-a-internet-nas-periferias-e-os-beneficios-para-as-economias-locais/" TargetMode="External"/><Relationship Id="rId154" Type="http://schemas.openxmlformats.org/officeDocument/2006/relationships/hyperlink" Target="https://gife.org.br/primeira-edicao-do-ecco-comunidades-do-instituto-brf-foca-em-desenvolvimento-local-e-solucoes-para-enfrentar-o-desperdicio-de-alimentos/" TargetMode="External"/><Relationship Id="rId396" Type="http://schemas.openxmlformats.org/officeDocument/2006/relationships/hyperlink" Target="https://static.poder360.com.br/2023/01/Relatorio-anual-2021-americanas.pdf" TargetMode="External"/><Relationship Id="rId153" Type="http://schemas.openxmlformats.org/officeDocument/2006/relationships/hyperlink" Target="https://goodtruck.org.br/wp-content/uploads/Relatorio_Impacto_GoodTruck.pdf" TargetMode="External"/><Relationship Id="rId395" Type="http://schemas.openxmlformats.org/officeDocument/2006/relationships/hyperlink" Target="https://static.poder360.com.br/2023/01/Relatorio-anual-2021-americanas.pdf" TargetMode="External"/><Relationship Id="rId152" Type="http://schemas.openxmlformats.org/officeDocument/2006/relationships/hyperlink" Target="https://goodtruck.org.br/logistica-do-bem/" TargetMode="External"/><Relationship Id="rId394" Type="http://schemas.openxmlformats.org/officeDocument/2006/relationships/hyperlink" Target="https://api.mziq.com/mzfilemanager/v2/d/347dba24-05d2-479e-a775-2ea8677c50f2/7622be70-92e0-b48b-7d12-069ccd9ee63b?origin=1" TargetMode="External"/><Relationship Id="rId151" Type="http://schemas.openxmlformats.org/officeDocument/2006/relationships/hyperlink" Target="https://www.linkedin.com/company/connecting-food-brasil/about/" TargetMode="External"/><Relationship Id="rId393" Type="http://schemas.openxmlformats.org/officeDocument/2006/relationships/hyperlink" Target="https://www.brasildefato.com.br/2023/06/08/acao-da-cidadania-inaugura-hortas-comunitarias-para-incentivar-alimentacao-saudavel" TargetMode="External"/><Relationship Id="rId158" Type="http://schemas.openxmlformats.org/officeDocument/2006/relationships/hyperlink" Target="https://gife.org.br/primeira-edicao-do-ecco-comunidades-do-instituto-brf-foca-em-desenvolvimento-local-e-solucoes-para-enfrentar-o-desperdicio-de-alimentos/" TargetMode="External"/><Relationship Id="rId157" Type="http://schemas.openxmlformats.org/officeDocument/2006/relationships/hyperlink" Target="https://www.eatsforyou.com.br/acao-faca-o-bem" TargetMode="External"/><Relationship Id="rId399" Type="http://schemas.openxmlformats.org/officeDocument/2006/relationships/hyperlink" Target="https://www.news.ifood.com.br/todos-a-mesa-cresce-e-busca-mais-parceiros-para-combater-a-fome/" TargetMode="External"/><Relationship Id="rId156" Type="http://schemas.openxmlformats.org/officeDocument/2006/relationships/hyperlink" Target="https://gife.org.br/primeira-edicao-do-ecco-comunidades-do-instituto-brf-foca-em-desenvolvimento-local-e-solucoes-para-enfrentar-o-desperdicio-de-alimentos/" TargetMode="External"/><Relationship Id="rId398" Type="http://schemas.openxmlformats.org/officeDocument/2006/relationships/hyperlink" Target="https://news.ifood.com.br/movimento-todos-a-mesa-e-premiado-no-eco-brasil-2022/" TargetMode="External"/><Relationship Id="rId155" Type="http://schemas.openxmlformats.org/officeDocument/2006/relationships/hyperlink" Target="https://lemobs.com.br/produtos/aei-alimentacao-escolar-inteligente/" TargetMode="External"/><Relationship Id="rId397" Type="http://schemas.openxmlformats.org/officeDocument/2006/relationships/hyperlink" Target="https://static.poder360.com.br/2023/01/Relatorio-anual-2021-americanas.pdf" TargetMode="External"/><Relationship Id="rId40" Type="http://schemas.openxmlformats.org/officeDocument/2006/relationships/hyperlink" Target="https://www.portaldecamaqua.com.br/noticias/29063/grupo-carrefour-brasil-reune-parceiros-e-doa-r-8-milhoes-para-combater-a-fome.html" TargetMode="External"/><Relationship Id="rId42" Type="http://schemas.openxmlformats.org/officeDocument/2006/relationships/hyperlink" Target="https://www.facebook.com/projeto.servirsp" TargetMode="External"/><Relationship Id="rId41" Type="http://schemas.openxmlformats.org/officeDocument/2006/relationships/hyperlink" Target="https://static2.carrefour.com.br/hotsite/estamos-aqui-por-voce/v8/files/prestacao_de_contas.pdf" TargetMode="External"/><Relationship Id="rId44" Type="http://schemas.openxmlformats.org/officeDocument/2006/relationships/hyperlink" Target="https://www.portaldecamaqua.com.br/noticias/29063/grupo-carrefour-brasil-reune-parceiros-e-doa-r-8-milhoes-para-combater-a-fome.html" TargetMode="External"/><Relationship Id="rId43" Type="http://schemas.openxmlformats.org/officeDocument/2006/relationships/hyperlink" Target="https://static2.carrefour.com.br/hotsite/estamos-aqui-por-voce/v8/files/prestacao_de_contas.pdf" TargetMode="External"/><Relationship Id="rId46" Type="http://schemas.openxmlformats.org/officeDocument/2006/relationships/hyperlink" Target="https://www.carrefour.com.br/grupo-carrefour/sustentabilidade/social/parceria-que-alimenta" TargetMode="External"/><Relationship Id="rId45" Type="http://schemas.openxmlformats.org/officeDocument/2006/relationships/hyperlink" Target="https://www.youtube.com/watch?v=nK91zXDrypc" TargetMode="External"/><Relationship Id="rId509" Type="http://schemas.openxmlformats.org/officeDocument/2006/relationships/hyperlink" Target="https://www.unilever.com.br/news/press-releases/2020/todos-a-mesa/" TargetMode="External"/><Relationship Id="rId508" Type="http://schemas.openxmlformats.org/officeDocument/2006/relationships/hyperlink" Target="https://www.todosamesabrasil.com.br/" TargetMode="External"/><Relationship Id="rId503" Type="http://schemas.openxmlformats.org/officeDocument/2006/relationships/hyperlink" Target="https://api.mziq.com/mzfilemanager/v2/d/65f65acb-ad9a-44b1-a3d5-620b6199a637/4d791652-1419-b565-d605-0dfdf457361e?origin=2" TargetMode="External"/><Relationship Id="rId502" Type="http://schemas.openxmlformats.org/officeDocument/2006/relationships/hyperlink" Target="https://api.mziq.com/mzfilemanager/v2/d/65f65acb-ad9a-44b1-a3d5-620b6199a637/49efaa1a-14e2-4ade-726a-13d15fd4bfea?origin=2" TargetMode="External"/><Relationship Id="rId501" Type="http://schemas.openxmlformats.org/officeDocument/2006/relationships/hyperlink" Target="https://gastromotiva.org/cozinhas-solidarias-gastromotiva/" TargetMode="External"/><Relationship Id="rId500" Type="http://schemas.openxmlformats.org/officeDocument/2006/relationships/hyperlink" Target="https://api.mziq.com/mzfilemanager/v2/d/65f65acb-ad9a-44b1-a3d5-620b6199a637/49efaa1a-14e2-4ade-726a-13d15fd4bfea?origin=2" TargetMode="External"/><Relationship Id="rId507" Type="http://schemas.openxmlformats.org/officeDocument/2006/relationships/hyperlink" Target="https://www.news.ifood.com.br/todos-a-mesa-cresce-e-busca-mais-parceiros-para-combater-a-fome/" TargetMode="External"/><Relationship Id="rId506" Type="http://schemas.openxmlformats.org/officeDocument/2006/relationships/hyperlink" Target="https://news.ifood.com.br/movimento-todos-a-mesa-e-premiado-no-eco-brasil-2022/" TargetMode="External"/><Relationship Id="rId505" Type="http://schemas.openxmlformats.org/officeDocument/2006/relationships/hyperlink" Target="https://api.mziq.com/mzfilemanager/v2/d/65f65acb-ad9a-44b1-a3d5-620b6199a637/9caf2713-6db8-a8b6-cd90-e733526a83a8?origin=2" TargetMode="External"/><Relationship Id="rId504" Type="http://schemas.openxmlformats.org/officeDocument/2006/relationships/hyperlink" Target="https://api.mziq.com/mzfilemanager/v2/d/65f65acb-ad9a-44b1-a3d5-620b6199a637/49efaa1a-14e2-4ade-726a-13d15fd4bfea?origin=2" TargetMode="External"/><Relationship Id="rId48" Type="http://schemas.openxmlformats.org/officeDocument/2006/relationships/hyperlink" Target="https://www.latamairlines.com/br/pt/sustentabilidade/valor-compartilhado" TargetMode="External"/><Relationship Id="rId47" Type="http://schemas.openxmlformats.org/officeDocument/2006/relationships/hyperlink" Target="https://www.revistahoteis.com.br/latam-transporta-gratuitamente-alimentos-para-combate-a-fome-na-pandemia/" TargetMode="External"/><Relationship Id="rId49" Type="http://schemas.openxmlformats.org/officeDocument/2006/relationships/hyperlink" Target="https://www.revistahoteis.com.br/latam-transporta-gratuitamente-alimentos-para-combate-a-fome-na-pandemia/" TargetMode="External"/><Relationship Id="rId31" Type="http://schemas.openxmlformats.org/officeDocument/2006/relationships/hyperlink" Target="https://www.pepsico.com.br/imprensa/hist%C3%B3rias/r$-16-5-milh%C3%B5es-para-as-comunidades-brasileiras-at%C3%A9-2022" TargetMode="External"/><Relationship Id="rId30" Type="http://schemas.openxmlformats.org/officeDocument/2006/relationships/hyperlink" Target="https://www.infineat.com.br/" TargetMode="External"/><Relationship Id="rId33" Type="http://schemas.openxmlformats.org/officeDocument/2006/relationships/hyperlink" Target="https://www.news.ifood.com.br/galeria-de-fotos-conheca-a-horta-urbana-do-ifood/" TargetMode="External"/><Relationship Id="rId32" Type="http://schemas.openxmlformats.org/officeDocument/2006/relationships/hyperlink" Target="https://exame.com/esg/hortas-urbanas-ifood-alimentacao-saudavel/" TargetMode="External"/><Relationship Id="rId35" Type="http://schemas.openxmlformats.org/officeDocument/2006/relationships/hyperlink" Target="https://www.revistahoteis.com.br/latam-transporta-gratuitamente-alimentos-para-combate-a-fome-na-pandemia/" TargetMode="External"/><Relationship Id="rId34" Type="http://schemas.openxmlformats.org/officeDocument/2006/relationships/hyperlink" Target="https://www.news.ifood.com.br/ifood-investe-em-hortas-urbanas-para-combater-a-inseguranca-alimentar/" TargetMode="External"/><Relationship Id="rId37" Type="http://schemas.openxmlformats.org/officeDocument/2006/relationships/hyperlink" Target="https://www.jbs.com.br/fazerobemfazbem/" TargetMode="External"/><Relationship Id="rId36" Type="http://schemas.openxmlformats.org/officeDocument/2006/relationships/hyperlink" Target="https://jbs.com.br/fazerobemfazbem/enfrentamento-da-covid-19/social/" TargetMode="External"/><Relationship Id="rId39" Type="http://schemas.openxmlformats.org/officeDocument/2006/relationships/hyperlink" Target="https://comprasolidaria.carrefour.com.br/" TargetMode="External"/><Relationship Id="rId38" Type="http://schemas.openxmlformats.org/officeDocument/2006/relationships/hyperlink" Target="https://www.unicef.org/brazil/comunicados-de-imprensa/unicef-empresas-celebridades-e-organizacoes-locais-se-unem-contra-o-coronavirus" TargetMode="External"/><Relationship Id="rId20" Type="http://schemas.openxmlformats.org/officeDocument/2006/relationships/hyperlink" Target="https://mybees.com.br/" TargetMode="External"/><Relationship Id="rId22" Type="http://schemas.openxmlformats.org/officeDocument/2006/relationships/hyperlink" Target="https://www.linkedin.com/company/beesbrasil/?originalSubdomain=br" TargetMode="External"/><Relationship Id="rId21" Type="http://schemas.openxmlformats.org/officeDocument/2006/relationships/hyperlink" Target="https://feedfood.com.br/projeto-contra-fome-entregou-comida-as-familias-carentes/" TargetMode="External"/><Relationship Id="rId24" Type="http://schemas.openxmlformats.org/officeDocument/2006/relationships/hyperlink" Target="https://www2.sesc.com.br/portal/site/mesabrasilsesc/Entenda/" TargetMode="External"/><Relationship Id="rId23" Type="http://schemas.openxmlformats.org/officeDocument/2006/relationships/hyperlink" Target="https://www.natalsemfome.org.br/" TargetMode="External"/><Relationship Id="rId525" Type="http://schemas.openxmlformats.org/officeDocument/2006/relationships/hyperlink" Target="https://site.gerandofalcoes.com/resultados" TargetMode="External"/><Relationship Id="rId524" Type="http://schemas.openxmlformats.org/officeDocument/2006/relationships/hyperlink" Target="https://cvee2f.p3cdn1.secureserver.net/wp-content/uploads/2022/04/Relato%CC%81rio-de-Atividades-2020_Gerando-Falco%CC%83es.pdf" TargetMode="External"/><Relationship Id="rId523" Type="http://schemas.openxmlformats.org/officeDocument/2006/relationships/hyperlink" Target="https://api.mziq.com/mzfilemanager/v2/d/32539bbc-7be4-42e1-a485-98a052dc3a81/50b53529-b976-18bc-43d8-7e34e8d8b4d1?origin=1" TargetMode="External"/><Relationship Id="rId522" Type="http://schemas.openxmlformats.org/officeDocument/2006/relationships/hyperlink" Target="https://api.mziq.com/mzfilemanager/v2/d/32539bbc-7be4-42e1-a485-98a052dc3a81/3291b33d-ab23-26f0-8679-5e9c2e7cba8f?origin=1" TargetMode="External"/><Relationship Id="rId529" Type="http://schemas.openxmlformats.org/officeDocument/2006/relationships/hyperlink" Target="http://br.stop-hunger.org/home/nossas-acoes/doacao-de-alimentos/alimentacao-solidaria.html" TargetMode="External"/><Relationship Id="rId528" Type="http://schemas.openxmlformats.org/officeDocument/2006/relationships/hyperlink" Target="https://www.diariodesuzano.com.br/regiao/com-agravamento-da-pandemia-gerando-falcoes-retoma-campanha-corona/57977/" TargetMode="External"/><Relationship Id="rId527" Type="http://schemas.openxmlformats.org/officeDocument/2006/relationships/hyperlink" Target="http://na-ab43.marketo.com/rs/099-WED-945/images/Relato%CC%81rio%20de%20Atividades%202020_Gerando%20Falco%CC%83es.pdf" TargetMode="External"/><Relationship Id="rId526" Type="http://schemas.openxmlformats.org/officeDocument/2006/relationships/hyperlink" Target="https://mosaico.gife.org.br/base-de-projetos/1580-corona-no-paredao-fome-aqui-nao" TargetMode="External"/><Relationship Id="rId26" Type="http://schemas.openxmlformats.org/officeDocument/2006/relationships/hyperlink" Target="https://www.hellmanns.com.br/unidos-pela-comida.html" TargetMode="External"/><Relationship Id="rId25" Type="http://schemas.openxmlformats.org/officeDocument/2006/relationships/hyperlink" Target="https://bancodealimentos.org.br/" TargetMode="External"/><Relationship Id="rId28" Type="http://schemas.openxmlformats.org/officeDocument/2006/relationships/hyperlink" Target="https://superhiper.com.br/unilever-batalha-contra-a-perda-de-alimentos/" TargetMode="External"/><Relationship Id="rId27" Type="http://schemas.openxmlformats.org/officeDocument/2006/relationships/hyperlink" Target="https://www.unilever.com.br/news/2022/unidos-pela-comida-atingiu-1-milhao-de-refeicoes-doadas/" TargetMode="External"/><Relationship Id="rId521" Type="http://schemas.openxmlformats.org/officeDocument/2006/relationships/hyperlink" Target="https://api.mziq.com/mzfilemanager/v2/d/32539bbc-7be4-42e1-a485-98a052dc3a81/a4206840-d103-b7ec-1bff-86265a5cd847?origin=1" TargetMode="External"/><Relationship Id="rId29" Type="http://schemas.openxmlformats.org/officeDocument/2006/relationships/hyperlink" Target="https://acontecendoaqui.com.br/marketing/projeto-unidos-pela-comida-salva-alimentos-desperdicados/" TargetMode="External"/><Relationship Id="rId520" Type="http://schemas.openxmlformats.org/officeDocument/2006/relationships/hyperlink" Target="https://www.carrefour.com.br/grupo-carrefour/sustentabilidade/social/parceria-que-alimenta" TargetMode="External"/><Relationship Id="rId11" Type="http://schemas.openxmlformats.org/officeDocument/2006/relationships/hyperlink" Target="https://revistapegn.globo.com/Banco-de-ideias/Alimentacao/noticia/2021/11/conheca-foodtech-que-ja-evitou-o-desperdicio-de-15-toneladas-de-alimentos.html" TargetMode="External"/><Relationship Id="rId10" Type="http://schemas.openxmlformats.org/officeDocument/2006/relationships/hyperlink" Target="https://www.foodtosave.com.br/" TargetMode="External"/><Relationship Id="rId13" Type="http://schemas.openxmlformats.org/officeDocument/2006/relationships/hyperlink" Target="https://www.sazon.com.br/esquadrao-do-amor" TargetMode="External"/><Relationship Id="rId12" Type="http://schemas.openxmlformats.org/officeDocument/2006/relationships/hyperlink" Target="https://forbes.com.br/forbesagro/2022/05/foodtech-quer-captar-r-13-milhao-para-investir-no-combate-ao-desperdicio-de-alimentos/" TargetMode="External"/><Relationship Id="rId519" Type="http://schemas.openxmlformats.org/officeDocument/2006/relationships/hyperlink" Target="https://www.youtube.com/watch?v=nK91zXDrypc" TargetMode="External"/><Relationship Id="rId514" Type="http://schemas.openxmlformats.org/officeDocument/2006/relationships/hyperlink" Target="https://api.mziq.com/mzfilemanager/v2/d/32539bbc-7be4-42e1-a485-98a052dc3a81/a4206840-d103-b7ec-1bff-86265a5cd847?origin=1" TargetMode="External"/><Relationship Id="rId513" Type="http://schemas.openxmlformats.org/officeDocument/2006/relationships/hyperlink" Target="https://static2.carrefour.com.br/hotsite/estamos-aqui-por-voce/v8/files/prestacao_de_contas.pdf" TargetMode="External"/><Relationship Id="rId512" Type="http://schemas.openxmlformats.org/officeDocument/2006/relationships/hyperlink" Target="https://www.portaldecamaqua.com.br/noticias/29063/grupo-carrefour-brasil-reune-parceiros-e-doa-r-8-milhoes-para-combater-a-fome.html" TargetMode="External"/><Relationship Id="rId511" Type="http://schemas.openxmlformats.org/officeDocument/2006/relationships/hyperlink" Target="https://comprasolidaria.carrefour.com.br/" TargetMode="External"/><Relationship Id="rId518" Type="http://schemas.openxmlformats.org/officeDocument/2006/relationships/hyperlink" Target="https://www.portaldecamaqua.com.br/noticias/29063/grupo-carrefour-brasil-reune-parceiros-e-doa-r-8-milhoes-para-combater-a-fome.html" TargetMode="External"/><Relationship Id="rId517" Type="http://schemas.openxmlformats.org/officeDocument/2006/relationships/hyperlink" Target="https://api.mziq.com/mzfilemanager/v2/d/32539bbc-7be4-42e1-a485-98a052dc3a81/a4206840-d103-b7ec-1bff-86265a5cd847?origin=1" TargetMode="External"/><Relationship Id="rId516" Type="http://schemas.openxmlformats.org/officeDocument/2006/relationships/hyperlink" Target="https://static2.carrefour.com.br/hotsite/estamos-aqui-por-voce/v8/files/prestacao_de_contas.pdf" TargetMode="External"/><Relationship Id="rId515" Type="http://schemas.openxmlformats.org/officeDocument/2006/relationships/hyperlink" Target="https://www.instagram.com/projetoservir_sp/" TargetMode="External"/><Relationship Id="rId15" Type="http://schemas.openxmlformats.org/officeDocument/2006/relationships/hyperlink" Target="https://www.estadao.com.br/brasil/sem-desperdicio-de-alimentos-amor-que-da-tempero-a-vida-contra-a-fome/" TargetMode="External"/><Relationship Id="rId14" Type="http://schemas.openxmlformats.org/officeDocument/2006/relationships/hyperlink" Target="https://abramark.com.br/inteligemcia/noticias/sazon-somos-todos-esquadrao-do-amor/" TargetMode="External"/><Relationship Id="rId17" Type="http://schemas.openxmlformats.org/officeDocument/2006/relationships/hyperlink" Target="https://www.institutoajinomoto.com.br/atuacao/acoes-de-combate-ao-covid-19/" TargetMode="External"/><Relationship Id="rId16" Type="http://schemas.openxmlformats.org/officeDocument/2006/relationships/hyperlink" Target="https://propmark.com.br/sazon-quer-conscientizar-sobre-desperdicio-de-alimentos/" TargetMode="External"/><Relationship Id="rId19" Type="http://schemas.openxmlformats.org/officeDocument/2006/relationships/hyperlink" Target="https://www.institutoajinomoto.com.br/" TargetMode="External"/><Relationship Id="rId510" Type="http://schemas.openxmlformats.org/officeDocument/2006/relationships/hyperlink" Target="https://www2.sesc.com.br/portal/site/mesabrasilsesc/Entenda/" TargetMode="External"/><Relationship Id="rId18" Type="http://schemas.openxmlformats.org/officeDocument/2006/relationships/hyperlink" Target="https://www.ajinomoto.com.br/app/uploads/releases/institucional/2022/ajinomoto-do-brasil-faz-doacao-de-r$-910-mil-em-cestas-basicas-para-minimizar-impactos-da-covid-19.pdf" TargetMode="External"/><Relationship Id="rId84" Type="http://schemas.openxmlformats.org/officeDocument/2006/relationships/hyperlink" Target="https://observatorio.all4food.com.br/pda/refood/" TargetMode="External"/><Relationship Id="rId83" Type="http://schemas.openxmlformats.org/officeDocument/2006/relationships/hyperlink" Target="https://economia.ig.com.br/2021-10-22/cheap-food-startup-brasil-desperdicio-de-comida.html" TargetMode="External"/><Relationship Id="rId86" Type="http://schemas.openxmlformats.org/officeDocument/2006/relationships/hyperlink" Target="https://economia.uol.com.br/noticias/redacao/2022/02/07/refood-aplicativo-desperdicio-de-alimentos.htm" TargetMode="External"/><Relationship Id="rId85" Type="http://schemas.openxmlformats.org/officeDocument/2006/relationships/hyperlink" Target="https://www.linkedin.com/company/refoodapp-brasil/about/" TargetMode="External"/><Relationship Id="rId88" Type="http://schemas.openxmlformats.org/officeDocument/2006/relationships/hyperlink" Target="https://br.sodexo.com/midia/atividades/wastewatch-no-brasil-para-o-comb-2.html" TargetMode="External"/><Relationship Id="rId87" Type="http://schemas.openxmlformats.org/officeDocument/2006/relationships/hyperlink" Target="https://observatorio.all4food.com.br/pda/wastewatch/" TargetMode="External"/><Relationship Id="rId89" Type="http://schemas.openxmlformats.org/officeDocument/2006/relationships/hyperlink" Target="https://observatorio.all4food.com.br/pda/gooxxy/" TargetMode="External"/><Relationship Id="rId80" Type="http://schemas.openxmlformats.org/officeDocument/2006/relationships/hyperlink" Target="https://aeroin.net/aviao-solidario-da-latam-beneficia-mais-de-130-milhoes-de-brasileiros-em-11-anos/" TargetMode="External"/><Relationship Id="rId82" Type="http://schemas.openxmlformats.org/officeDocument/2006/relationships/hyperlink" Target="https://www.linkedin.com/company/cheapfoodapp/about/" TargetMode="External"/><Relationship Id="rId81" Type="http://schemas.openxmlformats.org/officeDocument/2006/relationships/hyperlink" Target="https://observatorio.all4food.com.br/pda/cheap-food/" TargetMode="External"/><Relationship Id="rId73" Type="http://schemas.openxmlformats.org/officeDocument/2006/relationships/hyperlink" Target="https://raizen.com.br/fundacao-raizen/projetos" TargetMode="External"/><Relationship Id="rId72" Type="http://schemas.openxmlformats.org/officeDocument/2006/relationships/hyperlink" Target="https://visaomundial.org.br/noticias/com-otimizacao-de-recursos-parceria-de-visao-mundial-e-xp-investimentos-consegue-incluir-mais-de-9-mil-novas-familias-em-acao-de-doacao-de-cestas-basicas" TargetMode="External"/><Relationship Id="rId75" Type="http://schemas.openxmlformats.org/officeDocument/2006/relationships/hyperlink" Target="https://api.mziq.com/mzfilemanager/v2/d/6aa68515-2422-4cc4-bafa-8870ccdfedb0/01ce78cf-b44b-6b8e-336b-cc6eac71f4ab?origin=1" TargetMode="External"/><Relationship Id="rId74" Type="http://schemas.openxmlformats.org/officeDocument/2006/relationships/hyperlink" Target="https://raizen-institucional-relatorios.s3.amazonaws.com/fundacao-raizen/2023/pdf/Fundacao_Raizen_RA_2022_D7.pdf" TargetMode="External"/><Relationship Id="rId77" Type="http://schemas.openxmlformats.org/officeDocument/2006/relationships/hyperlink" Target="https://raizen-institucional-relatorios.s3.amazonaws.com/fundacao-raizen/2023/pdf/Fundacao_Raizen_RA_2022_D7.pdf" TargetMode="External"/><Relationship Id="rId76" Type="http://schemas.openxmlformats.org/officeDocument/2006/relationships/hyperlink" Target="https://raizen.com.br/fundacao-raizen/projetos" TargetMode="External"/><Relationship Id="rId79" Type="http://schemas.openxmlformats.org/officeDocument/2006/relationships/hyperlink" Target="https://www.latamairlines.com/br/pt/sustentabilidade/valor-compartilhado" TargetMode="External"/><Relationship Id="rId78" Type="http://schemas.openxmlformats.org/officeDocument/2006/relationships/hyperlink" Target="https://api.mziq.com/mzfilemanager/v2/d/6aa68515-2422-4cc4-bafa-8870ccdfedb0/01ce78cf-b44b-6b8e-336b-cc6eac71f4ab?origin=1" TargetMode="External"/><Relationship Id="rId71" Type="http://schemas.openxmlformats.org/officeDocument/2006/relationships/hyperlink" Target="https://visaomundial.org.br/noticias/visao-mundial-arrecada-mais-de-rdollar-20-milhoes-em-doacoes-e-parcerias-em-tres-meses-de-acoes-contra-o-novo-coronavirus-no-brasil" TargetMode="External"/><Relationship Id="rId70" Type="http://schemas.openxmlformats.org/officeDocument/2006/relationships/hyperlink" Target="https://www.charidy.com/juntostransformamos" TargetMode="External"/><Relationship Id="rId62" Type="http://schemas.openxmlformats.org/officeDocument/2006/relationships/hyperlink" Target="https://www.linkedin.com/company/oamitis/" TargetMode="External"/><Relationship Id="rId61" Type="http://schemas.openxmlformats.org/officeDocument/2006/relationships/hyperlink" Target="https://sites.google.com/enactusufal.com/portiflioamitis/in%C3%ADcio" TargetMode="External"/><Relationship Id="rId64" Type="http://schemas.openxmlformats.org/officeDocument/2006/relationships/hyperlink" Target="https://www.facebook.com/fundacaojarinorte/?locale=pt_BR" TargetMode="External"/><Relationship Id="rId63" Type="http://schemas.openxmlformats.org/officeDocument/2006/relationships/hyperlink" Target="http://laranjaldojari.ap.gov.br/noticia/3107/parceria-garante-apoio-as-comunidades-rurais-do-jari" TargetMode="External"/><Relationship Id="rId66" Type="http://schemas.openxmlformats.org/officeDocument/2006/relationships/hyperlink" Target="https://www.portaldoagronegocio.com.br/gestao-rural/gestao/noticias/bunge-anuncia-programa-global-de-voluntariado-com-foco-em-seguranca-alimentar" TargetMode="External"/><Relationship Id="rId65" Type="http://schemas.openxmlformats.org/officeDocument/2006/relationships/hyperlink" Target="https://www.bunge.com.br/Press-Releases/Bunge-anuncia-programa-global-de-voluntariado-com-foco-em-segurana-alimentar" TargetMode="External"/><Relationship Id="rId68" Type="http://schemas.openxmlformats.org/officeDocument/2006/relationships/hyperlink" Target="https://www.difundir.com.br/site/c_mostra_release.php?emp=6991&amp;num_release=277028" TargetMode="External"/><Relationship Id="rId67" Type="http://schemas.openxmlformats.org/officeDocument/2006/relationships/hyperlink" Target="https://observatorio3setor.org.br/noticias/fundacao-bunge-mobiliza-voluntarios-para-promover-seguranca-alimentar/" TargetMode="External"/><Relationship Id="rId60" Type="http://schemas.openxmlformats.org/officeDocument/2006/relationships/hyperlink" Target="https://www.sodexobeneficios.com.br/qualidade-de-vida/viver-bem/" TargetMode="External"/><Relationship Id="rId69" Type="http://schemas.openxmlformats.org/officeDocument/2006/relationships/hyperlink" Target="https://www1.folha.uol.com.br/mercado/2020/03/corretora-doa-r-25-mi-para-alimentar-familias-durante-pandemia-e-atrai-mais-doadores.shtml" TargetMode="External"/><Relationship Id="rId51" Type="http://schemas.openxmlformats.org/officeDocument/2006/relationships/hyperlink" Target="https://www.unilever.com.br/news/2023/com-patrocinio-da-unilever-restaurante-baccarelli-e-inaugurado/" TargetMode="External"/><Relationship Id="rId50" Type="http://schemas.openxmlformats.org/officeDocument/2006/relationships/hyperlink" Target="https://www.unilever.com.br/news/2021/unilever-e-funcionarios-unidos-na-maior-acao-de-combate-a-fome/" TargetMode="External"/><Relationship Id="rId53" Type="http://schemas.openxmlformats.org/officeDocument/2006/relationships/hyperlink" Target="https://www.unilever.com.br/news/2023/unilever-doa-produtos-para-populacao-do-litoral-norte-de-sao-paulo/" TargetMode="External"/><Relationship Id="rId52" Type="http://schemas.openxmlformats.org/officeDocument/2006/relationships/hyperlink" Target="https://www.unilever.com.br/news/2022/unilever-faz-doacao-para-as-familias-atingidas-pelas-chuvas-na-bahia/" TargetMode="External"/><Relationship Id="rId55" Type="http://schemas.openxmlformats.org/officeDocument/2006/relationships/hyperlink" Target="https://aeroin.net/aviao-solidario-da-latam-beneficia-mais-de-130-milhoes-de-brasileiros-em-11-anos/" TargetMode="External"/><Relationship Id="rId54" Type="http://schemas.openxmlformats.org/officeDocument/2006/relationships/hyperlink" Target="https://www.vale.com/pt/w/vale-doa-1-milhao-de-cestas-basicas-em-todo-o-brasil-por-meio-de-movimento-panela-cheia-acao-da-cidadania-e-uniao-rio" TargetMode="External"/><Relationship Id="rId57" Type="http://schemas.openxmlformats.org/officeDocument/2006/relationships/hyperlink" Target="https://www.lbv.org/sos-calamidades" TargetMode="External"/><Relationship Id="rId56" Type="http://schemas.openxmlformats.org/officeDocument/2006/relationships/hyperlink" Target="https://www.naviagem.com.br/2022/06/aviao-solidario-da-latam-transporta_28.html" TargetMode="External"/><Relationship Id="rId59" Type="http://schemas.openxmlformats.org/officeDocument/2006/relationships/hyperlink" Target="https://www.sodexobeneficios.com.br/qualidade-de-vida/noticias/sodexo-club/ja-conhece-o-programa-viver-bem-da-sodexo.htm" TargetMode="External"/><Relationship Id="rId58" Type="http://schemas.openxmlformats.org/officeDocument/2006/relationships/hyperlink" Target="https://veja.abril.com.br/coluna/radar-economico/latam-transporta-gratuitamente-50-mil-refeicoes-para-vitimas-das-chuvas" TargetMode="External"/><Relationship Id="rId107" Type="http://schemas.openxmlformats.org/officeDocument/2006/relationships/hyperlink" Target="https://inovasocial.com.br/negocio-social/b4waste/?utm_source=midia_site&amp;utm_medium=site&amp;utm_campaign=noticias_sobre_b4&amp;utm_id=siteb4waste" TargetMode="External"/><Relationship Id="rId349" Type="http://schemas.openxmlformats.org/officeDocument/2006/relationships/hyperlink" Target="https://institutoassai.org.br/docs/Relatorio-Anual-Instituto-Assai.pdf" TargetMode="External"/><Relationship Id="rId106" Type="http://schemas.openxmlformats.org/officeDocument/2006/relationships/hyperlink" Target="https://www.terra.com.br/byte/inovacao/startup-b4waste-levanta-r-2-milhoes-para-combater-desperdicio-de-alimentos-nos-mercados,baed674df8788fb78130e80caaa061dfcivijcy5.html?utm_source=midia_site&amp;utm_medium=site&amp;utm_campaign=noticias_sobre_b4&amp;utm_id=siteb4waste" TargetMode="External"/><Relationship Id="rId348" Type="http://schemas.openxmlformats.org/officeDocument/2006/relationships/hyperlink" Target="https://www.assai.com.br/revista/setembro-outubro-2022-edicao-53/destino-certo-contra-o-desperdicio-de-alimentos" TargetMode="External"/><Relationship Id="rId105" Type="http://schemas.openxmlformats.org/officeDocument/2006/relationships/hyperlink" Target="https://www.linkedin.com/company/b4waste/posts/?feedView=all" TargetMode="External"/><Relationship Id="rId347" Type="http://schemas.openxmlformats.org/officeDocument/2006/relationships/hyperlink" Target="https://www.instagram.com/p/CstfJnFNQ6O/" TargetMode="External"/><Relationship Id="rId104" Type="http://schemas.openxmlformats.org/officeDocument/2006/relationships/hyperlink" Target="https://b4waste.com.br/" TargetMode="External"/><Relationship Id="rId346" Type="http://schemas.openxmlformats.org/officeDocument/2006/relationships/hyperlink" Target="https://www.instagram.com/p/Cu9rHs-tAsj/" TargetMode="External"/><Relationship Id="rId109" Type="http://schemas.openxmlformats.org/officeDocument/2006/relationships/hyperlink" Target="https://frescolabs.com.br/" TargetMode="External"/><Relationship Id="rId108" Type="http://schemas.openxmlformats.org/officeDocument/2006/relationships/hyperlink" Target="https://observatorio.all4food.com.br/pda/fresco-labs/" TargetMode="External"/><Relationship Id="rId341" Type="http://schemas.openxmlformats.org/officeDocument/2006/relationships/hyperlink" Target="https://arapyau.org.br/programa-de-credito-de-impacto-socioambiental-para-pequeno-produtor-de-cacau-vence-edital-do-bndes-e-tera-aporte-de-r-4-milhoes/" TargetMode="External"/><Relationship Id="rId340" Type="http://schemas.openxmlformats.org/officeDocument/2006/relationships/hyperlink" Target="https://arapyau.org.br/wp-content/uploads/2021/05/Arapyau_RA2020.pdf" TargetMode="External"/><Relationship Id="rId103" Type="http://schemas.openxmlformats.org/officeDocument/2006/relationships/hyperlink" Target="https://observatorio.all4food.com.br/pda/b4waste/" TargetMode="External"/><Relationship Id="rId345" Type="http://schemas.openxmlformats.org/officeDocument/2006/relationships/hyperlink" Target="https://www.instagram.com/p/CvOJQXZNFCw/?img_index=1" TargetMode="External"/><Relationship Id="rId102" Type="http://schemas.openxmlformats.org/officeDocument/2006/relationships/hyperlink" Target="https://srainovadeira.com.br/food-finder/" TargetMode="External"/><Relationship Id="rId344" Type="http://schemas.openxmlformats.org/officeDocument/2006/relationships/hyperlink" Target="https://www.mktesportivo.com/2023/07/assai-doara-uma-tonelada-de-alimentos-a-cada-gol-do-brasil-na-copa-do-mundo-feminina/" TargetMode="External"/><Relationship Id="rId101" Type="http://schemas.openxmlformats.org/officeDocument/2006/relationships/hyperlink" Target="https://www.linkedin.com/company/food-finder/about/" TargetMode="External"/><Relationship Id="rId343" Type="http://schemas.openxmlformats.org/officeDocument/2006/relationships/hyperlink" Target="https://www.instagram.com/p/CwSUgNaITfZ/" TargetMode="External"/><Relationship Id="rId100" Type="http://schemas.openxmlformats.org/officeDocument/2006/relationships/hyperlink" Target="https://observatorio.all4food.com.br/pda/food-finder-start-up/" TargetMode="External"/><Relationship Id="rId342" Type="http://schemas.openxmlformats.org/officeDocument/2006/relationships/hyperlink" Target="https://arapyau.org.br/credito-inovador-eleva-renda-media-de-agricultor-familiar-de-cacau-em-quase-40-em-um-ano/" TargetMode="External"/><Relationship Id="rId338" Type="http://schemas.openxmlformats.org/officeDocument/2006/relationships/hyperlink" Target="https://saudeealegria.org.br/saude-comunitaria/campanha-de-apoio-ao-baixo-amazonas-contra-a-covid-19/" TargetMode="External"/><Relationship Id="rId337" Type="http://schemas.openxmlformats.org/officeDocument/2006/relationships/hyperlink" Target="https://www2.gerdau.com/sites/gln_gerdau/files/2022-11/Gerdau_Relatorio-de-Responsabilidade-Social-2021.pdf" TargetMode="External"/><Relationship Id="rId336" Type="http://schemas.openxmlformats.org/officeDocument/2006/relationships/hyperlink" Target="https://d335luupugsy2.cloudfront.net/cms/files/131216/1610371228relatrio_FunTETO_2020_VFINAL.pdf" TargetMode="External"/><Relationship Id="rId335" Type="http://schemas.openxmlformats.org/officeDocument/2006/relationships/hyperlink" Target="https://www.alcoa.com/brasil/pt/pdf/relatorio-IA-2020.pdf" TargetMode="External"/><Relationship Id="rId339" Type="http://schemas.openxmlformats.org/officeDocument/2006/relationships/hyperlink" Target="https://arapyau.org.br/wp-content/uploads/2021/05/Arapyau_RA2020.pdf" TargetMode="External"/><Relationship Id="rId330" Type="http://schemas.openxmlformats.org/officeDocument/2006/relationships/hyperlink" Target="https://www.fundacaonorbertoodebrecht.com/arquivos/relatorio-anual-2022.html" TargetMode="External"/><Relationship Id="rId334" Type="http://schemas.openxmlformats.org/officeDocument/2006/relationships/hyperlink" Target="https://www.prefeitura.sp.gov.br/cidade/secretarias/inovacao/noticias/?p=333863" TargetMode="External"/><Relationship Id="rId333" Type="http://schemas.openxmlformats.org/officeDocument/2006/relationships/hyperlink" Target="https://www.cbve.org.br/?p=1665" TargetMode="External"/><Relationship Id="rId332" Type="http://schemas.openxmlformats.org/officeDocument/2006/relationships/hyperlink" Target="https://camargocorreainfra.com/dia-do-bem-fazer-completa-10-anos/" TargetMode="External"/><Relationship Id="rId331" Type="http://schemas.openxmlformats.org/officeDocument/2006/relationships/hyperlink" Target="https://institutocamargocorrea.org.br/?page_id=159" TargetMode="External"/><Relationship Id="rId370" Type="http://schemas.openxmlformats.org/officeDocument/2006/relationships/hyperlink" Target="https://www.3tentos.com.br/assets/esg/relatorioesg2021.pdf" TargetMode="External"/><Relationship Id="rId129" Type="http://schemas.openxmlformats.org/officeDocument/2006/relationships/hyperlink" Target="https://www.restin.com.br/" TargetMode="External"/><Relationship Id="rId128" Type="http://schemas.openxmlformats.org/officeDocument/2006/relationships/hyperlink" Target="https://observatorio.all4food.com.br/pda/restin/" TargetMode="External"/><Relationship Id="rId127" Type="http://schemas.openxmlformats.org/officeDocument/2006/relationships/hyperlink" Target="https://www.instagram.com/foodflow_app/" TargetMode="External"/><Relationship Id="rId369" Type="http://schemas.openxmlformats.org/officeDocument/2006/relationships/hyperlink" Target="https://www.3tentos.com.br/" TargetMode="External"/><Relationship Id="rId126" Type="http://schemas.openxmlformats.org/officeDocument/2006/relationships/hyperlink" Target="https://df2.programacentelha.com.br/es1/empresa/food-flow" TargetMode="External"/><Relationship Id="rId368" Type="http://schemas.openxmlformats.org/officeDocument/2006/relationships/hyperlink" Target="https://www.3tentos.com.br/relatorio2020.pdf" TargetMode="External"/><Relationship Id="rId121" Type="http://schemas.openxmlformats.org/officeDocument/2006/relationships/hyperlink" Target="https://www.facebook.com/12maisapp" TargetMode="External"/><Relationship Id="rId363" Type="http://schemas.openxmlformats.org/officeDocument/2006/relationships/hyperlink" Target="https://institutogpa.org.br/wp-content/uploads/2021/08/Relatorio_Anual_InstitutoGPA_2020_pt.pdf" TargetMode="External"/><Relationship Id="rId120" Type="http://schemas.openxmlformats.org/officeDocument/2006/relationships/hyperlink" Target="https://observatorio.all4food.com.br/pda/12/" TargetMode="External"/><Relationship Id="rId362" Type="http://schemas.openxmlformats.org/officeDocument/2006/relationships/hyperlink" Target="https://institutogpa.org.br/wp-content/uploads/2021/08/Relatorio_Anual_InstitutoGPA_2020_pt.pdf" TargetMode="External"/><Relationship Id="rId361" Type="http://schemas.openxmlformats.org/officeDocument/2006/relationships/hyperlink" Target="https://institutogpa.org.br/wp-content/uploads/2021/08/Relatorio_Anual_InstitutoGPA_2020_pt.pdf" TargetMode="External"/><Relationship Id="rId360" Type="http://schemas.openxmlformats.org/officeDocument/2006/relationships/hyperlink" Target="https://institutogpa.org.br/wp-content/uploads/2021/08/Relatorio_Anual_InstitutoGPA_2020_pt.pdf" TargetMode="External"/><Relationship Id="rId125" Type="http://schemas.openxmlformats.org/officeDocument/2006/relationships/hyperlink" Target="https://g1.globo.com/df/distrito-federal/especial-publicitario/empreende-df/noticia/2022/10/11/biologo-cria-startup-que-combate-desperdicio-de-alimentos.ghtml" TargetMode="External"/><Relationship Id="rId367" Type="http://schemas.openxmlformats.org/officeDocument/2006/relationships/hyperlink" Target="https://www.3tentos.com.br/assets/esg/relatorioesg.pdf" TargetMode="External"/><Relationship Id="rId124" Type="http://schemas.openxmlformats.org/officeDocument/2006/relationships/hyperlink" Target="https://www.linkedin.com/company/foodflowbr/about/" TargetMode="External"/><Relationship Id="rId366" Type="http://schemas.openxmlformats.org/officeDocument/2006/relationships/hyperlink" Target="https://www.gpabr.com/wp-content/uploads/2023/06/Relatorio-Anual-e-de-Sustentabilidade-GPA-2022.pdf" TargetMode="External"/><Relationship Id="rId123" Type="http://schemas.openxmlformats.org/officeDocument/2006/relationships/hyperlink" Target="https://observatorio.all4food.com.br/pda/food-flow/" TargetMode="External"/><Relationship Id="rId365" Type="http://schemas.openxmlformats.org/officeDocument/2006/relationships/hyperlink" Target="https://www.gpabr.com/wp-content/uploads/2023/06/Relatorio-Anual-e-de-Sustentabilidade-GPA-2022.pdf" TargetMode="External"/><Relationship Id="rId122" Type="http://schemas.openxmlformats.org/officeDocument/2006/relationships/hyperlink" Target="https://www.linkedin.com/company/12-app/about/" TargetMode="External"/><Relationship Id="rId364" Type="http://schemas.openxmlformats.org/officeDocument/2006/relationships/hyperlink" Target="https://www.gpabr.com/wp-content/uploads/2023/06/Relatorio-Anual-e-de-Sustentabilidade-GPA-2022.pdf" TargetMode="External"/><Relationship Id="rId95" Type="http://schemas.openxmlformats.org/officeDocument/2006/relationships/hyperlink" Target="https://www.linkedin.com/company/saveadd/about/" TargetMode="External"/><Relationship Id="rId94" Type="http://schemas.openxmlformats.org/officeDocument/2006/relationships/hyperlink" Target="https://www.saveadd.com.br/home" TargetMode="External"/><Relationship Id="rId97" Type="http://schemas.openxmlformats.org/officeDocument/2006/relationships/hyperlink" Target="https://favelaorganica.com.br/pt/o-projeto/" TargetMode="External"/><Relationship Id="rId96" Type="http://schemas.openxmlformats.org/officeDocument/2006/relationships/hyperlink" Target="https://observatorio.all4food.com.br/pda/favela-organica/" TargetMode="External"/><Relationship Id="rId99" Type="http://schemas.openxmlformats.org/officeDocument/2006/relationships/hyperlink" Target="https://www.facebook.com/favelaorganica" TargetMode="External"/><Relationship Id="rId98" Type="http://schemas.openxmlformats.org/officeDocument/2006/relationships/hyperlink" Target="https://www.linkedin.com/company/favelaorganica/posts/?feedView=all" TargetMode="External"/><Relationship Id="rId91" Type="http://schemas.openxmlformats.org/officeDocument/2006/relationships/hyperlink" Target="https://exame.com/esg/recolocar-e-mais-sustentavel-que-descartar-gooxxy-evita-desperdicio-toneladas-produtos/" TargetMode="External"/><Relationship Id="rId90" Type="http://schemas.openxmlformats.org/officeDocument/2006/relationships/hyperlink" Target="https://www.linkedin.com/company/gooxxy/about/" TargetMode="External"/><Relationship Id="rId93" Type="http://schemas.openxmlformats.org/officeDocument/2006/relationships/hyperlink" Target="https://observatorio.all4food.com.br/pda/saveadd-start-up/" TargetMode="External"/><Relationship Id="rId92" Type="http://schemas.openxmlformats.org/officeDocument/2006/relationships/hyperlink" Target="https://gooxxy.com/" TargetMode="External"/><Relationship Id="rId118" Type="http://schemas.openxmlformats.org/officeDocument/2006/relationships/hyperlink" Target="https://minus.eco.br/" TargetMode="External"/><Relationship Id="rId117" Type="http://schemas.openxmlformats.org/officeDocument/2006/relationships/hyperlink" Target="https://www.linkedin.com/company/minustecnologia/about/" TargetMode="External"/><Relationship Id="rId359" Type="http://schemas.openxmlformats.org/officeDocument/2006/relationships/hyperlink" Target="https://www.instagram.com/hortaladecasa_/" TargetMode="External"/><Relationship Id="rId116" Type="http://schemas.openxmlformats.org/officeDocument/2006/relationships/hyperlink" Target="https://observatorio.all4food.com.br/pda/minus-start-up/" TargetMode="External"/><Relationship Id="rId358" Type="http://schemas.openxmlformats.org/officeDocument/2006/relationships/hyperlink" Target="https://institutoassai.org.br/docs/Relatorio-Anual-Instituto-Assai.pdf" TargetMode="External"/><Relationship Id="rId115" Type="http://schemas.openxmlformats.org/officeDocument/2006/relationships/hyperlink" Target="https://www.mudameumundo.com.br/parceiros/" TargetMode="External"/><Relationship Id="rId357" Type="http://schemas.openxmlformats.org/officeDocument/2006/relationships/hyperlink" Target="https://beta.acaomoradia.org.br/projetos/" TargetMode="External"/><Relationship Id="rId119" Type="http://schemas.openxmlformats.org/officeDocument/2006/relationships/hyperlink" Target="https://redeglobo.globo.com/rpc/realities/rocket-startup/varejo/noticia/rocket-varejo-conheca-mais-sobre-a-startup-minus.ghtml" TargetMode="External"/><Relationship Id="rId110" Type="http://schemas.openxmlformats.org/officeDocument/2006/relationships/hyperlink" Target="https://www.linkedin.com/company/frescolabs/about/" TargetMode="External"/><Relationship Id="rId352" Type="http://schemas.openxmlformats.org/officeDocument/2006/relationships/hyperlink" Target="https://cufa.org.br/cufa-e-frente-nacional-antirracista-lancam-campanha-para-ajudar-os-yanomami-e-regiao/" TargetMode="External"/><Relationship Id="rId351" Type="http://schemas.openxmlformats.org/officeDocument/2006/relationships/hyperlink" Target="https://www.instagram.com/p/CpQtLHjvzKn/" TargetMode="External"/><Relationship Id="rId350" Type="http://schemas.openxmlformats.org/officeDocument/2006/relationships/hyperlink" Target="https://www.instagram.com/p/Cr1edAANjqk/" TargetMode="External"/><Relationship Id="rId114" Type="http://schemas.openxmlformats.org/officeDocument/2006/relationships/hyperlink" Target="https://startups.com.br/noticias/agtech-muda-meu-mundo-levanta-r-4-mi-e-planeja-expansao/" TargetMode="External"/><Relationship Id="rId356" Type="http://schemas.openxmlformats.org/officeDocument/2006/relationships/hyperlink" Target="https://institutoassai.org.br/docs/Relatorio-Anual-Instituto-Assai.pdf" TargetMode="External"/><Relationship Id="rId113" Type="http://schemas.openxmlformats.org/officeDocument/2006/relationships/hyperlink" Target="https://www.portaldoagronegocio.com.br/gestao-rural/analise-de-mercado/noticias/muda-meu-mundo-startup-que-conecta-pequenos-produtores-ao-varejo-inicia-projeto-de-expansao-nacional-e-chega-a-sao-paulo" TargetMode="External"/><Relationship Id="rId355" Type="http://schemas.openxmlformats.org/officeDocument/2006/relationships/hyperlink" Target="https://institutoassai.org.br/docs/Relatorio-Anual-Instituto-Assai.pdf" TargetMode="External"/><Relationship Id="rId112" Type="http://schemas.openxmlformats.org/officeDocument/2006/relationships/hyperlink" Target="https://www.linkedin.com/company/muda-meu-mundo/about/" TargetMode="External"/><Relationship Id="rId354" Type="http://schemas.openxmlformats.org/officeDocument/2006/relationships/hyperlink" Target="https://institutogpa.org.br/projeto/campanha-arrecadacao/" TargetMode="External"/><Relationship Id="rId111" Type="http://schemas.openxmlformats.org/officeDocument/2006/relationships/hyperlink" Target="https://www1.folha.uol.com.br/mercado/2021/10/startup-cria-algoritmo-para-prever-demanda-de-supermercados.shtml" TargetMode="External"/><Relationship Id="rId353" Type="http://schemas.openxmlformats.org/officeDocument/2006/relationships/hyperlink" Target="https://www.instagram.com/p/Cn5PSGzJpQ8/?img_index=1" TargetMode="External"/><Relationship Id="rId305" Type="http://schemas.openxmlformats.org/officeDocument/2006/relationships/hyperlink" Target="https://www.fundacaovale.org/atuacao/projetos/" TargetMode="External"/><Relationship Id="rId547" Type="http://schemas.openxmlformats.org/officeDocument/2006/relationships/hyperlink" Target="https://api.mziq.com/mzfilemanager/v2/d/32539bbc-7be4-42e1-a485-98a052dc3a81/3291b33d-ab23-26f0-8679-5e9c2e7cba8f?origin=1" TargetMode="External"/><Relationship Id="rId304" Type="http://schemas.openxmlformats.org/officeDocument/2006/relationships/hyperlink" Target="https://saf.ma.gov.br/noticias/saf-participa-do-lancamento-do-nucleo-de-desenvolvimento-rural-da-estacao-conhecimento-de-arari" TargetMode="External"/><Relationship Id="rId546" Type="http://schemas.openxmlformats.org/officeDocument/2006/relationships/hyperlink" Target="https://api.mziq.com/mzfilemanager/v2/d/32539bbc-7be4-42e1-a485-98a052dc3a81/a4206840-d103-b7ec-1bff-86265a5cd847?origin=1" TargetMode="External"/><Relationship Id="rId303" Type="http://schemas.openxmlformats.org/officeDocument/2006/relationships/hyperlink" Target="https://www.fundacaovale.org/wp-content/uploads/2023/05/Relatorio-de-Atividades-2022.pdf" TargetMode="External"/><Relationship Id="rId545" Type="http://schemas.openxmlformats.org/officeDocument/2006/relationships/hyperlink" Target="https://www.grupocarrefourbrasil.com.br/sustentabilidade/alimentacao/mobilizacao-social/" TargetMode="External"/><Relationship Id="rId302" Type="http://schemas.openxmlformats.org/officeDocument/2006/relationships/hyperlink" Target="https://www.fundacaovale.org/wp-content/uploads/2022/05/Fundac%CC%A7a%CC%83o-Vale-RA2020.pdf" TargetMode="External"/><Relationship Id="rId544" Type="http://schemas.openxmlformats.org/officeDocument/2006/relationships/hyperlink" Target="https://api.mziq.com/mzfilemanager/v2/d/32539bbc-7be4-42e1-a485-98a052dc3a81/a4206840-d103-b7ec-1bff-86265a5cd847?origin=1" TargetMode="External"/><Relationship Id="rId309" Type="http://schemas.openxmlformats.org/officeDocument/2006/relationships/hyperlink" Target="https://www.moc.org.br/publicacao/geral/3587/moc-realiza-encontro-virtual-para-explicar-acoes-da-campanha-a-tempo-de-cooperar-" TargetMode="External"/><Relationship Id="rId308" Type="http://schemas.openxmlformats.org/officeDocument/2006/relationships/hyperlink" Target="https://www.moc.org.br/publicacao/geral/3605/moc-retoma-suas-acoes-da-campanha-a-tempo-de-cooperar" TargetMode="External"/><Relationship Id="rId307" Type="http://schemas.openxmlformats.org/officeDocument/2006/relationships/hyperlink" Target="https://moc.org.br/upload/relatorio-anual-do-moc-2021_1682366572_24042023050252.pdf" TargetMode="External"/><Relationship Id="rId549" Type="http://schemas.openxmlformats.org/officeDocument/2006/relationships/hyperlink" Target="https://regional24horas.com.br/noticia/projeto-super-chef-chega-em-olimpia-e-regiao-com-pecas-teatrais-gratuitas/4677" TargetMode="External"/><Relationship Id="rId306" Type="http://schemas.openxmlformats.org/officeDocument/2006/relationships/hyperlink" Target="https://www.moc.org.br/programa/programa-agua-producao-de-alimentos-e-agroecologia" TargetMode="External"/><Relationship Id="rId548" Type="http://schemas.openxmlformats.org/officeDocument/2006/relationships/hyperlink" Target="https://www.mr2cultural.com/superchef/projeto-carrefour/" TargetMode="External"/><Relationship Id="rId301" Type="http://schemas.openxmlformats.org/officeDocument/2006/relationships/hyperlink" Target="https://www.amapa.gov.br/ler_noticia.php?slug=2101/parceria-publico-privada-fortalecera-setor-economico-do-vale-do-jari" TargetMode="External"/><Relationship Id="rId543" Type="http://schemas.openxmlformats.org/officeDocument/2006/relationships/hyperlink" Target="https://api.mziq.com/mzfilemanager/v2/d/32539bbc-7be4-42e1-a485-98a052dc3a81/a4206840-d103-b7ec-1bff-86265a5cd847?origin=1" TargetMode="External"/><Relationship Id="rId300" Type="http://schemas.openxmlformats.org/officeDocument/2006/relationships/hyperlink" Target="https://industriaverde.com.br/noticias/vale-do-jari-abriga-exemplos-de-producao-sustentavel-no-amapa/" TargetMode="External"/><Relationship Id="rId542" Type="http://schemas.openxmlformats.org/officeDocument/2006/relationships/hyperlink" Target="https://api.mziq.com/mzfilemanager/v2/d/32539bbc-7be4-42e1-a485-98a052dc3a81/50b53529-b976-18bc-43d8-7e34e8d8b4d1?origin=1" TargetMode="External"/><Relationship Id="rId541" Type="http://schemas.openxmlformats.org/officeDocument/2006/relationships/hyperlink" Target="https://api.mziq.com/mzfilemanager/v2/d/32539bbc-7be4-42e1-a485-98a052dc3a81/3291b33d-ab23-26f0-8679-5e9c2e7cba8f?origin=1" TargetMode="External"/><Relationship Id="rId540" Type="http://schemas.openxmlformats.org/officeDocument/2006/relationships/hyperlink" Target="https://api.mziq.com/mzfilemanager/v2/d/32539bbc-7be4-42e1-a485-98a052dc3a81/a4206840-d103-b7ec-1bff-86265a5cd847?origin=1" TargetMode="External"/><Relationship Id="rId536" Type="http://schemas.openxmlformats.org/officeDocument/2006/relationships/hyperlink" Target="https://api.mziq.com/mzfilemanager/v2/d/32539bbc-7be4-42e1-a485-98a052dc3a81/a4206840-d103-b7ec-1bff-86265a5cd847?origin=1" TargetMode="External"/><Relationship Id="rId535" Type="http://schemas.openxmlformats.org/officeDocument/2006/relationships/hyperlink" Target="https://api.mziq.com/mzfilemanager/v2/d/32539bbc-7be4-42e1-a485-98a052dc3a81/a4206840-d103-b7ec-1bff-86265a5cd847?origin=1" TargetMode="External"/><Relationship Id="rId534" Type="http://schemas.openxmlformats.org/officeDocument/2006/relationships/hyperlink" Target="https://api.mziq.com/mzfilemanager/v2/d/32539bbc-7be4-42e1-a485-98a052dc3a81/a4206840-d103-b7ec-1bff-86265a5cd847?origin=1" TargetMode="External"/><Relationship Id="rId533" Type="http://schemas.openxmlformats.org/officeDocument/2006/relationships/hyperlink" Target="https://api.mziq.com/mzfilemanager/v2/d/32539bbc-7be4-42e1-a485-98a052dc3a81/a4206840-d103-b7ec-1bff-86265a5cd847?origin=1" TargetMode="External"/><Relationship Id="rId539" Type="http://schemas.openxmlformats.org/officeDocument/2006/relationships/hyperlink" Target="https://www.carrefour.com.br/grupo-carrefour/sustentabilidade/social/campanhas-solidarias" TargetMode="External"/><Relationship Id="rId538" Type="http://schemas.openxmlformats.org/officeDocument/2006/relationships/hyperlink" Target="https://api.mziq.com/mzfilemanager/v2/d/32539bbc-7be4-42e1-a485-98a052dc3a81/a4206840-d103-b7ec-1bff-86265a5cd847?origin=1" TargetMode="External"/><Relationship Id="rId537" Type="http://schemas.openxmlformats.org/officeDocument/2006/relationships/hyperlink" Target="https://api.mziq.com/mzfilemanager/v2/d/32539bbc-7be4-42e1-a485-98a052dc3a81/a4206840-d103-b7ec-1bff-86265a5cd847?origin=1" TargetMode="External"/><Relationship Id="rId532" Type="http://schemas.openxmlformats.org/officeDocument/2006/relationships/hyperlink" Target="https://api.mziq.com/mzfilemanager/v2/d/32539bbc-7be4-42e1-a485-98a052dc3a81/a4206840-d103-b7ec-1bff-86265a5cd847?origin=1" TargetMode="External"/><Relationship Id="rId531" Type="http://schemas.openxmlformats.org/officeDocument/2006/relationships/hyperlink" Target="https://www.redebancodealimentos.org.br/Pagina/266/Quem-ja-Participa" TargetMode="External"/><Relationship Id="rId530" Type="http://schemas.openxmlformats.org/officeDocument/2006/relationships/hyperlink" Target="https://www.redebancodealimentos.org.br/Noticia/1045/Box-Print-Sodexo-e-Banco-de-Alimentos-RS-fecham-parceria-para-combater-desperdA%C2%ADcio-de-alimentos-e-gerar-impacto-social-no-Rio-Grande-do-Sul" TargetMode="External"/><Relationship Id="rId327" Type="http://schemas.openxmlformats.org/officeDocument/2006/relationships/hyperlink" Target="https://gazetadasemana.com.br/noticia/125808/movimento--restaurantes-do-bem--lanca-campanha-em-prol-de-maes-de-filhos-com-deficiencia" TargetMode="External"/><Relationship Id="rId326" Type="http://schemas.openxmlformats.org/officeDocument/2006/relationships/hyperlink" Target="https://www.sociomotiva.com/pt-BR/pages/f20f3426-0dd2-43d7-8aa5-4021a9e82785" TargetMode="External"/><Relationship Id="rId325" Type="http://schemas.openxmlformats.org/officeDocument/2006/relationships/hyperlink" Target="https://www.artemisia.org.br/labalimentacao/" TargetMode="External"/><Relationship Id="rId324" Type="http://schemas.openxmlformats.org/officeDocument/2006/relationships/hyperlink" Target="https://www.linkedin.com/company/if-intelligent-foods/about/" TargetMode="External"/><Relationship Id="rId329" Type="http://schemas.openxmlformats.org/officeDocument/2006/relationships/hyperlink" Target="https://www.fundacaonorbertoodebrecht.com/arquivos/como-implementar-o-pdcis-versao-de-visibilidade.html" TargetMode="External"/><Relationship Id="rId328" Type="http://schemas.openxmlformats.org/officeDocument/2006/relationships/hyperlink" Target="https://www.fundacaonorbertoodebrecht.com/programa-social/index.html" TargetMode="External"/><Relationship Id="rId323" Type="http://schemas.openxmlformats.org/officeDocument/2006/relationships/hyperlink" Target="https://www.projetodraft.com/a-intelligent-foods-promete-conservar-alimentos-por-ate-quatro-anos-fora-da-geladeira/" TargetMode="External"/><Relationship Id="rId322" Type="http://schemas.openxmlformats.org/officeDocument/2006/relationships/hyperlink" Target="https://intelligentfoods.com.br/" TargetMode="External"/><Relationship Id="rId321" Type="http://schemas.openxmlformats.org/officeDocument/2006/relationships/hyperlink" Target="https://observatorio.all4food.com.br/pda/startup-intelligent-foods/" TargetMode="External"/><Relationship Id="rId320" Type="http://schemas.openxmlformats.org/officeDocument/2006/relationships/hyperlink" Target="https://www.linkedin.com/in/coopaita-agroindustrial-764422190/?originalSubdomain=br" TargetMode="External"/><Relationship Id="rId316" Type="http://schemas.openxmlformats.org/officeDocument/2006/relationships/hyperlink" Target="https://www.marica.rj.gov.br/noticia/prefeitura-da-inicio-a-operacao-da-fabrica-de-desidratados-edio-muniz/" TargetMode="External"/><Relationship Id="rId315" Type="http://schemas.openxmlformats.org/officeDocument/2006/relationships/hyperlink" Target="https://observatorio.all4food.com.br/pda/solares-cidadania/" TargetMode="External"/><Relationship Id="rId557" Type="http://schemas.openxmlformats.org/officeDocument/2006/relationships/vmlDrawing" Target="../drawings/vmlDrawing10.vml"/><Relationship Id="rId314" Type="http://schemas.openxmlformats.org/officeDocument/2006/relationships/hyperlink" Target="https://institutophi.org.br/instituto-dara/" TargetMode="External"/><Relationship Id="rId556" Type="http://schemas.openxmlformats.org/officeDocument/2006/relationships/drawing" Target="../drawings/drawing46.xml"/><Relationship Id="rId313" Type="http://schemas.openxmlformats.org/officeDocument/2006/relationships/hyperlink" Target="http://dara.org.br/conheca/plano-de-acao-familiar/" TargetMode="External"/><Relationship Id="rId555" Type="http://schemas.openxmlformats.org/officeDocument/2006/relationships/hyperlink" Target="https://api.mziq.com/mzfilemanager/v2/d/32539bbc-7be4-42e1-a485-98a052dc3a81/50b53529-b976-18bc-43d8-7e34e8d8b4d1?origin=1" TargetMode="External"/><Relationship Id="rId319" Type="http://schemas.openxmlformats.org/officeDocument/2006/relationships/hyperlink" Target="https://www.instagram.com/goldenfruit_coopaita/" TargetMode="External"/><Relationship Id="rId318" Type="http://schemas.openxmlformats.org/officeDocument/2006/relationships/hyperlink" Target="https://observatorio.all4food.com.br/pda/coopaita/" TargetMode="External"/><Relationship Id="rId317" Type="http://schemas.openxmlformats.org/officeDocument/2006/relationships/hyperlink" Target="https://www.facebook.com/PDTMarica/videos/711887349522839/" TargetMode="External"/><Relationship Id="rId550" Type="http://schemas.openxmlformats.org/officeDocument/2006/relationships/hyperlink" Target="https://api.mziq.com/mzfilemanager/v2/d/32539bbc-7be4-42e1-a485-98a052dc3a81/3291b33d-ab23-26f0-8679-5e9c2e7cba8f?origin=1" TargetMode="External"/><Relationship Id="rId312" Type="http://schemas.openxmlformats.org/officeDocument/2006/relationships/hyperlink" Target="https://dara.org.br/2022/08/25/instituto-dara-no-combate-a-fome/" TargetMode="External"/><Relationship Id="rId554" Type="http://schemas.openxmlformats.org/officeDocument/2006/relationships/hyperlink" Target="https://api.mziq.com/mzfilemanager/v2/d/32539bbc-7be4-42e1-a485-98a052dc3a81/50b53529-b976-18bc-43d8-7e34e8d8b4d1?origin=1" TargetMode="External"/><Relationship Id="rId311" Type="http://schemas.openxmlformats.org/officeDocument/2006/relationships/hyperlink" Target="https://www.moc.org.br/publicacao/geral/3548/moc-com-o-apoio-da-knh-realizou-a-entrega-de-cestas-basicas-alcool-em-gel-sabonete-liquido-e-mascaras-para-criancas-e-adolescentes" TargetMode="External"/><Relationship Id="rId553" Type="http://schemas.openxmlformats.org/officeDocument/2006/relationships/hyperlink" Target="https://lunetas.com.br/cozinhas-e-infancias/" TargetMode="External"/><Relationship Id="rId310" Type="http://schemas.openxmlformats.org/officeDocument/2006/relationships/hyperlink" Target="https://www.moc.org.br/publicacao/geral/3592/projeto-cestas-solidarias-e-socioeducativas-chega-ate-os-municipios-de-araci-e-riachao-do-jacuipe" TargetMode="External"/><Relationship Id="rId552" Type="http://schemas.openxmlformats.org/officeDocument/2006/relationships/hyperlink" Target="https://fsp.usp.br/eccco/index.php/2023/03/26/curso-de-formacao-cozinhas-infancias/" TargetMode="External"/><Relationship Id="rId551" Type="http://schemas.openxmlformats.org/officeDocument/2006/relationships/hyperlink" Target="https://api.mziq.com/mzfilemanager/v2/d/32539bbc-7be4-42e1-a485-98a052dc3a81/50b53529-b976-18bc-43d8-7e34e8d8b4d1?origin=1" TargetMode="External"/><Relationship Id="rId297" Type="http://schemas.openxmlformats.org/officeDocument/2006/relationships/hyperlink" Target="https://fundacaoandreeluciamaggi.org.br/wp-content/uploads/2022/05/Relatorio-de-Atividades-2020.pdf" TargetMode="External"/><Relationship Id="rId296" Type="http://schemas.openxmlformats.org/officeDocument/2006/relationships/hyperlink" Target="https://www.redeamerica.org/Noticias/Detalle/ArtMID/1370/ArticleID/2198/Funda231227o-Andr233-e-Lucia-Maggi-doa-R-2-milh245es-para-a231245es-contra-a-Covid-19" TargetMode="External"/><Relationship Id="rId295" Type="http://schemas.openxmlformats.org/officeDocument/2006/relationships/hyperlink" Target="https://fundacaoandreeluciamaggi.org.br/campanha-um-por-todos-e-todos-contra-a-covid-19-completa-2-meses-com-mais-de-42-mil-cestas-distribuidas/" TargetMode="External"/><Relationship Id="rId294" Type="http://schemas.openxmlformats.org/officeDocument/2006/relationships/hyperlink" Target="http://br.stop-hunger.org/files/live/sites/stophunger-br/files/Relat%c3%b3rio%20Stop%20hunger%202022_FINAL%20(2).pdf" TargetMode="External"/><Relationship Id="rId299" Type="http://schemas.openxmlformats.org/officeDocument/2006/relationships/hyperlink" Target="https://primeirainfancia.org.br/noticias/fundacao-jari-uma-historia-que-se-renova-a-cada-dia-no-vale-do-rio-das-castanhas/" TargetMode="External"/><Relationship Id="rId298" Type="http://schemas.openxmlformats.org/officeDocument/2006/relationships/hyperlink" Target="https://fundacaoandreeluciamaggi.org.br/wp-content/uploads/2023/04/PLANO-DE-ACAO-FALM-2023.pdf" TargetMode="External"/><Relationship Id="rId271" Type="http://schemas.openxmlformats.org/officeDocument/2006/relationships/hyperlink" Target="https://www.facebook.com/apaetatuisp/posts/1742665236111012/" TargetMode="External"/><Relationship Id="rId270" Type="http://schemas.openxmlformats.org/officeDocument/2006/relationships/hyperlink" Target="https://editaisibrf.prosas.com.br/nossapartepelotodo2021.html" TargetMode="External"/><Relationship Id="rId269" Type="http://schemas.openxmlformats.org/officeDocument/2006/relationships/hyperlink" Target="https://exame.com/exame-in/raiar-faz-parcerias-para-transformar-pastos-degradados/" TargetMode="External"/><Relationship Id="rId264" Type="http://schemas.openxmlformats.org/officeDocument/2006/relationships/hyperlink" Target="https://pratocheio.org.br/wp-content/uploads/2022/04/Relatorio-APC-2021.pdf" TargetMode="External"/><Relationship Id="rId263" Type="http://schemas.openxmlformats.org/officeDocument/2006/relationships/hyperlink" Target="https://pratocheio.org.br/wp-content/uploads/2021/08/Relatorio-de-Atividades-2020-1.pdf" TargetMode="External"/><Relationship Id="rId262" Type="http://schemas.openxmlformats.org/officeDocument/2006/relationships/hyperlink" Target="https://pratocheio.org.br/o-que-fazemos/" TargetMode="External"/><Relationship Id="rId261" Type="http://schemas.openxmlformats.org/officeDocument/2006/relationships/hyperlink" Target="https://fundacaocargill.org.br/quem-somos/projetos/" TargetMode="External"/><Relationship Id="rId268" Type="http://schemas.openxmlformats.org/officeDocument/2006/relationships/hyperlink" Target="https://www.rabobank.nl/en/about-us/rabofoundation" TargetMode="External"/><Relationship Id="rId267" Type="http://schemas.openxmlformats.org/officeDocument/2006/relationships/hyperlink" Target="https://raiarorganicos.com.br/sobre-nos" TargetMode="External"/><Relationship Id="rId266" Type="http://schemas.openxmlformats.org/officeDocument/2006/relationships/hyperlink" Target="https://forbes.com.br/forbesagro/2023/03/rabo-foundation-e-raiar-vao-plantar-graos-organicos-veja-destaques-do-agroround/" TargetMode="External"/><Relationship Id="rId265" Type="http://schemas.openxmlformats.org/officeDocument/2006/relationships/hyperlink" Target="https://pratocheio.org.br/wp-content/uploads/2023/01/Relatorio-APC-2022.pdf" TargetMode="External"/><Relationship Id="rId260" Type="http://schemas.openxmlformats.org/officeDocument/2006/relationships/hyperlink" Target="http://paraquemdoar.com/" TargetMode="External"/><Relationship Id="rId259" Type="http://schemas.openxmlformats.org/officeDocument/2006/relationships/hyperlink" Target="https://drive.google.com/file/d/1cSwvxo0gIKhl_B0iBv0g9L2xkIKqxVR2/view" TargetMode="External"/><Relationship Id="rId258" Type="http://schemas.openxmlformats.org/officeDocument/2006/relationships/hyperlink" Target="https://fundacaocargill.org.br/quem-somos/projetos/" TargetMode="External"/><Relationship Id="rId253" Type="http://schemas.openxmlformats.org/officeDocument/2006/relationships/hyperlink" Target="https://wylinka.org.br/cases/wylinka-forma-160-pesquisadores-empreendedores-em-10-estados-brasileiros/" TargetMode="External"/><Relationship Id="rId495" Type="http://schemas.openxmlformats.org/officeDocument/2006/relationships/hyperlink" Target="https://www.natalsemfome.org.br/" TargetMode="External"/><Relationship Id="rId252" Type="http://schemas.openxmlformats.org/officeDocument/2006/relationships/hyperlink" Target="https://backup.wylinka.org.br/startuptech/" TargetMode="External"/><Relationship Id="rId494" Type="http://schemas.openxmlformats.org/officeDocument/2006/relationships/hyperlink" Target="https://api.mziq.com/mzfilemanager/v2/d/65f65acb-ad9a-44b1-a3d5-620b6199a637/4d791652-1419-b565-d605-0dfdf457361e?origin=2" TargetMode="External"/><Relationship Id="rId251" Type="http://schemas.openxmlformats.org/officeDocument/2006/relationships/hyperlink" Target="https://fundacaocargill.org.br/quem-somos/projetos/" TargetMode="External"/><Relationship Id="rId493" Type="http://schemas.openxmlformats.org/officeDocument/2006/relationships/hyperlink" Target="https://www.brasilsemfome.org.br/blog/acao-da-cidadania-lanca-campanha-brasil-sem-fome-em-todo-o-pais" TargetMode="External"/><Relationship Id="rId250" Type="http://schemas.openxmlformats.org/officeDocument/2006/relationships/hyperlink" Target="https://nos.insightnet.com.br/braco-social-da-multinacional-americana-apoia-projetos-que-promovem-a-alimentacao-segura-sustentavel-e-acessivel/" TargetMode="External"/><Relationship Id="rId492" Type="http://schemas.openxmlformats.org/officeDocument/2006/relationships/hyperlink" Target="https://arymax.org.br/iniciativa/brasil-sem-fome/" TargetMode="External"/><Relationship Id="rId257" Type="http://schemas.openxmlformats.org/officeDocument/2006/relationships/hyperlink" Target="https://www.embrapa.br/busca-de-projetos/-/projeto/220075/guabiroba-manejo-agroflorestal-estruturacao-de-cadeia-produtiva-com-geracao-de-renda-para-a-agricultura-familiar-e-desenvolvimento-de-novos-ingredientes-alimenticios" TargetMode="External"/><Relationship Id="rId499" Type="http://schemas.openxmlformats.org/officeDocument/2006/relationships/hyperlink" Target="https://api.mziq.com/mzfilemanager/v2/d/65f65acb-ad9a-44b1-a3d5-620b6199a637/4d791652-1419-b565-d605-0dfdf457361e?origin=2" TargetMode="External"/><Relationship Id="rId256" Type="http://schemas.openxmlformats.org/officeDocument/2006/relationships/hyperlink" Target="https://fundacaocargill.org.br/quem-somos/projetos/" TargetMode="External"/><Relationship Id="rId498" Type="http://schemas.openxmlformats.org/officeDocument/2006/relationships/hyperlink" Target="https://api.mziq.com/mzfilemanager/v2/d/65f65acb-ad9a-44b1-a3d5-620b6199a637/4d791652-1419-b565-d605-0dfdf457361e?origin=2" TargetMode="External"/><Relationship Id="rId255" Type="http://schemas.openxmlformats.org/officeDocument/2006/relationships/hyperlink" Target="https://www.ovg.org.br/site/?page_id=5677" TargetMode="External"/><Relationship Id="rId497" Type="http://schemas.openxmlformats.org/officeDocument/2006/relationships/hyperlink" Target="https://www2.sesc.com.br/portal/site/mesabrasilsesc/Entenda/" TargetMode="External"/><Relationship Id="rId254" Type="http://schemas.openxmlformats.org/officeDocument/2006/relationships/hyperlink" Target="https://fundacaocargill.org.br/quem-somos/projetos/" TargetMode="External"/><Relationship Id="rId496" Type="http://schemas.openxmlformats.org/officeDocument/2006/relationships/hyperlink" Target="https://api.mziq.com/mzfilemanager/v2/d/65f65acb-ad9a-44b1-a3d5-620b6199a637/4d791652-1419-b565-d605-0dfdf457361e?origin=2" TargetMode="External"/><Relationship Id="rId293" Type="http://schemas.openxmlformats.org/officeDocument/2006/relationships/hyperlink" Target="https://maosdemariabrasil.com.br/" TargetMode="External"/><Relationship Id="rId292" Type="http://schemas.openxmlformats.org/officeDocument/2006/relationships/hyperlink" Target="http://br.stop-hunger.org/home/nossas-acoes/empoderamento-feminino/educacao-e-empreendedorismo.html" TargetMode="External"/><Relationship Id="rId291" Type="http://schemas.openxmlformats.org/officeDocument/2006/relationships/hyperlink" Target="https://www.segs.com.br/educacao/315311-projeto-profissionalizante-cozinha-escola-promove-a-geracao-de-renda-e-o-empreendedorismo-feminino-em-comunidade-do-extremo-sul-de-sp" TargetMode="External"/><Relationship Id="rId290" Type="http://schemas.openxmlformats.org/officeDocument/2006/relationships/hyperlink" Target="https://br.sodexo.com/midia/sodexo-na-imprensa/projeto-cozinha-escola-forma-35.html" TargetMode="External"/><Relationship Id="rId286" Type="http://schemas.openxmlformats.org/officeDocument/2006/relationships/hyperlink" Target="http://br.stop-hunger.org/files/live/sites/stophunger-br/files/Relat%c3%b3rio%20Stop%20hunger%202022_FINAL%20(2).pdf" TargetMode="External"/><Relationship Id="rId285" Type="http://schemas.openxmlformats.org/officeDocument/2006/relationships/hyperlink" Target="http://br.stop-hunger.org/files/live/sites/stophunger-br/files/Relat%c3%b3rio%20Stop%20hunger%202022_FINAL%20(2).pdf" TargetMode="External"/><Relationship Id="rId284" Type="http://schemas.openxmlformats.org/officeDocument/2006/relationships/hyperlink" Target="http://br.stop-hunger.org/files/live/sites/stophunger-br/files/Relat%c3%b3rio%20Stop%20hunger%202022_FINAL%20(2).pdf" TargetMode="External"/><Relationship Id="rId283" Type="http://schemas.openxmlformats.org/officeDocument/2006/relationships/hyperlink" Target="http://br.stop-hunger.org/files/live/sites/stophunger-br/files/Relat%c3%b3rio%20Stop%20hunger%202022_FINAL%20(2).pdf" TargetMode="External"/><Relationship Id="rId289" Type="http://schemas.openxmlformats.org/officeDocument/2006/relationships/hyperlink" Target="http://br.stop-hunger.org/files/live/sites/stophunger-br/files/Relat%c3%b3rio%20Stop%20hunger%202022_FINAL%20(2).pdf" TargetMode="External"/><Relationship Id="rId288" Type="http://schemas.openxmlformats.org/officeDocument/2006/relationships/hyperlink" Target="http://br.stop-hunger.org/files/live/sites/stophunger-br/files/Oficial_RA_STOP_HUNGER_2020-2021_interativo-v18_3.pdf" TargetMode="External"/><Relationship Id="rId287" Type="http://schemas.openxmlformats.org/officeDocument/2006/relationships/hyperlink" Target="https://institucional.electrolux.com.br/pessoas-post/projeto-gastronomia-sustentavel-better-future-program" TargetMode="External"/><Relationship Id="rId282" Type="http://schemas.openxmlformats.org/officeDocument/2006/relationships/hyperlink" Target="http://br.stop-hunger.org/files/live/sites/stophunger-br/files/Oficial_RA_STOP_HUNGER_2020-2021_interativo-v18_3.pdf" TargetMode="External"/><Relationship Id="rId281" Type="http://schemas.openxmlformats.org/officeDocument/2006/relationships/hyperlink" Target="https://www.segs.com.br/demais/216948-instituto-stop-hunger-brasil-anuncia-parceria-com-instituto-recanto-basketball-em-2020" TargetMode="External"/><Relationship Id="rId280" Type="http://schemas.openxmlformats.org/officeDocument/2006/relationships/hyperlink" Target="https://mulheresacesta.com.br/2021/09/basquete-feminino-da-zona-leste-de-sao-paulo-ganha-selo-da-nba/" TargetMode="External"/><Relationship Id="rId275" Type="http://schemas.openxmlformats.org/officeDocument/2006/relationships/hyperlink" Target="https://www.itausocial.org.br/noticias/edital-fundos-da-infancia-seleciona-projetos-de-73-municipios/" TargetMode="External"/><Relationship Id="rId274" Type="http://schemas.openxmlformats.org/officeDocument/2006/relationships/hyperlink" Target="https://cfri.org.br/" TargetMode="External"/><Relationship Id="rId273" Type="http://schemas.openxmlformats.org/officeDocument/2006/relationships/hyperlink" Target="https://www.itausocial.org.br/noticias/edital-fundos-da-infancia-seleciona-projetos-de-73-municipios/" TargetMode="External"/><Relationship Id="rId272" Type="http://schemas.openxmlformats.org/officeDocument/2006/relationships/hyperlink" Target="https://editaisibrf.prosas.com.br/not%C3%ADcias/por-um-mundo-mais-inclusivo-e-sustentavel-ecofeira-apae-de-tatui.html" TargetMode="External"/><Relationship Id="rId279" Type="http://schemas.openxmlformats.org/officeDocument/2006/relationships/hyperlink" Target="http://br.stop-hunger.org/files/live/sites/stophunger-br/files/Relat%c3%b3rio%20Stop%20hunger%202022_FINAL%20(2).pdf" TargetMode="External"/><Relationship Id="rId278" Type="http://schemas.openxmlformats.org/officeDocument/2006/relationships/hyperlink" Target="https://www.mogidascruzes.sp.gov.br/pagina/secretaria-de-educacao/noticia/projeto-nutriaao-e-afeto-do-centro-educacional-jabuti-e-aprovado-em-edital-da-fundacao-itau-social" TargetMode="External"/><Relationship Id="rId277" Type="http://schemas.openxmlformats.org/officeDocument/2006/relationships/hyperlink" Target="https://www.itausocial.org.br/noticias/itau-social-seleciona-56-projetos-pelo-edital-fundos-da-infancia-e-da-adolescencia/" TargetMode="External"/><Relationship Id="rId276" Type="http://schemas.openxmlformats.org/officeDocument/2006/relationships/hyperlink" Target="https://cfafbaixosul.com.br/" TargetMode="External"/><Relationship Id="rId409" Type="http://schemas.openxmlformats.org/officeDocument/2006/relationships/hyperlink" Target="https://goodtruck.org.br/wp-content/uploads/Relatorio_Impacto_GoodTruck.pdf" TargetMode="External"/><Relationship Id="rId404" Type="http://schemas.openxmlformats.org/officeDocument/2006/relationships/hyperlink" Target="https://pratocheio.org.br/o-que-fazemos/" TargetMode="External"/><Relationship Id="rId403" Type="http://schemas.openxmlformats.org/officeDocument/2006/relationships/hyperlink" Target="https://bancodealimentos.org.br/" TargetMode="External"/><Relationship Id="rId402" Type="http://schemas.openxmlformats.org/officeDocument/2006/relationships/hyperlink" Target="https://www2.sesc.com.br/portal/site/mesabrasilsesc/Entenda/" TargetMode="External"/><Relationship Id="rId401" Type="http://schemas.openxmlformats.org/officeDocument/2006/relationships/hyperlink" Target="https://www.unilever.com.br/news/press-releases/2020/todos-a-mesa/" TargetMode="External"/><Relationship Id="rId408" Type="http://schemas.openxmlformats.org/officeDocument/2006/relationships/hyperlink" Target="https://goodtruck.org.br/logistica-do-bem/" TargetMode="External"/><Relationship Id="rId407" Type="http://schemas.openxmlformats.org/officeDocument/2006/relationships/hyperlink" Target="https://pratocheio.org.br/wp-content/uploads/2023/01/Relatorio-APC-2022.pdf" TargetMode="External"/><Relationship Id="rId406" Type="http://schemas.openxmlformats.org/officeDocument/2006/relationships/hyperlink" Target="https://pratocheio.org.br/wp-content/uploads/2022/04/Relatorio-APC-2021.pdf" TargetMode="External"/><Relationship Id="rId405" Type="http://schemas.openxmlformats.org/officeDocument/2006/relationships/hyperlink" Target="https://pratocheio.org.br/wp-content/uploads/2021/08/Relatorio-de-Atividades-2020-1.pdf" TargetMode="External"/><Relationship Id="rId400" Type="http://schemas.openxmlformats.org/officeDocument/2006/relationships/hyperlink" Target="https://www.todosamesabrasil.com.br/" TargetMode="External"/><Relationship Id="rId228" Type="http://schemas.openxmlformats.org/officeDocument/2006/relationships/hyperlink" Target="https://www.brasilsemfome.org.br/blog/acao-da-cidadania-lanca-campanha-brasil-sem-fome-em-todo-o-pais" TargetMode="External"/><Relationship Id="rId227" Type="http://schemas.openxmlformats.org/officeDocument/2006/relationships/hyperlink" Target="https://arymax.org.br/iniciativa/brasil-sem-fome/" TargetMode="External"/><Relationship Id="rId469" Type="http://schemas.openxmlformats.org/officeDocument/2006/relationships/hyperlink" Target="https://api.mziq.com/mzfilemanager/v2/d/2c1e0dd9-31eb-4dc0-ab4d-844683600488/618aec64-2b81-f648-ddba-bdf93cc4905f?origin=1" TargetMode="External"/><Relationship Id="rId226" Type="http://schemas.openxmlformats.org/officeDocument/2006/relationships/hyperlink" Target="http://br.stop-hunger.org/home/noticias/content-col1-area/ultimas-noticias/campanha-do-instituto-stop-hun-1.html" TargetMode="External"/><Relationship Id="rId468" Type="http://schemas.openxmlformats.org/officeDocument/2006/relationships/hyperlink" Target="https://gazetaonlineg.com/brasil-agro-apoia-projeto-cultivar-de-horticultura-da-associacao-precavi/" TargetMode="External"/><Relationship Id="rId225" Type="http://schemas.openxmlformats.org/officeDocument/2006/relationships/hyperlink" Target="https://bluestudio.estadao.com.br/agencia-de-comunicacao/prnewswire/prnewsinternacional/28254/pr-newswire-internacional-12a-edicao-da-maratona-mundial-de-voluntariado-stop-hunger-arrecada-doacoes-financeiras-para-combate-a-forme-e-ma-nutricao-no-brasil/" TargetMode="External"/><Relationship Id="rId467" Type="http://schemas.openxmlformats.org/officeDocument/2006/relationships/hyperlink" Target="https://api.mziq.com/mzfilemanager/v2/d/2c1e0dd9-31eb-4dc0-ab4d-844683600488/4f8799c4-6b4a-104f-bdb0-9fb317ed4e29?origin=1" TargetMode="External"/><Relationship Id="rId229" Type="http://schemas.openxmlformats.org/officeDocument/2006/relationships/hyperlink" Target="https://arymax.org.br/novosite/wp-content/uploads/2022/07/lo-arymax-relatorio-versao-final.pdf" TargetMode="External"/><Relationship Id="rId220" Type="http://schemas.openxmlformats.org/officeDocument/2006/relationships/hyperlink" Target="https://www.movimentouniaorio.org/" TargetMode="External"/><Relationship Id="rId462" Type="http://schemas.openxmlformats.org/officeDocument/2006/relationships/hyperlink" Target="https://api.mziq.com/mzfilemanager/v2/d/2c1e0dd9-31eb-4dc0-ab4d-844683600488/618aec64-2b81-f648-ddba-bdf93cc4905f?origin=1" TargetMode="External"/><Relationship Id="rId461" Type="http://schemas.openxmlformats.org/officeDocument/2006/relationships/hyperlink" Target="https://api.mziq.com/mzfilemanager/v2/d/2c1e0dd9-31eb-4dc0-ab4d-844683600488/c2602ba4-7ca2-0b96-57a5-df7bcd790190?origin=1" TargetMode="External"/><Relationship Id="rId460" Type="http://schemas.openxmlformats.org/officeDocument/2006/relationships/hyperlink" Target="https://api.mziq.com/mzfilemanager/v2/d/2c1e0dd9-31eb-4dc0-ab4d-844683600488/4f8799c4-6b4a-104f-bdb0-9fb317ed4e29?origin=1" TargetMode="External"/><Relationship Id="rId224" Type="http://schemas.openxmlformats.org/officeDocument/2006/relationships/hyperlink" Target="http://br.stop-hunger.org/home/doe-agora/doe.html" TargetMode="External"/><Relationship Id="rId466" Type="http://schemas.openxmlformats.org/officeDocument/2006/relationships/hyperlink" Target="https://api.mziq.com/mzfilemanager/v2/d/2c1e0dd9-31eb-4dc0-ab4d-844683600488/618aec64-2b81-f648-ddba-bdf93cc4905f?origin=1" TargetMode="External"/><Relationship Id="rId223" Type="http://schemas.openxmlformats.org/officeDocument/2006/relationships/hyperlink" Target="https://www.instagram.com/uniaorio/" TargetMode="External"/><Relationship Id="rId465" Type="http://schemas.openxmlformats.org/officeDocument/2006/relationships/hyperlink" Target="https://api.mziq.com/mzfilemanager/v2/d/2c1e0dd9-31eb-4dc0-ab4d-844683600488/4f8799c4-6b4a-104f-bdb0-9fb317ed4e29?origin=1" TargetMode="External"/><Relationship Id="rId222" Type="http://schemas.openxmlformats.org/officeDocument/2006/relationships/hyperlink" Target="https://www.uniaosp.org/" TargetMode="External"/><Relationship Id="rId464" Type="http://schemas.openxmlformats.org/officeDocument/2006/relationships/hyperlink" Target="https://api.mziq.com/mzfilemanager/v2/d/2c1e0dd9-31eb-4dc0-ab4d-844683600488/618aec64-2b81-f648-ddba-bdf93cc4905f?origin=1" TargetMode="External"/><Relationship Id="rId221" Type="http://schemas.openxmlformats.org/officeDocument/2006/relationships/hyperlink" Target="https://www.instagram.com/uniaorio/" TargetMode="External"/><Relationship Id="rId463" Type="http://schemas.openxmlformats.org/officeDocument/2006/relationships/hyperlink" Target="https://api.mziq.com/mzfilemanager/v2/d/2c1e0dd9-31eb-4dc0-ab4d-844683600488/4f8799c4-6b4a-104f-bdb0-9fb317ed4e29?origin=1" TargetMode="External"/><Relationship Id="rId217" Type="http://schemas.openxmlformats.org/officeDocument/2006/relationships/hyperlink" Target="https://www.institutoibia.org/arquivos/relatorio.pdf" TargetMode="External"/><Relationship Id="rId459" Type="http://schemas.openxmlformats.org/officeDocument/2006/relationships/hyperlink" Target="https://api.mziq.com/mzfilemanager/v2/d/2c1e0dd9-31eb-4dc0-ab4d-844683600488/618aec64-2b81-f648-ddba-bdf93cc4905f?origin=1" TargetMode="External"/><Relationship Id="rId216" Type="http://schemas.openxmlformats.org/officeDocument/2006/relationships/hyperlink" Target="https://br.linkedin.com/company/instituto-ibia" TargetMode="External"/><Relationship Id="rId458" Type="http://schemas.openxmlformats.org/officeDocument/2006/relationships/hyperlink" Target="https://api.mziq.com/mzfilemanager/v2/d/2c1e0dd9-31eb-4dc0-ab4d-844683600488/c2602ba4-7ca2-0b96-57a5-df7bcd790190?origin=1" TargetMode="External"/><Relationship Id="rId215" Type="http://schemas.openxmlformats.org/officeDocument/2006/relationships/hyperlink" Target="https://www.ibirapitanga.org.br/doacoes/" TargetMode="External"/><Relationship Id="rId457" Type="http://schemas.openxmlformats.org/officeDocument/2006/relationships/hyperlink" Target="https://api.mziq.com/mzfilemanager/v2/d/2c1e0dd9-31eb-4dc0-ab4d-844683600488/c2602ba4-7ca2-0b96-57a5-df7bcd790190?origin=1" TargetMode="External"/><Relationship Id="rId214" Type="http://schemas.openxmlformats.org/officeDocument/2006/relationships/hyperlink" Target="https://www.instagram.com/p/CoN6j3HP472/?hl=de" TargetMode="External"/><Relationship Id="rId456" Type="http://schemas.openxmlformats.org/officeDocument/2006/relationships/hyperlink" Target="https://www.saomartinho.com.br/Download.aspx?Arquivo=TeuRmsuA42Z4LqQl1HDhoQ==&amp;IdCanal=E/5CI5hbGiTfjZ7mhu2y5w==&amp;linguagem=pt" TargetMode="External"/><Relationship Id="rId219" Type="http://schemas.openxmlformats.org/officeDocument/2006/relationships/hyperlink" Target="https://www.redebancodealimentos.org.br/Noticia/1045/Box-Print-Sodexo-e-Banco-de-Alimentos-RS-fecham-parceria-para-combater-desperdA%C2%ADcio-de-alimentos-e-gerar-impacto-social-no-Rio-Grande-do-Sul" TargetMode="External"/><Relationship Id="rId218" Type="http://schemas.openxmlformats.org/officeDocument/2006/relationships/hyperlink" Target="http://br.stop-hunger.org/home/nossas-acoes/doacao-de-alimentos/alimentacao-solidaria.html" TargetMode="External"/><Relationship Id="rId451" Type="http://schemas.openxmlformats.org/officeDocument/2006/relationships/hyperlink" Target="https://www.saomartinho.com.br/Download.aspx?Arquivo=pfvuAA7Y9+cJ2N7rhlMTfw==&amp;IdCanal=E/5CI5hbGiTfjZ7mhu2y5w==&amp;linguagem=pt" TargetMode="External"/><Relationship Id="rId450" Type="http://schemas.openxmlformats.org/officeDocument/2006/relationships/hyperlink" Target="https://www.raizen.com.br/sala-de-imprensa/programa-inedito-na-cadeia-de-cana-de-acucar-promove-sustentabilidade-entre-produtores" TargetMode="External"/><Relationship Id="rId213" Type="http://schemas.openxmlformats.org/officeDocument/2006/relationships/hyperlink" Target="https://wttventures.net/feliz-2021/" TargetMode="External"/><Relationship Id="rId455" Type="http://schemas.openxmlformats.org/officeDocument/2006/relationships/hyperlink" Target="https://www.saomartinho.com.br/Download.aspx?Arquivo=Lq22vhSEAfGwQhXirp8jVg==&amp;IdCanal=E/5CI5hbGiTfjZ7mhu2y5w==&amp;linguagem=pt" TargetMode="External"/><Relationship Id="rId212" Type="http://schemas.openxmlformats.org/officeDocument/2006/relationships/hyperlink" Target="https://missaoagriculturafamiliar.com.br/" TargetMode="External"/><Relationship Id="rId454" Type="http://schemas.openxmlformats.org/officeDocument/2006/relationships/hyperlink" Target="https://www.saomartinho.com.br/Download.aspx?Arquivo=TeuRmsuA42Z4LqQl1HDhoQ==&amp;IdCanal=E/5CI5hbGiTfjZ7mhu2y5w==&amp;linguagem=pt" TargetMode="External"/><Relationship Id="rId211" Type="http://schemas.openxmlformats.org/officeDocument/2006/relationships/hyperlink" Target="https://www.ibirapitanga.org.br/doacoes/" TargetMode="External"/><Relationship Id="rId453" Type="http://schemas.openxmlformats.org/officeDocument/2006/relationships/hyperlink" Target="https://www.saomartinho.com.br/Download.aspx?Arquivo=awGf5yddj8JEw+wej3QRMQ==&amp;IdCanal=E/5CI5hbGiTfjZ7mhu2y5w==&amp;linguagem=pt" TargetMode="External"/><Relationship Id="rId210" Type="http://schemas.openxmlformats.org/officeDocument/2006/relationships/hyperlink" Target="https://olheparaafome.com.br/wp-content/uploads/2022/06/Relatorio-II-VIGISAN-2022.pdf" TargetMode="External"/><Relationship Id="rId452" Type="http://schemas.openxmlformats.org/officeDocument/2006/relationships/hyperlink" Target="https://isp.saomartinho.com.br/noticias/sao-martinho-doa-2-mil-cestas-basicas" TargetMode="External"/><Relationship Id="rId491" Type="http://schemas.openxmlformats.org/officeDocument/2006/relationships/hyperlink" Target="https://api.mziq.com/mzfilemanager/v2/d/65f65acb-ad9a-44b1-a3d5-620b6199a637/4d791652-1419-b565-d605-0dfdf457361e?origin=2" TargetMode="External"/><Relationship Id="rId490" Type="http://schemas.openxmlformats.org/officeDocument/2006/relationships/hyperlink" Target="https://api.mziq.com/mzfilemanager/v2/d/65f65acb-ad9a-44b1-a3d5-620b6199a637/4d791652-1419-b565-d605-0dfdf457361e?origin=2" TargetMode="External"/><Relationship Id="rId249" Type="http://schemas.openxmlformats.org/officeDocument/2006/relationships/hyperlink" Target="https://www.projetodraft.com/saladorama-um-delivery-de-saladas-organicas-feitas-por-moradoras-de-favelas-para-elas-e-para-o-asfalto/" TargetMode="External"/><Relationship Id="rId248" Type="http://schemas.openxmlformats.org/officeDocument/2006/relationships/hyperlink" Target="https://www.institutosaladorama.com/" TargetMode="External"/><Relationship Id="rId247" Type="http://schemas.openxmlformats.org/officeDocument/2006/relationships/hyperlink" Target="https://fundacaocargill.org.br/quem-somos/projetos/" TargetMode="External"/><Relationship Id="rId489" Type="http://schemas.openxmlformats.org/officeDocument/2006/relationships/hyperlink" Target="https://editoramol.com.br/impacto/ong/141-caca-fome" TargetMode="External"/><Relationship Id="rId242" Type="http://schemas.openxmlformats.org/officeDocument/2006/relationships/hyperlink" Target="https://pratocheio.org.br/wp-content/uploads/2022/04/Relatorio-APC-2021.pdf" TargetMode="External"/><Relationship Id="rId484" Type="http://schemas.openxmlformats.org/officeDocument/2006/relationships/hyperlink" Target="https://www.acaodacidadania.org.br/nossos-projetos" TargetMode="External"/><Relationship Id="rId241" Type="http://schemas.openxmlformats.org/officeDocument/2006/relationships/hyperlink" Target="https://pratocheio.org.br/wp-content/uploads/2021/08/Relatorio-de-Atividades-2020-1.pdf" TargetMode="External"/><Relationship Id="rId483" Type="http://schemas.openxmlformats.org/officeDocument/2006/relationships/hyperlink" Target="https://www.unicef.org/brazil/comunicados-de-imprensa/unicef-empresas-celebridades-e-organizacoes-locais-se-unem-contra-o-coronavirus" TargetMode="External"/><Relationship Id="rId240" Type="http://schemas.openxmlformats.org/officeDocument/2006/relationships/hyperlink" Target="https://pratocheio.org.br/o-que-fazemos/" TargetMode="External"/><Relationship Id="rId482" Type="http://schemas.openxmlformats.org/officeDocument/2006/relationships/hyperlink" Target="https://www.unilever.com.br/news/press-releases/2020/todos-a-mesa/" TargetMode="External"/><Relationship Id="rId481" Type="http://schemas.openxmlformats.org/officeDocument/2006/relationships/hyperlink" Target="https://www.todosamesabrasil.com.br/" TargetMode="External"/><Relationship Id="rId246" Type="http://schemas.openxmlformats.org/officeDocument/2006/relationships/hyperlink" Target="https://nos.insightnet.com.br/braco-social-da-multinacional-americana-apoia-projetos-que-promovem-a-alimentacao-segura-sustentavel-e-acessivel/" TargetMode="External"/><Relationship Id="rId488" Type="http://schemas.openxmlformats.org/officeDocument/2006/relationships/hyperlink" Target="https://api.mziq.com/mzfilemanager/v2/d/65f65acb-ad9a-44b1-a3d5-620b6199a637/4d791652-1419-b565-d605-0dfdf457361e?origin=2" TargetMode="External"/><Relationship Id="rId245" Type="http://schemas.openxmlformats.org/officeDocument/2006/relationships/hyperlink" Target="http://www.agroecologia.uema.br/?p=2201" TargetMode="External"/><Relationship Id="rId487" Type="http://schemas.openxmlformats.org/officeDocument/2006/relationships/hyperlink" Target="https://api.mziq.com/mzfilemanager/v2/d/65f65acb-ad9a-44b1-a3d5-620b6199a637/4d791652-1419-b565-d605-0dfdf457361e?origin=2" TargetMode="External"/><Relationship Id="rId244" Type="http://schemas.openxmlformats.org/officeDocument/2006/relationships/hyperlink" Target="https://fundacaocargill.org.br/quem-somos/projetos/" TargetMode="External"/><Relationship Id="rId486" Type="http://schemas.openxmlformats.org/officeDocument/2006/relationships/hyperlink" Target="https://api.mziq.com/mzfilemanager/v2/d/65f65acb-ad9a-44b1-a3d5-620b6199a637/4d791652-1419-b565-d605-0dfdf457361e?origin=2" TargetMode="External"/><Relationship Id="rId243" Type="http://schemas.openxmlformats.org/officeDocument/2006/relationships/hyperlink" Target="https://pratocheio.org.br/wp-content/uploads/2023/01/Relatorio-APC-2022.pdf" TargetMode="External"/><Relationship Id="rId485" Type="http://schemas.openxmlformats.org/officeDocument/2006/relationships/hyperlink" Target="https://www.brasildefato.com.br/2023/06/08/acao-da-cidadania-inaugura-hortas-comunitarias-para-incentivar-alimentacao-saudavel" TargetMode="External"/><Relationship Id="rId480" Type="http://schemas.openxmlformats.org/officeDocument/2006/relationships/hyperlink" Target="https://www.news.ifood.com.br/todos-a-mesa-cresce-e-busca-mais-parceiros-para-combater-a-fome/" TargetMode="External"/><Relationship Id="rId239" Type="http://schemas.openxmlformats.org/officeDocument/2006/relationships/hyperlink" Target="https://www.instagram.com/p/ClG3zM8t1HC/?img_index=1" TargetMode="External"/><Relationship Id="rId238" Type="http://schemas.openxmlformats.org/officeDocument/2006/relationships/hyperlink" Target="https://www.fiotec.fiocruz.br/noticias/outros/7904-campanha-pacto-pelos-15-com-fome-recebe-doacoes-para-brasileiros-que-nao-tem-o-que-comer" TargetMode="External"/><Relationship Id="rId237" Type="http://schemas.openxmlformats.org/officeDocument/2006/relationships/hyperlink" Target="https://portal.fiocruz.br/noticia/pacto-pelos-15-com-fome-comeca-receber-doacoes-para-entidades-que-atuam-no-combate-fome" TargetMode="External"/><Relationship Id="rId479" Type="http://schemas.openxmlformats.org/officeDocument/2006/relationships/hyperlink" Target="https://news.ifood.com.br/movimento-todos-a-mesa-e-premiado-no-eco-brasil-2022/" TargetMode="External"/><Relationship Id="rId236" Type="http://schemas.openxmlformats.org/officeDocument/2006/relationships/hyperlink" Target="http://www.15por15.org/" TargetMode="External"/><Relationship Id="rId478" Type="http://schemas.openxmlformats.org/officeDocument/2006/relationships/hyperlink" Target="https://www.brf-global.com/wp-content/themes/brf-global/assets/documents/relatorio/BRF_RI2021_PT.pdf" TargetMode="External"/><Relationship Id="rId231" Type="http://schemas.openxmlformats.org/officeDocument/2006/relationships/hyperlink" Target="https://www.cocacolabrasil.com.br/historias/coca-cola-brasil-convida-consumidores-engajarem-combate-a-fome-campanha-revertera-pedidos-em-doacoes" TargetMode="External"/><Relationship Id="rId473" Type="http://schemas.openxmlformats.org/officeDocument/2006/relationships/hyperlink" Target="https://feedfood.com.br/projeto-contra-fome-entregou-comida-as-familias-carentes/" TargetMode="External"/><Relationship Id="rId230" Type="http://schemas.openxmlformats.org/officeDocument/2006/relationships/hyperlink" Target="https://www.cocacolabrasil.com.br/historias/por-todas-as-mesas-campanha-alcanca-meta-de-doacoes-de-alimentos" TargetMode="External"/><Relationship Id="rId472" Type="http://schemas.openxmlformats.org/officeDocument/2006/relationships/hyperlink" Target="https://mybees.com.br/" TargetMode="External"/><Relationship Id="rId471" Type="http://schemas.openxmlformats.org/officeDocument/2006/relationships/hyperlink" Target="https://www.institutobrasil-agro.org.br/iniciativas" TargetMode="External"/><Relationship Id="rId470" Type="http://schemas.openxmlformats.org/officeDocument/2006/relationships/hyperlink" Target="https://api.mziq.com/mzfilemanager/v2/d/2c1e0dd9-31eb-4dc0-ab4d-844683600488/4f8799c4-6b4a-104f-bdb0-9fb317ed4e29?origin=1" TargetMode="External"/><Relationship Id="rId235" Type="http://schemas.openxmlformats.org/officeDocument/2006/relationships/hyperlink" Target="https://www.institutovotorantim.org.br/wp-content/uploads/2023/07/2020.pdf" TargetMode="External"/><Relationship Id="rId477" Type="http://schemas.openxmlformats.org/officeDocument/2006/relationships/hyperlink" Target="https://www.brasildefato.com.br/2023/06/08/acao-da-cidadania-inaugura-hortas-comunitarias-para-incentivar-alimentacao-saudavel" TargetMode="External"/><Relationship Id="rId234" Type="http://schemas.openxmlformats.org/officeDocument/2006/relationships/hyperlink" Target="https://brasilminingsite.com.br/instituto-votorantim-e-nexa-entregam-mais-de-1-600-cestas-basicas-em-aripuana/" TargetMode="External"/><Relationship Id="rId476" Type="http://schemas.openxmlformats.org/officeDocument/2006/relationships/hyperlink" Target="https://www.acaodacidadania.org.br/nossos-projetos" TargetMode="External"/><Relationship Id="rId233" Type="http://schemas.openxmlformats.org/officeDocument/2006/relationships/hyperlink" Target="https://registro.portaldacidade.com/noticias/regiao/instituto-votorantim-e-parceiros-promovem-iniciativas-de-combate-a-covid-19-5357" TargetMode="External"/><Relationship Id="rId475" Type="http://schemas.openxmlformats.org/officeDocument/2006/relationships/hyperlink" Target="https://www2.sesc.com.br/portal/site/mesabrasilsesc/Entenda/" TargetMode="External"/><Relationship Id="rId232" Type="http://schemas.openxmlformats.org/officeDocument/2006/relationships/hyperlink" Target="https://ibram.org.br/noticia/cidades-do-interior-sao-contempladas-por-doacoes-de-tickets-alimentacao-do-instituto-votorantim/" TargetMode="External"/><Relationship Id="rId474" Type="http://schemas.openxmlformats.org/officeDocument/2006/relationships/hyperlink" Target="https://www.linkedin.com/company/beesbrasil/?originalSubdomain=br" TargetMode="External"/><Relationship Id="rId426" Type="http://schemas.openxmlformats.org/officeDocument/2006/relationships/hyperlink" Target="https://institutoassai.org.br/docs/Relatorio-Anual-Instituto-Assai.pdf" TargetMode="External"/><Relationship Id="rId425" Type="http://schemas.openxmlformats.org/officeDocument/2006/relationships/hyperlink" Target="https://institutoassai.org.br/docs/Relatorio-Anual-Instituto-Assai.pdf" TargetMode="External"/><Relationship Id="rId424" Type="http://schemas.openxmlformats.org/officeDocument/2006/relationships/hyperlink" Target="https://www.instagram.com/p/Cn5PSGzJpQ8/?img_index=1" TargetMode="External"/><Relationship Id="rId423" Type="http://schemas.openxmlformats.org/officeDocument/2006/relationships/hyperlink" Target="https://cufa.org.br/cufa-e-frente-nacional-antirracista-lancam-campanha-para-ajudar-os-yanomami-e-regiao/" TargetMode="External"/><Relationship Id="rId429" Type="http://schemas.openxmlformats.org/officeDocument/2006/relationships/hyperlink" Target="https://www.instagram.com/hortaladecasa_/" TargetMode="External"/><Relationship Id="rId428" Type="http://schemas.openxmlformats.org/officeDocument/2006/relationships/hyperlink" Target="https://institutoassai.org.br/docs/Relatorio-Anual-Instituto-Assai.pdf" TargetMode="External"/><Relationship Id="rId427" Type="http://schemas.openxmlformats.org/officeDocument/2006/relationships/hyperlink" Target="https://beta.acaomoradia.org.br/projetos/" TargetMode="External"/><Relationship Id="rId422" Type="http://schemas.openxmlformats.org/officeDocument/2006/relationships/hyperlink" Target="https://www.instagram.com/p/CpQtLHjvzKn/" TargetMode="External"/><Relationship Id="rId421" Type="http://schemas.openxmlformats.org/officeDocument/2006/relationships/hyperlink" Target="https://www.instagram.com/p/Cr1edAANjqk/" TargetMode="External"/><Relationship Id="rId420" Type="http://schemas.openxmlformats.org/officeDocument/2006/relationships/hyperlink" Target="https://institutoassai.org.br/docs/Relatorio-Anual-Instituto-Assai.pdf" TargetMode="External"/><Relationship Id="rId415" Type="http://schemas.openxmlformats.org/officeDocument/2006/relationships/hyperlink" Target="https://www.mktesportivo.com/2023/07/assai-doara-uma-tonelada-de-alimentos-a-cada-gol-do-brasil-na-copa-do-mundo-feminina/" TargetMode="External"/><Relationship Id="rId414" Type="http://schemas.openxmlformats.org/officeDocument/2006/relationships/hyperlink" Target="https://www.instagram.com/p/CwSUgNaITfZ/" TargetMode="External"/><Relationship Id="rId413" Type="http://schemas.openxmlformats.org/officeDocument/2006/relationships/hyperlink" Target="https://www.instagram.com/p/ClG3zM8t1HC/?img_index=1" TargetMode="External"/><Relationship Id="rId412" Type="http://schemas.openxmlformats.org/officeDocument/2006/relationships/hyperlink" Target="https://www.fiotec.fiocruz.br/noticias/outros/7904-campanha-pacto-pelos-15-com-fome-recebe-doacoes-para-brasileiros-que-nao-tem-o-que-comer" TargetMode="External"/><Relationship Id="rId419" Type="http://schemas.openxmlformats.org/officeDocument/2006/relationships/hyperlink" Target="https://www.assai.com.br/revista/setembro-outubro-2022-edicao-53/destino-certo-contra-o-desperdicio-de-alimentos" TargetMode="External"/><Relationship Id="rId418" Type="http://schemas.openxmlformats.org/officeDocument/2006/relationships/hyperlink" Target="https://www.instagram.com/p/CstfJnFNQ6O/" TargetMode="External"/><Relationship Id="rId417" Type="http://schemas.openxmlformats.org/officeDocument/2006/relationships/hyperlink" Target="https://www.instagram.com/p/Cu9rHs-tAsj/" TargetMode="External"/><Relationship Id="rId416" Type="http://schemas.openxmlformats.org/officeDocument/2006/relationships/hyperlink" Target="https://www.instagram.com/p/CvOJQXZNFCw/?img_index=1" TargetMode="External"/><Relationship Id="rId411" Type="http://schemas.openxmlformats.org/officeDocument/2006/relationships/hyperlink" Target="https://portal.fiocruz.br/noticia/pacto-pelos-15-com-fome-comeca-receber-doacoes-para-entidades-que-atuam-no-combate-fome" TargetMode="External"/><Relationship Id="rId410" Type="http://schemas.openxmlformats.org/officeDocument/2006/relationships/hyperlink" Target="http://www.15por15.org/" TargetMode="External"/><Relationship Id="rId206" Type="http://schemas.openxmlformats.org/officeDocument/2006/relationships/hyperlink" Target="https://arapyau.org.br/wp-content/uploads/2023/05/arapyau-ra2022.pdf" TargetMode="External"/><Relationship Id="rId448" Type="http://schemas.openxmlformats.org/officeDocument/2006/relationships/hyperlink" Target="https://www.raizen.com.br/relatorioanual/2021/pt/indicadores.html" TargetMode="External"/><Relationship Id="rId205" Type="http://schemas.openxmlformats.org/officeDocument/2006/relationships/hyperlink" Target="https://www.taboa.org.br/economico/circuitos-agroecologicos" TargetMode="External"/><Relationship Id="rId447" Type="http://schemas.openxmlformats.org/officeDocument/2006/relationships/hyperlink" Target="https://www.raizen.com.br/relatorioanual/2021/pt/performance-social.html" TargetMode="External"/><Relationship Id="rId204" Type="http://schemas.openxmlformats.org/officeDocument/2006/relationships/hyperlink" Target="https://www.ibirapitanga.org.br/doacoes/" TargetMode="External"/><Relationship Id="rId446" Type="http://schemas.openxmlformats.org/officeDocument/2006/relationships/hyperlink" Target="https://api.mziq.com/mzfilemanager/v2/d/6aa68515-2422-4cc4-bafa-8870ccdfedb0/01ce78cf-b44b-6b8e-336b-cc6eac71f4ab?origin=1" TargetMode="External"/><Relationship Id="rId203" Type="http://schemas.openxmlformats.org/officeDocument/2006/relationships/hyperlink" Target="https://www.paginarural.com.br/noticia/289037/coronavirus-fundacao-aury-luiz-bodanese-comemora-os-resultados-de-2020" TargetMode="External"/><Relationship Id="rId445" Type="http://schemas.openxmlformats.org/officeDocument/2006/relationships/hyperlink" Target="https://api.mziq.com/mzfilemanager/v2/d/6aa68515-2422-4cc4-bafa-8870ccdfedb0/01ce78cf-b44b-6b8e-336b-cc6eac71f4ab?origin=1" TargetMode="External"/><Relationship Id="rId209" Type="http://schemas.openxmlformats.org/officeDocument/2006/relationships/hyperlink" Target="https://olheparaafome.com.br/" TargetMode="External"/><Relationship Id="rId208" Type="http://schemas.openxmlformats.org/officeDocument/2006/relationships/hyperlink" Target="https://pesquisassan.net.br/olheparaafome/" TargetMode="External"/><Relationship Id="rId207" Type="http://schemas.openxmlformats.org/officeDocument/2006/relationships/hyperlink" Target="https://www.ibirapitanga.org.br/doacoes/" TargetMode="External"/><Relationship Id="rId449" Type="http://schemas.openxmlformats.org/officeDocument/2006/relationships/hyperlink" Target="https://raizen-institucional-relatorios.s3.amazonaws.com/raizen/2022/pdf/RS2022_RAIZEN_PT.pdf" TargetMode="External"/><Relationship Id="rId440" Type="http://schemas.openxmlformats.org/officeDocument/2006/relationships/hyperlink" Target="https://raizen.com.br/fundacao-raizen/projetos" TargetMode="External"/><Relationship Id="rId202" Type="http://schemas.openxmlformats.org/officeDocument/2006/relationships/hyperlink" Target="https://www.falb.org.br/relatorio_anual/relatorio-anual-falb-2020-v2.pdf" TargetMode="External"/><Relationship Id="rId444" Type="http://schemas.openxmlformats.org/officeDocument/2006/relationships/hyperlink" Target="https://raizen-institucional-relatorios.s3.amazonaws.com/fundacao-raizen/2023/pdf/Fundacao_Raizen_RA_2022_D7.pdf" TargetMode="External"/><Relationship Id="rId201" Type="http://schemas.openxmlformats.org/officeDocument/2006/relationships/hyperlink" Target="https://www.band.uol.com.br/entretenimento/masterchef/noticias/conheca-o-projeto-maos-de-maria-que-empodera-mulheres-pela-gastronomia-em-paraisopolis-16308566" TargetMode="External"/><Relationship Id="rId443" Type="http://schemas.openxmlformats.org/officeDocument/2006/relationships/hyperlink" Target="https://raizen.com.br/fundacao-raizen/projetos" TargetMode="External"/><Relationship Id="rId200" Type="http://schemas.openxmlformats.org/officeDocument/2006/relationships/hyperlink" Target="https://g10favelas.com.br/" TargetMode="External"/><Relationship Id="rId442" Type="http://schemas.openxmlformats.org/officeDocument/2006/relationships/hyperlink" Target="https://api.mziq.com/mzfilemanager/v2/d/6aa68515-2422-4cc4-bafa-8870ccdfedb0/01ce78cf-b44b-6b8e-336b-cc6eac71f4ab?origin=1" TargetMode="External"/><Relationship Id="rId441" Type="http://schemas.openxmlformats.org/officeDocument/2006/relationships/hyperlink" Target="https://raizen-institucional-relatorios.s3.amazonaws.com/fundacao-raizen/2023/pdf/Fundacao_Raizen_RA_2022_D7.pdf" TargetMode="External"/><Relationship Id="rId437" Type="http://schemas.openxmlformats.org/officeDocument/2006/relationships/hyperlink" Target="https://goiastotal.com.br/cidades/2020/04/16/comite-social-da-jalles-machado-doa-145-cestas-basicas-a-comunidade-de-goianesia-7629/" TargetMode="External"/><Relationship Id="rId436" Type="http://schemas.openxmlformats.org/officeDocument/2006/relationships/hyperlink" Target="https://api.mziq.com/mzfilemanager/v2/d/8cc3c25d-1073-4452-a7de-1d7f3658153c/06a7cdab-e498-4b05-86c1-a5e961978ea0?origin=1" TargetMode="External"/><Relationship Id="rId435" Type="http://schemas.openxmlformats.org/officeDocument/2006/relationships/hyperlink" Target="https://app.jalles.com/wp-content/uploads/2023/07/Relatario-Anual-e-de-Sustentabilidade-22_23.pdf" TargetMode="External"/><Relationship Id="rId434" Type="http://schemas.openxmlformats.org/officeDocument/2006/relationships/hyperlink" Target="https://api.mziq.com/mzfilemanager/v2/d/ec14f0ab-c5d4-4b12-a413-b6cc7475ed98/d96a5056-6731-8dc0-e1b3-5142493fd10b?origin=1" TargetMode="External"/><Relationship Id="rId439" Type="http://schemas.openxmlformats.org/officeDocument/2006/relationships/hyperlink" Target="https://app.jalles.com/wp-content/uploads/2023/07/Relatario-Anual-e-de-Sustentabilidade-22_23.pdf" TargetMode="External"/><Relationship Id="rId438" Type="http://schemas.openxmlformats.org/officeDocument/2006/relationships/hyperlink" Target="https://vipfiles.valor.com.br/BDEmpresas/562776.pdf" TargetMode="External"/><Relationship Id="rId433" Type="http://schemas.openxmlformats.org/officeDocument/2006/relationships/hyperlink" Target="https://api.mziq.com/mzfilemanager/v2/d/ec14f0ab-c5d4-4b12-a413-b6cc7475ed98/d96a5056-6731-8dc0-e1b3-5142493fd10b?origin=1" TargetMode="External"/><Relationship Id="rId432" Type="http://schemas.openxmlformats.org/officeDocument/2006/relationships/hyperlink" Target="https://www.temgentecomfome.com.br/" TargetMode="External"/><Relationship Id="rId431" Type="http://schemas.openxmlformats.org/officeDocument/2006/relationships/hyperlink" Target="https://api.mziq.com/mzfilemanager/v2/d/ec14f0ab-c5d4-4b12-a413-b6cc7475ed98/d96a5056-6731-8dc0-e1b3-5142493fd10b?origin=1" TargetMode="External"/><Relationship Id="rId430" Type="http://schemas.openxmlformats.org/officeDocument/2006/relationships/hyperlink" Target="https://institutogpa.org.br/wp-content/uploads/2021/08/Relatorio_Anual_InstitutoGPA_2020_pt.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hidden="1" min="1" max="1" width="15.13"/>
    <col customWidth="1" min="2" max="2" width="14.75"/>
    <col customWidth="1" min="3" max="3" width="10.5"/>
    <col customWidth="1" min="4" max="4" width="22.75"/>
    <col customWidth="1" min="5" max="5" width="10.88"/>
    <col customWidth="1" min="6" max="6" width="13.38"/>
    <col customWidth="1" min="7" max="7" width="34.63"/>
    <col customWidth="1" min="8" max="8" width="13.5"/>
    <col customWidth="1" min="9" max="9" width="41.38"/>
    <col customWidth="1" min="10" max="10" width="13.5"/>
    <col customWidth="1" min="11" max="13" width="17.63"/>
    <col customWidth="1" min="16" max="16" width="15.63"/>
    <col customWidth="1" min="17" max="17" width="16.38"/>
    <col customWidth="1" min="18" max="18" width="15.25"/>
    <col customWidth="1" min="19" max="19" width="17.88"/>
    <col customWidth="1" min="20" max="20" width="18.88"/>
    <col customWidth="1" min="21" max="21" width="18.63"/>
    <col customWidth="1" min="22" max="22" width="18.5"/>
    <col customWidth="1" min="23" max="23" width="22.63"/>
    <col customWidth="1" min="24" max="24" width="19.88"/>
    <col customWidth="1" min="25" max="27" width="22.13"/>
    <col customWidth="1" min="31" max="31" width="21.88"/>
    <col customWidth="1" min="40" max="40" width="28.88"/>
    <col customWidth="1" min="41" max="41" width="21.13"/>
    <col customWidth="1" min="42" max="42" width="17.38"/>
    <col customWidth="1" min="43" max="45" width="15.63"/>
    <col customWidth="1" min="46" max="46" width="16.13"/>
    <col customWidth="1" min="47" max="47" width="16.0"/>
    <col customWidth="1" min="48" max="48" width="15.63"/>
    <col customWidth="1" min="49" max="49" width="14.88"/>
    <col customWidth="1" min="50" max="50" width="14.63"/>
    <col customWidth="1" min="51" max="51" width="29.63"/>
    <col customWidth="1" min="52" max="52" width="22.5"/>
    <col customWidth="1" min="53" max="53" width="24.75"/>
    <col customWidth="1" min="54" max="54" width="25.75"/>
    <col customWidth="1" min="55" max="55" width="18.75"/>
    <col customWidth="1" min="56" max="56" width="19.88"/>
    <col customWidth="1" min="57" max="57" width="17.75"/>
    <col customWidth="1" min="58" max="58" width="16.88"/>
    <col customWidth="1" min="59" max="59" width="18.0"/>
    <col customWidth="1" min="60" max="61" width="20.0"/>
    <col customWidth="1" min="62" max="62" width="14.38"/>
    <col customWidth="1" min="64" max="64" width="14.63"/>
  </cols>
  <sheetData>
    <row r="1" ht="86.25" customHeight="1">
      <c r="A1" s="1"/>
      <c r="B1" s="2" t="s">
        <v>0</v>
      </c>
      <c r="C1" s="2" t="s">
        <v>1</v>
      </c>
      <c r="D1" s="2" t="s">
        <v>2</v>
      </c>
      <c r="E1" s="2" t="s">
        <v>3</v>
      </c>
      <c r="F1" s="2" t="s">
        <v>4</v>
      </c>
      <c r="G1" s="3" t="s">
        <v>5</v>
      </c>
      <c r="H1" s="2" t="s">
        <v>6</v>
      </c>
      <c r="I1" s="4" t="s">
        <v>7</v>
      </c>
      <c r="J1" s="3" t="s">
        <v>8</v>
      </c>
      <c r="K1" s="3" t="s">
        <v>9</v>
      </c>
      <c r="L1" s="3" t="s">
        <v>10</v>
      </c>
      <c r="M1" s="3" t="s">
        <v>11</v>
      </c>
      <c r="N1" s="3" t="s">
        <v>12</v>
      </c>
      <c r="O1" s="3" t="s">
        <v>13</v>
      </c>
      <c r="P1" s="3" t="s">
        <v>14</v>
      </c>
      <c r="Q1" s="3" t="s">
        <v>15</v>
      </c>
      <c r="R1" s="3" t="s">
        <v>16</v>
      </c>
      <c r="S1" s="2" t="s">
        <v>17</v>
      </c>
      <c r="T1" s="2" t="s">
        <v>18</v>
      </c>
      <c r="U1" s="2" t="s">
        <v>19</v>
      </c>
      <c r="V1" s="2" t="s">
        <v>20</v>
      </c>
      <c r="W1" s="2" t="s">
        <v>21</v>
      </c>
      <c r="X1" s="2" t="s">
        <v>22</v>
      </c>
      <c r="Y1" s="2" t="s">
        <v>23</v>
      </c>
      <c r="Z1" s="2" t="s">
        <v>24</v>
      </c>
      <c r="AA1" s="2" t="s">
        <v>25</v>
      </c>
      <c r="AB1" s="3" t="s">
        <v>26</v>
      </c>
      <c r="AC1" s="3" t="s">
        <v>27</v>
      </c>
      <c r="AD1" s="3" t="s">
        <v>28</v>
      </c>
      <c r="AE1" s="3" t="s">
        <v>29</v>
      </c>
      <c r="AF1" s="2" t="s">
        <v>30</v>
      </c>
      <c r="AG1" s="2" t="s">
        <v>31</v>
      </c>
      <c r="AH1" s="2" t="s">
        <v>32</v>
      </c>
      <c r="AI1" s="3" t="s">
        <v>33</v>
      </c>
      <c r="AJ1" s="3" t="s">
        <v>34</v>
      </c>
      <c r="AK1" s="3" t="s">
        <v>35</v>
      </c>
      <c r="AL1" s="3" t="s">
        <v>36</v>
      </c>
      <c r="AM1" s="2" t="s">
        <v>37</v>
      </c>
      <c r="AN1" s="3" t="s">
        <v>38</v>
      </c>
      <c r="AO1" s="2" t="s">
        <v>39</v>
      </c>
      <c r="AP1" s="3" t="s">
        <v>40</v>
      </c>
      <c r="AQ1" s="5" t="s">
        <v>41</v>
      </c>
      <c r="AR1" s="5" t="s">
        <v>42</v>
      </c>
      <c r="AS1" s="5" t="s">
        <v>43</v>
      </c>
      <c r="AT1" s="5" t="s">
        <v>44</v>
      </c>
      <c r="AU1" s="5" t="s">
        <v>45</v>
      </c>
      <c r="AV1" s="5" t="s">
        <v>46</v>
      </c>
      <c r="AW1" s="5" t="s">
        <v>47</v>
      </c>
      <c r="AX1" s="5" t="s">
        <v>48</v>
      </c>
      <c r="AY1" s="2" t="s">
        <v>49</v>
      </c>
      <c r="AZ1" s="2" t="s">
        <v>50</v>
      </c>
      <c r="BA1" s="3" t="s">
        <v>51</v>
      </c>
      <c r="BB1" s="3" t="s">
        <v>52</v>
      </c>
      <c r="BC1" s="2" t="s">
        <v>53</v>
      </c>
      <c r="BD1" s="3" t="s">
        <v>54</v>
      </c>
      <c r="BE1" s="3" t="s">
        <v>55</v>
      </c>
      <c r="BF1" s="3" t="s">
        <v>56</v>
      </c>
      <c r="BG1" s="3" t="s">
        <v>57</v>
      </c>
      <c r="BH1" s="3" t="s">
        <v>58</v>
      </c>
      <c r="BI1" s="3" t="s">
        <v>59</v>
      </c>
      <c r="BJ1" s="2" t="s">
        <v>60</v>
      </c>
      <c r="BK1" s="3" t="s">
        <v>61</v>
      </c>
      <c r="BL1" s="2" t="s">
        <v>62</v>
      </c>
      <c r="BM1" s="2" t="s">
        <v>63</v>
      </c>
      <c r="BN1" s="2" t="s">
        <v>64</v>
      </c>
      <c r="BO1" s="2" t="s">
        <v>65</v>
      </c>
      <c r="BP1" s="2" t="s">
        <v>66</v>
      </c>
      <c r="BQ1" s="3" t="s">
        <v>67</v>
      </c>
      <c r="BR1" s="3" t="s">
        <v>68</v>
      </c>
      <c r="BS1" s="3" t="s">
        <v>69</v>
      </c>
      <c r="BT1" s="3" t="s">
        <v>70</v>
      </c>
      <c r="BU1" s="3" t="s">
        <v>71</v>
      </c>
      <c r="BV1" s="2" t="s">
        <v>72</v>
      </c>
      <c r="BW1" s="2" t="s">
        <v>73</v>
      </c>
      <c r="BX1" s="2" t="s">
        <v>74</v>
      </c>
      <c r="BY1" s="2" t="s">
        <v>75</v>
      </c>
      <c r="BZ1" s="2" t="s">
        <v>76</v>
      </c>
      <c r="CA1" s="2" t="s">
        <v>77</v>
      </c>
      <c r="CB1" s="6" t="s">
        <v>78</v>
      </c>
      <c r="CC1" s="6" t="s">
        <v>79</v>
      </c>
      <c r="CD1" s="6" t="s">
        <v>80</v>
      </c>
      <c r="CE1" s="6" t="s">
        <v>81</v>
      </c>
      <c r="CF1" s="7" t="s">
        <v>82</v>
      </c>
      <c r="CG1" s="7" t="s">
        <v>83</v>
      </c>
      <c r="CH1" s="7" t="s">
        <v>84</v>
      </c>
    </row>
    <row r="2">
      <c r="A2" s="8"/>
      <c r="B2" s="9" t="s">
        <v>85</v>
      </c>
      <c r="C2" s="10" t="s">
        <v>86</v>
      </c>
      <c r="D2" s="9" t="s">
        <v>87</v>
      </c>
      <c r="E2" s="11" t="s">
        <v>88</v>
      </c>
      <c r="F2" s="12"/>
      <c r="G2" s="13" t="s">
        <v>89</v>
      </c>
      <c r="H2" s="14" t="s">
        <v>90</v>
      </c>
      <c r="I2" s="13" t="s">
        <v>91</v>
      </c>
      <c r="J2" s="13" t="s">
        <v>92</v>
      </c>
      <c r="K2" s="14" t="s">
        <v>92</v>
      </c>
      <c r="L2" s="14" t="s">
        <v>92</v>
      </c>
      <c r="M2" s="14" t="s">
        <v>93</v>
      </c>
      <c r="N2" s="14" t="s">
        <v>92</v>
      </c>
      <c r="O2" s="13" t="s">
        <v>92</v>
      </c>
      <c r="P2" s="13" t="s">
        <v>92</v>
      </c>
      <c r="Q2" s="13" t="s">
        <v>92</v>
      </c>
      <c r="R2" s="13" t="s">
        <v>92</v>
      </c>
      <c r="S2" s="13" t="s">
        <v>92</v>
      </c>
      <c r="T2" s="13" t="s">
        <v>92</v>
      </c>
      <c r="U2" s="13" t="s">
        <v>93</v>
      </c>
      <c r="V2" s="13" t="s">
        <v>92</v>
      </c>
      <c r="W2" s="13" t="s">
        <v>92</v>
      </c>
      <c r="X2" s="13" t="s">
        <v>92</v>
      </c>
      <c r="Y2" s="13" t="s">
        <v>92</v>
      </c>
      <c r="Z2" s="14" t="s">
        <v>92</v>
      </c>
      <c r="AA2" s="14" t="s">
        <v>92</v>
      </c>
      <c r="AB2" s="15" t="s">
        <v>93</v>
      </c>
      <c r="AC2" s="15" t="s">
        <v>92</v>
      </c>
      <c r="AD2" s="15" t="s">
        <v>92</v>
      </c>
      <c r="AE2" s="13" t="s">
        <v>94</v>
      </c>
      <c r="AF2" s="13" t="s">
        <v>92</v>
      </c>
      <c r="AG2" s="13" t="s">
        <v>95</v>
      </c>
      <c r="AH2" s="8">
        <v>2020.0</v>
      </c>
      <c r="AI2" s="13" t="s">
        <v>93</v>
      </c>
      <c r="AJ2" s="13" t="s">
        <v>92</v>
      </c>
      <c r="AK2" s="13" t="s">
        <v>92</v>
      </c>
      <c r="AL2" s="13" t="s">
        <v>92</v>
      </c>
      <c r="AM2" s="15">
        <v>2020.0</v>
      </c>
      <c r="AN2" s="13" t="s">
        <v>96</v>
      </c>
      <c r="AO2" s="15" t="s">
        <v>92</v>
      </c>
      <c r="AP2" s="15" t="s">
        <v>93</v>
      </c>
      <c r="AQ2" s="13" t="s">
        <v>92</v>
      </c>
      <c r="AR2" s="13" t="s">
        <v>93</v>
      </c>
      <c r="AS2" s="13" t="s">
        <v>93</v>
      </c>
      <c r="AT2" s="13" t="s">
        <v>93</v>
      </c>
      <c r="AU2" s="13" t="s">
        <v>92</v>
      </c>
      <c r="AV2" s="13" t="s">
        <v>93</v>
      </c>
      <c r="AW2" s="13" t="s">
        <v>92</v>
      </c>
      <c r="AX2" s="13" t="s">
        <v>92</v>
      </c>
      <c r="AY2" s="15" t="s">
        <v>95</v>
      </c>
      <c r="AZ2" s="15" t="s">
        <v>95</v>
      </c>
      <c r="BA2" s="16" t="s">
        <v>85</v>
      </c>
      <c r="BB2" s="8" t="s">
        <v>97</v>
      </c>
      <c r="BC2" s="15" t="s">
        <v>92</v>
      </c>
      <c r="BD2" s="13" t="s">
        <v>92</v>
      </c>
      <c r="BE2" s="13" t="s">
        <v>92</v>
      </c>
      <c r="BF2" s="13" t="s">
        <v>92</v>
      </c>
      <c r="BG2" s="13" t="s">
        <v>92</v>
      </c>
      <c r="BH2" s="13" t="s">
        <v>92</v>
      </c>
      <c r="BI2" s="13" t="s">
        <v>93</v>
      </c>
      <c r="BJ2" s="13" t="s">
        <v>92</v>
      </c>
      <c r="BK2" s="14" t="s">
        <v>98</v>
      </c>
      <c r="BL2" s="13" t="s">
        <v>92</v>
      </c>
      <c r="BM2" s="13" t="s">
        <v>92</v>
      </c>
      <c r="BN2" s="13" t="s">
        <v>92</v>
      </c>
      <c r="BO2" s="13" t="s">
        <v>92</v>
      </c>
      <c r="BP2" s="13" t="s">
        <v>93</v>
      </c>
      <c r="BQ2" s="15" t="s">
        <v>93</v>
      </c>
      <c r="BR2" s="15" t="s">
        <v>92</v>
      </c>
      <c r="BS2" s="15" t="s">
        <v>92</v>
      </c>
      <c r="BT2" s="15" t="s">
        <v>92</v>
      </c>
      <c r="BU2" s="15" t="s">
        <v>92</v>
      </c>
      <c r="BV2" s="15" t="s">
        <v>92</v>
      </c>
      <c r="BW2" s="15" t="s">
        <v>92</v>
      </c>
      <c r="BX2" s="15" t="s">
        <v>92</v>
      </c>
      <c r="BY2" s="15" t="s">
        <v>92</v>
      </c>
      <c r="BZ2" s="15" t="s">
        <v>92</v>
      </c>
      <c r="CA2" s="15" t="s">
        <v>92</v>
      </c>
      <c r="CB2" s="17" t="s">
        <v>99</v>
      </c>
      <c r="CC2" s="17"/>
      <c r="CD2" s="18"/>
      <c r="CE2" s="18"/>
      <c r="CF2" s="18"/>
      <c r="CG2" s="18"/>
      <c r="CH2" s="14"/>
    </row>
    <row r="3" ht="15.75" customHeight="1">
      <c r="A3" s="8"/>
      <c r="B3" s="19" t="s">
        <v>85</v>
      </c>
      <c r="C3" s="10" t="s">
        <v>86</v>
      </c>
      <c r="D3" s="9" t="s">
        <v>87</v>
      </c>
      <c r="E3" s="11" t="s">
        <v>100</v>
      </c>
      <c r="F3" s="12"/>
      <c r="G3" s="13" t="s">
        <v>101</v>
      </c>
      <c r="H3" s="13" t="s">
        <v>90</v>
      </c>
      <c r="I3" s="13" t="s">
        <v>102</v>
      </c>
      <c r="J3" s="13" t="s">
        <v>92</v>
      </c>
      <c r="K3" s="14" t="s">
        <v>93</v>
      </c>
      <c r="L3" s="14" t="s">
        <v>92</v>
      </c>
      <c r="M3" s="14" t="s">
        <v>92</v>
      </c>
      <c r="N3" s="14" t="s">
        <v>92</v>
      </c>
      <c r="O3" s="14" t="s">
        <v>92</v>
      </c>
      <c r="P3" s="13" t="s">
        <v>92</v>
      </c>
      <c r="Q3" s="13" t="s">
        <v>92</v>
      </c>
      <c r="R3" s="13" t="s">
        <v>92</v>
      </c>
      <c r="S3" s="13" t="s">
        <v>93</v>
      </c>
      <c r="T3" s="13" t="s">
        <v>92</v>
      </c>
      <c r="U3" s="13" t="s">
        <v>92</v>
      </c>
      <c r="V3" s="13" t="s">
        <v>92</v>
      </c>
      <c r="W3" s="13" t="s">
        <v>92</v>
      </c>
      <c r="X3" s="13" t="s">
        <v>92</v>
      </c>
      <c r="Y3" s="13" t="s">
        <v>92</v>
      </c>
      <c r="Z3" s="14" t="s">
        <v>93</v>
      </c>
      <c r="AA3" s="14" t="s">
        <v>92</v>
      </c>
      <c r="AB3" s="15" t="s">
        <v>93</v>
      </c>
      <c r="AC3" s="8" t="s">
        <v>93</v>
      </c>
      <c r="AD3" s="15" t="s">
        <v>92</v>
      </c>
      <c r="AE3" s="14" t="s">
        <v>103</v>
      </c>
      <c r="AF3" s="13" t="s">
        <v>93</v>
      </c>
      <c r="AG3" s="13" t="s">
        <v>104</v>
      </c>
      <c r="AH3" s="15">
        <v>2021.0</v>
      </c>
      <c r="AI3" s="13" t="s">
        <v>92</v>
      </c>
      <c r="AJ3" s="13" t="s">
        <v>93</v>
      </c>
      <c r="AK3" s="13" t="s">
        <v>93</v>
      </c>
      <c r="AL3" s="14" t="s">
        <v>92</v>
      </c>
      <c r="AM3" s="15" t="s">
        <v>105</v>
      </c>
      <c r="AN3" s="13" t="s">
        <v>105</v>
      </c>
      <c r="AO3" s="15" t="s">
        <v>93</v>
      </c>
      <c r="AP3" s="15" t="s">
        <v>92</v>
      </c>
      <c r="AQ3" s="13" t="s">
        <v>92</v>
      </c>
      <c r="AR3" s="13" t="s">
        <v>93</v>
      </c>
      <c r="AS3" s="13" t="s">
        <v>93</v>
      </c>
      <c r="AT3" s="13" t="s">
        <v>93</v>
      </c>
      <c r="AU3" s="13" t="s">
        <v>92</v>
      </c>
      <c r="AV3" s="13" t="s">
        <v>93</v>
      </c>
      <c r="AW3" s="13" t="s">
        <v>92</v>
      </c>
      <c r="AX3" s="13" t="s">
        <v>92</v>
      </c>
      <c r="AY3" s="15" t="s">
        <v>95</v>
      </c>
      <c r="AZ3" s="15" t="s">
        <v>95</v>
      </c>
      <c r="BA3" s="16" t="s">
        <v>85</v>
      </c>
      <c r="BB3" s="8" t="s">
        <v>97</v>
      </c>
      <c r="BC3" s="15" t="s">
        <v>92</v>
      </c>
      <c r="BD3" s="13" t="s">
        <v>93</v>
      </c>
      <c r="BE3" s="14" t="s">
        <v>93</v>
      </c>
      <c r="BF3" s="13" t="s">
        <v>92</v>
      </c>
      <c r="BG3" s="13" t="s">
        <v>92</v>
      </c>
      <c r="BH3" s="13" t="s">
        <v>92</v>
      </c>
      <c r="BI3" s="13" t="s">
        <v>92</v>
      </c>
      <c r="BJ3" s="13" t="s">
        <v>92</v>
      </c>
      <c r="BK3" s="14" t="s">
        <v>95</v>
      </c>
      <c r="BL3" s="14" t="s">
        <v>93</v>
      </c>
      <c r="BM3" s="14" t="s">
        <v>93</v>
      </c>
      <c r="BN3" s="14" t="s">
        <v>93</v>
      </c>
      <c r="BO3" s="14" t="s">
        <v>93</v>
      </c>
      <c r="BP3" s="14" t="s">
        <v>93</v>
      </c>
      <c r="BQ3" s="15" t="s">
        <v>92</v>
      </c>
      <c r="BR3" s="15" t="s">
        <v>92</v>
      </c>
      <c r="BS3" s="15" t="s">
        <v>93</v>
      </c>
      <c r="BT3" s="8" t="s">
        <v>93</v>
      </c>
      <c r="BU3" s="15" t="s">
        <v>92</v>
      </c>
      <c r="BV3" s="15" t="s">
        <v>93</v>
      </c>
      <c r="BW3" s="15" t="s">
        <v>92</v>
      </c>
      <c r="BX3" s="15" t="s">
        <v>92</v>
      </c>
      <c r="BY3" s="15" t="s">
        <v>92</v>
      </c>
      <c r="BZ3" s="8" t="s">
        <v>93</v>
      </c>
      <c r="CA3" s="8" t="s">
        <v>92</v>
      </c>
      <c r="CB3" s="17" t="s">
        <v>106</v>
      </c>
      <c r="CC3" s="17" t="s">
        <v>107</v>
      </c>
      <c r="CD3" s="18"/>
      <c r="CE3" s="18"/>
      <c r="CF3" s="18"/>
      <c r="CG3" s="18"/>
      <c r="CH3" s="14"/>
    </row>
    <row r="4">
      <c r="A4" s="8"/>
      <c r="B4" s="9" t="s">
        <v>85</v>
      </c>
      <c r="C4" s="10" t="s">
        <v>86</v>
      </c>
      <c r="D4" s="9" t="s">
        <v>87</v>
      </c>
      <c r="E4" s="11" t="s">
        <v>108</v>
      </c>
      <c r="F4" s="12"/>
      <c r="G4" s="13" t="s">
        <v>109</v>
      </c>
      <c r="H4" s="13" t="s">
        <v>110</v>
      </c>
      <c r="I4" s="14" t="s">
        <v>111</v>
      </c>
      <c r="J4" s="14" t="s">
        <v>93</v>
      </c>
      <c r="K4" s="14" t="s">
        <v>93</v>
      </c>
      <c r="L4" s="14" t="s">
        <v>92</v>
      </c>
      <c r="M4" s="14" t="s">
        <v>92</v>
      </c>
      <c r="N4" s="14" t="s">
        <v>92</v>
      </c>
      <c r="O4" s="13" t="s">
        <v>92</v>
      </c>
      <c r="P4" s="13" t="s">
        <v>92</v>
      </c>
      <c r="Q4" s="13" t="s">
        <v>92</v>
      </c>
      <c r="R4" s="13" t="s">
        <v>92</v>
      </c>
      <c r="S4" s="14" t="s">
        <v>93</v>
      </c>
      <c r="T4" s="13" t="s">
        <v>92</v>
      </c>
      <c r="U4" s="13" t="s">
        <v>92</v>
      </c>
      <c r="V4" s="13" t="s">
        <v>92</v>
      </c>
      <c r="W4" s="13" t="s">
        <v>92</v>
      </c>
      <c r="X4" s="13" t="s">
        <v>92</v>
      </c>
      <c r="Y4" s="13" t="s">
        <v>92</v>
      </c>
      <c r="Z4" s="13" t="s">
        <v>93</v>
      </c>
      <c r="AA4" s="14" t="s">
        <v>92</v>
      </c>
      <c r="AB4" s="8" t="s">
        <v>92</v>
      </c>
      <c r="AC4" s="15" t="s">
        <v>93</v>
      </c>
      <c r="AD4" s="15" t="s">
        <v>92</v>
      </c>
      <c r="AE4" s="14" t="s">
        <v>112</v>
      </c>
      <c r="AF4" s="14" t="s">
        <v>93</v>
      </c>
      <c r="AG4" s="14" t="s">
        <v>113</v>
      </c>
      <c r="AH4" s="15">
        <v>2014.0</v>
      </c>
      <c r="AI4" s="13" t="s">
        <v>93</v>
      </c>
      <c r="AJ4" s="13" t="s">
        <v>93</v>
      </c>
      <c r="AK4" s="13" t="s">
        <v>93</v>
      </c>
      <c r="AL4" s="14" t="s">
        <v>93</v>
      </c>
      <c r="AM4" s="8" t="s">
        <v>95</v>
      </c>
      <c r="AN4" s="13" t="s">
        <v>114</v>
      </c>
      <c r="AO4" s="15" t="s">
        <v>93</v>
      </c>
      <c r="AP4" s="15" t="s">
        <v>92</v>
      </c>
      <c r="AQ4" s="13" t="s">
        <v>92</v>
      </c>
      <c r="AR4" s="13" t="s">
        <v>93</v>
      </c>
      <c r="AS4" s="13" t="s">
        <v>93</v>
      </c>
      <c r="AT4" s="13" t="s">
        <v>93</v>
      </c>
      <c r="AU4" s="13" t="s">
        <v>92</v>
      </c>
      <c r="AV4" s="13" t="s">
        <v>93</v>
      </c>
      <c r="AW4" s="13" t="s">
        <v>92</v>
      </c>
      <c r="AX4" s="13" t="s">
        <v>92</v>
      </c>
      <c r="AY4" s="15" t="s">
        <v>95</v>
      </c>
      <c r="AZ4" s="15" t="s">
        <v>95</v>
      </c>
      <c r="BA4" s="16" t="s">
        <v>85</v>
      </c>
      <c r="BB4" s="8" t="s">
        <v>97</v>
      </c>
      <c r="BC4" s="15" t="s">
        <v>92</v>
      </c>
      <c r="BD4" s="13" t="s">
        <v>93</v>
      </c>
      <c r="BE4" s="13" t="s">
        <v>92</v>
      </c>
      <c r="BF4" s="13" t="s">
        <v>92</v>
      </c>
      <c r="BG4" s="13" t="s">
        <v>92</v>
      </c>
      <c r="BH4" s="13" t="s">
        <v>92</v>
      </c>
      <c r="BI4" s="13" t="s">
        <v>92</v>
      </c>
      <c r="BJ4" s="13" t="s">
        <v>92</v>
      </c>
      <c r="BK4" s="14" t="s">
        <v>105</v>
      </c>
      <c r="BL4" s="14" t="s">
        <v>105</v>
      </c>
      <c r="BM4" s="14" t="s">
        <v>105</v>
      </c>
      <c r="BN4" s="14" t="s">
        <v>105</v>
      </c>
      <c r="BO4" s="14" t="s">
        <v>105</v>
      </c>
      <c r="BP4" s="14" t="s">
        <v>105</v>
      </c>
      <c r="BQ4" s="15" t="s">
        <v>92</v>
      </c>
      <c r="BR4" s="15" t="s">
        <v>92</v>
      </c>
      <c r="BS4" s="8" t="s">
        <v>92</v>
      </c>
      <c r="BT4" s="15" t="s">
        <v>93</v>
      </c>
      <c r="BU4" s="15" t="s">
        <v>92</v>
      </c>
      <c r="BV4" s="8" t="s">
        <v>92</v>
      </c>
      <c r="BW4" s="15" t="s">
        <v>92</v>
      </c>
      <c r="BX4" s="15" t="s">
        <v>92</v>
      </c>
      <c r="BY4" s="15" t="s">
        <v>92</v>
      </c>
      <c r="BZ4" s="15" t="s">
        <v>92</v>
      </c>
      <c r="CA4" s="15" t="s">
        <v>92</v>
      </c>
      <c r="CB4" s="17" t="s">
        <v>99</v>
      </c>
      <c r="CC4" s="20" t="s">
        <v>115</v>
      </c>
      <c r="CD4" s="20" t="s">
        <v>106</v>
      </c>
      <c r="CE4" s="20" t="s">
        <v>116</v>
      </c>
      <c r="CF4" s="17" t="s">
        <v>117</v>
      </c>
      <c r="CG4" s="21"/>
      <c r="CH4" s="14"/>
    </row>
    <row r="5">
      <c r="A5" s="8"/>
      <c r="B5" s="9" t="s">
        <v>85</v>
      </c>
      <c r="C5" s="10" t="s">
        <v>86</v>
      </c>
      <c r="D5" s="22" t="s">
        <v>87</v>
      </c>
      <c r="E5" s="11" t="s">
        <v>118</v>
      </c>
      <c r="F5" s="12"/>
      <c r="G5" s="22" t="s">
        <v>119</v>
      </c>
      <c r="H5" s="22" t="s">
        <v>90</v>
      </c>
      <c r="I5" s="14" t="s">
        <v>120</v>
      </c>
      <c r="J5" s="22" t="s">
        <v>92</v>
      </c>
      <c r="K5" s="22" t="s">
        <v>92</v>
      </c>
      <c r="L5" s="22" t="s">
        <v>92</v>
      </c>
      <c r="M5" s="14" t="s">
        <v>92</v>
      </c>
      <c r="N5" s="14" t="s">
        <v>92</v>
      </c>
      <c r="O5" s="22" t="s">
        <v>92</v>
      </c>
      <c r="P5" s="22" t="s">
        <v>93</v>
      </c>
      <c r="Q5" s="22" t="s">
        <v>92</v>
      </c>
      <c r="R5" s="22" t="s">
        <v>92</v>
      </c>
      <c r="S5" s="14" t="s">
        <v>93</v>
      </c>
      <c r="T5" s="22" t="s">
        <v>92</v>
      </c>
      <c r="U5" s="22" t="s">
        <v>92</v>
      </c>
      <c r="V5" s="22" t="s">
        <v>92</v>
      </c>
      <c r="W5" s="22" t="s">
        <v>92</v>
      </c>
      <c r="X5" s="22" t="s">
        <v>92</v>
      </c>
      <c r="Y5" s="22" t="s">
        <v>92</v>
      </c>
      <c r="Z5" s="22" t="s">
        <v>92</v>
      </c>
      <c r="AA5" s="22" t="s">
        <v>92</v>
      </c>
      <c r="AB5" s="23" t="s">
        <v>93</v>
      </c>
      <c r="AC5" s="23" t="s">
        <v>92</v>
      </c>
      <c r="AD5" s="23" t="s">
        <v>92</v>
      </c>
      <c r="AE5" s="14" t="s">
        <v>103</v>
      </c>
      <c r="AF5" s="22" t="s">
        <v>92</v>
      </c>
      <c r="AG5" s="22" t="s">
        <v>95</v>
      </c>
      <c r="AH5" s="23">
        <v>2016.0</v>
      </c>
      <c r="AI5" s="22" t="s">
        <v>93</v>
      </c>
      <c r="AJ5" s="22" t="s">
        <v>93</v>
      </c>
      <c r="AK5" s="22" t="s">
        <v>93</v>
      </c>
      <c r="AL5" s="22" t="s">
        <v>93</v>
      </c>
      <c r="AM5" s="23" t="s">
        <v>95</v>
      </c>
      <c r="AN5" s="22" t="s">
        <v>114</v>
      </c>
      <c r="AO5" s="23" t="s">
        <v>93</v>
      </c>
      <c r="AP5" s="23" t="s">
        <v>92</v>
      </c>
      <c r="AQ5" s="22" t="s">
        <v>92</v>
      </c>
      <c r="AR5" s="22" t="s">
        <v>93</v>
      </c>
      <c r="AS5" s="22" t="s">
        <v>93</v>
      </c>
      <c r="AT5" s="22" t="s">
        <v>93</v>
      </c>
      <c r="AU5" s="22" t="s">
        <v>92</v>
      </c>
      <c r="AV5" s="13" t="s">
        <v>93</v>
      </c>
      <c r="AW5" s="22" t="s">
        <v>92</v>
      </c>
      <c r="AX5" s="22" t="s">
        <v>92</v>
      </c>
      <c r="AY5" s="23" t="s">
        <v>95</v>
      </c>
      <c r="AZ5" s="8" t="s">
        <v>95</v>
      </c>
      <c r="BA5" s="22" t="s">
        <v>85</v>
      </c>
      <c r="BB5" s="23" t="s">
        <v>97</v>
      </c>
      <c r="BC5" s="23" t="s">
        <v>92</v>
      </c>
      <c r="BD5" s="14" t="s">
        <v>93</v>
      </c>
      <c r="BE5" s="22" t="s">
        <v>92</v>
      </c>
      <c r="BF5" s="22" t="s">
        <v>92</v>
      </c>
      <c r="BG5" s="22" t="s">
        <v>92</v>
      </c>
      <c r="BH5" s="22" t="s">
        <v>92</v>
      </c>
      <c r="BI5" s="22" t="s">
        <v>92</v>
      </c>
      <c r="BJ5" s="22" t="s">
        <v>92</v>
      </c>
      <c r="BK5" s="22" t="s">
        <v>98</v>
      </c>
      <c r="BL5" s="22" t="s">
        <v>92</v>
      </c>
      <c r="BM5" s="22" t="s">
        <v>92</v>
      </c>
      <c r="BN5" s="22" t="s">
        <v>92</v>
      </c>
      <c r="BO5" s="22" t="s">
        <v>92</v>
      </c>
      <c r="BP5" s="22" t="s">
        <v>93</v>
      </c>
      <c r="BQ5" s="23" t="s">
        <v>92</v>
      </c>
      <c r="BR5" s="23" t="s">
        <v>92</v>
      </c>
      <c r="BS5" s="23" t="s">
        <v>93</v>
      </c>
      <c r="BT5" s="23" t="s">
        <v>92</v>
      </c>
      <c r="BU5" s="23" t="s">
        <v>92</v>
      </c>
      <c r="BV5" s="23" t="s">
        <v>92</v>
      </c>
      <c r="BW5" s="23" t="s">
        <v>92</v>
      </c>
      <c r="BX5" s="23" t="s">
        <v>92</v>
      </c>
      <c r="BY5" s="23" t="s">
        <v>92</v>
      </c>
      <c r="BZ5" s="23" t="s">
        <v>92</v>
      </c>
      <c r="CA5" s="8" t="s">
        <v>92</v>
      </c>
      <c r="CB5" s="17" t="s">
        <v>99</v>
      </c>
      <c r="CC5" s="24" t="s">
        <v>121</v>
      </c>
      <c r="CD5" s="18"/>
      <c r="CE5" s="18"/>
      <c r="CF5" s="18"/>
      <c r="CG5" s="18"/>
      <c r="CH5" s="14"/>
    </row>
    <row r="6">
      <c r="A6" s="8"/>
      <c r="B6" s="9" t="s">
        <v>85</v>
      </c>
      <c r="C6" s="10" t="s">
        <v>86</v>
      </c>
      <c r="D6" s="9" t="s">
        <v>87</v>
      </c>
      <c r="E6" s="11" t="s">
        <v>122</v>
      </c>
      <c r="F6" s="12"/>
      <c r="G6" s="14" t="s">
        <v>123</v>
      </c>
      <c r="H6" s="14" t="s">
        <v>90</v>
      </c>
      <c r="I6" s="14" t="s">
        <v>124</v>
      </c>
      <c r="J6" s="14" t="s">
        <v>92</v>
      </c>
      <c r="K6" s="14" t="s">
        <v>92</v>
      </c>
      <c r="L6" s="14" t="s">
        <v>92</v>
      </c>
      <c r="M6" s="14" t="s">
        <v>92</v>
      </c>
      <c r="N6" s="14" t="s">
        <v>92</v>
      </c>
      <c r="O6" s="14" t="s">
        <v>92</v>
      </c>
      <c r="P6" s="14" t="s">
        <v>92</v>
      </c>
      <c r="Q6" s="14" t="s">
        <v>92</v>
      </c>
      <c r="R6" s="14" t="s">
        <v>92</v>
      </c>
      <c r="S6" s="14" t="s">
        <v>93</v>
      </c>
      <c r="T6" s="14" t="s">
        <v>92</v>
      </c>
      <c r="U6" s="14" t="s">
        <v>92</v>
      </c>
      <c r="V6" s="14" t="s">
        <v>92</v>
      </c>
      <c r="W6" s="14" t="s">
        <v>92</v>
      </c>
      <c r="X6" s="14" t="s">
        <v>92</v>
      </c>
      <c r="Y6" s="14" t="s">
        <v>92</v>
      </c>
      <c r="Z6" s="14" t="s">
        <v>93</v>
      </c>
      <c r="AA6" s="14" t="s">
        <v>92</v>
      </c>
      <c r="AB6" s="8" t="s">
        <v>92</v>
      </c>
      <c r="AC6" s="8" t="s">
        <v>93</v>
      </c>
      <c r="AD6" s="8" t="s">
        <v>92</v>
      </c>
      <c r="AE6" s="14" t="s">
        <v>112</v>
      </c>
      <c r="AF6" s="14" t="s">
        <v>92</v>
      </c>
      <c r="AG6" s="14" t="s">
        <v>95</v>
      </c>
      <c r="AH6" s="8">
        <v>2020.0</v>
      </c>
      <c r="AI6" s="14" t="s">
        <v>93</v>
      </c>
      <c r="AJ6" s="14" t="s">
        <v>92</v>
      </c>
      <c r="AK6" s="14" t="s">
        <v>92</v>
      </c>
      <c r="AL6" s="14" t="s">
        <v>92</v>
      </c>
      <c r="AM6" s="8" t="s">
        <v>105</v>
      </c>
      <c r="AN6" s="14" t="s">
        <v>105</v>
      </c>
      <c r="AO6" s="8" t="s">
        <v>105</v>
      </c>
      <c r="AP6" s="8" t="s">
        <v>92</v>
      </c>
      <c r="AQ6" s="14" t="s">
        <v>92</v>
      </c>
      <c r="AR6" s="14" t="s">
        <v>93</v>
      </c>
      <c r="AS6" s="14" t="s">
        <v>93</v>
      </c>
      <c r="AT6" s="14" t="s">
        <v>93</v>
      </c>
      <c r="AU6" s="14" t="s">
        <v>92</v>
      </c>
      <c r="AV6" s="13" t="s">
        <v>93</v>
      </c>
      <c r="AW6" s="14" t="s">
        <v>92</v>
      </c>
      <c r="AX6" s="14" t="s">
        <v>92</v>
      </c>
      <c r="AY6" s="8" t="s">
        <v>95</v>
      </c>
      <c r="AZ6" s="8" t="s">
        <v>95</v>
      </c>
      <c r="BA6" s="9" t="s">
        <v>85</v>
      </c>
      <c r="BB6" s="8" t="s">
        <v>97</v>
      </c>
      <c r="BC6" s="8" t="s">
        <v>92</v>
      </c>
      <c r="BD6" s="14" t="s">
        <v>93</v>
      </c>
      <c r="BE6" s="14" t="s">
        <v>92</v>
      </c>
      <c r="BF6" s="14" t="s">
        <v>92</v>
      </c>
      <c r="BG6" s="14" t="s">
        <v>92</v>
      </c>
      <c r="BH6" s="14" t="s">
        <v>92</v>
      </c>
      <c r="BI6" s="14" t="s">
        <v>92</v>
      </c>
      <c r="BJ6" s="14" t="s">
        <v>92</v>
      </c>
      <c r="BK6" s="14" t="s">
        <v>95</v>
      </c>
      <c r="BL6" s="14" t="s">
        <v>93</v>
      </c>
      <c r="BM6" s="14" t="s">
        <v>93</v>
      </c>
      <c r="BN6" s="14" t="s">
        <v>93</v>
      </c>
      <c r="BO6" s="14" t="s">
        <v>93</v>
      </c>
      <c r="BP6" s="14" t="s">
        <v>93</v>
      </c>
      <c r="BQ6" s="8" t="s">
        <v>92</v>
      </c>
      <c r="BR6" s="8" t="s">
        <v>92</v>
      </c>
      <c r="BS6" s="8" t="s">
        <v>92</v>
      </c>
      <c r="BT6" s="8" t="s">
        <v>93</v>
      </c>
      <c r="BU6" s="8" t="s">
        <v>92</v>
      </c>
      <c r="BV6" s="8" t="s">
        <v>93</v>
      </c>
      <c r="BW6" s="8" t="s">
        <v>92</v>
      </c>
      <c r="BX6" s="8" t="s">
        <v>93</v>
      </c>
      <c r="BY6" s="8" t="s">
        <v>92</v>
      </c>
      <c r="BZ6" s="8" t="s">
        <v>92</v>
      </c>
      <c r="CA6" s="8" t="s">
        <v>92</v>
      </c>
      <c r="CB6" s="17" t="s">
        <v>99</v>
      </c>
      <c r="CC6" s="18"/>
      <c r="CD6" s="18"/>
      <c r="CE6" s="18"/>
      <c r="CF6" s="18"/>
      <c r="CG6" s="18"/>
      <c r="CH6" s="14"/>
    </row>
    <row r="7">
      <c r="A7" s="8"/>
      <c r="B7" s="9" t="s">
        <v>85</v>
      </c>
      <c r="C7" s="10" t="s">
        <v>86</v>
      </c>
      <c r="D7" s="9" t="s">
        <v>87</v>
      </c>
      <c r="E7" s="11" t="s">
        <v>125</v>
      </c>
      <c r="F7" s="25"/>
      <c r="G7" s="14" t="s">
        <v>126</v>
      </c>
      <c r="H7" s="14" t="s">
        <v>110</v>
      </c>
      <c r="I7" s="14" t="s">
        <v>127</v>
      </c>
      <c r="J7" s="14" t="s">
        <v>93</v>
      </c>
      <c r="K7" s="14" t="s">
        <v>92</v>
      </c>
      <c r="L7" s="14" t="s">
        <v>93</v>
      </c>
      <c r="M7" s="14" t="s">
        <v>92</v>
      </c>
      <c r="N7" s="14" t="s">
        <v>92</v>
      </c>
      <c r="O7" s="14" t="s">
        <v>92</v>
      </c>
      <c r="P7" s="14" t="s">
        <v>92</v>
      </c>
      <c r="Q7" s="14" t="s">
        <v>92</v>
      </c>
      <c r="R7" s="14" t="s">
        <v>92</v>
      </c>
      <c r="S7" s="14" t="s">
        <v>92</v>
      </c>
      <c r="T7" s="14" t="s">
        <v>92</v>
      </c>
      <c r="U7" s="14" t="s">
        <v>92</v>
      </c>
      <c r="V7" s="14" t="s">
        <v>92</v>
      </c>
      <c r="W7" s="14" t="s">
        <v>92</v>
      </c>
      <c r="X7" s="14" t="s">
        <v>92</v>
      </c>
      <c r="Y7" s="14" t="s">
        <v>92</v>
      </c>
      <c r="Z7" s="14" t="s">
        <v>93</v>
      </c>
      <c r="AA7" s="14" t="s">
        <v>92</v>
      </c>
      <c r="AB7" s="8" t="s">
        <v>92</v>
      </c>
      <c r="AC7" s="8" t="s">
        <v>93</v>
      </c>
      <c r="AD7" s="8" t="s">
        <v>92</v>
      </c>
      <c r="AE7" s="14" t="s">
        <v>112</v>
      </c>
      <c r="AF7" s="14" t="s">
        <v>92</v>
      </c>
      <c r="AG7" s="14" t="s">
        <v>95</v>
      </c>
      <c r="AH7" s="8">
        <v>2021.0</v>
      </c>
      <c r="AI7" s="14" t="s">
        <v>92</v>
      </c>
      <c r="AJ7" s="14" t="s">
        <v>93</v>
      </c>
      <c r="AK7" s="14" t="s">
        <v>93</v>
      </c>
      <c r="AL7" s="14" t="s">
        <v>93</v>
      </c>
      <c r="AM7" s="8" t="s">
        <v>95</v>
      </c>
      <c r="AN7" s="14" t="s">
        <v>114</v>
      </c>
      <c r="AO7" s="8" t="s">
        <v>93</v>
      </c>
      <c r="AP7" s="8" t="s">
        <v>92</v>
      </c>
      <c r="AQ7" s="14" t="s">
        <v>92</v>
      </c>
      <c r="AR7" s="14" t="s">
        <v>93</v>
      </c>
      <c r="AS7" s="14" t="s">
        <v>93</v>
      </c>
      <c r="AT7" s="14" t="s">
        <v>93</v>
      </c>
      <c r="AU7" s="14" t="s">
        <v>92</v>
      </c>
      <c r="AV7" s="13" t="s">
        <v>93</v>
      </c>
      <c r="AW7" s="14" t="s">
        <v>92</v>
      </c>
      <c r="AX7" s="14" t="s">
        <v>92</v>
      </c>
      <c r="AY7" s="8" t="s">
        <v>95</v>
      </c>
      <c r="AZ7" s="8" t="s">
        <v>95</v>
      </c>
      <c r="BA7" s="9" t="s">
        <v>128</v>
      </c>
      <c r="BB7" s="8" t="s">
        <v>97</v>
      </c>
      <c r="BC7" s="8" t="s">
        <v>92</v>
      </c>
      <c r="BD7" s="14" t="s">
        <v>93</v>
      </c>
      <c r="BE7" s="14" t="s">
        <v>92</v>
      </c>
      <c r="BF7" s="14" t="s">
        <v>92</v>
      </c>
      <c r="BG7" s="14" t="s">
        <v>92</v>
      </c>
      <c r="BH7" s="14" t="s">
        <v>92</v>
      </c>
      <c r="BI7" s="14" t="s">
        <v>92</v>
      </c>
      <c r="BJ7" s="14" t="s">
        <v>92</v>
      </c>
      <c r="BK7" s="14" t="s">
        <v>98</v>
      </c>
      <c r="BL7" s="14" t="s">
        <v>92</v>
      </c>
      <c r="BM7" s="14" t="s">
        <v>92</v>
      </c>
      <c r="BN7" s="14" t="s">
        <v>92</v>
      </c>
      <c r="BO7" s="14" t="s">
        <v>92</v>
      </c>
      <c r="BP7" s="14" t="s">
        <v>93</v>
      </c>
      <c r="BQ7" s="8" t="s">
        <v>92</v>
      </c>
      <c r="BR7" s="8" t="s">
        <v>92</v>
      </c>
      <c r="BS7" s="8" t="s">
        <v>92</v>
      </c>
      <c r="BT7" s="8" t="s">
        <v>93</v>
      </c>
      <c r="BU7" s="8" t="s">
        <v>92</v>
      </c>
      <c r="BV7" s="8" t="s">
        <v>92</v>
      </c>
      <c r="BW7" s="8" t="s">
        <v>92</v>
      </c>
      <c r="BX7" s="8" t="s">
        <v>92</v>
      </c>
      <c r="BY7" s="8" t="s">
        <v>92</v>
      </c>
      <c r="BZ7" s="8" t="s">
        <v>93</v>
      </c>
      <c r="CA7" s="8" t="s">
        <v>92</v>
      </c>
      <c r="CB7" s="20" t="s">
        <v>129</v>
      </c>
      <c r="CC7" s="20" t="s">
        <v>116</v>
      </c>
      <c r="CD7" s="18"/>
      <c r="CE7" s="18"/>
      <c r="CF7" s="18"/>
      <c r="CG7" s="18"/>
      <c r="CH7" s="14"/>
    </row>
    <row r="8">
      <c r="A8" s="8"/>
      <c r="B8" s="9" t="s">
        <v>85</v>
      </c>
      <c r="C8" s="10" t="s">
        <v>86</v>
      </c>
      <c r="D8" s="9" t="s">
        <v>87</v>
      </c>
      <c r="E8" s="11" t="s">
        <v>130</v>
      </c>
      <c r="F8" s="12"/>
      <c r="G8" s="14" t="s">
        <v>131</v>
      </c>
      <c r="H8" s="14" t="s">
        <v>90</v>
      </c>
      <c r="I8" s="14" t="s">
        <v>132</v>
      </c>
      <c r="J8" s="14" t="s">
        <v>92</v>
      </c>
      <c r="K8" s="14" t="s">
        <v>93</v>
      </c>
      <c r="L8" s="14" t="s">
        <v>93</v>
      </c>
      <c r="M8" s="14" t="s">
        <v>92</v>
      </c>
      <c r="N8" s="14" t="s">
        <v>92</v>
      </c>
      <c r="O8" s="14" t="s">
        <v>92</v>
      </c>
      <c r="P8" s="14" t="s">
        <v>93</v>
      </c>
      <c r="Q8" s="14" t="s">
        <v>92</v>
      </c>
      <c r="R8" s="14" t="s">
        <v>92</v>
      </c>
      <c r="S8" s="14" t="s">
        <v>93</v>
      </c>
      <c r="T8" s="14" t="s">
        <v>92</v>
      </c>
      <c r="U8" s="14" t="s">
        <v>92</v>
      </c>
      <c r="V8" s="14" t="s">
        <v>92</v>
      </c>
      <c r="W8" s="14" t="s">
        <v>92</v>
      </c>
      <c r="X8" s="14" t="s">
        <v>92</v>
      </c>
      <c r="Y8" s="14" t="s">
        <v>92</v>
      </c>
      <c r="Z8" s="14" t="s">
        <v>92</v>
      </c>
      <c r="AA8" s="14" t="s">
        <v>92</v>
      </c>
      <c r="AB8" s="8" t="s">
        <v>93</v>
      </c>
      <c r="AC8" s="8" t="s">
        <v>92</v>
      </c>
      <c r="AD8" s="8" t="s">
        <v>92</v>
      </c>
      <c r="AE8" s="14" t="s">
        <v>103</v>
      </c>
      <c r="AF8" s="14" t="s">
        <v>92</v>
      </c>
      <c r="AG8" s="14" t="s">
        <v>95</v>
      </c>
      <c r="AH8" s="8">
        <v>2022.0</v>
      </c>
      <c r="AI8" s="14" t="s">
        <v>92</v>
      </c>
      <c r="AJ8" s="14" t="s">
        <v>92</v>
      </c>
      <c r="AK8" s="14" t="s">
        <v>93</v>
      </c>
      <c r="AL8" s="14" t="s">
        <v>92</v>
      </c>
      <c r="AM8" s="8" t="s">
        <v>105</v>
      </c>
      <c r="AN8" s="14" t="s">
        <v>105</v>
      </c>
      <c r="AO8" s="8" t="s">
        <v>105</v>
      </c>
      <c r="AP8" s="8" t="s">
        <v>92</v>
      </c>
      <c r="AQ8" s="14" t="s">
        <v>92</v>
      </c>
      <c r="AR8" s="14" t="s">
        <v>93</v>
      </c>
      <c r="AS8" s="14" t="s">
        <v>93</v>
      </c>
      <c r="AT8" s="14" t="s">
        <v>93</v>
      </c>
      <c r="AU8" s="14" t="s">
        <v>92</v>
      </c>
      <c r="AV8" s="13" t="s">
        <v>93</v>
      </c>
      <c r="AW8" s="14" t="s">
        <v>92</v>
      </c>
      <c r="AX8" s="14" t="s">
        <v>92</v>
      </c>
      <c r="AY8" s="8" t="s">
        <v>95</v>
      </c>
      <c r="AZ8" s="8" t="s">
        <v>95</v>
      </c>
      <c r="BA8" s="9" t="s">
        <v>85</v>
      </c>
      <c r="BB8" s="8" t="s">
        <v>97</v>
      </c>
      <c r="BC8" s="8" t="s">
        <v>92</v>
      </c>
      <c r="BD8" s="14" t="s">
        <v>93</v>
      </c>
      <c r="BE8" s="14" t="s">
        <v>92</v>
      </c>
      <c r="BF8" s="14" t="s">
        <v>92</v>
      </c>
      <c r="BG8" s="14" t="s">
        <v>92</v>
      </c>
      <c r="BH8" s="14" t="s">
        <v>92</v>
      </c>
      <c r="BI8" s="14" t="s">
        <v>92</v>
      </c>
      <c r="BJ8" s="14" t="s">
        <v>92</v>
      </c>
      <c r="BK8" s="14" t="s">
        <v>98</v>
      </c>
      <c r="BL8" s="14" t="s">
        <v>92</v>
      </c>
      <c r="BM8" s="14" t="s">
        <v>92</v>
      </c>
      <c r="BN8" s="14" t="s">
        <v>92</v>
      </c>
      <c r="BO8" s="14" t="s">
        <v>92</v>
      </c>
      <c r="BP8" s="14" t="s">
        <v>93</v>
      </c>
      <c r="BQ8" s="8" t="s">
        <v>92</v>
      </c>
      <c r="BR8" s="8" t="s">
        <v>92</v>
      </c>
      <c r="BS8" s="8" t="s">
        <v>93</v>
      </c>
      <c r="BT8" s="8" t="s">
        <v>92</v>
      </c>
      <c r="BU8" s="8" t="s">
        <v>92</v>
      </c>
      <c r="BV8" s="8" t="s">
        <v>92</v>
      </c>
      <c r="BW8" s="8" t="s">
        <v>92</v>
      </c>
      <c r="BX8" s="8" t="s">
        <v>92</v>
      </c>
      <c r="BY8" s="8" t="s">
        <v>92</v>
      </c>
      <c r="BZ8" s="8" t="s">
        <v>92</v>
      </c>
      <c r="CA8" s="8" t="s">
        <v>92</v>
      </c>
      <c r="CB8" s="20" t="s">
        <v>133</v>
      </c>
      <c r="CC8" s="18"/>
      <c r="CD8" s="18"/>
      <c r="CE8" s="18"/>
      <c r="CF8" s="18"/>
      <c r="CG8" s="18"/>
      <c r="CH8" s="14"/>
    </row>
    <row r="9">
      <c r="A9" s="8"/>
      <c r="B9" s="9" t="s">
        <v>85</v>
      </c>
      <c r="C9" s="10" t="s">
        <v>86</v>
      </c>
      <c r="D9" s="9" t="s">
        <v>87</v>
      </c>
      <c r="E9" s="11" t="s">
        <v>134</v>
      </c>
      <c r="F9" s="12"/>
      <c r="G9" s="14" t="s">
        <v>135</v>
      </c>
      <c r="H9" s="14" t="s">
        <v>110</v>
      </c>
      <c r="I9" s="14" t="s">
        <v>136</v>
      </c>
      <c r="J9" s="14" t="s">
        <v>92</v>
      </c>
      <c r="K9" s="14" t="s">
        <v>92</v>
      </c>
      <c r="L9" s="14" t="s">
        <v>92</v>
      </c>
      <c r="M9" s="14" t="s">
        <v>92</v>
      </c>
      <c r="N9" s="14" t="s">
        <v>92</v>
      </c>
      <c r="O9" s="14" t="s">
        <v>92</v>
      </c>
      <c r="P9" s="14" t="s">
        <v>92</v>
      </c>
      <c r="Q9" s="14" t="s">
        <v>92</v>
      </c>
      <c r="R9" s="14" t="s">
        <v>92</v>
      </c>
      <c r="S9" s="14" t="s">
        <v>92</v>
      </c>
      <c r="T9" s="14" t="s">
        <v>92</v>
      </c>
      <c r="U9" s="14" t="s">
        <v>92</v>
      </c>
      <c r="V9" s="14" t="s">
        <v>92</v>
      </c>
      <c r="W9" s="14" t="s">
        <v>92</v>
      </c>
      <c r="X9" s="14" t="s">
        <v>93</v>
      </c>
      <c r="Y9" s="14" t="s">
        <v>92</v>
      </c>
      <c r="Z9" s="14" t="s">
        <v>93</v>
      </c>
      <c r="AA9" s="14" t="s">
        <v>92</v>
      </c>
      <c r="AB9" s="8" t="s">
        <v>92</v>
      </c>
      <c r="AC9" s="8" t="s">
        <v>93</v>
      </c>
      <c r="AD9" s="8" t="s">
        <v>92</v>
      </c>
      <c r="AE9" s="14" t="s">
        <v>112</v>
      </c>
      <c r="AF9" s="14" t="s">
        <v>92</v>
      </c>
      <c r="AG9" s="14" t="s">
        <v>95</v>
      </c>
      <c r="AH9" s="8" t="s">
        <v>105</v>
      </c>
      <c r="AI9" s="14" t="s">
        <v>92</v>
      </c>
      <c r="AJ9" s="14" t="s">
        <v>93</v>
      </c>
      <c r="AK9" s="14" t="s">
        <v>93</v>
      </c>
      <c r="AL9" s="14" t="s">
        <v>93</v>
      </c>
      <c r="AM9" s="8" t="s">
        <v>95</v>
      </c>
      <c r="AN9" s="14" t="s">
        <v>114</v>
      </c>
      <c r="AO9" s="8" t="s">
        <v>93</v>
      </c>
      <c r="AP9" s="8" t="s">
        <v>92</v>
      </c>
      <c r="AQ9" s="14" t="s">
        <v>92</v>
      </c>
      <c r="AR9" s="14" t="s">
        <v>93</v>
      </c>
      <c r="AS9" s="14" t="s">
        <v>93</v>
      </c>
      <c r="AT9" s="14" t="s">
        <v>93</v>
      </c>
      <c r="AU9" s="14" t="s">
        <v>92</v>
      </c>
      <c r="AV9" s="14" t="s">
        <v>93</v>
      </c>
      <c r="AW9" s="14" t="s">
        <v>92</v>
      </c>
      <c r="AX9" s="14" t="s">
        <v>92</v>
      </c>
      <c r="AY9" s="15" t="s">
        <v>95</v>
      </c>
      <c r="AZ9" s="15" t="s">
        <v>95</v>
      </c>
      <c r="BA9" s="16" t="s">
        <v>137</v>
      </c>
      <c r="BB9" s="8" t="s">
        <v>97</v>
      </c>
      <c r="BC9" s="8" t="s">
        <v>92</v>
      </c>
      <c r="BD9" s="14" t="s">
        <v>93</v>
      </c>
      <c r="BE9" s="14" t="s">
        <v>92</v>
      </c>
      <c r="BF9" s="14" t="s">
        <v>92</v>
      </c>
      <c r="BG9" s="14" t="s">
        <v>92</v>
      </c>
      <c r="BH9" s="14" t="s">
        <v>92</v>
      </c>
      <c r="BI9" s="14" t="s">
        <v>92</v>
      </c>
      <c r="BJ9" s="14" t="s">
        <v>92</v>
      </c>
      <c r="BK9" s="14" t="s">
        <v>138</v>
      </c>
      <c r="BL9" s="14" t="s">
        <v>93</v>
      </c>
      <c r="BM9" s="14" t="s">
        <v>92</v>
      </c>
      <c r="BN9" s="14" t="s">
        <v>92</v>
      </c>
      <c r="BO9" s="14" t="s">
        <v>92</v>
      </c>
      <c r="BP9" s="14" t="s">
        <v>93</v>
      </c>
      <c r="BQ9" s="8" t="s">
        <v>92</v>
      </c>
      <c r="BR9" s="8" t="s">
        <v>92</v>
      </c>
      <c r="BS9" s="8" t="s">
        <v>92</v>
      </c>
      <c r="BT9" s="8" t="s">
        <v>93</v>
      </c>
      <c r="BU9" s="8" t="s">
        <v>92</v>
      </c>
      <c r="BV9" s="8" t="s">
        <v>92</v>
      </c>
      <c r="BW9" s="8" t="s">
        <v>92</v>
      </c>
      <c r="BX9" s="8" t="s">
        <v>92</v>
      </c>
      <c r="BY9" s="8" t="s">
        <v>92</v>
      </c>
      <c r="BZ9" s="8" t="s">
        <v>92</v>
      </c>
      <c r="CA9" s="8" t="s">
        <v>92</v>
      </c>
      <c r="CB9" s="20" t="s">
        <v>129</v>
      </c>
      <c r="CC9" s="20" t="s">
        <v>133</v>
      </c>
      <c r="CD9" s="20" t="s">
        <v>116</v>
      </c>
      <c r="CE9" s="18"/>
      <c r="CF9" s="18"/>
      <c r="CG9" s="18"/>
      <c r="CH9" s="14"/>
    </row>
    <row r="10">
      <c r="A10" s="8"/>
      <c r="B10" s="9" t="s">
        <v>85</v>
      </c>
      <c r="C10" s="10" t="s">
        <v>86</v>
      </c>
      <c r="D10" s="22" t="s">
        <v>87</v>
      </c>
      <c r="E10" s="11" t="s">
        <v>139</v>
      </c>
      <c r="F10" s="12"/>
      <c r="G10" s="22" t="s">
        <v>140</v>
      </c>
      <c r="H10" s="22" t="s">
        <v>90</v>
      </c>
      <c r="I10" s="22" t="s">
        <v>141</v>
      </c>
      <c r="J10" s="22" t="s">
        <v>92</v>
      </c>
      <c r="K10" s="22" t="s">
        <v>92</v>
      </c>
      <c r="L10" s="22" t="s">
        <v>92</v>
      </c>
      <c r="M10" s="22" t="s">
        <v>93</v>
      </c>
      <c r="N10" s="14" t="s">
        <v>92</v>
      </c>
      <c r="O10" s="22" t="s">
        <v>92</v>
      </c>
      <c r="P10" s="22" t="s">
        <v>93</v>
      </c>
      <c r="Q10" s="22" t="s">
        <v>92</v>
      </c>
      <c r="R10" s="22" t="s">
        <v>93</v>
      </c>
      <c r="S10" s="22" t="s">
        <v>92</v>
      </c>
      <c r="T10" s="22" t="s">
        <v>92</v>
      </c>
      <c r="U10" s="22" t="s">
        <v>93</v>
      </c>
      <c r="V10" s="22" t="s">
        <v>92</v>
      </c>
      <c r="W10" s="22" t="s">
        <v>92</v>
      </c>
      <c r="X10" s="22" t="s">
        <v>92</v>
      </c>
      <c r="Y10" s="22" t="s">
        <v>92</v>
      </c>
      <c r="Z10" s="22" t="s">
        <v>92</v>
      </c>
      <c r="AA10" s="22" t="s">
        <v>92</v>
      </c>
      <c r="AB10" s="23" t="s">
        <v>93</v>
      </c>
      <c r="AC10" s="23" t="s">
        <v>92</v>
      </c>
      <c r="AD10" s="23" t="s">
        <v>92</v>
      </c>
      <c r="AE10" s="22" t="s">
        <v>94</v>
      </c>
      <c r="AF10" s="22" t="s">
        <v>92</v>
      </c>
      <c r="AG10" s="22" t="s">
        <v>95</v>
      </c>
      <c r="AH10" s="23">
        <v>1996.0</v>
      </c>
      <c r="AI10" s="22" t="s">
        <v>93</v>
      </c>
      <c r="AJ10" s="22" t="s">
        <v>93</v>
      </c>
      <c r="AK10" s="22" t="s">
        <v>93</v>
      </c>
      <c r="AL10" s="22" t="s">
        <v>93</v>
      </c>
      <c r="AM10" s="15" t="s">
        <v>95</v>
      </c>
      <c r="AN10" s="13" t="s">
        <v>114</v>
      </c>
      <c r="AO10" s="23" t="s">
        <v>93</v>
      </c>
      <c r="AP10" s="23" t="s">
        <v>92</v>
      </c>
      <c r="AQ10" s="13" t="s">
        <v>92</v>
      </c>
      <c r="AR10" s="22" t="s">
        <v>93</v>
      </c>
      <c r="AS10" s="13" t="s">
        <v>93</v>
      </c>
      <c r="AT10" s="13" t="s">
        <v>93</v>
      </c>
      <c r="AU10" s="13" t="s">
        <v>92</v>
      </c>
      <c r="AV10" s="13" t="s">
        <v>93</v>
      </c>
      <c r="AW10" s="13" t="s">
        <v>92</v>
      </c>
      <c r="AX10" s="13" t="s">
        <v>92</v>
      </c>
      <c r="AY10" s="23" t="s">
        <v>95</v>
      </c>
      <c r="AZ10" s="23" t="s">
        <v>95</v>
      </c>
      <c r="BA10" s="22" t="s">
        <v>142</v>
      </c>
      <c r="BB10" s="23" t="s">
        <v>143</v>
      </c>
      <c r="BC10" s="23" t="s">
        <v>92</v>
      </c>
      <c r="BD10" s="22" t="s">
        <v>92</v>
      </c>
      <c r="BE10" s="22" t="s">
        <v>92</v>
      </c>
      <c r="BF10" s="22" t="s">
        <v>92</v>
      </c>
      <c r="BG10" s="22" t="s">
        <v>92</v>
      </c>
      <c r="BH10" s="22" t="s">
        <v>92</v>
      </c>
      <c r="BI10" s="22" t="s">
        <v>93</v>
      </c>
      <c r="BJ10" s="22" t="s">
        <v>92</v>
      </c>
      <c r="BK10" s="22" t="s">
        <v>98</v>
      </c>
      <c r="BL10" s="22" t="s">
        <v>92</v>
      </c>
      <c r="BM10" s="22" t="s">
        <v>92</v>
      </c>
      <c r="BN10" s="22" t="s">
        <v>92</v>
      </c>
      <c r="BO10" s="22" t="s">
        <v>92</v>
      </c>
      <c r="BP10" s="22" t="s">
        <v>93</v>
      </c>
      <c r="BQ10" s="23" t="s">
        <v>93</v>
      </c>
      <c r="BR10" s="23" t="s">
        <v>92</v>
      </c>
      <c r="BS10" s="23" t="s">
        <v>92</v>
      </c>
      <c r="BT10" s="23" t="s">
        <v>92</v>
      </c>
      <c r="BU10" s="23" t="s">
        <v>92</v>
      </c>
      <c r="BV10" s="23" t="s">
        <v>92</v>
      </c>
      <c r="BW10" s="23" t="s">
        <v>92</v>
      </c>
      <c r="BX10" s="23" t="s">
        <v>92</v>
      </c>
      <c r="BY10" s="23" t="s">
        <v>92</v>
      </c>
      <c r="BZ10" s="23" t="s">
        <v>92</v>
      </c>
      <c r="CA10" s="23" t="s">
        <v>92</v>
      </c>
      <c r="CB10" s="17" t="s">
        <v>144</v>
      </c>
      <c r="CC10" s="17" t="s">
        <v>129</v>
      </c>
      <c r="CD10" s="17" t="s">
        <v>99</v>
      </c>
      <c r="CE10" s="17" t="s">
        <v>116</v>
      </c>
      <c r="CF10" s="18"/>
      <c r="CG10" s="18"/>
      <c r="CH10" s="14"/>
    </row>
    <row r="11">
      <c r="A11" s="8"/>
      <c r="B11" s="9" t="s">
        <v>85</v>
      </c>
      <c r="C11" s="10" t="s">
        <v>86</v>
      </c>
      <c r="D11" s="9" t="s">
        <v>87</v>
      </c>
      <c r="E11" s="11" t="s">
        <v>145</v>
      </c>
      <c r="F11" s="12"/>
      <c r="G11" s="14" t="s">
        <v>146</v>
      </c>
      <c r="H11" s="14" t="s">
        <v>90</v>
      </c>
      <c r="I11" s="14" t="s">
        <v>147</v>
      </c>
      <c r="J11" s="14" t="s">
        <v>92</v>
      </c>
      <c r="K11" s="14" t="s">
        <v>92</v>
      </c>
      <c r="L11" s="14" t="s">
        <v>92</v>
      </c>
      <c r="M11" s="14" t="s">
        <v>93</v>
      </c>
      <c r="N11" s="14" t="s">
        <v>92</v>
      </c>
      <c r="O11" s="14" t="s">
        <v>92</v>
      </c>
      <c r="P11" s="14" t="s">
        <v>93</v>
      </c>
      <c r="Q11" s="14" t="s">
        <v>92</v>
      </c>
      <c r="R11" s="14" t="s">
        <v>92</v>
      </c>
      <c r="S11" s="14" t="s">
        <v>92</v>
      </c>
      <c r="T11" s="14" t="s">
        <v>92</v>
      </c>
      <c r="U11" s="14" t="s">
        <v>93</v>
      </c>
      <c r="V11" s="14" t="s">
        <v>92</v>
      </c>
      <c r="W11" s="14" t="s">
        <v>92</v>
      </c>
      <c r="X11" s="14" t="s">
        <v>92</v>
      </c>
      <c r="Y11" s="14" t="s">
        <v>92</v>
      </c>
      <c r="Z11" s="14" t="s">
        <v>92</v>
      </c>
      <c r="AA11" s="14" t="s">
        <v>92</v>
      </c>
      <c r="AB11" s="8" t="s">
        <v>93</v>
      </c>
      <c r="AC11" s="8" t="s">
        <v>92</v>
      </c>
      <c r="AD11" s="8" t="s">
        <v>92</v>
      </c>
      <c r="AE11" s="14" t="s">
        <v>148</v>
      </c>
      <c r="AF11" s="14" t="s">
        <v>92</v>
      </c>
      <c r="AG11" s="14" t="s">
        <v>95</v>
      </c>
      <c r="AH11" s="8" t="s">
        <v>105</v>
      </c>
      <c r="AI11" s="14" t="s">
        <v>93</v>
      </c>
      <c r="AJ11" s="14" t="s">
        <v>92</v>
      </c>
      <c r="AK11" s="14" t="s">
        <v>92</v>
      </c>
      <c r="AL11" s="14" t="s">
        <v>92</v>
      </c>
      <c r="AM11" s="8">
        <v>2020.0</v>
      </c>
      <c r="AN11" s="14" t="s">
        <v>96</v>
      </c>
      <c r="AO11" s="8" t="s">
        <v>92</v>
      </c>
      <c r="AP11" s="8" t="s">
        <v>93</v>
      </c>
      <c r="AQ11" s="14" t="s">
        <v>92</v>
      </c>
      <c r="AR11" s="14" t="s">
        <v>93</v>
      </c>
      <c r="AS11" s="14" t="s">
        <v>93</v>
      </c>
      <c r="AT11" s="14" t="s">
        <v>93</v>
      </c>
      <c r="AU11" s="14" t="s">
        <v>92</v>
      </c>
      <c r="AV11" s="13" t="s">
        <v>93</v>
      </c>
      <c r="AW11" s="14" t="s">
        <v>92</v>
      </c>
      <c r="AX11" s="14" t="s">
        <v>92</v>
      </c>
      <c r="AY11" s="8" t="s">
        <v>95</v>
      </c>
      <c r="AZ11" s="8" t="s">
        <v>95</v>
      </c>
      <c r="BA11" s="9" t="s">
        <v>85</v>
      </c>
      <c r="BB11" s="8" t="s">
        <v>97</v>
      </c>
      <c r="BC11" s="8" t="s">
        <v>92</v>
      </c>
      <c r="BD11" s="14" t="s">
        <v>92</v>
      </c>
      <c r="BE11" s="14" t="s">
        <v>92</v>
      </c>
      <c r="BF11" s="14" t="s">
        <v>92</v>
      </c>
      <c r="BG11" s="14" t="s">
        <v>92</v>
      </c>
      <c r="BH11" s="14" t="s">
        <v>92</v>
      </c>
      <c r="BI11" s="14" t="s">
        <v>93</v>
      </c>
      <c r="BJ11" s="14" t="s">
        <v>92</v>
      </c>
      <c r="BK11" s="14" t="s">
        <v>98</v>
      </c>
      <c r="BL11" s="14" t="s">
        <v>92</v>
      </c>
      <c r="BM11" s="14" t="s">
        <v>92</v>
      </c>
      <c r="BN11" s="14" t="s">
        <v>92</v>
      </c>
      <c r="BO11" s="14" t="s">
        <v>92</v>
      </c>
      <c r="BP11" s="14" t="s">
        <v>93</v>
      </c>
      <c r="BQ11" s="8" t="s">
        <v>93</v>
      </c>
      <c r="BR11" s="8" t="s">
        <v>92</v>
      </c>
      <c r="BS11" s="8" t="s">
        <v>92</v>
      </c>
      <c r="BT11" s="8" t="s">
        <v>92</v>
      </c>
      <c r="BU11" s="8" t="s">
        <v>92</v>
      </c>
      <c r="BV11" s="8" t="s">
        <v>92</v>
      </c>
      <c r="BW11" s="8" t="s">
        <v>92</v>
      </c>
      <c r="BX11" s="8" t="s">
        <v>92</v>
      </c>
      <c r="BY11" s="8" t="s">
        <v>92</v>
      </c>
      <c r="BZ11" s="8" t="s">
        <v>92</v>
      </c>
      <c r="CA11" s="8" t="s">
        <v>92</v>
      </c>
      <c r="CB11" s="17" t="s">
        <v>99</v>
      </c>
      <c r="CC11" s="18"/>
      <c r="CD11" s="18"/>
      <c r="CE11" s="18"/>
      <c r="CF11" s="18"/>
      <c r="CG11" s="18"/>
      <c r="CH11" s="14"/>
    </row>
    <row r="12">
      <c r="A12" s="8"/>
      <c r="B12" s="16" t="s">
        <v>149</v>
      </c>
      <c r="C12" s="10" t="s">
        <v>150</v>
      </c>
      <c r="D12" s="9" t="s">
        <v>87</v>
      </c>
      <c r="E12" s="11" t="s">
        <v>151</v>
      </c>
      <c r="F12" s="12"/>
      <c r="G12" s="14" t="s">
        <v>152</v>
      </c>
      <c r="H12" s="13" t="s">
        <v>90</v>
      </c>
      <c r="I12" s="14" t="s">
        <v>153</v>
      </c>
      <c r="J12" s="13" t="s">
        <v>92</v>
      </c>
      <c r="K12" s="14" t="s">
        <v>92</v>
      </c>
      <c r="L12" s="14" t="s">
        <v>92</v>
      </c>
      <c r="M12" s="14" t="s">
        <v>93</v>
      </c>
      <c r="N12" s="14" t="s">
        <v>92</v>
      </c>
      <c r="O12" s="13" t="s">
        <v>92</v>
      </c>
      <c r="P12" s="13" t="s">
        <v>92</v>
      </c>
      <c r="Q12" s="14" t="s">
        <v>92</v>
      </c>
      <c r="R12" s="13" t="s">
        <v>92</v>
      </c>
      <c r="S12" s="13" t="s">
        <v>92</v>
      </c>
      <c r="T12" s="13" t="s">
        <v>92</v>
      </c>
      <c r="U12" s="13" t="s">
        <v>93</v>
      </c>
      <c r="V12" s="13" t="s">
        <v>92</v>
      </c>
      <c r="W12" s="13" t="s">
        <v>92</v>
      </c>
      <c r="X12" s="13" t="s">
        <v>92</v>
      </c>
      <c r="Y12" s="13" t="s">
        <v>92</v>
      </c>
      <c r="Z12" s="13" t="s">
        <v>92</v>
      </c>
      <c r="AA12" s="14" t="s">
        <v>92</v>
      </c>
      <c r="AB12" s="15" t="s">
        <v>93</v>
      </c>
      <c r="AC12" s="15" t="s">
        <v>92</v>
      </c>
      <c r="AD12" s="15" t="s">
        <v>92</v>
      </c>
      <c r="AE12" s="13" t="s">
        <v>94</v>
      </c>
      <c r="AF12" s="13" t="s">
        <v>92</v>
      </c>
      <c r="AG12" s="13" t="s">
        <v>95</v>
      </c>
      <c r="AH12" s="8" t="s">
        <v>105</v>
      </c>
      <c r="AI12" s="13" t="s">
        <v>93</v>
      </c>
      <c r="AJ12" s="13" t="s">
        <v>92</v>
      </c>
      <c r="AK12" s="13" t="s">
        <v>92</v>
      </c>
      <c r="AL12" s="13" t="s">
        <v>92</v>
      </c>
      <c r="AM12" s="15">
        <v>2020.0</v>
      </c>
      <c r="AN12" s="13" t="s">
        <v>96</v>
      </c>
      <c r="AO12" s="15" t="s">
        <v>92</v>
      </c>
      <c r="AP12" s="15" t="s">
        <v>92</v>
      </c>
      <c r="AQ12" s="13" t="s">
        <v>93</v>
      </c>
      <c r="AR12" s="13" t="s">
        <v>93</v>
      </c>
      <c r="AS12" s="13" t="s">
        <v>93</v>
      </c>
      <c r="AT12" s="13" t="s">
        <v>93</v>
      </c>
      <c r="AU12" s="13" t="s">
        <v>93</v>
      </c>
      <c r="AV12" s="13" t="s">
        <v>93</v>
      </c>
      <c r="AW12" s="13" t="s">
        <v>93</v>
      </c>
      <c r="AX12" s="13" t="s">
        <v>92</v>
      </c>
      <c r="AY12" s="15" t="s">
        <v>95</v>
      </c>
      <c r="AZ12" s="15" t="s">
        <v>95</v>
      </c>
      <c r="BA12" s="16" t="s">
        <v>154</v>
      </c>
      <c r="BB12" s="8" t="s">
        <v>155</v>
      </c>
      <c r="BC12" s="15" t="s">
        <v>92</v>
      </c>
      <c r="BD12" s="13" t="s">
        <v>92</v>
      </c>
      <c r="BE12" s="13" t="s">
        <v>92</v>
      </c>
      <c r="BF12" s="13" t="s">
        <v>92</v>
      </c>
      <c r="BG12" s="13" t="s">
        <v>92</v>
      </c>
      <c r="BH12" s="13" t="s">
        <v>92</v>
      </c>
      <c r="BI12" s="13" t="s">
        <v>93</v>
      </c>
      <c r="BJ12" s="13" t="s">
        <v>92</v>
      </c>
      <c r="BK12" s="14" t="s">
        <v>156</v>
      </c>
      <c r="BL12" s="13" t="s">
        <v>92</v>
      </c>
      <c r="BM12" s="13" t="s">
        <v>92</v>
      </c>
      <c r="BN12" s="13" t="s">
        <v>92</v>
      </c>
      <c r="BO12" s="13" t="s">
        <v>92</v>
      </c>
      <c r="BP12" s="13" t="s">
        <v>93</v>
      </c>
      <c r="BQ12" s="15" t="s">
        <v>93</v>
      </c>
      <c r="BR12" s="15" t="s">
        <v>92</v>
      </c>
      <c r="BS12" s="15" t="s">
        <v>92</v>
      </c>
      <c r="BT12" s="15" t="s">
        <v>92</v>
      </c>
      <c r="BU12" s="15" t="s">
        <v>92</v>
      </c>
      <c r="BV12" s="15" t="s">
        <v>92</v>
      </c>
      <c r="BW12" s="15" t="s">
        <v>92</v>
      </c>
      <c r="BX12" s="15" t="s">
        <v>92</v>
      </c>
      <c r="BY12" s="15" t="s">
        <v>92</v>
      </c>
      <c r="BZ12" s="15" t="s">
        <v>92</v>
      </c>
      <c r="CA12" s="15" t="s">
        <v>92</v>
      </c>
      <c r="CB12" s="17" t="s">
        <v>157</v>
      </c>
      <c r="CC12" s="17"/>
      <c r="CD12" s="18"/>
      <c r="CE12" s="18"/>
      <c r="CF12" s="18"/>
      <c r="CG12" s="18"/>
      <c r="CH12" s="14"/>
    </row>
    <row r="13">
      <c r="A13" s="8"/>
      <c r="B13" s="16" t="s">
        <v>149</v>
      </c>
      <c r="C13" s="10" t="s">
        <v>150</v>
      </c>
      <c r="D13" s="9" t="s">
        <v>87</v>
      </c>
      <c r="E13" s="11" t="s">
        <v>158</v>
      </c>
      <c r="F13" s="12"/>
      <c r="G13" s="26" t="s">
        <v>159</v>
      </c>
      <c r="H13" s="26" t="s">
        <v>90</v>
      </c>
      <c r="I13" s="26" t="s">
        <v>160</v>
      </c>
      <c r="J13" s="14" t="s">
        <v>92</v>
      </c>
      <c r="K13" s="14" t="s">
        <v>92</v>
      </c>
      <c r="L13" s="14" t="s">
        <v>92</v>
      </c>
      <c r="M13" s="14" t="s">
        <v>92</v>
      </c>
      <c r="N13" s="14" t="s">
        <v>92</v>
      </c>
      <c r="O13" s="14" t="s">
        <v>92</v>
      </c>
      <c r="P13" s="14" t="s">
        <v>92</v>
      </c>
      <c r="Q13" s="14" t="s">
        <v>92</v>
      </c>
      <c r="R13" s="14" t="s">
        <v>92</v>
      </c>
      <c r="S13" s="14" t="s">
        <v>92</v>
      </c>
      <c r="T13" s="14" t="s">
        <v>92</v>
      </c>
      <c r="U13" s="14" t="s">
        <v>92</v>
      </c>
      <c r="V13" s="14" t="s">
        <v>92</v>
      </c>
      <c r="W13" s="14" t="s">
        <v>92</v>
      </c>
      <c r="X13" s="14" t="s">
        <v>92</v>
      </c>
      <c r="Y13" s="14" t="s">
        <v>92</v>
      </c>
      <c r="Z13" s="14" t="s">
        <v>93</v>
      </c>
      <c r="AA13" s="14" t="s">
        <v>92</v>
      </c>
      <c r="AB13" s="8" t="s">
        <v>92</v>
      </c>
      <c r="AC13" s="8" t="s">
        <v>93</v>
      </c>
      <c r="AD13" s="8" t="s">
        <v>92</v>
      </c>
      <c r="AE13" s="14" t="s">
        <v>112</v>
      </c>
      <c r="AF13" s="14" t="s">
        <v>92</v>
      </c>
      <c r="AG13" s="13" t="s">
        <v>95</v>
      </c>
      <c r="AH13" s="8" t="s">
        <v>105</v>
      </c>
      <c r="AI13" s="14" t="s">
        <v>92</v>
      </c>
      <c r="AJ13" s="14" t="s">
        <v>93</v>
      </c>
      <c r="AK13" s="14" t="s">
        <v>93</v>
      </c>
      <c r="AL13" s="14" t="s">
        <v>93</v>
      </c>
      <c r="AM13" s="15" t="s">
        <v>95</v>
      </c>
      <c r="AN13" s="14" t="s">
        <v>114</v>
      </c>
      <c r="AO13" s="8" t="s">
        <v>93</v>
      </c>
      <c r="AP13" s="15" t="s">
        <v>92</v>
      </c>
      <c r="AQ13" s="13" t="s">
        <v>93</v>
      </c>
      <c r="AR13" s="13" t="s">
        <v>93</v>
      </c>
      <c r="AS13" s="13" t="s">
        <v>93</v>
      </c>
      <c r="AT13" s="13" t="s">
        <v>93</v>
      </c>
      <c r="AU13" s="13" t="s">
        <v>93</v>
      </c>
      <c r="AV13" s="13" t="s">
        <v>93</v>
      </c>
      <c r="AW13" s="13" t="s">
        <v>93</v>
      </c>
      <c r="AX13" s="13" t="s">
        <v>92</v>
      </c>
      <c r="AY13" s="8" t="s">
        <v>161</v>
      </c>
      <c r="AZ13" s="8" t="s">
        <v>92</v>
      </c>
      <c r="BA13" s="9" t="s">
        <v>162</v>
      </c>
      <c r="BB13" s="8" t="s">
        <v>163</v>
      </c>
      <c r="BC13" s="8" t="s">
        <v>92</v>
      </c>
      <c r="BD13" s="14" t="s">
        <v>93</v>
      </c>
      <c r="BE13" s="14" t="s">
        <v>92</v>
      </c>
      <c r="BF13" s="14" t="s">
        <v>92</v>
      </c>
      <c r="BG13" s="14" t="s">
        <v>92</v>
      </c>
      <c r="BH13" s="14" t="s">
        <v>92</v>
      </c>
      <c r="BI13" s="14" t="s">
        <v>92</v>
      </c>
      <c r="BJ13" s="14" t="s">
        <v>92</v>
      </c>
      <c r="BK13" s="14" t="s">
        <v>156</v>
      </c>
      <c r="BL13" s="13" t="s">
        <v>92</v>
      </c>
      <c r="BM13" s="13" t="s">
        <v>92</v>
      </c>
      <c r="BN13" s="13" t="s">
        <v>92</v>
      </c>
      <c r="BO13" s="13" t="s">
        <v>92</v>
      </c>
      <c r="BP13" s="13" t="s">
        <v>93</v>
      </c>
      <c r="BQ13" s="8" t="s">
        <v>92</v>
      </c>
      <c r="BR13" s="8" t="s">
        <v>92</v>
      </c>
      <c r="BS13" s="8" t="s">
        <v>92</v>
      </c>
      <c r="BT13" s="8" t="s">
        <v>93</v>
      </c>
      <c r="BU13" s="8" t="s">
        <v>92</v>
      </c>
      <c r="BV13" s="8" t="s">
        <v>92</v>
      </c>
      <c r="BW13" s="8" t="s">
        <v>92</v>
      </c>
      <c r="BX13" s="8" t="s">
        <v>92</v>
      </c>
      <c r="BY13" s="8" t="s">
        <v>92</v>
      </c>
      <c r="BZ13" s="8" t="s">
        <v>92</v>
      </c>
      <c r="CA13" s="8" t="s">
        <v>92</v>
      </c>
      <c r="CB13" s="17" t="s">
        <v>115</v>
      </c>
      <c r="CC13" s="17" t="s">
        <v>157</v>
      </c>
      <c r="CD13" s="18"/>
      <c r="CE13" s="18"/>
      <c r="CF13" s="18"/>
      <c r="CG13" s="18"/>
      <c r="CH13" s="14"/>
    </row>
    <row r="14">
      <c r="A14" s="8"/>
      <c r="B14" s="16" t="s">
        <v>149</v>
      </c>
      <c r="C14" s="10" t="s">
        <v>150</v>
      </c>
      <c r="D14" s="9" t="s">
        <v>87</v>
      </c>
      <c r="E14" s="11" t="s">
        <v>164</v>
      </c>
      <c r="F14" s="12"/>
      <c r="G14" s="13" t="s">
        <v>165</v>
      </c>
      <c r="H14" s="13" t="s">
        <v>90</v>
      </c>
      <c r="I14" s="13" t="s">
        <v>166</v>
      </c>
      <c r="J14" s="13" t="s">
        <v>92</v>
      </c>
      <c r="K14" s="14" t="s">
        <v>92</v>
      </c>
      <c r="L14" s="14" t="s">
        <v>92</v>
      </c>
      <c r="M14" s="14" t="s">
        <v>92</v>
      </c>
      <c r="N14" s="14" t="s">
        <v>92</v>
      </c>
      <c r="O14" s="13" t="s">
        <v>92</v>
      </c>
      <c r="P14" s="13" t="s">
        <v>92</v>
      </c>
      <c r="Q14" s="13" t="s">
        <v>92</v>
      </c>
      <c r="R14" s="13" t="s">
        <v>92</v>
      </c>
      <c r="S14" s="13" t="s">
        <v>92</v>
      </c>
      <c r="T14" s="13" t="s">
        <v>92</v>
      </c>
      <c r="U14" s="13" t="s">
        <v>93</v>
      </c>
      <c r="V14" s="13" t="s">
        <v>92</v>
      </c>
      <c r="W14" s="13" t="s">
        <v>92</v>
      </c>
      <c r="X14" s="13" t="s">
        <v>92</v>
      </c>
      <c r="Y14" s="13" t="s">
        <v>92</v>
      </c>
      <c r="Z14" s="13" t="s">
        <v>92</v>
      </c>
      <c r="AA14" s="14" t="s">
        <v>92</v>
      </c>
      <c r="AB14" s="15" t="s">
        <v>93</v>
      </c>
      <c r="AC14" s="15" t="s">
        <v>92</v>
      </c>
      <c r="AD14" s="15" t="s">
        <v>92</v>
      </c>
      <c r="AE14" s="13" t="s">
        <v>94</v>
      </c>
      <c r="AF14" s="13" t="s">
        <v>92</v>
      </c>
      <c r="AG14" s="13" t="s">
        <v>95</v>
      </c>
      <c r="AH14" s="15">
        <v>2020.0</v>
      </c>
      <c r="AI14" s="13" t="s">
        <v>93</v>
      </c>
      <c r="AJ14" s="13" t="s">
        <v>92</v>
      </c>
      <c r="AK14" s="13" t="s">
        <v>92</v>
      </c>
      <c r="AL14" s="13" t="s">
        <v>92</v>
      </c>
      <c r="AM14" s="15">
        <v>2020.0</v>
      </c>
      <c r="AN14" s="13" t="s">
        <v>96</v>
      </c>
      <c r="AO14" s="15" t="s">
        <v>92</v>
      </c>
      <c r="AP14" s="15" t="s">
        <v>92</v>
      </c>
      <c r="AQ14" s="13" t="s">
        <v>93</v>
      </c>
      <c r="AR14" s="13" t="s">
        <v>93</v>
      </c>
      <c r="AS14" s="13" t="s">
        <v>93</v>
      </c>
      <c r="AT14" s="13" t="s">
        <v>93</v>
      </c>
      <c r="AU14" s="13" t="s">
        <v>93</v>
      </c>
      <c r="AV14" s="13" t="s">
        <v>93</v>
      </c>
      <c r="AW14" s="13" t="s">
        <v>93</v>
      </c>
      <c r="AX14" s="13" t="s">
        <v>92</v>
      </c>
      <c r="AY14" s="15" t="s">
        <v>95</v>
      </c>
      <c r="AZ14" s="15" t="s">
        <v>95</v>
      </c>
      <c r="BA14" s="16" t="s">
        <v>154</v>
      </c>
      <c r="BB14" s="8" t="s">
        <v>155</v>
      </c>
      <c r="BC14" s="15" t="s">
        <v>92</v>
      </c>
      <c r="BD14" s="13" t="s">
        <v>92</v>
      </c>
      <c r="BE14" s="13" t="s">
        <v>92</v>
      </c>
      <c r="BF14" s="13" t="s">
        <v>92</v>
      </c>
      <c r="BG14" s="13" t="s">
        <v>92</v>
      </c>
      <c r="BH14" s="13" t="s">
        <v>92</v>
      </c>
      <c r="BI14" s="13" t="s">
        <v>93</v>
      </c>
      <c r="BJ14" s="13" t="s">
        <v>92</v>
      </c>
      <c r="BK14" s="14" t="s">
        <v>156</v>
      </c>
      <c r="BL14" s="13" t="s">
        <v>92</v>
      </c>
      <c r="BM14" s="13" t="s">
        <v>92</v>
      </c>
      <c r="BN14" s="13" t="s">
        <v>92</v>
      </c>
      <c r="BO14" s="13" t="s">
        <v>92</v>
      </c>
      <c r="BP14" s="13" t="s">
        <v>93</v>
      </c>
      <c r="BQ14" s="15" t="s">
        <v>93</v>
      </c>
      <c r="BR14" s="15" t="s">
        <v>92</v>
      </c>
      <c r="BS14" s="15" t="s">
        <v>92</v>
      </c>
      <c r="BT14" s="15" t="s">
        <v>92</v>
      </c>
      <c r="BU14" s="15" t="s">
        <v>92</v>
      </c>
      <c r="BV14" s="15" t="s">
        <v>92</v>
      </c>
      <c r="BW14" s="15" t="s">
        <v>92</v>
      </c>
      <c r="BX14" s="15" t="s">
        <v>92</v>
      </c>
      <c r="BY14" s="15" t="s">
        <v>92</v>
      </c>
      <c r="BZ14" s="15" t="s">
        <v>92</v>
      </c>
      <c r="CA14" s="15" t="s">
        <v>92</v>
      </c>
      <c r="CB14" s="17" t="s">
        <v>157</v>
      </c>
      <c r="CC14" s="17"/>
      <c r="CD14" s="17" t="s">
        <v>106</v>
      </c>
      <c r="CE14" s="18"/>
      <c r="CF14" s="18"/>
      <c r="CG14" s="18"/>
      <c r="CH14" s="14"/>
    </row>
    <row r="15">
      <c r="A15" s="8"/>
      <c r="B15" s="16" t="s">
        <v>149</v>
      </c>
      <c r="C15" s="10" t="s">
        <v>150</v>
      </c>
      <c r="D15" s="9" t="s">
        <v>87</v>
      </c>
      <c r="E15" s="11" t="s">
        <v>167</v>
      </c>
      <c r="F15" s="12"/>
      <c r="G15" s="13" t="s">
        <v>168</v>
      </c>
      <c r="H15" s="13" t="s">
        <v>110</v>
      </c>
      <c r="I15" s="14" t="s">
        <v>169</v>
      </c>
      <c r="J15" s="14" t="s">
        <v>92</v>
      </c>
      <c r="K15" s="14" t="s">
        <v>92</v>
      </c>
      <c r="L15" s="14" t="s">
        <v>93</v>
      </c>
      <c r="M15" s="14" t="s">
        <v>92</v>
      </c>
      <c r="N15" s="14" t="s">
        <v>92</v>
      </c>
      <c r="O15" s="13" t="s">
        <v>92</v>
      </c>
      <c r="P15" s="13" t="s">
        <v>92</v>
      </c>
      <c r="Q15" s="13" t="s">
        <v>92</v>
      </c>
      <c r="R15" s="13" t="s">
        <v>92</v>
      </c>
      <c r="S15" s="13" t="s">
        <v>93</v>
      </c>
      <c r="T15" s="13" t="s">
        <v>92</v>
      </c>
      <c r="U15" s="13" t="s">
        <v>92</v>
      </c>
      <c r="V15" s="13" t="s">
        <v>92</v>
      </c>
      <c r="W15" s="13" t="s">
        <v>92</v>
      </c>
      <c r="X15" s="13" t="s">
        <v>92</v>
      </c>
      <c r="Y15" s="13" t="s">
        <v>92</v>
      </c>
      <c r="Z15" s="13" t="s">
        <v>93</v>
      </c>
      <c r="AA15" s="14" t="s">
        <v>92</v>
      </c>
      <c r="AB15" s="8" t="s">
        <v>92</v>
      </c>
      <c r="AC15" s="15" t="s">
        <v>93</v>
      </c>
      <c r="AD15" s="8" t="s">
        <v>92</v>
      </c>
      <c r="AE15" s="14" t="s">
        <v>112</v>
      </c>
      <c r="AF15" s="13" t="s">
        <v>92</v>
      </c>
      <c r="AG15" s="13" t="s">
        <v>95</v>
      </c>
      <c r="AH15" s="8">
        <v>2017.0</v>
      </c>
      <c r="AI15" s="13" t="s">
        <v>93</v>
      </c>
      <c r="AJ15" s="13" t="s">
        <v>93</v>
      </c>
      <c r="AK15" s="13" t="s">
        <v>93</v>
      </c>
      <c r="AL15" s="13" t="s">
        <v>93</v>
      </c>
      <c r="AM15" s="15" t="s">
        <v>95</v>
      </c>
      <c r="AN15" s="13" t="s">
        <v>114</v>
      </c>
      <c r="AO15" s="15" t="s">
        <v>93</v>
      </c>
      <c r="AP15" s="15" t="s">
        <v>92</v>
      </c>
      <c r="AQ15" s="13" t="s">
        <v>93</v>
      </c>
      <c r="AR15" s="13" t="s">
        <v>93</v>
      </c>
      <c r="AS15" s="13" t="s">
        <v>93</v>
      </c>
      <c r="AT15" s="13" t="s">
        <v>93</v>
      </c>
      <c r="AU15" s="13" t="s">
        <v>93</v>
      </c>
      <c r="AV15" s="13" t="s">
        <v>93</v>
      </c>
      <c r="AW15" s="13" t="s">
        <v>93</v>
      </c>
      <c r="AX15" s="13" t="s">
        <v>92</v>
      </c>
      <c r="AY15" s="15" t="s">
        <v>95</v>
      </c>
      <c r="AZ15" s="15" t="s">
        <v>95</v>
      </c>
      <c r="BA15" s="16" t="s">
        <v>154</v>
      </c>
      <c r="BB15" s="8" t="s">
        <v>155</v>
      </c>
      <c r="BC15" s="15" t="s">
        <v>92</v>
      </c>
      <c r="BD15" s="13" t="s">
        <v>93</v>
      </c>
      <c r="BE15" s="13" t="s">
        <v>92</v>
      </c>
      <c r="BF15" s="13" t="s">
        <v>92</v>
      </c>
      <c r="BG15" s="13" t="s">
        <v>92</v>
      </c>
      <c r="BH15" s="13" t="s">
        <v>92</v>
      </c>
      <c r="BI15" s="13" t="s">
        <v>92</v>
      </c>
      <c r="BJ15" s="13" t="s">
        <v>92</v>
      </c>
      <c r="BK15" s="14" t="s">
        <v>156</v>
      </c>
      <c r="BL15" s="13" t="s">
        <v>92</v>
      </c>
      <c r="BM15" s="13" t="s">
        <v>92</v>
      </c>
      <c r="BN15" s="13" t="s">
        <v>92</v>
      </c>
      <c r="BO15" s="13" t="s">
        <v>92</v>
      </c>
      <c r="BP15" s="13" t="s">
        <v>93</v>
      </c>
      <c r="BQ15" s="15" t="s">
        <v>92</v>
      </c>
      <c r="BR15" s="15" t="s">
        <v>92</v>
      </c>
      <c r="BS15" s="8" t="s">
        <v>93</v>
      </c>
      <c r="BT15" s="15" t="s">
        <v>93</v>
      </c>
      <c r="BU15" s="15" t="s">
        <v>92</v>
      </c>
      <c r="BV15" s="15" t="s">
        <v>93</v>
      </c>
      <c r="BW15" s="15" t="s">
        <v>92</v>
      </c>
      <c r="BX15" s="15" t="s">
        <v>92</v>
      </c>
      <c r="BY15" s="15" t="s">
        <v>92</v>
      </c>
      <c r="BZ15" s="8" t="s">
        <v>93</v>
      </c>
      <c r="CA15" s="8" t="s">
        <v>92</v>
      </c>
      <c r="CB15" s="17" t="s">
        <v>157</v>
      </c>
      <c r="CC15" s="17" t="s">
        <v>115</v>
      </c>
      <c r="CD15" s="17" t="s">
        <v>170</v>
      </c>
      <c r="CE15" s="17" t="s">
        <v>106</v>
      </c>
      <c r="CF15" s="17" t="s">
        <v>116</v>
      </c>
      <c r="CG15" s="18"/>
      <c r="CH15" s="14"/>
    </row>
    <row r="16">
      <c r="A16" s="8"/>
      <c r="B16" s="16" t="s">
        <v>149</v>
      </c>
      <c r="C16" s="10" t="s">
        <v>150</v>
      </c>
      <c r="D16" s="9" t="s">
        <v>87</v>
      </c>
      <c r="E16" s="11" t="s">
        <v>171</v>
      </c>
      <c r="F16" s="12"/>
      <c r="G16" s="14" t="s">
        <v>172</v>
      </c>
      <c r="H16" s="13" t="s">
        <v>90</v>
      </c>
      <c r="I16" s="13" t="s">
        <v>173</v>
      </c>
      <c r="J16" s="13" t="s">
        <v>92</v>
      </c>
      <c r="K16" s="14" t="s">
        <v>92</v>
      </c>
      <c r="L16" s="14" t="s">
        <v>93</v>
      </c>
      <c r="M16" s="14" t="s">
        <v>92</v>
      </c>
      <c r="N16" s="14" t="s">
        <v>92</v>
      </c>
      <c r="O16" s="13" t="s">
        <v>92</v>
      </c>
      <c r="P16" s="13" t="s">
        <v>92</v>
      </c>
      <c r="Q16" s="13" t="s">
        <v>92</v>
      </c>
      <c r="R16" s="13" t="s">
        <v>92</v>
      </c>
      <c r="S16" s="13" t="s">
        <v>92</v>
      </c>
      <c r="T16" s="13" t="s">
        <v>92</v>
      </c>
      <c r="U16" s="13" t="s">
        <v>92</v>
      </c>
      <c r="V16" s="13" t="s">
        <v>92</v>
      </c>
      <c r="W16" s="13" t="s">
        <v>92</v>
      </c>
      <c r="X16" s="13" t="s">
        <v>92</v>
      </c>
      <c r="Y16" s="13" t="s">
        <v>92</v>
      </c>
      <c r="Z16" s="13" t="s">
        <v>93</v>
      </c>
      <c r="AA16" s="14" t="s">
        <v>92</v>
      </c>
      <c r="AB16" s="15" t="s">
        <v>92</v>
      </c>
      <c r="AC16" s="15" t="s">
        <v>93</v>
      </c>
      <c r="AD16" s="15" t="s">
        <v>92</v>
      </c>
      <c r="AE16" s="14" t="s">
        <v>112</v>
      </c>
      <c r="AF16" s="13" t="s">
        <v>92</v>
      </c>
      <c r="AG16" s="13" t="s">
        <v>95</v>
      </c>
      <c r="AH16" s="15">
        <v>2020.0</v>
      </c>
      <c r="AI16" s="13" t="s">
        <v>93</v>
      </c>
      <c r="AJ16" s="13" t="s">
        <v>92</v>
      </c>
      <c r="AK16" s="13" t="s">
        <v>92</v>
      </c>
      <c r="AL16" s="13" t="s">
        <v>92</v>
      </c>
      <c r="AM16" s="8" t="s">
        <v>105</v>
      </c>
      <c r="AN16" s="14" t="s">
        <v>105</v>
      </c>
      <c r="AO16" s="8" t="s">
        <v>105</v>
      </c>
      <c r="AP16" s="15" t="s">
        <v>92</v>
      </c>
      <c r="AQ16" s="13" t="s">
        <v>93</v>
      </c>
      <c r="AR16" s="13" t="s">
        <v>93</v>
      </c>
      <c r="AS16" s="13" t="s">
        <v>93</v>
      </c>
      <c r="AT16" s="13" t="s">
        <v>93</v>
      </c>
      <c r="AU16" s="13" t="s">
        <v>93</v>
      </c>
      <c r="AV16" s="13" t="s">
        <v>93</v>
      </c>
      <c r="AW16" s="13" t="s">
        <v>93</v>
      </c>
      <c r="AX16" s="13" t="s">
        <v>92</v>
      </c>
      <c r="AY16" s="15" t="s">
        <v>95</v>
      </c>
      <c r="AZ16" s="15" t="s">
        <v>95</v>
      </c>
      <c r="BA16" s="16" t="s">
        <v>154</v>
      </c>
      <c r="BB16" s="8" t="s">
        <v>155</v>
      </c>
      <c r="BC16" s="15" t="s">
        <v>92</v>
      </c>
      <c r="BD16" s="13" t="s">
        <v>92</v>
      </c>
      <c r="BE16" s="13" t="s">
        <v>92</v>
      </c>
      <c r="BF16" s="13" t="s">
        <v>92</v>
      </c>
      <c r="BG16" s="13" t="s">
        <v>92</v>
      </c>
      <c r="BH16" s="13" t="s">
        <v>92</v>
      </c>
      <c r="BI16" s="13" t="s">
        <v>92</v>
      </c>
      <c r="BJ16" s="13" t="s">
        <v>92</v>
      </c>
      <c r="BK16" s="14" t="s">
        <v>156</v>
      </c>
      <c r="BL16" s="13" t="s">
        <v>92</v>
      </c>
      <c r="BM16" s="13" t="s">
        <v>92</v>
      </c>
      <c r="BN16" s="13" t="s">
        <v>92</v>
      </c>
      <c r="BO16" s="13" t="s">
        <v>92</v>
      </c>
      <c r="BP16" s="13" t="s">
        <v>93</v>
      </c>
      <c r="BQ16" s="15" t="s">
        <v>92</v>
      </c>
      <c r="BR16" s="15" t="s">
        <v>92</v>
      </c>
      <c r="BS16" s="15" t="s">
        <v>92</v>
      </c>
      <c r="BT16" s="15" t="s">
        <v>93</v>
      </c>
      <c r="BU16" s="15" t="s">
        <v>92</v>
      </c>
      <c r="BV16" s="15" t="s">
        <v>93</v>
      </c>
      <c r="BW16" s="15" t="s">
        <v>92</v>
      </c>
      <c r="BX16" s="15" t="s">
        <v>93</v>
      </c>
      <c r="BY16" s="15" t="s">
        <v>93</v>
      </c>
      <c r="BZ16" s="8" t="s">
        <v>93</v>
      </c>
      <c r="CA16" s="8" t="s">
        <v>92</v>
      </c>
      <c r="CB16" s="17" t="s">
        <v>157</v>
      </c>
      <c r="CC16" s="17" t="s">
        <v>170</v>
      </c>
      <c r="CD16" s="18"/>
      <c r="CE16" s="18"/>
      <c r="CF16" s="18"/>
      <c r="CG16" s="18"/>
      <c r="CH16" s="14"/>
    </row>
    <row r="17">
      <c r="A17" s="8"/>
      <c r="B17" s="27" t="s">
        <v>149</v>
      </c>
      <c r="C17" s="10" t="s">
        <v>150</v>
      </c>
      <c r="D17" s="9" t="s">
        <v>87</v>
      </c>
      <c r="E17" s="11" t="s">
        <v>174</v>
      </c>
      <c r="F17" s="12"/>
      <c r="G17" s="13" t="s">
        <v>175</v>
      </c>
      <c r="H17" s="13" t="s">
        <v>110</v>
      </c>
      <c r="I17" s="13" t="s">
        <v>176</v>
      </c>
      <c r="J17" s="13" t="s">
        <v>92</v>
      </c>
      <c r="K17" s="14" t="s">
        <v>92</v>
      </c>
      <c r="L17" s="14" t="s">
        <v>92</v>
      </c>
      <c r="M17" s="14" t="s">
        <v>93</v>
      </c>
      <c r="N17" s="14" t="s">
        <v>92</v>
      </c>
      <c r="O17" s="13" t="s">
        <v>92</v>
      </c>
      <c r="P17" s="13" t="s">
        <v>93</v>
      </c>
      <c r="Q17" s="13" t="s">
        <v>93</v>
      </c>
      <c r="R17" s="13" t="s">
        <v>93</v>
      </c>
      <c r="S17" s="13" t="s">
        <v>92</v>
      </c>
      <c r="T17" s="13" t="s">
        <v>92</v>
      </c>
      <c r="U17" s="13" t="s">
        <v>93</v>
      </c>
      <c r="V17" s="13" t="s">
        <v>92</v>
      </c>
      <c r="W17" s="13" t="s">
        <v>92</v>
      </c>
      <c r="X17" s="13" t="s">
        <v>92</v>
      </c>
      <c r="Y17" s="13" t="s">
        <v>92</v>
      </c>
      <c r="Z17" s="13" t="s">
        <v>92</v>
      </c>
      <c r="AA17" s="14" t="s">
        <v>92</v>
      </c>
      <c r="AB17" s="15" t="s">
        <v>93</v>
      </c>
      <c r="AC17" s="15" t="s">
        <v>92</v>
      </c>
      <c r="AD17" s="15" t="s">
        <v>92</v>
      </c>
      <c r="AE17" s="13" t="s">
        <v>94</v>
      </c>
      <c r="AF17" s="13" t="s">
        <v>92</v>
      </c>
      <c r="AG17" s="13" t="s">
        <v>95</v>
      </c>
      <c r="AH17" s="15">
        <v>2003.0</v>
      </c>
      <c r="AI17" s="13" t="s">
        <v>93</v>
      </c>
      <c r="AJ17" s="13" t="s">
        <v>93</v>
      </c>
      <c r="AK17" s="13" t="s">
        <v>93</v>
      </c>
      <c r="AL17" s="13" t="s">
        <v>93</v>
      </c>
      <c r="AM17" s="15" t="s">
        <v>95</v>
      </c>
      <c r="AN17" s="13" t="s">
        <v>114</v>
      </c>
      <c r="AO17" s="15" t="s">
        <v>93</v>
      </c>
      <c r="AP17" s="15" t="s">
        <v>93</v>
      </c>
      <c r="AQ17" s="13" t="s">
        <v>93</v>
      </c>
      <c r="AR17" s="13" t="s">
        <v>93</v>
      </c>
      <c r="AS17" s="13" t="s">
        <v>93</v>
      </c>
      <c r="AT17" s="13" t="s">
        <v>93</v>
      </c>
      <c r="AU17" s="13" t="s">
        <v>93</v>
      </c>
      <c r="AV17" s="13" t="s">
        <v>93</v>
      </c>
      <c r="AW17" s="13" t="s">
        <v>93</v>
      </c>
      <c r="AX17" s="13" t="s">
        <v>92</v>
      </c>
      <c r="AY17" s="15" t="s">
        <v>95</v>
      </c>
      <c r="AZ17" s="15" t="s">
        <v>95</v>
      </c>
      <c r="BA17" s="16" t="s">
        <v>177</v>
      </c>
      <c r="BB17" s="8" t="s">
        <v>95</v>
      </c>
      <c r="BC17" s="8" t="s">
        <v>93</v>
      </c>
      <c r="BD17" s="13" t="s">
        <v>92</v>
      </c>
      <c r="BE17" s="13" t="s">
        <v>92</v>
      </c>
      <c r="BF17" s="13" t="s">
        <v>92</v>
      </c>
      <c r="BG17" s="13" t="s">
        <v>92</v>
      </c>
      <c r="BH17" s="13" t="s">
        <v>92</v>
      </c>
      <c r="BI17" s="13" t="s">
        <v>93</v>
      </c>
      <c r="BJ17" s="13" t="s">
        <v>92</v>
      </c>
      <c r="BK17" s="14" t="s">
        <v>156</v>
      </c>
      <c r="BL17" s="13" t="s">
        <v>92</v>
      </c>
      <c r="BM17" s="13" t="s">
        <v>92</v>
      </c>
      <c r="BN17" s="13" t="s">
        <v>92</v>
      </c>
      <c r="BO17" s="13" t="s">
        <v>92</v>
      </c>
      <c r="BP17" s="13" t="s">
        <v>93</v>
      </c>
      <c r="BQ17" s="15" t="s">
        <v>93</v>
      </c>
      <c r="BR17" s="15" t="s">
        <v>92</v>
      </c>
      <c r="BS17" s="15" t="s">
        <v>92</v>
      </c>
      <c r="BT17" s="15" t="s">
        <v>92</v>
      </c>
      <c r="BU17" s="15" t="s">
        <v>92</v>
      </c>
      <c r="BV17" s="15" t="s">
        <v>92</v>
      </c>
      <c r="BW17" s="15" t="s">
        <v>92</v>
      </c>
      <c r="BX17" s="15" t="s">
        <v>92</v>
      </c>
      <c r="BY17" s="15" t="s">
        <v>92</v>
      </c>
      <c r="BZ17" s="15" t="s">
        <v>92</v>
      </c>
      <c r="CA17" s="15" t="s">
        <v>92</v>
      </c>
      <c r="CB17" s="17" t="s">
        <v>178</v>
      </c>
      <c r="CC17" s="17" t="s">
        <v>115</v>
      </c>
      <c r="CD17" s="17" t="s">
        <v>179</v>
      </c>
      <c r="CE17" s="17" t="s">
        <v>170</v>
      </c>
      <c r="CF17" s="17" t="s">
        <v>106</v>
      </c>
      <c r="CG17" s="17" t="s">
        <v>116</v>
      </c>
      <c r="CH17" s="17" t="s">
        <v>180</v>
      </c>
    </row>
    <row r="18">
      <c r="A18" s="8"/>
      <c r="B18" s="16" t="s">
        <v>149</v>
      </c>
      <c r="C18" s="10" t="s">
        <v>150</v>
      </c>
      <c r="D18" s="9" t="s">
        <v>87</v>
      </c>
      <c r="E18" s="11" t="s">
        <v>181</v>
      </c>
      <c r="F18" s="12"/>
      <c r="G18" s="13" t="s">
        <v>182</v>
      </c>
      <c r="H18" s="13" t="s">
        <v>90</v>
      </c>
      <c r="I18" s="13" t="s">
        <v>183</v>
      </c>
      <c r="J18" s="13" t="s">
        <v>92</v>
      </c>
      <c r="K18" s="14" t="s">
        <v>92</v>
      </c>
      <c r="L18" s="14" t="s">
        <v>92</v>
      </c>
      <c r="M18" s="14" t="s">
        <v>92</v>
      </c>
      <c r="N18" s="14" t="s">
        <v>92</v>
      </c>
      <c r="O18" s="13" t="s">
        <v>92</v>
      </c>
      <c r="P18" s="13" t="s">
        <v>92</v>
      </c>
      <c r="Q18" s="13" t="s">
        <v>92</v>
      </c>
      <c r="R18" s="13" t="s">
        <v>92</v>
      </c>
      <c r="S18" s="13" t="s">
        <v>92</v>
      </c>
      <c r="T18" s="13" t="s">
        <v>92</v>
      </c>
      <c r="U18" s="13" t="s">
        <v>93</v>
      </c>
      <c r="V18" s="13" t="s">
        <v>92</v>
      </c>
      <c r="W18" s="13" t="s">
        <v>92</v>
      </c>
      <c r="X18" s="13" t="s">
        <v>92</v>
      </c>
      <c r="Y18" s="13" t="s">
        <v>92</v>
      </c>
      <c r="Z18" s="13" t="s">
        <v>92</v>
      </c>
      <c r="AA18" s="14" t="s">
        <v>92</v>
      </c>
      <c r="AB18" s="15" t="s">
        <v>93</v>
      </c>
      <c r="AC18" s="15" t="s">
        <v>92</v>
      </c>
      <c r="AD18" s="15" t="s">
        <v>92</v>
      </c>
      <c r="AE18" s="13" t="s">
        <v>94</v>
      </c>
      <c r="AF18" s="13" t="s">
        <v>92</v>
      </c>
      <c r="AG18" s="13" t="s">
        <v>95</v>
      </c>
      <c r="AH18" s="8" t="s">
        <v>105</v>
      </c>
      <c r="AI18" s="13" t="s">
        <v>93</v>
      </c>
      <c r="AJ18" s="13" t="s">
        <v>92</v>
      </c>
      <c r="AK18" s="13" t="s">
        <v>92</v>
      </c>
      <c r="AL18" s="13" t="s">
        <v>92</v>
      </c>
      <c r="AM18" s="8" t="s">
        <v>105</v>
      </c>
      <c r="AN18" s="14" t="s">
        <v>105</v>
      </c>
      <c r="AO18" s="8" t="s">
        <v>105</v>
      </c>
      <c r="AP18" s="15" t="s">
        <v>93</v>
      </c>
      <c r="AQ18" s="13" t="s">
        <v>93</v>
      </c>
      <c r="AR18" s="13" t="s">
        <v>93</v>
      </c>
      <c r="AS18" s="13" t="s">
        <v>93</v>
      </c>
      <c r="AT18" s="13" t="s">
        <v>93</v>
      </c>
      <c r="AU18" s="13" t="s">
        <v>93</v>
      </c>
      <c r="AV18" s="13" t="s">
        <v>93</v>
      </c>
      <c r="AW18" s="13" t="s">
        <v>93</v>
      </c>
      <c r="AX18" s="13" t="s">
        <v>92</v>
      </c>
      <c r="AY18" s="15" t="s">
        <v>95</v>
      </c>
      <c r="AZ18" s="15" t="s">
        <v>95</v>
      </c>
      <c r="BA18" s="16" t="s">
        <v>184</v>
      </c>
      <c r="BB18" s="8" t="s">
        <v>185</v>
      </c>
      <c r="BC18" s="15" t="s">
        <v>92</v>
      </c>
      <c r="BD18" s="13" t="s">
        <v>92</v>
      </c>
      <c r="BE18" s="13" t="s">
        <v>92</v>
      </c>
      <c r="BF18" s="13" t="s">
        <v>92</v>
      </c>
      <c r="BG18" s="13" t="s">
        <v>92</v>
      </c>
      <c r="BH18" s="13" t="s">
        <v>92</v>
      </c>
      <c r="BI18" s="13" t="s">
        <v>93</v>
      </c>
      <c r="BJ18" s="13" t="s">
        <v>92</v>
      </c>
      <c r="BK18" s="14" t="s">
        <v>105</v>
      </c>
      <c r="BL18" s="14" t="s">
        <v>105</v>
      </c>
      <c r="BM18" s="14" t="s">
        <v>105</v>
      </c>
      <c r="BN18" s="14" t="s">
        <v>105</v>
      </c>
      <c r="BO18" s="14" t="s">
        <v>105</v>
      </c>
      <c r="BP18" s="14" t="s">
        <v>105</v>
      </c>
      <c r="BQ18" s="15" t="s">
        <v>93</v>
      </c>
      <c r="BR18" s="15" t="s">
        <v>92</v>
      </c>
      <c r="BS18" s="15" t="s">
        <v>92</v>
      </c>
      <c r="BT18" s="15" t="s">
        <v>92</v>
      </c>
      <c r="BU18" s="15" t="s">
        <v>92</v>
      </c>
      <c r="BV18" s="15" t="s">
        <v>92</v>
      </c>
      <c r="BW18" s="15" t="s">
        <v>92</v>
      </c>
      <c r="BX18" s="15" t="s">
        <v>92</v>
      </c>
      <c r="BY18" s="15" t="s">
        <v>92</v>
      </c>
      <c r="BZ18" s="15" t="s">
        <v>92</v>
      </c>
      <c r="CA18" s="15" t="s">
        <v>92</v>
      </c>
      <c r="CB18" s="17" t="s">
        <v>178</v>
      </c>
      <c r="CC18" s="17"/>
      <c r="CD18" s="18"/>
      <c r="CE18" s="18"/>
      <c r="CF18" s="18"/>
      <c r="CG18" s="18"/>
      <c r="CH18" s="14"/>
    </row>
    <row r="19">
      <c r="A19" s="8"/>
      <c r="B19" s="16" t="s">
        <v>149</v>
      </c>
      <c r="C19" s="10" t="s">
        <v>150</v>
      </c>
      <c r="D19" s="9" t="s">
        <v>87</v>
      </c>
      <c r="E19" s="11" t="s">
        <v>186</v>
      </c>
      <c r="F19" s="10" t="s">
        <v>187</v>
      </c>
      <c r="G19" s="9" t="s">
        <v>188</v>
      </c>
      <c r="H19" s="14" t="s">
        <v>189</v>
      </c>
      <c r="I19" s="13" t="s">
        <v>190</v>
      </c>
      <c r="J19" s="13" t="s">
        <v>92</v>
      </c>
      <c r="K19" s="14" t="s">
        <v>92</v>
      </c>
      <c r="L19" s="14" t="s">
        <v>93</v>
      </c>
      <c r="M19" s="14" t="s">
        <v>93</v>
      </c>
      <c r="N19" s="14" t="s">
        <v>92</v>
      </c>
      <c r="O19" s="13" t="s">
        <v>92</v>
      </c>
      <c r="P19" s="13" t="s">
        <v>92</v>
      </c>
      <c r="Q19" s="13" t="s">
        <v>92</v>
      </c>
      <c r="R19" s="13" t="s">
        <v>92</v>
      </c>
      <c r="S19" s="13" t="s">
        <v>92</v>
      </c>
      <c r="T19" s="13" t="s">
        <v>92</v>
      </c>
      <c r="U19" s="13" t="s">
        <v>93</v>
      </c>
      <c r="V19" s="13" t="s">
        <v>92</v>
      </c>
      <c r="W19" s="13" t="s">
        <v>92</v>
      </c>
      <c r="X19" s="13" t="s">
        <v>92</v>
      </c>
      <c r="Y19" s="13" t="s">
        <v>92</v>
      </c>
      <c r="Z19" s="13" t="s">
        <v>92</v>
      </c>
      <c r="AA19" s="14" t="s">
        <v>92</v>
      </c>
      <c r="AB19" s="15" t="s">
        <v>93</v>
      </c>
      <c r="AC19" s="15" t="s">
        <v>92</v>
      </c>
      <c r="AD19" s="15" t="s">
        <v>92</v>
      </c>
      <c r="AE19" s="13" t="s">
        <v>94</v>
      </c>
      <c r="AF19" s="13" t="s">
        <v>92</v>
      </c>
      <c r="AG19" s="13" t="s">
        <v>95</v>
      </c>
      <c r="AH19" s="8" t="s">
        <v>105</v>
      </c>
      <c r="AI19" s="13" t="s">
        <v>92</v>
      </c>
      <c r="AJ19" s="13" t="s">
        <v>92</v>
      </c>
      <c r="AK19" s="13" t="s">
        <v>93</v>
      </c>
      <c r="AL19" s="13" t="s">
        <v>93</v>
      </c>
      <c r="AM19" s="8" t="s">
        <v>95</v>
      </c>
      <c r="AN19" s="14" t="s">
        <v>114</v>
      </c>
      <c r="AO19" s="15" t="s">
        <v>93</v>
      </c>
      <c r="AP19" s="15" t="s">
        <v>92</v>
      </c>
      <c r="AQ19" s="13" t="s">
        <v>93</v>
      </c>
      <c r="AR19" s="13" t="s">
        <v>93</v>
      </c>
      <c r="AS19" s="13" t="s">
        <v>93</v>
      </c>
      <c r="AT19" s="13" t="s">
        <v>93</v>
      </c>
      <c r="AU19" s="13" t="s">
        <v>93</v>
      </c>
      <c r="AV19" s="13" t="s">
        <v>93</v>
      </c>
      <c r="AW19" s="13" t="s">
        <v>93</v>
      </c>
      <c r="AX19" s="13" t="s">
        <v>92</v>
      </c>
      <c r="AY19" s="15" t="s">
        <v>191</v>
      </c>
      <c r="AZ19" s="15" t="s">
        <v>93</v>
      </c>
      <c r="BA19" s="16" t="s">
        <v>154</v>
      </c>
      <c r="BB19" s="8" t="s">
        <v>155</v>
      </c>
      <c r="BC19" s="15" t="s">
        <v>92</v>
      </c>
      <c r="BD19" s="13" t="s">
        <v>92</v>
      </c>
      <c r="BE19" s="13" t="s">
        <v>92</v>
      </c>
      <c r="BF19" s="13" t="s">
        <v>92</v>
      </c>
      <c r="BG19" s="13" t="s">
        <v>92</v>
      </c>
      <c r="BH19" s="13" t="s">
        <v>92</v>
      </c>
      <c r="BI19" s="13" t="s">
        <v>93</v>
      </c>
      <c r="BJ19" s="13" t="s">
        <v>92</v>
      </c>
      <c r="BK19" s="14" t="s">
        <v>156</v>
      </c>
      <c r="BL19" s="13" t="s">
        <v>92</v>
      </c>
      <c r="BM19" s="13" t="s">
        <v>92</v>
      </c>
      <c r="BN19" s="13" t="s">
        <v>92</v>
      </c>
      <c r="BO19" s="13" t="s">
        <v>92</v>
      </c>
      <c r="BP19" s="13" t="s">
        <v>93</v>
      </c>
      <c r="BQ19" s="15" t="s">
        <v>93</v>
      </c>
      <c r="BR19" s="15" t="s">
        <v>92</v>
      </c>
      <c r="BS19" s="15" t="s">
        <v>92</v>
      </c>
      <c r="BT19" s="15" t="s">
        <v>92</v>
      </c>
      <c r="BU19" s="15" t="s">
        <v>92</v>
      </c>
      <c r="BV19" s="15" t="s">
        <v>92</v>
      </c>
      <c r="BW19" s="15" t="s">
        <v>92</v>
      </c>
      <c r="BX19" s="15" t="s">
        <v>92</v>
      </c>
      <c r="BY19" s="15" t="s">
        <v>92</v>
      </c>
      <c r="BZ19" s="15" t="s">
        <v>92</v>
      </c>
      <c r="CA19" s="15" t="s">
        <v>92</v>
      </c>
      <c r="CB19" s="17" t="s">
        <v>106</v>
      </c>
      <c r="CC19" s="17" t="s">
        <v>116</v>
      </c>
      <c r="CD19" s="18"/>
      <c r="CE19" s="18"/>
      <c r="CF19" s="18"/>
      <c r="CG19" s="18"/>
      <c r="CH19" s="18"/>
    </row>
    <row r="20">
      <c r="A20" s="8"/>
      <c r="B20" s="28" t="s">
        <v>149</v>
      </c>
      <c r="C20" s="10" t="s">
        <v>150</v>
      </c>
      <c r="D20" s="9" t="s">
        <v>87</v>
      </c>
      <c r="E20" s="11" t="s">
        <v>192</v>
      </c>
      <c r="F20" s="12"/>
      <c r="G20" s="29" t="s">
        <v>193</v>
      </c>
      <c r="H20" s="14" t="s">
        <v>110</v>
      </c>
      <c r="I20" s="14" t="s">
        <v>194</v>
      </c>
      <c r="J20" s="14" t="s">
        <v>92</v>
      </c>
      <c r="K20" s="14" t="s">
        <v>92</v>
      </c>
      <c r="L20" s="14" t="s">
        <v>93</v>
      </c>
      <c r="M20" s="14" t="s">
        <v>92</v>
      </c>
      <c r="N20" s="14" t="s">
        <v>92</v>
      </c>
      <c r="O20" s="14" t="s">
        <v>92</v>
      </c>
      <c r="P20" s="14" t="s">
        <v>92</v>
      </c>
      <c r="Q20" s="14" t="s">
        <v>92</v>
      </c>
      <c r="R20" s="14" t="s">
        <v>92</v>
      </c>
      <c r="S20" s="14" t="s">
        <v>93</v>
      </c>
      <c r="T20" s="14" t="s">
        <v>92</v>
      </c>
      <c r="U20" s="14" t="s">
        <v>92</v>
      </c>
      <c r="V20" s="14" t="s">
        <v>92</v>
      </c>
      <c r="W20" s="14" t="s">
        <v>92</v>
      </c>
      <c r="X20" s="14" t="s">
        <v>92</v>
      </c>
      <c r="Y20" s="14" t="s">
        <v>92</v>
      </c>
      <c r="Z20" s="14" t="s">
        <v>93</v>
      </c>
      <c r="AA20" s="14" t="s">
        <v>92</v>
      </c>
      <c r="AB20" s="8" t="s">
        <v>92</v>
      </c>
      <c r="AC20" s="8" t="s">
        <v>93</v>
      </c>
      <c r="AD20" s="8" t="s">
        <v>92</v>
      </c>
      <c r="AE20" s="14" t="s">
        <v>112</v>
      </c>
      <c r="AF20" s="13" t="s">
        <v>92</v>
      </c>
      <c r="AG20" s="13" t="s">
        <v>95</v>
      </c>
      <c r="AH20" s="8">
        <v>2016.0</v>
      </c>
      <c r="AI20" s="13" t="s">
        <v>93</v>
      </c>
      <c r="AJ20" s="14" t="s">
        <v>92</v>
      </c>
      <c r="AK20" s="14" t="s">
        <v>92</v>
      </c>
      <c r="AL20" s="14" t="s">
        <v>92</v>
      </c>
      <c r="AM20" s="8" t="s">
        <v>105</v>
      </c>
      <c r="AN20" s="14" t="s">
        <v>105</v>
      </c>
      <c r="AO20" s="8" t="s">
        <v>93</v>
      </c>
      <c r="AP20" s="8" t="s">
        <v>92</v>
      </c>
      <c r="AQ20" s="13" t="s">
        <v>93</v>
      </c>
      <c r="AR20" s="13" t="s">
        <v>93</v>
      </c>
      <c r="AS20" s="13" t="s">
        <v>93</v>
      </c>
      <c r="AT20" s="13" t="s">
        <v>93</v>
      </c>
      <c r="AU20" s="13" t="s">
        <v>93</v>
      </c>
      <c r="AV20" s="13" t="s">
        <v>93</v>
      </c>
      <c r="AW20" s="13" t="s">
        <v>93</v>
      </c>
      <c r="AX20" s="13" t="s">
        <v>92</v>
      </c>
      <c r="AY20" s="8" t="s">
        <v>195</v>
      </c>
      <c r="AZ20" s="8" t="s">
        <v>93</v>
      </c>
      <c r="BA20" s="9" t="s">
        <v>196</v>
      </c>
      <c r="BB20" s="8" t="s">
        <v>105</v>
      </c>
      <c r="BC20" s="8" t="s">
        <v>93</v>
      </c>
      <c r="BD20" s="14" t="s">
        <v>93</v>
      </c>
      <c r="BE20" s="14" t="s">
        <v>92</v>
      </c>
      <c r="BF20" s="14" t="s">
        <v>92</v>
      </c>
      <c r="BG20" s="14" t="s">
        <v>92</v>
      </c>
      <c r="BH20" s="14" t="s">
        <v>92</v>
      </c>
      <c r="BI20" s="14" t="s">
        <v>92</v>
      </c>
      <c r="BJ20" s="14" t="s">
        <v>92</v>
      </c>
      <c r="BK20" s="14" t="s">
        <v>156</v>
      </c>
      <c r="BL20" s="13" t="s">
        <v>92</v>
      </c>
      <c r="BM20" s="13" t="s">
        <v>92</v>
      </c>
      <c r="BN20" s="13" t="s">
        <v>92</v>
      </c>
      <c r="BO20" s="13" t="s">
        <v>92</v>
      </c>
      <c r="BP20" s="13" t="s">
        <v>93</v>
      </c>
      <c r="BQ20" s="8" t="s">
        <v>92</v>
      </c>
      <c r="BR20" s="8" t="s">
        <v>92</v>
      </c>
      <c r="BS20" s="8" t="s">
        <v>92</v>
      </c>
      <c r="BT20" s="8" t="s">
        <v>93</v>
      </c>
      <c r="BU20" s="8" t="s">
        <v>92</v>
      </c>
      <c r="BV20" s="8" t="s">
        <v>93</v>
      </c>
      <c r="BW20" s="8" t="s">
        <v>92</v>
      </c>
      <c r="BX20" s="8" t="s">
        <v>92</v>
      </c>
      <c r="BY20" s="8" t="s">
        <v>92</v>
      </c>
      <c r="BZ20" s="8" t="s">
        <v>93</v>
      </c>
      <c r="CA20" s="8" t="s">
        <v>92</v>
      </c>
      <c r="CB20" s="17" t="s">
        <v>106</v>
      </c>
      <c r="CC20" s="17"/>
      <c r="CD20" s="18"/>
      <c r="CE20" s="18"/>
      <c r="CF20" s="18"/>
      <c r="CG20" s="18"/>
      <c r="CH20" s="18"/>
    </row>
    <row r="21">
      <c r="A21" s="8"/>
      <c r="B21" s="16" t="s">
        <v>149</v>
      </c>
      <c r="C21" s="10" t="s">
        <v>150</v>
      </c>
      <c r="D21" s="9" t="s">
        <v>87</v>
      </c>
      <c r="E21" s="11" t="s">
        <v>197</v>
      </c>
      <c r="F21" s="12"/>
      <c r="G21" s="30" t="s">
        <v>198</v>
      </c>
      <c r="H21" s="14" t="s">
        <v>90</v>
      </c>
      <c r="I21" s="14" t="s">
        <v>199</v>
      </c>
      <c r="J21" s="14" t="s">
        <v>92</v>
      </c>
      <c r="K21" s="14" t="s">
        <v>92</v>
      </c>
      <c r="L21" s="14" t="s">
        <v>93</v>
      </c>
      <c r="M21" s="14" t="s">
        <v>92</v>
      </c>
      <c r="N21" s="14" t="s">
        <v>92</v>
      </c>
      <c r="O21" s="14" t="s">
        <v>92</v>
      </c>
      <c r="P21" s="14" t="s">
        <v>92</v>
      </c>
      <c r="Q21" s="14" t="s">
        <v>92</v>
      </c>
      <c r="R21" s="14" t="s">
        <v>92</v>
      </c>
      <c r="S21" s="14" t="s">
        <v>93</v>
      </c>
      <c r="T21" s="14" t="s">
        <v>92</v>
      </c>
      <c r="U21" s="14" t="s">
        <v>92</v>
      </c>
      <c r="V21" s="14" t="s">
        <v>92</v>
      </c>
      <c r="W21" s="14" t="s">
        <v>92</v>
      </c>
      <c r="X21" s="14" t="s">
        <v>92</v>
      </c>
      <c r="Y21" s="14" t="s">
        <v>92</v>
      </c>
      <c r="Z21" s="14" t="s">
        <v>93</v>
      </c>
      <c r="AA21" s="14" t="s">
        <v>92</v>
      </c>
      <c r="AB21" s="8" t="s">
        <v>93</v>
      </c>
      <c r="AC21" s="8" t="s">
        <v>93</v>
      </c>
      <c r="AD21" s="8" t="s">
        <v>92</v>
      </c>
      <c r="AE21" s="14" t="s">
        <v>148</v>
      </c>
      <c r="AF21" s="14" t="s">
        <v>92</v>
      </c>
      <c r="AG21" s="13" t="s">
        <v>95</v>
      </c>
      <c r="AH21" s="8" t="s">
        <v>105</v>
      </c>
      <c r="AI21" s="14" t="s">
        <v>93</v>
      </c>
      <c r="AJ21" s="14" t="s">
        <v>93</v>
      </c>
      <c r="AK21" s="14" t="s">
        <v>93</v>
      </c>
      <c r="AL21" s="14" t="s">
        <v>93</v>
      </c>
      <c r="AM21" s="15" t="s">
        <v>95</v>
      </c>
      <c r="AN21" s="13" t="s">
        <v>114</v>
      </c>
      <c r="AO21" s="8" t="s">
        <v>93</v>
      </c>
      <c r="AP21" s="8" t="s">
        <v>92</v>
      </c>
      <c r="AQ21" s="13" t="s">
        <v>93</v>
      </c>
      <c r="AR21" s="13" t="s">
        <v>93</v>
      </c>
      <c r="AS21" s="13" t="s">
        <v>93</v>
      </c>
      <c r="AT21" s="13" t="s">
        <v>93</v>
      </c>
      <c r="AU21" s="13" t="s">
        <v>93</v>
      </c>
      <c r="AV21" s="13" t="s">
        <v>93</v>
      </c>
      <c r="AW21" s="13" t="s">
        <v>93</v>
      </c>
      <c r="AX21" s="13" t="s">
        <v>92</v>
      </c>
      <c r="AY21" s="15" t="s">
        <v>95</v>
      </c>
      <c r="AZ21" s="15" t="s">
        <v>95</v>
      </c>
      <c r="BA21" s="16" t="s">
        <v>154</v>
      </c>
      <c r="BB21" s="8" t="s">
        <v>155</v>
      </c>
      <c r="BC21" s="15" t="s">
        <v>92</v>
      </c>
      <c r="BD21" s="14" t="s">
        <v>93</v>
      </c>
      <c r="BE21" s="14" t="s">
        <v>92</v>
      </c>
      <c r="BF21" s="14" t="s">
        <v>92</v>
      </c>
      <c r="BG21" s="14" t="s">
        <v>92</v>
      </c>
      <c r="BH21" s="14" t="s">
        <v>92</v>
      </c>
      <c r="BI21" s="14" t="s">
        <v>92</v>
      </c>
      <c r="BJ21" s="14" t="s">
        <v>92</v>
      </c>
      <c r="BK21" s="14" t="s">
        <v>156</v>
      </c>
      <c r="BL21" s="13" t="s">
        <v>92</v>
      </c>
      <c r="BM21" s="13" t="s">
        <v>92</v>
      </c>
      <c r="BN21" s="13" t="s">
        <v>92</v>
      </c>
      <c r="BO21" s="13" t="s">
        <v>92</v>
      </c>
      <c r="BP21" s="13" t="s">
        <v>93</v>
      </c>
      <c r="BQ21" s="8" t="s">
        <v>92</v>
      </c>
      <c r="BR21" s="8" t="s">
        <v>92</v>
      </c>
      <c r="BS21" s="8" t="s">
        <v>93</v>
      </c>
      <c r="BT21" s="8" t="s">
        <v>93</v>
      </c>
      <c r="BU21" s="8" t="s">
        <v>92</v>
      </c>
      <c r="BV21" s="8" t="s">
        <v>92</v>
      </c>
      <c r="BW21" s="8" t="s">
        <v>92</v>
      </c>
      <c r="BX21" s="8" t="s">
        <v>92</v>
      </c>
      <c r="BY21" s="8" t="s">
        <v>92</v>
      </c>
      <c r="BZ21" s="8" t="s">
        <v>92</v>
      </c>
      <c r="CA21" s="8" t="s">
        <v>92</v>
      </c>
      <c r="CB21" s="17" t="s">
        <v>116</v>
      </c>
      <c r="CC21" s="17" t="s">
        <v>178</v>
      </c>
      <c r="CD21" s="17" t="s">
        <v>115</v>
      </c>
      <c r="CE21" s="17" t="s">
        <v>106</v>
      </c>
      <c r="CF21" s="18"/>
      <c r="CG21" s="18"/>
      <c r="CH21" s="18"/>
    </row>
    <row r="22">
      <c r="A22" s="8"/>
      <c r="B22" s="16" t="s">
        <v>149</v>
      </c>
      <c r="C22" s="10" t="s">
        <v>150</v>
      </c>
      <c r="D22" s="9" t="s">
        <v>87</v>
      </c>
      <c r="E22" s="11" t="s">
        <v>200</v>
      </c>
      <c r="F22" s="12"/>
      <c r="G22" s="29" t="s">
        <v>201</v>
      </c>
      <c r="H22" s="14" t="s">
        <v>90</v>
      </c>
      <c r="I22" s="14" t="s">
        <v>202</v>
      </c>
      <c r="J22" s="14" t="s">
        <v>92</v>
      </c>
      <c r="K22" s="14" t="s">
        <v>92</v>
      </c>
      <c r="L22" s="14" t="s">
        <v>92</v>
      </c>
      <c r="M22" s="14" t="s">
        <v>92</v>
      </c>
      <c r="N22" s="14" t="s">
        <v>92</v>
      </c>
      <c r="O22" s="14" t="s">
        <v>92</v>
      </c>
      <c r="P22" s="14" t="s">
        <v>92</v>
      </c>
      <c r="Q22" s="14" t="s">
        <v>92</v>
      </c>
      <c r="R22" s="14" t="s">
        <v>92</v>
      </c>
      <c r="S22" s="14" t="s">
        <v>92</v>
      </c>
      <c r="T22" s="14" t="s">
        <v>92</v>
      </c>
      <c r="U22" s="14" t="s">
        <v>92</v>
      </c>
      <c r="V22" s="14" t="s">
        <v>92</v>
      </c>
      <c r="W22" s="14" t="s">
        <v>92</v>
      </c>
      <c r="X22" s="14" t="s">
        <v>92</v>
      </c>
      <c r="Y22" s="14" t="s">
        <v>92</v>
      </c>
      <c r="Z22" s="14" t="s">
        <v>93</v>
      </c>
      <c r="AA22" s="14" t="s">
        <v>92</v>
      </c>
      <c r="AB22" s="8" t="s">
        <v>92</v>
      </c>
      <c r="AC22" s="8" t="s">
        <v>93</v>
      </c>
      <c r="AD22" s="8" t="s">
        <v>92</v>
      </c>
      <c r="AE22" s="14" t="s">
        <v>112</v>
      </c>
      <c r="AF22" s="14" t="s">
        <v>92</v>
      </c>
      <c r="AG22" s="14" t="s">
        <v>95</v>
      </c>
      <c r="AH22" s="8">
        <v>2007.0</v>
      </c>
      <c r="AI22" s="14" t="s">
        <v>93</v>
      </c>
      <c r="AJ22" s="14" t="s">
        <v>93</v>
      </c>
      <c r="AK22" s="14" t="s">
        <v>93</v>
      </c>
      <c r="AL22" s="14" t="s">
        <v>93</v>
      </c>
      <c r="AM22" s="8" t="s">
        <v>95</v>
      </c>
      <c r="AN22" s="14" t="s">
        <v>114</v>
      </c>
      <c r="AO22" s="8" t="s">
        <v>93</v>
      </c>
      <c r="AP22" s="8" t="s">
        <v>92</v>
      </c>
      <c r="AQ22" s="13" t="s">
        <v>93</v>
      </c>
      <c r="AR22" s="13" t="s">
        <v>93</v>
      </c>
      <c r="AS22" s="13" t="s">
        <v>93</v>
      </c>
      <c r="AT22" s="13" t="s">
        <v>93</v>
      </c>
      <c r="AU22" s="13" t="s">
        <v>93</v>
      </c>
      <c r="AV22" s="13" t="s">
        <v>93</v>
      </c>
      <c r="AW22" s="13" t="s">
        <v>93</v>
      </c>
      <c r="AX22" s="13" t="s">
        <v>92</v>
      </c>
      <c r="AY22" s="15" t="s">
        <v>95</v>
      </c>
      <c r="AZ22" s="15" t="s">
        <v>95</v>
      </c>
      <c r="BA22" s="16" t="s">
        <v>149</v>
      </c>
      <c r="BB22" s="8" t="s">
        <v>155</v>
      </c>
      <c r="BC22" s="8" t="s">
        <v>92</v>
      </c>
      <c r="BD22" s="14" t="s">
        <v>93</v>
      </c>
      <c r="BE22" s="14" t="s">
        <v>92</v>
      </c>
      <c r="BF22" s="14" t="s">
        <v>92</v>
      </c>
      <c r="BG22" s="14" t="s">
        <v>92</v>
      </c>
      <c r="BH22" s="14" t="s">
        <v>92</v>
      </c>
      <c r="BI22" s="14" t="s">
        <v>92</v>
      </c>
      <c r="BJ22" s="14" t="s">
        <v>92</v>
      </c>
      <c r="BK22" s="14" t="s">
        <v>156</v>
      </c>
      <c r="BL22" s="13" t="s">
        <v>92</v>
      </c>
      <c r="BM22" s="13" t="s">
        <v>92</v>
      </c>
      <c r="BN22" s="13" t="s">
        <v>92</v>
      </c>
      <c r="BO22" s="13" t="s">
        <v>92</v>
      </c>
      <c r="BP22" s="13" t="s">
        <v>93</v>
      </c>
      <c r="BQ22" s="8" t="s">
        <v>92</v>
      </c>
      <c r="BR22" s="8" t="s">
        <v>92</v>
      </c>
      <c r="BS22" s="8" t="s">
        <v>92</v>
      </c>
      <c r="BT22" s="8" t="s">
        <v>93</v>
      </c>
      <c r="BU22" s="8" t="s">
        <v>92</v>
      </c>
      <c r="BV22" s="8" t="s">
        <v>92</v>
      </c>
      <c r="BW22" s="8" t="s">
        <v>92</v>
      </c>
      <c r="BX22" s="8" t="s">
        <v>92</v>
      </c>
      <c r="BY22" s="8" t="s">
        <v>92</v>
      </c>
      <c r="BZ22" s="8" t="s">
        <v>92</v>
      </c>
      <c r="CA22" s="8" t="s">
        <v>92</v>
      </c>
      <c r="CB22" s="17" t="s">
        <v>116</v>
      </c>
      <c r="CC22" s="17" t="s">
        <v>178</v>
      </c>
      <c r="CD22" s="17" t="s">
        <v>115</v>
      </c>
      <c r="CE22" s="17" t="s">
        <v>106</v>
      </c>
      <c r="CF22" s="18"/>
      <c r="CG22" s="18"/>
      <c r="CH22" s="18"/>
    </row>
    <row r="23">
      <c r="A23" s="8"/>
      <c r="B23" s="16" t="s">
        <v>203</v>
      </c>
      <c r="C23" s="10" t="s">
        <v>204</v>
      </c>
      <c r="D23" s="9" t="s">
        <v>87</v>
      </c>
      <c r="E23" s="11" t="s">
        <v>205</v>
      </c>
      <c r="F23" s="12"/>
      <c r="G23" s="13" t="s">
        <v>206</v>
      </c>
      <c r="H23" s="13" t="s">
        <v>110</v>
      </c>
      <c r="I23" s="13" t="s">
        <v>207</v>
      </c>
      <c r="J23" s="13" t="s">
        <v>92</v>
      </c>
      <c r="K23" s="14" t="s">
        <v>92</v>
      </c>
      <c r="L23" s="14" t="s">
        <v>92</v>
      </c>
      <c r="M23" s="14" t="s">
        <v>92</v>
      </c>
      <c r="N23" s="14" t="s">
        <v>93</v>
      </c>
      <c r="O23" s="13" t="s">
        <v>92</v>
      </c>
      <c r="P23" s="13" t="s">
        <v>92</v>
      </c>
      <c r="Q23" s="13" t="s">
        <v>92</v>
      </c>
      <c r="R23" s="13" t="s">
        <v>92</v>
      </c>
      <c r="S23" s="13" t="s">
        <v>92</v>
      </c>
      <c r="T23" s="13" t="s">
        <v>93</v>
      </c>
      <c r="U23" s="13" t="s">
        <v>92</v>
      </c>
      <c r="V23" s="13" t="s">
        <v>92</v>
      </c>
      <c r="W23" s="13" t="s">
        <v>92</v>
      </c>
      <c r="X23" s="13" t="s">
        <v>92</v>
      </c>
      <c r="Y23" s="13" t="s">
        <v>92</v>
      </c>
      <c r="Z23" s="14" t="s">
        <v>92</v>
      </c>
      <c r="AA23" s="14" t="s">
        <v>92</v>
      </c>
      <c r="AB23" s="15" t="s">
        <v>93</v>
      </c>
      <c r="AC23" s="15" t="s">
        <v>92</v>
      </c>
      <c r="AD23" s="15" t="s">
        <v>92</v>
      </c>
      <c r="AE23" s="14" t="s">
        <v>103</v>
      </c>
      <c r="AF23" s="13" t="s">
        <v>92</v>
      </c>
      <c r="AG23" s="13" t="s">
        <v>95</v>
      </c>
      <c r="AH23" s="8" t="s">
        <v>105</v>
      </c>
      <c r="AI23" s="13" t="s">
        <v>93</v>
      </c>
      <c r="AJ23" s="13" t="s">
        <v>92</v>
      </c>
      <c r="AK23" s="13" t="s">
        <v>92</v>
      </c>
      <c r="AL23" s="14" t="s">
        <v>92</v>
      </c>
      <c r="AM23" s="8" t="s">
        <v>105</v>
      </c>
      <c r="AN23" s="14" t="s">
        <v>105</v>
      </c>
      <c r="AO23" s="8" t="s">
        <v>105</v>
      </c>
      <c r="AP23" s="15" t="s">
        <v>92</v>
      </c>
      <c r="AQ23" s="13" t="s">
        <v>92</v>
      </c>
      <c r="AR23" s="14" t="s">
        <v>93</v>
      </c>
      <c r="AS23" s="13" t="s">
        <v>93</v>
      </c>
      <c r="AT23" s="13" t="s">
        <v>93</v>
      </c>
      <c r="AU23" s="13" t="s">
        <v>92</v>
      </c>
      <c r="AV23" s="13" t="s">
        <v>92</v>
      </c>
      <c r="AW23" s="13" t="s">
        <v>92</v>
      </c>
      <c r="AX23" s="13" t="s">
        <v>92</v>
      </c>
      <c r="AY23" s="15" t="s">
        <v>95</v>
      </c>
      <c r="AZ23" s="15" t="s">
        <v>95</v>
      </c>
      <c r="BA23" s="16" t="s">
        <v>208</v>
      </c>
      <c r="BB23" s="8" t="s">
        <v>95</v>
      </c>
      <c r="BC23" s="15" t="s">
        <v>93</v>
      </c>
      <c r="BD23" s="13" t="s">
        <v>92</v>
      </c>
      <c r="BE23" s="13" t="s">
        <v>92</v>
      </c>
      <c r="BF23" s="13" t="s">
        <v>92</v>
      </c>
      <c r="BG23" s="13" t="s">
        <v>92</v>
      </c>
      <c r="BH23" s="13" t="s">
        <v>92</v>
      </c>
      <c r="BI23" s="13" t="s">
        <v>93</v>
      </c>
      <c r="BJ23" s="13" t="s">
        <v>92</v>
      </c>
      <c r="BK23" s="14" t="s">
        <v>156</v>
      </c>
      <c r="BL23" s="13" t="s">
        <v>92</v>
      </c>
      <c r="BM23" s="13" t="s">
        <v>92</v>
      </c>
      <c r="BN23" s="13" t="s">
        <v>92</v>
      </c>
      <c r="BO23" s="13" t="s">
        <v>92</v>
      </c>
      <c r="BP23" s="13" t="s">
        <v>93</v>
      </c>
      <c r="BQ23" s="15" t="s">
        <v>92</v>
      </c>
      <c r="BR23" s="15" t="s">
        <v>93</v>
      </c>
      <c r="BS23" s="15" t="s">
        <v>92</v>
      </c>
      <c r="BT23" s="15" t="s">
        <v>92</v>
      </c>
      <c r="BU23" s="15" t="s">
        <v>92</v>
      </c>
      <c r="BV23" s="15" t="s">
        <v>92</v>
      </c>
      <c r="BW23" s="15" t="s">
        <v>92</v>
      </c>
      <c r="BX23" s="15" t="s">
        <v>92</v>
      </c>
      <c r="BY23" s="15" t="s">
        <v>92</v>
      </c>
      <c r="BZ23" s="15" t="s">
        <v>92</v>
      </c>
      <c r="CA23" s="15" t="s">
        <v>92</v>
      </c>
      <c r="CB23" s="17" t="s">
        <v>178</v>
      </c>
      <c r="CC23" s="18"/>
      <c r="CD23" s="18"/>
      <c r="CE23" s="18"/>
      <c r="CF23" s="18"/>
      <c r="CG23" s="18"/>
      <c r="CH23" s="14"/>
    </row>
    <row r="24">
      <c r="A24" s="8"/>
      <c r="B24" s="16" t="s">
        <v>203</v>
      </c>
      <c r="C24" s="10" t="s">
        <v>204</v>
      </c>
      <c r="D24" s="9" t="s">
        <v>87</v>
      </c>
      <c r="E24" s="11" t="s">
        <v>209</v>
      </c>
      <c r="F24" s="12"/>
      <c r="G24" s="14" t="s">
        <v>210</v>
      </c>
      <c r="H24" s="14" t="s">
        <v>90</v>
      </c>
      <c r="I24" s="14" t="s">
        <v>211</v>
      </c>
      <c r="J24" s="14" t="s">
        <v>92</v>
      </c>
      <c r="K24" s="14" t="s">
        <v>92</v>
      </c>
      <c r="L24" s="14" t="s">
        <v>92</v>
      </c>
      <c r="M24" s="14" t="s">
        <v>92</v>
      </c>
      <c r="N24" s="14" t="s">
        <v>92</v>
      </c>
      <c r="O24" s="14" t="s">
        <v>92</v>
      </c>
      <c r="P24" s="14" t="s">
        <v>92</v>
      </c>
      <c r="Q24" s="14" t="s">
        <v>92</v>
      </c>
      <c r="R24" s="14" t="s">
        <v>92</v>
      </c>
      <c r="S24" s="14" t="s">
        <v>92</v>
      </c>
      <c r="T24" s="14" t="s">
        <v>92</v>
      </c>
      <c r="U24" s="14" t="s">
        <v>92</v>
      </c>
      <c r="V24" s="14" t="s">
        <v>92</v>
      </c>
      <c r="W24" s="14" t="s">
        <v>92</v>
      </c>
      <c r="X24" s="14" t="s">
        <v>92</v>
      </c>
      <c r="Y24" s="14" t="s">
        <v>92</v>
      </c>
      <c r="Z24" s="14" t="s">
        <v>93</v>
      </c>
      <c r="AA24" s="14" t="s">
        <v>92</v>
      </c>
      <c r="AB24" s="8" t="s">
        <v>92</v>
      </c>
      <c r="AC24" s="8" t="s">
        <v>93</v>
      </c>
      <c r="AD24" s="8" t="s">
        <v>92</v>
      </c>
      <c r="AE24" s="14" t="s">
        <v>112</v>
      </c>
      <c r="AF24" s="14" t="s">
        <v>92</v>
      </c>
      <c r="AG24" s="13" t="s">
        <v>95</v>
      </c>
      <c r="AH24" s="8" t="s">
        <v>105</v>
      </c>
      <c r="AI24" s="14" t="s">
        <v>93</v>
      </c>
      <c r="AJ24" s="14" t="s">
        <v>93</v>
      </c>
      <c r="AK24" s="14" t="s">
        <v>93</v>
      </c>
      <c r="AL24" s="14" t="s">
        <v>93</v>
      </c>
      <c r="AM24" s="15" t="s">
        <v>95</v>
      </c>
      <c r="AN24" s="13" t="s">
        <v>114</v>
      </c>
      <c r="AO24" s="8" t="s">
        <v>93</v>
      </c>
      <c r="AP24" s="8" t="s">
        <v>92</v>
      </c>
      <c r="AQ24" s="13" t="s">
        <v>92</v>
      </c>
      <c r="AR24" s="14" t="s">
        <v>93</v>
      </c>
      <c r="AS24" s="13" t="s">
        <v>93</v>
      </c>
      <c r="AT24" s="13" t="s">
        <v>93</v>
      </c>
      <c r="AU24" s="13" t="s">
        <v>92</v>
      </c>
      <c r="AV24" s="13" t="s">
        <v>92</v>
      </c>
      <c r="AW24" s="13" t="s">
        <v>92</v>
      </c>
      <c r="AX24" s="13" t="s">
        <v>92</v>
      </c>
      <c r="AY24" s="15" t="s">
        <v>95</v>
      </c>
      <c r="AZ24" s="8" t="s">
        <v>95</v>
      </c>
      <c r="BA24" s="9" t="s">
        <v>212</v>
      </c>
      <c r="BB24" s="8" t="s">
        <v>213</v>
      </c>
      <c r="BC24" s="8" t="s">
        <v>92</v>
      </c>
      <c r="BD24" s="14" t="s">
        <v>93</v>
      </c>
      <c r="BE24" s="14" t="s">
        <v>92</v>
      </c>
      <c r="BF24" s="14" t="s">
        <v>92</v>
      </c>
      <c r="BG24" s="14" t="s">
        <v>92</v>
      </c>
      <c r="BH24" s="14" t="s">
        <v>92</v>
      </c>
      <c r="BI24" s="14" t="s">
        <v>92</v>
      </c>
      <c r="BJ24" s="14" t="s">
        <v>92</v>
      </c>
      <c r="BK24" s="14" t="s">
        <v>214</v>
      </c>
      <c r="BL24" s="13" t="s">
        <v>93</v>
      </c>
      <c r="BM24" s="13" t="s">
        <v>93</v>
      </c>
      <c r="BN24" s="13" t="s">
        <v>93</v>
      </c>
      <c r="BO24" s="13" t="s">
        <v>93</v>
      </c>
      <c r="BP24" s="13" t="s">
        <v>93</v>
      </c>
      <c r="BQ24" s="8" t="s">
        <v>92</v>
      </c>
      <c r="BR24" s="8" t="s">
        <v>92</v>
      </c>
      <c r="BS24" s="8" t="s">
        <v>92</v>
      </c>
      <c r="BT24" s="8" t="s">
        <v>93</v>
      </c>
      <c r="BU24" s="8" t="s">
        <v>92</v>
      </c>
      <c r="BV24" s="8" t="s">
        <v>92</v>
      </c>
      <c r="BW24" s="8" t="s">
        <v>92</v>
      </c>
      <c r="BX24" s="8" t="s">
        <v>92</v>
      </c>
      <c r="BY24" s="8" t="s">
        <v>92</v>
      </c>
      <c r="BZ24" s="8" t="s">
        <v>92</v>
      </c>
      <c r="CA24" s="8" t="s">
        <v>92</v>
      </c>
      <c r="CB24" s="17" t="s">
        <v>178</v>
      </c>
      <c r="CC24" s="17" t="s">
        <v>115</v>
      </c>
      <c r="CD24" s="17" t="s">
        <v>106</v>
      </c>
      <c r="CE24" s="20" t="s">
        <v>116</v>
      </c>
      <c r="CF24" s="18"/>
      <c r="CG24" s="18"/>
      <c r="CH24" s="14"/>
    </row>
    <row r="25">
      <c r="A25" s="8"/>
      <c r="B25" s="16" t="s">
        <v>203</v>
      </c>
      <c r="C25" s="10" t="s">
        <v>204</v>
      </c>
      <c r="D25" s="9" t="s">
        <v>87</v>
      </c>
      <c r="E25" s="11" t="s">
        <v>215</v>
      </c>
      <c r="F25" s="12"/>
      <c r="G25" s="13" t="s">
        <v>216</v>
      </c>
      <c r="H25" s="13" t="s">
        <v>90</v>
      </c>
      <c r="I25" s="13" t="s">
        <v>217</v>
      </c>
      <c r="J25" s="13" t="s">
        <v>92</v>
      </c>
      <c r="K25" s="14" t="s">
        <v>93</v>
      </c>
      <c r="L25" s="14" t="s">
        <v>93</v>
      </c>
      <c r="M25" s="14" t="s">
        <v>92</v>
      </c>
      <c r="N25" s="14" t="s">
        <v>92</v>
      </c>
      <c r="O25" s="14" t="s">
        <v>92</v>
      </c>
      <c r="P25" s="13" t="s">
        <v>92</v>
      </c>
      <c r="Q25" s="13" t="s">
        <v>92</v>
      </c>
      <c r="R25" s="13" t="s">
        <v>92</v>
      </c>
      <c r="S25" s="13" t="s">
        <v>92</v>
      </c>
      <c r="T25" s="13" t="s">
        <v>92</v>
      </c>
      <c r="U25" s="13" t="s">
        <v>92</v>
      </c>
      <c r="V25" s="13" t="s">
        <v>92</v>
      </c>
      <c r="W25" s="13" t="s">
        <v>92</v>
      </c>
      <c r="X25" s="13" t="s">
        <v>93</v>
      </c>
      <c r="Y25" s="13" t="s">
        <v>92</v>
      </c>
      <c r="Z25" s="14" t="s">
        <v>92</v>
      </c>
      <c r="AA25" s="14" t="s">
        <v>92</v>
      </c>
      <c r="AB25" s="15" t="s">
        <v>93</v>
      </c>
      <c r="AC25" s="15" t="s">
        <v>93</v>
      </c>
      <c r="AD25" s="15" t="s">
        <v>92</v>
      </c>
      <c r="AE25" s="13" t="s">
        <v>148</v>
      </c>
      <c r="AF25" s="13" t="s">
        <v>92</v>
      </c>
      <c r="AG25" s="13" t="s">
        <v>95</v>
      </c>
      <c r="AH25" s="8" t="s">
        <v>105</v>
      </c>
      <c r="AI25" s="13" t="s">
        <v>92</v>
      </c>
      <c r="AJ25" s="13" t="s">
        <v>93</v>
      </c>
      <c r="AK25" s="13" t="s">
        <v>92</v>
      </c>
      <c r="AL25" s="14" t="s">
        <v>92</v>
      </c>
      <c r="AM25" s="8" t="s">
        <v>105</v>
      </c>
      <c r="AN25" s="14" t="s">
        <v>105</v>
      </c>
      <c r="AO25" s="8" t="s">
        <v>105</v>
      </c>
      <c r="AP25" s="15" t="s">
        <v>92</v>
      </c>
      <c r="AQ25" s="13" t="s">
        <v>92</v>
      </c>
      <c r="AR25" s="14" t="s">
        <v>93</v>
      </c>
      <c r="AS25" s="13" t="s">
        <v>93</v>
      </c>
      <c r="AT25" s="13" t="s">
        <v>93</v>
      </c>
      <c r="AU25" s="13" t="s">
        <v>92</v>
      </c>
      <c r="AV25" s="13" t="s">
        <v>92</v>
      </c>
      <c r="AW25" s="13" t="s">
        <v>92</v>
      </c>
      <c r="AX25" s="13" t="s">
        <v>92</v>
      </c>
      <c r="AY25" s="15" t="s">
        <v>95</v>
      </c>
      <c r="AZ25" s="15" t="s">
        <v>95</v>
      </c>
      <c r="BA25" s="16" t="s">
        <v>212</v>
      </c>
      <c r="BB25" s="8" t="s">
        <v>213</v>
      </c>
      <c r="BC25" s="15" t="s">
        <v>92</v>
      </c>
      <c r="BD25" s="13" t="s">
        <v>93</v>
      </c>
      <c r="BE25" s="13" t="s">
        <v>92</v>
      </c>
      <c r="BF25" s="13" t="s">
        <v>92</v>
      </c>
      <c r="BG25" s="13" t="s">
        <v>92</v>
      </c>
      <c r="BH25" s="13" t="s">
        <v>92</v>
      </c>
      <c r="BI25" s="13" t="s">
        <v>92</v>
      </c>
      <c r="BJ25" s="13" t="s">
        <v>92</v>
      </c>
      <c r="BK25" s="13" t="s">
        <v>105</v>
      </c>
      <c r="BL25" s="13" t="s">
        <v>105</v>
      </c>
      <c r="BM25" s="13" t="s">
        <v>105</v>
      </c>
      <c r="BN25" s="13" t="s">
        <v>105</v>
      </c>
      <c r="BO25" s="13" t="s">
        <v>105</v>
      </c>
      <c r="BP25" s="13" t="s">
        <v>105</v>
      </c>
      <c r="BQ25" s="15" t="s">
        <v>92</v>
      </c>
      <c r="BR25" s="15" t="s">
        <v>92</v>
      </c>
      <c r="BS25" s="15" t="s">
        <v>93</v>
      </c>
      <c r="BT25" s="15" t="s">
        <v>92</v>
      </c>
      <c r="BU25" s="15" t="s">
        <v>92</v>
      </c>
      <c r="BV25" s="15" t="s">
        <v>92</v>
      </c>
      <c r="BW25" s="8" t="s">
        <v>92</v>
      </c>
      <c r="BX25" s="15" t="s">
        <v>92</v>
      </c>
      <c r="BY25" s="15" t="s">
        <v>93</v>
      </c>
      <c r="BZ25" s="15" t="s">
        <v>92</v>
      </c>
      <c r="CA25" s="15" t="s">
        <v>92</v>
      </c>
      <c r="CB25" s="17" t="s">
        <v>115</v>
      </c>
      <c r="CC25" s="18"/>
      <c r="CD25" s="18"/>
      <c r="CE25" s="18"/>
      <c r="CF25" s="18"/>
      <c r="CG25" s="18"/>
      <c r="CH25" s="14"/>
    </row>
    <row r="26">
      <c r="A26" s="8"/>
      <c r="B26" s="28" t="s">
        <v>203</v>
      </c>
      <c r="C26" s="10" t="s">
        <v>204</v>
      </c>
      <c r="D26" s="9" t="s">
        <v>87</v>
      </c>
      <c r="E26" s="11" t="s">
        <v>218</v>
      </c>
      <c r="F26" s="12"/>
      <c r="G26" s="14" t="s">
        <v>219</v>
      </c>
      <c r="H26" s="14" t="s">
        <v>90</v>
      </c>
      <c r="I26" s="14" t="s">
        <v>220</v>
      </c>
      <c r="J26" s="14" t="s">
        <v>92</v>
      </c>
      <c r="K26" s="14" t="s">
        <v>93</v>
      </c>
      <c r="L26" s="14" t="s">
        <v>92</v>
      </c>
      <c r="M26" s="14" t="s">
        <v>92</v>
      </c>
      <c r="N26" s="14" t="s">
        <v>92</v>
      </c>
      <c r="O26" s="14" t="s">
        <v>92</v>
      </c>
      <c r="P26" s="14" t="s">
        <v>92</v>
      </c>
      <c r="Q26" s="14" t="s">
        <v>92</v>
      </c>
      <c r="R26" s="14" t="s">
        <v>92</v>
      </c>
      <c r="S26" s="14" t="s">
        <v>92</v>
      </c>
      <c r="T26" s="14" t="s">
        <v>92</v>
      </c>
      <c r="U26" s="14" t="s">
        <v>92</v>
      </c>
      <c r="V26" s="14" t="s">
        <v>92</v>
      </c>
      <c r="W26" s="14" t="s">
        <v>92</v>
      </c>
      <c r="X26" s="14" t="s">
        <v>92</v>
      </c>
      <c r="Y26" s="14" t="s">
        <v>92</v>
      </c>
      <c r="Z26" s="14" t="s">
        <v>93</v>
      </c>
      <c r="AA26" s="14" t="s">
        <v>92</v>
      </c>
      <c r="AB26" s="8" t="s">
        <v>93</v>
      </c>
      <c r="AC26" s="8" t="s">
        <v>93</v>
      </c>
      <c r="AD26" s="8" t="s">
        <v>93</v>
      </c>
      <c r="AE26" s="14" t="s">
        <v>112</v>
      </c>
      <c r="AF26" s="14" t="s">
        <v>92</v>
      </c>
      <c r="AG26" s="13" t="s">
        <v>95</v>
      </c>
      <c r="AH26" s="8" t="s">
        <v>105</v>
      </c>
      <c r="AI26" s="14" t="s">
        <v>92</v>
      </c>
      <c r="AJ26" s="14" t="s">
        <v>92</v>
      </c>
      <c r="AK26" s="14" t="s">
        <v>92</v>
      </c>
      <c r="AL26" s="14" t="s">
        <v>93</v>
      </c>
      <c r="AM26" s="15" t="s">
        <v>95</v>
      </c>
      <c r="AN26" s="13" t="s">
        <v>114</v>
      </c>
      <c r="AO26" s="8" t="s">
        <v>92</v>
      </c>
      <c r="AP26" s="15" t="s">
        <v>92</v>
      </c>
      <c r="AQ26" s="13" t="s">
        <v>92</v>
      </c>
      <c r="AR26" s="14" t="s">
        <v>93</v>
      </c>
      <c r="AS26" s="13" t="s">
        <v>93</v>
      </c>
      <c r="AT26" s="13" t="s">
        <v>93</v>
      </c>
      <c r="AU26" s="13" t="s">
        <v>92</v>
      </c>
      <c r="AV26" s="13" t="s">
        <v>92</v>
      </c>
      <c r="AW26" s="13" t="s">
        <v>92</v>
      </c>
      <c r="AX26" s="13" t="s">
        <v>92</v>
      </c>
      <c r="AY26" s="15" t="s">
        <v>95</v>
      </c>
      <c r="AZ26" s="15" t="s">
        <v>95</v>
      </c>
      <c r="BA26" s="16" t="s">
        <v>212</v>
      </c>
      <c r="BB26" s="8" t="s">
        <v>213</v>
      </c>
      <c r="BC26" s="15" t="s">
        <v>92</v>
      </c>
      <c r="BD26" s="14" t="s">
        <v>93</v>
      </c>
      <c r="BE26" s="14" t="s">
        <v>92</v>
      </c>
      <c r="BF26" s="14" t="s">
        <v>92</v>
      </c>
      <c r="BG26" s="14" t="s">
        <v>92</v>
      </c>
      <c r="BH26" s="14" t="s">
        <v>92</v>
      </c>
      <c r="BI26" s="14" t="s">
        <v>92</v>
      </c>
      <c r="BJ26" s="14" t="s">
        <v>92</v>
      </c>
      <c r="BK26" s="13" t="s">
        <v>105</v>
      </c>
      <c r="BL26" s="13" t="s">
        <v>105</v>
      </c>
      <c r="BM26" s="13" t="s">
        <v>105</v>
      </c>
      <c r="BN26" s="13" t="s">
        <v>105</v>
      </c>
      <c r="BO26" s="13" t="s">
        <v>105</v>
      </c>
      <c r="BP26" s="13" t="s">
        <v>105</v>
      </c>
      <c r="BQ26" s="8" t="s">
        <v>92</v>
      </c>
      <c r="BR26" s="8" t="s">
        <v>92</v>
      </c>
      <c r="BS26" s="8" t="s">
        <v>92</v>
      </c>
      <c r="BT26" s="8" t="s">
        <v>93</v>
      </c>
      <c r="BU26" s="8" t="s">
        <v>92</v>
      </c>
      <c r="BV26" s="8" t="s">
        <v>92</v>
      </c>
      <c r="BW26" s="8" t="s">
        <v>92</v>
      </c>
      <c r="BX26" s="8" t="s">
        <v>92</v>
      </c>
      <c r="BY26" s="8" t="s">
        <v>92</v>
      </c>
      <c r="BZ26" s="8" t="s">
        <v>93</v>
      </c>
      <c r="CA26" s="8" t="s">
        <v>92</v>
      </c>
      <c r="CB26" s="20" t="s">
        <v>116</v>
      </c>
      <c r="CC26" s="17"/>
      <c r="CD26" s="18"/>
      <c r="CE26" s="18"/>
      <c r="CF26" s="18"/>
      <c r="CG26" s="18"/>
      <c r="CH26" s="14"/>
    </row>
    <row r="27">
      <c r="A27" s="8"/>
      <c r="B27" s="16" t="s">
        <v>203</v>
      </c>
      <c r="C27" s="10" t="s">
        <v>204</v>
      </c>
      <c r="D27" s="9" t="s">
        <v>87</v>
      </c>
      <c r="E27" s="11" t="s">
        <v>221</v>
      </c>
      <c r="F27" s="12"/>
      <c r="G27" s="14" t="s">
        <v>222</v>
      </c>
      <c r="H27" s="14" t="s">
        <v>110</v>
      </c>
      <c r="I27" s="14" t="s">
        <v>223</v>
      </c>
      <c r="J27" s="14" t="s">
        <v>92</v>
      </c>
      <c r="K27" s="14" t="s">
        <v>92</v>
      </c>
      <c r="L27" s="14" t="s">
        <v>92</v>
      </c>
      <c r="M27" s="14" t="s">
        <v>92</v>
      </c>
      <c r="N27" s="14" t="s">
        <v>92</v>
      </c>
      <c r="O27" s="14" t="s">
        <v>92</v>
      </c>
      <c r="P27" s="14" t="s">
        <v>92</v>
      </c>
      <c r="Q27" s="14" t="s">
        <v>92</v>
      </c>
      <c r="R27" s="14" t="s">
        <v>92</v>
      </c>
      <c r="S27" s="14" t="s">
        <v>93</v>
      </c>
      <c r="T27" s="14" t="s">
        <v>92</v>
      </c>
      <c r="U27" s="14" t="s">
        <v>92</v>
      </c>
      <c r="V27" s="14" t="s">
        <v>92</v>
      </c>
      <c r="W27" s="14" t="s">
        <v>92</v>
      </c>
      <c r="X27" s="14" t="s">
        <v>92</v>
      </c>
      <c r="Y27" s="14" t="s">
        <v>92</v>
      </c>
      <c r="Z27" s="14" t="s">
        <v>93</v>
      </c>
      <c r="AA27" s="14" t="s">
        <v>92</v>
      </c>
      <c r="AB27" s="8" t="s">
        <v>92</v>
      </c>
      <c r="AC27" s="8" t="s">
        <v>93</v>
      </c>
      <c r="AD27" s="8" t="s">
        <v>92</v>
      </c>
      <c r="AE27" s="14" t="s">
        <v>112</v>
      </c>
      <c r="AF27" s="14" t="s">
        <v>92</v>
      </c>
      <c r="AG27" s="13" t="s">
        <v>95</v>
      </c>
      <c r="AH27" s="8" t="s">
        <v>105</v>
      </c>
      <c r="AI27" s="14" t="s">
        <v>93</v>
      </c>
      <c r="AJ27" s="14" t="s">
        <v>92</v>
      </c>
      <c r="AK27" s="14" t="s">
        <v>92</v>
      </c>
      <c r="AL27" s="14" t="s">
        <v>92</v>
      </c>
      <c r="AM27" s="15" t="s">
        <v>105</v>
      </c>
      <c r="AN27" s="14" t="s">
        <v>105</v>
      </c>
      <c r="AO27" s="8" t="s">
        <v>92</v>
      </c>
      <c r="AP27" s="8" t="s">
        <v>92</v>
      </c>
      <c r="AQ27" s="13" t="s">
        <v>92</v>
      </c>
      <c r="AR27" s="14" t="s">
        <v>93</v>
      </c>
      <c r="AS27" s="13" t="s">
        <v>93</v>
      </c>
      <c r="AT27" s="13" t="s">
        <v>93</v>
      </c>
      <c r="AU27" s="13" t="s">
        <v>92</v>
      </c>
      <c r="AV27" s="13" t="s">
        <v>92</v>
      </c>
      <c r="AW27" s="13" t="s">
        <v>92</v>
      </c>
      <c r="AX27" s="13" t="s">
        <v>92</v>
      </c>
      <c r="AY27" s="15" t="s">
        <v>95</v>
      </c>
      <c r="AZ27" s="15" t="s">
        <v>95</v>
      </c>
      <c r="BA27" s="9" t="s">
        <v>224</v>
      </c>
      <c r="BB27" s="8" t="s">
        <v>95</v>
      </c>
      <c r="BC27" s="8" t="s">
        <v>93</v>
      </c>
      <c r="BD27" s="14" t="s">
        <v>93</v>
      </c>
      <c r="BE27" s="14" t="s">
        <v>92</v>
      </c>
      <c r="BF27" s="14" t="s">
        <v>92</v>
      </c>
      <c r="BG27" s="14" t="s">
        <v>92</v>
      </c>
      <c r="BH27" s="14" t="s">
        <v>92</v>
      </c>
      <c r="BI27" s="14" t="s">
        <v>92</v>
      </c>
      <c r="BJ27" s="14" t="s">
        <v>92</v>
      </c>
      <c r="BK27" s="13" t="s">
        <v>105</v>
      </c>
      <c r="BL27" s="13" t="s">
        <v>105</v>
      </c>
      <c r="BM27" s="13" t="s">
        <v>105</v>
      </c>
      <c r="BN27" s="13" t="s">
        <v>105</v>
      </c>
      <c r="BO27" s="13" t="s">
        <v>105</v>
      </c>
      <c r="BP27" s="13" t="s">
        <v>105</v>
      </c>
      <c r="BQ27" s="8" t="s">
        <v>92</v>
      </c>
      <c r="BR27" s="8" t="s">
        <v>92</v>
      </c>
      <c r="BS27" s="8" t="s">
        <v>92</v>
      </c>
      <c r="BT27" s="8" t="s">
        <v>93</v>
      </c>
      <c r="BU27" s="8" t="s">
        <v>92</v>
      </c>
      <c r="BV27" s="8" t="s">
        <v>93</v>
      </c>
      <c r="BW27" s="8" t="s">
        <v>92</v>
      </c>
      <c r="BX27" s="8" t="s">
        <v>92</v>
      </c>
      <c r="BY27" s="8" t="s">
        <v>92</v>
      </c>
      <c r="BZ27" s="8" t="s">
        <v>93</v>
      </c>
      <c r="CA27" s="8" t="s">
        <v>92</v>
      </c>
      <c r="CB27" s="17" t="s">
        <v>178</v>
      </c>
      <c r="CC27" s="17"/>
      <c r="CD27" s="18"/>
      <c r="CE27" s="18"/>
      <c r="CF27" s="18"/>
      <c r="CG27" s="18"/>
      <c r="CH27" s="14"/>
    </row>
    <row r="28">
      <c r="A28" s="8"/>
      <c r="B28" s="16" t="s">
        <v>203</v>
      </c>
      <c r="C28" s="10" t="s">
        <v>204</v>
      </c>
      <c r="D28" s="9" t="s">
        <v>87</v>
      </c>
      <c r="E28" s="11" t="s">
        <v>225</v>
      </c>
      <c r="F28" s="12"/>
      <c r="G28" s="14" t="s">
        <v>226</v>
      </c>
      <c r="H28" s="14" t="s">
        <v>90</v>
      </c>
      <c r="I28" s="14" t="s">
        <v>227</v>
      </c>
      <c r="J28" s="14" t="s">
        <v>92</v>
      </c>
      <c r="K28" s="14" t="s">
        <v>92</v>
      </c>
      <c r="L28" s="14" t="s">
        <v>92</v>
      </c>
      <c r="M28" s="14" t="s">
        <v>92</v>
      </c>
      <c r="N28" s="14" t="s">
        <v>92</v>
      </c>
      <c r="O28" s="14" t="s">
        <v>92</v>
      </c>
      <c r="P28" s="14" t="s">
        <v>92</v>
      </c>
      <c r="Q28" s="14" t="s">
        <v>92</v>
      </c>
      <c r="R28" s="14" t="s">
        <v>92</v>
      </c>
      <c r="S28" s="14" t="s">
        <v>92</v>
      </c>
      <c r="T28" s="14" t="s">
        <v>92</v>
      </c>
      <c r="U28" s="14" t="s">
        <v>92</v>
      </c>
      <c r="V28" s="14" t="s">
        <v>92</v>
      </c>
      <c r="W28" s="14" t="s">
        <v>92</v>
      </c>
      <c r="X28" s="14" t="s">
        <v>92</v>
      </c>
      <c r="Y28" s="14" t="s">
        <v>92</v>
      </c>
      <c r="Z28" s="14" t="s">
        <v>93</v>
      </c>
      <c r="AA28" s="14" t="s">
        <v>92</v>
      </c>
      <c r="AB28" s="8" t="s">
        <v>92</v>
      </c>
      <c r="AC28" s="8" t="s">
        <v>93</v>
      </c>
      <c r="AD28" s="8" t="s">
        <v>92</v>
      </c>
      <c r="AE28" s="14" t="s">
        <v>112</v>
      </c>
      <c r="AF28" s="14" t="s">
        <v>92</v>
      </c>
      <c r="AG28" s="13" t="s">
        <v>95</v>
      </c>
      <c r="AH28" s="8" t="s">
        <v>105</v>
      </c>
      <c r="AI28" s="14" t="s">
        <v>92</v>
      </c>
      <c r="AJ28" s="14" t="s">
        <v>92</v>
      </c>
      <c r="AK28" s="14" t="s">
        <v>93</v>
      </c>
      <c r="AL28" s="14" t="s">
        <v>92</v>
      </c>
      <c r="AM28" s="15" t="s">
        <v>105</v>
      </c>
      <c r="AN28" s="14" t="s">
        <v>105</v>
      </c>
      <c r="AO28" s="8" t="s">
        <v>105</v>
      </c>
      <c r="AP28" s="8" t="s">
        <v>92</v>
      </c>
      <c r="AQ28" s="13" t="s">
        <v>92</v>
      </c>
      <c r="AR28" s="14" t="s">
        <v>93</v>
      </c>
      <c r="AS28" s="13" t="s">
        <v>93</v>
      </c>
      <c r="AT28" s="13" t="s">
        <v>93</v>
      </c>
      <c r="AU28" s="13" t="s">
        <v>92</v>
      </c>
      <c r="AV28" s="13" t="s">
        <v>92</v>
      </c>
      <c r="AW28" s="13" t="s">
        <v>92</v>
      </c>
      <c r="AX28" s="13" t="s">
        <v>92</v>
      </c>
      <c r="AY28" s="15" t="s">
        <v>95</v>
      </c>
      <c r="AZ28" s="15" t="s">
        <v>95</v>
      </c>
      <c r="BA28" s="16" t="s">
        <v>212</v>
      </c>
      <c r="BB28" s="8" t="s">
        <v>213</v>
      </c>
      <c r="BC28" s="8" t="s">
        <v>92</v>
      </c>
      <c r="BD28" s="14" t="s">
        <v>93</v>
      </c>
      <c r="BE28" s="14" t="s">
        <v>92</v>
      </c>
      <c r="BF28" s="14" t="s">
        <v>92</v>
      </c>
      <c r="BG28" s="14" t="s">
        <v>92</v>
      </c>
      <c r="BH28" s="14" t="s">
        <v>92</v>
      </c>
      <c r="BI28" s="14" t="s">
        <v>92</v>
      </c>
      <c r="BJ28" s="14" t="s">
        <v>92</v>
      </c>
      <c r="BK28" s="13" t="s">
        <v>105</v>
      </c>
      <c r="BL28" s="13" t="s">
        <v>105</v>
      </c>
      <c r="BM28" s="13" t="s">
        <v>105</v>
      </c>
      <c r="BN28" s="13" t="s">
        <v>105</v>
      </c>
      <c r="BO28" s="13" t="s">
        <v>105</v>
      </c>
      <c r="BP28" s="13" t="s">
        <v>105</v>
      </c>
      <c r="BQ28" s="8" t="s">
        <v>92</v>
      </c>
      <c r="BR28" s="8" t="s">
        <v>92</v>
      </c>
      <c r="BS28" s="8" t="s">
        <v>92</v>
      </c>
      <c r="BT28" s="8" t="s">
        <v>93</v>
      </c>
      <c r="BU28" s="8" t="s">
        <v>92</v>
      </c>
      <c r="BV28" s="8" t="s">
        <v>93</v>
      </c>
      <c r="BW28" s="8" t="s">
        <v>92</v>
      </c>
      <c r="BX28" s="8" t="s">
        <v>92</v>
      </c>
      <c r="BY28" s="8" t="s">
        <v>92</v>
      </c>
      <c r="BZ28" s="8" t="s">
        <v>93</v>
      </c>
      <c r="CA28" s="8" t="s">
        <v>92</v>
      </c>
      <c r="CB28" s="17" t="s">
        <v>106</v>
      </c>
      <c r="CC28" s="17"/>
      <c r="CD28" s="18"/>
      <c r="CE28" s="18"/>
      <c r="CF28" s="18"/>
      <c r="CG28" s="18"/>
      <c r="CH28" s="14"/>
    </row>
    <row r="29">
      <c r="A29" s="8"/>
      <c r="B29" s="16" t="s">
        <v>203</v>
      </c>
      <c r="C29" s="10" t="s">
        <v>204</v>
      </c>
      <c r="D29" s="9" t="s">
        <v>87</v>
      </c>
      <c r="E29" s="11" t="s">
        <v>228</v>
      </c>
      <c r="F29" s="12"/>
      <c r="G29" s="14" t="s">
        <v>229</v>
      </c>
      <c r="H29" s="14" t="s">
        <v>110</v>
      </c>
      <c r="I29" s="14" t="s">
        <v>230</v>
      </c>
      <c r="J29" s="14" t="s">
        <v>93</v>
      </c>
      <c r="K29" s="14" t="s">
        <v>93</v>
      </c>
      <c r="L29" s="14" t="s">
        <v>92</v>
      </c>
      <c r="M29" s="14" t="s">
        <v>92</v>
      </c>
      <c r="N29" s="14" t="s">
        <v>92</v>
      </c>
      <c r="O29" s="14" t="s">
        <v>92</v>
      </c>
      <c r="P29" s="14" t="s">
        <v>92</v>
      </c>
      <c r="Q29" s="14" t="s">
        <v>92</v>
      </c>
      <c r="R29" s="14" t="s">
        <v>92</v>
      </c>
      <c r="S29" s="14" t="s">
        <v>92</v>
      </c>
      <c r="T29" s="14" t="s">
        <v>92</v>
      </c>
      <c r="U29" s="14" t="s">
        <v>92</v>
      </c>
      <c r="V29" s="14" t="s">
        <v>92</v>
      </c>
      <c r="W29" s="14" t="s">
        <v>92</v>
      </c>
      <c r="X29" s="14" t="s">
        <v>92</v>
      </c>
      <c r="Y29" s="14" t="s">
        <v>92</v>
      </c>
      <c r="Z29" s="14" t="s">
        <v>93</v>
      </c>
      <c r="AA29" s="14" t="s">
        <v>92</v>
      </c>
      <c r="AB29" s="8" t="s">
        <v>93</v>
      </c>
      <c r="AC29" s="8" t="s">
        <v>93</v>
      </c>
      <c r="AD29" s="8" t="s">
        <v>92</v>
      </c>
      <c r="AE29" s="14" t="s">
        <v>231</v>
      </c>
      <c r="AF29" s="14" t="s">
        <v>92</v>
      </c>
      <c r="AG29" s="13" t="s">
        <v>95</v>
      </c>
      <c r="AH29" s="8">
        <v>2022.0</v>
      </c>
      <c r="AI29" s="14" t="s">
        <v>92</v>
      </c>
      <c r="AJ29" s="14" t="s">
        <v>92</v>
      </c>
      <c r="AK29" s="14" t="s">
        <v>93</v>
      </c>
      <c r="AL29" s="14" t="s">
        <v>93</v>
      </c>
      <c r="AM29" s="15" t="s">
        <v>95</v>
      </c>
      <c r="AN29" s="13" t="s">
        <v>114</v>
      </c>
      <c r="AO29" s="8" t="s">
        <v>93</v>
      </c>
      <c r="AP29" s="8" t="s">
        <v>92</v>
      </c>
      <c r="AQ29" s="13" t="s">
        <v>92</v>
      </c>
      <c r="AR29" s="14" t="s">
        <v>93</v>
      </c>
      <c r="AS29" s="13" t="s">
        <v>93</v>
      </c>
      <c r="AT29" s="13" t="s">
        <v>93</v>
      </c>
      <c r="AU29" s="13" t="s">
        <v>92</v>
      </c>
      <c r="AV29" s="13" t="s">
        <v>92</v>
      </c>
      <c r="AW29" s="13" t="s">
        <v>92</v>
      </c>
      <c r="AX29" s="13" t="s">
        <v>92</v>
      </c>
      <c r="AY29" s="15" t="s">
        <v>95</v>
      </c>
      <c r="AZ29" s="15" t="s">
        <v>95</v>
      </c>
      <c r="BA29" s="16" t="s">
        <v>212</v>
      </c>
      <c r="BB29" s="8" t="s">
        <v>213</v>
      </c>
      <c r="BC29" s="8" t="s">
        <v>92</v>
      </c>
      <c r="BD29" s="14" t="s">
        <v>93</v>
      </c>
      <c r="BE29" s="14" t="s">
        <v>92</v>
      </c>
      <c r="BF29" s="14" t="s">
        <v>92</v>
      </c>
      <c r="BG29" s="14" t="s">
        <v>92</v>
      </c>
      <c r="BH29" s="14" t="s">
        <v>92</v>
      </c>
      <c r="BI29" s="14" t="s">
        <v>92</v>
      </c>
      <c r="BJ29" s="14" t="s">
        <v>92</v>
      </c>
      <c r="BK29" s="13" t="s">
        <v>105</v>
      </c>
      <c r="BL29" s="13" t="s">
        <v>105</v>
      </c>
      <c r="BM29" s="13" t="s">
        <v>105</v>
      </c>
      <c r="BN29" s="13" t="s">
        <v>105</v>
      </c>
      <c r="BO29" s="13" t="s">
        <v>105</v>
      </c>
      <c r="BP29" s="13" t="s">
        <v>105</v>
      </c>
      <c r="BQ29" s="8" t="s">
        <v>92</v>
      </c>
      <c r="BR29" s="8" t="s">
        <v>92</v>
      </c>
      <c r="BS29" s="8" t="s">
        <v>93</v>
      </c>
      <c r="BT29" s="8" t="s">
        <v>93</v>
      </c>
      <c r="BU29" s="8" t="s">
        <v>92</v>
      </c>
      <c r="BV29" s="8" t="s">
        <v>93</v>
      </c>
      <c r="BW29" s="8" t="s">
        <v>92</v>
      </c>
      <c r="BX29" s="8" t="s">
        <v>92</v>
      </c>
      <c r="BY29" s="8" t="s">
        <v>92</v>
      </c>
      <c r="BZ29" s="8" t="s">
        <v>93</v>
      </c>
      <c r="CA29" s="8" t="s">
        <v>92</v>
      </c>
      <c r="CB29" s="17" t="s">
        <v>106</v>
      </c>
      <c r="CC29" s="20" t="s">
        <v>116</v>
      </c>
      <c r="CD29" s="18"/>
      <c r="CE29" s="18"/>
      <c r="CF29" s="18"/>
      <c r="CG29" s="18"/>
      <c r="CH29" s="14"/>
    </row>
    <row r="30">
      <c r="A30" s="8"/>
      <c r="B30" s="16" t="s">
        <v>232</v>
      </c>
      <c r="C30" s="10" t="s">
        <v>233</v>
      </c>
      <c r="D30" s="9" t="s">
        <v>87</v>
      </c>
      <c r="E30" s="11" t="s">
        <v>234</v>
      </c>
      <c r="F30" s="12"/>
      <c r="G30" s="13" t="s">
        <v>235</v>
      </c>
      <c r="H30" s="13" t="s">
        <v>90</v>
      </c>
      <c r="I30" s="13" t="s">
        <v>236</v>
      </c>
      <c r="J30" s="13" t="s">
        <v>92</v>
      </c>
      <c r="K30" s="14" t="s">
        <v>92</v>
      </c>
      <c r="L30" s="14" t="s">
        <v>92</v>
      </c>
      <c r="M30" s="14" t="s">
        <v>92</v>
      </c>
      <c r="N30" s="14" t="s">
        <v>92</v>
      </c>
      <c r="O30" s="13" t="s">
        <v>92</v>
      </c>
      <c r="P30" s="14" t="s">
        <v>92</v>
      </c>
      <c r="Q30" s="13" t="s">
        <v>93</v>
      </c>
      <c r="R30" s="13" t="s">
        <v>92</v>
      </c>
      <c r="S30" s="13" t="s">
        <v>92</v>
      </c>
      <c r="T30" s="13" t="s">
        <v>92</v>
      </c>
      <c r="U30" s="13" t="s">
        <v>93</v>
      </c>
      <c r="V30" s="13" t="s">
        <v>92</v>
      </c>
      <c r="W30" s="13" t="s">
        <v>92</v>
      </c>
      <c r="X30" s="13" t="s">
        <v>92</v>
      </c>
      <c r="Y30" s="13" t="s">
        <v>92</v>
      </c>
      <c r="Z30" s="13" t="s">
        <v>92</v>
      </c>
      <c r="AA30" s="14" t="s">
        <v>92</v>
      </c>
      <c r="AB30" s="15" t="s">
        <v>93</v>
      </c>
      <c r="AC30" s="15" t="s">
        <v>92</v>
      </c>
      <c r="AD30" s="15" t="s">
        <v>92</v>
      </c>
      <c r="AE30" s="13" t="s">
        <v>94</v>
      </c>
      <c r="AF30" s="13" t="s">
        <v>92</v>
      </c>
      <c r="AG30" s="13" t="s">
        <v>95</v>
      </c>
      <c r="AH30" s="8">
        <v>2020.0</v>
      </c>
      <c r="AI30" s="13" t="s">
        <v>93</v>
      </c>
      <c r="AJ30" s="13" t="s">
        <v>92</v>
      </c>
      <c r="AK30" s="13" t="s">
        <v>92</v>
      </c>
      <c r="AL30" s="14" t="s">
        <v>92</v>
      </c>
      <c r="AM30" s="15">
        <v>2020.0</v>
      </c>
      <c r="AN30" s="13" t="s">
        <v>96</v>
      </c>
      <c r="AO30" s="15" t="s">
        <v>92</v>
      </c>
      <c r="AP30" s="15" t="s">
        <v>93</v>
      </c>
      <c r="AQ30" s="13" t="s">
        <v>92</v>
      </c>
      <c r="AR30" s="13" t="s">
        <v>93</v>
      </c>
      <c r="AS30" s="13" t="s">
        <v>93</v>
      </c>
      <c r="AT30" s="13" t="s">
        <v>93</v>
      </c>
      <c r="AU30" s="13" t="s">
        <v>93</v>
      </c>
      <c r="AV30" s="13" t="s">
        <v>93</v>
      </c>
      <c r="AW30" s="14" t="s">
        <v>92</v>
      </c>
      <c r="AX30" s="14" t="s">
        <v>92</v>
      </c>
      <c r="AY30" s="15" t="s">
        <v>95</v>
      </c>
      <c r="AZ30" s="15" t="s">
        <v>95</v>
      </c>
      <c r="BA30" s="16" t="s">
        <v>237</v>
      </c>
      <c r="BB30" s="8" t="s">
        <v>238</v>
      </c>
      <c r="BC30" s="15" t="s">
        <v>92</v>
      </c>
      <c r="BD30" s="13" t="s">
        <v>92</v>
      </c>
      <c r="BE30" s="13" t="s">
        <v>92</v>
      </c>
      <c r="BF30" s="13" t="s">
        <v>92</v>
      </c>
      <c r="BG30" s="13" t="s">
        <v>92</v>
      </c>
      <c r="BH30" s="13" t="s">
        <v>92</v>
      </c>
      <c r="BI30" s="13" t="s">
        <v>93</v>
      </c>
      <c r="BJ30" s="13" t="s">
        <v>92</v>
      </c>
      <c r="BK30" s="14" t="s">
        <v>239</v>
      </c>
      <c r="BL30" s="13" t="s">
        <v>93</v>
      </c>
      <c r="BM30" s="13" t="s">
        <v>92</v>
      </c>
      <c r="BN30" s="13" t="s">
        <v>93</v>
      </c>
      <c r="BO30" s="13" t="s">
        <v>92</v>
      </c>
      <c r="BP30" s="13" t="s">
        <v>92</v>
      </c>
      <c r="BQ30" s="15" t="s">
        <v>93</v>
      </c>
      <c r="BR30" s="15" t="s">
        <v>92</v>
      </c>
      <c r="BS30" s="15" t="s">
        <v>92</v>
      </c>
      <c r="BT30" s="15" t="s">
        <v>92</v>
      </c>
      <c r="BU30" s="15" t="s">
        <v>92</v>
      </c>
      <c r="BV30" s="15" t="s">
        <v>92</v>
      </c>
      <c r="BW30" s="15" t="s">
        <v>92</v>
      </c>
      <c r="BX30" s="15" t="s">
        <v>92</v>
      </c>
      <c r="BY30" s="15" t="s">
        <v>92</v>
      </c>
      <c r="BZ30" s="15" t="s">
        <v>92</v>
      </c>
      <c r="CA30" s="15" t="s">
        <v>92</v>
      </c>
      <c r="CB30" s="17" t="s">
        <v>240</v>
      </c>
      <c r="CC30" s="17" t="s">
        <v>241</v>
      </c>
      <c r="CD30" s="18"/>
      <c r="CE30" s="18"/>
      <c r="CF30" s="18"/>
      <c r="CG30" s="18"/>
      <c r="CH30" s="14"/>
    </row>
    <row r="31">
      <c r="A31" s="8"/>
      <c r="B31" s="16" t="s">
        <v>232</v>
      </c>
      <c r="C31" s="10" t="s">
        <v>233</v>
      </c>
      <c r="D31" s="9" t="s">
        <v>87</v>
      </c>
      <c r="E31" s="11" t="s">
        <v>242</v>
      </c>
      <c r="F31" s="12"/>
      <c r="G31" s="13" t="s">
        <v>243</v>
      </c>
      <c r="H31" s="13" t="s">
        <v>90</v>
      </c>
      <c r="I31" s="14" t="s">
        <v>244</v>
      </c>
      <c r="J31" s="13" t="s">
        <v>92</v>
      </c>
      <c r="K31" s="14" t="s">
        <v>92</v>
      </c>
      <c r="L31" s="14" t="s">
        <v>92</v>
      </c>
      <c r="M31" s="14" t="s">
        <v>92</v>
      </c>
      <c r="N31" s="14" t="s">
        <v>92</v>
      </c>
      <c r="O31" s="13" t="s">
        <v>92</v>
      </c>
      <c r="P31" s="13" t="s">
        <v>92</v>
      </c>
      <c r="Q31" s="13" t="s">
        <v>92</v>
      </c>
      <c r="R31" s="13" t="s">
        <v>92</v>
      </c>
      <c r="S31" s="13" t="s">
        <v>93</v>
      </c>
      <c r="T31" s="13" t="s">
        <v>93</v>
      </c>
      <c r="U31" s="13" t="s">
        <v>92</v>
      </c>
      <c r="V31" s="13" t="s">
        <v>92</v>
      </c>
      <c r="W31" s="13" t="s">
        <v>92</v>
      </c>
      <c r="X31" s="13" t="s">
        <v>92</v>
      </c>
      <c r="Y31" s="13" t="s">
        <v>92</v>
      </c>
      <c r="Z31" s="13" t="s">
        <v>93</v>
      </c>
      <c r="AA31" s="14" t="s">
        <v>92</v>
      </c>
      <c r="AB31" s="15" t="s">
        <v>93</v>
      </c>
      <c r="AC31" s="15" t="s">
        <v>93</v>
      </c>
      <c r="AD31" s="15" t="s">
        <v>93</v>
      </c>
      <c r="AE31" s="14" t="s">
        <v>112</v>
      </c>
      <c r="AF31" s="13" t="s">
        <v>92</v>
      </c>
      <c r="AG31" s="13" t="s">
        <v>95</v>
      </c>
      <c r="AH31" s="15">
        <v>2014.0</v>
      </c>
      <c r="AI31" s="13" t="s">
        <v>93</v>
      </c>
      <c r="AJ31" s="13" t="s">
        <v>93</v>
      </c>
      <c r="AK31" s="13" t="s">
        <v>93</v>
      </c>
      <c r="AL31" s="13" t="s">
        <v>93</v>
      </c>
      <c r="AM31" s="15" t="s">
        <v>95</v>
      </c>
      <c r="AN31" s="13" t="s">
        <v>114</v>
      </c>
      <c r="AO31" s="15" t="s">
        <v>93</v>
      </c>
      <c r="AP31" s="15" t="s">
        <v>92</v>
      </c>
      <c r="AQ31" s="13" t="s">
        <v>92</v>
      </c>
      <c r="AR31" s="13" t="s">
        <v>93</v>
      </c>
      <c r="AS31" s="13" t="s">
        <v>93</v>
      </c>
      <c r="AT31" s="13" t="s">
        <v>93</v>
      </c>
      <c r="AU31" s="13" t="s">
        <v>93</v>
      </c>
      <c r="AV31" s="13" t="s">
        <v>93</v>
      </c>
      <c r="AW31" s="14" t="s">
        <v>92</v>
      </c>
      <c r="AX31" s="14" t="s">
        <v>92</v>
      </c>
      <c r="AY31" s="15" t="s">
        <v>245</v>
      </c>
      <c r="AZ31" s="8" t="s">
        <v>93</v>
      </c>
      <c r="BA31" s="16" t="s">
        <v>246</v>
      </c>
      <c r="BB31" s="8" t="s">
        <v>143</v>
      </c>
      <c r="BC31" s="15" t="s">
        <v>92</v>
      </c>
      <c r="BD31" s="14" t="s">
        <v>93</v>
      </c>
      <c r="BE31" s="13" t="s">
        <v>92</v>
      </c>
      <c r="BF31" s="13" t="s">
        <v>92</v>
      </c>
      <c r="BG31" s="13" t="s">
        <v>92</v>
      </c>
      <c r="BH31" s="13" t="s">
        <v>92</v>
      </c>
      <c r="BI31" s="13" t="s">
        <v>92</v>
      </c>
      <c r="BJ31" s="13" t="s">
        <v>92</v>
      </c>
      <c r="BK31" s="13" t="s">
        <v>105</v>
      </c>
      <c r="BL31" s="13" t="s">
        <v>105</v>
      </c>
      <c r="BM31" s="13" t="s">
        <v>105</v>
      </c>
      <c r="BN31" s="13" t="s">
        <v>105</v>
      </c>
      <c r="BO31" s="13" t="s">
        <v>105</v>
      </c>
      <c r="BP31" s="13" t="s">
        <v>105</v>
      </c>
      <c r="BQ31" s="15" t="s">
        <v>92</v>
      </c>
      <c r="BR31" s="15" t="s">
        <v>93</v>
      </c>
      <c r="BS31" s="15" t="s">
        <v>92</v>
      </c>
      <c r="BT31" s="15" t="s">
        <v>93</v>
      </c>
      <c r="BU31" s="15" t="s">
        <v>92</v>
      </c>
      <c r="BV31" s="15" t="s">
        <v>93</v>
      </c>
      <c r="BW31" s="15" t="s">
        <v>92</v>
      </c>
      <c r="BX31" s="15" t="s">
        <v>92</v>
      </c>
      <c r="BY31" s="15" t="s">
        <v>92</v>
      </c>
      <c r="BZ31" s="15" t="s">
        <v>93</v>
      </c>
      <c r="CA31" s="15" t="s">
        <v>92</v>
      </c>
      <c r="CB31" s="17" t="s">
        <v>240</v>
      </c>
      <c r="CC31" s="17" t="s">
        <v>241</v>
      </c>
      <c r="CD31" s="17" t="s">
        <v>247</v>
      </c>
      <c r="CE31" s="17" t="s">
        <v>248</v>
      </c>
      <c r="CF31" s="17" t="s">
        <v>249</v>
      </c>
      <c r="CG31" s="17" t="s">
        <v>250</v>
      </c>
      <c r="CH31" s="14"/>
    </row>
    <row r="32">
      <c r="A32" s="8"/>
      <c r="B32" s="16" t="s">
        <v>232</v>
      </c>
      <c r="C32" s="10" t="s">
        <v>233</v>
      </c>
      <c r="D32" s="9" t="s">
        <v>87</v>
      </c>
      <c r="E32" s="11" t="s">
        <v>251</v>
      </c>
      <c r="F32" s="12"/>
      <c r="G32" s="13" t="s">
        <v>252</v>
      </c>
      <c r="H32" s="14" t="s">
        <v>253</v>
      </c>
      <c r="I32" s="13" t="s">
        <v>254</v>
      </c>
      <c r="J32" s="13" t="s">
        <v>92</v>
      </c>
      <c r="K32" s="14" t="s">
        <v>92</v>
      </c>
      <c r="L32" s="14" t="s">
        <v>92</v>
      </c>
      <c r="M32" s="14" t="s">
        <v>92</v>
      </c>
      <c r="N32" s="14" t="s">
        <v>92</v>
      </c>
      <c r="O32" s="13" t="s">
        <v>92</v>
      </c>
      <c r="P32" s="13" t="s">
        <v>92</v>
      </c>
      <c r="Q32" s="13" t="s">
        <v>92</v>
      </c>
      <c r="R32" s="13" t="s">
        <v>92</v>
      </c>
      <c r="S32" s="13" t="s">
        <v>92</v>
      </c>
      <c r="T32" s="13" t="s">
        <v>93</v>
      </c>
      <c r="U32" s="13" t="s">
        <v>92</v>
      </c>
      <c r="V32" s="13" t="s">
        <v>92</v>
      </c>
      <c r="W32" s="13" t="s">
        <v>92</v>
      </c>
      <c r="X32" s="13" t="s">
        <v>92</v>
      </c>
      <c r="Y32" s="13" t="s">
        <v>92</v>
      </c>
      <c r="Z32" s="13" t="s">
        <v>92</v>
      </c>
      <c r="AA32" s="14" t="s">
        <v>92</v>
      </c>
      <c r="AB32" s="15" t="s">
        <v>93</v>
      </c>
      <c r="AC32" s="15" t="s">
        <v>93</v>
      </c>
      <c r="AD32" s="15" t="s">
        <v>92</v>
      </c>
      <c r="AE32" s="13" t="s">
        <v>148</v>
      </c>
      <c r="AF32" s="13" t="s">
        <v>92</v>
      </c>
      <c r="AG32" s="13" t="s">
        <v>95</v>
      </c>
      <c r="AH32" s="8" t="s">
        <v>95</v>
      </c>
      <c r="AI32" s="13" t="s">
        <v>92</v>
      </c>
      <c r="AJ32" s="13" t="s">
        <v>93</v>
      </c>
      <c r="AK32" s="13" t="s">
        <v>93</v>
      </c>
      <c r="AL32" s="14" t="s">
        <v>92</v>
      </c>
      <c r="AM32" s="15" t="s">
        <v>95</v>
      </c>
      <c r="AN32" s="14" t="s">
        <v>95</v>
      </c>
      <c r="AO32" s="8" t="s">
        <v>95</v>
      </c>
      <c r="AP32" s="15" t="s">
        <v>92</v>
      </c>
      <c r="AQ32" s="13" t="s">
        <v>92</v>
      </c>
      <c r="AR32" s="13" t="s">
        <v>93</v>
      </c>
      <c r="AS32" s="13" t="s">
        <v>93</v>
      </c>
      <c r="AT32" s="13" t="s">
        <v>93</v>
      </c>
      <c r="AU32" s="13" t="s">
        <v>93</v>
      </c>
      <c r="AV32" s="13" t="s">
        <v>93</v>
      </c>
      <c r="AW32" s="14" t="s">
        <v>92</v>
      </c>
      <c r="AX32" s="14" t="s">
        <v>92</v>
      </c>
      <c r="AY32" s="15" t="s">
        <v>95</v>
      </c>
      <c r="AZ32" s="15" t="s">
        <v>95</v>
      </c>
      <c r="BA32" s="9" t="s">
        <v>255</v>
      </c>
      <c r="BB32" s="8" t="s">
        <v>143</v>
      </c>
      <c r="BC32" s="15" t="s">
        <v>92</v>
      </c>
      <c r="BD32" s="13" t="s">
        <v>92</v>
      </c>
      <c r="BE32" s="13" t="s">
        <v>92</v>
      </c>
      <c r="BF32" s="13" t="s">
        <v>92</v>
      </c>
      <c r="BG32" s="13" t="s">
        <v>92</v>
      </c>
      <c r="BH32" s="13" t="s">
        <v>92</v>
      </c>
      <c r="BI32" s="13" t="s">
        <v>92</v>
      </c>
      <c r="BJ32" s="13" t="s">
        <v>93</v>
      </c>
      <c r="BK32" s="13" t="s">
        <v>105</v>
      </c>
      <c r="BL32" s="13" t="s">
        <v>105</v>
      </c>
      <c r="BM32" s="13" t="s">
        <v>105</v>
      </c>
      <c r="BN32" s="13" t="s">
        <v>105</v>
      </c>
      <c r="BO32" s="13" t="s">
        <v>105</v>
      </c>
      <c r="BP32" s="13" t="s">
        <v>105</v>
      </c>
      <c r="BQ32" s="15" t="s">
        <v>92</v>
      </c>
      <c r="BR32" s="15" t="s">
        <v>93</v>
      </c>
      <c r="BS32" s="15" t="s">
        <v>92</v>
      </c>
      <c r="BT32" s="15" t="s">
        <v>92</v>
      </c>
      <c r="BU32" s="8" t="s">
        <v>93</v>
      </c>
      <c r="BV32" s="15" t="s">
        <v>92</v>
      </c>
      <c r="BW32" s="15" t="s">
        <v>92</v>
      </c>
      <c r="BX32" s="15" t="s">
        <v>92</v>
      </c>
      <c r="BY32" s="15" t="s">
        <v>92</v>
      </c>
      <c r="BZ32" s="15" t="s">
        <v>92</v>
      </c>
      <c r="CA32" s="15" t="s">
        <v>92</v>
      </c>
      <c r="CB32" s="17" t="s">
        <v>240</v>
      </c>
      <c r="CC32" s="17" t="s">
        <v>241</v>
      </c>
      <c r="CD32" s="17" t="s">
        <v>247</v>
      </c>
      <c r="CE32" s="17" t="s">
        <v>248</v>
      </c>
      <c r="CF32" s="24" t="s">
        <v>256</v>
      </c>
      <c r="CG32" s="18"/>
      <c r="CH32" s="14"/>
    </row>
    <row r="33">
      <c r="A33" s="8"/>
      <c r="B33" s="16" t="s">
        <v>232</v>
      </c>
      <c r="C33" s="10" t="s">
        <v>233</v>
      </c>
      <c r="D33" s="9" t="s">
        <v>87</v>
      </c>
      <c r="E33" s="11" t="s">
        <v>257</v>
      </c>
      <c r="F33" s="12"/>
      <c r="G33" s="13" t="s">
        <v>258</v>
      </c>
      <c r="H33" s="13" t="s">
        <v>90</v>
      </c>
      <c r="I33" s="13" t="s">
        <v>259</v>
      </c>
      <c r="J33" s="13" t="s">
        <v>92</v>
      </c>
      <c r="K33" s="14" t="s">
        <v>92</v>
      </c>
      <c r="L33" s="14" t="s">
        <v>92</v>
      </c>
      <c r="M33" s="14" t="s">
        <v>92</v>
      </c>
      <c r="N33" s="14" t="s">
        <v>92</v>
      </c>
      <c r="O33" s="13" t="s">
        <v>92</v>
      </c>
      <c r="P33" s="14" t="s">
        <v>92</v>
      </c>
      <c r="Q33" s="13" t="s">
        <v>93</v>
      </c>
      <c r="R33" s="13" t="s">
        <v>92</v>
      </c>
      <c r="S33" s="13" t="s">
        <v>92</v>
      </c>
      <c r="T33" s="13" t="s">
        <v>92</v>
      </c>
      <c r="U33" s="13" t="s">
        <v>93</v>
      </c>
      <c r="V33" s="13" t="s">
        <v>92</v>
      </c>
      <c r="W33" s="13" t="s">
        <v>92</v>
      </c>
      <c r="X33" s="13" t="s">
        <v>92</v>
      </c>
      <c r="Y33" s="13" t="s">
        <v>92</v>
      </c>
      <c r="Z33" s="13" t="s">
        <v>92</v>
      </c>
      <c r="AA33" s="14" t="s">
        <v>92</v>
      </c>
      <c r="AB33" s="15" t="s">
        <v>93</v>
      </c>
      <c r="AC33" s="15" t="s">
        <v>92</v>
      </c>
      <c r="AD33" s="15" t="s">
        <v>92</v>
      </c>
      <c r="AE33" s="13" t="s">
        <v>94</v>
      </c>
      <c r="AF33" s="13" t="s">
        <v>92</v>
      </c>
      <c r="AG33" s="13" t="s">
        <v>95</v>
      </c>
      <c r="AH33" s="15">
        <v>2021.0</v>
      </c>
      <c r="AI33" s="13" t="s">
        <v>92</v>
      </c>
      <c r="AJ33" s="13" t="s">
        <v>93</v>
      </c>
      <c r="AK33" s="13" t="s">
        <v>92</v>
      </c>
      <c r="AL33" s="14" t="s">
        <v>92</v>
      </c>
      <c r="AM33" s="15">
        <v>2021.0</v>
      </c>
      <c r="AN33" s="13" t="s">
        <v>96</v>
      </c>
      <c r="AO33" s="15" t="s">
        <v>92</v>
      </c>
      <c r="AP33" s="15" t="s">
        <v>93</v>
      </c>
      <c r="AQ33" s="13" t="s">
        <v>92</v>
      </c>
      <c r="AR33" s="13" t="s">
        <v>93</v>
      </c>
      <c r="AS33" s="13" t="s">
        <v>93</v>
      </c>
      <c r="AT33" s="13" t="s">
        <v>93</v>
      </c>
      <c r="AU33" s="13" t="s">
        <v>93</v>
      </c>
      <c r="AV33" s="13" t="s">
        <v>93</v>
      </c>
      <c r="AW33" s="14" t="s">
        <v>92</v>
      </c>
      <c r="AX33" s="14" t="s">
        <v>92</v>
      </c>
      <c r="AY33" s="15" t="s">
        <v>95</v>
      </c>
      <c r="AZ33" s="15" t="s">
        <v>95</v>
      </c>
      <c r="BA33" s="16" t="s">
        <v>260</v>
      </c>
      <c r="BB33" s="8" t="s">
        <v>261</v>
      </c>
      <c r="BC33" s="15" t="s">
        <v>92</v>
      </c>
      <c r="BD33" s="13" t="s">
        <v>92</v>
      </c>
      <c r="BE33" s="13" t="s">
        <v>92</v>
      </c>
      <c r="BF33" s="13" t="s">
        <v>92</v>
      </c>
      <c r="BG33" s="13" t="s">
        <v>92</v>
      </c>
      <c r="BH33" s="13" t="s">
        <v>92</v>
      </c>
      <c r="BI33" s="13" t="s">
        <v>93</v>
      </c>
      <c r="BJ33" s="13" t="s">
        <v>92</v>
      </c>
      <c r="BK33" s="14" t="s">
        <v>239</v>
      </c>
      <c r="BL33" s="13" t="s">
        <v>93</v>
      </c>
      <c r="BM33" s="13" t="s">
        <v>92</v>
      </c>
      <c r="BN33" s="13" t="s">
        <v>93</v>
      </c>
      <c r="BO33" s="13" t="s">
        <v>92</v>
      </c>
      <c r="BP33" s="13" t="s">
        <v>92</v>
      </c>
      <c r="BQ33" s="15" t="s">
        <v>93</v>
      </c>
      <c r="BR33" s="15" t="s">
        <v>92</v>
      </c>
      <c r="BS33" s="15" t="s">
        <v>92</v>
      </c>
      <c r="BT33" s="15" t="s">
        <v>92</v>
      </c>
      <c r="BU33" s="15" t="s">
        <v>92</v>
      </c>
      <c r="BV33" s="15" t="s">
        <v>92</v>
      </c>
      <c r="BW33" s="15" t="s">
        <v>92</v>
      </c>
      <c r="BX33" s="15" t="s">
        <v>92</v>
      </c>
      <c r="BY33" s="15" t="s">
        <v>92</v>
      </c>
      <c r="BZ33" s="15" t="s">
        <v>92</v>
      </c>
      <c r="CA33" s="15" t="s">
        <v>92</v>
      </c>
      <c r="CB33" s="17" t="s">
        <v>247</v>
      </c>
      <c r="CC33" s="17" t="s">
        <v>248</v>
      </c>
      <c r="CD33" s="18"/>
      <c r="CE33" s="18"/>
      <c r="CF33" s="18"/>
      <c r="CG33" s="18"/>
      <c r="CH33" s="14"/>
    </row>
    <row r="34">
      <c r="A34" s="8"/>
      <c r="B34" s="16" t="s">
        <v>232</v>
      </c>
      <c r="C34" s="10" t="s">
        <v>233</v>
      </c>
      <c r="D34" s="9" t="s">
        <v>87</v>
      </c>
      <c r="E34" s="11" t="s">
        <v>262</v>
      </c>
      <c r="F34" s="25"/>
      <c r="G34" s="14" t="s">
        <v>263</v>
      </c>
      <c r="H34" s="13" t="s">
        <v>110</v>
      </c>
      <c r="I34" s="14" t="s">
        <v>264</v>
      </c>
      <c r="J34" s="13" t="s">
        <v>93</v>
      </c>
      <c r="K34" s="14" t="s">
        <v>92</v>
      </c>
      <c r="L34" s="14" t="s">
        <v>93</v>
      </c>
      <c r="M34" s="14" t="s">
        <v>92</v>
      </c>
      <c r="N34" s="14" t="s">
        <v>92</v>
      </c>
      <c r="O34" s="14" t="s">
        <v>92</v>
      </c>
      <c r="P34" s="13" t="s">
        <v>92</v>
      </c>
      <c r="Q34" s="13" t="s">
        <v>92</v>
      </c>
      <c r="R34" s="13" t="s">
        <v>92</v>
      </c>
      <c r="S34" s="14" t="s">
        <v>93</v>
      </c>
      <c r="T34" s="13" t="s">
        <v>92</v>
      </c>
      <c r="U34" s="13" t="s">
        <v>92</v>
      </c>
      <c r="V34" s="13" t="s">
        <v>92</v>
      </c>
      <c r="W34" s="13" t="s">
        <v>92</v>
      </c>
      <c r="X34" s="13" t="s">
        <v>92</v>
      </c>
      <c r="Y34" s="13" t="s">
        <v>92</v>
      </c>
      <c r="Z34" s="14" t="s">
        <v>93</v>
      </c>
      <c r="AA34" s="14" t="s">
        <v>92</v>
      </c>
      <c r="AB34" s="8" t="s">
        <v>92</v>
      </c>
      <c r="AC34" s="15" t="s">
        <v>93</v>
      </c>
      <c r="AD34" s="15" t="s">
        <v>92</v>
      </c>
      <c r="AE34" s="14" t="s">
        <v>112</v>
      </c>
      <c r="AF34" s="13" t="s">
        <v>92</v>
      </c>
      <c r="AG34" s="13" t="s">
        <v>95</v>
      </c>
      <c r="AH34" s="8">
        <v>2021.0</v>
      </c>
      <c r="AI34" s="14" t="s">
        <v>92</v>
      </c>
      <c r="AJ34" s="14" t="s">
        <v>93</v>
      </c>
      <c r="AK34" s="14" t="s">
        <v>93</v>
      </c>
      <c r="AL34" s="13" t="s">
        <v>93</v>
      </c>
      <c r="AM34" s="8" t="s">
        <v>95</v>
      </c>
      <c r="AN34" s="13" t="s">
        <v>114</v>
      </c>
      <c r="AO34" s="8" t="s">
        <v>93</v>
      </c>
      <c r="AP34" s="15" t="s">
        <v>92</v>
      </c>
      <c r="AQ34" s="13" t="s">
        <v>92</v>
      </c>
      <c r="AR34" s="13" t="s">
        <v>93</v>
      </c>
      <c r="AS34" s="13" t="s">
        <v>93</v>
      </c>
      <c r="AT34" s="13" t="s">
        <v>93</v>
      </c>
      <c r="AU34" s="13" t="s">
        <v>93</v>
      </c>
      <c r="AV34" s="13" t="s">
        <v>93</v>
      </c>
      <c r="AW34" s="14" t="s">
        <v>92</v>
      </c>
      <c r="AX34" s="14" t="s">
        <v>92</v>
      </c>
      <c r="AY34" s="9" t="s">
        <v>265</v>
      </c>
      <c r="AZ34" s="8" t="s">
        <v>93</v>
      </c>
      <c r="BA34" s="16" t="s">
        <v>260</v>
      </c>
      <c r="BB34" s="8" t="s">
        <v>261</v>
      </c>
      <c r="BC34" s="15" t="s">
        <v>92</v>
      </c>
      <c r="BD34" s="13" t="s">
        <v>93</v>
      </c>
      <c r="BE34" s="13" t="s">
        <v>92</v>
      </c>
      <c r="BF34" s="13" t="s">
        <v>92</v>
      </c>
      <c r="BG34" s="13" t="s">
        <v>92</v>
      </c>
      <c r="BH34" s="13" t="s">
        <v>92</v>
      </c>
      <c r="BI34" s="13" t="s">
        <v>92</v>
      </c>
      <c r="BJ34" s="13" t="s">
        <v>92</v>
      </c>
      <c r="BK34" s="13" t="s">
        <v>105</v>
      </c>
      <c r="BL34" s="13" t="s">
        <v>105</v>
      </c>
      <c r="BM34" s="13" t="s">
        <v>105</v>
      </c>
      <c r="BN34" s="13" t="s">
        <v>105</v>
      </c>
      <c r="BO34" s="13" t="s">
        <v>105</v>
      </c>
      <c r="BP34" s="13" t="s">
        <v>105</v>
      </c>
      <c r="BQ34" s="15" t="s">
        <v>92</v>
      </c>
      <c r="BR34" s="15" t="s">
        <v>92</v>
      </c>
      <c r="BS34" s="8" t="s">
        <v>92</v>
      </c>
      <c r="BT34" s="15" t="s">
        <v>93</v>
      </c>
      <c r="BU34" s="15" t="s">
        <v>92</v>
      </c>
      <c r="BV34" s="8" t="s">
        <v>92</v>
      </c>
      <c r="BW34" s="15" t="s">
        <v>92</v>
      </c>
      <c r="BX34" s="15" t="s">
        <v>92</v>
      </c>
      <c r="BY34" s="15" t="s">
        <v>92</v>
      </c>
      <c r="BZ34" s="8" t="s">
        <v>93</v>
      </c>
      <c r="CA34" s="8" t="s">
        <v>92</v>
      </c>
      <c r="CB34" s="17" t="s">
        <v>266</v>
      </c>
      <c r="CC34" s="17" t="s">
        <v>267</v>
      </c>
      <c r="CD34" s="17" t="s">
        <v>268</v>
      </c>
      <c r="CE34" s="17" t="s">
        <v>269</v>
      </c>
      <c r="CF34" s="20" t="s">
        <v>116</v>
      </c>
      <c r="CG34" s="24" t="s">
        <v>268</v>
      </c>
      <c r="CH34" s="14"/>
    </row>
    <row r="35">
      <c r="A35" s="8"/>
      <c r="B35" s="16" t="s">
        <v>232</v>
      </c>
      <c r="C35" s="10" t="s">
        <v>233</v>
      </c>
      <c r="D35" s="9" t="s">
        <v>87</v>
      </c>
      <c r="E35" s="11" t="s">
        <v>270</v>
      </c>
      <c r="F35" s="25"/>
      <c r="G35" s="9" t="s">
        <v>271</v>
      </c>
      <c r="H35" s="14" t="s">
        <v>90</v>
      </c>
      <c r="I35" s="14" t="s">
        <v>272</v>
      </c>
      <c r="J35" s="14" t="s">
        <v>92</v>
      </c>
      <c r="K35" s="14" t="s">
        <v>92</v>
      </c>
      <c r="L35" s="14" t="s">
        <v>92</v>
      </c>
      <c r="M35" s="14" t="s">
        <v>93</v>
      </c>
      <c r="N35" s="14" t="s">
        <v>92</v>
      </c>
      <c r="O35" s="14" t="s">
        <v>93</v>
      </c>
      <c r="P35" s="14" t="s">
        <v>93</v>
      </c>
      <c r="Q35" s="14" t="s">
        <v>92</v>
      </c>
      <c r="R35" s="14" t="s">
        <v>92</v>
      </c>
      <c r="S35" s="14" t="s">
        <v>93</v>
      </c>
      <c r="T35" s="14" t="s">
        <v>92</v>
      </c>
      <c r="U35" s="14" t="s">
        <v>92</v>
      </c>
      <c r="V35" s="14" t="s">
        <v>92</v>
      </c>
      <c r="W35" s="14" t="s">
        <v>92</v>
      </c>
      <c r="X35" s="14" t="s">
        <v>92</v>
      </c>
      <c r="Y35" s="14" t="s">
        <v>92</v>
      </c>
      <c r="Z35" s="14" t="s">
        <v>93</v>
      </c>
      <c r="AA35" s="14" t="s">
        <v>93</v>
      </c>
      <c r="AB35" s="8" t="s">
        <v>93</v>
      </c>
      <c r="AC35" s="8" t="s">
        <v>93</v>
      </c>
      <c r="AD35" s="8" t="s">
        <v>92</v>
      </c>
      <c r="AE35" s="14" t="s">
        <v>112</v>
      </c>
      <c r="AF35" s="14" t="s">
        <v>92</v>
      </c>
      <c r="AG35" s="14" t="s">
        <v>95</v>
      </c>
      <c r="AH35" s="8" t="s">
        <v>105</v>
      </c>
      <c r="AI35" s="14" t="s">
        <v>93</v>
      </c>
      <c r="AJ35" s="14" t="s">
        <v>93</v>
      </c>
      <c r="AK35" s="14" t="s">
        <v>93</v>
      </c>
      <c r="AL35" s="14" t="s">
        <v>93</v>
      </c>
      <c r="AM35" s="8" t="s">
        <v>95</v>
      </c>
      <c r="AN35" s="14" t="s">
        <v>114</v>
      </c>
      <c r="AO35" s="8" t="s">
        <v>93</v>
      </c>
      <c r="AP35" s="8" t="s">
        <v>92</v>
      </c>
      <c r="AQ35" s="13" t="s">
        <v>92</v>
      </c>
      <c r="AR35" s="13" t="s">
        <v>93</v>
      </c>
      <c r="AS35" s="13" t="s">
        <v>93</v>
      </c>
      <c r="AT35" s="13" t="s">
        <v>93</v>
      </c>
      <c r="AU35" s="13" t="s">
        <v>93</v>
      </c>
      <c r="AV35" s="13" t="s">
        <v>93</v>
      </c>
      <c r="AW35" s="14" t="s">
        <v>92</v>
      </c>
      <c r="AX35" s="14" t="s">
        <v>92</v>
      </c>
      <c r="AY35" s="8" t="s">
        <v>273</v>
      </c>
      <c r="AZ35" s="8" t="s">
        <v>92</v>
      </c>
      <c r="BA35" s="9" t="s">
        <v>260</v>
      </c>
      <c r="BB35" s="8" t="s">
        <v>261</v>
      </c>
      <c r="BC35" s="8" t="s">
        <v>92</v>
      </c>
      <c r="BD35" s="14" t="s">
        <v>93</v>
      </c>
      <c r="BE35" s="14" t="s">
        <v>92</v>
      </c>
      <c r="BF35" s="14" t="s">
        <v>92</v>
      </c>
      <c r="BG35" s="14" t="s">
        <v>92</v>
      </c>
      <c r="BH35" s="14" t="s">
        <v>92</v>
      </c>
      <c r="BI35" s="14" t="s">
        <v>92</v>
      </c>
      <c r="BJ35" s="14" t="s">
        <v>92</v>
      </c>
      <c r="BK35" s="14" t="s">
        <v>274</v>
      </c>
      <c r="BL35" s="14" t="s">
        <v>93</v>
      </c>
      <c r="BM35" s="14" t="s">
        <v>92</v>
      </c>
      <c r="BN35" s="14" t="s">
        <v>92</v>
      </c>
      <c r="BO35" s="14" t="s">
        <v>92</v>
      </c>
      <c r="BP35" s="14" t="s">
        <v>92</v>
      </c>
      <c r="BQ35" s="8" t="s">
        <v>92</v>
      </c>
      <c r="BR35" s="8" t="s">
        <v>92</v>
      </c>
      <c r="BS35" s="8" t="s">
        <v>93</v>
      </c>
      <c r="BT35" s="8" t="s">
        <v>93</v>
      </c>
      <c r="BU35" s="8" t="s">
        <v>93</v>
      </c>
      <c r="BV35" s="8" t="s">
        <v>93</v>
      </c>
      <c r="BW35" s="8" t="s">
        <v>92</v>
      </c>
      <c r="BX35" s="8" t="s">
        <v>92</v>
      </c>
      <c r="BY35" s="8" t="s">
        <v>92</v>
      </c>
      <c r="BZ35" s="8" t="s">
        <v>92</v>
      </c>
      <c r="CA35" s="8" t="s">
        <v>92</v>
      </c>
      <c r="CB35" s="20" t="s">
        <v>129</v>
      </c>
      <c r="CC35" s="18"/>
      <c r="CD35" s="18"/>
      <c r="CE35" s="18"/>
      <c r="CF35" s="18"/>
      <c r="CG35" s="18"/>
      <c r="CH35" s="14"/>
    </row>
    <row r="36">
      <c r="A36" s="8"/>
      <c r="B36" s="16" t="s">
        <v>232</v>
      </c>
      <c r="C36" s="10" t="s">
        <v>233</v>
      </c>
      <c r="D36" s="9" t="s">
        <v>87</v>
      </c>
      <c r="E36" s="11" t="s">
        <v>275</v>
      </c>
      <c r="F36" s="12"/>
      <c r="G36" s="14" t="s">
        <v>276</v>
      </c>
      <c r="H36" s="14" t="s">
        <v>110</v>
      </c>
      <c r="I36" s="14" t="s">
        <v>277</v>
      </c>
      <c r="J36" s="14" t="s">
        <v>93</v>
      </c>
      <c r="K36" s="14" t="s">
        <v>92</v>
      </c>
      <c r="L36" s="14" t="s">
        <v>93</v>
      </c>
      <c r="M36" s="14" t="s">
        <v>92</v>
      </c>
      <c r="N36" s="14" t="s">
        <v>92</v>
      </c>
      <c r="O36" s="14" t="s">
        <v>92</v>
      </c>
      <c r="P36" s="14" t="s">
        <v>92</v>
      </c>
      <c r="Q36" s="14" t="s">
        <v>92</v>
      </c>
      <c r="R36" s="14" t="s">
        <v>92</v>
      </c>
      <c r="S36" s="14" t="s">
        <v>93</v>
      </c>
      <c r="T36" s="14" t="s">
        <v>92</v>
      </c>
      <c r="U36" s="14" t="s">
        <v>92</v>
      </c>
      <c r="V36" s="14" t="s">
        <v>92</v>
      </c>
      <c r="W36" s="14" t="s">
        <v>92</v>
      </c>
      <c r="X36" s="14" t="s">
        <v>92</v>
      </c>
      <c r="Y36" s="14" t="s">
        <v>92</v>
      </c>
      <c r="Z36" s="14" t="s">
        <v>93</v>
      </c>
      <c r="AA36" s="14" t="s">
        <v>92</v>
      </c>
      <c r="AB36" s="8" t="s">
        <v>92</v>
      </c>
      <c r="AC36" s="8" t="s">
        <v>93</v>
      </c>
      <c r="AD36" s="8" t="s">
        <v>92</v>
      </c>
      <c r="AE36" s="14" t="s">
        <v>112</v>
      </c>
      <c r="AF36" s="14" t="s">
        <v>93</v>
      </c>
      <c r="AG36" s="14" t="s">
        <v>278</v>
      </c>
      <c r="AH36" s="8">
        <v>2021.0</v>
      </c>
      <c r="AI36" s="14" t="s">
        <v>92</v>
      </c>
      <c r="AJ36" s="14" t="s">
        <v>93</v>
      </c>
      <c r="AK36" s="14" t="s">
        <v>93</v>
      </c>
      <c r="AL36" s="14" t="s">
        <v>93</v>
      </c>
      <c r="AM36" s="8" t="s">
        <v>95</v>
      </c>
      <c r="AN36" s="14" t="s">
        <v>114</v>
      </c>
      <c r="AO36" s="8" t="s">
        <v>93</v>
      </c>
      <c r="AP36" s="8" t="s">
        <v>92</v>
      </c>
      <c r="AQ36" s="13" t="s">
        <v>92</v>
      </c>
      <c r="AR36" s="13" t="s">
        <v>93</v>
      </c>
      <c r="AS36" s="13" t="s">
        <v>93</v>
      </c>
      <c r="AT36" s="13" t="s">
        <v>93</v>
      </c>
      <c r="AU36" s="13" t="s">
        <v>93</v>
      </c>
      <c r="AV36" s="13" t="s">
        <v>93</v>
      </c>
      <c r="AW36" s="14" t="s">
        <v>92</v>
      </c>
      <c r="AX36" s="14" t="s">
        <v>92</v>
      </c>
      <c r="AY36" s="8" t="s">
        <v>95</v>
      </c>
      <c r="AZ36" s="8" t="s">
        <v>95</v>
      </c>
      <c r="BA36" s="9" t="s">
        <v>260</v>
      </c>
      <c r="BB36" s="8" t="s">
        <v>261</v>
      </c>
      <c r="BC36" s="8" t="s">
        <v>92</v>
      </c>
      <c r="BD36" s="14" t="s">
        <v>93</v>
      </c>
      <c r="BE36" s="14" t="s">
        <v>92</v>
      </c>
      <c r="BF36" s="14" t="s">
        <v>92</v>
      </c>
      <c r="BG36" s="14" t="s">
        <v>92</v>
      </c>
      <c r="BH36" s="14" t="s">
        <v>92</v>
      </c>
      <c r="BI36" s="14" t="s">
        <v>92</v>
      </c>
      <c r="BJ36" s="14" t="s">
        <v>92</v>
      </c>
      <c r="BK36" s="14" t="s">
        <v>105</v>
      </c>
      <c r="BL36" s="14" t="s">
        <v>105</v>
      </c>
      <c r="BM36" s="14" t="s">
        <v>105</v>
      </c>
      <c r="BN36" s="14" t="s">
        <v>105</v>
      </c>
      <c r="BO36" s="14" t="s">
        <v>105</v>
      </c>
      <c r="BP36" s="14" t="s">
        <v>105</v>
      </c>
      <c r="BQ36" s="8" t="s">
        <v>92</v>
      </c>
      <c r="BR36" s="8" t="s">
        <v>92</v>
      </c>
      <c r="BS36" s="8" t="s">
        <v>92</v>
      </c>
      <c r="BT36" s="8" t="s">
        <v>93</v>
      </c>
      <c r="BU36" s="8" t="s">
        <v>92</v>
      </c>
      <c r="BV36" s="8" t="s">
        <v>92</v>
      </c>
      <c r="BW36" s="8" t="s">
        <v>92</v>
      </c>
      <c r="BX36" s="8" t="s">
        <v>92</v>
      </c>
      <c r="BY36" s="8" t="s">
        <v>92</v>
      </c>
      <c r="BZ36" s="8" t="s">
        <v>93</v>
      </c>
      <c r="CA36" s="8" t="s">
        <v>92</v>
      </c>
      <c r="CB36" s="20" t="s">
        <v>129</v>
      </c>
      <c r="CC36" s="17" t="s">
        <v>269</v>
      </c>
      <c r="CD36" s="20" t="s">
        <v>116</v>
      </c>
      <c r="CE36" s="18"/>
      <c r="CF36" s="18"/>
      <c r="CG36" s="18"/>
      <c r="CH36" s="14"/>
    </row>
    <row r="37">
      <c r="A37" s="8"/>
      <c r="B37" s="16" t="s">
        <v>232</v>
      </c>
      <c r="C37" s="10" t="s">
        <v>233</v>
      </c>
      <c r="D37" s="9" t="s">
        <v>87</v>
      </c>
      <c r="E37" s="11" t="s">
        <v>279</v>
      </c>
      <c r="F37" s="12"/>
      <c r="G37" s="14" t="s">
        <v>280</v>
      </c>
      <c r="H37" s="14" t="s">
        <v>90</v>
      </c>
      <c r="I37" s="14" t="s">
        <v>281</v>
      </c>
      <c r="J37" s="14" t="s">
        <v>92</v>
      </c>
      <c r="K37" s="14" t="s">
        <v>92</v>
      </c>
      <c r="L37" s="14" t="s">
        <v>92</v>
      </c>
      <c r="M37" s="14" t="s">
        <v>92</v>
      </c>
      <c r="N37" s="14" t="s">
        <v>92</v>
      </c>
      <c r="O37" s="14" t="s">
        <v>92</v>
      </c>
      <c r="P37" s="14" t="s">
        <v>92</v>
      </c>
      <c r="Q37" s="14" t="s">
        <v>92</v>
      </c>
      <c r="R37" s="14" t="s">
        <v>92</v>
      </c>
      <c r="S37" s="14" t="s">
        <v>92</v>
      </c>
      <c r="T37" s="14" t="s">
        <v>92</v>
      </c>
      <c r="U37" s="14" t="s">
        <v>92</v>
      </c>
      <c r="V37" s="14" t="s">
        <v>92</v>
      </c>
      <c r="W37" s="14" t="s">
        <v>92</v>
      </c>
      <c r="X37" s="14" t="s">
        <v>92</v>
      </c>
      <c r="Y37" s="14" t="s">
        <v>92</v>
      </c>
      <c r="Z37" s="14" t="s">
        <v>93</v>
      </c>
      <c r="AA37" s="14" t="s">
        <v>92</v>
      </c>
      <c r="AB37" s="8" t="s">
        <v>92</v>
      </c>
      <c r="AC37" s="8" t="s">
        <v>93</v>
      </c>
      <c r="AD37" s="8" t="s">
        <v>92</v>
      </c>
      <c r="AE37" s="14" t="s">
        <v>148</v>
      </c>
      <c r="AF37" s="14" t="s">
        <v>92</v>
      </c>
      <c r="AG37" s="14" t="s">
        <v>95</v>
      </c>
      <c r="AH37" s="8">
        <v>2002.0</v>
      </c>
      <c r="AI37" s="14" t="s">
        <v>93</v>
      </c>
      <c r="AJ37" s="14" t="s">
        <v>93</v>
      </c>
      <c r="AK37" s="14" t="s">
        <v>93</v>
      </c>
      <c r="AL37" s="14" t="s">
        <v>93</v>
      </c>
      <c r="AM37" s="8" t="s">
        <v>95</v>
      </c>
      <c r="AN37" s="14" t="s">
        <v>114</v>
      </c>
      <c r="AO37" s="8" t="s">
        <v>93</v>
      </c>
      <c r="AP37" s="8" t="s">
        <v>92</v>
      </c>
      <c r="AQ37" s="13" t="s">
        <v>92</v>
      </c>
      <c r="AR37" s="13" t="s">
        <v>93</v>
      </c>
      <c r="AS37" s="13" t="s">
        <v>93</v>
      </c>
      <c r="AT37" s="13" t="s">
        <v>93</v>
      </c>
      <c r="AU37" s="13" t="s">
        <v>93</v>
      </c>
      <c r="AV37" s="13" t="s">
        <v>93</v>
      </c>
      <c r="AW37" s="14" t="s">
        <v>92</v>
      </c>
      <c r="AX37" s="14" t="s">
        <v>92</v>
      </c>
      <c r="AY37" s="8" t="s">
        <v>95</v>
      </c>
      <c r="AZ37" s="8" t="s">
        <v>95</v>
      </c>
      <c r="BA37" s="9" t="s">
        <v>282</v>
      </c>
      <c r="BB37" s="8" t="s">
        <v>143</v>
      </c>
      <c r="BC37" s="8" t="s">
        <v>92</v>
      </c>
      <c r="BD37" s="14" t="s">
        <v>93</v>
      </c>
      <c r="BE37" s="14" t="s">
        <v>92</v>
      </c>
      <c r="BF37" s="14" t="s">
        <v>92</v>
      </c>
      <c r="BG37" s="14" t="s">
        <v>92</v>
      </c>
      <c r="BH37" s="14" t="s">
        <v>92</v>
      </c>
      <c r="BI37" s="14" t="s">
        <v>92</v>
      </c>
      <c r="BJ37" s="14" t="s">
        <v>93</v>
      </c>
      <c r="BK37" s="14" t="s">
        <v>274</v>
      </c>
      <c r="BL37" s="14" t="s">
        <v>93</v>
      </c>
      <c r="BM37" s="14" t="s">
        <v>92</v>
      </c>
      <c r="BN37" s="14" t="s">
        <v>92</v>
      </c>
      <c r="BO37" s="14" t="s">
        <v>92</v>
      </c>
      <c r="BP37" s="14" t="s">
        <v>92</v>
      </c>
      <c r="BQ37" s="8" t="s">
        <v>92</v>
      </c>
      <c r="BR37" s="8" t="s">
        <v>92</v>
      </c>
      <c r="BS37" s="8" t="s">
        <v>92</v>
      </c>
      <c r="BT37" s="8" t="s">
        <v>93</v>
      </c>
      <c r="BU37" s="8" t="s">
        <v>93</v>
      </c>
      <c r="BV37" s="8" t="s">
        <v>92</v>
      </c>
      <c r="BW37" s="8" t="s">
        <v>92</v>
      </c>
      <c r="BX37" s="8" t="s">
        <v>92</v>
      </c>
      <c r="BY37" s="8" t="s">
        <v>92</v>
      </c>
      <c r="BZ37" s="8" t="s">
        <v>92</v>
      </c>
      <c r="CA37" s="8" t="s">
        <v>92</v>
      </c>
      <c r="CB37" s="17" t="s">
        <v>269</v>
      </c>
      <c r="CC37" s="24" t="s">
        <v>283</v>
      </c>
      <c r="CD37" s="18"/>
      <c r="CE37" s="18"/>
      <c r="CF37" s="18"/>
      <c r="CG37" s="18"/>
      <c r="CH37" s="14"/>
    </row>
    <row r="38">
      <c r="A38" s="8"/>
      <c r="B38" s="16" t="s">
        <v>232</v>
      </c>
      <c r="C38" s="10" t="s">
        <v>233</v>
      </c>
      <c r="D38" s="9" t="s">
        <v>87</v>
      </c>
      <c r="E38" s="11" t="s">
        <v>284</v>
      </c>
      <c r="F38" s="12"/>
      <c r="G38" s="14" t="s">
        <v>285</v>
      </c>
      <c r="H38" s="14" t="s">
        <v>90</v>
      </c>
      <c r="I38" s="14" t="s">
        <v>286</v>
      </c>
      <c r="J38" s="14" t="s">
        <v>93</v>
      </c>
      <c r="K38" s="14" t="s">
        <v>92</v>
      </c>
      <c r="L38" s="14" t="s">
        <v>93</v>
      </c>
      <c r="M38" s="14" t="s">
        <v>92</v>
      </c>
      <c r="N38" s="14" t="s">
        <v>92</v>
      </c>
      <c r="O38" s="14" t="s">
        <v>92</v>
      </c>
      <c r="P38" s="14" t="s">
        <v>92</v>
      </c>
      <c r="Q38" s="14" t="s">
        <v>92</v>
      </c>
      <c r="R38" s="14" t="s">
        <v>92</v>
      </c>
      <c r="S38" s="14" t="s">
        <v>93</v>
      </c>
      <c r="T38" s="14" t="s">
        <v>92</v>
      </c>
      <c r="U38" s="14" t="s">
        <v>92</v>
      </c>
      <c r="V38" s="14" t="s">
        <v>92</v>
      </c>
      <c r="W38" s="14" t="s">
        <v>92</v>
      </c>
      <c r="X38" s="14" t="s">
        <v>92</v>
      </c>
      <c r="Y38" s="14" t="s">
        <v>92</v>
      </c>
      <c r="Z38" s="14" t="s">
        <v>93</v>
      </c>
      <c r="AA38" s="14" t="s">
        <v>92</v>
      </c>
      <c r="AB38" s="8" t="s">
        <v>92</v>
      </c>
      <c r="AC38" s="8" t="s">
        <v>93</v>
      </c>
      <c r="AD38" s="8" t="s">
        <v>92</v>
      </c>
      <c r="AE38" s="14" t="s">
        <v>287</v>
      </c>
      <c r="AF38" s="14" t="s">
        <v>92</v>
      </c>
      <c r="AG38" s="14" t="s">
        <v>95</v>
      </c>
      <c r="AH38" s="8" t="s">
        <v>105</v>
      </c>
      <c r="AI38" s="14" t="s">
        <v>93</v>
      </c>
      <c r="AJ38" s="14" t="s">
        <v>93</v>
      </c>
      <c r="AK38" s="14" t="s">
        <v>93</v>
      </c>
      <c r="AL38" s="14" t="s">
        <v>93</v>
      </c>
      <c r="AM38" s="8" t="s">
        <v>95</v>
      </c>
      <c r="AN38" s="14" t="s">
        <v>114</v>
      </c>
      <c r="AO38" s="8" t="s">
        <v>93</v>
      </c>
      <c r="AP38" s="8" t="s">
        <v>92</v>
      </c>
      <c r="AQ38" s="13" t="s">
        <v>92</v>
      </c>
      <c r="AR38" s="13" t="s">
        <v>93</v>
      </c>
      <c r="AS38" s="13" t="s">
        <v>93</v>
      </c>
      <c r="AT38" s="13" t="s">
        <v>93</v>
      </c>
      <c r="AU38" s="13" t="s">
        <v>93</v>
      </c>
      <c r="AV38" s="13" t="s">
        <v>93</v>
      </c>
      <c r="AW38" s="14" t="s">
        <v>92</v>
      </c>
      <c r="AX38" s="14" t="s">
        <v>92</v>
      </c>
      <c r="AY38" s="8" t="s">
        <v>288</v>
      </c>
      <c r="AZ38" s="8" t="s">
        <v>93</v>
      </c>
      <c r="BA38" s="9" t="s">
        <v>289</v>
      </c>
      <c r="BB38" s="8" t="s">
        <v>95</v>
      </c>
      <c r="BC38" s="8" t="s">
        <v>93</v>
      </c>
      <c r="BD38" s="14" t="s">
        <v>93</v>
      </c>
      <c r="BE38" s="14" t="s">
        <v>92</v>
      </c>
      <c r="BF38" s="14" t="s">
        <v>92</v>
      </c>
      <c r="BG38" s="14" t="s">
        <v>92</v>
      </c>
      <c r="BH38" s="14" t="s">
        <v>92</v>
      </c>
      <c r="BI38" s="14" t="s">
        <v>92</v>
      </c>
      <c r="BJ38" s="14" t="s">
        <v>92</v>
      </c>
      <c r="BK38" s="14" t="s">
        <v>105</v>
      </c>
      <c r="BL38" s="14" t="s">
        <v>105</v>
      </c>
      <c r="BM38" s="14" t="s">
        <v>105</v>
      </c>
      <c r="BN38" s="14" t="s">
        <v>105</v>
      </c>
      <c r="BO38" s="14" t="s">
        <v>105</v>
      </c>
      <c r="BP38" s="14" t="s">
        <v>105</v>
      </c>
      <c r="BQ38" s="8" t="s">
        <v>92</v>
      </c>
      <c r="BR38" s="8" t="s">
        <v>92</v>
      </c>
      <c r="BS38" s="8" t="s">
        <v>92</v>
      </c>
      <c r="BT38" s="8" t="s">
        <v>93</v>
      </c>
      <c r="BU38" s="8" t="s">
        <v>92</v>
      </c>
      <c r="BV38" s="8" t="s">
        <v>93</v>
      </c>
      <c r="BW38" s="8" t="s">
        <v>92</v>
      </c>
      <c r="BX38" s="8" t="s">
        <v>92</v>
      </c>
      <c r="BY38" s="8" t="s">
        <v>92</v>
      </c>
      <c r="BZ38" s="8" t="s">
        <v>93</v>
      </c>
      <c r="CA38" s="8" t="s">
        <v>92</v>
      </c>
      <c r="CB38" s="17" t="s">
        <v>269</v>
      </c>
      <c r="CC38" s="20" t="s">
        <v>116</v>
      </c>
      <c r="CD38" s="18"/>
      <c r="CE38" s="18"/>
      <c r="CF38" s="18"/>
      <c r="CG38" s="18"/>
      <c r="CH38" s="14"/>
    </row>
    <row r="39">
      <c r="A39" s="8"/>
      <c r="B39" s="16" t="s">
        <v>232</v>
      </c>
      <c r="C39" s="10" t="s">
        <v>233</v>
      </c>
      <c r="D39" s="9" t="s">
        <v>87</v>
      </c>
      <c r="E39" s="11" t="s">
        <v>290</v>
      </c>
      <c r="F39" s="12"/>
      <c r="G39" s="14" t="s">
        <v>291</v>
      </c>
      <c r="H39" s="14" t="s">
        <v>90</v>
      </c>
      <c r="I39" s="14" t="s">
        <v>292</v>
      </c>
      <c r="J39" s="14" t="s">
        <v>92</v>
      </c>
      <c r="K39" s="14" t="s">
        <v>92</v>
      </c>
      <c r="L39" s="14" t="s">
        <v>92</v>
      </c>
      <c r="M39" s="14" t="s">
        <v>93</v>
      </c>
      <c r="N39" s="14" t="s">
        <v>92</v>
      </c>
      <c r="O39" s="14" t="s">
        <v>93</v>
      </c>
      <c r="P39" s="14" t="s">
        <v>92</v>
      </c>
      <c r="Q39" s="14" t="s">
        <v>92</v>
      </c>
      <c r="R39" s="14" t="s">
        <v>92</v>
      </c>
      <c r="S39" s="14" t="s">
        <v>93</v>
      </c>
      <c r="T39" s="14" t="s">
        <v>92</v>
      </c>
      <c r="U39" s="14" t="s">
        <v>92</v>
      </c>
      <c r="V39" s="14" t="s">
        <v>92</v>
      </c>
      <c r="W39" s="14" t="s">
        <v>92</v>
      </c>
      <c r="X39" s="14" t="s">
        <v>92</v>
      </c>
      <c r="Y39" s="14" t="s">
        <v>92</v>
      </c>
      <c r="Z39" s="14" t="s">
        <v>93</v>
      </c>
      <c r="AA39" s="14" t="s">
        <v>93</v>
      </c>
      <c r="AB39" s="8" t="s">
        <v>93</v>
      </c>
      <c r="AC39" s="8" t="s">
        <v>92</v>
      </c>
      <c r="AD39" s="8" t="s">
        <v>92</v>
      </c>
      <c r="AE39" s="14" t="s">
        <v>287</v>
      </c>
      <c r="AF39" s="14" t="s">
        <v>92</v>
      </c>
      <c r="AG39" s="14" t="s">
        <v>95</v>
      </c>
      <c r="AH39" s="8">
        <v>2022.0</v>
      </c>
      <c r="AI39" s="14" t="s">
        <v>92</v>
      </c>
      <c r="AJ39" s="14" t="s">
        <v>92</v>
      </c>
      <c r="AK39" s="14" t="s">
        <v>93</v>
      </c>
      <c r="AL39" s="14" t="s">
        <v>93</v>
      </c>
      <c r="AM39" s="8" t="s">
        <v>95</v>
      </c>
      <c r="AN39" s="14" t="s">
        <v>114</v>
      </c>
      <c r="AO39" s="8" t="s">
        <v>93</v>
      </c>
      <c r="AP39" s="8" t="s">
        <v>92</v>
      </c>
      <c r="AQ39" s="13" t="s">
        <v>92</v>
      </c>
      <c r="AR39" s="13" t="s">
        <v>93</v>
      </c>
      <c r="AS39" s="13" t="s">
        <v>93</v>
      </c>
      <c r="AT39" s="13" t="s">
        <v>93</v>
      </c>
      <c r="AU39" s="13" t="s">
        <v>93</v>
      </c>
      <c r="AV39" s="13" t="s">
        <v>93</v>
      </c>
      <c r="AW39" s="14" t="s">
        <v>92</v>
      </c>
      <c r="AX39" s="14" t="s">
        <v>92</v>
      </c>
      <c r="AY39" s="8" t="s">
        <v>95</v>
      </c>
      <c r="AZ39" s="15" t="s">
        <v>95</v>
      </c>
      <c r="BA39" s="9" t="s">
        <v>293</v>
      </c>
      <c r="BB39" s="8" t="s">
        <v>95</v>
      </c>
      <c r="BC39" s="8" t="s">
        <v>93</v>
      </c>
      <c r="BD39" s="14" t="s">
        <v>93</v>
      </c>
      <c r="BE39" s="14" t="s">
        <v>92</v>
      </c>
      <c r="BF39" s="14" t="s">
        <v>92</v>
      </c>
      <c r="BG39" s="14" t="s">
        <v>92</v>
      </c>
      <c r="BH39" s="14" t="s">
        <v>92</v>
      </c>
      <c r="BI39" s="14" t="s">
        <v>92</v>
      </c>
      <c r="BJ39" s="14" t="s">
        <v>92</v>
      </c>
      <c r="BK39" s="14" t="s">
        <v>294</v>
      </c>
      <c r="BL39" s="14" t="s">
        <v>93</v>
      </c>
      <c r="BM39" s="14" t="s">
        <v>92</v>
      </c>
      <c r="BN39" s="14" t="s">
        <v>93</v>
      </c>
      <c r="BO39" s="14" t="s">
        <v>92</v>
      </c>
      <c r="BP39" s="14" t="s">
        <v>92</v>
      </c>
      <c r="BQ39" s="8" t="s">
        <v>92</v>
      </c>
      <c r="BR39" s="8" t="s">
        <v>92</v>
      </c>
      <c r="BS39" s="8" t="s">
        <v>93</v>
      </c>
      <c r="BT39" s="8" t="s">
        <v>93</v>
      </c>
      <c r="BU39" s="8" t="s">
        <v>92</v>
      </c>
      <c r="BV39" s="8" t="s">
        <v>92</v>
      </c>
      <c r="BW39" s="8" t="s">
        <v>92</v>
      </c>
      <c r="BX39" s="8" t="s">
        <v>92</v>
      </c>
      <c r="BY39" s="8" t="s">
        <v>92</v>
      </c>
      <c r="BZ39" s="8" t="s">
        <v>92</v>
      </c>
      <c r="CA39" s="8" t="s">
        <v>92</v>
      </c>
      <c r="CB39" s="17" t="s">
        <v>295</v>
      </c>
      <c r="CC39" s="17" t="s">
        <v>247</v>
      </c>
      <c r="CD39" s="17" t="s">
        <v>269</v>
      </c>
      <c r="CE39" s="20" t="s">
        <v>116</v>
      </c>
      <c r="CF39" s="18"/>
      <c r="CG39" s="18"/>
      <c r="CH39" s="14"/>
    </row>
    <row r="40">
      <c r="A40" s="8"/>
      <c r="B40" s="16" t="s">
        <v>232</v>
      </c>
      <c r="C40" s="10" t="s">
        <v>233</v>
      </c>
      <c r="D40" s="9" t="s">
        <v>87</v>
      </c>
      <c r="E40" s="11" t="s">
        <v>296</v>
      </c>
      <c r="F40" s="12"/>
      <c r="G40" s="14" t="s">
        <v>297</v>
      </c>
      <c r="H40" s="14" t="s">
        <v>90</v>
      </c>
      <c r="I40" s="14" t="s">
        <v>298</v>
      </c>
      <c r="J40" s="14" t="s">
        <v>93</v>
      </c>
      <c r="K40" s="14" t="s">
        <v>92</v>
      </c>
      <c r="L40" s="14" t="s">
        <v>93</v>
      </c>
      <c r="M40" s="14" t="s">
        <v>92</v>
      </c>
      <c r="N40" s="14" t="s">
        <v>92</v>
      </c>
      <c r="O40" s="14" t="s">
        <v>92</v>
      </c>
      <c r="P40" s="14" t="s">
        <v>92</v>
      </c>
      <c r="Q40" s="14" t="s">
        <v>92</v>
      </c>
      <c r="R40" s="14" t="s">
        <v>92</v>
      </c>
      <c r="S40" s="14" t="s">
        <v>93</v>
      </c>
      <c r="T40" s="14" t="s">
        <v>92</v>
      </c>
      <c r="U40" s="14" t="s">
        <v>92</v>
      </c>
      <c r="V40" s="14" t="s">
        <v>92</v>
      </c>
      <c r="W40" s="14" t="s">
        <v>92</v>
      </c>
      <c r="X40" s="14" t="s">
        <v>92</v>
      </c>
      <c r="Y40" s="14" t="s">
        <v>92</v>
      </c>
      <c r="Z40" s="14" t="s">
        <v>93</v>
      </c>
      <c r="AA40" s="14" t="s">
        <v>92</v>
      </c>
      <c r="AB40" s="8" t="s">
        <v>93</v>
      </c>
      <c r="AC40" s="8" t="s">
        <v>93</v>
      </c>
      <c r="AD40" s="8" t="s">
        <v>92</v>
      </c>
      <c r="AE40" s="14" t="s">
        <v>112</v>
      </c>
      <c r="AF40" s="14" t="s">
        <v>93</v>
      </c>
      <c r="AG40" s="14" t="s">
        <v>299</v>
      </c>
      <c r="AH40" s="8" t="s">
        <v>105</v>
      </c>
      <c r="AI40" s="14" t="s">
        <v>92</v>
      </c>
      <c r="AJ40" s="14" t="s">
        <v>92</v>
      </c>
      <c r="AK40" s="14" t="s">
        <v>93</v>
      </c>
      <c r="AL40" s="14" t="s">
        <v>93</v>
      </c>
      <c r="AM40" s="8" t="s">
        <v>95</v>
      </c>
      <c r="AN40" s="14" t="s">
        <v>114</v>
      </c>
      <c r="AO40" s="8" t="s">
        <v>93</v>
      </c>
      <c r="AP40" s="8" t="s">
        <v>92</v>
      </c>
      <c r="AQ40" s="13" t="s">
        <v>92</v>
      </c>
      <c r="AR40" s="13" t="s">
        <v>93</v>
      </c>
      <c r="AS40" s="13" t="s">
        <v>93</v>
      </c>
      <c r="AT40" s="13" t="s">
        <v>93</v>
      </c>
      <c r="AU40" s="13" t="s">
        <v>93</v>
      </c>
      <c r="AV40" s="13" t="s">
        <v>93</v>
      </c>
      <c r="AW40" s="14" t="s">
        <v>92</v>
      </c>
      <c r="AX40" s="14" t="s">
        <v>92</v>
      </c>
      <c r="AY40" s="8" t="s">
        <v>95</v>
      </c>
      <c r="AZ40" s="15" t="s">
        <v>95</v>
      </c>
      <c r="BA40" s="9" t="s">
        <v>260</v>
      </c>
      <c r="BB40" s="8" t="s">
        <v>261</v>
      </c>
      <c r="BC40" s="8" t="s">
        <v>92</v>
      </c>
      <c r="BD40" s="14" t="s">
        <v>93</v>
      </c>
      <c r="BE40" s="14" t="s">
        <v>92</v>
      </c>
      <c r="BF40" s="14" t="s">
        <v>92</v>
      </c>
      <c r="BG40" s="14" t="s">
        <v>92</v>
      </c>
      <c r="BH40" s="14" t="s">
        <v>92</v>
      </c>
      <c r="BI40" s="14" t="s">
        <v>92</v>
      </c>
      <c r="BJ40" s="14" t="s">
        <v>92</v>
      </c>
      <c r="BK40" s="14" t="s">
        <v>105</v>
      </c>
      <c r="BL40" s="14" t="s">
        <v>105</v>
      </c>
      <c r="BM40" s="14" t="s">
        <v>105</v>
      </c>
      <c r="BN40" s="14" t="s">
        <v>105</v>
      </c>
      <c r="BO40" s="14" t="s">
        <v>105</v>
      </c>
      <c r="BP40" s="14" t="s">
        <v>105</v>
      </c>
      <c r="BQ40" s="8" t="s">
        <v>92</v>
      </c>
      <c r="BR40" s="8" t="s">
        <v>92</v>
      </c>
      <c r="BS40" s="8" t="s">
        <v>93</v>
      </c>
      <c r="BT40" s="8" t="s">
        <v>93</v>
      </c>
      <c r="BU40" s="8" t="s">
        <v>92</v>
      </c>
      <c r="BV40" s="8" t="s">
        <v>92</v>
      </c>
      <c r="BW40" s="8" t="s">
        <v>92</v>
      </c>
      <c r="BX40" s="8" t="s">
        <v>92</v>
      </c>
      <c r="BY40" s="8" t="s">
        <v>92</v>
      </c>
      <c r="BZ40" s="8" t="s">
        <v>93</v>
      </c>
      <c r="CA40" s="8" t="s">
        <v>92</v>
      </c>
      <c r="CB40" s="20" t="s">
        <v>116</v>
      </c>
      <c r="CC40" s="18"/>
      <c r="CD40" s="18"/>
      <c r="CE40" s="18"/>
      <c r="CF40" s="18"/>
      <c r="CG40" s="18"/>
      <c r="CH40" s="14"/>
    </row>
    <row r="41">
      <c r="A41" s="8"/>
      <c r="B41" s="16" t="s">
        <v>232</v>
      </c>
      <c r="C41" s="10" t="s">
        <v>233</v>
      </c>
      <c r="D41" s="9" t="s">
        <v>87</v>
      </c>
      <c r="E41" s="11" t="s">
        <v>300</v>
      </c>
      <c r="F41" s="12"/>
      <c r="G41" s="14" t="s">
        <v>301</v>
      </c>
      <c r="H41" s="14" t="s">
        <v>90</v>
      </c>
      <c r="I41" s="14" t="s">
        <v>302</v>
      </c>
      <c r="J41" s="14" t="s">
        <v>92</v>
      </c>
      <c r="K41" s="14" t="s">
        <v>92</v>
      </c>
      <c r="L41" s="14" t="s">
        <v>92</v>
      </c>
      <c r="M41" s="14" t="s">
        <v>92</v>
      </c>
      <c r="N41" s="14" t="s">
        <v>92</v>
      </c>
      <c r="O41" s="14" t="s">
        <v>92</v>
      </c>
      <c r="P41" s="14" t="s">
        <v>92</v>
      </c>
      <c r="Q41" s="14" t="s">
        <v>92</v>
      </c>
      <c r="R41" s="14" t="s">
        <v>92</v>
      </c>
      <c r="S41" s="14" t="s">
        <v>92</v>
      </c>
      <c r="T41" s="14" t="s">
        <v>92</v>
      </c>
      <c r="U41" s="14" t="s">
        <v>92</v>
      </c>
      <c r="V41" s="14" t="s">
        <v>92</v>
      </c>
      <c r="W41" s="14" t="s">
        <v>92</v>
      </c>
      <c r="X41" s="14" t="s">
        <v>92</v>
      </c>
      <c r="Y41" s="14" t="s">
        <v>92</v>
      </c>
      <c r="Z41" s="14" t="s">
        <v>93</v>
      </c>
      <c r="AA41" s="14" t="s">
        <v>92</v>
      </c>
      <c r="AB41" s="8" t="s">
        <v>92</v>
      </c>
      <c r="AC41" s="8" t="s">
        <v>93</v>
      </c>
      <c r="AD41" s="8" t="s">
        <v>92</v>
      </c>
      <c r="AE41" s="14" t="s">
        <v>112</v>
      </c>
      <c r="AF41" s="14" t="s">
        <v>92</v>
      </c>
      <c r="AG41" s="13" t="s">
        <v>95</v>
      </c>
      <c r="AH41" s="8" t="s">
        <v>105</v>
      </c>
      <c r="AI41" s="14" t="s">
        <v>93</v>
      </c>
      <c r="AJ41" s="14" t="s">
        <v>93</v>
      </c>
      <c r="AK41" s="14" t="s">
        <v>93</v>
      </c>
      <c r="AL41" s="14" t="s">
        <v>93</v>
      </c>
      <c r="AM41" s="15" t="s">
        <v>95</v>
      </c>
      <c r="AN41" s="13" t="s">
        <v>114</v>
      </c>
      <c r="AO41" s="8" t="s">
        <v>93</v>
      </c>
      <c r="AP41" s="8" t="s">
        <v>92</v>
      </c>
      <c r="AQ41" s="13" t="s">
        <v>92</v>
      </c>
      <c r="AR41" s="13" t="s">
        <v>93</v>
      </c>
      <c r="AS41" s="13" t="s">
        <v>93</v>
      </c>
      <c r="AT41" s="13" t="s">
        <v>93</v>
      </c>
      <c r="AU41" s="13" t="s">
        <v>93</v>
      </c>
      <c r="AV41" s="13" t="s">
        <v>93</v>
      </c>
      <c r="AW41" s="14" t="s">
        <v>92</v>
      </c>
      <c r="AX41" s="14" t="s">
        <v>92</v>
      </c>
      <c r="AY41" s="15" t="s">
        <v>95</v>
      </c>
      <c r="AZ41" s="15" t="s">
        <v>95</v>
      </c>
      <c r="BA41" s="9" t="s">
        <v>260</v>
      </c>
      <c r="BB41" s="8" t="s">
        <v>261</v>
      </c>
      <c r="BC41" s="8" t="s">
        <v>92</v>
      </c>
      <c r="BD41" s="14" t="s">
        <v>93</v>
      </c>
      <c r="BE41" s="14" t="s">
        <v>92</v>
      </c>
      <c r="BF41" s="14" t="s">
        <v>92</v>
      </c>
      <c r="BG41" s="14" t="s">
        <v>92</v>
      </c>
      <c r="BH41" s="14" t="s">
        <v>92</v>
      </c>
      <c r="BI41" s="14" t="s">
        <v>92</v>
      </c>
      <c r="BJ41" s="14" t="s">
        <v>92</v>
      </c>
      <c r="BK41" s="14" t="s">
        <v>274</v>
      </c>
      <c r="BL41" s="14" t="s">
        <v>93</v>
      </c>
      <c r="BM41" s="14" t="s">
        <v>92</v>
      </c>
      <c r="BN41" s="14" t="s">
        <v>92</v>
      </c>
      <c r="BO41" s="14" t="s">
        <v>92</v>
      </c>
      <c r="BP41" s="14" t="s">
        <v>92</v>
      </c>
      <c r="BQ41" s="8" t="s">
        <v>92</v>
      </c>
      <c r="BR41" s="8" t="s">
        <v>92</v>
      </c>
      <c r="BS41" s="8" t="s">
        <v>92</v>
      </c>
      <c r="BT41" s="8" t="s">
        <v>93</v>
      </c>
      <c r="BU41" s="8" t="s">
        <v>92</v>
      </c>
      <c r="BV41" s="8" t="s">
        <v>92</v>
      </c>
      <c r="BW41" s="8" t="s">
        <v>92</v>
      </c>
      <c r="BX41" s="8" t="s">
        <v>92</v>
      </c>
      <c r="BY41" s="8" t="s">
        <v>92</v>
      </c>
      <c r="BZ41" s="8" t="s">
        <v>92</v>
      </c>
      <c r="CA41" s="8" t="s">
        <v>92</v>
      </c>
      <c r="CB41" s="20" t="s">
        <v>295</v>
      </c>
      <c r="CC41" s="17" t="s">
        <v>247</v>
      </c>
      <c r="CD41" s="17" t="s">
        <v>269</v>
      </c>
      <c r="CE41" s="20" t="s">
        <v>116</v>
      </c>
      <c r="CF41" s="18"/>
      <c r="CG41" s="18"/>
      <c r="CH41" s="14"/>
    </row>
    <row r="42">
      <c r="A42" s="8"/>
      <c r="B42" s="16" t="s">
        <v>232</v>
      </c>
      <c r="C42" s="10" t="s">
        <v>233</v>
      </c>
      <c r="D42" s="9" t="s">
        <v>87</v>
      </c>
      <c r="E42" s="11" t="s">
        <v>303</v>
      </c>
      <c r="F42" s="12"/>
      <c r="G42" s="29" t="s">
        <v>304</v>
      </c>
      <c r="H42" s="29" t="s">
        <v>90</v>
      </c>
      <c r="I42" s="29" t="s">
        <v>305</v>
      </c>
      <c r="J42" s="14" t="s">
        <v>92</v>
      </c>
      <c r="K42" s="14" t="s">
        <v>92</v>
      </c>
      <c r="L42" s="14" t="s">
        <v>92</v>
      </c>
      <c r="M42" s="14" t="s">
        <v>92</v>
      </c>
      <c r="N42" s="14" t="s">
        <v>92</v>
      </c>
      <c r="O42" s="14" t="s">
        <v>92</v>
      </c>
      <c r="P42" s="14" t="s">
        <v>92</v>
      </c>
      <c r="Q42" s="14" t="s">
        <v>92</v>
      </c>
      <c r="R42" s="14" t="s">
        <v>92</v>
      </c>
      <c r="S42" s="14" t="s">
        <v>92</v>
      </c>
      <c r="T42" s="14" t="s">
        <v>92</v>
      </c>
      <c r="U42" s="14" t="s">
        <v>92</v>
      </c>
      <c r="V42" s="14" t="s">
        <v>92</v>
      </c>
      <c r="W42" s="14" t="s">
        <v>92</v>
      </c>
      <c r="X42" s="14" t="s">
        <v>92</v>
      </c>
      <c r="Y42" s="14" t="s">
        <v>92</v>
      </c>
      <c r="Z42" s="14" t="s">
        <v>93</v>
      </c>
      <c r="AA42" s="14" t="s">
        <v>92</v>
      </c>
      <c r="AB42" s="8" t="s">
        <v>92</v>
      </c>
      <c r="AC42" s="8" t="s">
        <v>93</v>
      </c>
      <c r="AD42" s="8" t="s">
        <v>92</v>
      </c>
      <c r="AE42" s="14" t="s">
        <v>112</v>
      </c>
      <c r="AF42" s="14" t="s">
        <v>92</v>
      </c>
      <c r="AG42" s="14" t="s">
        <v>95</v>
      </c>
      <c r="AH42" s="8" t="s">
        <v>105</v>
      </c>
      <c r="AI42" s="14" t="s">
        <v>93</v>
      </c>
      <c r="AJ42" s="14" t="s">
        <v>93</v>
      </c>
      <c r="AK42" s="14" t="s">
        <v>92</v>
      </c>
      <c r="AL42" s="14" t="s">
        <v>92</v>
      </c>
      <c r="AM42" s="8" t="s">
        <v>105</v>
      </c>
      <c r="AN42" s="14" t="s">
        <v>105</v>
      </c>
      <c r="AO42" s="8" t="s">
        <v>93</v>
      </c>
      <c r="AP42" s="8" t="s">
        <v>92</v>
      </c>
      <c r="AQ42" s="13" t="s">
        <v>92</v>
      </c>
      <c r="AR42" s="13" t="s">
        <v>93</v>
      </c>
      <c r="AS42" s="13" t="s">
        <v>93</v>
      </c>
      <c r="AT42" s="13" t="s">
        <v>93</v>
      </c>
      <c r="AU42" s="13" t="s">
        <v>93</v>
      </c>
      <c r="AV42" s="13" t="s">
        <v>93</v>
      </c>
      <c r="AW42" s="14" t="s">
        <v>92</v>
      </c>
      <c r="AX42" s="14" t="s">
        <v>92</v>
      </c>
      <c r="AY42" s="15" t="s">
        <v>95</v>
      </c>
      <c r="AZ42" s="15" t="s">
        <v>95</v>
      </c>
      <c r="BA42" s="16" t="s">
        <v>232</v>
      </c>
      <c r="BB42" s="8" t="s">
        <v>261</v>
      </c>
      <c r="BC42" s="8" t="s">
        <v>92</v>
      </c>
      <c r="BD42" s="14" t="s">
        <v>93</v>
      </c>
      <c r="BE42" s="14" t="s">
        <v>93</v>
      </c>
      <c r="BF42" s="14" t="s">
        <v>92</v>
      </c>
      <c r="BG42" s="14" t="s">
        <v>92</v>
      </c>
      <c r="BH42" s="14" t="s">
        <v>92</v>
      </c>
      <c r="BI42" s="14" t="s">
        <v>92</v>
      </c>
      <c r="BJ42" s="14" t="s">
        <v>92</v>
      </c>
      <c r="BK42" s="14" t="s">
        <v>105</v>
      </c>
      <c r="BL42" s="14" t="s">
        <v>105</v>
      </c>
      <c r="BM42" s="14" t="s">
        <v>105</v>
      </c>
      <c r="BN42" s="14" t="s">
        <v>105</v>
      </c>
      <c r="BO42" s="14" t="s">
        <v>105</v>
      </c>
      <c r="BP42" s="14" t="s">
        <v>105</v>
      </c>
      <c r="BQ42" s="8" t="s">
        <v>92</v>
      </c>
      <c r="BR42" s="8" t="s">
        <v>92</v>
      </c>
      <c r="BS42" s="8" t="s">
        <v>92</v>
      </c>
      <c r="BT42" s="8" t="s">
        <v>93</v>
      </c>
      <c r="BU42" s="8" t="s">
        <v>92</v>
      </c>
      <c r="BV42" s="8" t="s">
        <v>92</v>
      </c>
      <c r="BW42" s="8" t="s">
        <v>92</v>
      </c>
      <c r="BX42" s="8" t="s">
        <v>92</v>
      </c>
      <c r="BY42" s="8" t="s">
        <v>92</v>
      </c>
      <c r="BZ42" s="8" t="s">
        <v>92</v>
      </c>
      <c r="CA42" s="8" t="s">
        <v>92</v>
      </c>
      <c r="CB42" s="17" t="s">
        <v>247</v>
      </c>
      <c r="CC42" s="18"/>
      <c r="CD42" s="18"/>
      <c r="CE42" s="31"/>
      <c r="CF42" s="18"/>
      <c r="CG42" s="18"/>
      <c r="CH42" s="14"/>
    </row>
    <row r="43" ht="15.0" customHeight="1">
      <c r="A43" s="8"/>
      <c r="B43" s="16" t="s">
        <v>232</v>
      </c>
      <c r="C43" s="10" t="s">
        <v>233</v>
      </c>
      <c r="D43" s="9" t="s">
        <v>87</v>
      </c>
      <c r="E43" s="11" t="s">
        <v>306</v>
      </c>
      <c r="F43" s="12"/>
      <c r="G43" s="14" t="s">
        <v>307</v>
      </c>
      <c r="H43" s="14" t="s">
        <v>90</v>
      </c>
      <c r="I43" s="14" t="s">
        <v>308</v>
      </c>
      <c r="J43" s="14" t="s">
        <v>92</v>
      </c>
      <c r="K43" s="14" t="s">
        <v>92</v>
      </c>
      <c r="L43" s="14" t="s">
        <v>92</v>
      </c>
      <c r="M43" s="14" t="s">
        <v>92</v>
      </c>
      <c r="N43" s="14" t="s">
        <v>92</v>
      </c>
      <c r="O43" s="14" t="s">
        <v>93</v>
      </c>
      <c r="P43" s="14" t="s">
        <v>92</v>
      </c>
      <c r="Q43" s="14" t="s">
        <v>92</v>
      </c>
      <c r="R43" s="14" t="s">
        <v>92</v>
      </c>
      <c r="S43" s="14" t="s">
        <v>92</v>
      </c>
      <c r="T43" s="14" t="s">
        <v>92</v>
      </c>
      <c r="U43" s="14" t="s">
        <v>92</v>
      </c>
      <c r="V43" s="14" t="s">
        <v>92</v>
      </c>
      <c r="W43" s="14" t="s">
        <v>92</v>
      </c>
      <c r="X43" s="14" t="s">
        <v>92</v>
      </c>
      <c r="Y43" s="14" t="s">
        <v>92</v>
      </c>
      <c r="Z43" s="14" t="s">
        <v>93</v>
      </c>
      <c r="AA43" s="14" t="s">
        <v>93</v>
      </c>
      <c r="AB43" s="8" t="s">
        <v>93</v>
      </c>
      <c r="AC43" s="8" t="s">
        <v>93</v>
      </c>
      <c r="AD43" s="8" t="s">
        <v>93</v>
      </c>
      <c r="AE43" s="14" t="s">
        <v>112</v>
      </c>
      <c r="AF43" s="14" t="s">
        <v>92</v>
      </c>
      <c r="AG43" s="14" t="s">
        <v>95</v>
      </c>
      <c r="AH43" s="8">
        <v>2015.0</v>
      </c>
      <c r="AI43" s="14" t="s">
        <v>93</v>
      </c>
      <c r="AJ43" s="14" t="s">
        <v>93</v>
      </c>
      <c r="AK43" s="14" t="s">
        <v>93</v>
      </c>
      <c r="AL43" s="14" t="s">
        <v>93</v>
      </c>
      <c r="AM43" s="8" t="s">
        <v>95</v>
      </c>
      <c r="AN43" s="14" t="s">
        <v>114</v>
      </c>
      <c r="AO43" s="8" t="s">
        <v>93</v>
      </c>
      <c r="AP43" s="8" t="s">
        <v>92</v>
      </c>
      <c r="AQ43" s="13" t="s">
        <v>92</v>
      </c>
      <c r="AR43" s="13" t="s">
        <v>93</v>
      </c>
      <c r="AS43" s="13" t="s">
        <v>93</v>
      </c>
      <c r="AT43" s="13" t="s">
        <v>93</v>
      </c>
      <c r="AU43" s="13" t="s">
        <v>93</v>
      </c>
      <c r="AV43" s="13" t="s">
        <v>93</v>
      </c>
      <c r="AW43" s="14" t="s">
        <v>92</v>
      </c>
      <c r="AX43" s="14" t="s">
        <v>92</v>
      </c>
      <c r="AY43" s="8" t="s">
        <v>95</v>
      </c>
      <c r="AZ43" s="8" t="s">
        <v>95</v>
      </c>
      <c r="BA43" s="9" t="s">
        <v>309</v>
      </c>
      <c r="BB43" s="8" t="s">
        <v>95</v>
      </c>
      <c r="BC43" s="8" t="s">
        <v>93</v>
      </c>
      <c r="BD43" s="14" t="s">
        <v>93</v>
      </c>
      <c r="BE43" s="14" t="s">
        <v>92</v>
      </c>
      <c r="BF43" s="14" t="s">
        <v>92</v>
      </c>
      <c r="BG43" s="14" t="s">
        <v>92</v>
      </c>
      <c r="BH43" s="14" t="s">
        <v>92</v>
      </c>
      <c r="BI43" s="14" t="s">
        <v>92</v>
      </c>
      <c r="BJ43" s="14" t="s">
        <v>92</v>
      </c>
      <c r="BK43" s="14" t="s">
        <v>274</v>
      </c>
      <c r="BL43" s="14" t="s">
        <v>93</v>
      </c>
      <c r="BM43" s="14" t="s">
        <v>92</v>
      </c>
      <c r="BN43" s="14" t="s">
        <v>92</v>
      </c>
      <c r="BO43" s="14" t="s">
        <v>92</v>
      </c>
      <c r="BP43" s="14" t="s">
        <v>92</v>
      </c>
      <c r="BQ43" s="8" t="s">
        <v>92</v>
      </c>
      <c r="BR43" s="8" t="s">
        <v>92</v>
      </c>
      <c r="BS43" s="8" t="s">
        <v>93</v>
      </c>
      <c r="BT43" s="8" t="s">
        <v>93</v>
      </c>
      <c r="BU43" s="8" t="s">
        <v>92</v>
      </c>
      <c r="BV43" s="8" t="s">
        <v>92</v>
      </c>
      <c r="BW43" s="8" t="s">
        <v>92</v>
      </c>
      <c r="BX43" s="8" t="s">
        <v>92</v>
      </c>
      <c r="BY43" s="8" t="s">
        <v>92</v>
      </c>
      <c r="BZ43" s="8" t="s">
        <v>93</v>
      </c>
      <c r="CA43" s="8" t="s">
        <v>92</v>
      </c>
      <c r="CB43" s="17" t="s">
        <v>295</v>
      </c>
      <c r="CC43" s="17" t="s">
        <v>247</v>
      </c>
      <c r="CD43" s="17" t="s">
        <v>269</v>
      </c>
      <c r="CE43" s="20" t="s">
        <v>116</v>
      </c>
      <c r="CF43" s="18"/>
      <c r="CG43" s="18"/>
      <c r="CH43" s="14"/>
    </row>
    <row r="44">
      <c r="A44" s="8"/>
      <c r="B44" s="16" t="s">
        <v>232</v>
      </c>
      <c r="C44" s="10" t="s">
        <v>233</v>
      </c>
      <c r="D44" s="9" t="s">
        <v>87</v>
      </c>
      <c r="E44" s="11" t="s">
        <v>310</v>
      </c>
      <c r="F44" s="12"/>
      <c r="G44" s="14" t="s">
        <v>311</v>
      </c>
      <c r="H44" s="14" t="s">
        <v>90</v>
      </c>
      <c r="I44" s="14" t="s">
        <v>312</v>
      </c>
      <c r="J44" s="14" t="s">
        <v>93</v>
      </c>
      <c r="K44" s="14" t="s">
        <v>92</v>
      </c>
      <c r="L44" s="14" t="s">
        <v>92</v>
      </c>
      <c r="M44" s="14" t="s">
        <v>92</v>
      </c>
      <c r="N44" s="14" t="s">
        <v>92</v>
      </c>
      <c r="O44" s="14" t="s">
        <v>92</v>
      </c>
      <c r="P44" s="14" t="s">
        <v>92</v>
      </c>
      <c r="Q44" s="14" t="s">
        <v>92</v>
      </c>
      <c r="R44" s="14" t="s">
        <v>92</v>
      </c>
      <c r="S44" s="14" t="s">
        <v>93</v>
      </c>
      <c r="T44" s="14" t="s">
        <v>92</v>
      </c>
      <c r="U44" s="14" t="s">
        <v>92</v>
      </c>
      <c r="V44" s="14" t="s">
        <v>92</v>
      </c>
      <c r="W44" s="14" t="s">
        <v>92</v>
      </c>
      <c r="X44" s="14" t="s">
        <v>92</v>
      </c>
      <c r="Y44" s="14" t="s">
        <v>92</v>
      </c>
      <c r="Z44" s="14" t="s">
        <v>93</v>
      </c>
      <c r="AA44" s="14" t="s">
        <v>92</v>
      </c>
      <c r="AB44" s="8" t="s">
        <v>92</v>
      </c>
      <c r="AC44" s="8" t="s">
        <v>93</v>
      </c>
      <c r="AD44" s="8" t="s">
        <v>92</v>
      </c>
      <c r="AE44" s="14" t="s">
        <v>112</v>
      </c>
      <c r="AF44" s="14" t="s">
        <v>92</v>
      </c>
      <c r="AG44" s="14" t="s">
        <v>95</v>
      </c>
      <c r="AH44" s="8">
        <v>2021.0</v>
      </c>
      <c r="AI44" s="14" t="s">
        <v>92</v>
      </c>
      <c r="AJ44" s="14" t="s">
        <v>93</v>
      </c>
      <c r="AK44" s="14" t="s">
        <v>92</v>
      </c>
      <c r="AL44" s="14" t="s">
        <v>92</v>
      </c>
      <c r="AM44" s="8" t="s">
        <v>105</v>
      </c>
      <c r="AN44" s="14" t="s">
        <v>105</v>
      </c>
      <c r="AO44" s="8" t="s">
        <v>92</v>
      </c>
      <c r="AP44" s="8" t="s">
        <v>92</v>
      </c>
      <c r="AQ44" s="14" t="s">
        <v>92</v>
      </c>
      <c r="AR44" s="14" t="s">
        <v>93</v>
      </c>
      <c r="AS44" s="14" t="s">
        <v>93</v>
      </c>
      <c r="AT44" s="14" t="s">
        <v>93</v>
      </c>
      <c r="AU44" s="14" t="s">
        <v>93</v>
      </c>
      <c r="AV44" s="14" t="s">
        <v>93</v>
      </c>
      <c r="AW44" s="14" t="s">
        <v>92</v>
      </c>
      <c r="AX44" s="14" t="s">
        <v>92</v>
      </c>
      <c r="AY44" s="8" t="s">
        <v>95</v>
      </c>
      <c r="AZ44" s="8" t="s">
        <v>95</v>
      </c>
      <c r="BA44" s="9" t="s">
        <v>313</v>
      </c>
      <c r="BB44" s="8" t="s">
        <v>95</v>
      </c>
      <c r="BC44" s="8" t="s">
        <v>93</v>
      </c>
      <c r="BD44" s="14" t="s">
        <v>93</v>
      </c>
      <c r="BE44" s="14" t="s">
        <v>92</v>
      </c>
      <c r="BF44" s="14" t="s">
        <v>92</v>
      </c>
      <c r="BG44" s="14" t="s">
        <v>92</v>
      </c>
      <c r="BH44" s="14" t="s">
        <v>92</v>
      </c>
      <c r="BI44" s="14" t="s">
        <v>92</v>
      </c>
      <c r="BJ44" s="14" t="s">
        <v>92</v>
      </c>
      <c r="BK44" s="14" t="s">
        <v>105</v>
      </c>
      <c r="BL44" s="14" t="s">
        <v>105</v>
      </c>
      <c r="BM44" s="14" t="s">
        <v>105</v>
      </c>
      <c r="BN44" s="14" t="s">
        <v>105</v>
      </c>
      <c r="BO44" s="14" t="s">
        <v>105</v>
      </c>
      <c r="BP44" s="14" t="s">
        <v>105</v>
      </c>
      <c r="BQ44" s="8" t="s">
        <v>92</v>
      </c>
      <c r="BR44" s="8" t="s">
        <v>92</v>
      </c>
      <c r="BS44" s="8" t="s">
        <v>92</v>
      </c>
      <c r="BT44" s="8" t="s">
        <v>93</v>
      </c>
      <c r="BU44" s="8" t="s">
        <v>92</v>
      </c>
      <c r="BV44" s="8" t="s">
        <v>93</v>
      </c>
      <c r="BW44" s="8" t="s">
        <v>92</v>
      </c>
      <c r="BX44" s="8" t="s">
        <v>92</v>
      </c>
      <c r="BY44" s="8" t="s">
        <v>92</v>
      </c>
      <c r="BZ44" s="8" t="s">
        <v>92</v>
      </c>
      <c r="CA44" s="8" t="s">
        <v>92</v>
      </c>
      <c r="CB44" s="17" t="s">
        <v>247</v>
      </c>
      <c r="CC44" s="18"/>
      <c r="CD44" s="18"/>
      <c r="CE44" s="18"/>
      <c r="CF44" s="18"/>
      <c r="CG44" s="18"/>
      <c r="CH44" s="14"/>
    </row>
    <row r="45">
      <c r="A45" s="8"/>
      <c r="B45" s="16" t="s">
        <v>314</v>
      </c>
      <c r="C45" s="10" t="s">
        <v>315</v>
      </c>
      <c r="D45" s="9" t="s">
        <v>87</v>
      </c>
      <c r="E45" s="11" t="s">
        <v>316</v>
      </c>
      <c r="F45" s="12"/>
      <c r="G45" s="13" t="s">
        <v>317</v>
      </c>
      <c r="H45" s="13" t="s">
        <v>110</v>
      </c>
      <c r="I45" s="13" t="s">
        <v>318</v>
      </c>
      <c r="J45" s="13" t="s">
        <v>92</v>
      </c>
      <c r="K45" s="14" t="s">
        <v>92</v>
      </c>
      <c r="L45" s="14" t="s">
        <v>92</v>
      </c>
      <c r="M45" s="14" t="s">
        <v>92</v>
      </c>
      <c r="N45" s="14" t="s">
        <v>93</v>
      </c>
      <c r="O45" s="14" t="s">
        <v>92</v>
      </c>
      <c r="P45" s="14" t="s">
        <v>92</v>
      </c>
      <c r="Q45" s="14" t="s">
        <v>92</v>
      </c>
      <c r="R45" s="14" t="s">
        <v>92</v>
      </c>
      <c r="S45" s="13" t="s">
        <v>92</v>
      </c>
      <c r="T45" s="13" t="s">
        <v>93</v>
      </c>
      <c r="U45" s="13" t="s">
        <v>92</v>
      </c>
      <c r="V45" s="13" t="s">
        <v>92</v>
      </c>
      <c r="W45" s="13" t="s">
        <v>92</v>
      </c>
      <c r="X45" s="13" t="s">
        <v>92</v>
      </c>
      <c r="Y45" s="13" t="s">
        <v>92</v>
      </c>
      <c r="Z45" s="14" t="s">
        <v>92</v>
      </c>
      <c r="AA45" s="14" t="s">
        <v>92</v>
      </c>
      <c r="AB45" s="15" t="s">
        <v>93</v>
      </c>
      <c r="AC45" s="15" t="s">
        <v>92</v>
      </c>
      <c r="AD45" s="15" t="s">
        <v>92</v>
      </c>
      <c r="AE45" s="14" t="s">
        <v>148</v>
      </c>
      <c r="AF45" s="13" t="s">
        <v>92</v>
      </c>
      <c r="AG45" s="13" t="s">
        <v>95</v>
      </c>
      <c r="AH45" s="8" t="s">
        <v>105</v>
      </c>
      <c r="AI45" s="13" t="s">
        <v>105</v>
      </c>
      <c r="AJ45" s="13" t="s">
        <v>93</v>
      </c>
      <c r="AK45" s="13" t="s">
        <v>93</v>
      </c>
      <c r="AL45" s="13" t="s">
        <v>105</v>
      </c>
      <c r="AM45" s="8" t="s">
        <v>105</v>
      </c>
      <c r="AN45" s="13" t="s">
        <v>114</v>
      </c>
      <c r="AO45" s="15" t="s">
        <v>93</v>
      </c>
      <c r="AP45" s="15" t="s">
        <v>92</v>
      </c>
      <c r="AQ45" s="14" t="s">
        <v>92</v>
      </c>
      <c r="AR45" s="14" t="s">
        <v>93</v>
      </c>
      <c r="AS45" s="13" t="s">
        <v>92</v>
      </c>
      <c r="AT45" s="13" t="s">
        <v>93</v>
      </c>
      <c r="AU45" s="13" t="s">
        <v>92</v>
      </c>
      <c r="AV45" s="13" t="s">
        <v>92</v>
      </c>
      <c r="AW45" s="13" t="s">
        <v>92</v>
      </c>
      <c r="AX45" s="13" t="s">
        <v>92</v>
      </c>
      <c r="AY45" s="15" t="s">
        <v>95</v>
      </c>
      <c r="AZ45" s="15" t="s">
        <v>95</v>
      </c>
      <c r="BA45" s="16" t="s">
        <v>319</v>
      </c>
      <c r="BB45" s="8" t="s">
        <v>95</v>
      </c>
      <c r="BC45" s="15" t="s">
        <v>93</v>
      </c>
      <c r="BD45" s="13" t="s">
        <v>92</v>
      </c>
      <c r="BE45" s="13" t="s">
        <v>92</v>
      </c>
      <c r="BF45" s="13" t="s">
        <v>92</v>
      </c>
      <c r="BG45" s="13" t="s">
        <v>92</v>
      </c>
      <c r="BH45" s="13" t="s">
        <v>92</v>
      </c>
      <c r="BI45" s="13" t="s">
        <v>93</v>
      </c>
      <c r="BJ45" s="13" t="s">
        <v>92</v>
      </c>
      <c r="BK45" s="14" t="s">
        <v>320</v>
      </c>
      <c r="BL45" s="13" t="s">
        <v>92</v>
      </c>
      <c r="BM45" s="13" t="s">
        <v>92</v>
      </c>
      <c r="BN45" s="13" t="s">
        <v>92</v>
      </c>
      <c r="BO45" s="13" t="s">
        <v>93</v>
      </c>
      <c r="BP45" s="13" t="s">
        <v>93</v>
      </c>
      <c r="BQ45" s="15" t="s">
        <v>92</v>
      </c>
      <c r="BR45" s="15" t="s">
        <v>93</v>
      </c>
      <c r="BS45" s="15" t="s">
        <v>92</v>
      </c>
      <c r="BT45" s="15" t="s">
        <v>92</v>
      </c>
      <c r="BU45" s="15" t="s">
        <v>92</v>
      </c>
      <c r="BV45" s="15" t="s">
        <v>92</v>
      </c>
      <c r="BW45" s="15" t="s">
        <v>92</v>
      </c>
      <c r="BX45" s="15" t="s">
        <v>92</v>
      </c>
      <c r="BY45" s="15" t="s">
        <v>92</v>
      </c>
      <c r="BZ45" s="15" t="s">
        <v>92</v>
      </c>
      <c r="CA45" s="15" t="s">
        <v>92</v>
      </c>
      <c r="CB45" s="17" t="s">
        <v>321</v>
      </c>
      <c r="CC45" s="17" t="s">
        <v>322</v>
      </c>
      <c r="CD45" s="17" t="s">
        <v>115</v>
      </c>
      <c r="CE45" s="18"/>
      <c r="CF45" s="18"/>
      <c r="CG45" s="18"/>
      <c r="CH45" s="14"/>
    </row>
    <row r="46">
      <c r="A46" s="8"/>
      <c r="B46" s="16" t="s">
        <v>314</v>
      </c>
      <c r="C46" s="10" t="s">
        <v>315</v>
      </c>
      <c r="D46" s="9" t="s">
        <v>87</v>
      </c>
      <c r="E46" s="11" t="s">
        <v>323</v>
      </c>
      <c r="F46" s="12"/>
      <c r="G46" s="14" t="s">
        <v>324</v>
      </c>
      <c r="H46" s="13" t="s">
        <v>90</v>
      </c>
      <c r="I46" s="13" t="s">
        <v>325</v>
      </c>
      <c r="J46" s="13" t="s">
        <v>92</v>
      </c>
      <c r="K46" s="14" t="s">
        <v>92</v>
      </c>
      <c r="L46" s="14" t="s">
        <v>92</v>
      </c>
      <c r="M46" s="14" t="s">
        <v>93</v>
      </c>
      <c r="N46" s="14" t="s">
        <v>92</v>
      </c>
      <c r="O46" s="14" t="s">
        <v>92</v>
      </c>
      <c r="P46" s="14" t="s">
        <v>92</v>
      </c>
      <c r="Q46" s="14" t="s">
        <v>93</v>
      </c>
      <c r="R46" s="14" t="s">
        <v>93</v>
      </c>
      <c r="S46" s="13" t="s">
        <v>92</v>
      </c>
      <c r="T46" s="13" t="s">
        <v>92</v>
      </c>
      <c r="U46" s="13" t="s">
        <v>93</v>
      </c>
      <c r="V46" s="13" t="s">
        <v>92</v>
      </c>
      <c r="W46" s="13" t="s">
        <v>92</v>
      </c>
      <c r="X46" s="13" t="s">
        <v>92</v>
      </c>
      <c r="Y46" s="13" t="s">
        <v>92</v>
      </c>
      <c r="Z46" s="14" t="s">
        <v>92</v>
      </c>
      <c r="AA46" s="14" t="s">
        <v>92</v>
      </c>
      <c r="AB46" s="15" t="s">
        <v>93</v>
      </c>
      <c r="AC46" s="15" t="s">
        <v>92</v>
      </c>
      <c r="AD46" s="15" t="s">
        <v>92</v>
      </c>
      <c r="AE46" s="13" t="s">
        <v>94</v>
      </c>
      <c r="AF46" s="13" t="s">
        <v>92</v>
      </c>
      <c r="AG46" s="13" t="s">
        <v>95</v>
      </c>
      <c r="AH46" s="15">
        <v>2021.0</v>
      </c>
      <c r="AI46" s="13" t="s">
        <v>105</v>
      </c>
      <c r="AJ46" s="13" t="s">
        <v>93</v>
      </c>
      <c r="AK46" s="13" t="s">
        <v>93</v>
      </c>
      <c r="AL46" s="13" t="s">
        <v>105</v>
      </c>
      <c r="AM46" s="8" t="s">
        <v>105</v>
      </c>
      <c r="AN46" s="14" t="s">
        <v>105</v>
      </c>
      <c r="AO46" s="15" t="s">
        <v>93</v>
      </c>
      <c r="AP46" s="15" t="s">
        <v>92</v>
      </c>
      <c r="AQ46" s="14" t="s">
        <v>92</v>
      </c>
      <c r="AR46" s="14" t="s">
        <v>93</v>
      </c>
      <c r="AS46" s="13" t="s">
        <v>92</v>
      </c>
      <c r="AT46" s="13" t="s">
        <v>93</v>
      </c>
      <c r="AU46" s="13" t="s">
        <v>92</v>
      </c>
      <c r="AV46" s="13" t="s">
        <v>92</v>
      </c>
      <c r="AW46" s="13" t="s">
        <v>92</v>
      </c>
      <c r="AX46" s="13" t="s">
        <v>92</v>
      </c>
      <c r="AY46" s="15" t="s">
        <v>95</v>
      </c>
      <c r="AZ46" s="15" t="s">
        <v>95</v>
      </c>
      <c r="BA46" s="16" t="s">
        <v>326</v>
      </c>
      <c r="BB46" s="8" t="s">
        <v>95</v>
      </c>
      <c r="BC46" s="15" t="s">
        <v>93</v>
      </c>
      <c r="BD46" s="13" t="s">
        <v>92</v>
      </c>
      <c r="BE46" s="13" t="s">
        <v>92</v>
      </c>
      <c r="BF46" s="13" t="s">
        <v>92</v>
      </c>
      <c r="BG46" s="13" t="s">
        <v>92</v>
      </c>
      <c r="BH46" s="13" t="s">
        <v>92</v>
      </c>
      <c r="BI46" s="13" t="s">
        <v>93</v>
      </c>
      <c r="BJ46" s="13" t="s">
        <v>92</v>
      </c>
      <c r="BK46" s="14" t="s">
        <v>156</v>
      </c>
      <c r="BL46" s="13" t="s">
        <v>92</v>
      </c>
      <c r="BM46" s="13" t="s">
        <v>92</v>
      </c>
      <c r="BN46" s="13" t="s">
        <v>92</v>
      </c>
      <c r="BO46" s="13" t="s">
        <v>92</v>
      </c>
      <c r="BP46" s="13" t="s">
        <v>93</v>
      </c>
      <c r="BQ46" s="15" t="s">
        <v>93</v>
      </c>
      <c r="BR46" s="15" t="s">
        <v>92</v>
      </c>
      <c r="BS46" s="15" t="s">
        <v>92</v>
      </c>
      <c r="BT46" s="15" t="s">
        <v>92</v>
      </c>
      <c r="BU46" s="15" t="s">
        <v>92</v>
      </c>
      <c r="BV46" s="15" t="s">
        <v>92</v>
      </c>
      <c r="BW46" s="15" t="s">
        <v>92</v>
      </c>
      <c r="BX46" s="15" t="s">
        <v>92</v>
      </c>
      <c r="BY46" s="15" t="s">
        <v>92</v>
      </c>
      <c r="BZ46" s="15" t="s">
        <v>92</v>
      </c>
      <c r="CA46" s="15" t="s">
        <v>92</v>
      </c>
      <c r="CB46" s="17" t="s">
        <v>321</v>
      </c>
      <c r="CC46" s="17" t="s">
        <v>115</v>
      </c>
      <c r="CD46" s="18"/>
      <c r="CE46" s="18"/>
      <c r="CF46" s="18"/>
      <c r="CG46" s="18"/>
      <c r="CH46" s="14"/>
    </row>
    <row r="47">
      <c r="A47" s="8"/>
      <c r="B47" s="16" t="s">
        <v>314</v>
      </c>
      <c r="C47" s="10" t="s">
        <v>315</v>
      </c>
      <c r="D47" s="9" t="s">
        <v>87</v>
      </c>
      <c r="E47" s="11" t="s">
        <v>327</v>
      </c>
      <c r="F47" s="12"/>
      <c r="G47" s="14" t="s">
        <v>328</v>
      </c>
      <c r="H47" s="14" t="s">
        <v>90</v>
      </c>
      <c r="I47" s="14" t="s">
        <v>329</v>
      </c>
      <c r="J47" s="14" t="s">
        <v>92</v>
      </c>
      <c r="K47" s="14" t="s">
        <v>92</v>
      </c>
      <c r="L47" s="14" t="s">
        <v>92</v>
      </c>
      <c r="M47" s="14" t="s">
        <v>92</v>
      </c>
      <c r="N47" s="14" t="s">
        <v>92</v>
      </c>
      <c r="O47" s="14" t="s">
        <v>92</v>
      </c>
      <c r="P47" s="14" t="s">
        <v>92</v>
      </c>
      <c r="Q47" s="14" t="s">
        <v>92</v>
      </c>
      <c r="R47" s="14" t="s">
        <v>92</v>
      </c>
      <c r="S47" s="14" t="s">
        <v>92</v>
      </c>
      <c r="T47" s="14" t="s">
        <v>92</v>
      </c>
      <c r="U47" s="14" t="s">
        <v>92</v>
      </c>
      <c r="V47" s="14" t="s">
        <v>92</v>
      </c>
      <c r="W47" s="14" t="s">
        <v>92</v>
      </c>
      <c r="X47" s="14" t="s">
        <v>92</v>
      </c>
      <c r="Y47" s="14" t="s">
        <v>92</v>
      </c>
      <c r="Z47" s="14" t="s">
        <v>93</v>
      </c>
      <c r="AA47" s="14" t="s">
        <v>92</v>
      </c>
      <c r="AB47" s="8" t="s">
        <v>92</v>
      </c>
      <c r="AC47" s="8" t="s">
        <v>93</v>
      </c>
      <c r="AD47" s="8" t="s">
        <v>92</v>
      </c>
      <c r="AE47" s="14" t="s">
        <v>112</v>
      </c>
      <c r="AF47" s="14" t="s">
        <v>92</v>
      </c>
      <c r="AG47" s="13" t="s">
        <v>95</v>
      </c>
      <c r="AH47" s="8">
        <v>2022.0</v>
      </c>
      <c r="AI47" s="14" t="s">
        <v>92</v>
      </c>
      <c r="AJ47" s="14" t="s">
        <v>92</v>
      </c>
      <c r="AK47" s="14" t="s">
        <v>93</v>
      </c>
      <c r="AL47" s="14" t="s">
        <v>92</v>
      </c>
      <c r="AM47" s="8" t="s">
        <v>105</v>
      </c>
      <c r="AN47" s="14" t="s">
        <v>105</v>
      </c>
      <c r="AO47" s="8" t="s">
        <v>105</v>
      </c>
      <c r="AP47" s="15" t="s">
        <v>92</v>
      </c>
      <c r="AQ47" s="14" t="s">
        <v>92</v>
      </c>
      <c r="AR47" s="14" t="s">
        <v>93</v>
      </c>
      <c r="AS47" s="13" t="s">
        <v>92</v>
      </c>
      <c r="AT47" s="13" t="s">
        <v>93</v>
      </c>
      <c r="AU47" s="14" t="s">
        <v>92</v>
      </c>
      <c r="AV47" s="13" t="s">
        <v>92</v>
      </c>
      <c r="AW47" s="13" t="s">
        <v>92</v>
      </c>
      <c r="AX47" s="13" t="s">
        <v>92</v>
      </c>
      <c r="AY47" s="8" t="s">
        <v>330</v>
      </c>
      <c r="AZ47" s="8" t="s">
        <v>92</v>
      </c>
      <c r="BA47" s="9" t="s">
        <v>331</v>
      </c>
      <c r="BB47" s="8" t="s">
        <v>95</v>
      </c>
      <c r="BC47" s="8" t="s">
        <v>93</v>
      </c>
      <c r="BD47" s="14" t="s">
        <v>92</v>
      </c>
      <c r="BE47" s="14" t="s">
        <v>93</v>
      </c>
      <c r="BF47" s="14" t="s">
        <v>92</v>
      </c>
      <c r="BG47" s="14" t="s">
        <v>92</v>
      </c>
      <c r="BH47" s="14" t="s">
        <v>92</v>
      </c>
      <c r="BI47" s="14" t="s">
        <v>92</v>
      </c>
      <c r="BJ47" s="14" t="s">
        <v>92</v>
      </c>
      <c r="BK47" s="32" t="s">
        <v>332</v>
      </c>
      <c r="BL47" s="14" t="s">
        <v>92</v>
      </c>
      <c r="BM47" s="14" t="s">
        <v>92</v>
      </c>
      <c r="BN47" s="14" t="s">
        <v>92</v>
      </c>
      <c r="BO47" s="14" t="s">
        <v>93</v>
      </c>
      <c r="BP47" s="14" t="s">
        <v>92</v>
      </c>
      <c r="BQ47" s="8" t="s">
        <v>92</v>
      </c>
      <c r="BR47" s="8" t="s">
        <v>92</v>
      </c>
      <c r="BS47" s="8" t="s">
        <v>92</v>
      </c>
      <c r="BT47" s="8" t="s">
        <v>93</v>
      </c>
      <c r="BU47" s="8" t="s">
        <v>92</v>
      </c>
      <c r="BV47" s="8" t="s">
        <v>92</v>
      </c>
      <c r="BW47" s="8" t="s">
        <v>92</v>
      </c>
      <c r="BX47" s="8" t="s">
        <v>92</v>
      </c>
      <c r="BY47" s="8" t="s">
        <v>92</v>
      </c>
      <c r="BZ47" s="8" t="s">
        <v>92</v>
      </c>
      <c r="CA47" s="8" t="s">
        <v>92</v>
      </c>
      <c r="CB47" s="17" t="s">
        <v>333</v>
      </c>
      <c r="CC47" s="17"/>
      <c r="CD47" s="18"/>
      <c r="CE47" s="18"/>
      <c r="CF47" s="18"/>
      <c r="CG47" s="18"/>
      <c r="CH47" s="14"/>
    </row>
    <row r="48">
      <c r="A48" s="8"/>
      <c r="B48" s="16" t="s">
        <v>314</v>
      </c>
      <c r="C48" s="10" t="s">
        <v>315</v>
      </c>
      <c r="D48" s="9" t="s">
        <v>87</v>
      </c>
      <c r="E48" s="11" t="s">
        <v>334</v>
      </c>
      <c r="F48" s="12"/>
      <c r="G48" s="14" t="s">
        <v>335</v>
      </c>
      <c r="H48" s="14" t="s">
        <v>110</v>
      </c>
      <c r="I48" s="14" t="s">
        <v>336</v>
      </c>
      <c r="J48" s="14" t="s">
        <v>92</v>
      </c>
      <c r="K48" s="14" t="s">
        <v>92</v>
      </c>
      <c r="L48" s="14" t="s">
        <v>92</v>
      </c>
      <c r="M48" s="14" t="s">
        <v>92</v>
      </c>
      <c r="N48" s="14" t="s">
        <v>92</v>
      </c>
      <c r="O48" s="14" t="s">
        <v>92</v>
      </c>
      <c r="P48" s="14" t="s">
        <v>92</v>
      </c>
      <c r="Q48" s="14" t="s">
        <v>92</v>
      </c>
      <c r="R48" s="14" t="s">
        <v>92</v>
      </c>
      <c r="S48" s="14" t="s">
        <v>92</v>
      </c>
      <c r="T48" s="14" t="s">
        <v>92</v>
      </c>
      <c r="U48" s="14" t="s">
        <v>92</v>
      </c>
      <c r="V48" s="14" t="s">
        <v>92</v>
      </c>
      <c r="W48" s="14" t="s">
        <v>92</v>
      </c>
      <c r="X48" s="14" t="s">
        <v>92</v>
      </c>
      <c r="Y48" s="14" t="s">
        <v>92</v>
      </c>
      <c r="Z48" s="14" t="s">
        <v>93</v>
      </c>
      <c r="AA48" s="14" t="s">
        <v>92</v>
      </c>
      <c r="AB48" s="8" t="s">
        <v>92</v>
      </c>
      <c r="AC48" s="8" t="s">
        <v>93</v>
      </c>
      <c r="AD48" s="8" t="s">
        <v>92</v>
      </c>
      <c r="AE48" s="14" t="s">
        <v>112</v>
      </c>
      <c r="AF48" s="14" t="s">
        <v>92</v>
      </c>
      <c r="AG48" s="13" t="s">
        <v>95</v>
      </c>
      <c r="AH48" s="8" t="s">
        <v>105</v>
      </c>
      <c r="AI48" s="13" t="s">
        <v>105</v>
      </c>
      <c r="AJ48" s="14" t="s">
        <v>93</v>
      </c>
      <c r="AK48" s="14" t="s">
        <v>92</v>
      </c>
      <c r="AL48" s="14" t="s">
        <v>105</v>
      </c>
      <c r="AM48" s="8" t="s">
        <v>105</v>
      </c>
      <c r="AN48" s="14" t="s">
        <v>105</v>
      </c>
      <c r="AO48" s="8" t="s">
        <v>105</v>
      </c>
      <c r="AP48" s="15" t="s">
        <v>92</v>
      </c>
      <c r="AQ48" s="14" t="s">
        <v>92</v>
      </c>
      <c r="AR48" s="14" t="s">
        <v>93</v>
      </c>
      <c r="AS48" s="13" t="s">
        <v>92</v>
      </c>
      <c r="AT48" s="13" t="s">
        <v>93</v>
      </c>
      <c r="AU48" s="13" t="s">
        <v>92</v>
      </c>
      <c r="AV48" s="13" t="s">
        <v>92</v>
      </c>
      <c r="AW48" s="13" t="s">
        <v>92</v>
      </c>
      <c r="AX48" s="13" t="s">
        <v>92</v>
      </c>
      <c r="AY48" s="15" t="s">
        <v>95</v>
      </c>
      <c r="AZ48" s="15" t="s">
        <v>95</v>
      </c>
      <c r="BA48" s="16" t="s">
        <v>314</v>
      </c>
      <c r="BB48" s="8" t="s">
        <v>213</v>
      </c>
      <c r="BC48" s="8" t="s">
        <v>92</v>
      </c>
      <c r="BD48" s="14" t="s">
        <v>92</v>
      </c>
      <c r="BE48" s="14" t="s">
        <v>93</v>
      </c>
      <c r="BF48" s="14" t="s">
        <v>92</v>
      </c>
      <c r="BG48" s="14" t="s">
        <v>92</v>
      </c>
      <c r="BH48" s="14" t="s">
        <v>92</v>
      </c>
      <c r="BI48" s="14" t="s">
        <v>92</v>
      </c>
      <c r="BJ48" s="14" t="s">
        <v>92</v>
      </c>
      <c r="BK48" s="14" t="s">
        <v>320</v>
      </c>
      <c r="BL48" s="13" t="s">
        <v>92</v>
      </c>
      <c r="BM48" s="13" t="s">
        <v>92</v>
      </c>
      <c r="BN48" s="13" t="s">
        <v>92</v>
      </c>
      <c r="BO48" s="13" t="s">
        <v>93</v>
      </c>
      <c r="BP48" s="13" t="s">
        <v>93</v>
      </c>
      <c r="BQ48" s="8" t="s">
        <v>92</v>
      </c>
      <c r="BR48" s="8" t="s">
        <v>92</v>
      </c>
      <c r="BS48" s="8" t="s">
        <v>92</v>
      </c>
      <c r="BT48" s="8" t="s">
        <v>93</v>
      </c>
      <c r="BU48" s="8" t="s">
        <v>92</v>
      </c>
      <c r="BV48" s="8" t="s">
        <v>92</v>
      </c>
      <c r="BW48" s="8" t="s">
        <v>92</v>
      </c>
      <c r="BX48" s="8" t="s">
        <v>93</v>
      </c>
      <c r="BY48" s="8" t="s">
        <v>93</v>
      </c>
      <c r="BZ48" s="8" t="s">
        <v>92</v>
      </c>
      <c r="CA48" s="8" t="s">
        <v>92</v>
      </c>
      <c r="CB48" s="17" t="s">
        <v>115</v>
      </c>
      <c r="CC48" s="17"/>
      <c r="CD48" s="18"/>
      <c r="CE48" s="18"/>
      <c r="CF48" s="18"/>
      <c r="CG48" s="18"/>
      <c r="CH48" s="14"/>
    </row>
    <row r="49">
      <c r="A49" s="8"/>
      <c r="B49" s="16" t="s">
        <v>337</v>
      </c>
      <c r="C49" s="10" t="s">
        <v>338</v>
      </c>
      <c r="D49" s="9" t="s">
        <v>87</v>
      </c>
      <c r="E49" s="11" t="s">
        <v>339</v>
      </c>
      <c r="F49" s="12"/>
      <c r="G49" s="14" t="s">
        <v>340</v>
      </c>
      <c r="H49" s="14" t="s">
        <v>90</v>
      </c>
      <c r="I49" s="14" t="s">
        <v>341</v>
      </c>
      <c r="J49" s="14" t="s">
        <v>92</v>
      </c>
      <c r="K49" s="14" t="s">
        <v>92</v>
      </c>
      <c r="L49" s="14" t="s">
        <v>92</v>
      </c>
      <c r="M49" s="14" t="s">
        <v>92</v>
      </c>
      <c r="N49" s="14" t="s">
        <v>92</v>
      </c>
      <c r="O49" s="14" t="s">
        <v>92</v>
      </c>
      <c r="P49" s="14" t="s">
        <v>93</v>
      </c>
      <c r="Q49" s="14" t="s">
        <v>93</v>
      </c>
      <c r="R49" s="14" t="s">
        <v>92</v>
      </c>
      <c r="S49" s="14" t="s">
        <v>93</v>
      </c>
      <c r="T49" s="14" t="s">
        <v>92</v>
      </c>
      <c r="U49" s="14" t="s">
        <v>92</v>
      </c>
      <c r="V49" s="14" t="s">
        <v>92</v>
      </c>
      <c r="W49" s="14" t="s">
        <v>92</v>
      </c>
      <c r="X49" s="14" t="s">
        <v>92</v>
      </c>
      <c r="Y49" s="14" t="s">
        <v>92</v>
      </c>
      <c r="Z49" s="14" t="s">
        <v>92</v>
      </c>
      <c r="AA49" s="14" t="s">
        <v>92</v>
      </c>
      <c r="AB49" s="8" t="s">
        <v>93</v>
      </c>
      <c r="AC49" s="8" t="s">
        <v>93</v>
      </c>
      <c r="AD49" s="8" t="s">
        <v>92</v>
      </c>
      <c r="AE49" s="14" t="s">
        <v>148</v>
      </c>
      <c r="AF49" s="14" t="s">
        <v>92</v>
      </c>
      <c r="AG49" s="14" t="s">
        <v>95</v>
      </c>
      <c r="AH49" s="8">
        <v>2018.0</v>
      </c>
      <c r="AI49" s="14" t="s">
        <v>93</v>
      </c>
      <c r="AJ49" s="14" t="s">
        <v>92</v>
      </c>
      <c r="AK49" s="14" t="s">
        <v>92</v>
      </c>
      <c r="AL49" s="14" t="s">
        <v>92</v>
      </c>
      <c r="AM49" s="15" t="s">
        <v>95</v>
      </c>
      <c r="AN49" s="13" t="s">
        <v>114</v>
      </c>
      <c r="AO49" s="8" t="s">
        <v>93</v>
      </c>
      <c r="AP49" s="8" t="s">
        <v>92</v>
      </c>
      <c r="AQ49" s="13" t="s">
        <v>92</v>
      </c>
      <c r="AR49" s="14" t="s">
        <v>92</v>
      </c>
      <c r="AS49" s="13" t="s">
        <v>93</v>
      </c>
      <c r="AT49" s="13" t="s">
        <v>92</v>
      </c>
      <c r="AU49" s="13" t="s">
        <v>92</v>
      </c>
      <c r="AV49" s="13" t="s">
        <v>92</v>
      </c>
      <c r="AW49" s="13" t="s">
        <v>92</v>
      </c>
      <c r="AX49" s="13" t="s">
        <v>92</v>
      </c>
      <c r="AY49" s="8" t="s">
        <v>95</v>
      </c>
      <c r="AZ49" s="8" t="s">
        <v>95</v>
      </c>
      <c r="BA49" s="9" t="s">
        <v>342</v>
      </c>
      <c r="BB49" s="8" t="s">
        <v>143</v>
      </c>
      <c r="BC49" s="8" t="s">
        <v>92</v>
      </c>
      <c r="BD49" s="14" t="s">
        <v>93</v>
      </c>
      <c r="BE49" s="14" t="s">
        <v>92</v>
      </c>
      <c r="BF49" s="14" t="s">
        <v>92</v>
      </c>
      <c r="BG49" s="14" t="s">
        <v>92</v>
      </c>
      <c r="BH49" s="14" t="s">
        <v>92</v>
      </c>
      <c r="BI49" s="14" t="s">
        <v>92</v>
      </c>
      <c r="BJ49" s="14" t="s">
        <v>93</v>
      </c>
      <c r="BK49" s="32" t="s">
        <v>343</v>
      </c>
      <c r="BL49" s="14" t="s">
        <v>92</v>
      </c>
      <c r="BM49" s="14" t="s">
        <v>93</v>
      </c>
      <c r="BN49" s="14" t="s">
        <v>92</v>
      </c>
      <c r="BO49" s="14" t="s">
        <v>92</v>
      </c>
      <c r="BP49" s="14" t="s">
        <v>92</v>
      </c>
      <c r="BQ49" s="8" t="s">
        <v>92</v>
      </c>
      <c r="BR49" s="8" t="s">
        <v>92</v>
      </c>
      <c r="BS49" s="8" t="s">
        <v>93</v>
      </c>
      <c r="BT49" s="8" t="s">
        <v>92</v>
      </c>
      <c r="BU49" s="8" t="s">
        <v>92</v>
      </c>
      <c r="BV49" s="8" t="s">
        <v>92</v>
      </c>
      <c r="BW49" s="8" t="s">
        <v>92</v>
      </c>
      <c r="BX49" s="8" t="s">
        <v>92</v>
      </c>
      <c r="BY49" s="8" t="s">
        <v>92</v>
      </c>
      <c r="BZ49" s="8" t="s">
        <v>92</v>
      </c>
      <c r="CA49" s="8" t="s">
        <v>92</v>
      </c>
      <c r="CB49" s="33" t="s">
        <v>178</v>
      </c>
      <c r="CC49" s="17" t="s">
        <v>333</v>
      </c>
      <c r="CD49" s="18"/>
      <c r="CE49" s="18"/>
      <c r="CF49" s="18"/>
      <c r="CG49" s="18"/>
      <c r="CH49" s="14"/>
    </row>
    <row r="50">
      <c r="A50" s="8"/>
      <c r="B50" s="16" t="s">
        <v>337</v>
      </c>
      <c r="C50" s="10" t="s">
        <v>338</v>
      </c>
      <c r="D50" s="9" t="s">
        <v>87</v>
      </c>
      <c r="E50" s="11" t="s">
        <v>344</v>
      </c>
      <c r="F50" s="12"/>
      <c r="G50" s="14" t="s">
        <v>345</v>
      </c>
      <c r="H50" s="14" t="s">
        <v>90</v>
      </c>
      <c r="I50" s="14" t="s">
        <v>346</v>
      </c>
      <c r="J50" s="14" t="s">
        <v>92</v>
      </c>
      <c r="K50" s="14" t="s">
        <v>92</v>
      </c>
      <c r="L50" s="14" t="s">
        <v>93</v>
      </c>
      <c r="M50" s="14" t="s">
        <v>92</v>
      </c>
      <c r="N50" s="14" t="s">
        <v>92</v>
      </c>
      <c r="O50" s="14" t="s">
        <v>92</v>
      </c>
      <c r="P50" s="14" t="s">
        <v>92</v>
      </c>
      <c r="Q50" s="14" t="s">
        <v>92</v>
      </c>
      <c r="R50" s="14" t="s">
        <v>92</v>
      </c>
      <c r="S50" s="14" t="s">
        <v>93</v>
      </c>
      <c r="T50" s="14" t="s">
        <v>92</v>
      </c>
      <c r="U50" s="14" t="s">
        <v>92</v>
      </c>
      <c r="V50" s="14" t="s">
        <v>92</v>
      </c>
      <c r="W50" s="14" t="s">
        <v>92</v>
      </c>
      <c r="X50" s="14" t="s">
        <v>92</v>
      </c>
      <c r="Y50" s="14" t="s">
        <v>92</v>
      </c>
      <c r="Z50" s="14" t="s">
        <v>93</v>
      </c>
      <c r="AA50" s="14" t="s">
        <v>92</v>
      </c>
      <c r="AB50" s="8" t="s">
        <v>92</v>
      </c>
      <c r="AC50" s="8" t="s">
        <v>93</v>
      </c>
      <c r="AD50" s="8" t="s">
        <v>92</v>
      </c>
      <c r="AE50" s="14" t="s">
        <v>112</v>
      </c>
      <c r="AF50" s="14" t="s">
        <v>92</v>
      </c>
      <c r="AG50" s="14" t="s">
        <v>95</v>
      </c>
      <c r="AH50" s="8" t="s">
        <v>105</v>
      </c>
      <c r="AI50" s="14" t="s">
        <v>92</v>
      </c>
      <c r="AJ50" s="14" t="s">
        <v>93</v>
      </c>
      <c r="AK50" s="14" t="s">
        <v>93</v>
      </c>
      <c r="AL50" s="14" t="s">
        <v>93</v>
      </c>
      <c r="AM50" s="15" t="s">
        <v>95</v>
      </c>
      <c r="AN50" s="13" t="s">
        <v>114</v>
      </c>
      <c r="AO50" s="8" t="s">
        <v>93</v>
      </c>
      <c r="AP50" s="8" t="s">
        <v>92</v>
      </c>
      <c r="AQ50" s="13" t="s">
        <v>92</v>
      </c>
      <c r="AR50" s="14" t="s">
        <v>92</v>
      </c>
      <c r="AS50" s="13" t="s">
        <v>93</v>
      </c>
      <c r="AT50" s="13" t="s">
        <v>92</v>
      </c>
      <c r="AU50" s="13" t="s">
        <v>92</v>
      </c>
      <c r="AV50" s="13" t="s">
        <v>92</v>
      </c>
      <c r="AW50" s="13" t="s">
        <v>92</v>
      </c>
      <c r="AX50" s="13" t="s">
        <v>92</v>
      </c>
      <c r="AY50" s="8" t="s">
        <v>347</v>
      </c>
      <c r="AZ50" s="8" t="s">
        <v>92</v>
      </c>
      <c r="BA50" s="16" t="s">
        <v>348</v>
      </c>
      <c r="BB50" s="8" t="s">
        <v>97</v>
      </c>
      <c r="BC50" s="8" t="s">
        <v>92</v>
      </c>
      <c r="BD50" s="14" t="s">
        <v>93</v>
      </c>
      <c r="BE50" s="14" t="s">
        <v>92</v>
      </c>
      <c r="BF50" s="14" t="s">
        <v>92</v>
      </c>
      <c r="BG50" s="14" t="s">
        <v>92</v>
      </c>
      <c r="BH50" s="14" t="s">
        <v>92</v>
      </c>
      <c r="BI50" s="14" t="s">
        <v>92</v>
      </c>
      <c r="BJ50" s="14" t="s">
        <v>92</v>
      </c>
      <c r="BK50" s="32" t="s">
        <v>349</v>
      </c>
      <c r="BL50" s="14" t="s">
        <v>92</v>
      </c>
      <c r="BM50" s="14" t="s">
        <v>93</v>
      </c>
      <c r="BN50" s="14" t="s">
        <v>92</v>
      </c>
      <c r="BO50" s="14" t="s">
        <v>92</v>
      </c>
      <c r="BP50" s="14" t="s">
        <v>92</v>
      </c>
      <c r="BQ50" s="8" t="s">
        <v>92</v>
      </c>
      <c r="BR50" s="8" t="s">
        <v>92</v>
      </c>
      <c r="BS50" s="8" t="s">
        <v>92</v>
      </c>
      <c r="BT50" s="8" t="s">
        <v>93</v>
      </c>
      <c r="BU50" s="8" t="s">
        <v>92</v>
      </c>
      <c r="BV50" s="8" t="s">
        <v>93</v>
      </c>
      <c r="BW50" s="8" t="s">
        <v>92</v>
      </c>
      <c r="BX50" s="8" t="s">
        <v>92</v>
      </c>
      <c r="BY50" s="8" t="s">
        <v>92</v>
      </c>
      <c r="BZ50" s="8" t="s">
        <v>93</v>
      </c>
      <c r="CA50" s="8" t="s">
        <v>92</v>
      </c>
      <c r="CB50" s="17" t="s">
        <v>333</v>
      </c>
      <c r="CC50" s="17" t="s">
        <v>116</v>
      </c>
      <c r="CD50" s="34"/>
      <c r="CE50" s="18"/>
      <c r="CF50" s="18"/>
      <c r="CG50" s="18"/>
      <c r="CH50" s="14"/>
    </row>
    <row r="51">
      <c r="A51" s="8"/>
      <c r="B51" s="16" t="s">
        <v>337</v>
      </c>
      <c r="C51" s="10" t="s">
        <v>338</v>
      </c>
      <c r="D51" s="9" t="s">
        <v>87</v>
      </c>
      <c r="E51" s="11" t="s">
        <v>350</v>
      </c>
      <c r="F51" s="12"/>
      <c r="G51" s="14" t="s">
        <v>351</v>
      </c>
      <c r="H51" s="14" t="s">
        <v>90</v>
      </c>
      <c r="I51" s="14" t="s">
        <v>352</v>
      </c>
      <c r="J51" s="14" t="s">
        <v>93</v>
      </c>
      <c r="K51" s="14" t="s">
        <v>92</v>
      </c>
      <c r="L51" s="14" t="s">
        <v>92</v>
      </c>
      <c r="M51" s="14" t="s">
        <v>92</v>
      </c>
      <c r="N51" s="14" t="s">
        <v>92</v>
      </c>
      <c r="O51" s="14" t="s">
        <v>92</v>
      </c>
      <c r="P51" s="14" t="s">
        <v>92</v>
      </c>
      <c r="Q51" s="14" t="s">
        <v>92</v>
      </c>
      <c r="R51" s="14" t="s">
        <v>92</v>
      </c>
      <c r="S51" s="14" t="s">
        <v>93</v>
      </c>
      <c r="T51" s="14" t="s">
        <v>92</v>
      </c>
      <c r="U51" s="14" t="s">
        <v>92</v>
      </c>
      <c r="V51" s="14" t="s">
        <v>92</v>
      </c>
      <c r="W51" s="14" t="s">
        <v>92</v>
      </c>
      <c r="X51" s="14" t="s">
        <v>92</v>
      </c>
      <c r="Y51" s="14" t="s">
        <v>92</v>
      </c>
      <c r="Z51" s="14" t="s">
        <v>93</v>
      </c>
      <c r="AA51" s="14" t="s">
        <v>92</v>
      </c>
      <c r="AB51" s="8" t="s">
        <v>92</v>
      </c>
      <c r="AC51" s="8" t="s">
        <v>93</v>
      </c>
      <c r="AD51" s="8" t="s">
        <v>92</v>
      </c>
      <c r="AE51" s="14" t="s">
        <v>112</v>
      </c>
      <c r="AF51" s="14" t="s">
        <v>93</v>
      </c>
      <c r="AG51" s="14" t="s">
        <v>353</v>
      </c>
      <c r="AH51" s="8" t="s">
        <v>105</v>
      </c>
      <c r="AI51" s="14" t="s">
        <v>92</v>
      </c>
      <c r="AJ51" s="14" t="s">
        <v>92</v>
      </c>
      <c r="AK51" s="14" t="s">
        <v>92</v>
      </c>
      <c r="AL51" s="14" t="s">
        <v>93</v>
      </c>
      <c r="AM51" s="15" t="s">
        <v>95</v>
      </c>
      <c r="AN51" s="13" t="s">
        <v>114</v>
      </c>
      <c r="AO51" s="8" t="s">
        <v>92</v>
      </c>
      <c r="AP51" s="8" t="s">
        <v>92</v>
      </c>
      <c r="AQ51" s="13" t="s">
        <v>92</v>
      </c>
      <c r="AR51" s="14" t="s">
        <v>92</v>
      </c>
      <c r="AS51" s="13" t="s">
        <v>93</v>
      </c>
      <c r="AT51" s="13" t="s">
        <v>92</v>
      </c>
      <c r="AU51" s="13" t="s">
        <v>92</v>
      </c>
      <c r="AV51" s="13" t="s">
        <v>92</v>
      </c>
      <c r="AW51" s="13" t="s">
        <v>92</v>
      </c>
      <c r="AX51" s="13" t="s">
        <v>92</v>
      </c>
      <c r="AY51" s="8" t="s">
        <v>354</v>
      </c>
      <c r="AZ51" s="8" t="s">
        <v>92</v>
      </c>
      <c r="BA51" s="16" t="s">
        <v>348</v>
      </c>
      <c r="BB51" s="8" t="s">
        <v>97</v>
      </c>
      <c r="BC51" s="8" t="s">
        <v>92</v>
      </c>
      <c r="BD51" s="14" t="s">
        <v>93</v>
      </c>
      <c r="BE51" s="14" t="s">
        <v>92</v>
      </c>
      <c r="BF51" s="14" t="s">
        <v>92</v>
      </c>
      <c r="BG51" s="14" t="s">
        <v>92</v>
      </c>
      <c r="BH51" s="14" t="s">
        <v>92</v>
      </c>
      <c r="BI51" s="14" t="s">
        <v>92</v>
      </c>
      <c r="BJ51" s="14" t="s">
        <v>92</v>
      </c>
      <c r="BK51" s="32" t="s">
        <v>349</v>
      </c>
      <c r="BL51" s="14" t="s">
        <v>92</v>
      </c>
      <c r="BM51" s="14" t="s">
        <v>93</v>
      </c>
      <c r="BN51" s="14" t="s">
        <v>92</v>
      </c>
      <c r="BO51" s="14" t="s">
        <v>92</v>
      </c>
      <c r="BP51" s="14" t="s">
        <v>92</v>
      </c>
      <c r="BQ51" s="8" t="s">
        <v>92</v>
      </c>
      <c r="BR51" s="8" t="s">
        <v>92</v>
      </c>
      <c r="BS51" s="8" t="s">
        <v>92</v>
      </c>
      <c r="BT51" s="8" t="s">
        <v>93</v>
      </c>
      <c r="BU51" s="8" t="s">
        <v>92</v>
      </c>
      <c r="BV51" s="8" t="s">
        <v>93</v>
      </c>
      <c r="BW51" s="8" t="s">
        <v>92</v>
      </c>
      <c r="BX51" s="8" t="s">
        <v>92</v>
      </c>
      <c r="BY51" s="8" t="s">
        <v>92</v>
      </c>
      <c r="BZ51" s="8" t="s">
        <v>93</v>
      </c>
      <c r="CA51" s="8" t="s">
        <v>92</v>
      </c>
      <c r="CB51" s="17" t="s">
        <v>116</v>
      </c>
      <c r="CC51" s="18"/>
      <c r="CD51" s="18"/>
      <c r="CE51" s="18"/>
      <c r="CF51" s="18"/>
      <c r="CG51" s="18"/>
      <c r="CH51" s="14"/>
    </row>
    <row r="52">
      <c r="A52" s="8"/>
      <c r="B52" s="16" t="s">
        <v>337</v>
      </c>
      <c r="C52" s="10" t="s">
        <v>338</v>
      </c>
      <c r="D52" s="9" t="s">
        <v>87</v>
      </c>
      <c r="E52" s="11" t="s">
        <v>355</v>
      </c>
      <c r="F52" s="12"/>
      <c r="G52" s="13" t="s">
        <v>356</v>
      </c>
      <c r="H52" s="13" t="s">
        <v>189</v>
      </c>
      <c r="I52" s="13" t="s">
        <v>357</v>
      </c>
      <c r="J52" s="13" t="s">
        <v>92</v>
      </c>
      <c r="K52" s="14" t="s">
        <v>92</v>
      </c>
      <c r="L52" s="14" t="s">
        <v>92</v>
      </c>
      <c r="M52" s="14" t="s">
        <v>92</v>
      </c>
      <c r="N52" s="14" t="s">
        <v>93</v>
      </c>
      <c r="O52" s="13" t="s">
        <v>92</v>
      </c>
      <c r="P52" s="13" t="s">
        <v>92</v>
      </c>
      <c r="Q52" s="13" t="s">
        <v>92</v>
      </c>
      <c r="R52" s="13" t="s">
        <v>92</v>
      </c>
      <c r="S52" s="13" t="s">
        <v>92</v>
      </c>
      <c r="T52" s="13" t="s">
        <v>93</v>
      </c>
      <c r="U52" s="13" t="s">
        <v>92</v>
      </c>
      <c r="V52" s="13" t="s">
        <v>92</v>
      </c>
      <c r="W52" s="13" t="s">
        <v>92</v>
      </c>
      <c r="X52" s="13" t="s">
        <v>92</v>
      </c>
      <c r="Y52" s="13" t="s">
        <v>92</v>
      </c>
      <c r="Z52" s="14" t="s">
        <v>92</v>
      </c>
      <c r="AA52" s="14" t="s">
        <v>92</v>
      </c>
      <c r="AB52" s="15" t="s">
        <v>93</v>
      </c>
      <c r="AC52" s="15" t="s">
        <v>92</v>
      </c>
      <c r="AD52" s="15" t="s">
        <v>92</v>
      </c>
      <c r="AE52" s="14" t="s">
        <v>103</v>
      </c>
      <c r="AF52" s="13" t="s">
        <v>92</v>
      </c>
      <c r="AG52" s="13" t="s">
        <v>95</v>
      </c>
      <c r="AH52" s="8" t="s">
        <v>105</v>
      </c>
      <c r="AI52" s="13" t="s">
        <v>92</v>
      </c>
      <c r="AJ52" s="13" t="s">
        <v>92</v>
      </c>
      <c r="AK52" s="13" t="s">
        <v>93</v>
      </c>
      <c r="AL52" s="13" t="s">
        <v>93</v>
      </c>
      <c r="AM52" s="15" t="s">
        <v>95</v>
      </c>
      <c r="AN52" s="13" t="s">
        <v>114</v>
      </c>
      <c r="AO52" s="15" t="s">
        <v>93</v>
      </c>
      <c r="AP52" s="15" t="s">
        <v>92</v>
      </c>
      <c r="AQ52" s="13" t="s">
        <v>92</v>
      </c>
      <c r="AR52" s="14" t="s">
        <v>92</v>
      </c>
      <c r="AS52" s="13" t="s">
        <v>93</v>
      </c>
      <c r="AT52" s="13" t="s">
        <v>92</v>
      </c>
      <c r="AU52" s="13" t="s">
        <v>92</v>
      </c>
      <c r="AV52" s="13" t="s">
        <v>92</v>
      </c>
      <c r="AW52" s="13" t="s">
        <v>92</v>
      </c>
      <c r="AX52" s="13" t="s">
        <v>92</v>
      </c>
      <c r="AY52" s="15" t="s">
        <v>95</v>
      </c>
      <c r="AZ52" s="15" t="s">
        <v>95</v>
      </c>
      <c r="BA52" s="16" t="s">
        <v>348</v>
      </c>
      <c r="BB52" s="8" t="s">
        <v>97</v>
      </c>
      <c r="BC52" s="15" t="s">
        <v>92</v>
      </c>
      <c r="BD52" s="14" t="s">
        <v>92</v>
      </c>
      <c r="BE52" s="13" t="s">
        <v>92</v>
      </c>
      <c r="BF52" s="13" t="s">
        <v>92</v>
      </c>
      <c r="BG52" s="13" t="s">
        <v>92</v>
      </c>
      <c r="BH52" s="13" t="s">
        <v>92</v>
      </c>
      <c r="BI52" s="13" t="s">
        <v>93</v>
      </c>
      <c r="BJ52" s="13" t="s">
        <v>92</v>
      </c>
      <c r="BK52" s="32" t="s">
        <v>358</v>
      </c>
      <c r="BL52" s="13" t="s">
        <v>93</v>
      </c>
      <c r="BM52" s="13" t="s">
        <v>93</v>
      </c>
      <c r="BN52" s="13" t="s">
        <v>92</v>
      </c>
      <c r="BO52" s="13" t="s">
        <v>93</v>
      </c>
      <c r="BP52" s="13" t="s">
        <v>92</v>
      </c>
      <c r="BQ52" s="15" t="s">
        <v>92</v>
      </c>
      <c r="BR52" s="15" t="s">
        <v>93</v>
      </c>
      <c r="BS52" s="15" t="s">
        <v>92</v>
      </c>
      <c r="BT52" s="15" t="s">
        <v>92</v>
      </c>
      <c r="BU52" s="15" t="s">
        <v>92</v>
      </c>
      <c r="BV52" s="15" t="s">
        <v>92</v>
      </c>
      <c r="BW52" s="15" t="s">
        <v>92</v>
      </c>
      <c r="BX52" s="15" t="s">
        <v>92</v>
      </c>
      <c r="BY52" s="15" t="s">
        <v>92</v>
      </c>
      <c r="BZ52" s="15" t="s">
        <v>92</v>
      </c>
      <c r="CA52" s="15" t="s">
        <v>92</v>
      </c>
      <c r="CB52" s="20" t="s">
        <v>116</v>
      </c>
      <c r="CC52" s="17" t="s">
        <v>106</v>
      </c>
      <c r="CD52" s="18"/>
      <c r="CE52" s="18"/>
      <c r="CF52" s="18"/>
      <c r="CG52" s="18"/>
      <c r="CH52" s="14"/>
    </row>
    <row r="53" ht="15.75" customHeight="1">
      <c r="A53" s="8"/>
      <c r="B53" s="16" t="s">
        <v>337</v>
      </c>
      <c r="C53" s="10" t="s">
        <v>338</v>
      </c>
      <c r="D53" s="9" t="s">
        <v>87</v>
      </c>
      <c r="E53" s="11" t="s">
        <v>359</v>
      </c>
      <c r="F53" s="12"/>
      <c r="G53" s="14" t="s">
        <v>360</v>
      </c>
      <c r="H53" s="35" t="s">
        <v>90</v>
      </c>
      <c r="I53" s="35" t="s">
        <v>361</v>
      </c>
      <c r="J53" s="13" t="s">
        <v>92</v>
      </c>
      <c r="K53" s="14" t="s">
        <v>92</v>
      </c>
      <c r="L53" s="14" t="s">
        <v>92</v>
      </c>
      <c r="M53" s="14" t="s">
        <v>93</v>
      </c>
      <c r="N53" s="32" t="s">
        <v>92</v>
      </c>
      <c r="O53" s="13" t="s">
        <v>92</v>
      </c>
      <c r="P53" s="14" t="s">
        <v>92</v>
      </c>
      <c r="Q53" s="14" t="s">
        <v>92</v>
      </c>
      <c r="R53" s="13" t="s">
        <v>92</v>
      </c>
      <c r="S53" s="35" t="s">
        <v>92</v>
      </c>
      <c r="T53" s="35" t="s">
        <v>92</v>
      </c>
      <c r="U53" s="35" t="s">
        <v>93</v>
      </c>
      <c r="V53" s="35" t="s">
        <v>92</v>
      </c>
      <c r="W53" s="35" t="s">
        <v>92</v>
      </c>
      <c r="X53" s="35" t="s">
        <v>92</v>
      </c>
      <c r="Y53" s="35" t="s">
        <v>92</v>
      </c>
      <c r="Z53" s="14" t="s">
        <v>92</v>
      </c>
      <c r="AA53" s="32" t="s">
        <v>92</v>
      </c>
      <c r="AB53" s="15" t="s">
        <v>93</v>
      </c>
      <c r="AC53" s="15" t="s">
        <v>92</v>
      </c>
      <c r="AD53" s="15" t="s">
        <v>92</v>
      </c>
      <c r="AE53" s="35" t="s">
        <v>94</v>
      </c>
      <c r="AF53" s="35" t="s">
        <v>92</v>
      </c>
      <c r="AG53" s="13" t="s">
        <v>95</v>
      </c>
      <c r="AH53" s="36">
        <v>2020.0</v>
      </c>
      <c r="AI53" s="35" t="s">
        <v>93</v>
      </c>
      <c r="AJ53" s="35" t="s">
        <v>92</v>
      </c>
      <c r="AK53" s="35" t="s">
        <v>92</v>
      </c>
      <c r="AL53" s="35" t="s">
        <v>92</v>
      </c>
      <c r="AM53" s="36">
        <v>2020.0</v>
      </c>
      <c r="AN53" s="35" t="s">
        <v>96</v>
      </c>
      <c r="AO53" s="36" t="s">
        <v>92</v>
      </c>
      <c r="AP53" s="36" t="s">
        <v>92</v>
      </c>
      <c r="AQ53" s="35" t="s">
        <v>92</v>
      </c>
      <c r="AR53" s="14" t="s">
        <v>92</v>
      </c>
      <c r="AS53" s="35" t="s">
        <v>93</v>
      </c>
      <c r="AT53" s="35" t="s">
        <v>92</v>
      </c>
      <c r="AU53" s="35" t="s">
        <v>92</v>
      </c>
      <c r="AV53" s="35" t="s">
        <v>92</v>
      </c>
      <c r="AW53" s="35" t="s">
        <v>92</v>
      </c>
      <c r="AX53" s="35" t="s">
        <v>92</v>
      </c>
      <c r="AY53" s="36" t="s">
        <v>95</v>
      </c>
      <c r="AZ53" s="15" t="s">
        <v>95</v>
      </c>
      <c r="BA53" s="37" t="s">
        <v>362</v>
      </c>
      <c r="BB53" s="8" t="s">
        <v>95</v>
      </c>
      <c r="BC53" s="36" t="s">
        <v>93</v>
      </c>
      <c r="BD53" s="35" t="s">
        <v>92</v>
      </c>
      <c r="BE53" s="35" t="s">
        <v>92</v>
      </c>
      <c r="BF53" s="35" t="s">
        <v>92</v>
      </c>
      <c r="BG53" s="35" t="s">
        <v>92</v>
      </c>
      <c r="BH53" s="35" t="s">
        <v>92</v>
      </c>
      <c r="BI53" s="35" t="s">
        <v>93</v>
      </c>
      <c r="BJ53" s="35" t="s">
        <v>92</v>
      </c>
      <c r="BK53" s="32" t="s">
        <v>358</v>
      </c>
      <c r="BL53" s="35" t="s">
        <v>93</v>
      </c>
      <c r="BM53" s="35" t="s">
        <v>93</v>
      </c>
      <c r="BN53" s="35" t="s">
        <v>92</v>
      </c>
      <c r="BO53" s="35" t="s">
        <v>93</v>
      </c>
      <c r="BP53" s="35" t="s">
        <v>92</v>
      </c>
      <c r="BQ53" s="15" t="s">
        <v>93</v>
      </c>
      <c r="BR53" s="15" t="s">
        <v>92</v>
      </c>
      <c r="BS53" s="15" t="s">
        <v>92</v>
      </c>
      <c r="BT53" s="15" t="s">
        <v>92</v>
      </c>
      <c r="BU53" s="15" t="s">
        <v>92</v>
      </c>
      <c r="BV53" s="15" t="s">
        <v>92</v>
      </c>
      <c r="BW53" s="15" t="s">
        <v>92</v>
      </c>
      <c r="BX53" s="15" t="s">
        <v>92</v>
      </c>
      <c r="BY53" s="15" t="s">
        <v>92</v>
      </c>
      <c r="BZ53" s="15" t="s">
        <v>92</v>
      </c>
      <c r="CA53" s="15" t="s">
        <v>92</v>
      </c>
      <c r="CB53" s="33" t="s">
        <v>178</v>
      </c>
      <c r="CC53" s="33"/>
      <c r="CD53" s="38"/>
      <c r="CE53" s="38"/>
      <c r="CF53" s="38"/>
      <c r="CG53" s="38"/>
      <c r="CH53" s="14"/>
    </row>
    <row r="54">
      <c r="A54" s="8"/>
      <c r="B54" s="16" t="s">
        <v>337</v>
      </c>
      <c r="C54" s="10" t="s">
        <v>338</v>
      </c>
      <c r="D54" s="9" t="s">
        <v>87</v>
      </c>
      <c r="E54" s="11" t="s">
        <v>363</v>
      </c>
      <c r="F54" s="12"/>
      <c r="G54" s="13" t="s">
        <v>364</v>
      </c>
      <c r="H54" s="13" t="s">
        <v>90</v>
      </c>
      <c r="I54" s="14" t="s">
        <v>365</v>
      </c>
      <c r="J54" s="13" t="s">
        <v>92</v>
      </c>
      <c r="K54" s="14" t="s">
        <v>92</v>
      </c>
      <c r="L54" s="14" t="s">
        <v>92</v>
      </c>
      <c r="M54" s="14" t="s">
        <v>92</v>
      </c>
      <c r="N54" s="14" t="s">
        <v>92</v>
      </c>
      <c r="O54" s="13" t="s">
        <v>92</v>
      </c>
      <c r="P54" s="14" t="s">
        <v>92</v>
      </c>
      <c r="Q54" s="13" t="s">
        <v>93</v>
      </c>
      <c r="R54" s="13" t="s">
        <v>93</v>
      </c>
      <c r="S54" s="13" t="s">
        <v>93</v>
      </c>
      <c r="T54" s="13" t="s">
        <v>93</v>
      </c>
      <c r="U54" s="13" t="s">
        <v>93</v>
      </c>
      <c r="V54" s="13" t="s">
        <v>92</v>
      </c>
      <c r="W54" s="13" t="s">
        <v>92</v>
      </c>
      <c r="X54" s="13" t="s">
        <v>92</v>
      </c>
      <c r="Y54" s="13" t="s">
        <v>92</v>
      </c>
      <c r="Z54" s="14" t="s">
        <v>92</v>
      </c>
      <c r="AA54" s="14" t="s">
        <v>92</v>
      </c>
      <c r="AB54" s="15" t="s">
        <v>93</v>
      </c>
      <c r="AC54" s="15" t="s">
        <v>92</v>
      </c>
      <c r="AD54" s="15" t="s">
        <v>92</v>
      </c>
      <c r="AE54" s="13" t="s">
        <v>287</v>
      </c>
      <c r="AF54" s="13" t="s">
        <v>92</v>
      </c>
      <c r="AG54" s="13" t="s">
        <v>95</v>
      </c>
      <c r="AH54" s="8" t="s">
        <v>105</v>
      </c>
      <c r="AI54" s="13" t="s">
        <v>92</v>
      </c>
      <c r="AJ54" s="13" t="s">
        <v>93</v>
      </c>
      <c r="AK54" s="13" t="s">
        <v>93</v>
      </c>
      <c r="AL54" s="13" t="s">
        <v>93</v>
      </c>
      <c r="AM54" s="15" t="s">
        <v>95</v>
      </c>
      <c r="AN54" s="13" t="s">
        <v>114</v>
      </c>
      <c r="AO54" s="15" t="s">
        <v>93</v>
      </c>
      <c r="AP54" s="15" t="s">
        <v>92</v>
      </c>
      <c r="AQ54" s="13" t="s">
        <v>92</v>
      </c>
      <c r="AR54" s="14" t="s">
        <v>92</v>
      </c>
      <c r="AS54" s="13" t="s">
        <v>93</v>
      </c>
      <c r="AT54" s="13" t="s">
        <v>92</v>
      </c>
      <c r="AU54" s="13" t="s">
        <v>92</v>
      </c>
      <c r="AV54" s="13" t="s">
        <v>92</v>
      </c>
      <c r="AW54" s="13" t="s">
        <v>92</v>
      </c>
      <c r="AX54" s="13" t="s">
        <v>92</v>
      </c>
      <c r="AY54" s="15" t="s">
        <v>95</v>
      </c>
      <c r="AZ54" s="8" t="s">
        <v>95</v>
      </c>
      <c r="BA54" s="16" t="s">
        <v>366</v>
      </c>
      <c r="BB54" s="8" t="s">
        <v>95</v>
      </c>
      <c r="BC54" s="15" t="s">
        <v>93</v>
      </c>
      <c r="BD54" s="13" t="s">
        <v>93</v>
      </c>
      <c r="BE54" s="13" t="s">
        <v>92</v>
      </c>
      <c r="BF54" s="13" t="s">
        <v>92</v>
      </c>
      <c r="BG54" s="13" t="s">
        <v>92</v>
      </c>
      <c r="BH54" s="13" t="s">
        <v>92</v>
      </c>
      <c r="BI54" s="13" t="s">
        <v>93</v>
      </c>
      <c r="BJ54" s="13" t="s">
        <v>92</v>
      </c>
      <c r="BK54" s="14" t="s">
        <v>367</v>
      </c>
      <c r="BL54" s="13" t="s">
        <v>92</v>
      </c>
      <c r="BM54" s="13" t="s">
        <v>93</v>
      </c>
      <c r="BN54" s="13" t="s">
        <v>92</v>
      </c>
      <c r="BO54" s="13" t="s">
        <v>92</v>
      </c>
      <c r="BP54" s="13" t="s">
        <v>92</v>
      </c>
      <c r="BQ54" s="15" t="s">
        <v>93</v>
      </c>
      <c r="BR54" s="15" t="s">
        <v>93</v>
      </c>
      <c r="BS54" s="15" t="s">
        <v>93</v>
      </c>
      <c r="BT54" s="15" t="s">
        <v>92</v>
      </c>
      <c r="BU54" s="15" t="s">
        <v>92</v>
      </c>
      <c r="BV54" s="15" t="s">
        <v>92</v>
      </c>
      <c r="BW54" s="15" t="s">
        <v>92</v>
      </c>
      <c r="BX54" s="15" t="s">
        <v>92</v>
      </c>
      <c r="BY54" s="15" t="s">
        <v>92</v>
      </c>
      <c r="BZ54" s="15" t="s">
        <v>92</v>
      </c>
      <c r="CA54" s="15" t="s">
        <v>92</v>
      </c>
      <c r="CB54" s="17" t="s">
        <v>333</v>
      </c>
      <c r="CC54" s="17" t="s">
        <v>368</v>
      </c>
      <c r="CD54" s="18"/>
      <c r="CE54" s="18"/>
      <c r="CF54" s="18"/>
      <c r="CG54" s="18"/>
      <c r="CH54" s="14"/>
    </row>
    <row r="55">
      <c r="A55" s="8"/>
      <c r="B55" s="16" t="s">
        <v>337</v>
      </c>
      <c r="C55" s="10" t="s">
        <v>338</v>
      </c>
      <c r="D55" s="9" t="s">
        <v>87</v>
      </c>
      <c r="E55" s="11" t="s">
        <v>369</v>
      </c>
      <c r="F55" s="12"/>
      <c r="G55" s="13" t="s">
        <v>370</v>
      </c>
      <c r="H55" s="13" t="s">
        <v>90</v>
      </c>
      <c r="I55" s="14" t="s">
        <v>371</v>
      </c>
      <c r="J55" s="13" t="s">
        <v>92</v>
      </c>
      <c r="K55" s="14" t="s">
        <v>92</v>
      </c>
      <c r="L55" s="14" t="s">
        <v>92</v>
      </c>
      <c r="M55" s="14" t="s">
        <v>93</v>
      </c>
      <c r="N55" s="14" t="s">
        <v>92</v>
      </c>
      <c r="O55" s="14" t="s">
        <v>92</v>
      </c>
      <c r="P55" s="14" t="s">
        <v>92</v>
      </c>
      <c r="Q55" s="14" t="s">
        <v>93</v>
      </c>
      <c r="R55" s="13" t="s">
        <v>92</v>
      </c>
      <c r="S55" s="13" t="s">
        <v>93</v>
      </c>
      <c r="T55" s="13" t="s">
        <v>93</v>
      </c>
      <c r="U55" s="13" t="s">
        <v>92</v>
      </c>
      <c r="V55" s="13" t="s">
        <v>92</v>
      </c>
      <c r="W55" s="13" t="s">
        <v>92</v>
      </c>
      <c r="X55" s="13" t="s">
        <v>92</v>
      </c>
      <c r="Y55" s="13" t="s">
        <v>92</v>
      </c>
      <c r="Z55" s="14" t="s">
        <v>93</v>
      </c>
      <c r="AA55" s="14" t="s">
        <v>92</v>
      </c>
      <c r="AB55" s="15" t="s">
        <v>93</v>
      </c>
      <c r="AC55" s="15" t="s">
        <v>93</v>
      </c>
      <c r="AD55" s="15" t="s">
        <v>92</v>
      </c>
      <c r="AE55" s="13" t="s">
        <v>287</v>
      </c>
      <c r="AF55" s="13" t="s">
        <v>92</v>
      </c>
      <c r="AG55" s="13" t="s">
        <v>95</v>
      </c>
      <c r="AH55" s="8" t="s">
        <v>105</v>
      </c>
      <c r="AI55" s="13" t="s">
        <v>92</v>
      </c>
      <c r="AJ55" s="13" t="s">
        <v>93</v>
      </c>
      <c r="AK55" s="13" t="s">
        <v>93</v>
      </c>
      <c r="AL55" s="13" t="s">
        <v>93</v>
      </c>
      <c r="AM55" s="15" t="s">
        <v>95</v>
      </c>
      <c r="AN55" s="13" t="s">
        <v>114</v>
      </c>
      <c r="AO55" s="15" t="s">
        <v>93</v>
      </c>
      <c r="AP55" s="15" t="s">
        <v>92</v>
      </c>
      <c r="AQ55" s="13" t="s">
        <v>92</v>
      </c>
      <c r="AR55" s="14" t="s">
        <v>92</v>
      </c>
      <c r="AS55" s="13" t="s">
        <v>93</v>
      </c>
      <c r="AT55" s="13" t="s">
        <v>92</v>
      </c>
      <c r="AU55" s="13" t="s">
        <v>92</v>
      </c>
      <c r="AV55" s="13" t="s">
        <v>92</v>
      </c>
      <c r="AW55" s="13" t="s">
        <v>92</v>
      </c>
      <c r="AX55" s="13" t="s">
        <v>92</v>
      </c>
      <c r="AY55" s="15" t="s">
        <v>95</v>
      </c>
      <c r="AZ55" s="15" t="s">
        <v>95</v>
      </c>
      <c r="BA55" s="16" t="s">
        <v>372</v>
      </c>
      <c r="BB55" s="8" t="s">
        <v>95</v>
      </c>
      <c r="BC55" s="15" t="s">
        <v>93</v>
      </c>
      <c r="BD55" s="13" t="s">
        <v>93</v>
      </c>
      <c r="BE55" s="13" t="s">
        <v>92</v>
      </c>
      <c r="BF55" s="13" t="s">
        <v>92</v>
      </c>
      <c r="BG55" s="13" t="s">
        <v>92</v>
      </c>
      <c r="BH55" s="13" t="s">
        <v>92</v>
      </c>
      <c r="BI55" s="13" t="s">
        <v>92</v>
      </c>
      <c r="BJ55" s="13" t="s">
        <v>92</v>
      </c>
      <c r="BK55" s="14" t="s">
        <v>332</v>
      </c>
      <c r="BL55" s="13" t="s">
        <v>92</v>
      </c>
      <c r="BM55" s="13" t="s">
        <v>92</v>
      </c>
      <c r="BN55" s="13" t="s">
        <v>92</v>
      </c>
      <c r="BO55" s="13" t="s">
        <v>93</v>
      </c>
      <c r="BP55" s="13" t="s">
        <v>92</v>
      </c>
      <c r="BQ55" s="15" t="s">
        <v>93</v>
      </c>
      <c r="BR55" s="15" t="s">
        <v>93</v>
      </c>
      <c r="BS55" s="15" t="s">
        <v>92</v>
      </c>
      <c r="BT55" s="15" t="s">
        <v>93</v>
      </c>
      <c r="BU55" s="15" t="s">
        <v>92</v>
      </c>
      <c r="BV55" s="15" t="s">
        <v>93</v>
      </c>
      <c r="BW55" s="15" t="s">
        <v>92</v>
      </c>
      <c r="BX55" s="15" t="s">
        <v>93</v>
      </c>
      <c r="BY55" s="15" t="s">
        <v>92</v>
      </c>
      <c r="BZ55" s="15" t="s">
        <v>92</v>
      </c>
      <c r="CA55" s="15" t="s">
        <v>92</v>
      </c>
      <c r="CB55" s="17" t="s">
        <v>333</v>
      </c>
      <c r="CC55" s="39" t="s">
        <v>368</v>
      </c>
      <c r="CD55" s="18"/>
      <c r="CE55" s="18"/>
      <c r="CF55" s="18"/>
      <c r="CG55" s="18"/>
      <c r="CH55" s="14"/>
    </row>
    <row r="56">
      <c r="A56" s="8"/>
      <c r="B56" s="16" t="s">
        <v>337</v>
      </c>
      <c r="C56" s="10" t="s">
        <v>338</v>
      </c>
      <c r="D56" s="9" t="s">
        <v>87</v>
      </c>
      <c r="E56" s="11" t="s">
        <v>373</v>
      </c>
      <c r="F56" s="12"/>
      <c r="G56" s="14" t="s">
        <v>374</v>
      </c>
      <c r="H56" s="14" t="s">
        <v>90</v>
      </c>
      <c r="I56" s="14" t="s">
        <v>375</v>
      </c>
      <c r="J56" s="14" t="s">
        <v>92</v>
      </c>
      <c r="K56" s="14" t="s">
        <v>92</v>
      </c>
      <c r="L56" s="14" t="s">
        <v>92</v>
      </c>
      <c r="M56" s="14" t="s">
        <v>93</v>
      </c>
      <c r="N56" s="14" t="s">
        <v>92</v>
      </c>
      <c r="O56" s="14" t="s">
        <v>92</v>
      </c>
      <c r="P56" s="14" t="s">
        <v>92</v>
      </c>
      <c r="Q56" s="14" t="s">
        <v>93</v>
      </c>
      <c r="R56" s="14" t="s">
        <v>93</v>
      </c>
      <c r="S56" s="14" t="s">
        <v>92</v>
      </c>
      <c r="T56" s="14" t="s">
        <v>92</v>
      </c>
      <c r="U56" s="14" t="s">
        <v>93</v>
      </c>
      <c r="V56" s="14" t="s">
        <v>92</v>
      </c>
      <c r="W56" s="14" t="s">
        <v>92</v>
      </c>
      <c r="X56" s="14" t="s">
        <v>92</v>
      </c>
      <c r="Y56" s="14" t="s">
        <v>92</v>
      </c>
      <c r="Z56" s="14" t="s">
        <v>92</v>
      </c>
      <c r="AA56" s="14" t="s">
        <v>92</v>
      </c>
      <c r="AB56" s="8" t="s">
        <v>93</v>
      </c>
      <c r="AC56" s="8" t="s">
        <v>92</v>
      </c>
      <c r="AD56" s="8" t="s">
        <v>92</v>
      </c>
      <c r="AE56" s="14" t="s">
        <v>94</v>
      </c>
      <c r="AF56" s="14" t="s">
        <v>93</v>
      </c>
      <c r="AG56" s="14" t="s">
        <v>376</v>
      </c>
      <c r="AH56" s="8">
        <v>2018.0</v>
      </c>
      <c r="AI56" s="14" t="s">
        <v>93</v>
      </c>
      <c r="AJ56" s="14" t="s">
        <v>92</v>
      </c>
      <c r="AK56" s="14" t="s">
        <v>92</v>
      </c>
      <c r="AL56" s="14" t="s">
        <v>92</v>
      </c>
      <c r="AM56" s="15" t="s">
        <v>95</v>
      </c>
      <c r="AN56" s="13" t="s">
        <v>114</v>
      </c>
      <c r="AO56" s="8" t="s">
        <v>93</v>
      </c>
      <c r="AP56" s="8" t="s">
        <v>92</v>
      </c>
      <c r="AQ56" s="13" t="s">
        <v>92</v>
      </c>
      <c r="AR56" s="14" t="s">
        <v>92</v>
      </c>
      <c r="AS56" s="13" t="s">
        <v>93</v>
      </c>
      <c r="AT56" s="13" t="s">
        <v>92</v>
      </c>
      <c r="AU56" s="13" t="s">
        <v>92</v>
      </c>
      <c r="AV56" s="13" t="s">
        <v>92</v>
      </c>
      <c r="AW56" s="13" t="s">
        <v>92</v>
      </c>
      <c r="AX56" s="13" t="s">
        <v>92</v>
      </c>
      <c r="AY56" s="8" t="s">
        <v>95</v>
      </c>
      <c r="AZ56" s="8" t="s">
        <v>95</v>
      </c>
      <c r="BA56" s="9" t="s">
        <v>377</v>
      </c>
      <c r="BB56" s="8" t="s">
        <v>143</v>
      </c>
      <c r="BC56" s="8" t="s">
        <v>92</v>
      </c>
      <c r="BD56" s="14" t="s">
        <v>92</v>
      </c>
      <c r="BE56" s="14" t="s">
        <v>92</v>
      </c>
      <c r="BF56" s="14" t="s">
        <v>92</v>
      </c>
      <c r="BG56" s="14" t="s">
        <v>92</v>
      </c>
      <c r="BH56" s="14" t="s">
        <v>92</v>
      </c>
      <c r="BI56" s="14" t="s">
        <v>93</v>
      </c>
      <c r="BJ56" s="14" t="s">
        <v>93</v>
      </c>
      <c r="BK56" s="32" t="s">
        <v>367</v>
      </c>
      <c r="BL56" s="14" t="s">
        <v>92</v>
      </c>
      <c r="BM56" s="14" t="s">
        <v>93</v>
      </c>
      <c r="BN56" s="14" t="s">
        <v>92</v>
      </c>
      <c r="BO56" s="14" t="s">
        <v>92</v>
      </c>
      <c r="BP56" s="14" t="s">
        <v>92</v>
      </c>
      <c r="BQ56" s="8" t="s">
        <v>93</v>
      </c>
      <c r="BR56" s="8" t="s">
        <v>92</v>
      </c>
      <c r="BS56" s="8" t="s">
        <v>92</v>
      </c>
      <c r="BT56" s="8" t="s">
        <v>92</v>
      </c>
      <c r="BU56" s="8" t="s">
        <v>92</v>
      </c>
      <c r="BV56" s="8" t="s">
        <v>92</v>
      </c>
      <c r="BW56" s="8" t="s">
        <v>92</v>
      </c>
      <c r="BX56" s="8" t="s">
        <v>92</v>
      </c>
      <c r="BY56" s="8" t="s">
        <v>92</v>
      </c>
      <c r="BZ56" s="8" t="s">
        <v>92</v>
      </c>
      <c r="CA56" s="8" t="s">
        <v>92</v>
      </c>
      <c r="CB56" s="33" t="s">
        <v>178</v>
      </c>
      <c r="CC56" s="17" t="s">
        <v>333</v>
      </c>
      <c r="CD56" s="18"/>
      <c r="CE56" s="18"/>
      <c r="CF56" s="18"/>
      <c r="CG56" s="18"/>
      <c r="CH56" s="18"/>
    </row>
    <row r="57">
      <c r="A57" s="8"/>
      <c r="B57" s="16" t="s">
        <v>378</v>
      </c>
      <c r="C57" s="10" t="s">
        <v>379</v>
      </c>
      <c r="D57" s="9" t="s">
        <v>87</v>
      </c>
      <c r="E57" s="11" t="s">
        <v>380</v>
      </c>
      <c r="F57" s="12"/>
      <c r="G57" s="13" t="s">
        <v>381</v>
      </c>
      <c r="H57" s="13" t="s">
        <v>90</v>
      </c>
      <c r="I57" s="13" t="s">
        <v>382</v>
      </c>
      <c r="J57" s="13" t="s">
        <v>92</v>
      </c>
      <c r="K57" s="14" t="s">
        <v>92</v>
      </c>
      <c r="L57" s="14" t="s">
        <v>92</v>
      </c>
      <c r="M57" s="14" t="s">
        <v>93</v>
      </c>
      <c r="N57" s="14" t="s">
        <v>92</v>
      </c>
      <c r="O57" s="13" t="s">
        <v>92</v>
      </c>
      <c r="P57" s="13" t="s">
        <v>92</v>
      </c>
      <c r="Q57" s="13" t="s">
        <v>93</v>
      </c>
      <c r="R57" s="13" t="s">
        <v>92</v>
      </c>
      <c r="S57" s="13" t="s">
        <v>92</v>
      </c>
      <c r="T57" s="13" t="s">
        <v>92</v>
      </c>
      <c r="U57" s="13" t="s">
        <v>93</v>
      </c>
      <c r="V57" s="13" t="s">
        <v>92</v>
      </c>
      <c r="W57" s="13" t="s">
        <v>92</v>
      </c>
      <c r="X57" s="13" t="s">
        <v>92</v>
      </c>
      <c r="Y57" s="13" t="s">
        <v>92</v>
      </c>
      <c r="Z57" s="14" t="s">
        <v>92</v>
      </c>
      <c r="AA57" s="14" t="s">
        <v>92</v>
      </c>
      <c r="AB57" s="15" t="s">
        <v>93</v>
      </c>
      <c r="AC57" s="15" t="s">
        <v>92</v>
      </c>
      <c r="AD57" s="15" t="s">
        <v>92</v>
      </c>
      <c r="AE57" s="13" t="s">
        <v>94</v>
      </c>
      <c r="AF57" s="13" t="s">
        <v>92</v>
      </c>
      <c r="AG57" s="13" t="s">
        <v>95</v>
      </c>
      <c r="AH57" s="8">
        <v>2021.0</v>
      </c>
      <c r="AI57" s="14" t="s">
        <v>105</v>
      </c>
      <c r="AJ57" s="14" t="s">
        <v>93</v>
      </c>
      <c r="AK57" s="13" t="s">
        <v>92</v>
      </c>
      <c r="AL57" s="13" t="s">
        <v>92</v>
      </c>
      <c r="AM57" s="8">
        <v>2021.0</v>
      </c>
      <c r="AN57" s="13" t="s">
        <v>96</v>
      </c>
      <c r="AO57" s="15" t="s">
        <v>92</v>
      </c>
      <c r="AP57" s="15" t="s">
        <v>93</v>
      </c>
      <c r="AQ57" s="13" t="s">
        <v>92</v>
      </c>
      <c r="AR57" s="13" t="s">
        <v>92</v>
      </c>
      <c r="AS57" s="13" t="s">
        <v>93</v>
      </c>
      <c r="AT57" s="13" t="s">
        <v>93</v>
      </c>
      <c r="AU57" s="13" t="s">
        <v>93</v>
      </c>
      <c r="AV57" s="13" t="s">
        <v>93</v>
      </c>
      <c r="AW57" s="13" t="s">
        <v>93</v>
      </c>
      <c r="AX57" s="13" t="s">
        <v>92</v>
      </c>
      <c r="AY57" s="15" t="s">
        <v>95</v>
      </c>
      <c r="AZ57" s="15" t="s">
        <v>95</v>
      </c>
      <c r="BA57" s="16" t="s">
        <v>378</v>
      </c>
      <c r="BB57" s="8" t="s">
        <v>213</v>
      </c>
      <c r="BC57" s="15" t="s">
        <v>92</v>
      </c>
      <c r="BD57" s="13" t="s">
        <v>92</v>
      </c>
      <c r="BE57" s="13" t="s">
        <v>92</v>
      </c>
      <c r="BF57" s="13" t="s">
        <v>92</v>
      </c>
      <c r="BG57" s="13" t="s">
        <v>92</v>
      </c>
      <c r="BH57" s="13" t="s">
        <v>92</v>
      </c>
      <c r="BI57" s="13" t="s">
        <v>93</v>
      </c>
      <c r="BJ57" s="13" t="s">
        <v>92</v>
      </c>
      <c r="BK57" s="14" t="s">
        <v>383</v>
      </c>
      <c r="BL57" s="13" t="s">
        <v>93</v>
      </c>
      <c r="BM57" s="13" t="s">
        <v>93</v>
      </c>
      <c r="BN57" s="13" t="s">
        <v>93</v>
      </c>
      <c r="BO57" s="13" t="s">
        <v>93</v>
      </c>
      <c r="BP57" s="13" t="s">
        <v>93</v>
      </c>
      <c r="BQ57" s="15" t="s">
        <v>93</v>
      </c>
      <c r="BR57" s="15" t="s">
        <v>92</v>
      </c>
      <c r="BS57" s="15" t="s">
        <v>92</v>
      </c>
      <c r="BT57" s="15" t="s">
        <v>92</v>
      </c>
      <c r="BU57" s="15" t="s">
        <v>92</v>
      </c>
      <c r="BV57" s="15" t="s">
        <v>92</v>
      </c>
      <c r="BW57" s="15" t="s">
        <v>92</v>
      </c>
      <c r="BX57" s="15" t="s">
        <v>92</v>
      </c>
      <c r="BY57" s="15" t="s">
        <v>92</v>
      </c>
      <c r="BZ57" s="15" t="s">
        <v>92</v>
      </c>
      <c r="CA57" s="15" t="s">
        <v>92</v>
      </c>
      <c r="CB57" s="17" t="s">
        <v>384</v>
      </c>
      <c r="CC57" s="17"/>
      <c r="CD57" s="18"/>
      <c r="CE57" s="18"/>
      <c r="CF57" s="18"/>
      <c r="CG57" s="18"/>
      <c r="CH57" s="14"/>
    </row>
    <row r="58">
      <c r="A58" s="8"/>
      <c r="B58" s="16" t="s">
        <v>378</v>
      </c>
      <c r="C58" s="10" t="s">
        <v>379</v>
      </c>
      <c r="D58" s="9" t="s">
        <v>87</v>
      </c>
      <c r="E58" s="11" t="s">
        <v>385</v>
      </c>
      <c r="F58" s="12"/>
      <c r="G58" s="14" t="s">
        <v>386</v>
      </c>
      <c r="H58" s="13" t="s">
        <v>110</v>
      </c>
      <c r="I58" s="14" t="s">
        <v>387</v>
      </c>
      <c r="J58" s="13" t="s">
        <v>93</v>
      </c>
      <c r="K58" s="14" t="s">
        <v>92</v>
      </c>
      <c r="L58" s="14" t="s">
        <v>93</v>
      </c>
      <c r="M58" s="14" t="s">
        <v>92</v>
      </c>
      <c r="N58" s="14" t="s">
        <v>92</v>
      </c>
      <c r="O58" s="13" t="s">
        <v>92</v>
      </c>
      <c r="P58" s="13" t="s">
        <v>92</v>
      </c>
      <c r="Q58" s="13" t="s">
        <v>92</v>
      </c>
      <c r="R58" s="13" t="s">
        <v>92</v>
      </c>
      <c r="S58" s="13" t="s">
        <v>93</v>
      </c>
      <c r="T58" s="13" t="s">
        <v>92</v>
      </c>
      <c r="U58" s="13" t="s">
        <v>92</v>
      </c>
      <c r="V58" s="13" t="s">
        <v>92</v>
      </c>
      <c r="W58" s="13" t="s">
        <v>92</v>
      </c>
      <c r="X58" s="13" t="s">
        <v>92</v>
      </c>
      <c r="Y58" s="13" t="s">
        <v>92</v>
      </c>
      <c r="Z58" s="14" t="s">
        <v>93</v>
      </c>
      <c r="AA58" s="14" t="s">
        <v>92</v>
      </c>
      <c r="AB58" s="8" t="s">
        <v>93</v>
      </c>
      <c r="AC58" s="15" t="s">
        <v>93</v>
      </c>
      <c r="AD58" s="15" t="s">
        <v>92</v>
      </c>
      <c r="AE58" s="13" t="s">
        <v>287</v>
      </c>
      <c r="AF58" s="13" t="s">
        <v>92</v>
      </c>
      <c r="AG58" s="13" t="s">
        <v>95</v>
      </c>
      <c r="AH58" s="8" t="s">
        <v>105</v>
      </c>
      <c r="AI58" s="14" t="s">
        <v>105</v>
      </c>
      <c r="AJ58" s="14" t="s">
        <v>93</v>
      </c>
      <c r="AK58" s="14" t="s">
        <v>93</v>
      </c>
      <c r="AL58" s="13" t="s">
        <v>93</v>
      </c>
      <c r="AM58" s="15" t="s">
        <v>95</v>
      </c>
      <c r="AN58" s="13" t="s">
        <v>114</v>
      </c>
      <c r="AO58" s="8" t="s">
        <v>93</v>
      </c>
      <c r="AP58" s="15" t="s">
        <v>92</v>
      </c>
      <c r="AQ58" s="13" t="s">
        <v>92</v>
      </c>
      <c r="AR58" s="13" t="s">
        <v>92</v>
      </c>
      <c r="AS58" s="13" t="s">
        <v>93</v>
      </c>
      <c r="AT58" s="13" t="s">
        <v>93</v>
      </c>
      <c r="AU58" s="13" t="s">
        <v>93</v>
      </c>
      <c r="AV58" s="13" t="s">
        <v>93</v>
      </c>
      <c r="AW58" s="13" t="s">
        <v>93</v>
      </c>
      <c r="AX58" s="13" t="s">
        <v>92</v>
      </c>
      <c r="AY58" s="15" t="s">
        <v>95</v>
      </c>
      <c r="AZ58" s="15" t="s">
        <v>95</v>
      </c>
      <c r="BA58" s="16" t="s">
        <v>378</v>
      </c>
      <c r="BB58" s="8" t="s">
        <v>213</v>
      </c>
      <c r="BC58" s="15" t="s">
        <v>92</v>
      </c>
      <c r="BD58" s="13" t="s">
        <v>93</v>
      </c>
      <c r="BE58" s="13" t="s">
        <v>92</v>
      </c>
      <c r="BF58" s="13" t="s">
        <v>92</v>
      </c>
      <c r="BG58" s="13" t="s">
        <v>92</v>
      </c>
      <c r="BH58" s="13" t="s">
        <v>92</v>
      </c>
      <c r="BI58" s="13" t="s">
        <v>92</v>
      </c>
      <c r="BJ58" s="13" t="s">
        <v>92</v>
      </c>
      <c r="BK58" s="13" t="s">
        <v>105</v>
      </c>
      <c r="BL58" s="13" t="s">
        <v>105</v>
      </c>
      <c r="BM58" s="13" t="s">
        <v>105</v>
      </c>
      <c r="BN58" s="13" t="s">
        <v>105</v>
      </c>
      <c r="BO58" s="13" t="s">
        <v>105</v>
      </c>
      <c r="BP58" s="13" t="s">
        <v>105</v>
      </c>
      <c r="BQ58" s="15" t="s">
        <v>92</v>
      </c>
      <c r="BR58" s="15" t="s">
        <v>92</v>
      </c>
      <c r="BS58" s="8" t="s">
        <v>93</v>
      </c>
      <c r="BT58" s="15" t="s">
        <v>93</v>
      </c>
      <c r="BU58" s="15" t="s">
        <v>92</v>
      </c>
      <c r="BV58" s="15" t="s">
        <v>93</v>
      </c>
      <c r="BW58" s="15" t="s">
        <v>92</v>
      </c>
      <c r="BX58" s="15" t="s">
        <v>92</v>
      </c>
      <c r="BY58" s="15" t="s">
        <v>92</v>
      </c>
      <c r="BZ58" s="8" t="s">
        <v>93</v>
      </c>
      <c r="CA58" s="8" t="s">
        <v>92</v>
      </c>
      <c r="CB58" s="17" t="s">
        <v>116</v>
      </c>
      <c r="CC58" s="17" t="s">
        <v>388</v>
      </c>
      <c r="CD58" s="20" t="s">
        <v>115</v>
      </c>
      <c r="CE58" s="39" t="s">
        <v>106</v>
      </c>
      <c r="CF58" s="18"/>
      <c r="CG58" s="18"/>
      <c r="CH58" s="14"/>
    </row>
    <row r="59">
      <c r="A59" s="8"/>
      <c r="B59" s="16" t="s">
        <v>378</v>
      </c>
      <c r="C59" s="10" t="s">
        <v>379</v>
      </c>
      <c r="D59" s="9" t="s">
        <v>87</v>
      </c>
      <c r="E59" s="11" t="s">
        <v>389</v>
      </c>
      <c r="F59" s="12"/>
      <c r="G59" s="13" t="s">
        <v>390</v>
      </c>
      <c r="H59" s="13" t="s">
        <v>90</v>
      </c>
      <c r="I59" s="14" t="s">
        <v>391</v>
      </c>
      <c r="J59" s="13" t="s">
        <v>93</v>
      </c>
      <c r="K59" s="14" t="s">
        <v>92</v>
      </c>
      <c r="L59" s="14" t="s">
        <v>92</v>
      </c>
      <c r="M59" s="14" t="s">
        <v>92</v>
      </c>
      <c r="N59" s="14" t="s">
        <v>92</v>
      </c>
      <c r="O59" s="13" t="s">
        <v>93</v>
      </c>
      <c r="P59" s="14" t="s">
        <v>92</v>
      </c>
      <c r="Q59" s="14" t="s">
        <v>93</v>
      </c>
      <c r="R59" s="13" t="s">
        <v>92</v>
      </c>
      <c r="S59" s="13" t="s">
        <v>93</v>
      </c>
      <c r="T59" s="13" t="s">
        <v>92</v>
      </c>
      <c r="U59" s="13" t="s">
        <v>92</v>
      </c>
      <c r="V59" s="13" t="s">
        <v>92</v>
      </c>
      <c r="W59" s="13" t="s">
        <v>92</v>
      </c>
      <c r="X59" s="13" t="s">
        <v>92</v>
      </c>
      <c r="Y59" s="13" t="s">
        <v>92</v>
      </c>
      <c r="Z59" s="14" t="s">
        <v>93</v>
      </c>
      <c r="AA59" s="14" t="s">
        <v>93</v>
      </c>
      <c r="AB59" s="8" t="s">
        <v>93</v>
      </c>
      <c r="AC59" s="15" t="s">
        <v>93</v>
      </c>
      <c r="AD59" s="15" t="s">
        <v>92</v>
      </c>
      <c r="AE59" s="14" t="s">
        <v>112</v>
      </c>
      <c r="AF59" s="13" t="s">
        <v>92</v>
      </c>
      <c r="AG59" s="13" t="s">
        <v>95</v>
      </c>
      <c r="AH59" s="8" t="s">
        <v>105</v>
      </c>
      <c r="AI59" s="14" t="s">
        <v>105</v>
      </c>
      <c r="AJ59" s="14" t="s">
        <v>92</v>
      </c>
      <c r="AK59" s="14" t="s">
        <v>92</v>
      </c>
      <c r="AL59" s="13" t="s">
        <v>93</v>
      </c>
      <c r="AM59" s="15" t="s">
        <v>95</v>
      </c>
      <c r="AN59" s="13" t="s">
        <v>114</v>
      </c>
      <c r="AO59" s="15" t="s">
        <v>92</v>
      </c>
      <c r="AP59" s="15" t="s">
        <v>92</v>
      </c>
      <c r="AQ59" s="13" t="s">
        <v>92</v>
      </c>
      <c r="AR59" s="13" t="s">
        <v>92</v>
      </c>
      <c r="AS59" s="13" t="s">
        <v>93</v>
      </c>
      <c r="AT59" s="13" t="s">
        <v>93</v>
      </c>
      <c r="AU59" s="13" t="s">
        <v>93</v>
      </c>
      <c r="AV59" s="13" t="s">
        <v>93</v>
      </c>
      <c r="AW59" s="13" t="s">
        <v>93</v>
      </c>
      <c r="AX59" s="13" t="s">
        <v>92</v>
      </c>
      <c r="AY59" s="8" t="s">
        <v>392</v>
      </c>
      <c r="AZ59" s="8" t="s">
        <v>92</v>
      </c>
      <c r="BA59" s="9" t="s">
        <v>392</v>
      </c>
      <c r="BB59" s="8" t="s">
        <v>238</v>
      </c>
      <c r="BC59" s="8" t="s">
        <v>92</v>
      </c>
      <c r="BD59" s="13" t="s">
        <v>93</v>
      </c>
      <c r="BE59" s="13" t="s">
        <v>92</v>
      </c>
      <c r="BF59" s="13" t="s">
        <v>92</v>
      </c>
      <c r="BG59" s="13" t="s">
        <v>92</v>
      </c>
      <c r="BH59" s="13" t="s">
        <v>92</v>
      </c>
      <c r="BI59" s="13" t="s">
        <v>92</v>
      </c>
      <c r="BJ59" s="13" t="s">
        <v>92</v>
      </c>
      <c r="BK59" s="13" t="s">
        <v>105</v>
      </c>
      <c r="BL59" s="13" t="s">
        <v>105</v>
      </c>
      <c r="BM59" s="13" t="s">
        <v>105</v>
      </c>
      <c r="BN59" s="13" t="s">
        <v>105</v>
      </c>
      <c r="BO59" s="13" t="s">
        <v>105</v>
      </c>
      <c r="BP59" s="13" t="s">
        <v>105</v>
      </c>
      <c r="BQ59" s="15" t="s">
        <v>92</v>
      </c>
      <c r="BR59" s="15" t="s">
        <v>92</v>
      </c>
      <c r="BS59" s="15" t="s">
        <v>93</v>
      </c>
      <c r="BT59" s="15" t="s">
        <v>93</v>
      </c>
      <c r="BU59" s="15" t="s">
        <v>92</v>
      </c>
      <c r="BV59" s="15" t="s">
        <v>93</v>
      </c>
      <c r="BW59" s="15" t="s">
        <v>92</v>
      </c>
      <c r="BX59" s="15" t="s">
        <v>92</v>
      </c>
      <c r="BY59" s="15" t="s">
        <v>92</v>
      </c>
      <c r="BZ59" s="15" t="s">
        <v>92</v>
      </c>
      <c r="CA59" s="8" t="s">
        <v>92</v>
      </c>
      <c r="CB59" s="17" t="s">
        <v>116</v>
      </c>
      <c r="CC59" s="17"/>
      <c r="CD59" s="18"/>
      <c r="CE59" s="18"/>
      <c r="CF59" s="18"/>
      <c r="CG59" s="18"/>
      <c r="CH59" s="14"/>
    </row>
    <row r="60">
      <c r="A60" s="8"/>
      <c r="B60" s="16" t="s">
        <v>378</v>
      </c>
      <c r="C60" s="10" t="s">
        <v>379</v>
      </c>
      <c r="D60" s="9" t="s">
        <v>87</v>
      </c>
      <c r="E60" s="11" t="s">
        <v>393</v>
      </c>
      <c r="F60" s="12"/>
      <c r="G60" s="40" t="s">
        <v>394</v>
      </c>
      <c r="H60" s="13" t="s">
        <v>110</v>
      </c>
      <c r="I60" s="13" t="s">
        <v>395</v>
      </c>
      <c r="J60" s="13" t="s">
        <v>92</v>
      </c>
      <c r="K60" s="14" t="s">
        <v>92</v>
      </c>
      <c r="L60" s="14" t="s">
        <v>92</v>
      </c>
      <c r="M60" s="14" t="s">
        <v>92</v>
      </c>
      <c r="N60" s="14" t="s">
        <v>92</v>
      </c>
      <c r="O60" s="13" t="s">
        <v>92</v>
      </c>
      <c r="P60" s="13" t="s">
        <v>92</v>
      </c>
      <c r="Q60" s="13" t="s">
        <v>92</v>
      </c>
      <c r="R60" s="13" t="s">
        <v>92</v>
      </c>
      <c r="S60" s="13" t="s">
        <v>93</v>
      </c>
      <c r="T60" s="13" t="s">
        <v>92</v>
      </c>
      <c r="U60" s="13" t="s">
        <v>92</v>
      </c>
      <c r="V60" s="13" t="s">
        <v>92</v>
      </c>
      <c r="W60" s="13" t="s">
        <v>92</v>
      </c>
      <c r="X60" s="13" t="s">
        <v>92</v>
      </c>
      <c r="Y60" s="13" t="s">
        <v>92</v>
      </c>
      <c r="Z60" s="13" t="s">
        <v>93</v>
      </c>
      <c r="AA60" s="14" t="s">
        <v>92</v>
      </c>
      <c r="AB60" s="15" t="s">
        <v>92</v>
      </c>
      <c r="AC60" s="15" t="s">
        <v>93</v>
      </c>
      <c r="AD60" s="15" t="s">
        <v>92</v>
      </c>
      <c r="AE60" s="14" t="s">
        <v>112</v>
      </c>
      <c r="AF60" s="13" t="s">
        <v>93</v>
      </c>
      <c r="AG60" s="13" t="s">
        <v>396</v>
      </c>
      <c r="AH60" s="8" t="s">
        <v>105</v>
      </c>
      <c r="AI60" s="14" t="s">
        <v>93</v>
      </c>
      <c r="AJ60" s="13" t="s">
        <v>93</v>
      </c>
      <c r="AK60" s="13" t="s">
        <v>93</v>
      </c>
      <c r="AL60" s="13" t="s">
        <v>93</v>
      </c>
      <c r="AM60" s="15" t="s">
        <v>95</v>
      </c>
      <c r="AN60" s="13" t="s">
        <v>114</v>
      </c>
      <c r="AO60" s="15" t="s">
        <v>93</v>
      </c>
      <c r="AP60" s="15" t="s">
        <v>92</v>
      </c>
      <c r="AQ60" s="13" t="s">
        <v>92</v>
      </c>
      <c r="AR60" s="13" t="s">
        <v>92</v>
      </c>
      <c r="AS60" s="13" t="s">
        <v>93</v>
      </c>
      <c r="AT60" s="13" t="s">
        <v>93</v>
      </c>
      <c r="AU60" s="13" t="s">
        <v>93</v>
      </c>
      <c r="AV60" s="13" t="s">
        <v>93</v>
      </c>
      <c r="AW60" s="13" t="s">
        <v>93</v>
      </c>
      <c r="AX60" s="13" t="s">
        <v>92</v>
      </c>
      <c r="AY60" s="15" t="s">
        <v>397</v>
      </c>
      <c r="AZ60" s="15" t="s">
        <v>93</v>
      </c>
      <c r="BA60" s="16" t="s">
        <v>398</v>
      </c>
      <c r="BB60" s="8" t="s">
        <v>95</v>
      </c>
      <c r="BC60" s="8" t="s">
        <v>93</v>
      </c>
      <c r="BD60" s="13" t="s">
        <v>93</v>
      </c>
      <c r="BE60" s="13" t="s">
        <v>92</v>
      </c>
      <c r="BF60" s="13" t="s">
        <v>92</v>
      </c>
      <c r="BG60" s="13" t="s">
        <v>92</v>
      </c>
      <c r="BH60" s="13" t="s">
        <v>92</v>
      </c>
      <c r="BI60" s="13" t="s">
        <v>92</v>
      </c>
      <c r="BJ60" s="13" t="s">
        <v>92</v>
      </c>
      <c r="BK60" s="13" t="s">
        <v>95</v>
      </c>
      <c r="BL60" s="13" t="s">
        <v>93</v>
      </c>
      <c r="BM60" s="13" t="s">
        <v>93</v>
      </c>
      <c r="BN60" s="13" t="s">
        <v>93</v>
      </c>
      <c r="BO60" s="13" t="s">
        <v>93</v>
      </c>
      <c r="BP60" s="13" t="s">
        <v>93</v>
      </c>
      <c r="BQ60" s="15" t="s">
        <v>92</v>
      </c>
      <c r="BR60" s="15" t="s">
        <v>92</v>
      </c>
      <c r="BS60" s="15" t="s">
        <v>92</v>
      </c>
      <c r="BT60" s="15" t="s">
        <v>93</v>
      </c>
      <c r="BU60" s="15" t="s">
        <v>92</v>
      </c>
      <c r="BV60" s="15" t="s">
        <v>93</v>
      </c>
      <c r="BW60" s="15" t="s">
        <v>92</v>
      </c>
      <c r="BX60" s="8" t="s">
        <v>92</v>
      </c>
      <c r="BY60" s="15" t="s">
        <v>92</v>
      </c>
      <c r="BZ60" s="8" t="s">
        <v>93</v>
      </c>
      <c r="CA60" s="15" t="s">
        <v>92</v>
      </c>
      <c r="CB60" s="17" t="s">
        <v>116</v>
      </c>
      <c r="CC60" s="17"/>
      <c r="CD60" s="18"/>
      <c r="CE60" s="18"/>
      <c r="CF60" s="18"/>
      <c r="CG60" s="18"/>
      <c r="CH60" s="14"/>
    </row>
    <row r="61">
      <c r="A61" s="8"/>
      <c r="B61" s="16" t="s">
        <v>378</v>
      </c>
      <c r="C61" s="10" t="s">
        <v>379</v>
      </c>
      <c r="D61" s="9" t="s">
        <v>87</v>
      </c>
      <c r="E61" s="11" t="s">
        <v>399</v>
      </c>
      <c r="F61" s="12"/>
      <c r="G61" s="9" t="s">
        <v>400</v>
      </c>
      <c r="H61" s="14" t="s">
        <v>90</v>
      </c>
      <c r="I61" s="14" t="s">
        <v>401</v>
      </c>
      <c r="J61" s="14" t="s">
        <v>92</v>
      </c>
      <c r="K61" s="14" t="s">
        <v>93</v>
      </c>
      <c r="L61" s="14" t="s">
        <v>93</v>
      </c>
      <c r="M61" s="14" t="s">
        <v>92</v>
      </c>
      <c r="N61" s="14" t="s">
        <v>92</v>
      </c>
      <c r="O61" s="14" t="s">
        <v>92</v>
      </c>
      <c r="P61" s="14" t="s">
        <v>92</v>
      </c>
      <c r="Q61" s="14" t="s">
        <v>92</v>
      </c>
      <c r="R61" s="14" t="s">
        <v>92</v>
      </c>
      <c r="S61" s="14" t="s">
        <v>93</v>
      </c>
      <c r="T61" s="14" t="s">
        <v>92</v>
      </c>
      <c r="U61" s="14" t="s">
        <v>92</v>
      </c>
      <c r="V61" s="14" t="s">
        <v>92</v>
      </c>
      <c r="W61" s="14" t="s">
        <v>92</v>
      </c>
      <c r="X61" s="14" t="s">
        <v>92</v>
      </c>
      <c r="Y61" s="14" t="s">
        <v>92</v>
      </c>
      <c r="Z61" s="14" t="s">
        <v>93</v>
      </c>
      <c r="AA61" s="14" t="s">
        <v>92</v>
      </c>
      <c r="AB61" s="8" t="s">
        <v>93</v>
      </c>
      <c r="AC61" s="8" t="s">
        <v>93</v>
      </c>
      <c r="AD61" s="8" t="s">
        <v>92</v>
      </c>
      <c r="AE61" s="14" t="s">
        <v>112</v>
      </c>
      <c r="AF61" s="14" t="s">
        <v>93</v>
      </c>
      <c r="AG61" s="14" t="s">
        <v>402</v>
      </c>
      <c r="AH61" s="8" t="s">
        <v>105</v>
      </c>
      <c r="AI61" s="14" t="s">
        <v>105</v>
      </c>
      <c r="AJ61" s="14" t="s">
        <v>93</v>
      </c>
      <c r="AK61" s="14" t="s">
        <v>93</v>
      </c>
      <c r="AL61" s="14" t="s">
        <v>92</v>
      </c>
      <c r="AM61" s="15" t="s">
        <v>95</v>
      </c>
      <c r="AN61" s="13" t="s">
        <v>114</v>
      </c>
      <c r="AO61" s="8" t="s">
        <v>93</v>
      </c>
      <c r="AP61" s="8" t="s">
        <v>92</v>
      </c>
      <c r="AQ61" s="13" t="s">
        <v>92</v>
      </c>
      <c r="AR61" s="13" t="s">
        <v>92</v>
      </c>
      <c r="AS61" s="13" t="s">
        <v>93</v>
      </c>
      <c r="AT61" s="13" t="s">
        <v>93</v>
      </c>
      <c r="AU61" s="13" t="s">
        <v>93</v>
      </c>
      <c r="AV61" s="13" t="s">
        <v>93</v>
      </c>
      <c r="AW61" s="13" t="s">
        <v>93</v>
      </c>
      <c r="AX61" s="13" t="s">
        <v>92</v>
      </c>
      <c r="AY61" s="15" t="s">
        <v>95</v>
      </c>
      <c r="AZ61" s="15" t="s">
        <v>95</v>
      </c>
      <c r="BA61" s="16" t="s">
        <v>378</v>
      </c>
      <c r="BB61" s="8" t="s">
        <v>213</v>
      </c>
      <c r="BC61" s="15" t="s">
        <v>92</v>
      </c>
      <c r="BD61" s="13" t="s">
        <v>93</v>
      </c>
      <c r="BE61" s="13" t="s">
        <v>92</v>
      </c>
      <c r="BF61" s="13" t="s">
        <v>92</v>
      </c>
      <c r="BG61" s="13" t="s">
        <v>92</v>
      </c>
      <c r="BH61" s="13" t="s">
        <v>92</v>
      </c>
      <c r="BI61" s="13" t="s">
        <v>92</v>
      </c>
      <c r="BJ61" s="13" t="s">
        <v>92</v>
      </c>
      <c r="BK61" s="13" t="s">
        <v>95</v>
      </c>
      <c r="BL61" s="13" t="s">
        <v>93</v>
      </c>
      <c r="BM61" s="13" t="s">
        <v>93</v>
      </c>
      <c r="BN61" s="13" t="s">
        <v>93</v>
      </c>
      <c r="BO61" s="13" t="s">
        <v>93</v>
      </c>
      <c r="BP61" s="13" t="s">
        <v>93</v>
      </c>
      <c r="BQ61" s="15" t="s">
        <v>92</v>
      </c>
      <c r="BR61" s="15" t="s">
        <v>92</v>
      </c>
      <c r="BS61" s="15" t="s">
        <v>92</v>
      </c>
      <c r="BT61" s="15" t="s">
        <v>93</v>
      </c>
      <c r="BU61" s="15" t="s">
        <v>92</v>
      </c>
      <c r="BV61" s="15" t="s">
        <v>93</v>
      </c>
      <c r="BW61" s="15" t="s">
        <v>92</v>
      </c>
      <c r="BX61" s="8" t="s">
        <v>92</v>
      </c>
      <c r="BY61" s="15" t="s">
        <v>92</v>
      </c>
      <c r="BZ61" s="8" t="s">
        <v>93</v>
      </c>
      <c r="CA61" s="15" t="s">
        <v>92</v>
      </c>
      <c r="CB61" s="20" t="s">
        <v>115</v>
      </c>
      <c r="CC61" s="20" t="s">
        <v>106</v>
      </c>
      <c r="CD61" s="18"/>
      <c r="CE61" s="18"/>
      <c r="CF61" s="18"/>
      <c r="CG61" s="18"/>
      <c r="CH61" s="14"/>
    </row>
    <row r="62">
      <c r="A62" s="8"/>
      <c r="B62" s="16" t="s">
        <v>378</v>
      </c>
      <c r="C62" s="10" t="s">
        <v>379</v>
      </c>
      <c r="D62" s="9" t="s">
        <v>87</v>
      </c>
      <c r="E62" s="11" t="s">
        <v>403</v>
      </c>
      <c r="F62" s="12"/>
      <c r="G62" s="9" t="s">
        <v>404</v>
      </c>
      <c r="H62" s="14" t="s">
        <v>90</v>
      </c>
      <c r="I62" s="14" t="s">
        <v>405</v>
      </c>
      <c r="J62" s="14" t="s">
        <v>92</v>
      </c>
      <c r="K62" s="14" t="s">
        <v>93</v>
      </c>
      <c r="L62" s="14" t="s">
        <v>93</v>
      </c>
      <c r="M62" s="14" t="s">
        <v>92</v>
      </c>
      <c r="N62" s="14" t="s">
        <v>92</v>
      </c>
      <c r="O62" s="14" t="s">
        <v>92</v>
      </c>
      <c r="P62" s="14" t="s">
        <v>92</v>
      </c>
      <c r="Q62" s="14" t="s">
        <v>92</v>
      </c>
      <c r="R62" s="14" t="s">
        <v>92</v>
      </c>
      <c r="S62" s="14" t="s">
        <v>92</v>
      </c>
      <c r="T62" s="14" t="s">
        <v>92</v>
      </c>
      <c r="U62" s="14" t="s">
        <v>92</v>
      </c>
      <c r="V62" s="14" t="s">
        <v>92</v>
      </c>
      <c r="W62" s="14" t="s">
        <v>92</v>
      </c>
      <c r="X62" s="14" t="s">
        <v>92</v>
      </c>
      <c r="Y62" s="14" t="s">
        <v>92</v>
      </c>
      <c r="Z62" s="14" t="s">
        <v>93</v>
      </c>
      <c r="AA62" s="14" t="s">
        <v>92</v>
      </c>
      <c r="AB62" s="8" t="s">
        <v>93</v>
      </c>
      <c r="AC62" s="8" t="s">
        <v>93</v>
      </c>
      <c r="AD62" s="8" t="s">
        <v>92</v>
      </c>
      <c r="AE62" s="14" t="s">
        <v>231</v>
      </c>
      <c r="AF62" s="14" t="s">
        <v>92</v>
      </c>
      <c r="AG62" s="13" t="s">
        <v>95</v>
      </c>
      <c r="AH62" s="8" t="s">
        <v>105</v>
      </c>
      <c r="AI62" s="14" t="s">
        <v>105</v>
      </c>
      <c r="AJ62" s="14" t="s">
        <v>93</v>
      </c>
      <c r="AK62" s="14" t="s">
        <v>92</v>
      </c>
      <c r="AL62" s="14" t="s">
        <v>92</v>
      </c>
      <c r="AM62" s="15" t="s">
        <v>105</v>
      </c>
      <c r="AN62" s="14" t="s">
        <v>105</v>
      </c>
      <c r="AO62" s="8" t="s">
        <v>105</v>
      </c>
      <c r="AP62" s="8" t="s">
        <v>92</v>
      </c>
      <c r="AQ62" s="13" t="s">
        <v>92</v>
      </c>
      <c r="AR62" s="13" t="s">
        <v>92</v>
      </c>
      <c r="AS62" s="13" t="s">
        <v>93</v>
      </c>
      <c r="AT62" s="13" t="s">
        <v>93</v>
      </c>
      <c r="AU62" s="13" t="s">
        <v>93</v>
      </c>
      <c r="AV62" s="13" t="s">
        <v>93</v>
      </c>
      <c r="AW62" s="13" t="s">
        <v>93</v>
      </c>
      <c r="AX62" s="13" t="s">
        <v>92</v>
      </c>
      <c r="AY62" s="8" t="s">
        <v>406</v>
      </c>
      <c r="AZ62" s="8" t="s">
        <v>95</v>
      </c>
      <c r="BA62" s="8" t="s">
        <v>406</v>
      </c>
      <c r="BB62" s="8" t="s">
        <v>95</v>
      </c>
      <c r="BC62" s="8" t="s">
        <v>93</v>
      </c>
      <c r="BD62" s="13" t="s">
        <v>93</v>
      </c>
      <c r="BE62" s="13" t="s">
        <v>92</v>
      </c>
      <c r="BF62" s="13" t="s">
        <v>92</v>
      </c>
      <c r="BG62" s="13" t="s">
        <v>92</v>
      </c>
      <c r="BH62" s="13" t="s">
        <v>92</v>
      </c>
      <c r="BI62" s="13" t="s">
        <v>92</v>
      </c>
      <c r="BJ62" s="14" t="s">
        <v>92</v>
      </c>
      <c r="BK62" s="13" t="s">
        <v>105</v>
      </c>
      <c r="BL62" s="13" t="s">
        <v>105</v>
      </c>
      <c r="BM62" s="13" t="s">
        <v>105</v>
      </c>
      <c r="BN62" s="13" t="s">
        <v>105</v>
      </c>
      <c r="BO62" s="13" t="s">
        <v>105</v>
      </c>
      <c r="BP62" s="13" t="s">
        <v>105</v>
      </c>
      <c r="BQ62" s="15" t="s">
        <v>92</v>
      </c>
      <c r="BR62" s="15" t="s">
        <v>92</v>
      </c>
      <c r="BS62" s="8" t="s">
        <v>93</v>
      </c>
      <c r="BT62" s="15" t="s">
        <v>93</v>
      </c>
      <c r="BU62" s="15" t="s">
        <v>92</v>
      </c>
      <c r="BV62" s="15" t="s">
        <v>93</v>
      </c>
      <c r="BW62" s="15" t="s">
        <v>92</v>
      </c>
      <c r="BX62" s="8" t="s">
        <v>92</v>
      </c>
      <c r="BY62" s="15" t="s">
        <v>92</v>
      </c>
      <c r="BZ62" s="8" t="s">
        <v>93</v>
      </c>
      <c r="CA62" s="15" t="s">
        <v>92</v>
      </c>
      <c r="CB62" s="20" t="s">
        <v>115</v>
      </c>
      <c r="CC62" s="17"/>
      <c r="CD62" s="18"/>
      <c r="CE62" s="18"/>
      <c r="CF62" s="18"/>
      <c r="CG62" s="18"/>
      <c r="CH62" s="14"/>
    </row>
    <row r="63">
      <c r="A63" s="8"/>
      <c r="B63" s="16" t="s">
        <v>378</v>
      </c>
      <c r="C63" s="10" t="s">
        <v>379</v>
      </c>
      <c r="D63" s="9" t="s">
        <v>87</v>
      </c>
      <c r="E63" s="11" t="s">
        <v>407</v>
      </c>
      <c r="F63" s="12"/>
      <c r="G63" s="9" t="s">
        <v>408</v>
      </c>
      <c r="H63" s="14" t="s">
        <v>90</v>
      </c>
      <c r="I63" s="14" t="s">
        <v>409</v>
      </c>
      <c r="J63" s="14" t="s">
        <v>93</v>
      </c>
      <c r="K63" s="14" t="s">
        <v>92</v>
      </c>
      <c r="L63" s="14" t="s">
        <v>93</v>
      </c>
      <c r="M63" s="14" t="s">
        <v>92</v>
      </c>
      <c r="N63" s="14" t="s">
        <v>92</v>
      </c>
      <c r="O63" s="14" t="s">
        <v>92</v>
      </c>
      <c r="P63" s="14" t="s">
        <v>92</v>
      </c>
      <c r="Q63" s="14" t="s">
        <v>92</v>
      </c>
      <c r="R63" s="14" t="s">
        <v>92</v>
      </c>
      <c r="S63" s="14" t="s">
        <v>92</v>
      </c>
      <c r="T63" s="14" t="s">
        <v>92</v>
      </c>
      <c r="U63" s="14" t="s">
        <v>92</v>
      </c>
      <c r="V63" s="14" t="s">
        <v>92</v>
      </c>
      <c r="W63" s="14" t="s">
        <v>92</v>
      </c>
      <c r="X63" s="14" t="s">
        <v>92</v>
      </c>
      <c r="Y63" s="14" t="s">
        <v>92</v>
      </c>
      <c r="Z63" s="14" t="s">
        <v>93</v>
      </c>
      <c r="AA63" s="14" t="s">
        <v>92</v>
      </c>
      <c r="AB63" s="8" t="s">
        <v>92</v>
      </c>
      <c r="AC63" s="8" t="s">
        <v>93</v>
      </c>
      <c r="AD63" s="8" t="s">
        <v>92</v>
      </c>
      <c r="AE63" s="14" t="s">
        <v>112</v>
      </c>
      <c r="AF63" s="14" t="s">
        <v>93</v>
      </c>
      <c r="AG63" s="14" t="s">
        <v>410</v>
      </c>
      <c r="AH63" s="8">
        <v>2021.0</v>
      </c>
      <c r="AI63" s="14" t="s">
        <v>105</v>
      </c>
      <c r="AJ63" s="14" t="s">
        <v>93</v>
      </c>
      <c r="AK63" s="14" t="s">
        <v>93</v>
      </c>
      <c r="AL63" s="14" t="s">
        <v>93</v>
      </c>
      <c r="AM63" s="15" t="s">
        <v>95</v>
      </c>
      <c r="AN63" s="13" t="s">
        <v>114</v>
      </c>
      <c r="AO63" s="8" t="s">
        <v>93</v>
      </c>
      <c r="AP63" s="8" t="s">
        <v>92</v>
      </c>
      <c r="AQ63" s="13" t="s">
        <v>92</v>
      </c>
      <c r="AR63" s="13" t="s">
        <v>92</v>
      </c>
      <c r="AS63" s="13" t="s">
        <v>93</v>
      </c>
      <c r="AT63" s="13" t="s">
        <v>93</v>
      </c>
      <c r="AU63" s="13" t="s">
        <v>93</v>
      </c>
      <c r="AV63" s="13" t="s">
        <v>93</v>
      </c>
      <c r="AW63" s="13" t="s">
        <v>93</v>
      </c>
      <c r="AX63" s="13" t="s">
        <v>92</v>
      </c>
      <c r="AY63" s="15" t="s">
        <v>95</v>
      </c>
      <c r="AZ63" s="15" t="s">
        <v>95</v>
      </c>
      <c r="BA63" s="16" t="s">
        <v>378</v>
      </c>
      <c r="BB63" s="8" t="s">
        <v>213</v>
      </c>
      <c r="BC63" s="8" t="s">
        <v>92</v>
      </c>
      <c r="BD63" s="13" t="s">
        <v>93</v>
      </c>
      <c r="BE63" s="14" t="s">
        <v>93</v>
      </c>
      <c r="BF63" s="13" t="s">
        <v>92</v>
      </c>
      <c r="BG63" s="13" t="s">
        <v>92</v>
      </c>
      <c r="BH63" s="13" t="s">
        <v>92</v>
      </c>
      <c r="BI63" s="13" t="s">
        <v>92</v>
      </c>
      <c r="BJ63" s="14" t="s">
        <v>92</v>
      </c>
      <c r="BK63" s="13" t="s">
        <v>105</v>
      </c>
      <c r="BL63" s="13" t="s">
        <v>105</v>
      </c>
      <c r="BM63" s="13" t="s">
        <v>105</v>
      </c>
      <c r="BN63" s="13" t="s">
        <v>105</v>
      </c>
      <c r="BO63" s="13" t="s">
        <v>105</v>
      </c>
      <c r="BP63" s="13" t="s">
        <v>105</v>
      </c>
      <c r="BQ63" s="15" t="s">
        <v>92</v>
      </c>
      <c r="BR63" s="15" t="s">
        <v>92</v>
      </c>
      <c r="BS63" s="15" t="s">
        <v>92</v>
      </c>
      <c r="BT63" s="15" t="s">
        <v>93</v>
      </c>
      <c r="BU63" s="15" t="s">
        <v>92</v>
      </c>
      <c r="BV63" s="8" t="s">
        <v>92</v>
      </c>
      <c r="BW63" s="15" t="s">
        <v>92</v>
      </c>
      <c r="BX63" s="8" t="s">
        <v>92</v>
      </c>
      <c r="BY63" s="15" t="s">
        <v>92</v>
      </c>
      <c r="BZ63" s="8" t="s">
        <v>93</v>
      </c>
      <c r="CA63" s="15" t="s">
        <v>92</v>
      </c>
      <c r="CB63" s="17" t="s">
        <v>116</v>
      </c>
      <c r="CC63" s="17"/>
      <c r="CD63" s="18"/>
      <c r="CE63" s="18"/>
      <c r="CF63" s="18"/>
      <c r="CG63" s="18"/>
      <c r="CH63" s="14"/>
    </row>
    <row r="64">
      <c r="A64" s="8"/>
      <c r="B64" s="16" t="s">
        <v>378</v>
      </c>
      <c r="C64" s="10" t="s">
        <v>379</v>
      </c>
      <c r="D64" s="9" t="s">
        <v>87</v>
      </c>
      <c r="E64" s="11" t="s">
        <v>350</v>
      </c>
      <c r="F64" s="12"/>
      <c r="G64" s="14" t="s">
        <v>351</v>
      </c>
      <c r="H64" s="14" t="s">
        <v>90</v>
      </c>
      <c r="I64" s="14" t="s">
        <v>352</v>
      </c>
      <c r="J64" s="14" t="s">
        <v>93</v>
      </c>
      <c r="K64" s="14" t="s">
        <v>92</v>
      </c>
      <c r="L64" s="14" t="s">
        <v>92</v>
      </c>
      <c r="M64" s="14" t="s">
        <v>92</v>
      </c>
      <c r="N64" s="14" t="s">
        <v>92</v>
      </c>
      <c r="O64" s="14" t="s">
        <v>92</v>
      </c>
      <c r="P64" s="14" t="s">
        <v>92</v>
      </c>
      <c r="Q64" s="14" t="s">
        <v>92</v>
      </c>
      <c r="R64" s="14" t="s">
        <v>92</v>
      </c>
      <c r="S64" s="14" t="s">
        <v>93</v>
      </c>
      <c r="T64" s="14" t="s">
        <v>92</v>
      </c>
      <c r="U64" s="14" t="s">
        <v>92</v>
      </c>
      <c r="V64" s="14" t="s">
        <v>92</v>
      </c>
      <c r="W64" s="14" t="s">
        <v>92</v>
      </c>
      <c r="X64" s="14" t="s">
        <v>92</v>
      </c>
      <c r="Y64" s="14" t="s">
        <v>92</v>
      </c>
      <c r="Z64" s="14" t="s">
        <v>93</v>
      </c>
      <c r="AA64" s="14" t="s">
        <v>92</v>
      </c>
      <c r="AB64" s="8" t="s">
        <v>92</v>
      </c>
      <c r="AC64" s="8" t="s">
        <v>93</v>
      </c>
      <c r="AD64" s="8" t="s">
        <v>92</v>
      </c>
      <c r="AE64" s="14" t="s">
        <v>112</v>
      </c>
      <c r="AF64" s="14" t="s">
        <v>93</v>
      </c>
      <c r="AG64" s="14" t="s">
        <v>353</v>
      </c>
      <c r="AH64" s="8" t="s">
        <v>105</v>
      </c>
      <c r="AI64" s="14" t="s">
        <v>92</v>
      </c>
      <c r="AJ64" s="14" t="s">
        <v>92</v>
      </c>
      <c r="AK64" s="14" t="s">
        <v>92</v>
      </c>
      <c r="AL64" s="14" t="s">
        <v>93</v>
      </c>
      <c r="AM64" s="15" t="s">
        <v>95</v>
      </c>
      <c r="AN64" s="13" t="s">
        <v>114</v>
      </c>
      <c r="AO64" s="8" t="s">
        <v>92</v>
      </c>
      <c r="AP64" s="8" t="s">
        <v>92</v>
      </c>
      <c r="AQ64" s="13" t="s">
        <v>92</v>
      </c>
      <c r="AR64" s="14" t="s">
        <v>92</v>
      </c>
      <c r="AS64" s="13" t="s">
        <v>93</v>
      </c>
      <c r="AT64" s="13" t="s">
        <v>93</v>
      </c>
      <c r="AU64" s="13" t="s">
        <v>93</v>
      </c>
      <c r="AV64" s="13" t="s">
        <v>93</v>
      </c>
      <c r="AW64" s="13" t="s">
        <v>93</v>
      </c>
      <c r="AX64" s="13" t="s">
        <v>92</v>
      </c>
      <c r="AY64" s="8" t="s">
        <v>411</v>
      </c>
      <c r="AZ64" s="8" t="s">
        <v>92</v>
      </c>
      <c r="BA64" s="16" t="s">
        <v>348</v>
      </c>
      <c r="BB64" s="8" t="s">
        <v>97</v>
      </c>
      <c r="BC64" s="8" t="s">
        <v>92</v>
      </c>
      <c r="BD64" s="14" t="s">
        <v>93</v>
      </c>
      <c r="BE64" s="14" t="s">
        <v>92</v>
      </c>
      <c r="BF64" s="14" t="s">
        <v>92</v>
      </c>
      <c r="BG64" s="14" t="s">
        <v>92</v>
      </c>
      <c r="BH64" s="14" t="s">
        <v>92</v>
      </c>
      <c r="BI64" s="14" t="s">
        <v>92</v>
      </c>
      <c r="BJ64" s="14" t="s">
        <v>92</v>
      </c>
      <c r="BK64" s="32" t="s">
        <v>349</v>
      </c>
      <c r="BL64" s="14" t="s">
        <v>92</v>
      </c>
      <c r="BM64" s="14" t="s">
        <v>93</v>
      </c>
      <c r="BN64" s="14" t="s">
        <v>92</v>
      </c>
      <c r="BO64" s="14" t="s">
        <v>92</v>
      </c>
      <c r="BP64" s="14" t="s">
        <v>92</v>
      </c>
      <c r="BQ64" s="8" t="s">
        <v>92</v>
      </c>
      <c r="BR64" s="8" t="s">
        <v>92</v>
      </c>
      <c r="BS64" s="8" t="s">
        <v>92</v>
      </c>
      <c r="BT64" s="8" t="s">
        <v>93</v>
      </c>
      <c r="BU64" s="8" t="s">
        <v>92</v>
      </c>
      <c r="BV64" s="8" t="s">
        <v>93</v>
      </c>
      <c r="BW64" s="8" t="s">
        <v>92</v>
      </c>
      <c r="BX64" s="8" t="s">
        <v>92</v>
      </c>
      <c r="BY64" s="8" t="s">
        <v>92</v>
      </c>
      <c r="BZ64" s="8" t="s">
        <v>93</v>
      </c>
      <c r="CA64" s="8" t="s">
        <v>92</v>
      </c>
      <c r="CB64" s="17" t="s">
        <v>116</v>
      </c>
      <c r="CC64" s="17"/>
      <c r="CD64" s="18"/>
      <c r="CE64" s="18"/>
      <c r="CF64" s="18"/>
      <c r="CG64" s="18"/>
      <c r="CH64" s="14"/>
    </row>
    <row r="65">
      <c r="A65" s="8"/>
      <c r="B65" s="16" t="s">
        <v>378</v>
      </c>
      <c r="C65" s="10" t="s">
        <v>379</v>
      </c>
      <c r="D65" s="9" t="s">
        <v>87</v>
      </c>
      <c r="E65" s="11" t="s">
        <v>412</v>
      </c>
      <c r="F65" s="12"/>
      <c r="G65" s="9" t="s">
        <v>413</v>
      </c>
      <c r="H65" s="14" t="s">
        <v>110</v>
      </c>
      <c r="I65" s="14" t="s">
        <v>414</v>
      </c>
      <c r="J65" s="14" t="s">
        <v>93</v>
      </c>
      <c r="K65" s="14" t="s">
        <v>92</v>
      </c>
      <c r="L65" s="14" t="s">
        <v>92</v>
      </c>
      <c r="M65" s="14" t="s">
        <v>92</v>
      </c>
      <c r="N65" s="14" t="s">
        <v>92</v>
      </c>
      <c r="O65" s="14" t="s">
        <v>92</v>
      </c>
      <c r="P65" s="14" t="s">
        <v>92</v>
      </c>
      <c r="Q65" s="14" t="s">
        <v>92</v>
      </c>
      <c r="R65" s="14" t="s">
        <v>92</v>
      </c>
      <c r="S65" s="14" t="s">
        <v>92</v>
      </c>
      <c r="T65" s="14" t="s">
        <v>92</v>
      </c>
      <c r="U65" s="14" t="s">
        <v>92</v>
      </c>
      <c r="V65" s="14" t="s">
        <v>92</v>
      </c>
      <c r="W65" s="14" t="s">
        <v>92</v>
      </c>
      <c r="X65" s="14" t="s">
        <v>92</v>
      </c>
      <c r="Y65" s="14" t="s">
        <v>92</v>
      </c>
      <c r="Z65" s="14" t="s">
        <v>93</v>
      </c>
      <c r="AA65" s="14" t="s">
        <v>92</v>
      </c>
      <c r="AB65" s="8" t="s">
        <v>92</v>
      </c>
      <c r="AC65" s="8" t="s">
        <v>93</v>
      </c>
      <c r="AD65" s="8" t="s">
        <v>92</v>
      </c>
      <c r="AE65" s="14" t="s">
        <v>112</v>
      </c>
      <c r="AF65" s="14" t="s">
        <v>92</v>
      </c>
      <c r="AG65" s="13" t="s">
        <v>95</v>
      </c>
      <c r="AH65" s="8" t="s">
        <v>105</v>
      </c>
      <c r="AI65" s="14" t="s">
        <v>105</v>
      </c>
      <c r="AJ65" s="14" t="s">
        <v>92</v>
      </c>
      <c r="AK65" s="14" t="s">
        <v>92</v>
      </c>
      <c r="AL65" s="14" t="s">
        <v>93</v>
      </c>
      <c r="AM65" s="15" t="s">
        <v>95</v>
      </c>
      <c r="AN65" s="13" t="s">
        <v>114</v>
      </c>
      <c r="AO65" s="8" t="s">
        <v>92</v>
      </c>
      <c r="AP65" s="8" t="s">
        <v>92</v>
      </c>
      <c r="AQ65" s="13" t="s">
        <v>92</v>
      </c>
      <c r="AR65" s="13" t="s">
        <v>92</v>
      </c>
      <c r="AS65" s="13" t="s">
        <v>93</v>
      </c>
      <c r="AT65" s="13" t="s">
        <v>93</v>
      </c>
      <c r="AU65" s="13" t="s">
        <v>93</v>
      </c>
      <c r="AV65" s="13" t="s">
        <v>93</v>
      </c>
      <c r="AW65" s="13" t="s">
        <v>93</v>
      </c>
      <c r="AX65" s="13" t="s">
        <v>92</v>
      </c>
      <c r="AY65" s="15" t="s">
        <v>95</v>
      </c>
      <c r="AZ65" s="15" t="s">
        <v>95</v>
      </c>
      <c r="BA65" s="9" t="s">
        <v>415</v>
      </c>
      <c r="BB65" s="8" t="s">
        <v>416</v>
      </c>
      <c r="BC65" s="8" t="s">
        <v>92</v>
      </c>
      <c r="BD65" s="13" t="s">
        <v>93</v>
      </c>
      <c r="BE65" s="13" t="s">
        <v>92</v>
      </c>
      <c r="BF65" s="13" t="s">
        <v>92</v>
      </c>
      <c r="BG65" s="13" t="s">
        <v>92</v>
      </c>
      <c r="BH65" s="13" t="s">
        <v>92</v>
      </c>
      <c r="BI65" s="13" t="s">
        <v>92</v>
      </c>
      <c r="BJ65" s="14" t="s">
        <v>92</v>
      </c>
      <c r="BK65" s="13" t="s">
        <v>105</v>
      </c>
      <c r="BL65" s="13" t="s">
        <v>105</v>
      </c>
      <c r="BM65" s="13" t="s">
        <v>105</v>
      </c>
      <c r="BN65" s="13" t="s">
        <v>105</v>
      </c>
      <c r="BO65" s="13" t="s">
        <v>105</v>
      </c>
      <c r="BP65" s="13" t="s">
        <v>105</v>
      </c>
      <c r="BQ65" s="15" t="s">
        <v>92</v>
      </c>
      <c r="BR65" s="15" t="s">
        <v>92</v>
      </c>
      <c r="BS65" s="15" t="s">
        <v>92</v>
      </c>
      <c r="BT65" s="15" t="s">
        <v>93</v>
      </c>
      <c r="BU65" s="15" t="s">
        <v>92</v>
      </c>
      <c r="BV65" s="8" t="s">
        <v>92</v>
      </c>
      <c r="BW65" s="15" t="s">
        <v>92</v>
      </c>
      <c r="BX65" s="8" t="s">
        <v>92</v>
      </c>
      <c r="BY65" s="15" t="s">
        <v>92</v>
      </c>
      <c r="BZ65" s="8" t="s">
        <v>93</v>
      </c>
      <c r="CA65" s="15" t="s">
        <v>92</v>
      </c>
      <c r="CB65" s="17" t="s">
        <v>116</v>
      </c>
      <c r="CC65" s="17"/>
      <c r="CD65" s="18"/>
      <c r="CE65" s="18"/>
      <c r="CF65" s="18"/>
      <c r="CG65" s="18"/>
      <c r="CH65" s="14"/>
    </row>
    <row r="66">
      <c r="A66" s="8"/>
      <c r="B66" s="41" t="s">
        <v>417</v>
      </c>
      <c r="C66" s="10" t="s">
        <v>418</v>
      </c>
      <c r="D66" s="9" t="s">
        <v>87</v>
      </c>
      <c r="E66" s="11" t="s">
        <v>419</v>
      </c>
      <c r="F66" s="12"/>
      <c r="G66" s="14" t="s">
        <v>420</v>
      </c>
      <c r="H66" s="14" t="s">
        <v>110</v>
      </c>
      <c r="I66" s="14" t="s">
        <v>421</v>
      </c>
      <c r="J66" s="14" t="s">
        <v>92</v>
      </c>
      <c r="K66" s="14" t="s">
        <v>92</v>
      </c>
      <c r="L66" s="14" t="s">
        <v>93</v>
      </c>
      <c r="M66" s="14" t="s">
        <v>92</v>
      </c>
      <c r="N66" s="14" t="s">
        <v>92</v>
      </c>
      <c r="O66" s="14" t="s">
        <v>92</v>
      </c>
      <c r="P66" s="14" t="s">
        <v>92</v>
      </c>
      <c r="Q66" s="14" t="s">
        <v>92</v>
      </c>
      <c r="R66" s="14" t="s">
        <v>92</v>
      </c>
      <c r="S66" s="14" t="s">
        <v>93</v>
      </c>
      <c r="T66" s="14" t="s">
        <v>92</v>
      </c>
      <c r="U66" s="14" t="s">
        <v>92</v>
      </c>
      <c r="V66" s="14" t="s">
        <v>92</v>
      </c>
      <c r="W66" s="14" t="s">
        <v>92</v>
      </c>
      <c r="X66" s="14" t="s">
        <v>92</v>
      </c>
      <c r="Y66" s="14" t="s">
        <v>92</v>
      </c>
      <c r="Z66" s="14" t="s">
        <v>93</v>
      </c>
      <c r="AA66" s="14" t="s">
        <v>92</v>
      </c>
      <c r="AB66" s="8" t="s">
        <v>92</v>
      </c>
      <c r="AC66" s="8" t="s">
        <v>93</v>
      </c>
      <c r="AD66" s="8" t="s">
        <v>92</v>
      </c>
      <c r="AE66" s="14" t="s">
        <v>112</v>
      </c>
      <c r="AF66" s="14" t="s">
        <v>92</v>
      </c>
      <c r="AG66" s="14" t="s">
        <v>95</v>
      </c>
      <c r="AH66" s="8" t="s">
        <v>105</v>
      </c>
      <c r="AI66" s="14" t="s">
        <v>93</v>
      </c>
      <c r="AJ66" s="14" t="s">
        <v>93</v>
      </c>
      <c r="AK66" s="14" t="s">
        <v>92</v>
      </c>
      <c r="AL66" s="14" t="s">
        <v>92</v>
      </c>
      <c r="AM66" s="8" t="s">
        <v>105</v>
      </c>
      <c r="AN66" s="14" t="s">
        <v>105</v>
      </c>
      <c r="AO66" s="8" t="s">
        <v>93</v>
      </c>
      <c r="AP66" s="8" t="s">
        <v>92</v>
      </c>
      <c r="AQ66" s="14" t="s">
        <v>93</v>
      </c>
      <c r="AR66" s="14" t="s">
        <v>92</v>
      </c>
      <c r="AS66" s="14" t="s">
        <v>93</v>
      </c>
      <c r="AT66" s="14" t="s">
        <v>93</v>
      </c>
      <c r="AU66" s="14" t="s">
        <v>93</v>
      </c>
      <c r="AV66" s="14" t="s">
        <v>93</v>
      </c>
      <c r="AW66" s="14" t="s">
        <v>93</v>
      </c>
      <c r="AX66" s="14" t="s">
        <v>92</v>
      </c>
      <c r="AY66" s="8" t="s">
        <v>95</v>
      </c>
      <c r="AZ66" s="8" t="s">
        <v>95</v>
      </c>
      <c r="BA66" s="9" t="s">
        <v>422</v>
      </c>
      <c r="BB66" s="8" t="s">
        <v>155</v>
      </c>
      <c r="BC66" s="8" t="s">
        <v>92</v>
      </c>
      <c r="BD66" s="14" t="s">
        <v>93</v>
      </c>
      <c r="BE66" s="14" t="s">
        <v>92</v>
      </c>
      <c r="BF66" s="14" t="s">
        <v>92</v>
      </c>
      <c r="BG66" s="14" t="s">
        <v>92</v>
      </c>
      <c r="BH66" s="14" t="s">
        <v>92</v>
      </c>
      <c r="BI66" s="14" t="s">
        <v>92</v>
      </c>
      <c r="BJ66" s="14" t="s">
        <v>92</v>
      </c>
      <c r="BK66" s="14" t="s">
        <v>105</v>
      </c>
      <c r="BL66" s="14" t="s">
        <v>105</v>
      </c>
      <c r="BM66" s="14" t="s">
        <v>105</v>
      </c>
      <c r="BN66" s="14" t="s">
        <v>105</v>
      </c>
      <c r="BO66" s="14" t="s">
        <v>105</v>
      </c>
      <c r="BP66" s="14" t="s">
        <v>105</v>
      </c>
      <c r="BQ66" s="8" t="s">
        <v>92</v>
      </c>
      <c r="BR66" s="8" t="s">
        <v>92</v>
      </c>
      <c r="BS66" s="8" t="s">
        <v>92</v>
      </c>
      <c r="BT66" s="8" t="s">
        <v>93</v>
      </c>
      <c r="BU66" s="8" t="s">
        <v>92</v>
      </c>
      <c r="BV66" s="8" t="s">
        <v>93</v>
      </c>
      <c r="BW66" s="8" t="s">
        <v>92</v>
      </c>
      <c r="BX66" s="8" t="s">
        <v>92</v>
      </c>
      <c r="BY66" s="8" t="s">
        <v>92</v>
      </c>
      <c r="BZ66" s="8" t="s">
        <v>93</v>
      </c>
      <c r="CA66" s="8" t="s">
        <v>92</v>
      </c>
      <c r="CB66" s="17" t="s">
        <v>115</v>
      </c>
      <c r="CC66" s="17" t="s">
        <v>178</v>
      </c>
      <c r="CD66" s="31"/>
      <c r="CE66" s="18"/>
      <c r="CF66" s="18"/>
      <c r="CG66" s="18"/>
      <c r="CH66" s="18"/>
    </row>
    <row r="67" ht="15.0" customHeight="1">
      <c r="A67" s="8"/>
      <c r="B67" s="9" t="s">
        <v>422</v>
      </c>
      <c r="C67" s="10" t="s">
        <v>418</v>
      </c>
      <c r="D67" s="9" t="s">
        <v>87</v>
      </c>
      <c r="E67" s="11" t="s">
        <v>423</v>
      </c>
      <c r="F67" s="12"/>
      <c r="G67" s="14" t="s">
        <v>424</v>
      </c>
      <c r="H67" s="14" t="s">
        <v>90</v>
      </c>
      <c r="I67" s="14" t="s">
        <v>425</v>
      </c>
      <c r="J67" s="14" t="s">
        <v>92</v>
      </c>
      <c r="K67" s="14" t="s">
        <v>92</v>
      </c>
      <c r="L67" s="14" t="s">
        <v>92</v>
      </c>
      <c r="M67" s="14" t="s">
        <v>92</v>
      </c>
      <c r="N67" s="14" t="s">
        <v>92</v>
      </c>
      <c r="O67" s="14" t="s">
        <v>92</v>
      </c>
      <c r="P67" s="14" t="s">
        <v>92</v>
      </c>
      <c r="Q67" s="14" t="s">
        <v>92</v>
      </c>
      <c r="R67" s="14" t="s">
        <v>92</v>
      </c>
      <c r="S67" s="14" t="s">
        <v>92</v>
      </c>
      <c r="T67" s="14" t="s">
        <v>92</v>
      </c>
      <c r="U67" s="14" t="s">
        <v>92</v>
      </c>
      <c r="V67" s="14" t="s">
        <v>92</v>
      </c>
      <c r="W67" s="14" t="s">
        <v>92</v>
      </c>
      <c r="X67" s="14" t="s">
        <v>92</v>
      </c>
      <c r="Y67" s="14" t="s">
        <v>92</v>
      </c>
      <c r="Z67" s="14" t="s">
        <v>93</v>
      </c>
      <c r="AA67" s="14" t="s">
        <v>92</v>
      </c>
      <c r="AB67" s="8" t="s">
        <v>92</v>
      </c>
      <c r="AC67" s="8" t="s">
        <v>93</v>
      </c>
      <c r="AD67" s="8" t="s">
        <v>92</v>
      </c>
      <c r="AE67" s="14" t="s">
        <v>112</v>
      </c>
      <c r="AF67" s="14" t="s">
        <v>92</v>
      </c>
      <c r="AG67" s="14" t="s">
        <v>95</v>
      </c>
      <c r="AH67" s="8" t="s">
        <v>105</v>
      </c>
      <c r="AI67" s="14" t="s">
        <v>92</v>
      </c>
      <c r="AJ67" s="14" t="s">
        <v>92</v>
      </c>
      <c r="AK67" s="14" t="s">
        <v>93</v>
      </c>
      <c r="AL67" s="14" t="s">
        <v>92</v>
      </c>
      <c r="AM67" s="8" t="s">
        <v>105</v>
      </c>
      <c r="AN67" s="14" t="s">
        <v>105</v>
      </c>
      <c r="AO67" s="8" t="s">
        <v>105</v>
      </c>
      <c r="AP67" s="8" t="s">
        <v>92</v>
      </c>
      <c r="AQ67" s="14" t="s">
        <v>93</v>
      </c>
      <c r="AR67" s="14" t="s">
        <v>92</v>
      </c>
      <c r="AS67" s="14" t="s">
        <v>93</v>
      </c>
      <c r="AT67" s="14" t="s">
        <v>93</v>
      </c>
      <c r="AU67" s="14" t="s">
        <v>93</v>
      </c>
      <c r="AV67" s="14" t="s">
        <v>93</v>
      </c>
      <c r="AW67" s="14" t="s">
        <v>93</v>
      </c>
      <c r="AX67" s="14" t="s">
        <v>92</v>
      </c>
      <c r="AY67" s="8" t="s">
        <v>95</v>
      </c>
      <c r="AZ67" s="8" t="s">
        <v>95</v>
      </c>
      <c r="BA67" s="9" t="s">
        <v>422</v>
      </c>
      <c r="BB67" s="8" t="s">
        <v>155</v>
      </c>
      <c r="BC67" s="8" t="s">
        <v>92</v>
      </c>
      <c r="BD67" s="14" t="s">
        <v>93</v>
      </c>
      <c r="BE67" s="14" t="s">
        <v>92</v>
      </c>
      <c r="BF67" s="14" t="s">
        <v>92</v>
      </c>
      <c r="BG67" s="14" t="s">
        <v>92</v>
      </c>
      <c r="BH67" s="14" t="s">
        <v>92</v>
      </c>
      <c r="BI67" s="14" t="s">
        <v>92</v>
      </c>
      <c r="BJ67" s="14" t="s">
        <v>92</v>
      </c>
      <c r="BK67" s="14" t="s">
        <v>105</v>
      </c>
      <c r="BL67" s="14" t="s">
        <v>105</v>
      </c>
      <c r="BM67" s="14" t="s">
        <v>105</v>
      </c>
      <c r="BN67" s="14" t="s">
        <v>105</v>
      </c>
      <c r="BO67" s="14" t="s">
        <v>105</v>
      </c>
      <c r="BP67" s="14" t="s">
        <v>105</v>
      </c>
      <c r="BQ67" s="8" t="s">
        <v>92</v>
      </c>
      <c r="BR67" s="8" t="s">
        <v>92</v>
      </c>
      <c r="BS67" s="8" t="s">
        <v>92</v>
      </c>
      <c r="BT67" s="8" t="s">
        <v>93</v>
      </c>
      <c r="BU67" s="8" t="s">
        <v>92</v>
      </c>
      <c r="BV67" s="8" t="s">
        <v>92</v>
      </c>
      <c r="BW67" s="8" t="s">
        <v>92</v>
      </c>
      <c r="BX67" s="8" t="s">
        <v>92</v>
      </c>
      <c r="BY67" s="8" t="s">
        <v>92</v>
      </c>
      <c r="BZ67" s="8" t="s">
        <v>92</v>
      </c>
      <c r="CA67" s="8" t="s">
        <v>92</v>
      </c>
      <c r="CB67" s="17" t="s">
        <v>426</v>
      </c>
      <c r="CC67" s="31"/>
      <c r="CD67" s="31"/>
      <c r="CE67" s="18"/>
      <c r="CF67" s="18"/>
      <c r="CG67" s="18"/>
      <c r="CH67" s="18"/>
    </row>
    <row r="68">
      <c r="A68" s="8"/>
      <c r="B68" s="9" t="s">
        <v>427</v>
      </c>
      <c r="C68" s="10" t="s">
        <v>418</v>
      </c>
      <c r="D68" s="9" t="s">
        <v>87</v>
      </c>
      <c r="E68" s="11" t="s">
        <v>428</v>
      </c>
      <c r="F68" s="25"/>
      <c r="G68" s="9" t="s">
        <v>429</v>
      </c>
      <c r="H68" s="14" t="s">
        <v>90</v>
      </c>
      <c r="I68" s="14" t="s">
        <v>430</v>
      </c>
      <c r="J68" s="14" t="s">
        <v>92</v>
      </c>
      <c r="K68" s="14" t="s">
        <v>92</v>
      </c>
      <c r="L68" s="14" t="s">
        <v>93</v>
      </c>
      <c r="M68" s="14" t="s">
        <v>92</v>
      </c>
      <c r="N68" s="14" t="s">
        <v>92</v>
      </c>
      <c r="O68" s="14" t="s">
        <v>92</v>
      </c>
      <c r="P68" s="14" t="s">
        <v>92</v>
      </c>
      <c r="Q68" s="14" t="s">
        <v>92</v>
      </c>
      <c r="R68" s="14" t="s">
        <v>92</v>
      </c>
      <c r="S68" s="14" t="s">
        <v>92</v>
      </c>
      <c r="T68" s="14" t="s">
        <v>92</v>
      </c>
      <c r="U68" s="14" t="s">
        <v>92</v>
      </c>
      <c r="V68" s="14" t="s">
        <v>92</v>
      </c>
      <c r="W68" s="14" t="s">
        <v>92</v>
      </c>
      <c r="X68" s="14" t="s">
        <v>92</v>
      </c>
      <c r="Y68" s="14" t="s">
        <v>93</v>
      </c>
      <c r="Z68" s="14" t="s">
        <v>93</v>
      </c>
      <c r="AA68" s="14" t="s">
        <v>92</v>
      </c>
      <c r="AB68" s="8" t="s">
        <v>93</v>
      </c>
      <c r="AC68" s="8" t="s">
        <v>93</v>
      </c>
      <c r="AD68" s="8" t="s">
        <v>92</v>
      </c>
      <c r="AE68" s="14" t="s">
        <v>112</v>
      </c>
      <c r="AF68" s="14" t="s">
        <v>92</v>
      </c>
      <c r="AG68" s="14" t="s">
        <v>95</v>
      </c>
      <c r="AH68" s="8" t="s">
        <v>105</v>
      </c>
      <c r="AI68" s="14" t="s">
        <v>92</v>
      </c>
      <c r="AJ68" s="14" t="s">
        <v>92</v>
      </c>
      <c r="AK68" s="14" t="s">
        <v>93</v>
      </c>
      <c r="AL68" s="14" t="s">
        <v>92</v>
      </c>
      <c r="AM68" s="8" t="s">
        <v>105</v>
      </c>
      <c r="AN68" s="14" t="s">
        <v>105</v>
      </c>
      <c r="AO68" s="8" t="s">
        <v>105</v>
      </c>
      <c r="AP68" s="8" t="s">
        <v>92</v>
      </c>
      <c r="AQ68" s="14" t="s">
        <v>93</v>
      </c>
      <c r="AR68" s="14" t="s">
        <v>92</v>
      </c>
      <c r="AS68" s="14" t="s">
        <v>93</v>
      </c>
      <c r="AT68" s="14" t="s">
        <v>93</v>
      </c>
      <c r="AU68" s="14" t="s">
        <v>93</v>
      </c>
      <c r="AV68" s="14" t="s">
        <v>93</v>
      </c>
      <c r="AW68" s="14" t="s">
        <v>93</v>
      </c>
      <c r="AX68" s="14" t="s">
        <v>92</v>
      </c>
      <c r="AY68" s="8" t="s">
        <v>95</v>
      </c>
      <c r="AZ68" s="8" t="s">
        <v>95</v>
      </c>
      <c r="BA68" s="9" t="s">
        <v>422</v>
      </c>
      <c r="BB68" s="8" t="s">
        <v>155</v>
      </c>
      <c r="BC68" s="8" t="s">
        <v>92</v>
      </c>
      <c r="BD68" s="14" t="s">
        <v>93</v>
      </c>
      <c r="BE68" s="14" t="s">
        <v>92</v>
      </c>
      <c r="BF68" s="14" t="s">
        <v>92</v>
      </c>
      <c r="BG68" s="14" t="s">
        <v>92</v>
      </c>
      <c r="BH68" s="14" t="s">
        <v>92</v>
      </c>
      <c r="BI68" s="14" t="s">
        <v>92</v>
      </c>
      <c r="BJ68" s="14" t="s">
        <v>92</v>
      </c>
      <c r="BK68" s="14" t="s">
        <v>156</v>
      </c>
      <c r="BL68" s="14" t="s">
        <v>92</v>
      </c>
      <c r="BM68" s="14" t="s">
        <v>92</v>
      </c>
      <c r="BN68" s="14" t="s">
        <v>92</v>
      </c>
      <c r="BO68" s="14" t="s">
        <v>92</v>
      </c>
      <c r="BP68" s="14" t="s">
        <v>93</v>
      </c>
      <c r="BQ68" s="8" t="s">
        <v>92</v>
      </c>
      <c r="BR68" s="8" t="s">
        <v>92</v>
      </c>
      <c r="BS68" s="8" t="s">
        <v>93</v>
      </c>
      <c r="BT68" s="8" t="s">
        <v>93</v>
      </c>
      <c r="BU68" s="8" t="s">
        <v>92</v>
      </c>
      <c r="BV68" s="8" t="s">
        <v>93</v>
      </c>
      <c r="BW68" s="8" t="s">
        <v>92</v>
      </c>
      <c r="BX68" s="8" t="s">
        <v>92</v>
      </c>
      <c r="BY68" s="8" t="s">
        <v>92</v>
      </c>
      <c r="BZ68" s="8" t="s">
        <v>93</v>
      </c>
      <c r="CA68" s="8" t="s">
        <v>92</v>
      </c>
      <c r="CB68" s="17" t="s">
        <v>426</v>
      </c>
      <c r="CC68" s="31"/>
      <c r="CD68" s="31"/>
      <c r="CE68" s="18"/>
      <c r="CF68" s="18"/>
      <c r="CG68" s="18"/>
      <c r="CH68" s="18"/>
    </row>
    <row r="69">
      <c r="A69" s="8"/>
      <c r="B69" s="9" t="s">
        <v>431</v>
      </c>
      <c r="C69" s="10" t="s">
        <v>418</v>
      </c>
      <c r="D69" s="9" t="s">
        <v>87</v>
      </c>
      <c r="E69" s="11" t="s">
        <v>432</v>
      </c>
      <c r="F69" s="12"/>
      <c r="G69" s="14" t="s">
        <v>433</v>
      </c>
      <c r="H69" s="14" t="s">
        <v>90</v>
      </c>
      <c r="I69" s="14" t="s">
        <v>434</v>
      </c>
      <c r="J69" s="14" t="s">
        <v>92</v>
      </c>
      <c r="K69" s="14" t="s">
        <v>92</v>
      </c>
      <c r="L69" s="14" t="s">
        <v>93</v>
      </c>
      <c r="M69" s="14" t="s">
        <v>92</v>
      </c>
      <c r="N69" s="14" t="s">
        <v>92</v>
      </c>
      <c r="O69" s="14" t="s">
        <v>92</v>
      </c>
      <c r="P69" s="14" t="s">
        <v>92</v>
      </c>
      <c r="Q69" s="14" t="s">
        <v>92</v>
      </c>
      <c r="R69" s="14" t="s">
        <v>92</v>
      </c>
      <c r="S69" s="14" t="s">
        <v>92</v>
      </c>
      <c r="T69" s="14" t="s">
        <v>92</v>
      </c>
      <c r="U69" s="14" t="s">
        <v>92</v>
      </c>
      <c r="V69" s="14" t="s">
        <v>92</v>
      </c>
      <c r="W69" s="14" t="s">
        <v>92</v>
      </c>
      <c r="X69" s="14" t="s">
        <v>92</v>
      </c>
      <c r="Y69" s="14" t="s">
        <v>92</v>
      </c>
      <c r="Z69" s="14" t="s">
        <v>93</v>
      </c>
      <c r="AA69" s="14" t="s">
        <v>92</v>
      </c>
      <c r="AB69" s="8" t="s">
        <v>92</v>
      </c>
      <c r="AC69" s="8" t="s">
        <v>93</v>
      </c>
      <c r="AD69" s="8" t="s">
        <v>92</v>
      </c>
      <c r="AE69" s="14" t="s">
        <v>112</v>
      </c>
      <c r="AF69" s="14" t="s">
        <v>92</v>
      </c>
      <c r="AG69" s="14" t="s">
        <v>95</v>
      </c>
      <c r="AH69" s="8" t="s">
        <v>105</v>
      </c>
      <c r="AI69" s="14" t="s">
        <v>92</v>
      </c>
      <c r="AJ69" s="14" t="s">
        <v>92</v>
      </c>
      <c r="AK69" s="14" t="s">
        <v>93</v>
      </c>
      <c r="AL69" s="14" t="s">
        <v>92</v>
      </c>
      <c r="AM69" s="8" t="s">
        <v>105</v>
      </c>
      <c r="AN69" s="14" t="s">
        <v>105</v>
      </c>
      <c r="AO69" s="8" t="s">
        <v>105</v>
      </c>
      <c r="AP69" s="8" t="s">
        <v>92</v>
      </c>
      <c r="AQ69" s="14" t="s">
        <v>93</v>
      </c>
      <c r="AR69" s="14" t="s">
        <v>92</v>
      </c>
      <c r="AS69" s="14" t="s">
        <v>93</v>
      </c>
      <c r="AT69" s="14" t="s">
        <v>93</v>
      </c>
      <c r="AU69" s="14" t="s">
        <v>93</v>
      </c>
      <c r="AV69" s="14" t="s">
        <v>93</v>
      </c>
      <c r="AW69" s="14" t="s">
        <v>93</v>
      </c>
      <c r="AX69" s="14" t="s">
        <v>92</v>
      </c>
      <c r="AY69" s="8" t="s">
        <v>95</v>
      </c>
      <c r="AZ69" s="8" t="s">
        <v>95</v>
      </c>
      <c r="BA69" s="9" t="s">
        <v>422</v>
      </c>
      <c r="BB69" s="8" t="s">
        <v>155</v>
      </c>
      <c r="BC69" s="8" t="s">
        <v>92</v>
      </c>
      <c r="BD69" s="14" t="s">
        <v>92</v>
      </c>
      <c r="BE69" s="14" t="s">
        <v>93</v>
      </c>
      <c r="BF69" s="14" t="s">
        <v>92</v>
      </c>
      <c r="BG69" s="14" t="s">
        <v>93</v>
      </c>
      <c r="BH69" s="14" t="s">
        <v>92</v>
      </c>
      <c r="BI69" s="14" t="s">
        <v>92</v>
      </c>
      <c r="BJ69" s="14" t="s">
        <v>92</v>
      </c>
      <c r="BK69" s="14" t="s">
        <v>105</v>
      </c>
      <c r="BL69" s="14" t="s">
        <v>105</v>
      </c>
      <c r="BM69" s="14" t="s">
        <v>105</v>
      </c>
      <c r="BN69" s="14" t="s">
        <v>105</v>
      </c>
      <c r="BO69" s="14" t="s">
        <v>105</v>
      </c>
      <c r="BP69" s="14" t="s">
        <v>105</v>
      </c>
      <c r="BQ69" s="8" t="s">
        <v>92</v>
      </c>
      <c r="BR69" s="8" t="s">
        <v>92</v>
      </c>
      <c r="BS69" s="8" t="s">
        <v>92</v>
      </c>
      <c r="BT69" s="8" t="s">
        <v>93</v>
      </c>
      <c r="BU69" s="8" t="s">
        <v>92</v>
      </c>
      <c r="BV69" s="8" t="s">
        <v>92</v>
      </c>
      <c r="BW69" s="8" t="s">
        <v>92</v>
      </c>
      <c r="BX69" s="8" t="s">
        <v>92</v>
      </c>
      <c r="BY69" s="8" t="s">
        <v>92</v>
      </c>
      <c r="BZ69" s="8" t="s">
        <v>93</v>
      </c>
      <c r="CA69" s="8" t="s">
        <v>92</v>
      </c>
      <c r="CB69" s="20" t="s">
        <v>426</v>
      </c>
      <c r="CC69" s="31"/>
      <c r="CD69" s="31"/>
      <c r="CE69" s="18"/>
      <c r="CF69" s="18"/>
      <c r="CG69" s="18"/>
      <c r="CH69" s="18"/>
    </row>
    <row r="70">
      <c r="A70" s="8"/>
      <c r="B70" s="9" t="s">
        <v>435</v>
      </c>
      <c r="C70" s="10" t="s">
        <v>436</v>
      </c>
      <c r="D70" s="9" t="s">
        <v>87</v>
      </c>
      <c r="E70" s="11" t="s">
        <v>437</v>
      </c>
      <c r="F70" s="12"/>
      <c r="G70" s="9" t="s">
        <v>438</v>
      </c>
      <c r="H70" s="9" t="s">
        <v>110</v>
      </c>
      <c r="I70" s="9" t="s">
        <v>439</v>
      </c>
      <c r="J70" s="14" t="s">
        <v>93</v>
      </c>
      <c r="K70" s="14" t="s">
        <v>92</v>
      </c>
      <c r="L70" s="14" t="s">
        <v>93</v>
      </c>
      <c r="M70" s="14" t="s">
        <v>92</v>
      </c>
      <c r="N70" s="14" t="s">
        <v>92</v>
      </c>
      <c r="O70" s="14" t="s">
        <v>92</v>
      </c>
      <c r="P70" s="14" t="s">
        <v>92</v>
      </c>
      <c r="Q70" s="14" t="s">
        <v>92</v>
      </c>
      <c r="R70" s="14" t="s">
        <v>92</v>
      </c>
      <c r="S70" s="14" t="s">
        <v>93</v>
      </c>
      <c r="T70" s="14" t="s">
        <v>92</v>
      </c>
      <c r="U70" s="14" t="s">
        <v>92</v>
      </c>
      <c r="V70" s="14" t="s">
        <v>92</v>
      </c>
      <c r="W70" s="14" t="s">
        <v>92</v>
      </c>
      <c r="X70" s="14" t="s">
        <v>92</v>
      </c>
      <c r="Y70" s="14" t="s">
        <v>92</v>
      </c>
      <c r="Z70" s="14" t="s">
        <v>93</v>
      </c>
      <c r="AA70" s="14" t="s">
        <v>92</v>
      </c>
      <c r="AB70" s="8" t="s">
        <v>93</v>
      </c>
      <c r="AC70" s="8" t="s">
        <v>93</v>
      </c>
      <c r="AD70" s="8" t="s">
        <v>93</v>
      </c>
      <c r="AE70" s="14" t="s">
        <v>112</v>
      </c>
      <c r="AF70" s="14" t="s">
        <v>92</v>
      </c>
      <c r="AG70" s="13" t="s">
        <v>440</v>
      </c>
      <c r="AH70" s="8">
        <v>2023.0</v>
      </c>
      <c r="AI70" s="14" t="s">
        <v>92</v>
      </c>
      <c r="AJ70" s="14" t="s">
        <v>92</v>
      </c>
      <c r="AK70" s="14" t="s">
        <v>92</v>
      </c>
      <c r="AL70" s="14" t="s">
        <v>93</v>
      </c>
      <c r="AM70" s="15" t="s">
        <v>95</v>
      </c>
      <c r="AN70" s="13" t="s">
        <v>114</v>
      </c>
      <c r="AO70" s="8" t="s">
        <v>92</v>
      </c>
      <c r="AP70" s="8" t="s">
        <v>92</v>
      </c>
      <c r="AQ70" s="14" t="s">
        <v>93</v>
      </c>
      <c r="AR70" s="14" t="s">
        <v>93</v>
      </c>
      <c r="AS70" s="14" t="s">
        <v>92</v>
      </c>
      <c r="AT70" s="14" t="s">
        <v>93</v>
      </c>
      <c r="AU70" s="14" t="s">
        <v>93</v>
      </c>
      <c r="AV70" s="14" t="s">
        <v>93</v>
      </c>
      <c r="AW70" s="14" t="s">
        <v>93</v>
      </c>
      <c r="AX70" s="14" t="s">
        <v>92</v>
      </c>
      <c r="AY70" s="15" t="s">
        <v>441</v>
      </c>
      <c r="AZ70" s="8" t="s">
        <v>95</v>
      </c>
      <c r="BA70" s="9" t="s">
        <v>435</v>
      </c>
      <c r="BB70" s="8" t="s">
        <v>155</v>
      </c>
      <c r="BC70" s="8" t="s">
        <v>92</v>
      </c>
      <c r="BD70" s="14" t="s">
        <v>93</v>
      </c>
      <c r="BE70" s="14" t="s">
        <v>92</v>
      </c>
      <c r="BF70" s="14" t="s">
        <v>92</v>
      </c>
      <c r="BG70" s="14" t="s">
        <v>92</v>
      </c>
      <c r="BH70" s="14" t="s">
        <v>92</v>
      </c>
      <c r="BI70" s="14" t="s">
        <v>92</v>
      </c>
      <c r="BJ70" s="14" t="s">
        <v>92</v>
      </c>
      <c r="BK70" s="14" t="s">
        <v>156</v>
      </c>
      <c r="BL70" s="13" t="s">
        <v>92</v>
      </c>
      <c r="BM70" s="13" t="s">
        <v>92</v>
      </c>
      <c r="BN70" s="13" t="s">
        <v>92</v>
      </c>
      <c r="BO70" s="14" t="s">
        <v>92</v>
      </c>
      <c r="BP70" s="13" t="s">
        <v>93</v>
      </c>
      <c r="BQ70" s="8" t="s">
        <v>92</v>
      </c>
      <c r="BR70" s="8" t="s">
        <v>92</v>
      </c>
      <c r="BS70" s="8" t="s">
        <v>93</v>
      </c>
      <c r="BT70" s="8" t="s">
        <v>93</v>
      </c>
      <c r="BU70" s="8" t="s">
        <v>92</v>
      </c>
      <c r="BV70" s="8" t="s">
        <v>93</v>
      </c>
      <c r="BW70" s="8" t="s">
        <v>92</v>
      </c>
      <c r="BX70" s="8" t="s">
        <v>92</v>
      </c>
      <c r="BY70" s="8" t="s">
        <v>92</v>
      </c>
      <c r="BZ70" s="8" t="s">
        <v>93</v>
      </c>
      <c r="CA70" s="8" t="s">
        <v>92</v>
      </c>
      <c r="CB70" s="20" t="s">
        <v>442</v>
      </c>
      <c r="CC70" s="17"/>
      <c r="CD70" s="18"/>
      <c r="CE70" s="18"/>
      <c r="CF70" s="18"/>
      <c r="CG70" s="18"/>
      <c r="CH70" s="18"/>
    </row>
    <row r="71">
      <c r="A71" s="8"/>
      <c r="B71" s="9" t="s">
        <v>435</v>
      </c>
      <c r="C71" s="10" t="s">
        <v>436</v>
      </c>
      <c r="D71" s="9" t="s">
        <v>87</v>
      </c>
      <c r="E71" s="11" t="s">
        <v>443</v>
      </c>
      <c r="F71" s="12"/>
      <c r="G71" s="9" t="s">
        <v>444</v>
      </c>
      <c r="H71" s="9" t="s">
        <v>90</v>
      </c>
      <c r="I71" s="9" t="s">
        <v>445</v>
      </c>
      <c r="J71" s="14" t="s">
        <v>92</v>
      </c>
      <c r="K71" s="14" t="s">
        <v>92</v>
      </c>
      <c r="L71" s="14" t="s">
        <v>92</v>
      </c>
      <c r="M71" s="14" t="s">
        <v>93</v>
      </c>
      <c r="N71" s="14" t="s">
        <v>92</v>
      </c>
      <c r="O71" s="14" t="s">
        <v>92</v>
      </c>
      <c r="P71" s="14" t="s">
        <v>92</v>
      </c>
      <c r="Q71" s="14" t="s">
        <v>93</v>
      </c>
      <c r="R71" s="14" t="s">
        <v>93</v>
      </c>
      <c r="S71" s="14" t="s">
        <v>93</v>
      </c>
      <c r="T71" s="14" t="s">
        <v>93</v>
      </c>
      <c r="U71" s="14" t="s">
        <v>93</v>
      </c>
      <c r="V71" s="14" t="s">
        <v>92</v>
      </c>
      <c r="W71" s="14" t="s">
        <v>92</v>
      </c>
      <c r="X71" s="14" t="s">
        <v>92</v>
      </c>
      <c r="Y71" s="14" t="s">
        <v>92</v>
      </c>
      <c r="Z71" s="14" t="s">
        <v>92</v>
      </c>
      <c r="AA71" s="14" t="s">
        <v>92</v>
      </c>
      <c r="AB71" s="8" t="s">
        <v>93</v>
      </c>
      <c r="AC71" s="8" t="s">
        <v>92</v>
      </c>
      <c r="AD71" s="8" t="s">
        <v>92</v>
      </c>
      <c r="AE71" s="14" t="s">
        <v>287</v>
      </c>
      <c r="AF71" s="14" t="s">
        <v>92</v>
      </c>
      <c r="AG71" s="13" t="s">
        <v>95</v>
      </c>
      <c r="AH71" s="8" t="s">
        <v>105</v>
      </c>
      <c r="AI71" s="14" t="s">
        <v>92</v>
      </c>
      <c r="AJ71" s="14" t="s">
        <v>92</v>
      </c>
      <c r="AK71" s="14" t="s">
        <v>92</v>
      </c>
      <c r="AL71" s="14" t="s">
        <v>93</v>
      </c>
      <c r="AM71" s="15" t="s">
        <v>95</v>
      </c>
      <c r="AN71" s="13" t="s">
        <v>114</v>
      </c>
      <c r="AO71" s="8" t="s">
        <v>92</v>
      </c>
      <c r="AP71" s="8" t="s">
        <v>92</v>
      </c>
      <c r="AQ71" s="14" t="s">
        <v>93</v>
      </c>
      <c r="AR71" s="14" t="s">
        <v>93</v>
      </c>
      <c r="AS71" s="14" t="s">
        <v>92</v>
      </c>
      <c r="AT71" s="14" t="s">
        <v>93</v>
      </c>
      <c r="AU71" s="14" t="s">
        <v>93</v>
      </c>
      <c r="AV71" s="14" t="s">
        <v>93</v>
      </c>
      <c r="AW71" s="14" t="s">
        <v>93</v>
      </c>
      <c r="AX71" s="14" t="s">
        <v>92</v>
      </c>
      <c r="AY71" s="15" t="s">
        <v>441</v>
      </c>
      <c r="AZ71" s="15" t="s">
        <v>95</v>
      </c>
      <c r="BA71" s="9" t="s">
        <v>435</v>
      </c>
      <c r="BB71" s="8" t="s">
        <v>155</v>
      </c>
      <c r="BC71" s="8" t="s">
        <v>92</v>
      </c>
      <c r="BD71" s="14" t="s">
        <v>93</v>
      </c>
      <c r="BE71" s="14" t="s">
        <v>92</v>
      </c>
      <c r="BF71" s="14" t="s">
        <v>92</v>
      </c>
      <c r="BG71" s="14" t="s">
        <v>92</v>
      </c>
      <c r="BH71" s="14" t="s">
        <v>92</v>
      </c>
      <c r="BI71" s="14" t="s">
        <v>93</v>
      </c>
      <c r="BJ71" s="14" t="s">
        <v>92</v>
      </c>
      <c r="BK71" s="14" t="s">
        <v>156</v>
      </c>
      <c r="BL71" s="13" t="s">
        <v>92</v>
      </c>
      <c r="BM71" s="13" t="s">
        <v>92</v>
      </c>
      <c r="BN71" s="13" t="s">
        <v>92</v>
      </c>
      <c r="BO71" s="14" t="s">
        <v>92</v>
      </c>
      <c r="BP71" s="13" t="s">
        <v>93</v>
      </c>
      <c r="BQ71" s="8" t="s">
        <v>93</v>
      </c>
      <c r="BR71" s="8" t="s">
        <v>93</v>
      </c>
      <c r="BS71" s="8" t="s">
        <v>92</v>
      </c>
      <c r="BT71" s="8" t="s">
        <v>92</v>
      </c>
      <c r="BU71" s="8" t="s">
        <v>92</v>
      </c>
      <c r="BV71" s="8" t="s">
        <v>92</v>
      </c>
      <c r="BW71" s="8" t="s">
        <v>92</v>
      </c>
      <c r="BX71" s="8" t="s">
        <v>92</v>
      </c>
      <c r="BY71" s="8" t="s">
        <v>92</v>
      </c>
      <c r="BZ71" s="8" t="s">
        <v>92</v>
      </c>
      <c r="CA71" s="8" t="s">
        <v>92</v>
      </c>
      <c r="CB71" s="20" t="s">
        <v>442</v>
      </c>
      <c r="CC71" s="17"/>
      <c r="CD71" s="18"/>
      <c r="CE71" s="18"/>
      <c r="CF71" s="18"/>
      <c r="CG71" s="18"/>
      <c r="CH71" s="18"/>
    </row>
    <row r="72">
      <c r="A72" s="8"/>
      <c r="B72" s="9" t="s">
        <v>435</v>
      </c>
      <c r="C72" s="10" t="s">
        <v>436</v>
      </c>
      <c r="D72" s="9" t="s">
        <v>87</v>
      </c>
      <c r="E72" s="11" t="s">
        <v>446</v>
      </c>
      <c r="F72" s="12"/>
      <c r="G72" s="9" t="s">
        <v>447</v>
      </c>
      <c r="H72" s="9" t="s">
        <v>189</v>
      </c>
      <c r="I72" s="9" t="s">
        <v>448</v>
      </c>
      <c r="J72" s="14" t="s">
        <v>92</v>
      </c>
      <c r="K72" s="14" t="s">
        <v>92</v>
      </c>
      <c r="L72" s="14" t="s">
        <v>92</v>
      </c>
      <c r="M72" s="14" t="s">
        <v>93</v>
      </c>
      <c r="N72" s="14" t="s">
        <v>92</v>
      </c>
      <c r="O72" s="14" t="s">
        <v>92</v>
      </c>
      <c r="P72" s="14" t="s">
        <v>92</v>
      </c>
      <c r="Q72" s="14" t="s">
        <v>93</v>
      </c>
      <c r="R72" s="14" t="s">
        <v>92</v>
      </c>
      <c r="S72" s="14" t="s">
        <v>92</v>
      </c>
      <c r="T72" s="14" t="s">
        <v>92</v>
      </c>
      <c r="U72" s="14" t="s">
        <v>93</v>
      </c>
      <c r="V72" s="14" t="s">
        <v>92</v>
      </c>
      <c r="W72" s="14" t="s">
        <v>92</v>
      </c>
      <c r="X72" s="14" t="s">
        <v>92</v>
      </c>
      <c r="Y72" s="14" t="s">
        <v>92</v>
      </c>
      <c r="Z72" s="14" t="s">
        <v>92</v>
      </c>
      <c r="AA72" s="14" t="s">
        <v>92</v>
      </c>
      <c r="AB72" s="8" t="s">
        <v>93</v>
      </c>
      <c r="AC72" s="8" t="s">
        <v>92</v>
      </c>
      <c r="AD72" s="8" t="s">
        <v>92</v>
      </c>
      <c r="AE72" s="14" t="s">
        <v>94</v>
      </c>
      <c r="AF72" s="14" t="s">
        <v>92</v>
      </c>
      <c r="AG72" s="13" t="s">
        <v>95</v>
      </c>
      <c r="AH72" s="8" t="s">
        <v>105</v>
      </c>
      <c r="AI72" s="14" t="s">
        <v>92</v>
      </c>
      <c r="AJ72" s="14" t="s">
        <v>92</v>
      </c>
      <c r="AK72" s="14" t="s">
        <v>92</v>
      </c>
      <c r="AL72" s="14" t="s">
        <v>93</v>
      </c>
      <c r="AM72" s="8" t="s">
        <v>105</v>
      </c>
      <c r="AN72" s="14" t="s">
        <v>105</v>
      </c>
      <c r="AO72" s="8" t="s">
        <v>105</v>
      </c>
      <c r="AP72" s="8" t="s">
        <v>92</v>
      </c>
      <c r="AQ72" s="14" t="s">
        <v>93</v>
      </c>
      <c r="AR72" s="14" t="s">
        <v>93</v>
      </c>
      <c r="AS72" s="14" t="s">
        <v>92</v>
      </c>
      <c r="AT72" s="14" t="s">
        <v>93</v>
      </c>
      <c r="AU72" s="14" t="s">
        <v>93</v>
      </c>
      <c r="AV72" s="14" t="s">
        <v>93</v>
      </c>
      <c r="AW72" s="14" t="s">
        <v>93</v>
      </c>
      <c r="AX72" s="14" t="s">
        <v>92</v>
      </c>
      <c r="AY72" s="15" t="s">
        <v>441</v>
      </c>
      <c r="AZ72" s="15" t="s">
        <v>95</v>
      </c>
      <c r="BA72" s="9" t="s">
        <v>449</v>
      </c>
      <c r="BB72" s="8" t="s">
        <v>185</v>
      </c>
      <c r="BC72" s="8" t="s">
        <v>92</v>
      </c>
      <c r="BD72" s="14" t="s">
        <v>92</v>
      </c>
      <c r="BE72" s="14" t="s">
        <v>92</v>
      </c>
      <c r="BF72" s="14" t="s">
        <v>92</v>
      </c>
      <c r="BG72" s="14" t="s">
        <v>92</v>
      </c>
      <c r="BH72" s="14" t="s">
        <v>92</v>
      </c>
      <c r="BI72" s="14" t="s">
        <v>93</v>
      </c>
      <c r="BJ72" s="14" t="s">
        <v>92</v>
      </c>
      <c r="BK72" s="14" t="s">
        <v>156</v>
      </c>
      <c r="BL72" s="13" t="s">
        <v>92</v>
      </c>
      <c r="BM72" s="13" t="s">
        <v>92</v>
      </c>
      <c r="BN72" s="13" t="s">
        <v>92</v>
      </c>
      <c r="BO72" s="14" t="s">
        <v>92</v>
      </c>
      <c r="BP72" s="13" t="s">
        <v>93</v>
      </c>
      <c r="BQ72" s="8" t="s">
        <v>93</v>
      </c>
      <c r="BR72" s="8" t="s">
        <v>92</v>
      </c>
      <c r="BS72" s="8" t="s">
        <v>92</v>
      </c>
      <c r="BT72" s="8" t="s">
        <v>92</v>
      </c>
      <c r="BU72" s="8" t="s">
        <v>92</v>
      </c>
      <c r="BV72" s="8" t="s">
        <v>92</v>
      </c>
      <c r="BW72" s="8" t="s">
        <v>92</v>
      </c>
      <c r="BX72" s="8" t="s">
        <v>92</v>
      </c>
      <c r="BY72" s="8" t="s">
        <v>92</v>
      </c>
      <c r="BZ72" s="8" t="s">
        <v>92</v>
      </c>
      <c r="CA72" s="8" t="s">
        <v>92</v>
      </c>
      <c r="CB72" s="20" t="s">
        <v>442</v>
      </c>
      <c r="CC72" s="17"/>
      <c r="CD72" s="18"/>
      <c r="CE72" s="18"/>
      <c r="CF72" s="18"/>
      <c r="CG72" s="18"/>
      <c r="CH72" s="18"/>
    </row>
    <row r="73">
      <c r="A73" s="8"/>
      <c r="B73" s="9" t="s">
        <v>435</v>
      </c>
      <c r="C73" s="10" t="s">
        <v>436</v>
      </c>
      <c r="D73" s="9" t="s">
        <v>87</v>
      </c>
      <c r="E73" s="11" t="s">
        <v>450</v>
      </c>
      <c r="F73" s="10" t="s">
        <v>187</v>
      </c>
      <c r="G73" s="9" t="s">
        <v>188</v>
      </c>
      <c r="H73" s="14" t="s">
        <v>189</v>
      </c>
      <c r="I73" s="9" t="s">
        <v>451</v>
      </c>
      <c r="J73" s="14" t="s">
        <v>92</v>
      </c>
      <c r="K73" s="14" t="s">
        <v>92</v>
      </c>
      <c r="L73" s="14" t="s">
        <v>92</v>
      </c>
      <c r="M73" s="14" t="s">
        <v>93</v>
      </c>
      <c r="N73" s="14" t="s">
        <v>92</v>
      </c>
      <c r="O73" s="14" t="s">
        <v>92</v>
      </c>
      <c r="P73" s="14" t="s">
        <v>93</v>
      </c>
      <c r="Q73" s="14" t="s">
        <v>93</v>
      </c>
      <c r="R73" s="14" t="s">
        <v>93</v>
      </c>
      <c r="S73" s="14" t="s">
        <v>92</v>
      </c>
      <c r="T73" s="14" t="s">
        <v>92</v>
      </c>
      <c r="U73" s="14" t="s">
        <v>93</v>
      </c>
      <c r="V73" s="14" t="s">
        <v>92</v>
      </c>
      <c r="W73" s="14" t="s">
        <v>92</v>
      </c>
      <c r="X73" s="14" t="s">
        <v>92</v>
      </c>
      <c r="Y73" s="14" t="s">
        <v>92</v>
      </c>
      <c r="Z73" s="14" t="s">
        <v>92</v>
      </c>
      <c r="AA73" s="14" t="s">
        <v>92</v>
      </c>
      <c r="AB73" s="8" t="s">
        <v>93</v>
      </c>
      <c r="AC73" s="8" t="s">
        <v>92</v>
      </c>
      <c r="AD73" s="8" t="s">
        <v>92</v>
      </c>
      <c r="AE73" s="14" t="s">
        <v>94</v>
      </c>
      <c r="AF73" s="14" t="s">
        <v>92</v>
      </c>
      <c r="AG73" s="13" t="s">
        <v>95</v>
      </c>
      <c r="AH73" s="8" t="s">
        <v>105</v>
      </c>
      <c r="AI73" s="14" t="s">
        <v>93</v>
      </c>
      <c r="AJ73" s="14" t="s">
        <v>93</v>
      </c>
      <c r="AK73" s="14" t="s">
        <v>93</v>
      </c>
      <c r="AL73" s="14" t="s">
        <v>93</v>
      </c>
      <c r="AM73" s="15" t="s">
        <v>95</v>
      </c>
      <c r="AN73" s="13" t="s">
        <v>114</v>
      </c>
      <c r="AO73" s="8" t="s">
        <v>93</v>
      </c>
      <c r="AP73" s="8" t="s">
        <v>92</v>
      </c>
      <c r="AQ73" s="14" t="s">
        <v>93</v>
      </c>
      <c r="AR73" s="14" t="s">
        <v>93</v>
      </c>
      <c r="AS73" s="14" t="s">
        <v>92</v>
      </c>
      <c r="AT73" s="14" t="s">
        <v>93</v>
      </c>
      <c r="AU73" s="14" t="s">
        <v>93</v>
      </c>
      <c r="AV73" s="14" t="s">
        <v>93</v>
      </c>
      <c r="AW73" s="14" t="s">
        <v>93</v>
      </c>
      <c r="AX73" s="14" t="s">
        <v>92</v>
      </c>
      <c r="AY73" s="15" t="s">
        <v>452</v>
      </c>
      <c r="AZ73" s="15" t="s">
        <v>92</v>
      </c>
      <c r="BA73" s="9" t="s">
        <v>435</v>
      </c>
      <c r="BB73" s="8" t="s">
        <v>155</v>
      </c>
      <c r="BC73" s="8" t="s">
        <v>92</v>
      </c>
      <c r="BD73" s="14" t="s">
        <v>92</v>
      </c>
      <c r="BE73" s="14" t="s">
        <v>92</v>
      </c>
      <c r="BF73" s="14" t="s">
        <v>92</v>
      </c>
      <c r="BG73" s="14" t="s">
        <v>92</v>
      </c>
      <c r="BH73" s="14" t="s">
        <v>92</v>
      </c>
      <c r="BI73" s="14" t="s">
        <v>93</v>
      </c>
      <c r="BJ73" s="14" t="s">
        <v>92</v>
      </c>
      <c r="BK73" s="14" t="s">
        <v>453</v>
      </c>
      <c r="BL73" s="13" t="s">
        <v>92</v>
      </c>
      <c r="BM73" s="13" t="s">
        <v>92</v>
      </c>
      <c r="BN73" s="13" t="s">
        <v>92</v>
      </c>
      <c r="BO73" s="13" t="s">
        <v>93</v>
      </c>
      <c r="BP73" s="13" t="s">
        <v>93</v>
      </c>
      <c r="BQ73" s="8" t="s">
        <v>93</v>
      </c>
      <c r="BR73" s="8" t="s">
        <v>92</v>
      </c>
      <c r="BS73" s="8" t="s">
        <v>92</v>
      </c>
      <c r="BT73" s="8" t="s">
        <v>92</v>
      </c>
      <c r="BU73" s="8" t="s">
        <v>92</v>
      </c>
      <c r="BV73" s="8" t="s">
        <v>92</v>
      </c>
      <c r="BW73" s="8" t="s">
        <v>92</v>
      </c>
      <c r="BX73" s="8" t="s">
        <v>92</v>
      </c>
      <c r="BY73" s="8" t="s">
        <v>92</v>
      </c>
      <c r="BZ73" s="8" t="s">
        <v>92</v>
      </c>
      <c r="CA73" s="8" t="s">
        <v>92</v>
      </c>
      <c r="CB73" s="20" t="s">
        <v>454</v>
      </c>
      <c r="CC73" s="20" t="s">
        <v>455</v>
      </c>
      <c r="CD73" s="20" t="s">
        <v>456</v>
      </c>
      <c r="CE73" s="20" t="s">
        <v>442</v>
      </c>
      <c r="CF73" s="18"/>
      <c r="CG73" s="18"/>
      <c r="CH73" s="18"/>
    </row>
    <row r="74">
      <c r="A74" s="8"/>
      <c r="B74" s="9" t="s">
        <v>435</v>
      </c>
      <c r="C74" s="10" t="s">
        <v>436</v>
      </c>
      <c r="D74" s="9" t="s">
        <v>87</v>
      </c>
      <c r="E74" s="11" t="s">
        <v>457</v>
      </c>
      <c r="F74" s="12"/>
      <c r="G74" s="9" t="s">
        <v>458</v>
      </c>
      <c r="H74" s="9" t="s">
        <v>90</v>
      </c>
      <c r="I74" s="9" t="s">
        <v>459</v>
      </c>
      <c r="J74" s="14" t="s">
        <v>92</v>
      </c>
      <c r="K74" s="14" t="s">
        <v>92</v>
      </c>
      <c r="L74" s="14" t="s">
        <v>92</v>
      </c>
      <c r="M74" s="14" t="s">
        <v>93</v>
      </c>
      <c r="N74" s="14" t="s">
        <v>92</v>
      </c>
      <c r="O74" s="14" t="s">
        <v>92</v>
      </c>
      <c r="P74" s="14" t="s">
        <v>93</v>
      </c>
      <c r="Q74" s="14" t="s">
        <v>92</v>
      </c>
      <c r="R74" s="14" t="s">
        <v>92</v>
      </c>
      <c r="S74" s="14" t="s">
        <v>93</v>
      </c>
      <c r="T74" s="14" t="s">
        <v>92</v>
      </c>
      <c r="U74" s="14" t="s">
        <v>92</v>
      </c>
      <c r="V74" s="14" t="s">
        <v>92</v>
      </c>
      <c r="W74" s="14" t="s">
        <v>92</v>
      </c>
      <c r="X74" s="14" t="s">
        <v>92</v>
      </c>
      <c r="Y74" s="14" t="s">
        <v>92</v>
      </c>
      <c r="Z74" s="14" t="s">
        <v>92</v>
      </c>
      <c r="AA74" s="14" t="s">
        <v>92</v>
      </c>
      <c r="AB74" s="8" t="s">
        <v>93</v>
      </c>
      <c r="AC74" s="8" t="s">
        <v>92</v>
      </c>
      <c r="AD74" s="8" t="s">
        <v>92</v>
      </c>
      <c r="AE74" s="14" t="s">
        <v>148</v>
      </c>
      <c r="AF74" s="14" t="s">
        <v>92</v>
      </c>
      <c r="AG74" s="13" t="s">
        <v>95</v>
      </c>
      <c r="AH74" s="8">
        <v>2023.0</v>
      </c>
      <c r="AI74" s="14" t="s">
        <v>92</v>
      </c>
      <c r="AJ74" s="14" t="s">
        <v>92</v>
      </c>
      <c r="AK74" s="14" t="s">
        <v>92</v>
      </c>
      <c r="AL74" s="14" t="s">
        <v>93</v>
      </c>
      <c r="AM74" s="15" t="s">
        <v>95</v>
      </c>
      <c r="AN74" s="13" t="s">
        <v>114</v>
      </c>
      <c r="AO74" s="8" t="s">
        <v>92</v>
      </c>
      <c r="AP74" s="8" t="s">
        <v>92</v>
      </c>
      <c r="AQ74" s="14" t="s">
        <v>93</v>
      </c>
      <c r="AR74" s="14" t="s">
        <v>93</v>
      </c>
      <c r="AS74" s="14" t="s">
        <v>92</v>
      </c>
      <c r="AT74" s="14" t="s">
        <v>93</v>
      </c>
      <c r="AU74" s="14" t="s">
        <v>93</v>
      </c>
      <c r="AV74" s="14" t="s">
        <v>93</v>
      </c>
      <c r="AW74" s="14" t="s">
        <v>93</v>
      </c>
      <c r="AX74" s="14" t="s">
        <v>92</v>
      </c>
      <c r="AY74" s="15" t="s">
        <v>460</v>
      </c>
      <c r="AZ74" s="8" t="s">
        <v>92</v>
      </c>
      <c r="BA74" s="9" t="s">
        <v>435</v>
      </c>
      <c r="BB74" s="8" t="s">
        <v>155</v>
      </c>
      <c r="BC74" s="8" t="s">
        <v>92</v>
      </c>
      <c r="BD74" s="14" t="s">
        <v>93</v>
      </c>
      <c r="BE74" s="14" t="s">
        <v>92</v>
      </c>
      <c r="BF74" s="14" t="s">
        <v>92</v>
      </c>
      <c r="BG74" s="14" t="s">
        <v>92</v>
      </c>
      <c r="BH74" s="14" t="s">
        <v>92</v>
      </c>
      <c r="BI74" s="14" t="s">
        <v>93</v>
      </c>
      <c r="BJ74" s="14" t="s">
        <v>92</v>
      </c>
      <c r="BK74" s="14" t="s">
        <v>453</v>
      </c>
      <c r="BL74" s="13" t="s">
        <v>92</v>
      </c>
      <c r="BM74" s="13" t="s">
        <v>92</v>
      </c>
      <c r="BN74" s="13" t="s">
        <v>92</v>
      </c>
      <c r="BO74" s="13" t="s">
        <v>93</v>
      </c>
      <c r="BP74" s="13" t="s">
        <v>93</v>
      </c>
      <c r="BQ74" s="8" t="s">
        <v>93</v>
      </c>
      <c r="BR74" s="8" t="s">
        <v>93</v>
      </c>
      <c r="BS74" s="8" t="s">
        <v>92</v>
      </c>
      <c r="BT74" s="8" t="s">
        <v>92</v>
      </c>
      <c r="BU74" s="8" t="s">
        <v>92</v>
      </c>
      <c r="BV74" s="8" t="s">
        <v>92</v>
      </c>
      <c r="BW74" s="8" t="s">
        <v>92</v>
      </c>
      <c r="BX74" s="8" t="s">
        <v>92</v>
      </c>
      <c r="BY74" s="8" t="s">
        <v>92</v>
      </c>
      <c r="BZ74" s="8" t="s">
        <v>92</v>
      </c>
      <c r="CA74" s="8" t="s">
        <v>93</v>
      </c>
      <c r="CB74" s="20" t="s">
        <v>442</v>
      </c>
      <c r="CC74" s="31"/>
      <c r="CD74" s="31"/>
      <c r="CE74" s="42"/>
      <c r="CF74" s="18"/>
      <c r="CG74" s="18"/>
      <c r="CH74" s="18"/>
    </row>
    <row r="75">
      <c r="A75" s="8"/>
      <c r="B75" s="43" t="s">
        <v>435</v>
      </c>
      <c r="C75" s="10" t="s">
        <v>436</v>
      </c>
      <c r="D75" s="9" t="s">
        <v>87</v>
      </c>
      <c r="E75" s="11" t="s">
        <v>461</v>
      </c>
      <c r="F75" s="12"/>
      <c r="G75" s="44" t="s">
        <v>462</v>
      </c>
      <c r="H75" s="9" t="s">
        <v>110</v>
      </c>
      <c r="I75" s="9" t="s">
        <v>463</v>
      </c>
      <c r="J75" s="14" t="s">
        <v>93</v>
      </c>
      <c r="K75" s="14" t="s">
        <v>92</v>
      </c>
      <c r="L75" s="14" t="s">
        <v>93</v>
      </c>
      <c r="M75" s="14" t="s">
        <v>92</v>
      </c>
      <c r="N75" s="14" t="s">
        <v>92</v>
      </c>
      <c r="O75" s="14" t="s">
        <v>92</v>
      </c>
      <c r="P75" s="14" t="s">
        <v>92</v>
      </c>
      <c r="Q75" s="14" t="s">
        <v>92</v>
      </c>
      <c r="R75" s="14" t="s">
        <v>92</v>
      </c>
      <c r="S75" s="14" t="s">
        <v>92</v>
      </c>
      <c r="T75" s="14" t="s">
        <v>92</v>
      </c>
      <c r="U75" s="14" t="s">
        <v>92</v>
      </c>
      <c r="V75" s="14" t="s">
        <v>92</v>
      </c>
      <c r="W75" s="14" t="s">
        <v>92</v>
      </c>
      <c r="X75" s="14" t="s">
        <v>92</v>
      </c>
      <c r="Y75" s="14" t="s">
        <v>92</v>
      </c>
      <c r="Z75" s="14" t="s">
        <v>93</v>
      </c>
      <c r="AA75" s="14" t="s">
        <v>92</v>
      </c>
      <c r="AB75" s="8" t="s">
        <v>92</v>
      </c>
      <c r="AC75" s="8" t="s">
        <v>93</v>
      </c>
      <c r="AD75" s="8" t="s">
        <v>92</v>
      </c>
      <c r="AE75" s="14" t="s">
        <v>112</v>
      </c>
      <c r="AF75" s="14" t="s">
        <v>92</v>
      </c>
      <c r="AG75" s="13" t="s">
        <v>95</v>
      </c>
      <c r="AH75" s="8" t="s">
        <v>105</v>
      </c>
      <c r="AI75" s="14" t="s">
        <v>93</v>
      </c>
      <c r="AJ75" s="14" t="s">
        <v>93</v>
      </c>
      <c r="AK75" s="14" t="s">
        <v>93</v>
      </c>
      <c r="AL75" s="14" t="s">
        <v>93</v>
      </c>
      <c r="AM75" s="15" t="s">
        <v>95</v>
      </c>
      <c r="AN75" s="13" t="s">
        <v>114</v>
      </c>
      <c r="AO75" s="8" t="s">
        <v>93</v>
      </c>
      <c r="AP75" s="8" t="s">
        <v>92</v>
      </c>
      <c r="AQ75" s="14" t="s">
        <v>93</v>
      </c>
      <c r="AR75" s="14" t="s">
        <v>93</v>
      </c>
      <c r="AS75" s="14" t="s">
        <v>92</v>
      </c>
      <c r="AT75" s="14" t="s">
        <v>93</v>
      </c>
      <c r="AU75" s="14" t="s">
        <v>93</v>
      </c>
      <c r="AV75" s="14" t="s">
        <v>93</v>
      </c>
      <c r="AW75" s="14" t="s">
        <v>93</v>
      </c>
      <c r="AX75" s="14" t="s">
        <v>92</v>
      </c>
      <c r="AY75" s="15" t="s">
        <v>441</v>
      </c>
      <c r="AZ75" s="15" t="s">
        <v>95</v>
      </c>
      <c r="BA75" s="9" t="s">
        <v>435</v>
      </c>
      <c r="BB75" s="8" t="s">
        <v>155</v>
      </c>
      <c r="BC75" s="8" t="s">
        <v>92</v>
      </c>
      <c r="BD75" s="14" t="s">
        <v>93</v>
      </c>
      <c r="BE75" s="14" t="s">
        <v>92</v>
      </c>
      <c r="BF75" s="14" t="s">
        <v>92</v>
      </c>
      <c r="BG75" s="14" t="s">
        <v>92</v>
      </c>
      <c r="BH75" s="14" t="s">
        <v>92</v>
      </c>
      <c r="BI75" s="14" t="s">
        <v>92</v>
      </c>
      <c r="BJ75" s="14" t="s">
        <v>92</v>
      </c>
      <c r="BK75" s="14" t="s">
        <v>453</v>
      </c>
      <c r="BL75" s="13" t="s">
        <v>92</v>
      </c>
      <c r="BM75" s="13" t="s">
        <v>92</v>
      </c>
      <c r="BN75" s="13" t="s">
        <v>92</v>
      </c>
      <c r="BO75" s="13" t="s">
        <v>93</v>
      </c>
      <c r="BP75" s="13" t="s">
        <v>93</v>
      </c>
      <c r="BQ75" s="8" t="s">
        <v>92</v>
      </c>
      <c r="BR75" s="8" t="s">
        <v>92</v>
      </c>
      <c r="BS75" s="8" t="s">
        <v>92</v>
      </c>
      <c r="BT75" s="8" t="s">
        <v>93</v>
      </c>
      <c r="BU75" s="8" t="s">
        <v>92</v>
      </c>
      <c r="BV75" s="8" t="s">
        <v>92</v>
      </c>
      <c r="BW75" s="8" t="s">
        <v>92</v>
      </c>
      <c r="BX75" s="8" t="s">
        <v>92</v>
      </c>
      <c r="BY75" s="8" t="s">
        <v>92</v>
      </c>
      <c r="BZ75" s="8" t="s">
        <v>93</v>
      </c>
      <c r="CA75" s="8" t="s">
        <v>92</v>
      </c>
      <c r="CB75" s="20" t="s">
        <v>442</v>
      </c>
      <c r="CC75" s="20" t="s">
        <v>456</v>
      </c>
      <c r="CD75" s="20" t="s">
        <v>442</v>
      </c>
      <c r="CE75" s="24" t="s">
        <v>464</v>
      </c>
      <c r="CF75" s="18"/>
      <c r="CG75" s="18"/>
      <c r="CH75" s="18"/>
    </row>
    <row r="76">
      <c r="A76" s="8"/>
      <c r="B76" s="9" t="s">
        <v>435</v>
      </c>
      <c r="C76" s="10" t="s">
        <v>436</v>
      </c>
      <c r="D76" s="9" t="s">
        <v>87</v>
      </c>
      <c r="E76" s="11" t="s">
        <v>465</v>
      </c>
      <c r="F76" s="25"/>
      <c r="G76" s="9" t="s">
        <v>447</v>
      </c>
      <c r="H76" s="9" t="s">
        <v>189</v>
      </c>
      <c r="I76" s="9" t="s">
        <v>466</v>
      </c>
      <c r="J76" s="14" t="s">
        <v>92</v>
      </c>
      <c r="K76" s="14" t="s">
        <v>92</v>
      </c>
      <c r="L76" s="14" t="s">
        <v>93</v>
      </c>
      <c r="M76" s="14" t="s">
        <v>93</v>
      </c>
      <c r="N76" s="14" t="s">
        <v>92</v>
      </c>
      <c r="O76" s="14" t="s">
        <v>92</v>
      </c>
      <c r="P76" s="14" t="s">
        <v>92</v>
      </c>
      <c r="Q76" s="14" t="s">
        <v>93</v>
      </c>
      <c r="R76" s="14" t="s">
        <v>92</v>
      </c>
      <c r="S76" s="14" t="s">
        <v>92</v>
      </c>
      <c r="T76" s="14" t="s">
        <v>92</v>
      </c>
      <c r="U76" s="14" t="s">
        <v>93</v>
      </c>
      <c r="V76" s="14" t="s">
        <v>92</v>
      </c>
      <c r="W76" s="14" t="s">
        <v>92</v>
      </c>
      <c r="X76" s="14" t="s">
        <v>92</v>
      </c>
      <c r="Y76" s="14" t="s">
        <v>92</v>
      </c>
      <c r="Z76" s="14" t="s">
        <v>92</v>
      </c>
      <c r="AA76" s="14" t="s">
        <v>92</v>
      </c>
      <c r="AB76" s="8" t="s">
        <v>93</v>
      </c>
      <c r="AC76" s="8" t="s">
        <v>92</v>
      </c>
      <c r="AD76" s="8" t="s">
        <v>92</v>
      </c>
      <c r="AE76" s="14" t="s">
        <v>94</v>
      </c>
      <c r="AF76" s="14" t="s">
        <v>92</v>
      </c>
      <c r="AG76" s="13" t="s">
        <v>95</v>
      </c>
      <c r="AH76" s="8" t="s">
        <v>105</v>
      </c>
      <c r="AI76" s="14" t="s">
        <v>92</v>
      </c>
      <c r="AJ76" s="14" t="s">
        <v>93</v>
      </c>
      <c r="AK76" s="14" t="s">
        <v>92</v>
      </c>
      <c r="AL76" s="14" t="s">
        <v>92</v>
      </c>
      <c r="AM76" s="8" t="s">
        <v>105</v>
      </c>
      <c r="AN76" s="14" t="s">
        <v>105</v>
      </c>
      <c r="AO76" s="8" t="s">
        <v>105</v>
      </c>
      <c r="AP76" s="8" t="s">
        <v>92</v>
      </c>
      <c r="AQ76" s="14" t="s">
        <v>93</v>
      </c>
      <c r="AR76" s="14" t="s">
        <v>93</v>
      </c>
      <c r="AS76" s="14" t="s">
        <v>92</v>
      </c>
      <c r="AT76" s="14" t="s">
        <v>93</v>
      </c>
      <c r="AU76" s="14" t="s">
        <v>93</v>
      </c>
      <c r="AV76" s="14" t="s">
        <v>93</v>
      </c>
      <c r="AW76" s="14" t="s">
        <v>93</v>
      </c>
      <c r="AX76" s="14" t="s">
        <v>92</v>
      </c>
      <c r="AY76" s="15" t="s">
        <v>441</v>
      </c>
      <c r="AZ76" s="15" t="s">
        <v>95</v>
      </c>
      <c r="BA76" s="9" t="s">
        <v>435</v>
      </c>
      <c r="BB76" s="8" t="s">
        <v>155</v>
      </c>
      <c r="BC76" s="8" t="s">
        <v>92</v>
      </c>
      <c r="BD76" s="14" t="s">
        <v>92</v>
      </c>
      <c r="BE76" s="14" t="s">
        <v>92</v>
      </c>
      <c r="BF76" s="14" t="s">
        <v>92</v>
      </c>
      <c r="BG76" s="14" t="s">
        <v>92</v>
      </c>
      <c r="BH76" s="14" t="s">
        <v>92</v>
      </c>
      <c r="BI76" s="14" t="s">
        <v>93</v>
      </c>
      <c r="BJ76" s="14" t="s">
        <v>92</v>
      </c>
      <c r="BK76" s="14" t="s">
        <v>156</v>
      </c>
      <c r="BL76" s="13" t="s">
        <v>92</v>
      </c>
      <c r="BM76" s="13" t="s">
        <v>92</v>
      </c>
      <c r="BN76" s="13" t="s">
        <v>92</v>
      </c>
      <c r="BO76" s="14" t="s">
        <v>92</v>
      </c>
      <c r="BP76" s="13" t="s">
        <v>93</v>
      </c>
      <c r="BQ76" s="8" t="s">
        <v>93</v>
      </c>
      <c r="BR76" s="8" t="s">
        <v>92</v>
      </c>
      <c r="BS76" s="8" t="s">
        <v>92</v>
      </c>
      <c r="BT76" s="8" t="s">
        <v>92</v>
      </c>
      <c r="BU76" s="8" t="s">
        <v>92</v>
      </c>
      <c r="BV76" s="8" t="s">
        <v>92</v>
      </c>
      <c r="BW76" s="8" t="s">
        <v>92</v>
      </c>
      <c r="BX76" s="8" t="s">
        <v>92</v>
      </c>
      <c r="BY76" s="8" t="s">
        <v>92</v>
      </c>
      <c r="BZ76" s="8" t="s">
        <v>92</v>
      </c>
      <c r="CA76" s="8" t="s">
        <v>92</v>
      </c>
      <c r="CB76" s="20" t="s">
        <v>455</v>
      </c>
      <c r="CC76" s="17"/>
      <c r="CD76" s="18"/>
      <c r="CE76" s="18"/>
      <c r="CF76" s="18"/>
      <c r="CG76" s="18"/>
      <c r="CH76" s="18"/>
    </row>
    <row r="77">
      <c r="A77" s="8"/>
      <c r="B77" s="9" t="s">
        <v>435</v>
      </c>
      <c r="C77" s="10" t="s">
        <v>436</v>
      </c>
      <c r="D77" s="9" t="s">
        <v>87</v>
      </c>
      <c r="E77" s="11" t="s">
        <v>467</v>
      </c>
      <c r="F77" s="25"/>
      <c r="G77" s="9" t="s">
        <v>468</v>
      </c>
      <c r="H77" s="9" t="s">
        <v>189</v>
      </c>
      <c r="I77" s="9" t="s">
        <v>469</v>
      </c>
      <c r="J77" s="14" t="s">
        <v>92</v>
      </c>
      <c r="K77" s="14" t="s">
        <v>92</v>
      </c>
      <c r="L77" s="14" t="s">
        <v>92</v>
      </c>
      <c r="M77" s="14" t="s">
        <v>93</v>
      </c>
      <c r="N77" s="14" t="s">
        <v>92</v>
      </c>
      <c r="O77" s="14" t="s">
        <v>92</v>
      </c>
      <c r="P77" s="14" t="s">
        <v>92</v>
      </c>
      <c r="Q77" s="14" t="s">
        <v>93</v>
      </c>
      <c r="R77" s="14" t="s">
        <v>92</v>
      </c>
      <c r="S77" s="14" t="s">
        <v>92</v>
      </c>
      <c r="T77" s="14" t="s">
        <v>92</v>
      </c>
      <c r="U77" s="14" t="s">
        <v>93</v>
      </c>
      <c r="V77" s="14" t="s">
        <v>92</v>
      </c>
      <c r="W77" s="14" t="s">
        <v>92</v>
      </c>
      <c r="X77" s="14" t="s">
        <v>92</v>
      </c>
      <c r="Y77" s="14" t="s">
        <v>92</v>
      </c>
      <c r="Z77" s="14" t="s">
        <v>92</v>
      </c>
      <c r="AA77" s="14" t="s">
        <v>92</v>
      </c>
      <c r="AB77" s="8" t="s">
        <v>93</v>
      </c>
      <c r="AC77" s="8" t="s">
        <v>92</v>
      </c>
      <c r="AD77" s="8" t="s">
        <v>92</v>
      </c>
      <c r="AE77" s="14" t="s">
        <v>94</v>
      </c>
      <c r="AF77" s="14" t="s">
        <v>92</v>
      </c>
      <c r="AG77" s="13" t="s">
        <v>95</v>
      </c>
      <c r="AH77" s="8" t="s">
        <v>105</v>
      </c>
      <c r="AI77" s="14" t="s">
        <v>92</v>
      </c>
      <c r="AJ77" s="14" t="s">
        <v>93</v>
      </c>
      <c r="AK77" s="14" t="s">
        <v>92</v>
      </c>
      <c r="AL77" s="14" t="s">
        <v>92</v>
      </c>
      <c r="AM77" s="8" t="s">
        <v>105</v>
      </c>
      <c r="AN77" s="14" t="s">
        <v>105</v>
      </c>
      <c r="AO77" s="8" t="s">
        <v>105</v>
      </c>
      <c r="AP77" s="8" t="s">
        <v>92</v>
      </c>
      <c r="AQ77" s="14" t="s">
        <v>93</v>
      </c>
      <c r="AR77" s="14" t="s">
        <v>93</v>
      </c>
      <c r="AS77" s="14" t="s">
        <v>92</v>
      </c>
      <c r="AT77" s="14" t="s">
        <v>93</v>
      </c>
      <c r="AU77" s="14" t="s">
        <v>93</v>
      </c>
      <c r="AV77" s="14" t="s">
        <v>93</v>
      </c>
      <c r="AW77" s="14" t="s">
        <v>93</v>
      </c>
      <c r="AX77" s="14" t="s">
        <v>92</v>
      </c>
      <c r="AY77" s="15" t="s">
        <v>441</v>
      </c>
      <c r="AZ77" s="15" t="s">
        <v>95</v>
      </c>
      <c r="BA77" s="9" t="s">
        <v>435</v>
      </c>
      <c r="BB77" s="8" t="s">
        <v>155</v>
      </c>
      <c r="BC77" s="8" t="s">
        <v>92</v>
      </c>
      <c r="BD77" s="14" t="s">
        <v>92</v>
      </c>
      <c r="BE77" s="14" t="s">
        <v>92</v>
      </c>
      <c r="BF77" s="14" t="s">
        <v>92</v>
      </c>
      <c r="BG77" s="14" t="s">
        <v>92</v>
      </c>
      <c r="BH77" s="14" t="s">
        <v>92</v>
      </c>
      <c r="BI77" s="14" t="s">
        <v>93</v>
      </c>
      <c r="BJ77" s="14" t="s">
        <v>92</v>
      </c>
      <c r="BK77" s="14" t="s">
        <v>156</v>
      </c>
      <c r="BL77" s="13" t="s">
        <v>92</v>
      </c>
      <c r="BM77" s="13" t="s">
        <v>92</v>
      </c>
      <c r="BN77" s="13" t="s">
        <v>92</v>
      </c>
      <c r="BO77" s="14" t="s">
        <v>92</v>
      </c>
      <c r="BP77" s="13" t="s">
        <v>93</v>
      </c>
      <c r="BQ77" s="8" t="s">
        <v>93</v>
      </c>
      <c r="BR77" s="8" t="s">
        <v>92</v>
      </c>
      <c r="BS77" s="8" t="s">
        <v>92</v>
      </c>
      <c r="BT77" s="8" t="s">
        <v>92</v>
      </c>
      <c r="BU77" s="8" t="s">
        <v>92</v>
      </c>
      <c r="BV77" s="8" t="s">
        <v>92</v>
      </c>
      <c r="BW77" s="8" t="s">
        <v>92</v>
      </c>
      <c r="BX77" s="8" t="s">
        <v>92</v>
      </c>
      <c r="BY77" s="8" t="s">
        <v>92</v>
      </c>
      <c r="BZ77" s="8" t="s">
        <v>92</v>
      </c>
      <c r="CA77" s="8" t="s">
        <v>92</v>
      </c>
      <c r="CB77" s="20" t="s">
        <v>455</v>
      </c>
      <c r="CC77" s="17"/>
      <c r="CD77" s="18"/>
      <c r="CE77" s="18"/>
      <c r="CF77" s="18"/>
      <c r="CG77" s="18"/>
      <c r="CH77" s="18"/>
    </row>
    <row r="78">
      <c r="A78" s="8"/>
      <c r="B78" s="9" t="s">
        <v>435</v>
      </c>
      <c r="C78" s="10" t="s">
        <v>436</v>
      </c>
      <c r="D78" s="9" t="s">
        <v>87</v>
      </c>
      <c r="E78" s="11" t="s">
        <v>470</v>
      </c>
      <c r="F78" s="25"/>
      <c r="G78" s="44" t="s">
        <v>471</v>
      </c>
      <c r="H78" s="9" t="s">
        <v>189</v>
      </c>
      <c r="I78" s="9" t="s">
        <v>472</v>
      </c>
      <c r="J78" s="14" t="s">
        <v>92</v>
      </c>
      <c r="K78" s="14" t="s">
        <v>92</v>
      </c>
      <c r="L78" s="14" t="s">
        <v>92</v>
      </c>
      <c r="M78" s="14" t="s">
        <v>93</v>
      </c>
      <c r="N78" s="14" t="s">
        <v>92</v>
      </c>
      <c r="O78" s="14" t="s">
        <v>92</v>
      </c>
      <c r="P78" s="14" t="s">
        <v>92</v>
      </c>
      <c r="Q78" s="14" t="s">
        <v>93</v>
      </c>
      <c r="R78" s="14" t="s">
        <v>92</v>
      </c>
      <c r="S78" s="14" t="s">
        <v>92</v>
      </c>
      <c r="T78" s="14" t="s">
        <v>92</v>
      </c>
      <c r="U78" s="14" t="s">
        <v>93</v>
      </c>
      <c r="V78" s="14" t="s">
        <v>92</v>
      </c>
      <c r="W78" s="14" t="s">
        <v>92</v>
      </c>
      <c r="X78" s="14" t="s">
        <v>92</v>
      </c>
      <c r="Y78" s="14" t="s">
        <v>92</v>
      </c>
      <c r="Z78" s="14" t="s">
        <v>92</v>
      </c>
      <c r="AA78" s="14" t="s">
        <v>92</v>
      </c>
      <c r="AB78" s="8" t="s">
        <v>93</v>
      </c>
      <c r="AC78" s="8" t="s">
        <v>92</v>
      </c>
      <c r="AD78" s="8" t="s">
        <v>92</v>
      </c>
      <c r="AE78" s="14" t="s">
        <v>94</v>
      </c>
      <c r="AF78" s="14" t="s">
        <v>92</v>
      </c>
      <c r="AG78" s="13" t="s">
        <v>95</v>
      </c>
      <c r="AH78" s="8" t="s">
        <v>105</v>
      </c>
      <c r="AI78" s="14" t="s">
        <v>92</v>
      </c>
      <c r="AJ78" s="14" t="s">
        <v>93</v>
      </c>
      <c r="AK78" s="14" t="s">
        <v>92</v>
      </c>
      <c r="AL78" s="14" t="s">
        <v>92</v>
      </c>
      <c r="AM78" s="8" t="s">
        <v>105</v>
      </c>
      <c r="AN78" s="14" t="s">
        <v>105</v>
      </c>
      <c r="AO78" s="8" t="s">
        <v>105</v>
      </c>
      <c r="AP78" s="8" t="s">
        <v>92</v>
      </c>
      <c r="AQ78" s="14" t="s">
        <v>93</v>
      </c>
      <c r="AR78" s="14" t="s">
        <v>93</v>
      </c>
      <c r="AS78" s="14" t="s">
        <v>92</v>
      </c>
      <c r="AT78" s="14" t="s">
        <v>93</v>
      </c>
      <c r="AU78" s="14" t="s">
        <v>93</v>
      </c>
      <c r="AV78" s="14" t="s">
        <v>93</v>
      </c>
      <c r="AW78" s="14" t="s">
        <v>93</v>
      </c>
      <c r="AX78" s="14" t="s">
        <v>92</v>
      </c>
      <c r="AY78" s="15" t="s">
        <v>441</v>
      </c>
      <c r="AZ78" s="15" t="s">
        <v>95</v>
      </c>
      <c r="BA78" s="9" t="s">
        <v>473</v>
      </c>
      <c r="BB78" s="8" t="s">
        <v>143</v>
      </c>
      <c r="BC78" s="8" t="s">
        <v>92</v>
      </c>
      <c r="BD78" s="14" t="s">
        <v>92</v>
      </c>
      <c r="BE78" s="14" t="s">
        <v>92</v>
      </c>
      <c r="BF78" s="14" t="s">
        <v>92</v>
      </c>
      <c r="BG78" s="14" t="s">
        <v>92</v>
      </c>
      <c r="BH78" s="14" t="s">
        <v>92</v>
      </c>
      <c r="BI78" s="14" t="s">
        <v>93</v>
      </c>
      <c r="BJ78" s="14" t="s">
        <v>92</v>
      </c>
      <c r="BK78" s="14" t="s">
        <v>156</v>
      </c>
      <c r="BL78" s="13" t="s">
        <v>92</v>
      </c>
      <c r="BM78" s="13" t="s">
        <v>92</v>
      </c>
      <c r="BN78" s="13" t="s">
        <v>92</v>
      </c>
      <c r="BO78" s="14" t="s">
        <v>92</v>
      </c>
      <c r="BP78" s="13" t="s">
        <v>93</v>
      </c>
      <c r="BQ78" s="8" t="s">
        <v>93</v>
      </c>
      <c r="BR78" s="8" t="s">
        <v>92</v>
      </c>
      <c r="BS78" s="8" t="s">
        <v>92</v>
      </c>
      <c r="BT78" s="8" t="s">
        <v>92</v>
      </c>
      <c r="BU78" s="8" t="s">
        <v>92</v>
      </c>
      <c r="BV78" s="8" t="s">
        <v>92</v>
      </c>
      <c r="BW78" s="8" t="s">
        <v>92</v>
      </c>
      <c r="BX78" s="8" t="s">
        <v>92</v>
      </c>
      <c r="BY78" s="8" t="s">
        <v>92</v>
      </c>
      <c r="BZ78" s="8" t="s">
        <v>92</v>
      </c>
      <c r="CA78" s="8" t="s">
        <v>92</v>
      </c>
      <c r="CB78" s="20" t="s">
        <v>455</v>
      </c>
      <c r="CC78" s="17"/>
      <c r="CD78" s="18"/>
      <c r="CE78" s="18"/>
      <c r="CF78" s="18"/>
      <c r="CG78" s="18"/>
      <c r="CH78" s="18"/>
    </row>
    <row r="79">
      <c r="A79" s="8"/>
      <c r="B79" s="9" t="s">
        <v>435</v>
      </c>
      <c r="C79" s="10" t="s">
        <v>436</v>
      </c>
      <c r="D79" s="9" t="s">
        <v>87</v>
      </c>
      <c r="E79" s="11" t="s">
        <v>474</v>
      </c>
      <c r="F79" s="25"/>
      <c r="G79" s="45" t="s">
        <v>475</v>
      </c>
      <c r="H79" s="9" t="s">
        <v>90</v>
      </c>
      <c r="I79" s="9" t="s">
        <v>476</v>
      </c>
      <c r="J79" s="14" t="s">
        <v>92</v>
      </c>
      <c r="K79" s="14" t="s">
        <v>92</v>
      </c>
      <c r="L79" s="14" t="s">
        <v>92</v>
      </c>
      <c r="M79" s="14" t="s">
        <v>92</v>
      </c>
      <c r="N79" s="14" t="s">
        <v>92</v>
      </c>
      <c r="O79" s="14" t="s">
        <v>92</v>
      </c>
      <c r="P79" s="14" t="s">
        <v>92</v>
      </c>
      <c r="Q79" s="14" t="s">
        <v>92</v>
      </c>
      <c r="R79" s="14" t="s">
        <v>92</v>
      </c>
      <c r="S79" s="14" t="s">
        <v>92</v>
      </c>
      <c r="T79" s="14" t="s">
        <v>92</v>
      </c>
      <c r="U79" s="14" t="s">
        <v>92</v>
      </c>
      <c r="V79" s="14" t="s">
        <v>92</v>
      </c>
      <c r="W79" s="14" t="s">
        <v>92</v>
      </c>
      <c r="X79" s="14" t="s">
        <v>92</v>
      </c>
      <c r="Y79" s="14" t="s">
        <v>92</v>
      </c>
      <c r="Z79" s="14" t="s">
        <v>93</v>
      </c>
      <c r="AA79" s="14" t="s">
        <v>92</v>
      </c>
      <c r="AB79" s="8" t="s">
        <v>92</v>
      </c>
      <c r="AC79" s="8" t="s">
        <v>93</v>
      </c>
      <c r="AD79" s="8" t="s">
        <v>92</v>
      </c>
      <c r="AE79" s="14" t="s">
        <v>112</v>
      </c>
      <c r="AF79" s="14" t="s">
        <v>92</v>
      </c>
      <c r="AG79" s="14" t="s">
        <v>95</v>
      </c>
      <c r="AH79" s="8">
        <v>2020.0</v>
      </c>
      <c r="AI79" s="14" t="s">
        <v>93</v>
      </c>
      <c r="AJ79" s="14" t="s">
        <v>92</v>
      </c>
      <c r="AK79" s="14" t="s">
        <v>92</v>
      </c>
      <c r="AL79" s="14" t="s">
        <v>92</v>
      </c>
      <c r="AM79" s="8" t="s">
        <v>105</v>
      </c>
      <c r="AN79" s="14" t="s">
        <v>105</v>
      </c>
      <c r="AO79" s="8" t="s">
        <v>105</v>
      </c>
      <c r="AP79" s="8" t="s">
        <v>92</v>
      </c>
      <c r="AQ79" s="14" t="s">
        <v>93</v>
      </c>
      <c r="AR79" s="14" t="s">
        <v>93</v>
      </c>
      <c r="AS79" s="14" t="s">
        <v>92</v>
      </c>
      <c r="AT79" s="14" t="s">
        <v>93</v>
      </c>
      <c r="AU79" s="14" t="s">
        <v>93</v>
      </c>
      <c r="AV79" s="14" t="s">
        <v>93</v>
      </c>
      <c r="AW79" s="14" t="s">
        <v>93</v>
      </c>
      <c r="AX79" s="14" t="s">
        <v>92</v>
      </c>
      <c r="AY79" s="8" t="s">
        <v>95</v>
      </c>
      <c r="AZ79" s="8" t="s">
        <v>95</v>
      </c>
      <c r="BA79" s="9" t="s">
        <v>477</v>
      </c>
      <c r="BB79" s="8" t="s">
        <v>155</v>
      </c>
      <c r="BC79" s="8" t="s">
        <v>92</v>
      </c>
      <c r="BD79" s="14" t="s">
        <v>92</v>
      </c>
      <c r="BE79" s="14" t="s">
        <v>92</v>
      </c>
      <c r="BF79" s="14" t="s">
        <v>92</v>
      </c>
      <c r="BG79" s="14" t="s">
        <v>93</v>
      </c>
      <c r="BH79" s="14" t="s">
        <v>92</v>
      </c>
      <c r="BI79" s="14" t="s">
        <v>92</v>
      </c>
      <c r="BJ79" s="14" t="s">
        <v>92</v>
      </c>
      <c r="BK79" s="14" t="s">
        <v>105</v>
      </c>
      <c r="BL79" s="14" t="s">
        <v>105</v>
      </c>
      <c r="BM79" s="14" t="s">
        <v>105</v>
      </c>
      <c r="BN79" s="14" t="s">
        <v>105</v>
      </c>
      <c r="BO79" s="14" t="s">
        <v>105</v>
      </c>
      <c r="BP79" s="14" t="s">
        <v>105</v>
      </c>
      <c r="BQ79" s="8" t="s">
        <v>92</v>
      </c>
      <c r="BR79" s="8" t="s">
        <v>92</v>
      </c>
      <c r="BS79" s="8" t="s">
        <v>92</v>
      </c>
      <c r="BT79" s="8" t="s">
        <v>93</v>
      </c>
      <c r="BU79" s="8" t="s">
        <v>92</v>
      </c>
      <c r="BV79" s="8" t="s">
        <v>92</v>
      </c>
      <c r="BW79" s="8" t="s">
        <v>92</v>
      </c>
      <c r="BX79" s="8" t="s">
        <v>92</v>
      </c>
      <c r="BY79" s="8" t="s">
        <v>93</v>
      </c>
      <c r="BZ79" s="8" t="s">
        <v>92</v>
      </c>
      <c r="CA79" s="8" t="s">
        <v>92</v>
      </c>
      <c r="CB79" s="20" t="s">
        <v>454</v>
      </c>
      <c r="CC79" s="17"/>
      <c r="CD79" s="18"/>
      <c r="CE79" s="18"/>
      <c r="CF79" s="18"/>
      <c r="CG79" s="18"/>
      <c r="CH79" s="18"/>
    </row>
    <row r="80">
      <c r="A80" s="8"/>
      <c r="B80" s="9" t="s">
        <v>435</v>
      </c>
      <c r="C80" s="10" t="s">
        <v>436</v>
      </c>
      <c r="D80" s="9" t="s">
        <v>87</v>
      </c>
      <c r="E80" s="11" t="s">
        <v>478</v>
      </c>
      <c r="F80" s="25"/>
      <c r="G80" s="44" t="s">
        <v>479</v>
      </c>
      <c r="H80" s="9" t="s">
        <v>189</v>
      </c>
      <c r="I80" s="9" t="s">
        <v>480</v>
      </c>
      <c r="J80" s="14" t="s">
        <v>92</v>
      </c>
      <c r="K80" s="14" t="s">
        <v>92</v>
      </c>
      <c r="L80" s="14" t="s">
        <v>92</v>
      </c>
      <c r="M80" s="14" t="s">
        <v>93</v>
      </c>
      <c r="N80" s="14" t="s">
        <v>92</v>
      </c>
      <c r="O80" s="14" t="s">
        <v>92</v>
      </c>
      <c r="P80" s="14" t="s">
        <v>92</v>
      </c>
      <c r="Q80" s="14" t="s">
        <v>92</v>
      </c>
      <c r="R80" s="14" t="s">
        <v>92</v>
      </c>
      <c r="S80" s="14" t="s">
        <v>92</v>
      </c>
      <c r="T80" s="14" t="s">
        <v>92</v>
      </c>
      <c r="U80" s="14" t="s">
        <v>93</v>
      </c>
      <c r="V80" s="14" t="s">
        <v>92</v>
      </c>
      <c r="W80" s="14" t="s">
        <v>92</v>
      </c>
      <c r="X80" s="14" t="s">
        <v>92</v>
      </c>
      <c r="Y80" s="14" t="s">
        <v>92</v>
      </c>
      <c r="Z80" s="14" t="s">
        <v>92</v>
      </c>
      <c r="AA80" s="14" t="s">
        <v>92</v>
      </c>
      <c r="AB80" s="8" t="s">
        <v>93</v>
      </c>
      <c r="AC80" s="8" t="s">
        <v>92</v>
      </c>
      <c r="AD80" s="8" t="s">
        <v>92</v>
      </c>
      <c r="AE80" s="14" t="s">
        <v>94</v>
      </c>
      <c r="AF80" s="14" t="s">
        <v>92</v>
      </c>
      <c r="AG80" s="13" t="s">
        <v>95</v>
      </c>
      <c r="AH80" s="8" t="s">
        <v>105</v>
      </c>
      <c r="AI80" s="14" t="s">
        <v>92</v>
      </c>
      <c r="AJ80" s="14" t="s">
        <v>93</v>
      </c>
      <c r="AK80" s="14" t="s">
        <v>92</v>
      </c>
      <c r="AL80" s="14" t="s">
        <v>92</v>
      </c>
      <c r="AM80" s="8" t="s">
        <v>105</v>
      </c>
      <c r="AN80" s="14" t="s">
        <v>105</v>
      </c>
      <c r="AO80" s="8" t="s">
        <v>105</v>
      </c>
      <c r="AP80" s="8" t="s">
        <v>92</v>
      </c>
      <c r="AQ80" s="14" t="s">
        <v>93</v>
      </c>
      <c r="AR80" s="14" t="s">
        <v>93</v>
      </c>
      <c r="AS80" s="14" t="s">
        <v>92</v>
      </c>
      <c r="AT80" s="14" t="s">
        <v>93</v>
      </c>
      <c r="AU80" s="14" t="s">
        <v>93</v>
      </c>
      <c r="AV80" s="14" t="s">
        <v>93</v>
      </c>
      <c r="AW80" s="14" t="s">
        <v>93</v>
      </c>
      <c r="AX80" s="14" t="s">
        <v>92</v>
      </c>
      <c r="AY80" s="15" t="s">
        <v>441</v>
      </c>
      <c r="AZ80" s="15" t="s">
        <v>95</v>
      </c>
      <c r="BA80" s="9" t="s">
        <v>481</v>
      </c>
      <c r="BB80" s="8" t="s">
        <v>95</v>
      </c>
      <c r="BC80" s="8" t="s">
        <v>93</v>
      </c>
      <c r="BD80" s="14" t="s">
        <v>92</v>
      </c>
      <c r="BE80" s="14" t="s">
        <v>92</v>
      </c>
      <c r="BF80" s="14" t="s">
        <v>92</v>
      </c>
      <c r="BG80" s="14" t="s">
        <v>92</v>
      </c>
      <c r="BH80" s="14" t="s">
        <v>92</v>
      </c>
      <c r="BI80" s="14" t="s">
        <v>93</v>
      </c>
      <c r="BJ80" s="14" t="s">
        <v>92</v>
      </c>
      <c r="BK80" s="14" t="s">
        <v>482</v>
      </c>
      <c r="BL80" s="14" t="s">
        <v>92</v>
      </c>
      <c r="BM80" s="14" t="s">
        <v>92</v>
      </c>
      <c r="BN80" s="14" t="s">
        <v>92</v>
      </c>
      <c r="BO80" s="14" t="s">
        <v>93</v>
      </c>
      <c r="BP80" s="14" t="s">
        <v>92</v>
      </c>
      <c r="BQ80" s="8" t="s">
        <v>93</v>
      </c>
      <c r="BR80" s="8" t="s">
        <v>92</v>
      </c>
      <c r="BS80" s="8" t="s">
        <v>92</v>
      </c>
      <c r="BT80" s="8" t="s">
        <v>92</v>
      </c>
      <c r="BU80" s="8" t="s">
        <v>92</v>
      </c>
      <c r="BV80" s="8" t="s">
        <v>92</v>
      </c>
      <c r="BW80" s="8" t="s">
        <v>92</v>
      </c>
      <c r="BX80" s="8" t="s">
        <v>92</v>
      </c>
      <c r="BY80" s="8" t="s">
        <v>92</v>
      </c>
      <c r="BZ80" s="8" t="s">
        <v>92</v>
      </c>
      <c r="CA80" s="8" t="s">
        <v>92</v>
      </c>
      <c r="CB80" s="20" t="s">
        <v>455</v>
      </c>
      <c r="CC80" s="17"/>
      <c r="CD80" s="18"/>
      <c r="CE80" s="18"/>
      <c r="CF80" s="18"/>
      <c r="CG80" s="18"/>
      <c r="CH80" s="18"/>
    </row>
    <row r="81">
      <c r="A81" s="8"/>
      <c r="B81" s="9" t="s">
        <v>435</v>
      </c>
      <c r="C81" s="10" t="s">
        <v>436</v>
      </c>
      <c r="D81" s="9" t="s">
        <v>87</v>
      </c>
      <c r="E81" s="11" t="s">
        <v>483</v>
      </c>
      <c r="F81" s="12"/>
      <c r="G81" s="46" t="s">
        <v>484</v>
      </c>
      <c r="H81" s="46" t="s">
        <v>110</v>
      </c>
      <c r="I81" s="46" t="s">
        <v>485</v>
      </c>
      <c r="J81" s="46" t="s">
        <v>92</v>
      </c>
      <c r="K81" s="46" t="s">
        <v>92</v>
      </c>
      <c r="L81" s="46" t="s">
        <v>93</v>
      </c>
      <c r="M81" s="46" t="s">
        <v>92</v>
      </c>
      <c r="N81" s="47" t="s">
        <v>92</v>
      </c>
      <c r="O81" s="46" t="s">
        <v>92</v>
      </c>
      <c r="P81" s="46" t="s">
        <v>93</v>
      </c>
      <c r="Q81" s="46" t="s">
        <v>92</v>
      </c>
      <c r="R81" s="46" t="s">
        <v>92</v>
      </c>
      <c r="S81" s="46" t="s">
        <v>93</v>
      </c>
      <c r="T81" s="46" t="s">
        <v>92</v>
      </c>
      <c r="U81" s="46" t="s">
        <v>92</v>
      </c>
      <c r="V81" s="46" t="s">
        <v>92</v>
      </c>
      <c r="W81" s="46" t="s">
        <v>92</v>
      </c>
      <c r="X81" s="46" t="s">
        <v>92</v>
      </c>
      <c r="Y81" s="46" t="s">
        <v>92</v>
      </c>
      <c r="Z81" s="46" t="s">
        <v>92</v>
      </c>
      <c r="AA81" s="46" t="s">
        <v>92</v>
      </c>
      <c r="AB81" s="48" t="s">
        <v>93</v>
      </c>
      <c r="AC81" s="48" t="s">
        <v>92</v>
      </c>
      <c r="AD81" s="48" t="s">
        <v>92</v>
      </c>
      <c r="AE81" s="46" t="s">
        <v>103</v>
      </c>
      <c r="AF81" s="46" t="s">
        <v>93</v>
      </c>
      <c r="AG81" s="46" t="s">
        <v>486</v>
      </c>
      <c r="AH81" s="48">
        <v>2021.0</v>
      </c>
      <c r="AI81" s="46" t="s">
        <v>92</v>
      </c>
      <c r="AJ81" s="46" t="s">
        <v>93</v>
      </c>
      <c r="AK81" s="46" t="s">
        <v>92</v>
      </c>
      <c r="AL81" s="46" t="s">
        <v>92</v>
      </c>
      <c r="AM81" s="49">
        <v>2021.0</v>
      </c>
      <c r="AN81" s="50" t="s">
        <v>96</v>
      </c>
      <c r="AO81" s="48" t="s">
        <v>93</v>
      </c>
      <c r="AP81" s="48" t="s">
        <v>92</v>
      </c>
      <c r="AQ81" s="14" t="s">
        <v>93</v>
      </c>
      <c r="AR81" s="14" t="s">
        <v>93</v>
      </c>
      <c r="AS81" s="14" t="s">
        <v>92</v>
      </c>
      <c r="AT81" s="14" t="s">
        <v>93</v>
      </c>
      <c r="AU81" s="14" t="s">
        <v>93</v>
      </c>
      <c r="AV81" s="14" t="s">
        <v>93</v>
      </c>
      <c r="AW81" s="14" t="s">
        <v>93</v>
      </c>
      <c r="AX81" s="14" t="s">
        <v>92</v>
      </c>
      <c r="AY81" s="51" t="s">
        <v>95</v>
      </c>
      <c r="AZ81" s="51" t="s">
        <v>95</v>
      </c>
      <c r="BA81" s="46" t="s">
        <v>487</v>
      </c>
      <c r="BB81" s="48" t="s">
        <v>155</v>
      </c>
      <c r="BC81" s="48" t="s">
        <v>92</v>
      </c>
      <c r="BD81" s="46" t="s">
        <v>93</v>
      </c>
      <c r="BE81" s="46" t="s">
        <v>92</v>
      </c>
      <c r="BF81" s="46" t="s">
        <v>92</v>
      </c>
      <c r="BG81" s="46" t="s">
        <v>92</v>
      </c>
      <c r="BH81" s="46" t="s">
        <v>92</v>
      </c>
      <c r="BI81" s="46" t="s">
        <v>92</v>
      </c>
      <c r="BJ81" s="46" t="s">
        <v>92</v>
      </c>
      <c r="BK81" s="50" t="s">
        <v>95</v>
      </c>
      <c r="BL81" s="52" t="s">
        <v>93</v>
      </c>
      <c r="BM81" s="52" t="s">
        <v>93</v>
      </c>
      <c r="BN81" s="52" t="s">
        <v>93</v>
      </c>
      <c r="BO81" s="52" t="s">
        <v>93</v>
      </c>
      <c r="BP81" s="52" t="s">
        <v>93</v>
      </c>
      <c r="BQ81" s="48" t="s">
        <v>92</v>
      </c>
      <c r="BR81" s="48" t="s">
        <v>92</v>
      </c>
      <c r="BS81" s="48" t="s">
        <v>93</v>
      </c>
      <c r="BT81" s="48" t="s">
        <v>92</v>
      </c>
      <c r="BU81" s="48" t="s">
        <v>92</v>
      </c>
      <c r="BV81" s="48" t="s">
        <v>92</v>
      </c>
      <c r="BW81" s="48" t="s">
        <v>92</v>
      </c>
      <c r="BX81" s="48" t="s">
        <v>92</v>
      </c>
      <c r="BY81" s="48" t="s">
        <v>92</v>
      </c>
      <c r="BZ81" s="48" t="s">
        <v>92</v>
      </c>
      <c r="CA81" s="48" t="s">
        <v>92</v>
      </c>
      <c r="CB81" s="53" t="s">
        <v>115</v>
      </c>
      <c r="CC81" s="31"/>
      <c r="CD81" s="31"/>
      <c r="CE81" s="18"/>
      <c r="CF81" s="18"/>
      <c r="CG81" s="18"/>
      <c r="CH81" s="18"/>
    </row>
    <row r="82">
      <c r="A82" s="8"/>
      <c r="B82" s="9" t="s">
        <v>435</v>
      </c>
      <c r="C82" s="10" t="s">
        <v>436</v>
      </c>
      <c r="D82" s="9" t="s">
        <v>87</v>
      </c>
      <c r="E82" s="11" t="s">
        <v>488</v>
      </c>
      <c r="F82" s="12"/>
      <c r="G82" s="44" t="s">
        <v>433</v>
      </c>
      <c r="H82" s="9" t="s">
        <v>90</v>
      </c>
      <c r="I82" s="9" t="s">
        <v>489</v>
      </c>
      <c r="J82" s="14" t="s">
        <v>92</v>
      </c>
      <c r="K82" s="14" t="s">
        <v>92</v>
      </c>
      <c r="L82" s="14" t="s">
        <v>92</v>
      </c>
      <c r="M82" s="14" t="s">
        <v>92</v>
      </c>
      <c r="N82" s="14" t="s">
        <v>92</v>
      </c>
      <c r="O82" s="14" t="s">
        <v>92</v>
      </c>
      <c r="P82" s="14" t="s">
        <v>92</v>
      </c>
      <c r="Q82" s="14" t="s">
        <v>92</v>
      </c>
      <c r="R82" s="14" t="s">
        <v>92</v>
      </c>
      <c r="S82" s="14" t="s">
        <v>92</v>
      </c>
      <c r="T82" s="14" t="s">
        <v>92</v>
      </c>
      <c r="U82" s="14" t="s">
        <v>92</v>
      </c>
      <c r="V82" s="14" t="s">
        <v>92</v>
      </c>
      <c r="W82" s="14" t="s">
        <v>92</v>
      </c>
      <c r="X82" s="14" t="s">
        <v>92</v>
      </c>
      <c r="Y82" s="14" t="s">
        <v>92</v>
      </c>
      <c r="Z82" s="14" t="s">
        <v>93</v>
      </c>
      <c r="AA82" s="14" t="s">
        <v>92</v>
      </c>
      <c r="AB82" s="8" t="s">
        <v>92</v>
      </c>
      <c r="AC82" s="8" t="s">
        <v>93</v>
      </c>
      <c r="AD82" s="8" t="s">
        <v>92</v>
      </c>
      <c r="AE82" s="14" t="s">
        <v>112</v>
      </c>
      <c r="AF82" s="14" t="s">
        <v>92</v>
      </c>
      <c r="AG82" s="14" t="s">
        <v>95</v>
      </c>
      <c r="AH82" s="8" t="s">
        <v>105</v>
      </c>
      <c r="AI82" s="14" t="s">
        <v>92</v>
      </c>
      <c r="AJ82" s="14" t="s">
        <v>93</v>
      </c>
      <c r="AK82" s="14" t="s">
        <v>93</v>
      </c>
      <c r="AL82" s="14" t="s">
        <v>93</v>
      </c>
      <c r="AM82" s="8" t="s">
        <v>95</v>
      </c>
      <c r="AN82" s="14" t="s">
        <v>114</v>
      </c>
      <c r="AO82" s="8" t="s">
        <v>93</v>
      </c>
      <c r="AP82" s="8" t="s">
        <v>92</v>
      </c>
      <c r="AQ82" s="14" t="s">
        <v>93</v>
      </c>
      <c r="AR82" s="14" t="s">
        <v>93</v>
      </c>
      <c r="AS82" s="14" t="s">
        <v>92</v>
      </c>
      <c r="AT82" s="14" t="s">
        <v>93</v>
      </c>
      <c r="AU82" s="14" t="s">
        <v>93</v>
      </c>
      <c r="AV82" s="14" t="s">
        <v>93</v>
      </c>
      <c r="AW82" s="14" t="s">
        <v>93</v>
      </c>
      <c r="AX82" s="14" t="s">
        <v>92</v>
      </c>
      <c r="AY82" s="15" t="s">
        <v>441</v>
      </c>
      <c r="AZ82" s="15" t="s">
        <v>95</v>
      </c>
      <c r="BA82" s="9" t="s">
        <v>435</v>
      </c>
      <c r="BB82" s="8" t="s">
        <v>155</v>
      </c>
      <c r="BC82" s="8" t="s">
        <v>92</v>
      </c>
      <c r="BD82" s="14" t="s">
        <v>93</v>
      </c>
      <c r="BE82" s="14" t="s">
        <v>92</v>
      </c>
      <c r="BF82" s="14" t="s">
        <v>92</v>
      </c>
      <c r="BG82" s="14" t="s">
        <v>93</v>
      </c>
      <c r="BH82" s="14" t="s">
        <v>92</v>
      </c>
      <c r="BI82" s="14" t="s">
        <v>92</v>
      </c>
      <c r="BJ82" s="14" t="s">
        <v>92</v>
      </c>
      <c r="BK82" s="14" t="s">
        <v>453</v>
      </c>
      <c r="BL82" s="13" t="s">
        <v>92</v>
      </c>
      <c r="BM82" s="13" t="s">
        <v>92</v>
      </c>
      <c r="BN82" s="13" t="s">
        <v>92</v>
      </c>
      <c r="BO82" s="13" t="s">
        <v>93</v>
      </c>
      <c r="BP82" s="13" t="s">
        <v>93</v>
      </c>
      <c r="BQ82" s="8" t="s">
        <v>92</v>
      </c>
      <c r="BR82" s="8" t="s">
        <v>92</v>
      </c>
      <c r="BS82" s="8" t="s">
        <v>92</v>
      </c>
      <c r="BT82" s="8" t="s">
        <v>93</v>
      </c>
      <c r="BU82" s="8" t="s">
        <v>92</v>
      </c>
      <c r="BV82" s="8" t="s">
        <v>92</v>
      </c>
      <c r="BW82" s="8" t="s">
        <v>92</v>
      </c>
      <c r="BX82" s="8" t="s">
        <v>92</v>
      </c>
      <c r="BY82" s="8" t="s">
        <v>92</v>
      </c>
      <c r="BZ82" s="8" t="s">
        <v>92</v>
      </c>
      <c r="CA82" s="8" t="s">
        <v>92</v>
      </c>
      <c r="CB82" s="20" t="s">
        <v>455</v>
      </c>
      <c r="CC82" s="20" t="s">
        <v>456</v>
      </c>
      <c r="CD82" s="20" t="s">
        <v>442</v>
      </c>
      <c r="CE82" s="18"/>
      <c r="CF82" s="18"/>
      <c r="CG82" s="18"/>
      <c r="CH82" s="18"/>
    </row>
    <row r="83">
      <c r="A83" s="8"/>
      <c r="B83" s="16" t="s">
        <v>490</v>
      </c>
      <c r="C83" s="10" t="s">
        <v>491</v>
      </c>
      <c r="D83" s="9" t="s">
        <v>87</v>
      </c>
      <c r="E83" s="11" t="s">
        <v>492</v>
      </c>
      <c r="F83" s="12"/>
      <c r="G83" s="13" t="s">
        <v>493</v>
      </c>
      <c r="H83" s="13" t="s">
        <v>90</v>
      </c>
      <c r="I83" s="13" t="s">
        <v>494</v>
      </c>
      <c r="J83" s="13" t="s">
        <v>92</v>
      </c>
      <c r="K83" s="14" t="s">
        <v>92</v>
      </c>
      <c r="L83" s="14" t="s">
        <v>92</v>
      </c>
      <c r="M83" s="14" t="s">
        <v>92</v>
      </c>
      <c r="N83" s="14" t="s">
        <v>92</v>
      </c>
      <c r="O83" s="14" t="s">
        <v>92</v>
      </c>
      <c r="P83" s="14" t="s">
        <v>92</v>
      </c>
      <c r="Q83" s="14" t="s">
        <v>92</v>
      </c>
      <c r="R83" s="14" t="s">
        <v>92</v>
      </c>
      <c r="S83" s="13" t="s">
        <v>92</v>
      </c>
      <c r="T83" s="13" t="s">
        <v>92</v>
      </c>
      <c r="U83" s="13" t="s">
        <v>93</v>
      </c>
      <c r="V83" s="13" t="s">
        <v>92</v>
      </c>
      <c r="W83" s="13" t="s">
        <v>92</v>
      </c>
      <c r="X83" s="13" t="s">
        <v>92</v>
      </c>
      <c r="Y83" s="13" t="s">
        <v>92</v>
      </c>
      <c r="Z83" s="14" t="s">
        <v>92</v>
      </c>
      <c r="AA83" s="14" t="s">
        <v>92</v>
      </c>
      <c r="AB83" s="15" t="s">
        <v>93</v>
      </c>
      <c r="AC83" s="15" t="s">
        <v>92</v>
      </c>
      <c r="AD83" s="15" t="s">
        <v>92</v>
      </c>
      <c r="AE83" s="13" t="s">
        <v>148</v>
      </c>
      <c r="AF83" s="13" t="s">
        <v>92</v>
      </c>
      <c r="AG83" s="13" t="s">
        <v>95</v>
      </c>
      <c r="AH83" s="8" t="s">
        <v>105</v>
      </c>
      <c r="AI83" s="13" t="s">
        <v>93</v>
      </c>
      <c r="AJ83" s="13" t="s">
        <v>92</v>
      </c>
      <c r="AK83" s="13" t="s">
        <v>92</v>
      </c>
      <c r="AL83" s="14" t="s">
        <v>92</v>
      </c>
      <c r="AM83" s="8" t="s">
        <v>105</v>
      </c>
      <c r="AN83" s="14" t="s">
        <v>105</v>
      </c>
      <c r="AO83" s="8" t="s">
        <v>105</v>
      </c>
      <c r="AP83" s="15" t="s">
        <v>92</v>
      </c>
      <c r="AQ83" s="14" t="s">
        <v>92</v>
      </c>
      <c r="AR83" s="13" t="s">
        <v>93</v>
      </c>
      <c r="AS83" s="13" t="s">
        <v>92</v>
      </c>
      <c r="AT83" s="13" t="s">
        <v>93</v>
      </c>
      <c r="AU83" s="13" t="s">
        <v>93</v>
      </c>
      <c r="AV83" s="13" t="s">
        <v>93</v>
      </c>
      <c r="AW83" s="13" t="s">
        <v>93</v>
      </c>
      <c r="AX83" s="13" t="s">
        <v>92</v>
      </c>
      <c r="AY83" s="15" t="s">
        <v>95</v>
      </c>
      <c r="AZ83" s="15" t="s">
        <v>95</v>
      </c>
      <c r="BA83" s="16" t="s">
        <v>490</v>
      </c>
      <c r="BB83" s="8" t="s">
        <v>97</v>
      </c>
      <c r="BC83" s="15" t="s">
        <v>92</v>
      </c>
      <c r="BD83" s="13" t="s">
        <v>92</v>
      </c>
      <c r="BE83" s="13" t="s">
        <v>92</v>
      </c>
      <c r="BF83" s="13" t="s">
        <v>92</v>
      </c>
      <c r="BG83" s="13" t="s">
        <v>92</v>
      </c>
      <c r="BH83" s="13" t="s">
        <v>92</v>
      </c>
      <c r="BI83" s="13" t="s">
        <v>93</v>
      </c>
      <c r="BJ83" s="13" t="s">
        <v>92</v>
      </c>
      <c r="BK83" s="14" t="s">
        <v>105</v>
      </c>
      <c r="BL83" s="14" t="s">
        <v>105</v>
      </c>
      <c r="BM83" s="14" t="s">
        <v>105</v>
      </c>
      <c r="BN83" s="14" t="s">
        <v>105</v>
      </c>
      <c r="BO83" s="14" t="s">
        <v>105</v>
      </c>
      <c r="BP83" s="14" t="s">
        <v>105</v>
      </c>
      <c r="BQ83" s="15" t="s">
        <v>93</v>
      </c>
      <c r="BR83" s="15" t="s">
        <v>92</v>
      </c>
      <c r="BS83" s="15" t="s">
        <v>92</v>
      </c>
      <c r="BT83" s="15" t="s">
        <v>92</v>
      </c>
      <c r="BU83" s="15" t="s">
        <v>92</v>
      </c>
      <c r="BV83" s="15" t="s">
        <v>92</v>
      </c>
      <c r="BW83" s="15" t="s">
        <v>92</v>
      </c>
      <c r="BX83" s="15" t="s">
        <v>92</v>
      </c>
      <c r="BY83" s="15" t="s">
        <v>92</v>
      </c>
      <c r="BZ83" s="15" t="s">
        <v>92</v>
      </c>
      <c r="CA83" s="15" t="s">
        <v>92</v>
      </c>
      <c r="CB83" s="17" t="s">
        <v>240</v>
      </c>
      <c r="CC83" s="17"/>
      <c r="CD83" s="18"/>
      <c r="CE83" s="18"/>
      <c r="CF83" s="18"/>
      <c r="CG83" s="18"/>
      <c r="CH83" s="14"/>
    </row>
    <row r="84">
      <c r="A84" s="8"/>
      <c r="B84" s="16" t="s">
        <v>490</v>
      </c>
      <c r="C84" s="10" t="s">
        <v>491</v>
      </c>
      <c r="D84" s="9" t="s">
        <v>87</v>
      </c>
      <c r="E84" s="11" t="s">
        <v>495</v>
      </c>
      <c r="F84" s="12"/>
      <c r="G84" s="14" t="s">
        <v>496</v>
      </c>
      <c r="H84" s="14" t="s">
        <v>90</v>
      </c>
      <c r="I84" s="14" t="s">
        <v>497</v>
      </c>
      <c r="J84" s="14" t="s">
        <v>92</v>
      </c>
      <c r="K84" s="14" t="s">
        <v>92</v>
      </c>
      <c r="L84" s="14" t="s">
        <v>92</v>
      </c>
      <c r="M84" s="14" t="s">
        <v>93</v>
      </c>
      <c r="N84" s="14" t="s">
        <v>92</v>
      </c>
      <c r="O84" s="14" t="s">
        <v>92</v>
      </c>
      <c r="P84" s="14" t="s">
        <v>92</v>
      </c>
      <c r="Q84" s="14" t="s">
        <v>92</v>
      </c>
      <c r="R84" s="14" t="s">
        <v>92</v>
      </c>
      <c r="S84" s="14" t="s">
        <v>92</v>
      </c>
      <c r="T84" s="14" t="s">
        <v>92</v>
      </c>
      <c r="U84" s="14" t="s">
        <v>92</v>
      </c>
      <c r="V84" s="14" t="s">
        <v>92</v>
      </c>
      <c r="W84" s="14" t="s">
        <v>92</v>
      </c>
      <c r="X84" s="14" t="s">
        <v>93</v>
      </c>
      <c r="Y84" s="14" t="s">
        <v>92</v>
      </c>
      <c r="Z84" s="14" t="s">
        <v>93</v>
      </c>
      <c r="AA84" s="14" t="s">
        <v>92</v>
      </c>
      <c r="AB84" s="8" t="s">
        <v>93</v>
      </c>
      <c r="AC84" s="8" t="s">
        <v>93</v>
      </c>
      <c r="AD84" s="8" t="s">
        <v>92</v>
      </c>
      <c r="AE84" s="14" t="s">
        <v>112</v>
      </c>
      <c r="AF84" s="14" t="s">
        <v>92</v>
      </c>
      <c r="AG84" s="14" t="s">
        <v>95</v>
      </c>
      <c r="AH84" s="8" t="s">
        <v>105</v>
      </c>
      <c r="AI84" s="14" t="s">
        <v>92</v>
      </c>
      <c r="AJ84" s="14" t="s">
        <v>93</v>
      </c>
      <c r="AK84" s="14" t="s">
        <v>93</v>
      </c>
      <c r="AL84" s="14" t="s">
        <v>92</v>
      </c>
      <c r="AM84" s="8" t="s">
        <v>95</v>
      </c>
      <c r="AN84" s="14" t="s">
        <v>114</v>
      </c>
      <c r="AO84" s="8" t="s">
        <v>93</v>
      </c>
      <c r="AP84" s="15" t="s">
        <v>92</v>
      </c>
      <c r="AQ84" s="14" t="s">
        <v>92</v>
      </c>
      <c r="AR84" s="13" t="s">
        <v>93</v>
      </c>
      <c r="AS84" s="13" t="s">
        <v>92</v>
      </c>
      <c r="AT84" s="13" t="s">
        <v>93</v>
      </c>
      <c r="AU84" s="13" t="s">
        <v>93</v>
      </c>
      <c r="AV84" s="13" t="s">
        <v>93</v>
      </c>
      <c r="AW84" s="13" t="s">
        <v>93</v>
      </c>
      <c r="AX84" s="13" t="s">
        <v>92</v>
      </c>
      <c r="AY84" s="15" t="s">
        <v>95</v>
      </c>
      <c r="AZ84" s="15" t="s">
        <v>95</v>
      </c>
      <c r="BA84" s="16" t="s">
        <v>490</v>
      </c>
      <c r="BB84" s="8" t="s">
        <v>97</v>
      </c>
      <c r="BC84" s="8" t="s">
        <v>92</v>
      </c>
      <c r="BD84" s="14" t="s">
        <v>93</v>
      </c>
      <c r="BE84" s="14" t="s">
        <v>92</v>
      </c>
      <c r="BF84" s="14" t="s">
        <v>92</v>
      </c>
      <c r="BG84" s="14" t="s">
        <v>93</v>
      </c>
      <c r="BH84" s="14" t="s">
        <v>92</v>
      </c>
      <c r="BI84" s="14" t="s">
        <v>92</v>
      </c>
      <c r="BJ84" s="14" t="s">
        <v>92</v>
      </c>
      <c r="BK84" s="14" t="s">
        <v>498</v>
      </c>
      <c r="BL84" s="14" t="s">
        <v>93</v>
      </c>
      <c r="BM84" s="14" t="s">
        <v>92</v>
      </c>
      <c r="BN84" s="14" t="s">
        <v>92</v>
      </c>
      <c r="BO84" s="14" t="s">
        <v>92</v>
      </c>
      <c r="BP84" s="14" t="s">
        <v>92</v>
      </c>
      <c r="BQ84" s="8" t="s">
        <v>92</v>
      </c>
      <c r="BR84" s="8" t="s">
        <v>92</v>
      </c>
      <c r="BS84" s="8" t="s">
        <v>92</v>
      </c>
      <c r="BT84" s="8" t="s">
        <v>93</v>
      </c>
      <c r="BU84" s="8" t="s">
        <v>92</v>
      </c>
      <c r="BV84" s="8" t="s">
        <v>92</v>
      </c>
      <c r="BW84" s="8" t="s">
        <v>92</v>
      </c>
      <c r="BX84" s="8" t="s">
        <v>92</v>
      </c>
      <c r="BY84" s="8" t="s">
        <v>92</v>
      </c>
      <c r="BZ84" s="8" t="s">
        <v>92</v>
      </c>
      <c r="CA84" s="8" t="s">
        <v>92</v>
      </c>
      <c r="CB84" s="20" t="s">
        <v>115</v>
      </c>
      <c r="CC84" s="17"/>
      <c r="CD84" s="18"/>
      <c r="CE84" s="18"/>
      <c r="CF84" s="18"/>
      <c r="CG84" s="18"/>
      <c r="CH84" s="14"/>
    </row>
    <row r="85">
      <c r="A85" s="8"/>
      <c r="B85" s="28" t="s">
        <v>490</v>
      </c>
      <c r="C85" s="10" t="s">
        <v>491</v>
      </c>
      <c r="D85" s="9" t="s">
        <v>87</v>
      </c>
      <c r="E85" s="11" t="s">
        <v>499</v>
      </c>
      <c r="F85" s="12"/>
      <c r="G85" s="14" t="s">
        <v>500</v>
      </c>
      <c r="H85" s="13" t="s">
        <v>90</v>
      </c>
      <c r="I85" s="13" t="s">
        <v>501</v>
      </c>
      <c r="J85" s="13" t="s">
        <v>92</v>
      </c>
      <c r="K85" s="14" t="s">
        <v>92</v>
      </c>
      <c r="L85" s="14" t="s">
        <v>92</v>
      </c>
      <c r="M85" s="14" t="s">
        <v>93</v>
      </c>
      <c r="N85" s="14" t="s">
        <v>92</v>
      </c>
      <c r="O85" s="14" t="s">
        <v>92</v>
      </c>
      <c r="P85" s="14" t="s">
        <v>92</v>
      </c>
      <c r="Q85" s="14" t="s">
        <v>93</v>
      </c>
      <c r="R85" s="14" t="s">
        <v>92</v>
      </c>
      <c r="S85" s="13" t="s">
        <v>92</v>
      </c>
      <c r="T85" s="13" t="s">
        <v>92</v>
      </c>
      <c r="U85" s="13" t="s">
        <v>93</v>
      </c>
      <c r="V85" s="13" t="s">
        <v>92</v>
      </c>
      <c r="W85" s="13" t="s">
        <v>92</v>
      </c>
      <c r="X85" s="13" t="s">
        <v>92</v>
      </c>
      <c r="Y85" s="13" t="s">
        <v>92</v>
      </c>
      <c r="Z85" s="14" t="s">
        <v>92</v>
      </c>
      <c r="AA85" s="14" t="s">
        <v>92</v>
      </c>
      <c r="AB85" s="15" t="s">
        <v>93</v>
      </c>
      <c r="AC85" s="15" t="s">
        <v>92</v>
      </c>
      <c r="AD85" s="15" t="s">
        <v>92</v>
      </c>
      <c r="AE85" s="13" t="s">
        <v>94</v>
      </c>
      <c r="AF85" s="13" t="s">
        <v>92</v>
      </c>
      <c r="AG85" s="13" t="s">
        <v>95</v>
      </c>
      <c r="AH85" s="15">
        <v>2020.0</v>
      </c>
      <c r="AI85" s="13" t="s">
        <v>93</v>
      </c>
      <c r="AJ85" s="13" t="s">
        <v>92</v>
      </c>
      <c r="AK85" s="13" t="s">
        <v>92</v>
      </c>
      <c r="AL85" s="14" t="s">
        <v>92</v>
      </c>
      <c r="AM85" s="15">
        <v>2020.0</v>
      </c>
      <c r="AN85" s="13" t="s">
        <v>96</v>
      </c>
      <c r="AO85" s="15" t="s">
        <v>92</v>
      </c>
      <c r="AP85" s="15" t="s">
        <v>93</v>
      </c>
      <c r="AQ85" s="14" t="s">
        <v>92</v>
      </c>
      <c r="AR85" s="13" t="s">
        <v>93</v>
      </c>
      <c r="AS85" s="13" t="s">
        <v>92</v>
      </c>
      <c r="AT85" s="13" t="s">
        <v>93</v>
      </c>
      <c r="AU85" s="13" t="s">
        <v>93</v>
      </c>
      <c r="AV85" s="13" t="s">
        <v>93</v>
      </c>
      <c r="AW85" s="13" t="s">
        <v>93</v>
      </c>
      <c r="AX85" s="13" t="s">
        <v>92</v>
      </c>
      <c r="AY85" s="15" t="s">
        <v>95</v>
      </c>
      <c r="AZ85" s="15" t="s">
        <v>95</v>
      </c>
      <c r="BA85" s="16" t="s">
        <v>490</v>
      </c>
      <c r="BB85" s="8" t="s">
        <v>97</v>
      </c>
      <c r="BC85" s="15" t="s">
        <v>92</v>
      </c>
      <c r="BD85" s="13" t="s">
        <v>92</v>
      </c>
      <c r="BE85" s="13" t="s">
        <v>92</v>
      </c>
      <c r="BF85" s="13" t="s">
        <v>92</v>
      </c>
      <c r="BG85" s="13" t="s">
        <v>92</v>
      </c>
      <c r="BH85" s="13" t="s">
        <v>92</v>
      </c>
      <c r="BI85" s="13" t="s">
        <v>93</v>
      </c>
      <c r="BJ85" s="13" t="s">
        <v>92</v>
      </c>
      <c r="BK85" s="14" t="s">
        <v>502</v>
      </c>
      <c r="BL85" s="13" t="s">
        <v>93</v>
      </c>
      <c r="BM85" s="13" t="s">
        <v>92</v>
      </c>
      <c r="BN85" s="13" t="s">
        <v>93</v>
      </c>
      <c r="BO85" s="13" t="s">
        <v>93</v>
      </c>
      <c r="BP85" s="13" t="s">
        <v>93</v>
      </c>
      <c r="BQ85" s="15" t="s">
        <v>93</v>
      </c>
      <c r="BR85" s="15" t="s">
        <v>92</v>
      </c>
      <c r="BS85" s="15" t="s">
        <v>92</v>
      </c>
      <c r="BT85" s="15" t="s">
        <v>92</v>
      </c>
      <c r="BU85" s="15" t="s">
        <v>92</v>
      </c>
      <c r="BV85" s="15" t="s">
        <v>92</v>
      </c>
      <c r="BW85" s="15" t="s">
        <v>92</v>
      </c>
      <c r="BX85" s="15" t="s">
        <v>92</v>
      </c>
      <c r="BY85" s="15" t="s">
        <v>92</v>
      </c>
      <c r="BZ85" s="15" t="s">
        <v>92</v>
      </c>
      <c r="CA85" s="15" t="s">
        <v>92</v>
      </c>
      <c r="CB85" s="17" t="s">
        <v>240</v>
      </c>
      <c r="CC85" s="17"/>
      <c r="CD85" s="18"/>
      <c r="CE85" s="18"/>
      <c r="CF85" s="18"/>
      <c r="CG85" s="18"/>
      <c r="CH85" s="14"/>
    </row>
    <row r="86">
      <c r="A86" s="8"/>
      <c r="B86" s="9" t="s">
        <v>503</v>
      </c>
      <c r="C86" s="10" t="s">
        <v>504</v>
      </c>
      <c r="D86" s="9" t="s">
        <v>87</v>
      </c>
      <c r="E86" s="11" t="s">
        <v>505</v>
      </c>
      <c r="F86" s="12"/>
      <c r="G86" s="13" t="s">
        <v>506</v>
      </c>
      <c r="H86" s="13" t="s">
        <v>90</v>
      </c>
      <c r="I86" s="14" t="s">
        <v>507</v>
      </c>
      <c r="J86" s="13" t="s">
        <v>92</v>
      </c>
      <c r="K86" s="14" t="s">
        <v>92</v>
      </c>
      <c r="L86" s="14" t="s">
        <v>92</v>
      </c>
      <c r="M86" s="14" t="s">
        <v>93</v>
      </c>
      <c r="N86" s="14" t="s">
        <v>92</v>
      </c>
      <c r="O86" s="14" t="s">
        <v>92</v>
      </c>
      <c r="P86" s="14" t="s">
        <v>92</v>
      </c>
      <c r="Q86" s="14" t="s">
        <v>92</v>
      </c>
      <c r="R86" s="14" t="s">
        <v>92</v>
      </c>
      <c r="S86" s="13" t="s">
        <v>92</v>
      </c>
      <c r="T86" s="13" t="s">
        <v>92</v>
      </c>
      <c r="U86" s="13" t="s">
        <v>93</v>
      </c>
      <c r="V86" s="13" t="s">
        <v>92</v>
      </c>
      <c r="W86" s="13" t="s">
        <v>92</v>
      </c>
      <c r="X86" s="13" t="s">
        <v>92</v>
      </c>
      <c r="Y86" s="13" t="s">
        <v>92</v>
      </c>
      <c r="Z86" s="14" t="s">
        <v>92</v>
      </c>
      <c r="AA86" s="14" t="s">
        <v>92</v>
      </c>
      <c r="AB86" s="15" t="s">
        <v>93</v>
      </c>
      <c r="AC86" s="15" t="s">
        <v>92</v>
      </c>
      <c r="AD86" s="15" t="s">
        <v>92</v>
      </c>
      <c r="AE86" s="13" t="s">
        <v>94</v>
      </c>
      <c r="AF86" s="13" t="s">
        <v>92</v>
      </c>
      <c r="AG86" s="13" t="s">
        <v>95</v>
      </c>
      <c r="AH86" s="8" t="s">
        <v>105</v>
      </c>
      <c r="AI86" s="13" t="s">
        <v>92</v>
      </c>
      <c r="AJ86" s="13" t="s">
        <v>92</v>
      </c>
      <c r="AK86" s="13" t="s">
        <v>93</v>
      </c>
      <c r="AL86" s="14" t="s">
        <v>92</v>
      </c>
      <c r="AM86" s="8" t="s">
        <v>105</v>
      </c>
      <c r="AN86" s="13" t="s">
        <v>96</v>
      </c>
      <c r="AO86" s="15" t="s">
        <v>92</v>
      </c>
      <c r="AP86" s="15" t="s">
        <v>92</v>
      </c>
      <c r="AQ86" s="14" t="s">
        <v>92</v>
      </c>
      <c r="AR86" s="13" t="s">
        <v>93</v>
      </c>
      <c r="AS86" s="13" t="s">
        <v>92</v>
      </c>
      <c r="AT86" s="13" t="s">
        <v>93</v>
      </c>
      <c r="AU86" s="13" t="s">
        <v>93</v>
      </c>
      <c r="AV86" s="13" t="s">
        <v>93</v>
      </c>
      <c r="AW86" s="13" t="s">
        <v>93</v>
      </c>
      <c r="AX86" s="13" t="s">
        <v>92</v>
      </c>
      <c r="AY86" s="15" t="s">
        <v>95</v>
      </c>
      <c r="AZ86" s="15" t="s">
        <v>95</v>
      </c>
      <c r="BA86" s="16" t="s">
        <v>508</v>
      </c>
      <c r="BB86" s="8" t="s">
        <v>105</v>
      </c>
      <c r="BC86" s="8" t="s">
        <v>105</v>
      </c>
      <c r="BD86" s="13" t="s">
        <v>92</v>
      </c>
      <c r="BE86" s="13" t="s">
        <v>92</v>
      </c>
      <c r="BF86" s="13" t="s">
        <v>92</v>
      </c>
      <c r="BG86" s="13" t="s">
        <v>92</v>
      </c>
      <c r="BH86" s="13" t="s">
        <v>92</v>
      </c>
      <c r="BI86" s="13" t="s">
        <v>93</v>
      </c>
      <c r="BJ86" s="13" t="s">
        <v>92</v>
      </c>
      <c r="BK86" s="14" t="s">
        <v>502</v>
      </c>
      <c r="BL86" s="13" t="s">
        <v>93</v>
      </c>
      <c r="BM86" s="13" t="s">
        <v>92</v>
      </c>
      <c r="BN86" s="13" t="s">
        <v>93</v>
      </c>
      <c r="BO86" s="13" t="s">
        <v>93</v>
      </c>
      <c r="BP86" s="13" t="s">
        <v>93</v>
      </c>
      <c r="BQ86" s="15" t="s">
        <v>93</v>
      </c>
      <c r="BR86" s="15" t="s">
        <v>92</v>
      </c>
      <c r="BS86" s="15" t="s">
        <v>92</v>
      </c>
      <c r="BT86" s="15" t="s">
        <v>92</v>
      </c>
      <c r="BU86" s="15" t="s">
        <v>92</v>
      </c>
      <c r="BV86" s="15" t="s">
        <v>92</v>
      </c>
      <c r="BW86" s="15" t="s">
        <v>92</v>
      </c>
      <c r="BX86" s="15" t="s">
        <v>92</v>
      </c>
      <c r="BY86" s="15" t="s">
        <v>92</v>
      </c>
      <c r="BZ86" s="15" t="s">
        <v>92</v>
      </c>
      <c r="CA86" s="15" t="s">
        <v>92</v>
      </c>
      <c r="CB86" s="17" t="s">
        <v>106</v>
      </c>
      <c r="CC86" s="39" t="s">
        <v>509</v>
      </c>
      <c r="CD86" s="18"/>
      <c r="CE86" s="18"/>
      <c r="CF86" s="18"/>
      <c r="CG86" s="18"/>
      <c r="CH86" s="14"/>
    </row>
    <row r="87">
      <c r="A87" s="8"/>
      <c r="B87" s="9" t="s">
        <v>503</v>
      </c>
      <c r="C87" s="10" t="s">
        <v>504</v>
      </c>
      <c r="D87" s="9" t="s">
        <v>87</v>
      </c>
      <c r="E87" s="11" t="s">
        <v>510</v>
      </c>
      <c r="F87" s="12"/>
      <c r="G87" s="13" t="s">
        <v>511</v>
      </c>
      <c r="H87" s="14" t="s">
        <v>110</v>
      </c>
      <c r="I87" s="13" t="s">
        <v>512</v>
      </c>
      <c r="J87" s="14" t="s">
        <v>92</v>
      </c>
      <c r="K87" s="14" t="s">
        <v>92</v>
      </c>
      <c r="L87" s="14" t="s">
        <v>93</v>
      </c>
      <c r="M87" s="14" t="s">
        <v>92</v>
      </c>
      <c r="N87" s="14" t="s">
        <v>92</v>
      </c>
      <c r="O87" s="14" t="s">
        <v>93</v>
      </c>
      <c r="P87" s="14" t="s">
        <v>92</v>
      </c>
      <c r="Q87" s="14" t="s">
        <v>92</v>
      </c>
      <c r="R87" s="14" t="s">
        <v>92</v>
      </c>
      <c r="S87" s="13" t="s">
        <v>93</v>
      </c>
      <c r="T87" s="13" t="s">
        <v>92</v>
      </c>
      <c r="U87" s="13" t="s">
        <v>92</v>
      </c>
      <c r="V87" s="13" t="s">
        <v>92</v>
      </c>
      <c r="W87" s="13" t="s">
        <v>92</v>
      </c>
      <c r="X87" s="13" t="s">
        <v>92</v>
      </c>
      <c r="Y87" s="13" t="s">
        <v>92</v>
      </c>
      <c r="Z87" s="14" t="s">
        <v>93</v>
      </c>
      <c r="AA87" s="14" t="s">
        <v>93</v>
      </c>
      <c r="AB87" s="8" t="s">
        <v>93</v>
      </c>
      <c r="AC87" s="8" t="s">
        <v>92</v>
      </c>
      <c r="AD87" s="8" t="s">
        <v>92</v>
      </c>
      <c r="AE87" s="14" t="s">
        <v>103</v>
      </c>
      <c r="AF87" s="13" t="s">
        <v>92</v>
      </c>
      <c r="AG87" s="13" t="s">
        <v>95</v>
      </c>
      <c r="AH87" s="15">
        <v>2022.0</v>
      </c>
      <c r="AI87" s="13" t="s">
        <v>92</v>
      </c>
      <c r="AJ87" s="13" t="s">
        <v>92</v>
      </c>
      <c r="AK87" s="13" t="s">
        <v>93</v>
      </c>
      <c r="AL87" s="14" t="s">
        <v>92</v>
      </c>
      <c r="AM87" s="8" t="s">
        <v>105</v>
      </c>
      <c r="AN87" s="14" t="s">
        <v>105</v>
      </c>
      <c r="AO87" s="8" t="s">
        <v>105</v>
      </c>
      <c r="AP87" s="15" t="s">
        <v>92</v>
      </c>
      <c r="AQ87" s="14" t="s">
        <v>92</v>
      </c>
      <c r="AR87" s="13" t="s">
        <v>93</v>
      </c>
      <c r="AS87" s="13" t="s">
        <v>92</v>
      </c>
      <c r="AT87" s="13" t="s">
        <v>93</v>
      </c>
      <c r="AU87" s="13" t="s">
        <v>93</v>
      </c>
      <c r="AV87" s="13" t="s">
        <v>93</v>
      </c>
      <c r="AW87" s="13" t="s">
        <v>93</v>
      </c>
      <c r="AX87" s="13" t="s">
        <v>92</v>
      </c>
      <c r="AY87" s="15" t="s">
        <v>513</v>
      </c>
      <c r="AZ87" s="15" t="s">
        <v>95</v>
      </c>
      <c r="BA87" s="16" t="s">
        <v>490</v>
      </c>
      <c r="BB87" s="8" t="s">
        <v>97</v>
      </c>
      <c r="BC87" s="15" t="s">
        <v>92</v>
      </c>
      <c r="BD87" s="13" t="s">
        <v>93</v>
      </c>
      <c r="BE87" s="13" t="s">
        <v>92</v>
      </c>
      <c r="BF87" s="13" t="s">
        <v>92</v>
      </c>
      <c r="BG87" s="13" t="s">
        <v>92</v>
      </c>
      <c r="BH87" s="13" t="s">
        <v>92</v>
      </c>
      <c r="BI87" s="14" t="s">
        <v>92</v>
      </c>
      <c r="BJ87" s="13" t="s">
        <v>92</v>
      </c>
      <c r="BK87" s="14" t="s">
        <v>502</v>
      </c>
      <c r="BL87" s="13" t="s">
        <v>93</v>
      </c>
      <c r="BM87" s="13" t="s">
        <v>92</v>
      </c>
      <c r="BN87" s="13" t="s">
        <v>93</v>
      </c>
      <c r="BO87" s="13" t="s">
        <v>93</v>
      </c>
      <c r="BP87" s="13" t="s">
        <v>93</v>
      </c>
      <c r="BQ87" s="15" t="s">
        <v>92</v>
      </c>
      <c r="BR87" s="15" t="s">
        <v>92</v>
      </c>
      <c r="BS87" s="15" t="s">
        <v>93</v>
      </c>
      <c r="BT87" s="8" t="s">
        <v>93</v>
      </c>
      <c r="BU87" s="15" t="s">
        <v>92</v>
      </c>
      <c r="BV87" s="15" t="s">
        <v>92</v>
      </c>
      <c r="BW87" s="15" t="s">
        <v>92</v>
      </c>
      <c r="BX87" s="15" t="s">
        <v>92</v>
      </c>
      <c r="BY87" s="15" t="s">
        <v>92</v>
      </c>
      <c r="BZ87" s="8" t="s">
        <v>93</v>
      </c>
      <c r="CA87" s="15" t="s">
        <v>92</v>
      </c>
      <c r="CB87" s="17" t="s">
        <v>106</v>
      </c>
      <c r="CC87" s="17"/>
      <c r="CD87" s="18"/>
      <c r="CE87" s="18"/>
      <c r="CF87" s="18"/>
      <c r="CG87" s="18"/>
      <c r="CH87" s="14"/>
    </row>
    <row r="88">
      <c r="A88" s="8"/>
      <c r="B88" s="16" t="s">
        <v>490</v>
      </c>
      <c r="C88" s="10" t="s">
        <v>491</v>
      </c>
      <c r="D88" s="9" t="s">
        <v>87</v>
      </c>
      <c r="E88" s="11" t="s">
        <v>514</v>
      </c>
      <c r="F88" s="12"/>
      <c r="G88" s="14" t="s">
        <v>515</v>
      </c>
      <c r="H88" s="14" t="s">
        <v>110</v>
      </c>
      <c r="I88" s="14" t="s">
        <v>516</v>
      </c>
      <c r="J88" s="14" t="s">
        <v>93</v>
      </c>
      <c r="K88" s="14" t="s">
        <v>92</v>
      </c>
      <c r="L88" s="14" t="s">
        <v>93</v>
      </c>
      <c r="M88" s="14" t="s">
        <v>92</v>
      </c>
      <c r="N88" s="14" t="s">
        <v>92</v>
      </c>
      <c r="O88" s="14" t="s">
        <v>92</v>
      </c>
      <c r="P88" s="14" t="s">
        <v>92</v>
      </c>
      <c r="Q88" s="14" t="s">
        <v>92</v>
      </c>
      <c r="R88" s="14" t="s">
        <v>92</v>
      </c>
      <c r="S88" s="14" t="s">
        <v>93</v>
      </c>
      <c r="T88" s="14" t="s">
        <v>92</v>
      </c>
      <c r="U88" s="14" t="s">
        <v>92</v>
      </c>
      <c r="V88" s="14" t="s">
        <v>92</v>
      </c>
      <c r="W88" s="14" t="s">
        <v>92</v>
      </c>
      <c r="X88" s="14" t="s">
        <v>92</v>
      </c>
      <c r="Y88" s="14" t="s">
        <v>92</v>
      </c>
      <c r="Z88" s="14" t="s">
        <v>93</v>
      </c>
      <c r="AA88" s="14" t="s">
        <v>92</v>
      </c>
      <c r="AB88" s="8" t="s">
        <v>92</v>
      </c>
      <c r="AC88" s="8" t="s">
        <v>93</v>
      </c>
      <c r="AD88" s="8" t="s">
        <v>92</v>
      </c>
      <c r="AE88" s="14" t="s">
        <v>112</v>
      </c>
      <c r="AF88" s="14" t="s">
        <v>92</v>
      </c>
      <c r="AG88" s="14" t="s">
        <v>95</v>
      </c>
      <c r="AH88" s="8">
        <v>2015.0</v>
      </c>
      <c r="AI88" s="14" t="s">
        <v>93</v>
      </c>
      <c r="AJ88" s="14" t="s">
        <v>93</v>
      </c>
      <c r="AK88" s="14" t="s">
        <v>93</v>
      </c>
      <c r="AL88" s="14" t="s">
        <v>93</v>
      </c>
      <c r="AM88" s="8" t="s">
        <v>95</v>
      </c>
      <c r="AN88" s="14" t="s">
        <v>114</v>
      </c>
      <c r="AO88" s="8" t="s">
        <v>93</v>
      </c>
      <c r="AP88" s="8" t="s">
        <v>92</v>
      </c>
      <c r="AQ88" s="14" t="s">
        <v>92</v>
      </c>
      <c r="AR88" s="14" t="s">
        <v>93</v>
      </c>
      <c r="AS88" s="14" t="s">
        <v>92</v>
      </c>
      <c r="AT88" s="14" t="s">
        <v>93</v>
      </c>
      <c r="AU88" s="14" t="s">
        <v>93</v>
      </c>
      <c r="AV88" s="14" t="s">
        <v>93</v>
      </c>
      <c r="AW88" s="14" t="s">
        <v>93</v>
      </c>
      <c r="AX88" s="14" t="s">
        <v>92</v>
      </c>
      <c r="AY88" s="8" t="s">
        <v>95</v>
      </c>
      <c r="AZ88" s="8" t="s">
        <v>95</v>
      </c>
      <c r="BA88" s="9" t="s">
        <v>490</v>
      </c>
      <c r="BB88" s="8" t="s">
        <v>97</v>
      </c>
      <c r="BC88" s="8" t="s">
        <v>92</v>
      </c>
      <c r="BD88" s="14" t="s">
        <v>93</v>
      </c>
      <c r="BE88" s="14" t="s">
        <v>92</v>
      </c>
      <c r="BF88" s="14" t="s">
        <v>92</v>
      </c>
      <c r="BG88" s="14" t="s">
        <v>92</v>
      </c>
      <c r="BH88" s="14" t="s">
        <v>92</v>
      </c>
      <c r="BI88" s="14" t="s">
        <v>92</v>
      </c>
      <c r="BJ88" s="14" t="s">
        <v>92</v>
      </c>
      <c r="BK88" s="14" t="s">
        <v>498</v>
      </c>
      <c r="BL88" s="14" t="s">
        <v>93</v>
      </c>
      <c r="BM88" s="14" t="s">
        <v>92</v>
      </c>
      <c r="BN88" s="14" t="s">
        <v>92</v>
      </c>
      <c r="BO88" s="14" t="s">
        <v>92</v>
      </c>
      <c r="BP88" s="14" t="s">
        <v>92</v>
      </c>
      <c r="BQ88" s="8" t="s">
        <v>92</v>
      </c>
      <c r="BR88" s="8" t="s">
        <v>92</v>
      </c>
      <c r="BS88" s="8" t="s">
        <v>92</v>
      </c>
      <c r="BT88" s="8" t="s">
        <v>93</v>
      </c>
      <c r="BU88" s="8" t="s">
        <v>92</v>
      </c>
      <c r="BV88" s="8" t="s">
        <v>92</v>
      </c>
      <c r="BW88" s="8" t="s">
        <v>92</v>
      </c>
      <c r="BX88" s="8" t="s">
        <v>92</v>
      </c>
      <c r="BY88" s="8" t="s">
        <v>92</v>
      </c>
      <c r="BZ88" s="8" t="s">
        <v>93</v>
      </c>
      <c r="CA88" s="8" t="s">
        <v>92</v>
      </c>
      <c r="CB88" s="17" t="s">
        <v>240</v>
      </c>
      <c r="CC88" s="20" t="s">
        <v>115</v>
      </c>
      <c r="CD88" s="17" t="s">
        <v>106</v>
      </c>
      <c r="CE88" s="20" t="s">
        <v>116</v>
      </c>
      <c r="CF88" s="18"/>
      <c r="CG88" s="18"/>
      <c r="CH88" s="14"/>
    </row>
    <row r="89">
      <c r="A89" s="8"/>
      <c r="B89" s="16" t="s">
        <v>490</v>
      </c>
      <c r="C89" s="10" t="s">
        <v>491</v>
      </c>
      <c r="D89" s="9" t="s">
        <v>87</v>
      </c>
      <c r="E89" s="11" t="s">
        <v>517</v>
      </c>
      <c r="F89" s="12"/>
      <c r="G89" s="14" t="s">
        <v>94</v>
      </c>
      <c r="H89" s="14" t="s">
        <v>90</v>
      </c>
      <c r="I89" s="14" t="s">
        <v>518</v>
      </c>
      <c r="J89" s="14" t="s">
        <v>92</v>
      </c>
      <c r="K89" s="14" t="s">
        <v>92</v>
      </c>
      <c r="L89" s="14" t="s">
        <v>92</v>
      </c>
      <c r="M89" s="14" t="s">
        <v>92</v>
      </c>
      <c r="N89" s="14" t="s">
        <v>92</v>
      </c>
      <c r="O89" s="14" t="s">
        <v>92</v>
      </c>
      <c r="P89" s="14" t="s">
        <v>92</v>
      </c>
      <c r="Q89" s="14" t="s">
        <v>92</v>
      </c>
      <c r="R89" s="14" t="s">
        <v>92</v>
      </c>
      <c r="S89" s="14" t="s">
        <v>92</v>
      </c>
      <c r="T89" s="14" t="s">
        <v>92</v>
      </c>
      <c r="U89" s="14" t="s">
        <v>93</v>
      </c>
      <c r="V89" s="14" t="s">
        <v>92</v>
      </c>
      <c r="W89" s="14" t="s">
        <v>92</v>
      </c>
      <c r="X89" s="14" t="s">
        <v>92</v>
      </c>
      <c r="Y89" s="14" t="s">
        <v>92</v>
      </c>
      <c r="Z89" s="14" t="s">
        <v>92</v>
      </c>
      <c r="AA89" s="14" t="s">
        <v>92</v>
      </c>
      <c r="AB89" s="8" t="s">
        <v>93</v>
      </c>
      <c r="AC89" s="8" t="s">
        <v>92</v>
      </c>
      <c r="AD89" s="8" t="s">
        <v>92</v>
      </c>
      <c r="AE89" s="14" t="s">
        <v>94</v>
      </c>
      <c r="AF89" s="14" t="s">
        <v>92</v>
      </c>
      <c r="AG89" s="14" t="s">
        <v>95</v>
      </c>
      <c r="AH89" s="8" t="s">
        <v>105</v>
      </c>
      <c r="AI89" s="14" t="s">
        <v>92</v>
      </c>
      <c r="AJ89" s="14" t="s">
        <v>92</v>
      </c>
      <c r="AK89" s="14" t="s">
        <v>92</v>
      </c>
      <c r="AL89" s="14" t="s">
        <v>93</v>
      </c>
      <c r="AM89" s="8" t="s">
        <v>105</v>
      </c>
      <c r="AN89" s="14" t="s">
        <v>105</v>
      </c>
      <c r="AO89" s="8" t="s">
        <v>105</v>
      </c>
      <c r="AP89" s="8" t="s">
        <v>92</v>
      </c>
      <c r="AQ89" s="14" t="s">
        <v>92</v>
      </c>
      <c r="AR89" s="14" t="s">
        <v>93</v>
      </c>
      <c r="AS89" s="14" t="s">
        <v>92</v>
      </c>
      <c r="AT89" s="14" t="s">
        <v>93</v>
      </c>
      <c r="AU89" s="14" t="s">
        <v>93</v>
      </c>
      <c r="AV89" s="14" t="s">
        <v>93</v>
      </c>
      <c r="AW89" s="14" t="s">
        <v>93</v>
      </c>
      <c r="AX89" s="14" t="s">
        <v>92</v>
      </c>
      <c r="AY89" s="8" t="s">
        <v>95</v>
      </c>
      <c r="AZ89" s="8" t="s">
        <v>95</v>
      </c>
      <c r="BA89" s="9" t="s">
        <v>95</v>
      </c>
      <c r="BB89" s="8" t="s">
        <v>95</v>
      </c>
      <c r="BC89" s="8" t="s">
        <v>93</v>
      </c>
      <c r="BD89" s="14" t="s">
        <v>92</v>
      </c>
      <c r="BE89" s="14" t="s">
        <v>92</v>
      </c>
      <c r="BF89" s="14" t="s">
        <v>92</v>
      </c>
      <c r="BG89" s="14" t="s">
        <v>92</v>
      </c>
      <c r="BH89" s="14" t="s">
        <v>92</v>
      </c>
      <c r="BI89" s="14" t="s">
        <v>93</v>
      </c>
      <c r="BJ89" s="14" t="s">
        <v>92</v>
      </c>
      <c r="BK89" s="14" t="s">
        <v>105</v>
      </c>
      <c r="BL89" s="14" t="s">
        <v>105</v>
      </c>
      <c r="BM89" s="14" t="s">
        <v>105</v>
      </c>
      <c r="BN89" s="14" t="s">
        <v>105</v>
      </c>
      <c r="BO89" s="14" t="s">
        <v>105</v>
      </c>
      <c r="BP89" s="14" t="s">
        <v>105</v>
      </c>
      <c r="BQ89" s="8" t="s">
        <v>93</v>
      </c>
      <c r="BR89" s="8" t="s">
        <v>92</v>
      </c>
      <c r="BS89" s="8" t="s">
        <v>92</v>
      </c>
      <c r="BT89" s="8" t="s">
        <v>92</v>
      </c>
      <c r="BU89" s="8" t="s">
        <v>92</v>
      </c>
      <c r="BV89" s="8" t="s">
        <v>92</v>
      </c>
      <c r="BW89" s="8" t="s">
        <v>92</v>
      </c>
      <c r="BX89" s="8" t="s">
        <v>92</v>
      </c>
      <c r="BY89" s="8" t="s">
        <v>92</v>
      </c>
      <c r="BZ89" s="8" t="s">
        <v>92</v>
      </c>
      <c r="CA89" s="8" t="s">
        <v>92</v>
      </c>
      <c r="CB89" s="20" t="s">
        <v>116</v>
      </c>
      <c r="CC89" s="31"/>
      <c r="CD89" s="18"/>
      <c r="CE89" s="31"/>
      <c r="CF89" s="18"/>
      <c r="CG89" s="18"/>
      <c r="CH89" s="14"/>
    </row>
    <row r="90">
      <c r="A90" s="8"/>
      <c r="B90" s="16" t="s">
        <v>519</v>
      </c>
      <c r="C90" s="10" t="s">
        <v>520</v>
      </c>
      <c r="D90" s="9" t="s">
        <v>87</v>
      </c>
      <c r="E90" s="11" t="s">
        <v>521</v>
      </c>
      <c r="F90" s="12"/>
      <c r="G90" s="13" t="s">
        <v>94</v>
      </c>
      <c r="H90" s="13" t="s">
        <v>90</v>
      </c>
      <c r="I90" s="13" t="s">
        <v>522</v>
      </c>
      <c r="J90" s="13" t="s">
        <v>92</v>
      </c>
      <c r="K90" s="13" t="s">
        <v>92</v>
      </c>
      <c r="L90" s="13" t="s">
        <v>92</v>
      </c>
      <c r="M90" s="13" t="s">
        <v>92</v>
      </c>
      <c r="N90" s="14" t="s">
        <v>92</v>
      </c>
      <c r="O90" s="13" t="s">
        <v>92</v>
      </c>
      <c r="P90" s="14" t="s">
        <v>92</v>
      </c>
      <c r="Q90" s="14" t="s">
        <v>92</v>
      </c>
      <c r="R90" s="13" t="s">
        <v>92</v>
      </c>
      <c r="S90" s="13" t="s">
        <v>92</v>
      </c>
      <c r="T90" s="13" t="s">
        <v>92</v>
      </c>
      <c r="U90" s="13" t="s">
        <v>93</v>
      </c>
      <c r="V90" s="13" t="s">
        <v>92</v>
      </c>
      <c r="W90" s="13" t="s">
        <v>92</v>
      </c>
      <c r="X90" s="13" t="s">
        <v>92</v>
      </c>
      <c r="Y90" s="13" t="s">
        <v>92</v>
      </c>
      <c r="Z90" s="13" t="s">
        <v>92</v>
      </c>
      <c r="AA90" s="14" t="s">
        <v>92</v>
      </c>
      <c r="AB90" s="15" t="s">
        <v>93</v>
      </c>
      <c r="AC90" s="15" t="s">
        <v>92</v>
      </c>
      <c r="AD90" s="15" t="s">
        <v>92</v>
      </c>
      <c r="AE90" s="13" t="s">
        <v>94</v>
      </c>
      <c r="AF90" s="13" t="s">
        <v>92</v>
      </c>
      <c r="AG90" s="13" t="s">
        <v>95</v>
      </c>
      <c r="AH90" s="15">
        <v>2020.0</v>
      </c>
      <c r="AI90" s="13" t="s">
        <v>93</v>
      </c>
      <c r="AJ90" s="13" t="s">
        <v>92</v>
      </c>
      <c r="AK90" s="13" t="s">
        <v>92</v>
      </c>
      <c r="AL90" s="13" t="s">
        <v>92</v>
      </c>
      <c r="AM90" s="15">
        <v>2020.0</v>
      </c>
      <c r="AN90" s="13" t="s">
        <v>96</v>
      </c>
      <c r="AO90" s="15" t="s">
        <v>92</v>
      </c>
      <c r="AP90" s="15" t="s">
        <v>93</v>
      </c>
      <c r="AQ90" s="13" t="s">
        <v>92</v>
      </c>
      <c r="AR90" s="13" t="s">
        <v>93</v>
      </c>
      <c r="AS90" s="13" t="s">
        <v>93</v>
      </c>
      <c r="AT90" s="13" t="s">
        <v>93</v>
      </c>
      <c r="AU90" s="13" t="s">
        <v>93</v>
      </c>
      <c r="AV90" s="13" t="s">
        <v>93</v>
      </c>
      <c r="AW90" s="13" t="s">
        <v>93</v>
      </c>
      <c r="AX90" s="13" t="s">
        <v>93</v>
      </c>
      <c r="AY90" s="15" t="s">
        <v>95</v>
      </c>
      <c r="AZ90" s="15" t="s">
        <v>95</v>
      </c>
      <c r="BA90" s="16" t="s">
        <v>519</v>
      </c>
      <c r="BB90" s="8" t="s">
        <v>261</v>
      </c>
      <c r="BC90" s="15" t="s">
        <v>92</v>
      </c>
      <c r="BD90" s="13" t="s">
        <v>92</v>
      </c>
      <c r="BE90" s="13" t="s">
        <v>92</v>
      </c>
      <c r="BF90" s="13" t="s">
        <v>92</v>
      </c>
      <c r="BG90" s="13" t="s">
        <v>92</v>
      </c>
      <c r="BH90" s="13" t="s">
        <v>92</v>
      </c>
      <c r="BI90" s="13" t="s">
        <v>93</v>
      </c>
      <c r="BJ90" s="13" t="s">
        <v>92</v>
      </c>
      <c r="BK90" s="13" t="s">
        <v>105</v>
      </c>
      <c r="BL90" s="13" t="s">
        <v>105</v>
      </c>
      <c r="BM90" s="13" t="s">
        <v>105</v>
      </c>
      <c r="BN90" s="13" t="s">
        <v>105</v>
      </c>
      <c r="BO90" s="13" t="s">
        <v>105</v>
      </c>
      <c r="BP90" s="13" t="s">
        <v>105</v>
      </c>
      <c r="BQ90" s="15" t="s">
        <v>93</v>
      </c>
      <c r="BR90" s="15" t="s">
        <v>92</v>
      </c>
      <c r="BS90" s="15" t="s">
        <v>92</v>
      </c>
      <c r="BT90" s="15" t="s">
        <v>92</v>
      </c>
      <c r="BU90" s="15" t="s">
        <v>92</v>
      </c>
      <c r="BV90" s="15" t="s">
        <v>92</v>
      </c>
      <c r="BW90" s="15" t="s">
        <v>92</v>
      </c>
      <c r="BX90" s="15" t="s">
        <v>92</v>
      </c>
      <c r="BY90" s="15" t="s">
        <v>92</v>
      </c>
      <c r="BZ90" s="15" t="s">
        <v>92</v>
      </c>
      <c r="CA90" s="15" t="s">
        <v>92</v>
      </c>
      <c r="CB90" s="17" t="s">
        <v>523</v>
      </c>
      <c r="CC90" s="17"/>
      <c r="CD90" s="18"/>
      <c r="CE90" s="18"/>
      <c r="CF90" s="18"/>
      <c r="CG90" s="18"/>
      <c r="CH90" s="14"/>
    </row>
    <row r="91">
      <c r="A91" s="8"/>
      <c r="B91" s="27" t="s">
        <v>519</v>
      </c>
      <c r="C91" s="10" t="s">
        <v>520</v>
      </c>
      <c r="D91" s="9" t="s">
        <v>87</v>
      </c>
      <c r="E91" s="11" t="s">
        <v>524</v>
      </c>
      <c r="F91" s="12"/>
      <c r="G91" s="13" t="s">
        <v>525</v>
      </c>
      <c r="H91" s="13" t="s">
        <v>90</v>
      </c>
      <c r="I91" s="14" t="s">
        <v>526</v>
      </c>
      <c r="J91" s="13" t="s">
        <v>92</v>
      </c>
      <c r="K91" s="13" t="s">
        <v>92</v>
      </c>
      <c r="L91" s="13" t="s">
        <v>92</v>
      </c>
      <c r="M91" s="13" t="s">
        <v>92</v>
      </c>
      <c r="N91" s="14" t="s">
        <v>92</v>
      </c>
      <c r="O91" s="13" t="s">
        <v>92</v>
      </c>
      <c r="P91" s="14" t="s">
        <v>92</v>
      </c>
      <c r="Q91" s="14" t="s">
        <v>92</v>
      </c>
      <c r="R91" s="13" t="s">
        <v>92</v>
      </c>
      <c r="S91" s="13" t="s">
        <v>92</v>
      </c>
      <c r="T91" s="13" t="s">
        <v>92</v>
      </c>
      <c r="U91" s="13" t="s">
        <v>93</v>
      </c>
      <c r="V91" s="13" t="s">
        <v>92</v>
      </c>
      <c r="W91" s="13" t="s">
        <v>92</v>
      </c>
      <c r="X91" s="13" t="s">
        <v>92</v>
      </c>
      <c r="Y91" s="13" t="s">
        <v>92</v>
      </c>
      <c r="Z91" s="13" t="s">
        <v>92</v>
      </c>
      <c r="AA91" s="14" t="s">
        <v>92</v>
      </c>
      <c r="AB91" s="15" t="s">
        <v>93</v>
      </c>
      <c r="AC91" s="15" t="s">
        <v>92</v>
      </c>
      <c r="AD91" s="15" t="s">
        <v>92</v>
      </c>
      <c r="AE91" s="13" t="s">
        <v>94</v>
      </c>
      <c r="AF91" s="13" t="s">
        <v>92</v>
      </c>
      <c r="AG91" s="13" t="s">
        <v>95</v>
      </c>
      <c r="AH91" s="15">
        <v>2020.0</v>
      </c>
      <c r="AI91" s="13" t="s">
        <v>93</v>
      </c>
      <c r="AJ91" s="13" t="s">
        <v>92</v>
      </c>
      <c r="AK91" s="13" t="s">
        <v>92</v>
      </c>
      <c r="AL91" s="13" t="s">
        <v>92</v>
      </c>
      <c r="AM91" s="15">
        <v>2020.0</v>
      </c>
      <c r="AN91" s="13" t="s">
        <v>96</v>
      </c>
      <c r="AO91" s="15" t="s">
        <v>92</v>
      </c>
      <c r="AP91" s="15" t="s">
        <v>93</v>
      </c>
      <c r="AQ91" s="13" t="s">
        <v>92</v>
      </c>
      <c r="AR91" s="13" t="s">
        <v>93</v>
      </c>
      <c r="AS91" s="13" t="s">
        <v>93</v>
      </c>
      <c r="AT91" s="13" t="s">
        <v>93</v>
      </c>
      <c r="AU91" s="13" t="s">
        <v>93</v>
      </c>
      <c r="AV91" s="13" t="s">
        <v>93</v>
      </c>
      <c r="AW91" s="13" t="s">
        <v>93</v>
      </c>
      <c r="AX91" s="13" t="s">
        <v>93</v>
      </c>
      <c r="AY91" s="15" t="s">
        <v>95</v>
      </c>
      <c r="AZ91" s="15" t="s">
        <v>95</v>
      </c>
      <c r="BA91" s="16" t="s">
        <v>527</v>
      </c>
      <c r="BB91" s="8" t="s">
        <v>261</v>
      </c>
      <c r="BC91" s="15" t="s">
        <v>92</v>
      </c>
      <c r="BD91" s="13" t="s">
        <v>92</v>
      </c>
      <c r="BE91" s="13" t="s">
        <v>92</v>
      </c>
      <c r="BF91" s="13" t="s">
        <v>92</v>
      </c>
      <c r="BG91" s="13" t="s">
        <v>92</v>
      </c>
      <c r="BH91" s="13" t="s">
        <v>92</v>
      </c>
      <c r="BI91" s="13" t="s">
        <v>93</v>
      </c>
      <c r="BJ91" s="13" t="s">
        <v>92</v>
      </c>
      <c r="BK91" s="14" t="s">
        <v>95</v>
      </c>
      <c r="BL91" s="14" t="s">
        <v>93</v>
      </c>
      <c r="BM91" s="14" t="s">
        <v>93</v>
      </c>
      <c r="BN91" s="14" t="s">
        <v>93</v>
      </c>
      <c r="BO91" s="14" t="s">
        <v>93</v>
      </c>
      <c r="BP91" s="14" t="s">
        <v>93</v>
      </c>
      <c r="BQ91" s="15" t="s">
        <v>93</v>
      </c>
      <c r="BR91" s="15" t="s">
        <v>92</v>
      </c>
      <c r="BS91" s="15" t="s">
        <v>92</v>
      </c>
      <c r="BT91" s="15" t="s">
        <v>92</v>
      </c>
      <c r="BU91" s="15" t="s">
        <v>92</v>
      </c>
      <c r="BV91" s="15" t="s">
        <v>92</v>
      </c>
      <c r="BW91" s="15" t="s">
        <v>92</v>
      </c>
      <c r="BX91" s="15" t="s">
        <v>92</v>
      </c>
      <c r="BY91" s="15" t="s">
        <v>92</v>
      </c>
      <c r="BZ91" s="15" t="s">
        <v>92</v>
      </c>
      <c r="CA91" s="15" t="s">
        <v>92</v>
      </c>
      <c r="CB91" s="17" t="s">
        <v>523</v>
      </c>
      <c r="CC91" s="17"/>
      <c r="CD91" s="18"/>
      <c r="CE91" s="18"/>
      <c r="CF91" s="18"/>
      <c r="CG91" s="18"/>
      <c r="CH91" s="14"/>
    </row>
    <row r="92">
      <c r="A92" s="8"/>
      <c r="B92" s="16" t="s">
        <v>519</v>
      </c>
      <c r="C92" s="10" t="s">
        <v>520</v>
      </c>
      <c r="D92" s="9" t="s">
        <v>87</v>
      </c>
      <c r="E92" s="11" t="s">
        <v>528</v>
      </c>
      <c r="F92" s="12"/>
      <c r="G92" s="14" t="s">
        <v>529</v>
      </c>
      <c r="H92" s="14" t="s">
        <v>253</v>
      </c>
      <c r="I92" s="13" t="s">
        <v>530</v>
      </c>
      <c r="J92" s="13" t="s">
        <v>92</v>
      </c>
      <c r="K92" s="13" t="s">
        <v>92</v>
      </c>
      <c r="L92" s="13" t="s">
        <v>92</v>
      </c>
      <c r="M92" s="13" t="s">
        <v>92</v>
      </c>
      <c r="N92" s="14" t="s">
        <v>92</v>
      </c>
      <c r="O92" s="13" t="s">
        <v>92</v>
      </c>
      <c r="P92" s="14" t="s">
        <v>92</v>
      </c>
      <c r="Q92" s="14" t="s">
        <v>92</v>
      </c>
      <c r="R92" s="13" t="s">
        <v>92</v>
      </c>
      <c r="S92" s="13" t="s">
        <v>92</v>
      </c>
      <c r="T92" s="13" t="s">
        <v>92</v>
      </c>
      <c r="U92" s="13" t="s">
        <v>93</v>
      </c>
      <c r="V92" s="13" t="s">
        <v>92</v>
      </c>
      <c r="W92" s="14" t="s">
        <v>93</v>
      </c>
      <c r="X92" s="14" t="s">
        <v>92</v>
      </c>
      <c r="Y92" s="13" t="s">
        <v>92</v>
      </c>
      <c r="Z92" s="13" t="s">
        <v>92</v>
      </c>
      <c r="AA92" s="14" t="s">
        <v>92</v>
      </c>
      <c r="AB92" s="15" t="s">
        <v>93</v>
      </c>
      <c r="AC92" s="15" t="s">
        <v>93</v>
      </c>
      <c r="AD92" s="15" t="s">
        <v>92</v>
      </c>
      <c r="AE92" s="13" t="s">
        <v>148</v>
      </c>
      <c r="AF92" s="13" t="s">
        <v>92</v>
      </c>
      <c r="AG92" s="13" t="s">
        <v>95</v>
      </c>
      <c r="AH92" s="8" t="s">
        <v>95</v>
      </c>
      <c r="AI92" s="13" t="s">
        <v>93</v>
      </c>
      <c r="AJ92" s="13" t="s">
        <v>92</v>
      </c>
      <c r="AK92" s="13" t="s">
        <v>92</v>
      </c>
      <c r="AL92" s="13" t="s">
        <v>92</v>
      </c>
      <c r="AM92" s="15" t="s">
        <v>95</v>
      </c>
      <c r="AN92" s="14" t="s">
        <v>95</v>
      </c>
      <c r="AO92" s="8" t="s">
        <v>95</v>
      </c>
      <c r="AP92" s="15" t="s">
        <v>93</v>
      </c>
      <c r="AQ92" s="13" t="s">
        <v>92</v>
      </c>
      <c r="AR92" s="13" t="s">
        <v>93</v>
      </c>
      <c r="AS92" s="13" t="s">
        <v>93</v>
      </c>
      <c r="AT92" s="13" t="s">
        <v>93</v>
      </c>
      <c r="AU92" s="13" t="s">
        <v>93</v>
      </c>
      <c r="AV92" s="13" t="s">
        <v>93</v>
      </c>
      <c r="AW92" s="13" t="s">
        <v>93</v>
      </c>
      <c r="AX92" s="13" t="s">
        <v>93</v>
      </c>
      <c r="AY92" s="15" t="s">
        <v>531</v>
      </c>
      <c r="AZ92" s="15" t="s">
        <v>93</v>
      </c>
      <c r="BA92" s="9" t="s">
        <v>532</v>
      </c>
      <c r="BB92" s="8" t="s">
        <v>533</v>
      </c>
      <c r="BC92" s="15" t="s">
        <v>92</v>
      </c>
      <c r="BD92" s="13" t="s">
        <v>92</v>
      </c>
      <c r="BE92" s="13" t="s">
        <v>92</v>
      </c>
      <c r="BF92" s="13" t="s">
        <v>92</v>
      </c>
      <c r="BG92" s="13" t="s">
        <v>92</v>
      </c>
      <c r="BH92" s="13" t="s">
        <v>92</v>
      </c>
      <c r="BI92" s="13" t="s">
        <v>92</v>
      </c>
      <c r="BJ92" s="13" t="s">
        <v>93</v>
      </c>
      <c r="BK92" s="14" t="s">
        <v>105</v>
      </c>
      <c r="BL92" s="14" t="s">
        <v>105</v>
      </c>
      <c r="BM92" s="14" t="s">
        <v>105</v>
      </c>
      <c r="BN92" s="14" t="s">
        <v>105</v>
      </c>
      <c r="BO92" s="14" t="s">
        <v>105</v>
      </c>
      <c r="BP92" s="14" t="s">
        <v>105</v>
      </c>
      <c r="BQ92" s="15" t="s">
        <v>93</v>
      </c>
      <c r="BR92" s="15" t="s">
        <v>93</v>
      </c>
      <c r="BS92" s="15" t="s">
        <v>92</v>
      </c>
      <c r="BT92" s="15" t="s">
        <v>92</v>
      </c>
      <c r="BU92" s="15" t="s">
        <v>92</v>
      </c>
      <c r="BV92" s="15" t="s">
        <v>92</v>
      </c>
      <c r="BW92" s="15" t="s">
        <v>93</v>
      </c>
      <c r="BX92" s="15" t="s">
        <v>92</v>
      </c>
      <c r="BY92" s="15" t="s">
        <v>92</v>
      </c>
      <c r="BZ92" s="15" t="s">
        <v>92</v>
      </c>
      <c r="CA92" s="15" t="s">
        <v>92</v>
      </c>
      <c r="CB92" s="17" t="s">
        <v>523</v>
      </c>
      <c r="CC92" s="17" t="s">
        <v>534</v>
      </c>
      <c r="CD92" s="18"/>
      <c r="CE92" s="18"/>
      <c r="CF92" s="18"/>
      <c r="CG92" s="24" t="s">
        <v>535</v>
      </c>
      <c r="CH92" s="14"/>
    </row>
    <row r="93">
      <c r="A93" s="8"/>
      <c r="B93" s="27" t="s">
        <v>519</v>
      </c>
      <c r="C93" s="10" t="s">
        <v>520</v>
      </c>
      <c r="D93" s="9" t="s">
        <v>87</v>
      </c>
      <c r="E93" s="11" t="s">
        <v>536</v>
      </c>
      <c r="F93" s="12"/>
      <c r="G93" s="13" t="s">
        <v>537</v>
      </c>
      <c r="H93" s="13" t="s">
        <v>90</v>
      </c>
      <c r="I93" s="14" t="s">
        <v>538</v>
      </c>
      <c r="J93" s="13" t="s">
        <v>92</v>
      </c>
      <c r="K93" s="13" t="s">
        <v>92</v>
      </c>
      <c r="L93" s="13" t="s">
        <v>92</v>
      </c>
      <c r="M93" s="13" t="s">
        <v>92</v>
      </c>
      <c r="N93" s="14" t="s">
        <v>92</v>
      </c>
      <c r="O93" s="13" t="s">
        <v>92</v>
      </c>
      <c r="P93" s="14" t="s">
        <v>92</v>
      </c>
      <c r="Q93" s="14" t="s">
        <v>92</v>
      </c>
      <c r="R93" s="13" t="s">
        <v>92</v>
      </c>
      <c r="S93" s="13" t="s">
        <v>92</v>
      </c>
      <c r="T93" s="13" t="s">
        <v>92</v>
      </c>
      <c r="U93" s="13" t="s">
        <v>93</v>
      </c>
      <c r="V93" s="13" t="s">
        <v>92</v>
      </c>
      <c r="W93" s="13" t="s">
        <v>92</v>
      </c>
      <c r="X93" s="13" t="s">
        <v>92</v>
      </c>
      <c r="Y93" s="13" t="s">
        <v>92</v>
      </c>
      <c r="Z93" s="13" t="s">
        <v>92</v>
      </c>
      <c r="AA93" s="14" t="s">
        <v>92</v>
      </c>
      <c r="AB93" s="15" t="s">
        <v>93</v>
      </c>
      <c r="AC93" s="15" t="s">
        <v>92</v>
      </c>
      <c r="AD93" s="15" t="s">
        <v>92</v>
      </c>
      <c r="AE93" s="13" t="s">
        <v>94</v>
      </c>
      <c r="AF93" s="13" t="s">
        <v>92</v>
      </c>
      <c r="AG93" s="13" t="s">
        <v>95</v>
      </c>
      <c r="AH93" s="15">
        <v>2020.0</v>
      </c>
      <c r="AI93" s="13" t="s">
        <v>93</v>
      </c>
      <c r="AJ93" s="13" t="s">
        <v>92</v>
      </c>
      <c r="AK93" s="13" t="s">
        <v>92</v>
      </c>
      <c r="AL93" s="13" t="s">
        <v>92</v>
      </c>
      <c r="AM93" s="15">
        <v>2020.0</v>
      </c>
      <c r="AN93" s="13" t="s">
        <v>96</v>
      </c>
      <c r="AO93" s="15" t="s">
        <v>92</v>
      </c>
      <c r="AP93" s="15" t="s">
        <v>93</v>
      </c>
      <c r="AQ93" s="13" t="s">
        <v>92</v>
      </c>
      <c r="AR93" s="13" t="s">
        <v>93</v>
      </c>
      <c r="AS93" s="13" t="s">
        <v>93</v>
      </c>
      <c r="AT93" s="13" t="s">
        <v>93</v>
      </c>
      <c r="AU93" s="13" t="s">
        <v>93</v>
      </c>
      <c r="AV93" s="13" t="s">
        <v>93</v>
      </c>
      <c r="AW93" s="13" t="s">
        <v>93</v>
      </c>
      <c r="AX93" s="13" t="s">
        <v>93</v>
      </c>
      <c r="AY93" s="15" t="s">
        <v>95</v>
      </c>
      <c r="AZ93" s="15" t="s">
        <v>95</v>
      </c>
      <c r="BA93" s="16" t="s">
        <v>539</v>
      </c>
      <c r="BB93" s="8" t="s">
        <v>105</v>
      </c>
      <c r="BC93" s="8" t="s">
        <v>105</v>
      </c>
      <c r="BD93" s="13" t="s">
        <v>92</v>
      </c>
      <c r="BE93" s="13" t="s">
        <v>92</v>
      </c>
      <c r="BF93" s="13" t="s">
        <v>92</v>
      </c>
      <c r="BG93" s="13" t="s">
        <v>92</v>
      </c>
      <c r="BH93" s="13" t="s">
        <v>92</v>
      </c>
      <c r="BI93" s="13" t="s">
        <v>93</v>
      </c>
      <c r="BJ93" s="13" t="s">
        <v>92</v>
      </c>
      <c r="BK93" s="14" t="s">
        <v>540</v>
      </c>
      <c r="BL93" s="13" t="s">
        <v>93</v>
      </c>
      <c r="BM93" s="13" t="s">
        <v>92</v>
      </c>
      <c r="BN93" s="13" t="s">
        <v>92</v>
      </c>
      <c r="BO93" s="13" t="s">
        <v>93</v>
      </c>
      <c r="BP93" s="13" t="s">
        <v>92</v>
      </c>
      <c r="BQ93" s="15" t="s">
        <v>93</v>
      </c>
      <c r="BR93" s="15" t="s">
        <v>92</v>
      </c>
      <c r="BS93" s="15" t="s">
        <v>92</v>
      </c>
      <c r="BT93" s="15" t="s">
        <v>92</v>
      </c>
      <c r="BU93" s="15" t="s">
        <v>92</v>
      </c>
      <c r="BV93" s="15" t="s">
        <v>92</v>
      </c>
      <c r="BW93" s="15" t="s">
        <v>92</v>
      </c>
      <c r="BX93" s="15" t="s">
        <v>92</v>
      </c>
      <c r="BY93" s="15" t="s">
        <v>92</v>
      </c>
      <c r="BZ93" s="15" t="s">
        <v>92</v>
      </c>
      <c r="CA93" s="15" t="s">
        <v>92</v>
      </c>
      <c r="CB93" s="17" t="s">
        <v>523</v>
      </c>
      <c r="CC93" s="17"/>
      <c r="CD93" s="18"/>
      <c r="CE93" s="18"/>
      <c r="CF93" s="18"/>
      <c r="CG93" s="18"/>
      <c r="CH93" s="14"/>
    </row>
    <row r="94">
      <c r="A94" s="8"/>
      <c r="B94" s="16" t="s">
        <v>519</v>
      </c>
      <c r="C94" s="10" t="s">
        <v>520</v>
      </c>
      <c r="D94" s="9" t="s">
        <v>87</v>
      </c>
      <c r="E94" s="11" t="s">
        <v>541</v>
      </c>
      <c r="F94" s="12"/>
      <c r="G94" s="13" t="s">
        <v>542</v>
      </c>
      <c r="H94" s="13" t="s">
        <v>90</v>
      </c>
      <c r="I94" s="13" t="s">
        <v>543</v>
      </c>
      <c r="J94" s="13" t="s">
        <v>92</v>
      </c>
      <c r="K94" s="13" t="s">
        <v>92</v>
      </c>
      <c r="L94" s="13" t="s">
        <v>92</v>
      </c>
      <c r="M94" s="13" t="s">
        <v>92</v>
      </c>
      <c r="N94" s="14" t="s">
        <v>92</v>
      </c>
      <c r="O94" s="13" t="s">
        <v>92</v>
      </c>
      <c r="P94" s="13" t="s">
        <v>93</v>
      </c>
      <c r="Q94" s="13" t="s">
        <v>93</v>
      </c>
      <c r="R94" s="13" t="s">
        <v>92</v>
      </c>
      <c r="S94" s="13" t="s">
        <v>92</v>
      </c>
      <c r="T94" s="13" t="s">
        <v>92</v>
      </c>
      <c r="U94" s="13" t="s">
        <v>93</v>
      </c>
      <c r="V94" s="13" t="s">
        <v>92</v>
      </c>
      <c r="W94" s="13" t="s">
        <v>92</v>
      </c>
      <c r="X94" s="13" t="s">
        <v>92</v>
      </c>
      <c r="Y94" s="13" t="s">
        <v>92</v>
      </c>
      <c r="Z94" s="13" t="s">
        <v>92</v>
      </c>
      <c r="AA94" s="14" t="s">
        <v>92</v>
      </c>
      <c r="AB94" s="15" t="s">
        <v>93</v>
      </c>
      <c r="AC94" s="15" t="s">
        <v>92</v>
      </c>
      <c r="AD94" s="15" t="s">
        <v>92</v>
      </c>
      <c r="AE94" s="13" t="s">
        <v>94</v>
      </c>
      <c r="AF94" s="13" t="s">
        <v>92</v>
      </c>
      <c r="AG94" s="13" t="s">
        <v>95</v>
      </c>
      <c r="AH94" s="15">
        <v>2020.0</v>
      </c>
      <c r="AI94" s="13" t="s">
        <v>93</v>
      </c>
      <c r="AJ94" s="13" t="s">
        <v>92</v>
      </c>
      <c r="AK94" s="13" t="s">
        <v>92</v>
      </c>
      <c r="AL94" s="13" t="s">
        <v>92</v>
      </c>
      <c r="AM94" s="15">
        <v>2020.0</v>
      </c>
      <c r="AN94" s="13" t="s">
        <v>96</v>
      </c>
      <c r="AO94" s="15" t="s">
        <v>92</v>
      </c>
      <c r="AP94" s="15" t="s">
        <v>93</v>
      </c>
      <c r="AQ94" s="13" t="s">
        <v>92</v>
      </c>
      <c r="AR94" s="13" t="s">
        <v>93</v>
      </c>
      <c r="AS94" s="13" t="s">
        <v>93</v>
      </c>
      <c r="AT94" s="13" t="s">
        <v>93</v>
      </c>
      <c r="AU94" s="13" t="s">
        <v>93</v>
      </c>
      <c r="AV94" s="13" t="s">
        <v>93</v>
      </c>
      <c r="AW94" s="13" t="s">
        <v>93</v>
      </c>
      <c r="AX94" s="13" t="s">
        <v>93</v>
      </c>
      <c r="AY94" s="15" t="s">
        <v>544</v>
      </c>
      <c r="AZ94" s="15" t="s">
        <v>93</v>
      </c>
      <c r="BA94" s="16" t="s">
        <v>545</v>
      </c>
      <c r="BB94" s="8" t="s">
        <v>95</v>
      </c>
      <c r="BC94" s="8" t="s">
        <v>93</v>
      </c>
      <c r="BD94" s="13" t="s">
        <v>92</v>
      </c>
      <c r="BE94" s="13" t="s">
        <v>92</v>
      </c>
      <c r="BF94" s="13" t="s">
        <v>92</v>
      </c>
      <c r="BG94" s="13" t="s">
        <v>92</v>
      </c>
      <c r="BH94" s="13" t="s">
        <v>92</v>
      </c>
      <c r="BI94" s="13" t="s">
        <v>93</v>
      </c>
      <c r="BJ94" s="13" t="s">
        <v>92</v>
      </c>
      <c r="BK94" s="14" t="s">
        <v>546</v>
      </c>
      <c r="BL94" s="13" t="s">
        <v>92</v>
      </c>
      <c r="BM94" s="13" t="s">
        <v>92</v>
      </c>
      <c r="BN94" s="13" t="s">
        <v>93</v>
      </c>
      <c r="BO94" s="13" t="s">
        <v>92</v>
      </c>
      <c r="BP94" s="13" t="s">
        <v>92</v>
      </c>
      <c r="BQ94" s="15" t="s">
        <v>93</v>
      </c>
      <c r="BR94" s="15" t="s">
        <v>92</v>
      </c>
      <c r="BS94" s="15" t="s">
        <v>92</v>
      </c>
      <c r="BT94" s="15" t="s">
        <v>92</v>
      </c>
      <c r="BU94" s="15" t="s">
        <v>92</v>
      </c>
      <c r="BV94" s="15" t="s">
        <v>92</v>
      </c>
      <c r="BW94" s="15" t="s">
        <v>92</v>
      </c>
      <c r="BX94" s="15" t="s">
        <v>92</v>
      </c>
      <c r="BY94" s="15" t="s">
        <v>92</v>
      </c>
      <c r="BZ94" s="15" t="s">
        <v>92</v>
      </c>
      <c r="CA94" s="15" t="s">
        <v>92</v>
      </c>
      <c r="CB94" s="17" t="s">
        <v>523</v>
      </c>
      <c r="CC94" s="17" t="s">
        <v>547</v>
      </c>
      <c r="CD94" s="18"/>
      <c r="CE94" s="18"/>
      <c r="CF94" s="18"/>
      <c r="CG94" s="18"/>
      <c r="CH94" s="14"/>
    </row>
    <row r="95">
      <c r="A95" s="8"/>
      <c r="B95" s="16" t="s">
        <v>519</v>
      </c>
      <c r="C95" s="10" t="s">
        <v>520</v>
      </c>
      <c r="D95" s="9" t="s">
        <v>87</v>
      </c>
      <c r="E95" s="11" t="s">
        <v>548</v>
      </c>
      <c r="F95" s="25"/>
      <c r="G95" s="13" t="s">
        <v>549</v>
      </c>
      <c r="H95" s="13" t="s">
        <v>90</v>
      </c>
      <c r="I95" s="13" t="s">
        <v>550</v>
      </c>
      <c r="J95" s="13" t="s">
        <v>92</v>
      </c>
      <c r="K95" s="13" t="s">
        <v>92</v>
      </c>
      <c r="L95" s="13" t="s">
        <v>92</v>
      </c>
      <c r="M95" s="13" t="s">
        <v>92</v>
      </c>
      <c r="N95" s="14" t="s">
        <v>92</v>
      </c>
      <c r="O95" s="13" t="s">
        <v>92</v>
      </c>
      <c r="P95" s="13" t="s">
        <v>92</v>
      </c>
      <c r="Q95" s="13" t="s">
        <v>92</v>
      </c>
      <c r="R95" s="13" t="s">
        <v>92</v>
      </c>
      <c r="S95" s="13" t="s">
        <v>92</v>
      </c>
      <c r="T95" s="13" t="s">
        <v>93</v>
      </c>
      <c r="U95" s="13" t="s">
        <v>92</v>
      </c>
      <c r="V95" s="13" t="s">
        <v>92</v>
      </c>
      <c r="W95" s="13" t="s">
        <v>92</v>
      </c>
      <c r="X95" s="13" t="s">
        <v>92</v>
      </c>
      <c r="Y95" s="13" t="s">
        <v>93</v>
      </c>
      <c r="Z95" s="14" t="s">
        <v>93</v>
      </c>
      <c r="AA95" s="14" t="s">
        <v>92</v>
      </c>
      <c r="AB95" s="15" t="s">
        <v>93</v>
      </c>
      <c r="AC95" s="15" t="s">
        <v>93</v>
      </c>
      <c r="AD95" s="15" t="s">
        <v>92</v>
      </c>
      <c r="AE95" s="13" t="s">
        <v>148</v>
      </c>
      <c r="AF95" s="13" t="s">
        <v>92</v>
      </c>
      <c r="AG95" s="13" t="s">
        <v>95</v>
      </c>
      <c r="AH95" s="8" t="s">
        <v>105</v>
      </c>
      <c r="AI95" s="13" t="s">
        <v>92</v>
      </c>
      <c r="AJ95" s="13" t="s">
        <v>92</v>
      </c>
      <c r="AK95" s="13" t="s">
        <v>93</v>
      </c>
      <c r="AL95" s="14" t="s">
        <v>92</v>
      </c>
      <c r="AM95" s="15" t="s">
        <v>105</v>
      </c>
      <c r="AN95" s="13" t="s">
        <v>105</v>
      </c>
      <c r="AO95" s="15" t="s">
        <v>105</v>
      </c>
      <c r="AP95" s="15" t="s">
        <v>92</v>
      </c>
      <c r="AQ95" s="13" t="s">
        <v>92</v>
      </c>
      <c r="AR95" s="13" t="s">
        <v>93</v>
      </c>
      <c r="AS95" s="13" t="s">
        <v>93</v>
      </c>
      <c r="AT95" s="13" t="s">
        <v>93</v>
      </c>
      <c r="AU95" s="13" t="s">
        <v>93</v>
      </c>
      <c r="AV95" s="13" t="s">
        <v>93</v>
      </c>
      <c r="AW95" s="13" t="s">
        <v>93</v>
      </c>
      <c r="AX95" s="13" t="s">
        <v>93</v>
      </c>
      <c r="AY95" s="15" t="s">
        <v>95</v>
      </c>
      <c r="AZ95" s="15" t="s">
        <v>95</v>
      </c>
      <c r="BA95" s="16" t="s">
        <v>519</v>
      </c>
      <c r="BB95" s="8" t="s">
        <v>261</v>
      </c>
      <c r="BC95" s="15" t="s">
        <v>92</v>
      </c>
      <c r="BD95" s="13" t="s">
        <v>92</v>
      </c>
      <c r="BE95" s="13" t="s">
        <v>92</v>
      </c>
      <c r="BF95" s="13" t="s">
        <v>92</v>
      </c>
      <c r="BG95" s="13" t="s">
        <v>92</v>
      </c>
      <c r="BH95" s="13" t="s">
        <v>92</v>
      </c>
      <c r="BI95" s="13" t="s">
        <v>93</v>
      </c>
      <c r="BJ95" s="13" t="s">
        <v>92</v>
      </c>
      <c r="BK95" s="14" t="s">
        <v>551</v>
      </c>
      <c r="BL95" s="13" t="s">
        <v>92</v>
      </c>
      <c r="BM95" s="13" t="s">
        <v>93</v>
      </c>
      <c r="BN95" s="14" t="s">
        <v>93</v>
      </c>
      <c r="BO95" s="13" t="s">
        <v>92</v>
      </c>
      <c r="BP95" s="13" t="s">
        <v>92</v>
      </c>
      <c r="BQ95" s="15" t="s">
        <v>92</v>
      </c>
      <c r="BR95" s="15" t="s">
        <v>93</v>
      </c>
      <c r="BS95" s="8" t="s">
        <v>92</v>
      </c>
      <c r="BT95" s="8" t="s">
        <v>93</v>
      </c>
      <c r="BU95" s="8" t="s">
        <v>93</v>
      </c>
      <c r="BV95" s="15" t="s">
        <v>93</v>
      </c>
      <c r="BW95" s="15" t="s">
        <v>92</v>
      </c>
      <c r="BX95" s="15" t="s">
        <v>92</v>
      </c>
      <c r="BY95" s="15" t="s">
        <v>92</v>
      </c>
      <c r="BZ95" s="15" t="s">
        <v>92</v>
      </c>
      <c r="CA95" s="15" t="s">
        <v>92</v>
      </c>
      <c r="CB95" s="17" t="s">
        <v>552</v>
      </c>
      <c r="CC95" s="17" t="s">
        <v>553</v>
      </c>
      <c r="CD95" s="18"/>
      <c r="CE95" s="18"/>
      <c r="CF95" s="18"/>
      <c r="CG95" s="18"/>
      <c r="CH95" s="14"/>
    </row>
    <row r="96">
      <c r="A96" s="8"/>
      <c r="B96" s="16" t="s">
        <v>519</v>
      </c>
      <c r="C96" s="10" t="s">
        <v>520</v>
      </c>
      <c r="D96" s="9" t="s">
        <v>87</v>
      </c>
      <c r="E96" s="11" t="s">
        <v>554</v>
      </c>
      <c r="F96" s="25"/>
      <c r="G96" s="13" t="s">
        <v>555</v>
      </c>
      <c r="H96" s="13" t="s">
        <v>110</v>
      </c>
      <c r="I96" s="14" t="s">
        <v>556</v>
      </c>
      <c r="J96" s="13" t="s">
        <v>92</v>
      </c>
      <c r="K96" s="13" t="s">
        <v>92</v>
      </c>
      <c r="L96" s="13" t="s">
        <v>92</v>
      </c>
      <c r="M96" s="13" t="s">
        <v>92</v>
      </c>
      <c r="N96" s="14" t="s">
        <v>92</v>
      </c>
      <c r="O96" s="14" t="s">
        <v>92</v>
      </c>
      <c r="P96" s="13" t="s">
        <v>93</v>
      </c>
      <c r="Q96" s="14" t="s">
        <v>92</v>
      </c>
      <c r="R96" s="13" t="s">
        <v>92</v>
      </c>
      <c r="S96" s="14" t="s">
        <v>92</v>
      </c>
      <c r="T96" s="13" t="s">
        <v>93</v>
      </c>
      <c r="U96" s="13" t="s">
        <v>92</v>
      </c>
      <c r="V96" s="13" t="s">
        <v>92</v>
      </c>
      <c r="W96" s="13" t="s">
        <v>92</v>
      </c>
      <c r="X96" s="13" t="s">
        <v>92</v>
      </c>
      <c r="Y96" s="13" t="s">
        <v>93</v>
      </c>
      <c r="Z96" s="14" t="s">
        <v>93</v>
      </c>
      <c r="AA96" s="14" t="s">
        <v>92</v>
      </c>
      <c r="AB96" s="15" t="s">
        <v>93</v>
      </c>
      <c r="AC96" s="15" t="s">
        <v>93</v>
      </c>
      <c r="AD96" s="15" t="s">
        <v>92</v>
      </c>
      <c r="AE96" s="13" t="s">
        <v>148</v>
      </c>
      <c r="AF96" s="13" t="s">
        <v>92</v>
      </c>
      <c r="AG96" s="13" t="s">
        <v>95</v>
      </c>
      <c r="AH96" s="15">
        <v>2021.0</v>
      </c>
      <c r="AI96" s="13" t="s">
        <v>92</v>
      </c>
      <c r="AJ96" s="13" t="s">
        <v>93</v>
      </c>
      <c r="AK96" s="13" t="s">
        <v>93</v>
      </c>
      <c r="AL96" s="13" t="s">
        <v>93</v>
      </c>
      <c r="AM96" s="8" t="s">
        <v>95</v>
      </c>
      <c r="AN96" s="14" t="s">
        <v>114</v>
      </c>
      <c r="AO96" s="15" t="s">
        <v>93</v>
      </c>
      <c r="AP96" s="15" t="s">
        <v>92</v>
      </c>
      <c r="AQ96" s="13" t="s">
        <v>92</v>
      </c>
      <c r="AR96" s="13" t="s">
        <v>93</v>
      </c>
      <c r="AS96" s="13" t="s">
        <v>93</v>
      </c>
      <c r="AT96" s="13" t="s">
        <v>93</v>
      </c>
      <c r="AU96" s="13" t="s">
        <v>93</v>
      </c>
      <c r="AV96" s="13" t="s">
        <v>93</v>
      </c>
      <c r="AW96" s="13" t="s">
        <v>93</v>
      </c>
      <c r="AX96" s="13" t="s">
        <v>93</v>
      </c>
      <c r="AY96" s="15" t="s">
        <v>95</v>
      </c>
      <c r="AZ96" s="15" t="s">
        <v>95</v>
      </c>
      <c r="BA96" s="16" t="s">
        <v>557</v>
      </c>
      <c r="BB96" s="8" t="s">
        <v>558</v>
      </c>
      <c r="BC96" s="15" t="s">
        <v>92</v>
      </c>
      <c r="BD96" s="13" t="s">
        <v>93</v>
      </c>
      <c r="BE96" s="13" t="s">
        <v>92</v>
      </c>
      <c r="BF96" s="13" t="s">
        <v>92</v>
      </c>
      <c r="BG96" s="13" t="s">
        <v>92</v>
      </c>
      <c r="BH96" s="13" t="s">
        <v>92</v>
      </c>
      <c r="BI96" s="13" t="s">
        <v>93</v>
      </c>
      <c r="BJ96" s="13" t="s">
        <v>92</v>
      </c>
      <c r="BK96" s="14" t="s">
        <v>559</v>
      </c>
      <c r="BL96" s="13" t="s">
        <v>93</v>
      </c>
      <c r="BM96" s="13" t="s">
        <v>93</v>
      </c>
      <c r="BN96" s="13" t="s">
        <v>93</v>
      </c>
      <c r="BO96" s="13" t="s">
        <v>92</v>
      </c>
      <c r="BP96" s="13" t="s">
        <v>92</v>
      </c>
      <c r="BQ96" s="15" t="s">
        <v>92</v>
      </c>
      <c r="BR96" s="15" t="s">
        <v>93</v>
      </c>
      <c r="BS96" s="15" t="s">
        <v>93</v>
      </c>
      <c r="BT96" s="8" t="s">
        <v>93</v>
      </c>
      <c r="BU96" s="15" t="s">
        <v>92</v>
      </c>
      <c r="BV96" s="15" t="s">
        <v>93</v>
      </c>
      <c r="BW96" s="15" t="s">
        <v>92</v>
      </c>
      <c r="BX96" s="15" t="s">
        <v>92</v>
      </c>
      <c r="BY96" s="15" t="s">
        <v>92</v>
      </c>
      <c r="BZ96" s="15" t="s">
        <v>92</v>
      </c>
      <c r="CA96" s="15" t="s">
        <v>92</v>
      </c>
      <c r="CB96" s="17" t="s">
        <v>560</v>
      </c>
      <c r="CC96" s="17" t="s">
        <v>552</v>
      </c>
      <c r="CD96" s="17" t="s">
        <v>561</v>
      </c>
      <c r="CE96" s="18"/>
      <c r="CF96" s="18"/>
      <c r="CG96" s="18"/>
      <c r="CH96" s="14"/>
    </row>
    <row r="97">
      <c r="A97" s="8"/>
      <c r="B97" s="16" t="s">
        <v>519</v>
      </c>
      <c r="C97" s="10" t="s">
        <v>520</v>
      </c>
      <c r="D97" s="9" t="s">
        <v>87</v>
      </c>
      <c r="E97" s="11" t="s">
        <v>562</v>
      </c>
      <c r="F97" s="12"/>
      <c r="G97" s="13" t="s">
        <v>563</v>
      </c>
      <c r="H97" s="13" t="s">
        <v>90</v>
      </c>
      <c r="I97" s="14" t="s">
        <v>564</v>
      </c>
      <c r="J97" s="14" t="s">
        <v>93</v>
      </c>
      <c r="K97" s="14" t="s">
        <v>92</v>
      </c>
      <c r="L97" s="14" t="s">
        <v>93</v>
      </c>
      <c r="M97" s="14" t="s">
        <v>92</v>
      </c>
      <c r="N97" s="14" t="s">
        <v>92</v>
      </c>
      <c r="O97" s="13" t="s">
        <v>93</v>
      </c>
      <c r="P97" s="13" t="s">
        <v>93</v>
      </c>
      <c r="Q97" s="14" t="s">
        <v>93</v>
      </c>
      <c r="R97" s="13" t="s">
        <v>92</v>
      </c>
      <c r="S97" s="13" t="s">
        <v>93</v>
      </c>
      <c r="T97" s="13" t="s">
        <v>93</v>
      </c>
      <c r="U97" s="13" t="s">
        <v>92</v>
      </c>
      <c r="V97" s="13" t="s">
        <v>92</v>
      </c>
      <c r="W97" s="13" t="s">
        <v>92</v>
      </c>
      <c r="X97" s="13" t="s">
        <v>92</v>
      </c>
      <c r="Y97" s="13" t="s">
        <v>92</v>
      </c>
      <c r="Z97" s="14" t="s">
        <v>93</v>
      </c>
      <c r="AA97" s="14" t="s">
        <v>93</v>
      </c>
      <c r="AB97" s="8" t="s">
        <v>93</v>
      </c>
      <c r="AC97" s="15" t="s">
        <v>93</v>
      </c>
      <c r="AD97" s="15" t="s">
        <v>92</v>
      </c>
      <c r="AE97" s="14" t="s">
        <v>112</v>
      </c>
      <c r="AF97" s="13" t="s">
        <v>92</v>
      </c>
      <c r="AG97" s="13" t="s">
        <v>95</v>
      </c>
      <c r="AH97" s="15" t="s">
        <v>105</v>
      </c>
      <c r="AI97" s="13" t="s">
        <v>105</v>
      </c>
      <c r="AJ97" s="13" t="s">
        <v>105</v>
      </c>
      <c r="AK97" s="13" t="s">
        <v>93</v>
      </c>
      <c r="AL97" s="13" t="s">
        <v>93</v>
      </c>
      <c r="AM97" s="15" t="s">
        <v>95</v>
      </c>
      <c r="AN97" s="13" t="s">
        <v>114</v>
      </c>
      <c r="AO97" s="15" t="s">
        <v>93</v>
      </c>
      <c r="AP97" s="15" t="s">
        <v>92</v>
      </c>
      <c r="AQ97" s="13" t="s">
        <v>92</v>
      </c>
      <c r="AR97" s="13" t="s">
        <v>93</v>
      </c>
      <c r="AS97" s="13" t="s">
        <v>93</v>
      </c>
      <c r="AT97" s="13" t="s">
        <v>93</v>
      </c>
      <c r="AU97" s="13" t="s">
        <v>93</v>
      </c>
      <c r="AV97" s="13" t="s">
        <v>93</v>
      </c>
      <c r="AW97" s="13" t="s">
        <v>93</v>
      </c>
      <c r="AX97" s="13" t="s">
        <v>93</v>
      </c>
      <c r="AY97" s="15" t="s">
        <v>565</v>
      </c>
      <c r="AZ97" s="15" t="s">
        <v>93</v>
      </c>
      <c r="BA97" s="16" t="s">
        <v>566</v>
      </c>
      <c r="BB97" s="8" t="s">
        <v>558</v>
      </c>
      <c r="BC97" s="15" t="s">
        <v>92</v>
      </c>
      <c r="BD97" s="13" t="s">
        <v>93</v>
      </c>
      <c r="BE97" s="13" t="s">
        <v>92</v>
      </c>
      <c r="BF97" s="13" t="s">
        <v>92</v>
      </c>
      <c r="BG97" s="13" t="s">
        <v>92</v>
      </c>
      <c r="BH97" s="13" t="s">
        <v>92</v>
      </c>
      <c r="BI97" s="14" t="s">
        <v>92</v>
      </c>
      <c r="BJ97" s="13" t="s">
        <v>92</v>
      </c>
      <c r="BK97" s="14" t="s">
        <v>546</v>
      </c>
      <c r="BL97" s="13" t="s">
        <v>92</v>
      </c>
      <c r="BM97" s="13" t="s">
        <v>92</v>
      </c>
      <c r="BN97" s="13" t="s">
        <v>93</v>
      </c>
      <c r="BO97" s="13" t="s">
        <v>92</v>
      </c>
      <c r="BP97" s="13" t="s">
        <v>92</v>
      </c>
      <c r="BQ97" s="15" t="s">
        <v>92</v>
      </c>
      <c r="BR97" s="15" t="s">
        <v>93</v>
      </c>
      <c r="BS97" s="15" t="s">
        <v>93</v>
      </c>
      <c r="BT97" s="15" t="s">
        <v>93</v>
      </c>
      <c r="BU97" s="8" t="s">
        <v>93</v>
      </c>
      <c r="BV97" s="15" t="s">
        <v>93</v>
      </c>
      <c r="BW97" s="15" t="s">
        <v>92</v>
      </c>
      <c r="BX97" s="15" t="s">
        <v>92</v>
      </c>
      <c r="BY97" s="15" t="s">
        <v>92</v>
      </c>
      <c r="BZ97" s="15" t="s">
        <v>92</v>
      </c>
      <c r="CA97" s="15" t="s">
        <v>93</v>
      </c>
      <c r="CB97" s="17" t="s">
        <v>552</v>
      </c>
      <c r="CC97" s="17" t="s">
        <v>567</v>
      </c>
      <c r="CD97" s="17" t="s">
        <v>568</v>
      </c>
      <c r="CE97" s="20" t="s">
        <v>116</v>
      </c>
      <c r="CF97" s="18"/>
      <c r="CG97" s="18"/>
      <c r="CH97" s="14"/>
    </row>
    <row r="98" ht="16.5" customHeight="1">
      <c r="A98" s="8"/>
      <c r="B98" s="27" t="s">
        <v>519</v>
      </c>
      <c r="C98" s="10" t="s">
        <v>520</v>
      </c>
      <c r="D98" s="9" t="s">
        <v>87</v>
      </c>
      <c r="E98" s="11" t="s">
        <v>569</v>
      </c>
      <c r="F98" s="54"/>
      <c r="G98" s="14" t="s">
        <v>570</v>
      </c>
      <c r="H98" s="14" t="s">
        <v>90</v>
      </c>
      <c r="I98" s="14" t="s">
        <v>571</v>
      </c>
      <c r="J98" s="14" t="s">
        <v>92</v>
      </c>
      <c r="K98" s="14" t="s">
        <v>92</v>
      </c>
      <c r="L98" s="14" t="s">
        <v>92</v>
      </c>
      <c r="M98" s="14" t="s">
        <v>92</v>
      </c>
      <c r="N98" s="14" t="s">
        <v>92</v>
      </c>
      <c r="O98" s="14" t="s">
        <v>92</v>
      </c>
      <c r="P98" s="14" t="s">
        <v>92</v>
      </c>
      <c r="Q98" s="14" t="s">
        <v>92</v>
      </c>
      <c r="R98" s="14" t="s">
        <v>92</v>
      </c>
      <c r="S98" s="14" t="s">
        <v>93</v>
      </c>
      <c r="T98" s="14" t="s">
        <v>92</v>
      </c>
      <c r="U98" s="14" t="s">
        <v>92</v>
      </c>
      <c r="V98" s="14" t="s">
        <v>92</v>
      </c>
      <c r="W98" s="14" t="s">
        <v>92</v>
      </c>
      <c r="X98" s="14" t="s">
        <v>92</v>
      </c>
      <c r="Y98" s="14" t="s">
        <v>92</v>
      </c>
      <c r="Z98" s="14" t="s">
        <v>93</v>
      </c>
      <c r="AA98" s="14" t="s">
        <v>92</v>
      </c>
      <c r="AB98" s="8" t="s">
        <v>93</v>
      </c>
      <c r="AC98" s="8" t="s">
        <v>93</v>
      </c>
      <c r="AD98" s="8" t="s">
        <v>92</v>
      </c>
      <c r="AE98" s="14" t="s">
        <v>112</v>
      </c>
      <c r="AF98" s="14" t="s">
        <v>92</v>
      </c>
      <c r="AG98" s="13" t="s">
        <v>95</v>
      </c>
      <c r="AH98" s="8">
        <v>2022.0</v>
      </c>
      <c r="AI98" s="14" t="s">
        <v>92</v>
      </c>
      <c r="AJ98" s="14" t="s">
        <v>92</v>
      </c>
      <c r="AK98" s="14" t="s">
        <v>93</v>
      </c>
      <c r="AL98" s="14" t="s">
        <v>93</v>
      </c>
      <c r="AM98" s="15" t="s">
        <v>95</v>
      </c>
      <c r="AN98" s="13" t="s">
        <v>114</v>
      </c>
      <c r="AO98" s="15" t="s">
        <v>93</v>
      </c>
      <c r="AP98" s="15" t="s">
        <v>92</v>
      </c>
      <c r="AQ98" s="13" t="s">
        <v>92</v>
      </c>
      <c r="AR98" s="13" t="s">
        <v>93</v>
      </c>
      <c r="AS98" s="13" t="s">
        <v>93</v>
      </c>
      <c r="AT98" s="13" t="s">
        <v>93</v>
      </c>
      <c r="AU98" s="13" t="s">
        <v>93</v>
      </c>
      <c r="AV98" s="13" t="s">
        <v>93</v>
      </c>
      <c r="AW98" s="13" t="s">
        <v>93</v>
      </c>
      <c r="AX98" s="13" t="s">
        <v>93</v>
      </c>
      <c r="AY98" s="8" t="s">
        <v>572</v>
      </c>
      <c r="AZ98" s="8" t="s">
        <v>93</v>
      </c>
      <c r="BA98" s="9" t="s">
        <v>573</v>
      </c>
      <c r="BB98" s="8" t="s">
        <v>143</v>
      </c>
      <c r="BC98" s="8" t="s">
        <v>92</v>
      </c>
      <c r="BD98" s="13" t="s">
        <v>93</v>
      </c>
      <c r="BE98" s="13" t="s">
        <v>92</v>
      </c>
      <c r="BF98" s="13" t="s">
        <v>92</v>
      </c>
      <c r="BG98" s="13" t="s">
        <v>92</v>
      </c>
      <c r="BH98" s="13" t="s">
        <v>92</v>
      </c>
      <c r="BI98" s="14" t="s">
        <v>92</v>
      </c>
      <c r="BJ98" s="14" t="s">
        <v>93</v>
      </c>
      <c r="BK98" s="14" t="s">
        <v>574</v>
      </c>
      <c r="BL98" s="14" t="s">
        <v>93</v>
      </c>
      <c r="BM98" s="14" t="s">
        <v>92</v>
      </c>
      <c r="BN98" s="14" t="s">
        <v>92</v>
      </c>
      <c r="BO98" s="14" t="s">
        <v>92</v>
      </c>
      <c r="BP98" s="14" t="s">
        <v>92</v>
      </c>
      <c r="BQ98" s="8" t="s">
        <v>92</v>
      </c>
      <c r="BR98" s="8" t="s">
        <v>92</v>
      </c>
      <c r="BS98" s="8" t="s">
        <v>92</v>
      </c>
      <c r="BT98" s="8" t="s">
        <v>93</v>
      </c>
      <c r="BU98" s="8" t="s">
        <v>92</v>
      </c>
      <c r="BV98" s="8" t="s">
        <v>93</v>
      </c>
      <c r="BW98" s="8" t="s">
        <v>92</v>
      </c>
      <c r="BX98" s="8" t="s">
        <v>92</v>
      </c>
      <c r="BY98" s="8" t="s">
        <v>92</v>
      </c>
      <c r="BZ98" s="8" t="s">
        <v>93</v>
      </c>
      <c r="CA98" s="8" t="s">
        <v>92</v>
      </c>
      <c r="CB98" s="20" t="s">
        <v>116</v>
      </c>
      <c r="CC98" s="39" t="s">
        <v>575</v>
      </c>
      <c r="CD98" s="18"/>
      <c r="CE98" s="18"/>
      <c r="CF98" s="18"/>
      <c r="CG98" s="18"/>
      <c r="CH98" s="14"/>
    </row>
    <row r="99">
      <c r="A99" s="8"/>
      <c r="B99" s="16" t="s">
        <v>519</v>
      </c>
      <c r="C99" s="10" t="s">
        <v>520</v>
      </c>
      <c r="D99" s="9" t="s">
        <v>87</v>
      </c>
      <c r="E99" s="11" t="s">
        <v>576</v>
      </c>
      <c r="F99" s="12"/>
      <c r="G99" s="14" t="s">
        <v>577</v>
      </c>
      <c r="H99" s="14" t="s">
        <v>90</v>
      </c>
      <c r="I99" s="14" t="s">
        <v>578</v>
      </c>
      <c r="J99" s="14" t="s">
        <v>93</v>
      </c>
      <c r="K99" s="14" t="s">
        <v>92</v>
      </c>
      <c r="L99" s="14" t="s">
        <v>93</v>
      </c>
      <c r="M99" s="14" t="s">
        <v>92</v>
      </c>
      <c r="N99" s="14" t="s">
        <v>92</v>
      </c>
      <c r="O99" s="14" t="s">
        <v>92</v>
      </c>
      <c r="P99" s="14" t="s">
        <v>92</v>
      </c>
      <c r="Q99" s="14" t="s">
        <v>92</v>
      </c>
      <c r="R99" s="14" t="s">
        <v>92</v>
      </c>
      <c r="S99" s="14" t="s">
        <v>93</v>
      </c>
      <c r="T99" s="14" t="s">
        <v>92</v>
      </c>
      <c r="U99" s="14" t="s">
        <v>92</v>
      </c>
      <c r="V99" s="14" t="s">
        <v>92</v>
      </c>
      <c r="W99" s="14" t="s">
        <v>92</v>
      </c>
      <c r="X99" s="14" t="s">
        <v>92</v>
      </c>
      <c r="Y99" s="14" t="s">
        <v>92</v>
      </c>
      <c r="Z99" s="14" t="s">
        <v>93</v>
      </c>
      <c r="AA99" s="14" t="s">
        <v>92</v>
      </c>
      <c r="AB99" s="8" t="s">
        <v>93</v>
      </c>
      <c r="AC99" s="8" t="s">
        <v>93</v>
      </c>
      <c r="AD99" s="8" t="s">
        <v>92</v>
      </c>
      <c r="AE99" s="14" t="s">
        <v>112</v>
      </c>
      <c r="AF99" s="14" t="s">
        <v>92</v>
      </c>
      <c r="AG99" s="13" t="s">
        <v>95</v>
      </c>
      <c r="AH99" s="8" t="s">
        <v>105</v>
      </c>
      <c r="AI99" s="14" t="s">
        <v>92</v>
      </c>
      <c r="AJ99" s="14" t="s">
        <v>92</v>
      </c>
      <c r="AK99" s="14" t="s">
        <v>92</v>
      </c>
      <c r="AL99" s="14" t="s">
        <v>93</v>
      </c>
      <c r="AM99" s="15" t="s">
        <v>95</v>
      </c>
      <c r="AN99" s="13" t="s">
        <v>114</v>
      </c>
      <c r="AO99" s="8" t="s">
        <v>92</v>
      </c>
      <c r="AP99" s="8" t="s">
        <v>92</v>
      </c>
      <c r="AQ99" s="13" t="s">
        <v>92</v>
      </c>
      <c r="AR99" s="13" t="s">
        <v>93</v>
      </c>
      <c r="AS99" s="13" t="s">
        <v>93</v>
      </c>
      <c r="AT99" s="13" t="s">
        <v>93</v>
      </c>
      <c r="AU99" s="13" t="s">
        <v>93</v>
      </c>
      <c r="AV99" s="13" t="s">
        <v>93</v>
      </c>
      <c r="AW99" s="13" t="s">
        <v>93</v>
      </c>
      <c r="AX99" s="13" t="s">
        <v>93</v>
      </c>
      <c r="AY99" s="15" t="s">
        <v>95</v>
      </c>
      <c r="AZ99" s="15" t="s">
        <v>95</v>
      </c>
      <c r="BA99" s="9" t="s">
        <v>579</v>
      </c>
      <c r="BB99" s="8" t="s">
        <v>143</v>
      </c>
      <c r="BC99" s="8" t="s">
        <v>92</v>
      </c>
      <c r="BD99" s="13" t="s">
        <v>93</v>
      </c>
      <c r="BE99" s="13" t="s">
        <v>92</v>
      </c>
      <c r="BF99" s="13" t="s">
        <v>92</v>
      </c>
      <c r="BG99" s="13" t="s">
        <v>92</v>
      </c>
      <c r="BH99" s="13" t="s">
        <v>92</v>
      </c>
      <c r="BI99" s="14" t="s">
        <v>92</v>
      </c>
      <c r="BJ99" s="14" t="s">
        <v>92</v>
      </c>
      <c r="BK99" s="14" t="s">
        <v>580</v>
      </c>
      <c r="BL99" s="14" t="s">
        <v>93</v>
      </c>
      <c r="BM99" s="14" t="s">
        <v>92</v>
      </c>
      <c r="BN99" s="14" t="s">
        <v>92</v>
      </c>
      <c r="BO99" s="14" t="s">
        <v>92</v>
      </c>
      <c r="BP99" s="14" t="s">
        <v>92</v>
      </c>
      <c r="BQ99" s="8" t="s">
        <v>92</v>
      </c>
      <c r="BR99" s="8" t="s">
        <v>92</v>
      </c>
      <c r="BS99" s="8" t="s">
        <v>92</v>
      </c>
      <c r="BT99" s="8" t="s">
        <v>93</v>
      </c>
      <c r="BU99" s="8" t="s">
        <v>92</v>
      </c>
      <c r="BV99" s="8" t="s">
        <v>93</v>
      </c>
      <c r="BW99" s="8" t="s">
        <v>92</v>
      </c>
      <c r="BX99" s="8" t="s">
        <v>92</v>
      </c>
      <c r="BY99" s="8" t="s">
        <v>92</v>
      </c>
      <c r="BZ99" s="8" t="s">
        <v>93</v>
      </c>
      <c r="CA99" s="8" t="s">
        <v>92</v>
      </c>
      <c r="CB99" s="39" t="s">
        <v>116</v>
      </c>
      <c r="CC99" s="24" t="s">
        <v>581</v>
      </c>
      <c r="CD99" s="18"/>
      <c r="CE99" s="18"/>
      <c r="CF99" s="18"/>
      <c r="CG99" s="18"/>
      <c r="CH99" s="14"/>
    </row>
    <row r="100">
      <c r="A100" s="8"/>
      <c r="B100" s="16" t="s">
        <v>519</v>
      </c>
      <c r="C100" s="10" t="s">
        <v>520</v>
      </c>
      <c r="D100" s="9" t="s">
        <v>87</v>
      </c>
      <c r="E100" s="11" t="s">
        <v>582</v>
      </c>
      <c r="F100" s="12"/>
      <c r="G100" s="14" t="s">
        <v>583</v>
      </c>
      <c r="H100" s="14" t="s">
        <v>90</v>
      </c>
      <c r="I100" s="14" t="s">
        <v>584</v>
      </c>
      <c r="J100" s="14" t="s">
        <v>92</v>
      </c>
      <c r="K100" s="14" t="s">
        <v>92</v>
      </c>
      <c r="L100" s="14" t="s">
        <v>92</v>
      </c>
      <c r="M100" s="14" t="s">
        <v>92</v>
      </c>
      <c r="N100" s="14" t="s">
        <v>92</v>
      </c>
      <c r="O100" s="14" t="s">
        <v>92</v>
      </c>
      <c r="P100" s="14" t="s">
        <v>92</v>
      </c>
      <c r="Q100" s="14" t="s">
        <v>92</v>
      </c>
      <c r="R100" s="14" t="s">
        <v>92</v>
      </c>
      <c r="S100" s="14" t="s">
        <v>92</v>
      </c>
      <c r="T100" s="14" t="s">
        <v>92</v>
      </c>
      <c r="U100" s="14" t="s">
        <v>92</v>
      </c>
      <c r="V100" s="14" t="s">
        <v>92</v>
      </c>
      <c r="W100" s="14" t="s">
        <v>92</v>
      </c>
      <c r="X100" s="14" t="s">
        <v>92</v>
      </c>
      <c r="Y100" s="14" t="s">
        <v>92</v>
      </c>
      <c r="Z100" s="14" t="s">
        <v>93</v>
      </c>
      <c r="AA100" s="14" t="s">
        <v>92</v>
      </c>
      <c r="AB100" s="8" t="s">
        <v>92</v>
      </c>
      <c r="AC100" s="8" t="s">
        <v>93</v>
      </c>
      <c r="AD100" s="8" t="s">
        <v>92</v>
      </c>
      <c r="AE100" s="14" t="s">
        <v>112</v>
      </c>
      <c r="AF100" s="14" t="s">
        <v>92</v>
      </c>
      <c r="AG100" s="13" t="s">
        <v>95</v>
      </c>
      <c r="AH100" s="8" t="s">
        <v>105</v>
      </c>
      <c r="AI100" s="14" t="s">
        <v>92</v>
      </c>
      <c r="AJ100" s="14" t="s">
        <v>92</v>
      </c>
      <c r="AK100" s="14" t="s">
        <v>92</v>
      </c>
      <c r="AL100" s="14" t="s">
        <v>93</v>
      </c>
      <c r="AM100" s="15" t="s">
        <v>95</v>
      </c>
      <c r="AN100" s="13" t="s">
        <v>114</v>
      </c>
      <c r="AO100" s="8" t="s">
        <v>92</v>
      </c>
      <c r="AP100" s="8" t="s">
        <v>92</v>
      </c>
      <c r="AQ100" s="13" t="s">
        <v>92</v>
      </c>
      <c r="AR100" s="13" t="s">
        <v>93</v>
      </c>
      <c r="AS100" s="13" t="s">
        <v>93</v>
      </c>
      <c r="AT100" s="13" t="s">
        <v>93</v>
      </c>
      <c r="AU100" s="13" t="s">
        <v>93</v>
      </c>
      <c r="AV100" s="13" t="s">
        <v>93</v>
      </c>
      <c r="AW100" s="13" t="s">
        <v>93</v>
      </c>
      <c r="AX100" s="13" t="s">
        <v>93</v>
      </c>
      <c r="AY100" s="15" t="s">
        <v>95</v>
      </c>
      <c r="AZ100" s="15" t="s">
        <v>95</v>
      </c>
      <c r="BA100" s="9" t="s">
        <v>585</v>
      </c>
      <c r="BB100" s="8" t="s">
        <v>95</v>
      </c>
      <c r="BC100" s="8" t="s">
        <v>93</v>
      </c>
      <c r="BD100" s="14" t="s">
        <v>93</v>
      </c>
      <c r="BE100" s="13" t="s">
        <v>92</v>
      </c>
      <c r="BF100" s="13" t="s">
        <v>92</v>
      </c>
      <c r="BG100" s="13" t="s">
        <v>92</v>
      </c>
      <c r="BH100" s="13" t="s">
        <v>92</v>
      </c>
      <c r="BI100" s="14" t="s">
        <v>92</v>
      </c>
      <c r="BJ100" s="14" t="s">
        <v>92</v>
      </c>
      <c r="BK100" s="14" t="s">
        <v>274</v>
      </c>
      <c r="BL100" s="14" t="s">
        <v>93</v>
      </c>
      <c r="BM100" s="14" t="s">
        <v>92</v>
      </c>
      <c r="BN100" s="14" t="s">
        <v>92</v>
      </c>
      <c r="BO100" s="14" t="s">
        <v>92</v>
      </c>
      <c r="BP100" s="14" t="s">
        <v>92</v>
      </c>
      <c r="BQ100" s="8" t="s">
        <v>92</v>
      </c>
      <c r="BR100" s="8" t="s">
        <v>92</v>
      </c>
      <c r="BS100" s="8" t="s">
        <v>92</v>
      </c>
      <c r="BT100" s="8" t="s">
        <v>93</v>
      </c>
      <c r="BU100" s="8" t="s">
        <v>92</v>
      </c>
      <c r="BV100" s="8" t="s">
        <v>93</v>
      </c>
      <c r="BW100" s="8" t="s">
        <v>92</v>
      </c>
      <c r="BX100" s="8" t="s">
        <v>92</v>
      </c>
      <c r="BY100" s="8" t="s">
        <v>92</v>
      </c>
      <c r="BZ100" s="8" t="s">
        <v>93</v>
      </c>
      <c r="CA100" s="8" t="s">
        <v>92</v>
      </c>
      <c r="CB100" s="20" t="s">
        <v>116</v>
      </c>
      <c r="CC100" s="18"/>
      <c r="CD100" s="18"/>
      <c r="CE100" s="18"/>
      <c r="CF100" s="18"/>
      <c r="CG100" s="18"/>
      <c r="CH100" s="14"/>
    </row>
    <row r="101">
      <c r="A101" s="8"/>
      <c r="B101" s="16" t="s">
        <v>519</v>
      </c>
      <c r="C101" s="10" t="s">
        <v>520</v>
      </c>
      <c r="D101" s="9" t="s">
        <v>87</v>
      </c>
      <c r="E101" s="11" t="s">
        <v>586</v>
      </c>
      <c r="F101" s="12"/>
      <c r="G101" s="14" t="s">
        <v>587</v>
      </c>
      <c r="H101" s="14" t="s">
        <v>90</v>
      </c>
      <c r="I101" s="14" t="s">
        <v>588</v>
      </c>
      <c r="J101" s="14" t="s">
        <v>93</v>
      </c>
      <c r="K101" s="14" t="s">
        <v>92</v>
      </c>
      <c r="L101" s="14" t="s">
        <v>92</v>
      </c>
      <c r="M101" s="14" t="s">
        <v>92</v>
      </c>
      <c r="N101" s="14" t="s">
        <v>92</v>
      </c>
      <c r="O101" s="14" t="s">
        <v>92</v>
      </c>
      <c r="P101" s="14" t="s">
        <v>92</v>
      </c>
      <c r="Q101" s="14" t="s">
        <v>92</v>
      </c>
      <c r="R101" s="14" t="s">
        <v>92</v>
      </c>
      <c r="S101" s="14" t="s">
        <v>93</v>
      </c>
      <c r="T101" s="14" t="s">
        <v>92</v>
      </c>
      <c r="U101" s="14" t="s">
        <v>92</v>
      </c>
      <c r="V101" s="14" t="s">
        <v>92</v>
      </c>
      <c r="W101" s="14" t="s">
        <v>92</v>
      </c>
      <c r="X101" s="14" t="s">
        <v>92</v>
      </c>
      <c r="Y101" s="14" t="s">
        <v>92</v>
      </c>
      <c r="Z101" s="14" t="s">
        <v>93</v>
      </c>
      <c r="AA101" s="14" t="s">
        <v>92</v>
      </c>
      <c r="AB101" s="8" t="s">
        <v>93</v>
      </c>
      <c r="AC101" s="8" t="s">
        <v>93</v>
      </c>
      <c r="AD101" s="8" t="s">
        <v>92</v>
      </c>
      <c r="AE101" s="14" t="s">
        <v>112</v>
      </c>
      <c r="AF101" s="14" t="s">
        <v>92</v>
      </c>
      <c r="AG101" s="13" t="s">
        <v>95</v>
      </c>
      <c r="AH101" s="8" t="s">
        <v>105</v>
      </c>
      <c r="AI101" s="14" t="s">
        <v>92</v>
      </c>
      <c r="AJ101" s="14" t="s">
        <v>92</v>
      </c>
      <c r="AK101" s="14" t="s">
        <v>92</v>
      </c>
      <c r="AL101" s="14" t="s">
        <v>93</v>
      </c>
      <c r="AM101" s="15" t="s">
        <v>95</v>
      </c>
      <c r="AN101" s="13" t="s">
        <v>114</v>
      </c>
      <c r="AO101" s="8" t="s">
        <v>92</v>
      </c>
      <c r="AP101" s="8" t="s">
        <v>92</v>
      </c>
      <c r="AQ101" s="13" t="s">
        <v>92</v>
      </c>
      <c r="AR101" s="13" t="s">
        <v>93</v>
      </c>
      <c r="AS101" s="13" t="s">
        <v>93</v>
      </c>
      <c r="AT101" s="13" t="s">
        <v>93</v>
      </c>
      <c r="AU101" s="13" t="s">
        <v>93</v>
      </c>
      <c r="AV101" s="13" t="s">
        <v>93</v>
      </c>
      <c r="AW101" s="13" t="s">
        <v>93</v>
      </c>
      <c r="AX101" s="13" t="s">
        <v>93</v>
      </c>
      <c r="AY101" s="15" t="s">
        <v>95</v>
      </c>
      <c r="AZ101" s="15" t="s">
        <v>95</v>
      </c>
      <c r="BA101" s="9" t="s">
        <v>589</v>
      </c>
      <c r="BB101" s="8" t="s">
        <v>95</v>
      </c>
      <c r="BC101" s="8" t="s">
        <v>93</v>
      </c>
      <c r="BD101" s="14" t="s">
        <v>93</v>
      </c>
      <c r="BE101" s="13" t="s">
        <v>92</v>
      </c>
      <c r="BF101" s="13" t="s">
        <v>92</v>
      </c>
      <c r="BG101" s="13" t="s">
        <v>92</v>
      </c>
      <c r="BH101" s="13" t="s">
        <v>92</v>
      </c>
      <c r="BI101" s="14" t="s">
        <v>92</v>
      </c>
      <c r="BJ101" s="14" t="s">
        <v>92</v>
      </c>
      <c r="BK101" s="14" t="s">
        <v>590</v>
      </c>
      <c r="BL101" s="14" t="s">
        <v>92</v>
      </c>
      <c r="BM101" s="14" t="s">
        <v>92</v>
      </c>
      <c r="BN101" s="14" t="s">
        <v>93</v>
      </c>
      <c r="BO101" s="14" t="s">
        <v>92</v>
      </c>
      <c r="BP101" s="14" t="s">
        <v>92</v>
      </c>
      <c r="BQ101" s="8" t="s">
        <v>92</v>
      </c>
      <c r="BR101" s="8" t="s">
        <v>92</v>
      </c>
      <c r="BS101" s="8" t="s">
        <v>92</v>
      </c>
      <c r="BT101" s="8" t="s">
        <v>93</v>
      </c>
      <c r="BU101" s="8" t="s">
        <v>92</v>
      </c>
      <c r="BV101" s="8" t="s">
        <v>93</v>
      </c>
      <c r="BW101" s="8" t="s">
        <v>92</v>
      </c>
      <c r="BX101" s="8" t="s">
        <v>92</v>
      </c>
      <c r="BY101" s="8" t="s">
        <v>92</v>
      </c>
      <c r="BZ101" s="8" t="s">
        <v>93</v>
      </c>
      <c r="CA101" s="8" t="s">
        <v>92</v>
      </c>
      <c r="CB101" s="20" t="s">
        <v>116</v>
      </c>
      <c r="CC101" s="18"/>
      <c r="CD101" s="18"/>
      <c r="CE101" s="18"/>
      <c r="CF101" s="18"/>
      <c r="CG101" s="18"/>
      <c r="CH101" s="14"/>
    </row>
    <row r="102">
      <c r="A102" s="8"/>
      <c r="B102" s="16" t="s">
        <v>519</v>
      </c>
      <c r="C102" s="10" t="s">
        <v>520</v>
      </c>
      <c r="D102" s="9" t="s">
        <v>87</v>
      </c>
      <c r="E102" s="11" t="s">
        <v>591</v>
      </c>
      <c r="F102" s="12"/>
      <c r="G102" s="14" t="s">
        <v>592</v>
      </c>
      <c r="H102" s="14" t="s">
        <v>90</v>
      </c>
      <c r="I102" s="14" t="s">
        <v>593</v>
      </c>
      <c r="J102" s="14" t="s">
        <v>92</v>
      </c>
      <c r="K102" s="14" t="s">
        <v>92</v>
      </c>
      <c r="L102" s="14" t="s">
        <v>93</v>
      </c>
      <c r="M102" s="14" t="s">
        <v>92</v>
      </c>
      <c r="N102" s="14" t="s">
        <v>92</v>
      </c>
      <c r="O102" s="14" t="s">
        <v>92</v>
      </c>
      <c r="P102" s="14" t="s">
        <v>93</v>
      </c>
      <c r="Q102" s="14" t="s">
        <v>92</v>
      </c>
      <c r="R102" s="14" t="s">
        <v>92</v>
      </c>
      <c r="S102" s="14" t="s">
        <v>93</v>
      </c>
      <c r="T102" s="14" t="s">
        <v>92</v>
      </c>
      <c r="U102" s="14" t="s">
        <v>92</v>
      </c>
      <c r="V102" s="14" t="s">
        <v>92</v>
      </c>
      <c r="W102" s="14" t="s">
        <v>92</v>
      </c>
      <c r="X102" s="14" t="s">
        <v>92</v>
      </c>
      <c r="Y102" s="14" t="s">
        <v>92</v>
      </c>
      <c r="Z102" s="14" t="s">
        <v>93</v>
      </c>
      <c r="AA102" s="14" t="s">
        <v>92</v>
      </c>
      <c r="AB102" s="8" t="s">
        <v>93</v>
      </c>
      <c r="AC102" s="8" t="s">
        <v>93</v>
      </c>
      <c r="AD102" s="8" t="s">
        <v>92</v>
      </c>
      <c r="AE102" s="14" t="s">
        <v>112</v>
      </c>
      <c r="AF102" s="14" t="s">
        <v>92</v>
      </c>
      <c r="AG102" s="13" t="s">
        <v>95</v>
      </c>
      <c r="AH102" s="8">
        <v>2022.0</v>
      </c>
      <c r="AI102" s="14" t="s">
        <v>92</v>
      </c>
      <c r="AJ102" s="14" t="s">
        <v>92</v>
      </c>
      <c r="AK102" s="14" t="s">
        <v>93</v>
      </c>
      <c r="AL102" s="14" t="s">
        <v>93</v>
      </c>
      <c r="AM102" s="15" t="s">
        <v>95</v>
      </c>
      <c r="AN102" s="13" t="s">
        <v>114</v>
      </c>
      <c r="AO102" s="8" t="s">
        <v>93</v>
      </c>
      <c r="AP102" s="8" t="s">
        <v>92</v>
      </c>
      <c r="AQ102" s="13" t="s">
        <v>92</v>
      </c>
      <c r="AR102" s="13" t="s">
        <v>93</v>
      </c>
      <c r="AS102" s="13" t="s">
        <v>93</v>
      </c>
      <c r="AT102" s="13" t="s">
        <v>93</v>
      </c>
      <c r="AU102" s="13" t="s">
        <v>93</v>
      </c>
      <c r="AV102" s="13" t="s">
        <v>93</v>
      </c>
      <c r="AW102" s="13" t="s">
        <v>93</v>
      </c>
      <c r="AX102" s="13" t="s">
        <v>93</v>
      </c>
      <c r="AY102" s="8" t="s">
        <v>566</v>
      </c>
      <c r="AZ102" s="8" t="s">
        <v>92</v>
      </c>
      <c r="BA102" s="16" t="s">
        <v>519</v>
      </c>
      <c r="BB102" s="8" t="s">
        <v>261</v>
      </c>
      <c r="BC102" s="8" t="s">
        <v>92</v>
      </c>
      <c r="BD102" s="14" t="s">
        <v>93</v>
      </c>
      <c r="BE102" s="13" t="s">
        <v>92</v>
      </c>
      <c r="BF102" s="13" t="s">
        <v>92</v>
      </c>
      <c r="BG102" s="13" t="s">
        <v>92</v>
      </c>
      <c r="BH102" s="13" t="s">
        <v>92</v>
      </c>
      <c r="BI102" s="14" t="s">
        <v>92</v>
      </c>
      <c r="BJ102" s="14" t="s">
        <v>92</v>
      </c>
      <c r="BK102" s="13" t="s">
        <v>105</v>
      </c>
      <c r="BL102" s="13" t="s">
        <v>105</v>
      </c>
      <c r="BM102" s="13" t="s">
        <v>105</v>
      </c>
      <c r="BN102" s="13" t="s">
        <v>105</v>
      </c>
      <c r="BO102" s="13" t="s">
        <v>105</v>
      </c>
      <c r="BP102" s="13" t="s">
        <v>105</v>
      </c>
      <c r="BQ102" s="8" t="s">
        <v>92</v>
      </c>
      <c r="BR102" s="8" t="s">
        <v>92</v>
      </c>
      <c r="BS102" s="8" t="s">
        <v>92</v>
      </c>
      <c r="BT102" s="8" t="s">
        <v>93</v>
      </c>
      <c r="BU102" s="8" t="s">
        <v>92</v>
      </c>
      <c r="BV102" s="8" t="s">
        <v>92</v>
      </c>
      <c r="BW102" s="8" t="s">
        <v>92</v>
      </c>
      <c r="BX102" s="8" t="s">
        <v>92</v>
      </c>
      <c r="BY102" s="8" t="s">
        <v>92</v>
      </c>
      <c r="BZ102" s="8" t="s">
        <v>93</v>
      </c>
      <c r="CA102" s="8" t="s">
        <v>92</v>
      </c>
      <c r="CB102" s="20" t="s">
        <v>116</v>
      </c>
      <c r="CC102" s="18"/>
      <c r="CD102" s="18"/>
      <c r="CE102" s="18"/>
      <c r="CF102" s="18"/>
      <c r="CG102" s="18"/>
      <c r="CH102" s="14"/>
    </row>
    <row r="103">
      <c r="A103" s="8"/>
      <c r="B103" s="16" t="s">
        <v>519</v>
      </c>
      <c r="C103" s="10" t="s">
        <v>520</v>
      </c>
      <c r="D103" s="9" t="s">
        <v>87</v>
      </c>
      <c r="E103" s="11" t="s">
        <v>594</v>
      </c>
      <c r="F103" s="12"/>
      <c r="G103" s="14" t="s">
        <v>595</v>
      </c>
      <c r="H103" s="14" t="s">
        <v>90</v>
      </c>
      <c r="I103" s="14" t="s">
        <v>596</v>
      </c>
      <c r="J103" s="14" t="s">
        <v>92</v>
      </c>
      <c r="K103" s="14" t="s">
        <v>92</v>
      </c>
      <c r="L103" s="14" t="s">
        <v>93</v>
      </c>
      <c r="M103" s="14" t="s">
        <v>92</v>
      </c>
      <c r="N103" s="14" t="s">
        <v>92</v>
      </c>
      <c r="O103" s="14" t="s">
        <v>92</v>
      </c>
      <c r="P103" s="14" t="s">
        <v>92</v>
      </c>
      <c r="Q103" s="14" t="s">
        <v>92</v>
      </c>
      <c r="R103" s="14" t="s">
        <v>92</v>
      </c>
      <c r="S103" s="14" t="s">
        <v>93</v>
      </c>
      <c r="T103" s="14" t="s">
        <v>92</v>
      </c>
      <c r="U103" s="14" t="s">
        <v>92</v>
      </c>
      <c r="V103" s="14" t="s">
        <v>92</v>
      </c>
      <c r="W103" s="14" t="s">
        <v>92</v>
      </c>
      <c r="X103" s="14" t="s">
        <v>92</v>
      </c>
      <c r="Y103" s="14" t="s">
        <v>92</v>
      </c>
      <c r="Z103" s="14" t="s">
        <v>93</v>
      </c>
      <c r="AA103" s="14" t="s">
        <v>92</v>
      </c>
      <c r="AB103" s="8" t="s">
        <v>93</v>
      </c>
      <c r="AC103" s="8" t="s">
        <v>93</v>
      </c>
      <c r="AD103" s="8" t="s">
        <v>92</v>
      </c>
      <c r="AE103" s="14" t="s">
        <v>112</v>
      </c>
      <c r="AF103" s="14" t="s">
        <v>92</v>
      </c>
      <c r="AG103" s="13" t="s">
        <v>95</v>
      </c>
      <c r="AH103" s="8">
        <v>2022.0</v>
      </c>
      <c r="AI103" s="14" t="s">
        <v>92</v>
      </c>
      <c r="AJ103" s="14" t="s">
        <v>92</v>
      </c>
      <c r="AK103" s="14" t="s">
        <v>93</v>
      </c>
      <c r="AL103" s="14" t="s">
        <v>93</v>
      </c>
      <c r="AM103" s="15" t="s">
        <v>95</v>
      </c>
      <c r="AN103" s="13" t="s">
        <v>114</v>
      </c>
      <c r="AO103" s="8" t="s">
        <v>93</v>
      </c>
      <c r="AP103" s="8" t="s">
        <v>92</v>
      </c>
      <c r="AQ103" s="13" t="s">
        <v>92</v>
      </c>
      <c r="AR103" s="13" t="s">
        <v>93</v>
      </c>
      <c r="AS103" s="13" t="s">
        <v>93</v>
      </c>
      <c r="AT103" s="13" t="s">
        <v>93</v>
      </c>
      <c r="AU103" s="13" t="s">
        <v>93</v>
      </c>
      <c r="AV103" s="13" t="s">
        <v>93</v>
      </c>
      <c r="AW103" s="13" t="s">
        <v>93</v>
      </c>
      <c r="AX103" s="13" t="s">
        <v>93</v>
      </c>
      <c r="AY103" s="15" t="s">
        <v>95</v>
      </c>
      <c r="AZ103" s="15" t="s">
        <v>95</v>
      </c>
      <c r="BA103" s="16" t="s">
        <v>519</v>
      </c>
      <c r="BB103" s="8" t="s">
        <v>261</v>
      </c>
      <c r="BC103" s="8" t="s">
        <v>92</v>
      </c>
      <c r="BD103" s="14" t="s">
        <v>93</v>
      </c>
      <c r="BE103" s="13" t="s">
        <v>92</v>
      </c>
      <c r="BF103" s="13" t="s">
        <v>92</v>
      </c>
      <c r="BG103" s="13" t="s">
        <v>92</v>
      </c>
      <c r="BH103" s="13" t="s">
        <v>92</v>
      </c>
      <c r="BI103" s="14" t="s">
        <v>92</v>
      </c>
      <c r="BJ103" s="14" t="s">
        <v>92</v>
      </c>
      <c r="BK103" s="14" t="s">
        <v>332</v>
      </c>
      <c r="BL103" s="14" t="s">
        <v>92</v>
      </c>
      <c r="BM103" s="14" t="s">
        <v>92</v>
      </c>
      <c r="BN103" s="14" t="s">
        <v>92</v>
      </c>
      <c r="BO103" s="14" t="s">
        <v>93</v>
      </c>
      <c r="BP103" s="14" t="s">
        <v>92</v>
      </c>
      <c r="BQ103" s="8" t="s">
        <v>92</v>
      </c>
      <c r="BR103" s="8" t="s">
        <v>92</v>
      </c>
      <c r="BS103" s="8" t="s">
        <v>92</v>
      </c>
      <c r="BT103" s="8" t="s">
        <v>93</v>
      </c>
      <c r="BU103" s="8" t="s">
        <v>92</v>
      </c>
      <c r="BV103" s="8" t="s">
        <v>93</v>
      </c>
      <c r="BW103" s="8" t="s">
        <v>92</v>
      </c>
      <c r="BX103" s="8" t="s">
        <v>92</v>
      </c>
      <c r="BY103" s="8" t="s">
        <v>92</v>
      </c>
      <c r="BZ103" s="8" t="s">
        <v>93</v>
      </c>
      <c r="CA103" s="8" t="s">
        <v>92</v>
      </c>
      <c r="CB103" s="20" t="s">
        <v>116</v>
      </c>
      <c r="CC103" s="18"/>
      <c r="CD103" s="18"/>
      <c r="CE103" s="18"/>
      <c r="CF103" s="18"/>
      <c r="CG103" s="18"/>
      <c r="CH103" s="14"/>
    </row>
    <row r="104">
      <c r="A104" s="8"/>
      <c r="B104" s="16" t="s">
        <v>519</v>
      </c>
      <c r="C104" s="10" t="s">
        <v>520</v>
      </c>
      <c r="D104" s="9" t="s">
        <v>87</v>
      </c>
      <c r="E104" s="11" t="s">
        <v>597</v>
      </c>
      <c r="F104" s="12"/>
      <c r="G104" s="14" t="s">
        <v>598</v>
      </c>
      <c r="H104" s="14" t="s">
        <v>90</v>
      </c>
      <c r="I104" s="14" t="s">
        <v>599</v>
      </c>
      <c r="J104" s="14" t="s">
        <v>93</v>
      </c>
      <c r="K104" s="14" t="s">
        <v>92</v>
      </c>
      <c r="L104" s="14" t="s">
        <v>92</v>
      </c>
      <c r="M104" s="14" t="s">
        <v>92</v>
      </c>
      <c r="N104" s="14" t="s">
        <v>92</v>
      </c>
      <c r="O104" s="14" t="s">
        <v>92</v>
      </c>
      <c r="P104" s="14" t="s">
        <v>92</v>
      </c>
      <c r="Q104" s="14" t="s">
        <v>92</v>
      </c>
      <c r="R104" s="14" t="s">
        <v>92</v>
      </c>
      <c r="S104" s="14" t="s">
        <v>93</v>
      </c>
      <c r="T104" s="14" t="s">
        <v>92</v>
      </c>
      <c r="U104" s="14" t="s">
        <v>92</v>
      </c>
      <c r="V104" s="14" t="s">
        <v>92</v>
      </c>
      <c r="W104" s="14" t="s">
        <v>92</v>
      </c>
      <c r="X104" s="14" t="s">
        <v>92</v>
      </c>
      <c r="Y104" s="14" t="s">
        <v>92</v>
      </c>
      <c r="Z104" s="14" t="s">
        <v>93</v>
      </c>
      <c r="AA104" s="14" t="s">
        <v>92</v>
      </c>
      <c r="AB104" s="8" t="s">
        <v>93</v>
      </c>
      <c r="AC104" s="8" t="s">
        <v>93</v>
      </c>
      <c r="AD104" s="8" t="s">
        <v>92</v>
      </c>
      <c r="AE104" s="14" t="s">
        <v>287</v>
      </c>
      <c r="AF104" s="14" t="s">
        <v>92</v>
      </c>
      <c r="AG104" s="13" t="s">
        <v>95</v>
      </c>
      <c r="AH104" s="8">
        <v>2023.0</v>
      </c>
      <c r="AI104" s="14" t="s">
        <v>92</v>
      </c>
      <c r="AJ104" s="14" t="s">
        <v>92</v>
      </c>
      <c r="AK104" s="14" t="s">
        <v>92</v>
      </c>
      <c r="AL104" s="14" t="s">
        <v>93</v>
      </c>
      <c r="AM104" s="15" t="s">
        <v>95</v>
      </c>
      <c r="AN104" s="13" t="s">
        <v>114</v>
      </c>
      <c r="AO104" s="8" t="s">
        <v>92</v>
      </c>
      <c r="AP104" s="8" t="s">
        <v>92</v>
      </c>
      <c r="AQ104" s="13" t="s">
        <v>92</v>
      </c>
      <c r="AR104" s="13" t="s">
        <v>93</v>
      </c>
      <c r="AS104" s="13" t="s">
        <v>93</v>
      </c>
      <c r="AT104" s="13" t="s">
        <v>93</v>
      </c>
      <c r="AU104" s="13" t="s">
        <v>93</v>
      </c>
      <c r="AV104" s="13" t="s">
        <v>93</v>
      </c>
      <c r="AW104" s="13" t="s">
        <v>93</v>
      </c>
      <c r="AX104" s="13" t="s">
        <v>93</v>
      </c>
      <c r="AY104" s="15" t="s">
        <v>95</v>
      </c>
      <c r="AZ104" s="15" t="s">
        <v>95</v>
      </c>
      <c r="BA104" s="9" t="s">
        <v>600</v>
      </c>
      <c r="BB104" s="8" t="s">
        <v>213</v>
      </c>
      <c r="BC104" s="8" t="s">
        <v>92</v>
      </c>
      <c r="BD104" s="14" t="s">
        <v>93</v>
      </c>
      <c r="BE104" s="13" t="s">
        <v>92</v>
      </c>
      <c r="BF104" s="13" t="s">
        <v>92</v>
      </c>
      <c r="BG104" s="13" t="s">
        <v>92</v>
      </c>
      <c r="BH104" s="13" t="s">
        <v>92</v>
      </c>
      <c r="BI104" s="14" t="s">
        <v>92</v>
      </c>
      <c r="BJ104" s="14" t="s">
        <v>93</v>
      </c>
      <c r="BK104" s="14" t="s">
        <v>274</v>
      </c>
      <c r="BL104" s="14" t="s">
        <v>93</v>
      </c>
      <c r="BM104" s="14" t="s">
        <v>92</v>
      </c>
      <c r="BN104" s="14" t="s">
        <v>92</v>
      </c>
      <c r="BO104" s="14" t="s">
        <v>92</v>
      </c>
      <c r="BP104" s="14" t="s">
        <v>92</v>
      </c>
      <c r="BQ104" s="8" t="s">
        <v>92</v>
      </c>
      <c r="BR104" s="8" t="s">
        <v>92</v>
      </c>
      <c r="BS104" s="8" t="s">
        <v>93</v>
      </c>
      <c r="BT104" s="8" t="s">
        <v>93</v>
      </c>
      <c r="BU104" s="8" t="s">
        <v>92</v>
      </c>
      <c r="BV104" s="8" t="s">
        <v>93</v>
      </c>
      <c r="BW104" s="8" t="s">
        <v>92</v>
      </c>
      <c r="BX104" s="8" t="s">
        <v>92</v>
      </c>
      <c r="BY104" s="8" t="s">
        <v>92</v>
      </c>
      <c r="BZ104" s="8" t="s">
        <v>93</v>
      </c>
      <c r="CA104" s="8" t="s">
        <v>92</v>
      </c>
      <c r="CB104" s="20" t="s">
        <v>116</v>
      </c>
      <c r="CC104" s="18"/>
      <c r="CD104" s="18"/>
      <c r="CE104" s="18"/>
      <c r="CF104" s="18"/>
      <c r="CG104" s="18"/>
      <c r="CH104" s="14"/>
    </row>
    <row r="105">
      <c r="A105" s="8"/>
      <c r="B105" s="16" t="s">
        <v>519</v>
      </c>
      <c r="C105" s="10" t="s">
        <v>520</v>
      </c>
      <c r="D105" s="9" t="s">
        <v>87</v>
      </c>
      <c r="E105" s="11" t="s">
        <v>601</v>
      </c>
      <c r="F105" s="10" t="s">
        <v>602</v>
      </c>
      <c r="G105" s="14" t="s">
        <v>603</v>
      </c>
      <c r="H105" s="14" t="s">
        <v>110</v>
      </c>
      <c r="I105" s="14" t="s">
        <v>604</v>
      </c>
      <c r="J105" s="14" t="s">
        <v>92</v>
      </c>
      <c r="K105" s="14" t="s">
        <v>92</v>
      </c>
      <c r="L105" s="14" t="s">
        <v>92</v>
      </c>
      <c r="M105" s="14" t="s">
        <v>93</v>
      </c>
      <c r="N105" s="14" t="s">
        <v>92</v>
      </c>
      <c r="O105" s="14" t="s">
        <v>92</v>
      </c>
      <c r="P105" s="14" t="s">
        <v>93</v>
      </c>
      <c r="Q105" s="14" t="s">
        <v>92</v>
      </c>
      <c r="R105" s="14" t="s">
        <v>92</v>
      </c>
      <c r="S105" s="14" t="s">
        <v>92</v>
      </c>
      <c r="T105" s="14" t="s">
        <v>93</v>
      </c>
      <c r="U105" s="14" t="s">
        <v>92</v>
      </c>
      <c r="V105" s="14" t="s">
        <v>92</v>
      </c>
      <c r="W105" s="14" t="s">
        <v>92</v>
      </c>
      <c r="X105" s="14" t="s">
        <v>92</v>
      </c>
      <c r="Y105" s="14" t="s">
        <v>93</v>
      </c>
      <c r="Z105" s="14" t="s">
        <v>92</v>
      </c>
      <c r="AA105" s="14" t="s">
        <v>92</v>
      </c>
      <c r="AB105" s="8" t="s">
        <v>93</v>
      </c>
      <c r="AC105" s="8" t="s">
        <v>93</v>
      </c>
      <c r="AD105" s="8" t="s">
        <v>92</v>
      </c>
      <c r="AE105" s="14" t="s">
        <v>112</v>
      </c>
      <c r="AF105" s="14" t="s">
        <v>92</v>
      </c>
      <c r="AG105" s="13" t="s">
        <v>95</v>
      </c>
      <c r="AH105" s="8" t="s">
        <v>105</v>
      </c>
      <c r="AI105" s="14" t="s">
        <v>92</v>
      </c>
      <c r="AJ105" s="14" t="s">
        <v>92</v>
      </c>
      <c r="AK105" s="14" t="s">
        <v>92</v>
      </c>
      <c r="AL105" s="14" t="s">
        <v>93</v>
      </c>
      <c r="AM105" s="15" t="s">
        <v>95</v>
      </c>
      <c r="AN105" s="13" t="s">
        <v>114</v>
      </c>
      <c r="AO105" s="8" t="s">
        <v>92</v>
      </c>
      <c r="AP105" s="8" t="s">
        <v>92</v>
      </c>
      <c r="AQ105" s="13" t="s">
        <v>92</v>
      </c>
      <c r="AR105" s="13" t="s">
        <v>93</v>
      </c>
      <c r="AS105" s="13" t="s">
        <v>93</v>
      </c>
      <c r="AT105" s="13" t="s">
        <v>93</v>
      </c>
      <c r="AU105" s="13" t="s">
        <v>93</v>
      </c>
      <c r="AV105" s="13" t="s">
        <v>93</v>
      </c>
      <c r="AW105" s="13" t="s">
        <v>93</v>
      </c>
      <c r="AX105" s="13" t="s">
        <v>93</v>
      </c>
      <c r="AY105" s="15" t="s">
        <v>95</v>
      </c>
      <c r="AZ105" s="15" t="s">
        <v>95</v>
      </c>
      <c r="BA105" s="16" t="s">
        <v>519</v>
      </c>
      <c r="BB105" s="8" t="s">
        <v>261</v>
      </c>
      <c r="BC105" s="8" t="s">
        <v>92</v>
      </c>
      <c r="BD105" s="14" t="s">
        <v>92</v>
      </c>
      <c r="BE105" s="14" t="s">
        <v>92</v>
      </c>
      <c r="BF105" s="14" t="s">
        <v>92</v>
      </c>
      <c r="BG105" s="14" t="s">
        <v>92</v>
      </c>
      <c r="BH105" s="14" t="s">
        <v>92</v>
      </c>
      <c r="BI105" s="14" t="s">
        <v>93</v>
      </c>
      <c r="BJ105" s="14" t="s">
        <v>92</v>
      </c>
      <c r="BK105" s="13" t="s">
        <v>105</v>
      </c>
      <c r="BL105" s="13" t="s">
        <v>105</v>
      </c>
      <c r="BM105" s="13" t="s">
        <v>105</v>
      </c>
      <c r="BN105" s="13" t="s">
        <v>105</v>
      </c>
      <c r="BO105" s="13" t="s">
        <v>105</v>
      </c>
      <c r="BP105" s="13" t="s">
        <v>105</v>
      </c>
      <c r="BQ105" s="8" t="s">
        <v>92</v>
      </c>
      <c r="BR105" s="8" t="s">
        <v>93</v>
      </c>
      <c r="BS105" s="8" t="s">
        <v>93</v>
      </c>
      <c r="BT105" s="8" t="s">
        <v>92</v>
      </c>
      <c r="BU105" s="8" t="s">
        <v>92</v>
      </c>
      <c r="BV105" s="8" t="s">
        <v>92</v>
      </c>
      <c r="BW105" s="8" t="s">
        <v>92</v>
      </c>
      <c r="BX105" s="8" t="s">
        <v>92</v>
      </c>
      <c r="BY105" s="8" t="s">
        <v>92</v>
      </c>
      <c r="BZ105" s="8" t="s">
        <v>92</v>
      </c>
      <c r="CA105" s="8" t="s">
        <v>92</v>
      </c>
      <c r="CB105" s="20" t="s">
        <v>116</v>
      </c>
      <c r="CC105" s="18"/>
      <c r="CD105" s="18"/>
      <c r="CE105" s="18"/>
      <c r="CF105" s="18"/>
      <c r="CG105" s="18"/>
      <c r="CH105" s="14"/>
    </row>
    <row r="106" ht="15.0" customHeight="1">
      <c r="A106" s="8"/>
      <c r="B106" s="16" t="s">
        <v>519</v>
      </c>
      <c r="C106" s="10" t="s">
        <v>520</v>
      </c>
      <c r="D106" s="9" t="s">
        <v>87</v>
      </c>
      <c r="E106" s="11" t="s">
        <v>605</v>
      </c>
      <c r="F106" s="12"/>
      <c r="G106" s="14" t="s">
        <v>606</v>
      </c>
      <c r="H106" s="14" t="s">
        <v>90</v>
      </c>
      <c r="I106" s="14" t="s">
        <v>607</v>
      </c>
      <c r="J106" s="14" t="s">
        <v>92</v>
      </c>
      <c r="K106" s="14" t="s">
        <v>92</v>
      </c>
      <c r="L106" s="14" t="s">
        <v>93</v>
      </c>
      <c r="M106" s="14" t="s">
        <v>92</v>
      </c>
      <c r="N106" s="14" t="s">
        <v>92</v>
      </c>
      <c r="O106" s="14" t="s">
        <v>92</v>
      </c>
      <c r="P106" s="14" t="s">
        <v>92</v>
      </c>
      <c r="Q106" s="14" t="s">
        <v>92</v>
      </c>
      <c r="R106" s="14" t="s">
        <v>92</v>
      </c>
      <c r="S106" s="14" t="s">
        <v>92</v>
      </c>
      <c r="T106" s="14" t="s">
        <v>92</v>
      </c>
      <c r="U106" s="14" t="s">
        <v>92</v>
      </c>
      <c r="V106" s="14" t="s">
        <v>92</v>
      </c>
      <c r="W106" s="14" t="s">
        <v>92</v>
      </c>
      <c r="X106" s="14" t="s">
        <v>92</v>
      </c>
      <c r="Y106" s="14" t="s">
        <v>92</v>
      </c>
      <c r="Z106" s="14" t="s">
        <v>93</v>
      </c>
      <c r="AA106" s="14" t="s">
        <v>92</v>
      </c>
      <c r="AB106" s="8" t="s">
        <v>93</v>
      </c>
      <c r="AC106" s="8" t="s">
        <v>93</v>
      </c>
      <c r="AD106" s="8" t="s">
        <v>92</v>
      </c>
      <c r="AE106" s="14" t="s">
        <v>112</v>
      </c>
      <c r="AF106" s="14" t="s">
        <v>92</v>
      </c>
      <c r="AG106" s="13" t="s">
        <v>95</v>
      </c>
      <c r="AH106" s="8" t="s">
        <v>105</v>
      </c>
      <c r="AI106" s="14" t="s">
        <v>92</v>
      </c>
      <c r="AJ106" s="14" t="s">
        <v>92</v>
      </c>
      <c r="AK106" s="14" t="s">
        <v>92</v>
      </c>
      <c r="AL106" s="14" t="s">
        <v>93</v>
      </c>
      <c r="AM106" s="15" t="s">
        <v>95</v>
      </c>
      <c r="AN106" s="13" t="s">
        <v>114</v>
      </c>
      <c r="AO106" s="8" t="s">
        <v>92</v>
      </c>
      <c r="AP106" s="8" t="s">
        <v>92</v>
      </c>
      <c r="AQ106" s="13" t="s">
        <v>92</v>
      </c>
      <c r="AR106" s="13" t="s">
        <v>93</v>
      </c>
      <c r="AS106" s="13" t="s">
        <v>93</v>
      </c>
      <c r="AT106" s="13" t="s">
        <v>93</v>
      </c>
      <c r="AU106" s="13" t="s">
        <v>93</v>
      </c>
      <c r="AV106" s="13" t="s">
        <v>93</v>
      </c>
      <c r="AW106" s="13" t="s">
        <v>93</v>
      </c>
      <c r="AX106" s="13" t="s">
        <v>93</v>
      </c>
      <c r="AY106" s="15" t="s">
        <v>95</v>
      </c>
      <c r="AZ106" s="15" t="s">
        <v>95</v>
      </c>
      <c r="BA106" s="16" t="s">
        <v>519</v>
      </c>
      <c r="BB106" s="8" t="s">
        <v>261</v>
      </c>
      <c r="BC106" s="8" t="s">
        <v>92</v>
      </c>
      <c r="BD106" s="14" t="s">
        <v>93</v>
      </c>
      <c r="BE106" s="14" t="s">
        <v>92</v>
      </c>
      <c r="BF106" s="14" t="s">
        <v>92</v>
      </c>
      <c r="BG106" s="14" t="s">
        <v>92</v>
      </c>
      <c r="BH106" s="14" t="s">
        <v>92</v>
      </c>
      <c r="BI106" s="14" t="s">
        <v>92</v>
      </c>
      <c r="BJ106" s="14" t="s">
        <v>92</v>
      </c>
      <c r="BK106" s="14" t="s">
        <v>608</v>
      </c>
      <c r="BL106" s="14" t="s">
        <v>92</v>
      </c>
      <c r="BM106" s="14" t="s">
        <v>93</v>
      </c>
      <c r="BN106" s="14" t="s">
        <v>92</v>
      </c>
      <c r="BO106" s="14" t="s">
        <v>92</v>
      </c>
      <c r="BP106" s="14" t="s">
        <v>92</v>
      </c>
      <c r="BQ106" s="8" t="s">
        <v>92</v>
      </c>
      <c r="BR106" s="8" t="s">
        <v>92</v>
      </c>
      <c r="BS106" s="8" t="s">
        <v>92</v>
      </c>
      <c r="BT106" s="8" t="s">
        <v>93</v>
      </c>
      <c r="BU106" s="8" t="s">
        <v>92</v>
      </c>
      <c r="BV106" s="8" t="s">
        <v>93</v>
      </c>
      <c r="BW106" s="8" t="s">
        <v>92</v>
      </c>
      <c r="BX106" s="8" t="s">
        <v>92</v>
      </c>
      <c r="BY106" s="8" t="s">
        <v>92</v>
      </c>
      <c r="BZ106" s="8" t="s">
        <v>93</v>
      </c>
      <c r="CA106" s="8" t="s">
        <v>92</v>
      </c>
      <c r="CB106" s="20" t="s">
        <v>116</v>
      </c>
      <c r="CC106" s="18"/>
      <c r="CD106" s="18"/>
      <c r="CE106" s="18"/>
      <c r="CF106" s="18"/>
      <c r="CG106" s="18"/>
      <c r="CH106" s="14"/>
    </row>
    <row r="107" ht="15.75" customHeight="1">
      <c r="A107" s="8"/>
      <c r="B107" s="16" t="s">
        <v>519</v>
      </c>
      <c r="C107" s="10" t="s">
        <v>520</v>
      </c>
      <c r="D107" s="9" t="s">
        <v>87</v>
      </c>
      <c r="E107" s="11" t="s">
        <v>609</v>
      </c>
      <c r="F107" s="12"/>
      <c r="G107" s="14" t="s">
        <v>610</v>
      </c>
      <c r="H107" s="14" t="s">
        <v>90</v>
      </c>
      <c r="I107" s="14" t="s">
        <v>611</v>
      </c>
      <c r="J107" s="14" t="s">
        <v>93</v>
      </c>
      <c r="K107" s="14" t="s">
        <v>92</v>
      </c>
      <c r="L107" s="14" t="s">
        <v>93</v>
      </c>
      <c r="M107" s="14" t="s">
        <v>92</v>
      </c>
      <c r="N107" s="14" t="s">
        <v>92</v>
      </c>
      <c r="O107" s="14" t="s">
        <v>92</v>
      </c>
      <c r="P107" s="14" t="s">
        <v>92</v>
      </c>
      <c r="Q107" s="14" t="s">
        <v>92</v>
      </c>
      <c r="R107" s="14" t="s">
        <v>92</v>
      </c>
      <c r="S107" s="14" t="s">
        <v>92</v>
      </c>
      <c r="T107" s="14" t="s">
        <v>92</v>
      </c>
      <c r="U107" s="14" t="s">
        <v>92</v>
      </c>
      <c r="V107" s="14" t="s">
        <v>92</v>
      </c>
      <c r="W107" s="14" t="s">
        <v>92</v>
      </c>
      <c r="X107" s="14" t="s">
        <v>92</v>
      </c>
      <c r="Y107" s="14" t="s">
        <v>92</v>
      </c>
      <c r="Z107" s="14" t="s">
        <v>93</v>
      </c>
      <c r="AA107" s="14" t="s">
        <v>92</v>
      </c>
      <c r="AB107" s="8" t="s">
        <v>92</v>
      </c>
      <c r="AC107" s="8" t="s">
        <v>93</v>
      </c>
      <c r="AD107" s="8" t="s">
        <v>92</v>
      </c>
      <c r="AE107" s="14" t="s">
        <v>112</v>
      </c>
      <c r="AF107" s="14" t="s">
        <v>92</v>
      </c>
      <c r="AG107" s="13" t="s">
        <v>95</v>
      </c>
      <c r="AH107" s="8" t="s">
        <v>105</v>
      </c>
      <c r="AI107" s="14" t="s">
        <v>92</v>
      </c>
      <c r="AJ107" s="14" t="s">
        <v>92</v>
      </c>
      <c r="AK107" s="14" t="s">
        <v>92</v>
      </c>
      <c r="AL107" s="14" t="s">
        <v>93</v>
      </c>
      <c r="AM107" s="15" t="s">
        <v>95</v>
      </c>
      <c r="AN107" s="13" t="s">
        <v>114</v>
      </c>
      <c r="AO107" s="8" t="s">
        <v>92</v>
      </c>
      <c r="AP107" s="8" t="s">
        <v>92</v>
      </c>
      <c r="AQ107" s="13" t="s">
        <v>92</v>
      </c>
      <c r="AR107" s="13" t="s">
        <v>93</v>
      </c>
      <c r="AS107" s="13" t="s">
        <v>93</v>
      </c>
      <c r="AT107" s="13" t="s">
        <v>93</v>
      </c>
      <c r="AU107" s="13" t="s">
        <v>93</v>
      </c>
      <c r="AV107" s="13" t="s">
        <v>93</v>
      </c>
      <c r="AW107" s="13" t="s">
        <v>93</v>
      </c>
      <c r="AX107" s="13" t="s">
        <v>93</v>
      </c>
      <c r="AY107" s="8" t="s">
        <v>415</v>
      </c>
      <c r="AZ107" s="8" t="s">
        <v>92</v>
      </c>
      <c r="BA107" s="16" t="s">
        <v>519</v>
      </c>
      <c r="BB107" s="8" t="s">
        <v>261</v>
      </c>
      <c r="BC107" s="8" t="s">
        <v>92</v>
      </c>
      <c r="BD107" s="14" t="s">
        <v>93</v>
      </c>
      <c r="BE107" s="14" t="s">
        <v>92</v>
      </c>
      <c r="BF107" s="14" t="s">
        <v>92</v>
      </c>
      <c r="BG107" s="14" t="s">
        <v>92</v>
      </c>
      <c r="BH107" s="14" t="s">
        <v>92</v>
      </c>
      <c r="BI107" s="14" t="s">
        <v>92</v>
      </c>
      <c r="BJ107" s="14" t="s">
        <v>92</v>
      </c>
      <c r="BK107" s="13" t="s">
        <v>105</v>
      </c>
      <c r="BL107" s="13" t="s">
        <v>105</v>
      </c>
      <c r="BM107" s="13" t="s">
        <v>105</v>
      </c>
      <c r="BN107" s="13" t="s">
        <v>105</v>
      </c>
      <c r="BO107" s="13" t="s">
        <v>105</v>
      </c>
      <c r="BP107" s="13" t="s">
        <v>105</v>
      </c>
      <c r="BQ107" s="8" t="s">
        <v>92</v>
      </c>
      <c r="BR107" s="8" t="s">
        <v>92</v>
      </c>
      <c r="BS107" s="8" t="s">
        <v>92</v>
      </c>
      <c r="BT107" s="8" t="s">
        <v>93</v>
      </c>
      <c r="BU107" s="8" t="s">
        <v>92</v>
      </c>
      <c r="BV107" s="8" t="s">
        <v>93</v>
      </c>
      <c r="BW107" s="8" t="s">
        <v>92</v>
      </c>
      <c r="BX107" s="8" t="s">
        <v>92</v>
      </c>
      <c r="BY107" s="8" t="s">
        <v>92</v>
      </c>
      <c r="BZ107" s="8" t="s">
        <v>93</v>
      </c>
      <c r="CA107" s="8" t="s">
        <v>92</v>
      </c>
      <c r="CB107" s="20" t="s">
        <v>116</v>
      </c>
      <c r="CC107" s="18"/>
      <c r="CD107" s="18"/>
      <c r="CE107" s="18"/>
      <c r="CF107" s="18"/>
      <c r="CG107" s="18"/>
      <c r="CH107" s="14"/>
    </row>
    <row r="108">
      <c r="A108" s="8"/>
      <c r="B108" s="16" t="s">
        <v>519</v>
      </c>
      <c r="C108" s="10" t="s">
        <v>520</v>
      </c>
      <c r="D108" s="9" t="s">
        <v>87</v>
      </c>
      <c r="E108" s="11" t="s">
        <v>612</v>
      </c>
      <c r="F108" s="12"/>
      <c r="G108" s="14" t="s">
        <v>613</v>
      </c>
      <c r="H108" s="14" t="s">
        <v>90</v>
      </c>
      <c r="I108" s="14" t="s">
        <v>614</v>
      </c>
      <c r="J108" s="14" t="s">
        <v>93</v>
      </c>
      <c r="K108" s="14" t="s">
        <v>92</v>
      </c>
      <c r="L108" s="14" t="s">
        <v>93</v>
      </c>
      <c r="M108" s="14" t="s">
        <v>92</v>
      </c>
      <c r="N108" s="14" t="s">
        <v>92</v>
      </c>
      <c r="O108" s="14" t="s">
        <v>92</v>
      </c>
      <c r="P108" s="14" t="s">
        <v>92</v>
      </c>
      <c r="Q108" s="14" t="s">
        <v>92</v>
      </c>
      <c r="R108" s="14" t="s">
        <v>92</v>
      </c>
      <c r="S108" s="14" t="s">
        <v>92</v>
      </c>
      <c r="T108" s="14" t="s">
        <v>92</v>
      </c>
      <c r="U108" s="14" t="s">
        <v>92</v>
      </c>
      <c r="V108" s="14" t="s">
        <v>92</v>
      </c>
      <c r="W108" s="14" t="s">
        <v>92</v>
      </c>
      <c r="X108" s="14" t="s">
        <v>92</v>
      </c>
      <c r="Y108" s="14" t="s">
        <v>92</v>
      </c>
      <c r="Z108" s="14" t="s">
        <v>93</v>
      </c>
      <c r="AA108" s="14" t="s">
        <v>92</v>
      </c>
      <c r="AB108" s="8" t="s">
        <v>92</v>
      </c>
      <c r="AC108" s="8" t="s">
        <v>93</v>
      </c>
      <c r="AD108" s="8" t="s">
        <v>93</v>
      </c>
      <c r="AE108" s="14" t="s">
        <v>112</v>
      </c>
      <c r="AF108" s="14" t="s">
        <v>92</v>
      </c>
      <c r="AG108" s="13" t="s">
        <v>95</v>
      </c>
      <c r="AH108" s="8" t="s">
        <v>105</v>
      </c>
      <c r="AI108" s="14" t="s">
        <v>92</v>
      </c>
      <c r="AJ108" s="14" t="s">
        <v>92</v>
      </c>
      <c r="AK108" s="14" t="s">
        <v>92</v>
      </c>
      <c r="AL108" s="14" t="s">
        <v>93</v>
      </c>
      <c r="AM108" s="15" t="s">
        <v>95</v>
      </c>
      <c r="AN108" s="13" t="s">
        <v>114</v>
      </c>
      <c r="AO108" s="8" t="s">
        <v>92</v>
      </c>
      <c r="AP108" s="8" t="s">
        <v>92</v>
      </c>
      <c r="AQ108" s="13" t="s">
        <v>92</v>
      </c>
      <c r="AR108" s="13" t="s">
        <v>93</v>
      </c>
      <c r="AS108" s="13" t="s">
        <v>93</v>
      </c>
      <c r="AT108" s="13" t="s">
        <v>93</v>
      </c>
      <c r="AU108" s="13" t="s">
        <v>93</v>
      </c>
      <c r="AV108" s="13" t="s">
        <v>93</v>
      </c>
      <c r="AW108" s="13" t="s">
        <v>93</v>
      </c>
      <c r="AX108" s="13" t="s">
        <v>93</v>
      </c>
      <c r="AY108" s="15" t="s">
        <v>95</v>
      </c>
      <c r="AZ108" s="15" t="s">
        <v>95</v>
      </c>
      <c r="BA108" s="16" t="s">
        <v>519</v>
      </c>
      <c r="BB108" s="8" t="s">
        <v>261</v>
      </c>
      <c r="BC108" s="8" t="s">
        <v>92</v>
      </c>
      <c r="BD108" s="14" t="s">
        <v>93</v>
      </c>
      <c r="BE108" s="14" t="s">
        <v>92</v>
      </c>
      <c r="BF108" s="14" t="s">
        <v>92</v>
      </c>
      <c r="BG108" s="14" t="s">
        <v>92</v>
      </c>
      <c r="BH108" s="14" t="s">
        <v>92</v>
      </c>
      <c r="BI108" s="14" t="s">
        <v>92</v>
      </c>
      <c r="BJ108" s="14" t="s">
        <v>92</v>
      </c>
      <c r="BK108" s="14" t="s">
        <v>615</v>
      </c>
      <c r="BL108" s="13" t="s">
        <v>93</v>
      </c>
      <c r="BM108" s="13" t="s">
        <v>93</v>
      </c>
      <c r="BN108" s="13" t="s">
        <v>93</v>
      </c>
      <c r="BO108" s="13" t="s">
        <v>93</v>
      </c>
      <c r="BP108" s="13" t="s">
        <v>93</v>
      </c>
      <c r="BQ108" s="8" t="s">
        <v>92</v>
      </c>
      <c r="BR108" s="8" t="s">
        <v>92</v>
      </c>
      <c r="BS108" s="8" t="s">
        <v>92</v>
      </c>
      <c r="BT108" s="8" t="s">
        <v>93</v>
      </c>
      <c r="BU108" s="8" t="s">
        <v>92</v>
      </c>
      <c r="BV108" s="8" t="s">
        <v>93</v>
      </c>
      <c r="BW108" s="8" t="s">
        <v>92</v>
      </c>
      <c r="BX108" s="8" t="s">
        <v>92</v>
      </c>
      <c r="BY108" s="8" t="s">
        <v>92</v>
      </c>
      <c r="BZ108" s="8" t="s">
        <v>93</v>
      </c>
      <c r="CA108" s="8" t="s">
        <v>92</v>
      </c>
      <c r="CB108" s="20" t="s">
        <v>116</v>
      </c>
      <c r="CC108" s="18"/>
      <c r="CD108" s="18"/>
      <c r="CE108" s="18"/>
      <c r="CF108" s="18"/>
      <c r="CG108" s="18"/>
      <c r="CH108" s="14"/>
    </row>
    <row r="109">
      <c r="A109" s="8"/>
      <c r="B109" s="16" t="s">
        <v>519</v>
      </c>
      <c r="C109" s="10" t="s">
        <v>520</v>
      </c>
      <c r="D109" s="9" t="s">
        <v>87</v>
      </c>
      <c r="E109" s="11" t="s">
        <v>616</v>
      </c>
      <c r="F109" s="12"/>
      <c r="G109" s="14" t="s">
        <v>617</v>
      </c>
      <c r="H109" s="14" t="s">
        <v>110</v>
      </c>
      <c r="I109" s="14" t="s">
        <v>618</v>
      </c>
      <c r="J109" s="14" t="s">
        <v>93</v>
      </c>
      <c r="K109" s="14" t="s">
        <v>92</v>
      </c>
      <c r="L109" s="14" t="s">
        <v>93</v>
      </c>
      <c r="M109" s="14" t="s">
        <v>92</v>
      </c>
      <c r="N109" s="14" t="s">
        <v>92</v>
      </c>
      <c r="O109" s="14" t="s">
        <v>92</v>
      </c>
      <c r="P109" s="14" t="s">
        <v>92</v>
      </c>
      <c r="Q109" s="14" t="s">
        <v>92</v>
      </c>
      <c r="R109" s="14" t="s">
        <v>92</v>
      </c>
      <c r="S109" s="14" t="s">
        <v>93</v>
      </c>
      <c r="T109" s="14" t="s">
        <v>92</v>
      </c>
      <c r="U109" s="14" t="s">
        <v>92</v>
      </c>
      <c r="V109" s="14" t="s">
        <v>92</v>
      </c>
      <c r="W109" s="14" t="s">
        <v>92</v>
      </c>
      <c r="X109" s="14" t="s">
        <v>92</v>
      </c>
      <c r="Y109" s="14" t="s">
        <v>92</v>
      </c>
      <c r="Z109" s="14" t="s">
        <v>93</v>
      </c>
      <c r="AA109" s="14" t="s">
        <v>92</v>
      </c>
      <c r="AB109" s="8" t="s">
        <v>92</v>
      </c>
      <c r="AC109" s="8" t="s">
        <v>93</v>
      </c>
      <c r="AD109" s="8" t="s">
        <v>92</v>
      </c>
      <c r="AE109" s="14" t="s">
        <v>112</v>
      </c>
      <c r="AF109" s="14" t="s">
        <v>92</v>
      </c>
      <c r="AG109" s="13" t="s">
        <v>95</v>
      </c>
      <c r="AH109" s="8">
        <v>2021.0</v>
      </c>
      <c r="AI109" s="14" t="s">
        <v>92</v>
      </c>
      <c r="AJ109" s="14" t="s">
        <v>93</v>
      </c>
      <c r="AK109" s="14" t="s">
        <v>92</v>
      </c>
      <c r="AL109" s="14" t="s">
        <v>92</v>
      </c>
      <c r="AM109" s="15" t="s">
        <v>105</v>
      </c>
      <c r="AN109" s="13" t="s">
        <v>105</v>
      </c>
      <c r="AO109" s="8" t="s">
        <v>105</v>
      </c>
      <c r="AP109" s="8" t="s">
        <v>92</v>
      </c>
      <c r="AQ109" s="13" t="s">
        <v>92</v>
      </c>
      <c r="AR109" s="13" t="s">
        <v>93</v>
      </c>
      <c r="AS109" s="13" t="s">
        <v>93</v>
      </c>
      <c r="AT109" s="13" t="s">
        <v>93</v>
      </c>
      <c r="AU109" s="13" t="s">
        <v>93</v>
      </c>
      <c r="AV109" s="13" t="s">
        <v>93</v>
      </c>
      <c r="AW109" s="13" t="s">
        <v>93</v>
      </c>
      <c r="AX109" s="13" t="s">
        <v>93</v>
      </c>
      <c r="AY109" s="15" t="s">
        <v>95</v>
      </c>
      <c r="AZ109" s="15" t="s">
        <v>95</v>
      </c>
      <c r="BA109" s="16" t="s">
        <v>519</v>
      </c>
      <c r="BB109" s="8" t="s">
        <v>261</v>
      </c>
      <c r="BC109" s="8" t="s">
        <v>92</v>
      </c>
      <c r="BD109" s="14" t="s">
        <v>93</v>
      </c>
      <c r="BE109" s="14" t="s">
        <v>92</v>
      </c>
      <c r="BF109" s="14" t="s">
        <v>92</v>
      </c>
      <c r="BG109" s="14" t="s">
        <v>92</v>
      </c>
      <c r="BH109" s="14" t="s">
        <v>92</v>
      </c>
      <c r="BI109" s="14" t="s">
        <v>92</v>
      </c>
      <c r="BJ109" s="14" t="s">
        <v>92</v>
      </c>
      <c r="BK109" s="14" t="s">
        <v>274</v>
      </c>
      <c r="BL109" s="14" t="s">
        <v>93</v>
      </c>
      <c r="BM109" s="14" t="s">
        <v>92</v>
      </c>
      <c r="BN109" s="14" t="s">
        <v>92</v>
      </c>
      <c r="BO109" s="14" t="s">
        <v>92</v>
      </c>
      <c r="BP109" s="14" t="s">
        <v>92</v>
      </c>
      <c r="BQ109" s="8" t="s">
        <v>92</v>
      </c>
      <c r="BR109" s="8" t="s">
        <v>92</v>
      </c>
      <c r="BS109" s="8" t="s">
        <v>92</v>
      </c>
      <c r="BT109" s="8" t="s">
        <v>93</v>
      </c>
      <c r="BU109" s="8" t="s">
        <v>92</v>
      </c>
      <c r="BV109" s="8" t="s">
        <v>92</v>
      </c>
      <c r="BW109" s="8" t="s">
        <v>92</v>
      </c>
      <c r="BX109" s="8" t="s">
        <v>92</v>
      </c>
      <c r="BY109" s="8" t="s">
        <v>92</v>
      </c>
      <c r="BZ109" s="8" t="s">
        <v>93</v>
      </c>
      <c r="CA109" s="8" t="s">
        <v>92</v>
      </c>
      <c r="CB109" s="17" t="s">
        <v>115</v>
      </c>
      <c r="CC109" s="18"/>
      <c r="CD109" s="18"/>
      <c r="CE109" s="18"/>
      <c r="CF109" s="18"/>
      <c r="CG109" s="18"/>
      <c r="CH109" s="14"/>
    </row>
    <row r="110">
      <c r="A110" s="8"/>
      <c r="B110" s="16" t="s">
        <v>519</v>
      </c>
      <c r="C110" s="10" t="s">
        <v>520</v>
      </c>
      <c r="D110" s="9" t="s">
        <v>87</v>
      </c>
      <c r="E110" s="11" t="s">
        <v>619</v>
      </c>
      <c r="F110" s="12"/>
      <c r="G110" s="14" t="s">
        <v>620</v>
      </c>
      <c r="H110" s="14" t="s">
        <v>110</v>
      </c>
      <c r="I110" s="14" t="s">
        <v>621</v>
      </c>
      <c r="J110" s="14" t="s">
        <v>93</v>
      </c>
      <c r="K110" s="14" t="s">
        <v>92</v>
      </c>
      <c r="L110" s="14" t="s">
        <v>93</v>
      </c>
      <c r="M110" s="14" t="s">
        <v>92</v>
      </c>
      <c r="N110" s="14" t="s">
        <v>92</v>
      </c>
      <c r="O110" s="14" t="s">
        <v>92</v>
      </c>
      <c r="P110" s="14" t="s">
        <v>92</v>
      </c>
      <c r="Q110" s="14" t="s">
        <v>92</v>
      </c>
      <c r="R110" s="14" t="s">
        <v>92</v>
      </c>
      <c r="S110" s="14" t="s">
        <v>92</v>
      </c>
      <c r="T110" s="14" t="s">
        <v>92</v>
      </c>
      <c r="U110" s="14" t="s">
        <v>92</v>
      </c>
      <c r="V110" s="14" t="s">
        <v>92</v>
      </c>
      <c r="W110" s="14" t="s">
        <v>92</v>
      </c>
      <c r="X110" s="14" t="s">
        <v>92</v>
      </c>
      <c r="Y110" s="14" t="s">
        <v>92</v>
      </c>
      <c r="Z110" s="14" t="s">
        <v>93</v>
      </c>
      <c r="AA110" s="14" t="s">
        <v>92</v>
      </c>
      <c r="AB110" s="8" t="s">
        <v>92</v>
      </c>
      <c r="AC110" s="8" t="s">
        <v>93</v>
      </c>
      <c r="AD110" s="8" t="s">
        <v>93</v>
      </c>
      <c r="AE110" s="14" t="s">
        <v>112</v>
      </c>
      <c r="AF110" s="14" t="s">
        <v>92</v>
      </c>
      <c r="AG110" s="13" t="s">
        <v>95</v>
      </c>
      <c r="AH110" s="8" t="s">
        <v>105</v>
      </c>
      <c r="AI110" s="14" t="s">
        <v>92</v>
      </c>
      <c r="AJ110" s="14" t="s">
        <v>93</v>
      </c>
      <c r="AK110" s="14" t="s">
        <v>92</v>
      </c>
      <c r="AL110" s="14" t="s">
        <v>92</v>
      </c>
      <c r="AM110" s="15" t="s">
        <v>105</v>
      </c>
      <c r="AN110" s="13" t="s">
        <v>105</v>
      </c>
      <c r="AO110" s="8" t="s">
        <v>105</v>
      </c>
      <c r="AP110" s="8" t="s">
        <v>92</v>
      </c>
      <c r="AQ110" s="13" t="s">
        <v>92</v>
      </c>
      <c r="AR110" s="13" t="s">
        <v>93</v>
      </c>
      <c r="AS110" s="13" t="s">
        <v>93</v>
      </c>
      <c r="AT110" s="13" t="s">
        <v>93</v>
      </c>
      <c r="AU110" s="13" t="s">
        <v>93</v>
      </c>
      <c r="AV110" s="13" t="s">
        <v>93</v>
      </c>
      <c r="AW110" s="13" t="s">
        <v>93</v>
      </c>
      <c r="AX110" s="13" t="s">
        <v>93</v>
      </c>
      <c r="AY110" s="8" t="s">
        <v>622</v>
      </c>
      <c r="AZ110" s="8" t="s">
        <v>92</v>
      </c>
      <c r="BA110" s="16" t="s">
        <v>519</v>
      </c>
      <c r="BB110" s="8" t="s">
        <v>261</v>
      </c>
      <c r="BC110" s="8" t="s">
        <v>92</v>
      </c>
      <c r="BD110" s="14" t="s">
        <v>93</v>
      </c>
      <c r="BE110" s="14" t="s">
        <v>92</v>
      </c>
      <c r="BF110" s="14" t="s">
        <v>92</v>
      </c>
      <c r="BG110" s="14" t="s">
        <v>92</v>
      </c>
      <c r="BH110" s="14" t="s">
        <v>92</v>
      </c>
      <c r="BI110" s="14" t="s">
        <v>92</v>
      </c>
      <c r="BJ110" s="14" t="s">
        <v>92</v>
      </c>
      <c r="BK110" s="13" t="s">
        <v>105</v>
      </c>
      <c r="BL110" s="13" t="s">
        <v>105</v>
      </c>
      <c r="BM110" s="13" t="s">
        <v>105</v>
      </c>
      <c r="BN110" s="13" t="s">
        <v>105</v>
      </c>
      <c r="BO110" s="13" t="s">
        <v>105</v>
      </c>
      <c r="BP110" s="13" t="s">
        <v>105</v>
      </c>
      <c r="BQ110" s="8" t="s">
        <v>92</v>
      </c>
      <c r="BR110" s="8" t="s">
        <v>92</v>
      </c>
      <c r="BS110" s="8" t="s">
        <v>92</v>
      </c>
      <c r="BT110" s="8" t="s">
        <v>93</v>
      </c>
      <c r="BU110" s="8" t="s">
        <v>92</v>
      </c>
      <c r="BV110" s="8" t="s">
        <v>92</v>
      </c>
      <c r="BW110" s="8" t="s">
        <v>92</v>
      </c>
      <c r="BX110" s="8" t="s">
        <v>92</v>
      </c>
      <c r="BY110" s="8" t="s">
        <v>92</v>
      </c>
      <c r="BZ110" s="8" t="s">
        <v>93</v>
      </c>
      <c r="CA110" s="8" t="s">
        <v>92</v>
      </c>
      <c r="CB110" s="17" t="s">
        <v>115</v>
      </c>
      <c r="CC110" s="18"/>
      <c r="CD110" s="18"/>
      <c r="CE110" s="18"/>
      <c r="CF110" s="18"/>
      <c r="CG110" s="18"/>
      <c r="CH110" s="14"/>
    </row>
    <row r="111">
      <c r="A111" s="8"/>
      <c r="B111" s="16" t="s">
        <v>519</v>
      </c>
      <c r="C111" s="10" t="s">
        <v>520</v>
      </c>
      <c r="D111" s="9" t="s">
        <v>87</v>
      </c>
      <c r="E111" s="11" t="s">
        <v>623</v>
      </c>
      <c r="F111" s="12"/>
      <c r="G111" s="14" t="s">
        <v>624</v>
      </c>
      <c r="H111" s="14" t="s">
        <v>90</v>
      </c>
      <c r="I111" s="14" t="s">
        <v>625</v>
      </c>
      <c r="J111" s="14" t="s">
        <v>93</v>
      </c>
      <c r="K111" s="14" t="s">
        <v>92</v>
      </c>
      <c r="L111" s="14" t="s">
        <v>93</v>
      </c>
      <c r="M111" s="14" t="s">
        <v>92</v>
      </c>
      <c r="N111" s="14" t="s">
        <v>92</v>
      </c>
      <c r="O111" s="14" t="s">
        <v>92</v>
      </c>
      <c r="P111" s="14" t="s">
        <v>92</v>
      </c>
      <c r="Q111" s="14" t="s">
        <v>92</v>
      </c>
      <c r="R111" s="14" t="s">
        <v>92</v>
      </c>
      <c r="S111" s="14" t="s">
        <v>92</v>
      </c>
      <c r="T111" s="14" t="s">
        <v>92</v>
      </c>
      <c r="U111" s="14" t="s">
        <v>92</v>
      </c>
      <c r="V111" s="14" t="s">
        <v>92</v>
      </c>
      <c r="W111" s="14" t="s">
        <v>92</v>
      </c>
      <c r="X111" s="14" t="s">
        <v>92</v>
      </c>
      <c r="Y111" s="14" t="s">
        <v>92</v>
      </c>
      <c r="Z111" s="14" t="s">
        <v>93</v>
      </c>
      <c r="AA111" s="14" t="s">
        <v>92</v>
      </c>
      <c r="AB111" s="8" t="s">
        <v>92</v>
      </c>
      <c r="AC111" s="8" t="s">
        <v>93</v>
      </c>
      <c r="AD111" s="8" t="s">
        <v>93</v>
      </c>
      <c r="AE111" s="14" t="s">
        <v>112</v>
      </c>
      <c r="AF111" s="14" t="s">
        <v>93</v>
      </c>
      <c r="AG111" s="14" t="s">
        <v>626</v>
      </c>
      <c r="AH111" s="8" t="s">
        <v>105</v>
      </c>
      <c r="AI111" s="14" t="s">
        <v>92</v>
      </c>
      <c r="AJ111" s="14" t="s">
        <v>93</v>
      </c>
      <c r="AK111" s="14" t="s">
        <v>92</v>
      </c>
      <c r="AL111" s="14" t="s">
        <v>92</v>
      </c>
      <c r="AM111" s="15" t="s">
        <v>105</v>
      </c>
      <c r="AN111" s="13" t="s">
        <v>105</v>
      </c>
      <c r="AO111" s="8" t="s">
        <v>105</v>
      </c>
      <c r="AP111" s="8" t="s">
        <v>92</v>
      </c>
      <c r="AQ111" s="13" t="s">
        <v>92</v>
      </c>
      <c r="AR111" s="13" t="s">
        <v>93</v>
      </c>
      <c r="AS111" s="13" t="s">
        <v>93</v>
      </c>
      <c r="AT111" s="13" t="s">
        <v>93</v>
      </c>
      <c r="AU111" s="13" t="s">
        <v>93</v>
      </c>
      <c r="AV111" s="13" t="s">
        <v>93</v>
      </c>
      <c r="AW111" s="13" t="s">
        <v>93</v>
      </c>
      <c r="AX111" s="13" t="s">
        <v>93</v>
      </c>
      <c r="AY111" s="15" t="s">
        <v>95</v>
      </c>
      <c r="AZ111" s="15" t="s">
        <v>95</v>
      </c>
      <c r="BA111" s="16" t="s">
        <v>519</v>
      </c>
      <c r="BB111" s="8" t="s">
        <v>261</v>
      </c>
      <c r="BC111" s="8" t="s">
        <v>92</v>
      </c>
      <c r="BD111" s="14" t="s">
        <v>93</v>
      </c>
      <c r="BE111" s="14" t="s">
        <v>92</v>
      </c>
      <c r="BF111" s="14" t="s">
        <v>92</v>
      </c>
      <c r="BG111" s="14" t="s">
        <v>92</v>
      </c>
      <c r="BH111" s="14" t="s">
        <v>92</v>
      </c>
      <c r="BI111" s="14" t="s">
        <v>92</v>
      </c>
      <c r="BJ111" s="14" t="s">
        <v>92</v>
      </c>
      <c r="BK111" s="14" t="s">
        <v>349</v>
      </c>
      <c r="BL111" s="14" t="s">
        <v>92</v>
      </c>
      <c r="BM111" s="14" t="s">
        <v>93</v>
      </c>
      <c r="BN111" s="14" t="s">
        <v>92</v>
      </c>
      <c r="BO111" s="14" t="s">
        <v>92</v>
      </c>
      <c r="BP111" s="14" t="s">
        <v>92</v>
      </c>
      <c r="BQ111" s="8" t="s">
        <v>92</v>
      </c>
      <c r="BR111" s="8" t="s">
        <v>92</v>
      </c>
      <c r="BS111" s="8" t="s">
        <v>92</v>
      </c>
      <c r="BT111" s="8" t="s">
        <v>93</v>
      </c>
      <c r="BU111" s="8" t="s">
        <v>92</v>
      </c>
      <c r="BV111" s="8" t="s">
        <v>92</v>
      </c>
      <c r="BW111" s="8" t="s">
        <v>92</v>
      </c>
      <c r="BX111" s="8" t="s">
        <v>92</v>
      </c>
      <c r="BY111" s="8" t="s">
        <v>92</v>
      </c>
      <c r="BZ111" s="8" t="s">
        <v>93</v>
      </c>
      <c r="CA111" s="8" t="s">
        <v>92</v>
      </c>
      <c r="CB111" s="17" t="s">
        <v>115</v>
      </c>
      <c r="CC111" s="18"/>
      <c r="CD111" s="18"/>
      <c r="CE111" s="18"/>
      <c r="CF111" s="18"/>
      <c r="CG111" s="18"/>
      <c r="CH111" s="14"/>
    </row>
    <row r="112">
      <c r="A112" s="8"/>
      <c r="B112" s="16" t="s">
        <v>519</v>
      </c>
      <c r="C112" s="10" t="s">
        <v>520</v>
      </c>
      <c r="D112" s="9" t="s">
        <v>87</v>
      </c>
      <c r="E112" s="11" t="s">
        <v>627</v>
      </c>
      <c r="F112" s="12"/>
      <c r="G112" s="14" t="s">
        <v>628</v>
      </c>
      <c r="H112" s="14" t="s">
        <v>90</v>
      </c>
      <c r="I112" s="14" t="s">
        <v>629</v>
      </c>
      <c r="J112" s="14" t="s">
        <v>93</v>
      </c>
      <c r="K112" s="14" t="s">
        <v>92</v>
      </c>
      <c r="L112" s="14" t="s">
        <v>93</v>
      </c>
      <c r="M112" s="14" t="s">
        <v>92</v>
      </c>
      <c r="N112" s="14" t="s">
        <v>92</v>
      </c>
      <c r="O112" s="14" t="s">
        <v>92</v>
      </c>
      <c r="P112" s="14" t="s">
        <v>92</v>
      </c>
      <c r="Q112" s="14" t="s">
        <v>92</v>
      </c>
      <c r="R112" s="14" t="s">
        <v>92</v>
      </c>
      <c r="S112" s="14" t="s">
        <v>93</v>
      </c>
      <c r="T112" s="14" t="s">
        <v>92</v>
      </c>
      <c r="U112" s="14" t="s">
        <v>92</v>
      </c>
      <c r="V112" s="14" t="s">
        <v>92</v>
      </c>
      <c r="W112" s="14" t="s">
        <v>92</v>
      </c>
      <c r="X112" s="14" t="s">
        <v>92</v>
      </c>
      <c r="Y112" s="14" t="s">
        <v>92</v>
      </c>
      <c r="Z112" s="14" t="s">
        <v>93</v>
      </c>
      <c r="AA112" s="14" t="s">
        <v>92</v>
      </c>
      <c r="AB112" s="8" t="s">
        <v>93</v>
      </c>
      <c r="AC112" s="8" t="s">
        <v>93</v>
      </c>
      <c r="AD112" s="8" t="s">
        <v>92</v>
      </c>
      <c r="AE112" s="14" t="s">
        <v>112</v>
      </c>
      <c r="AF112" s="14" t="s">
        <v>92</v>
      </c>
      <c r="AG112" s="13" t="s">
        <v>95</v>
      </c>
      <c r="AH112" s="8" t="s">
        <v>105</v>
      </c>
      <c r="AI112" s="14" t="s">
        <v>92</v>
      </c>
      <c r="AJ112" s="14" t="s">
        <v>93</v>
      </c>
      <c r="AK112" s="14" t="s">
        <v>92</v>
      </c>
      <c r="AL112" s="14" t="s">
        <v>92</v>
      </c>
      <c r="AM112" s="15" t="s">
        <v>105</v>
      </c>
      <c r="AN112" s="13" t="s">
        <v>105</v>
      </c>
      <c r="AO112" s="8" t="s">
        <v>105</v>
      </c>
      <c r="AP112" s="8" t="s">
        <v>92</v>
      </c>
      <c r="AQ112" s="13" t="s">
        <v>92</v>
      </c>
      <c r="AR112" s="13" t="s">
        <v>93</v>
      </c>
      <c r="AS112" s="13" t="s">
        <v>93</v>
      </c>
      <c r="AT112" s="13" t="s">
        <v>93</v>
      </c>
      <c r="AU112" s="13" t="s">
        <v>93</v>
      </c>
      <c r="AV112" s="13" t="s">
        <v>93</v>
      </c>
      <c r="AW112" s="13" t="s">
        <v>93</v>
      </c>
      <c r="AX112" s="13" t="s">
        <v>93</v>
      </c>
      <c r="AY112" s="8" t="s">
        <v>630</v>
      </c>
      <c r="AZ112" s="8" t="s">
        <v>92</v>
      </c>
      <c r="BA112" s="16" t="s">
        <v>631</v>
      </c>
      <c r="BB112" s="8" t="s">
        <v>558</v>
      </c>
      <c r="BC112" s="8" t="s">
        <v>92</v>
      </c>
      <c r="BD112" s="14" t="s">
        <v>93</v>
      </c>
      <c r="BE112" s="14" t="s">
        <v>92</v>
      </c>
      <c r="BF112" s="14" t="s">
        <v>92</v>
      </c>
      <c r="BG112" s="14" t="s">
        <v>92</v>
      </c>
      <c r="BH112" s="14" t="s">
        <v>92</v>
      </c>
      <c r="BI112" s="14" t="s">
        <v>92</v>
      </c>
      <c r="BJ112" s="14" t="s">
        <v>92</v>
      </c>
      <c r="BK112" s="14" t="s">
        <v>546</v>
      </c>
      <c r="BL112" s="14" t="s">
        <v>92</v>
      </c>
      <c r="BM112" s="14" t="s">
        <v>92</v>
      </c>
      <c r="BN112" s="14" t="s">
        <v>93</v>
      </c>
      <c r="BO112" s="14" t="s">
        <v>92</v>
      </c>
      <c r="BP112" s="14" t="s">
        <v>92</v>
      </c>
      <c r="BQ112" s="8" t="s">
        <v>92</v>
      </c>
      <c r="BR112" s="8" t="s">
        <v>92</v>
      </c>
      <c r="BS112" s="8" t="s">
        <v>93</v>
      </c>
      <c r="BT112" s="8" t="s">
        <v>93</v>
      </c>
      <c r="BU112" s="8" t="s">
        <v>92</v>
      </c>
      <c r="BV112" s="8" t="s">
        <v>93</v>
      </c>
      <c r="BW112" s="8" t="s">
        <v>92</v>
      </c>
      <c r="BX112" s="8" t="s">
        <v>92</v>
      </c>
      <c r="BY112" s="8" t="s">
        <v>92</v>
      </c>
      <c r="BZ112" s="8" t="s">
        <v>93</v>
      </c>
      <c r="CA112" s="8" t="s">
        <v>92</v>
      </c>
      <c r="CB112" s="17" t="s">
        <v>115</v>
      </c>
      <c r="CC112" s="18"/>
      <c r="CD112" s="18"/>
      <c r="CE112" s="18"/>
      <c r="CF112" s="18"/>
      <c r="CG112" s="18"/>
      <c r="CH112" s="14"/>
    </row>
    <row r="113" ht="14.25" customHeight="1">
      <c r="A113" s="8"/>
      <c r="B113" s="16" t="s">
        <v>519</v>
      </c>
      <c r="C113" s="10" t="s">
        <v>520</v>
      </c>
      <c r="D113" s="9" t="s">
        <v>87</v>
      </c>
      <c r="E113" s="11" t="s">
        <v>632</v>
      </c>
      <c r="F113" s="12"/>
      <c r="G113" s="14" t="s">
        <v>633</v>
      </c>
      <c r="H113" s="14" t="s">
        <v>90</v>
      </c>
      <c r="I113" s="14" t="s">
        <v>634</v>
      </c>
      <c r="J113" s="14" t="s">
        <v>92</v>
      </c>
      <c r="K113" s="14" t="s">
        <v>92</v>
      </c>
      <c r="L113" s="14" t="s">
        <v>92</v>
      </c>
      <c r="M113" s="14" t="s">
        <v>92</v>
      </c>
      <c r="N113" s="14" t="s">
        <v>92</v>
      </c>
      <c r="O113" s="14" t="s">
        <v>92</v>
      </c>
      <c r="P113" s="14" t="s">
        <v>93</v>
      </c>
      <c r="Q113" s="14" t="s">
        <v>92</v>
      </c>
      <c r="R113" s="14" t="s">
        <v>92</v>
      </c>
      <c r="S113" s="14" t="s">
        <v>93</v>
      </c>
      <c r="T113" s="14" t="s">
        <v>92</v>
      </c>
      <c r="U113" s="14" t="s">
        <v>92</v>
      </c>
      <c r="V113" s="14" t="s">
        <v>92</v>
      </c>
      <c r="W113" s="14" t="s">
        <v>92</v>
      </c>
      <c r="X113" s="14" t="s">
        <v>92</v>
      </c>
      <c r="Y113" s="14" t="s">
        <v>92</v>
      </c>
      <c r="Z113" s="14" t="s">
        <v>93</v>
      </c>
      <c r="AA113" s="14" t="s">
        <v>92</v>
      </c>
      <c r="AB113" s="8" t="s">
        <v>93</v>
      </c>
      <c r="AC113" s="8" t="s">
        <v>93</v>
      </c>
      <c r="AD113" s="8" t="s">
        <v>92</v>
      </c>
      <c r="AE113" s="14" t="s">
        <v>112</v>
      </c>
      <c r="AF113" s="14" t="s">
        <v>92</v>
      </c>
      <c r="AG113" s="13" t="s">
        <v>95</v>
      </c>
      <c r="AH113" s="8">
        <v>2021.0</v>
      </c>
      <c r="AI113" s="14" t="s">
        <v>92</v>
      </c>
      <c r="AJ113" s="14" t="s">
        <v>93</v>
      </c>
      <c r="AK113" s="14" t="s">
        <v>93</v>
      </c>
      <c r="AL113" s="14" t="s">
        <v>92</v>
      </c>
      <c r="AM113" s="8">
        <v>2022.0</v>
      </c>
      <c r="AN113" s="14" t="s">
        <v>96</v>
      </c>
      <c r="AO113" s="8" t="s">
        <v>93</v>
      </c>
      <c r="AP113" s="8" t="s">
        <v>92</v>
      </c>
      <c r="AQ113" s="13" t="s">
        <v>92</v>
      </c>
      <c r="AR113" s="13" t="s">
        <v>93</v>
      </c>
      <c r="AS113" s="13" t="s">
        <v>93</v>
      </c>
      <c r="AT113" s="13" t="s">
        <v>93</v>
      </c>
      <c r="AU113" s="13" t="s">
        <v>93</v>
      </c>
      <c r="AV113" s="13" t="s">
        <v>93</v>
      </c>
      <c r="AW113" s="13" t="s">
        <v>93</v>
      </c>
      <c r="AX113" s="13" t="s">
        <v>93</v>
      </c>
      <c r="AY113" s="8" t="s">
        <v>635</v>
      </c>
      <c r="AZ113" s="8" t="s">
        <v>92</v>
      </c>
      <c r="BA113" s="9" t="s">
        <v>636</v>
      </c>
      <c r="BB113" s="8" t="s">
        <v>143</v>
      </c>
      <c r="BC113" s="8" t="s">
        <v>92</v>
      </c>
      <c r="BD113" s="14" t="s">
        <v>93</v>
      </c>
      <c r="BE113" s="14" t="s">
        <v>92</v>
      </c>
      <c r="BF113" s="14" t="s">
        <v>92</v>
      </c>
      <c r="BG113" s="14" t="s">
        <v>92</v>
      </c>
      <c r="BH113" s="14" t="s">
        <v>92</v>
      </c>
      <c r="BI113" s="14" t="s">
        <v>92</v>
      </c>
      <c r="BJ113" s="14" t="s">
        <v>92</v>
      </c>
      <c r="BK113" s="14" t="s">
        <v>546</v>
      </c>
      <c r="BL113" s="14" t="s">
        <v>92</v>
      </c>
      <c r="BM113" s="14" t="s">
        <v>92</v>
      </c>
      <c r="BN113" s="14" t="s">
        <v>93</v>
      </c>
      <c r="BO113" s="14" t="s">
        <v>92</v>
      </c>
      <c r="BP113" s="14" t="s">
        <v>92</v>
      </c>
      <c r="BQ113" s="8" t="s">
        <v>92</v>
      </c>
      <c r="BR113" s="8" t="s">
        <v>92</v>
      </c>
      <c r="BS113" s="8" t="s">
        <v>93</v>
      </c>
      <c r="BT113" s="8" t="s">
        <v>93</v>
      </c>
      <c r="BU113" s="8" t="s">
        <v>92</v>
      </c>
      <c r="BV113" s="8" t="s">
        <v>93</v>
      </c>
      <c r="BW113" s="8" t="s">
        <v>92</v>
      </c>
      <c r="BX113" s="8" t="s">
        <v>92</v>
      </c>
      <c r="BY113" s="8" t="s">
        <v>92</v>
      </c>
      <c r="BZ113" s="8" t="s">
        <v>93</v>
      </c>
      <c r="CA113" s="8" t="s">
        <v>92</v>
      </c>
      <c r="CB113" s="17" t="s">
        <v>115</v>
      </c>
      <c r="CC113" s="18"/>
      <c r="CD113" s="18"/>
      <c r="CE113" s="18"/>
      <c r="CF113" s="18"/>
      <c r="CG113" s="18"/>
      <c r="CH113" s="14"/>
    </row>
    <row r="114">
      <c r="A114" s="8"/>
      <c r="B114" s="16" t="s">
        <v>519</v>
      </c>
      <c r="C114" s="10" t="s">
        <v>520</v>
      </c>
      <c r="D114" s="9" t="s">
        <v>87</v>
      </c>
      <c r="E114" s="11" t="s">
        <v>637</v>
      </c>
      <c r="F114" s="12"/>
      <c r="G114" s="14" t="s">
        <v>638</v>
      </c>
      <c r="H114" s="14" t="s">
        <v>110</v>
      </c>
      <c r="I114" s="14" t="s">
        <v>639</v>
      </c>
      <c r="J114" s="14" t="s">
        <v>93</v>
      </c>
      <c r="K114" s="14" t="s">
        <v>92</v>
      </c>
      <c r="L114" s="14" t="s">
        <v>93</v>
      </c>
      <c r="M114" s="14" t="s">
        <v>92</v>
      </c>
      <c r="N114" s="14" t="s">
        <v>92</v>
      </c>
      <c r="O114" s="14" t="s">
        <v>92</v>
      </c>
      <c r="P114" s="14" t="s">
        <v>92</v>
      </c>
      <c r="Q114" s="14" t="s">
        <v>92</v>
      </c>
      <c r="R114" s="14" t="s">
        <v>92</v>
      </c>
      <c r="S114" s="14" t="s">
        <v>93</v>
      </c>
      <c r="T114" s="14" t="s">
        <v>92</v>
      </c>
      <c r="U114" s="14" t="s">
        <v>92</v>
      </c>
      <c r="V114" s="14" t="s">
        <v>92</v>
      </c>
      <c r="W114" s="14" t="s">
        <v>92</v>
      </c>
      <c r="X114" s="14" t="s">
        <v>92</v>
      </c>
      <c r="Y114" s="14" t="s">
        <v>92</v>
      </c>
      <c r="Z114" s="14" t="s">
        <v>93</v>
      </c>
      <c r="AA114" s="14" t="s">
        <v>92</v>
      </c>
      <c r="AB114" s="8" t="s">
        <v>92</v>
      </c>
      <c r="AC114" s="8" t="s">
        <v>93</v>
      </c>
      <c r="AD114" s="8" t="s">
        <v>93</v>
      </c>
      <c r="AE114" s="14" t="s">
        <v>112</v>
      </c>
      <c r="AF114" s="14" t="s">
        <v>92</v>
      </c>
      <c r="AG114" s="13" t="s">
        <v>95</v>
      </c>
      <c r="AH114" s="8" t="s">
        <v>105</v>
      </c>
      <c r="AI114" s="14" t="s">
        <v>93</v>
      </c>
      <c r="AJ114" s="14" t="s">
        <v>92</v>
      </c>
      <c r="AK114" s="14" t="s">
        <v>92</v>
      </c>
      <c r="AL114" s="14" t="s">
        <v>92</v>
      </c>
      <c r="AM114" s="15" t="s">
        <v>105</v>
      </c>
      <c r="AN114" s="13" t="s">
        <v>105</v>
      </c>
      <c r="AO114" s="8" t="s">
        <v>105</v>
      </c>
      <c r="AP114" s="8" t="s">
        <v>92</v>
      </c>
      <c r="AQ114" s="13" t="s">
        <v>92</v>
      </c>
      <c r="AR114" s="13" t="s">
        <v>93</v>
      </c>
      <c r="AS114" s="13" t="s">
        <v>93</v>
      </c>
      <c r="AT114" s="13" t="s">
        <v>93</v>
      </c>
      <c r="AU114" s="13" t="s">
        <v>93</v>
      </c>
      <c r="AV114" s="13" t="s">
        <v>93</v>
      </c>
      <c r="AW114" s="13" t="s">
        <v>93</v>
      </c>
      <c r="AX114" s="13" t="s">
        <v>93</v>
      </c>
      <c r="AY114" s="15" t="s">
        <v>95</v>
      </c>
      <c r="AZ114" s="15" t="s">
        <v>95</v>
      </c>
      <c r="BA114" s="16" t="s">
        <v>519</v>
      </c>
      <c r="BB114" s="8" t="s">
        <v>261</v>
      </c>
      <c r="BC114" s="8" t="s">
        <v>92</v>
      </c>
      <c r="BD114" s="14" t="s">
        <v>93</v>
      </c>
      <c r="BE114" s="14" t="s">
        <v>92</v>
      </c>
      <c r="BF114" s="14" t="s">
        <v>92</v>
      </c>
      <c r="BG114" s="14" t="s">
        <v>92</v>
      </c>
      <c r="BH114" s="14" t="s">
        <v>92</v>
      </c>
      <c r="BI114" s="14" t="s">
        <v>92</v>
      </c>
      <c r="BJ114" s="14" t="s">
        <v>92</v>
      </c>
      <c r="BK114" s="13" t="s">
        <v>105</v>
      </c>
      <c r="BL114" s="13" t="s">
        <v>105</v>
      </c>
      <c r="BM114" s="13" t="s">
        <v>105</v>
      </c>
      <c r="BN114" s="13" t="s">
        <v>105</v>
      </c>
      <c r="BO114" s="13" t="s">
        <v>105</v>
      </c>
      <c r="BP114" s="13" t="s">
        <v>105</v>
      </c>
      <c r="BQ114" s="8" t="s">
        <v>92</v>
      </c>
      <c r="BR114" s="8" t="s">
        <v>92</v>
      </c>
      <c r="BS114" s="8" t="s">
        <v>92</v>
      </c>
      <c r="BT114" s="8" t="s">
        <v>93</v>
      </c>
      <c r="BU114" s="8" t="s">
        <v>92</v>
      </c>
      <c r="BV114" s="8" t="s">
        <v>93</v>
      </c>
      <c r="BW114" s="8" t="s">
        <v>92</v>
      </c>
      <c r="BX114" s="8" t="s">
        <v>92</v>
      </c>
      <c r="BY114" s="8" t="s">
        <v>92</v>
      </c>
      <c r="BZ114" s="8" t="s">
        <v>93</v>
      </c>
      <c r="CA114" s="8" t="s">
        <v>92</v>
      </c>
      <c r="CB114" s="17" t="s">
        <v>178</v>
      </c>
      <c r="CC114" s="18"/>
      <c r="CD114" s="18"/>
      <c r="CE114" s="18"/>
      <c r="CF114" s="18"/>
      <c r="CG114" s="18"/>
      <c r="CH114" s="14"/>
    </row>
    <row r="115">
      <c r="A115" s="8"/>
      <c r="B115" s="16" t="s">
        <v>519</v>
      </c>
      <c r="C115" s="10" t="s">
        <v>520</v>
      </c>
      <c r="D115" s="9" t="s">
        <v>87</v>
      </c>
      <c r="E115" s="11" t="s">
        <v>640</v>
      </c>
      <c r="F115" s="12"/>
      <c r="G115" s="14" t="s">
        <v>641</v>
      </c>
      <c r="H115" s="14" t="s">
        <v>110</v>
      </c>
      <c r="I115" s="14" t="s">
        <v>642</v>
      </c>
      <c r="J115" s="14" t="s">
        <v>92</v>
      </c>
      <c r="K115" s="14" t="s">
        <v>92</v>
      </c>
      <c r="L115" s="14" t="s">
        <v>92</v>
      </c>
      <c r="M115" s="14" t="s">
        <v>92</v>
      </c>
      <c r="N115" s="14" t="s">
        <v>93</v>
      </c>
      <c r="O115" s="14" t="s">
        <v>92</v>
      </c>
      <c r="P115" s="14" t="s">
        <v>92</v>
      </c>
      <c r="Q115" s="14" t="s">
        <v>92</v>
      </c>
      <c r="R115" s="14" t="s">
        <v>92</v>
      </c>
      <c r="S115" s="14" t="s">
        <v>92</v>
      </c>
      <c r="T115" s="14" t="s">
        <v>93</v>
      </c>
      <c r="U115" s="14" t="s">
        <v>92</v>
      </c>
      <c r="V115" s="14" t="s">
        <v>92</v>
      </c>
      <c r="W115" s="14" t="s">
        <v>92</v>
      </c>
      <c r="X115" s="14" t="s">
        <v>92</v>
      </c>
      <c r="Y115" s="14" t="s">
        <v>92</v>
      </c>
      <c r="Z115" s="14" t="s">
        <v>92</v>
      </c>
      <c r="AA115" s="14" t="s">
        <v>92</v>
      </c>
      <c r="AB115" s="8" t="s">
        <v>93</v>
      </c>
      <c r="AC115" s="8" t="s">
        <v>92</v>
      </c>
      <c r="AD115" s="8" t="s">
        <v>92</v>
      </c>
      <c r="AE115" s="14" t="s">
        <v>103</v>
      </c>
      <c r="AF115" s="14" t="s">
        <v>92</v>
      </c>
      <c r="AG115" s="13" t="s">
        <v>95</v>
      </c>
      <c r="AH115" s="8">
        <v>2020.0</v>
      </c>
      <c r="AI115" s="14" t="s">
        <v>93</v>
      </c>
      <c r="AJ115" s="14" t="s">
        <v>92</v>
      </c>
      <c r="AK115" s="14" t="s">
        <v>92</v>
      </c>
      <c r="AL115" s="14" t="s">
        <v>92</v>
      </c>
      <c r="AM115" s="15" t="s">
        <v>105</v>
      </c>
      <c r="AN115" s="13" t="s">
        <v>105</v>
      </c>
      <c r="AO115" s="8" t="s">
        <v>105</v>
      </c>
      <c r="AP115" s="8" t="s">
        <v>92</v>
      </c>
      <c r="AQ115" s="13" t="s">
        <v>92</v>
      </c>
      <c r="AR115" s="13" t="s">
        <v>93</v>
      </c>
      <c r="AS115" s="13" t="s">
        <v>93</v>
      </c>
      <c r="AT115" s="13" t="s">
        <v>93</v>
      </c>
      <c r="AU115" s="13" t="s">
        <v>93</v>
      </c>
      <c r="AV115" s="13" t="s">
        <v>93</v>
      </c>
      <c r="AW115" s="13" t="s">
        <v>93</v>
      </c>
      <c r="AX115" s="13" t="s">
        <v>93</v>
      </c>
      <c r="AY115" s="8" t="s">
        <v>643</v>
      </c>
      <c r="AZ115" s="8" t="s">
        <v>92</v>
      </c>
      <c r="BA115" s="16" t="s">
        <v>519</v>
      </c>
      <c r="BB115" s="8" t="s">
        <v>261</v>
      </c>
      <c r="BC115" s="8" t="s">
        <v>92</v>
      </c>
      <c r="BD115" s="14" t="s">
        <v>92</v>
      </c>
      <c r="BE115" s="14" t="s">
        <v>92</v>
      </c>
      <c r="BF115" s="14" t="s">
        <v>92</v>
      </c>
      <c r="BG115" s="14" t="s">
        <v>92</v>
      </c>
      <c r="BH115" s="14" t="s">
        <v>92</v>
      </c>
      <c r="BI115" s="14" t="s">
        <v>93</v>
      </c>
      <c r="BJ115" s="14" t="s">
        <v>92</v>
      </c>
      <c r="BK115" s="14" t="s">
        <v>615</v>
      </c>
      <c r="BL115" s="13" t="s">
        <v>93</v>
      </c>
      <c r="BM115" s="13" t="s">
        <v>93</v>
      </c>
      <c r="BN115" s="13" t="s">
        <v>93</v>
      </c>
      <c r="BO115" s="13" t="s">
        <v>93</v>
      </c>
      <c r="BP115" s="13" t="s">
        <v>93</v>
      </c>
      <c r="BQ115" s="8" t="s">
        <v>92</v>
      </c>
      <c r="BR115" s="8" t="s">
        <v>93</v>
      </c>
      <c r="BS115" s="8" t="s">
        <v>92</v>
      </c>
      <c r="BT115" s="8" t="s">
        <v>92</v>
      </c>
      <c r="BU115" s="8" t="s">
        <v>92</v>
      </c>
      <c r="BV115" s="8" t="s">
        <v>92</v>
      </c>
      <c r="BW115" s="8" t="s">
        <v>92</v>
      </c>
      <c r="BX115" s="8" t="s">
        <v>92</v>
      </c>
      <c r="BY115" s="8" t="s">
        <v>92</v>
      </c>
      <c r="BZ115" s="8" t="s">
        <v>92</v>
      </c>
      <c r="CA115" s="8" t="s">
        <v>92</v>
      </c>
      <c r="CB115" s="17" t="s">
        <v>178</v>
      </c>
      <c r="CC115" s="18"/>
      <c r="CD115" s="18"/>
      <c r="CE115" s="18"/>
      <c r="CF115" s="18"/>
      <c r="CG115" s="18"/>
      <c r="CH115" s="14"/>
    </row>
    <row r="116">
      <c r="A116" s="8"/>
      <c r="B116" s="16" t="s">
        <v>519</v>
      </c>
      <c r="C116" s="10" t="s">
        <v>520</v>
      </c>
      <c r="D116" s="9" t="s">
        <v>87</v>
      </c>
      <c r="E116" s="11" t="s">
        <v>644</v>
      </c>
      <c r="F116" s="12"/>
      <c r="G116" s="14" t="s">
        <v>645</v>
      </c>
      <c r="H116" s="14" t="s">
        <v>90</v>
      </c>
      <c r="I116" s="14" t="s">
        <v>646</v>
      </c>
      <c r="J116" s="14" t="s">
        <v>92</v>
      </c>
      <c r="K116" s="14" t="s">
        <v>92</v>
      </c>
      <c r="L116" s="14" t="s">
        <v>92</v>
      </c>
      <c r="M116" s="14" t="s">
        <v>92</v>
      </c>
      <c r="N116" s="14" t="s">
        <v>92</v>
      </c>
      <c r="O116" s="14" t="s">
        <v>92</v>
      </c>
      <c r="P116" s="14" t="s">
        <v>92</v>
      </c>
      <c r="Q116" s="14" t="s">
        <v>92</v>
      </c>
      <c r="R116" s="14" t="s">
        <v>92</v>
      </c>
      <c r="S116" s="14" t="s">
        <v>92</v>
      </c>
      <c r="T116" s="14" t="s">
        <v>92</v>
      </c>
      <c r="U116" s="14" t="s">
        <v>92</v>
      </c>
      <c r="V116" s="14" t="s">
        <v>92</v>
      </c>
      <c r="W116" s="14" t="s">
        <v>92</v>
      </c>
      <c r="X116" s="14" t="s">
        <v>92</v>
      </c>
      <c r="Y116" s="14" t="s">
        <v>92</v>
      </c>
      <c r="Z116" s="14" t="s">
        <v>93</v>
      </c>
      <c r="AA116" s="14" t="s">
        <v>92</v>
      </c>
      <c r="AB116" s="8" t="s">
        <v>92</v>
      </c>
      <c r="AC116" s="8" t="s">
        <v>93</v>
      </c>
      <c r="AD116" s="8" t="s">
        <v>92</v>
      </c>
      <c r="AE116" s="14" t="s">
        <v>112</v>
      </c>
      <c r="AF116" s="14" t="s">
        <v>92</v>
      </c>
      <c r="AG116" s="13" t="s">
        <v>95</v>
      </c>
      <c r="AH116" s="8" t="s">
        <v>105</v>
      </c>
      <c r="AI116" s="14" t="s">
        <v>92</v>
      </c>
      <c r="AJ116" s="14" t="s">
        <v>93</v>
      </c>
      <c r="AK116" s="14" t="s">
        <v>92</v>
      </c>
      <c r="AL116" s="14" t="s">
        <v>92</v>
      </c>
      <c r="AM116" s="15" t="s">
        <v>105</v>
      </c>
      <c r="AN116" s="13" t="s">
        <v>105</v>
      </c>
      <c r="AO116" s="8" t="s">
        <v>105</v>
      </c>
      <c r="AP116" s="8" t="s">
        <v>92</v>
      </c>
      <c r="AQ116" s="13" t="s">
        <v>92</v>
      </c>
      <c r="AR116" s="13" t="s">
        <v>93</v>
      </c>
      <c r="AS116" s="13" t="s">
        <v>93</v>
      </c>
      <c r="AT116" s="13" t="s">
        <v>93</v>
      </c>
      <c r="AU116" s="13" t="s">
        <v>93</v>
      </c>
      <c r="AV116" s="13" t="s">
        <v>93</v>
      </c>
      <c r="AW116" s="13" t="s">
        <v>93</v>
      </c>
      <c r="AX116" s="13" t="s">
        <v>93</v>
      </c>
      <c r="AY116" s="15" t="s">
        <v>95</v>
      </c>
      <c r="AZ116" s="15" t="s">
        <v>95</v>
      </c>
      <c r="BA116" s="16" t="s">
        <v>519</v>
      </c>
      <c r="BB116" s="8" t="s">
        <v>261</v>
      </c>
      <c r="BC116" s="8" t="s">
        <v>92</v>
      </c>
      <c r="BD116" s="14" t="s">
        <v>93</v>
      </c>
      <c r="BE116" s="14" t="s">
        <v>92</v>
      </c>
      <c r="BF116" s="14" t="s">
        <v>92</v>
      </c>
      <c r="BG116" s="14" t="s">
        <v>92</v>
      </c>
      <c r="BH116" s="14" t="s">
        <v>92</v>
      </c>
      <c r="BI116" s="14" t="s">
        <v>92</v>
      </c>
      <c r="BJ116" s="14" t="s">
        <v>92</v>
      </c>
      <c r="BK116" s="14" t="s">
        <v>647</v>
      </c>
      <c r="BL116" s="14" t="s">
        <v>92</v>
      </c>
      <c r="BM116" s="14" t="s">
        <v>93</v>
      </c>
      <c r="BN116" s="14" t="s">
        <v>92</v>
      </c>
      <c r="BO116" s="14" t="s">
        <v>93</v>
      </c>
      <c r="BP116" s="14" t="s">
        <v>92</v>
      </c>
      <c r="BQ116" s="8" t="s">
        <v>92</v>
      </c>
      <c r="BR116" s="8" t="s">
        <v>92</v>
      </c>
      <c r="BS116" s="8" t="s">
        <v>92</v>
      </c>
      <c r="BT116" s="8" t="s">
        <v>93</v>
      </c>
      <c r="BU116" s="8" t="s">
        <v>92</v>
      </c>
      <c r="BV116" s="8" t="s">
        <v>92</v>
      </c>
      <c r="BW116" s="8" t="s">
        <v>92</v>
      </c>
      <c r="BX116" s="8" t="s">
        <v>92</v>
      </c>
      <c r="BY116" s="8" t="s">
        <v>92</v>
      </c>
      <c r="BZ116" s="8" t="s">
        <v>92</v>
      </c>
      <c r="CA116" s="8" t="s">
        <v>92</v>
      </c>
      <c r="CB116" s="17" t="s">
        <v>115</v>
      </c>
      <c r="CC116" s="18"/>
      <c r="CD116" s="18"/>
      <c r="CE116" s="18"/>
      <c r="CF116" s="18"/>
      <c r="CG116" s="18"/>
      <c r="CH116" s="14"/>
    </row>
    <row r="117">
      <c r="A117" s="8"/>
      <c r="B117" s="16" t="s">
        <v>519</v>
      </c>
      <c r="C117" s="10" t="s">
        <v>520</v>
      </c>
      <c r="D117" s="9" t="s">
        <v>87</v>
      </c>
      <c r="E117" s="11" t="s">
        <v>648</v>
      </c>
      <c r="F117" s="12"/>
      <c r="G117" s="14" t="s">
        <v>649</v>
      </c>
      <c r="H117" s="14" t="s">
        <v>90</v>
      </c>
      <c r="I117" s="14" t="s">
        <v>650</v>
      </c>
      <c r="J117" s="14" t="s">
        <v>92</v>
      </c>
      <c r="K117" s="14" t="s">
        <v>92</v>
      </c>
      <c r="L117" s="14" t="s">
        <v>92</v>
      </c>
      <c r="M117" s="14" t="s">
        <v>92</v>
      </c>
      <c r="N117" s="14" t="s">
        <v>92</v>
      </c>
      <c r="O117" s="14" t="s">
        <v>92</v>
      </c>
      <c r="P117" s="14" t="s">
        <v>92</v>
      </c>
      <c r="Q117" s="14" t="s">
        <v>92</v>
      </c>
      <c r="R117" s="14" t="s">
        <v>92</v>
      </c>
      <c r="S117" s="14" t="s">
        <v>92</v>
      </c>
      <c r="T117" s="14" t="s">
        <v>92</v>
      </c>
      <c r="U117" s="14" t="s">
        <v>92</v>
      </c>
      <c r="V117" s="14" t="s">
        <v>92</v>
      </c>
      <c r="W117" s="14" t="s">
        <v>92</v>
      </c>
      <c r="X117" s="14" t="s">
        <v>92</v>
      </c>
      <c r="Y117" s="14" t="s">
        <v>92</v>
      </c>
      <c r="Z117" s="14" t="s">
        <v>93</v>
      </c>
      <c r="AA117" s="14" t="s">
        <v>92</v>
      </c>
      <c r="AB117" s="8" t="s">
        <v>92</v>
      </c>
      <c r="AC117" s="8" t="s">
        <v>93</v>
      </c>
      <c r="AD117" s="8" t="s">
        <v>92</v>
      </c>
      <c r="AE117" s="14" t="s">
        <v>112</v>
      </c>
      <c r="AF117" s="14" t="s">
        <v>93</v>
      </c>
      <c r="AG117" s="14" t="s">
        <v>651</v>
      </c>
      <c r="AH117" s="8" t="s">
        <v>105</v>
      </c>
      <c r="AI117" s="14" t="s">
        <v>92</v>
      </c>
      <c r="AJ117" s="14" t="s">
        <v>92</v>
      </c>
      <c r="AK117" s="14" t="s">
        <v>93</v>
      </c>
      <c r="AL117" s="14" t="s">
        <v>93</v>
      </c>
      <c r="AM117" s="8" t="s">
        <v>95</v>
      </c>
      <c r="AN117" s="14" t="s">
        <v>114</v>
      </c>
      <c r="AO117" s="8" t="s">
        <v>93</v>
      </c>
      <c r="AP117" s="15" t="s">
        <v>92</v>
      </c>
      <c r="AQ117" s="13" t="s">
        <v>92</v>
      </c>
      <c r="AR117" s="13" t="s">
        <v>93</v>
      </c>
      <c r="AS117" s="13" t="s">
        <v>93</v>
      </c>
      <c r="AT117" s="13" t="s">
        <v>93</v>
      </c>
      <c r="AU117" s="13" t="s">
        <v>93</v>
      </c>
      <c r="AV117" s="13" t="s">
        <v>93</v>
      </c>
      <c r="AW117" s="13" t="s">
        <v>93</v>
      </c>
      <c r="AX117" s="13" t="s">
        <v>93</v>
      </c>
      <c r="AY117" s="15" t="s">
        <v>95</v>
      </c>
      <c r="AZ117" s="15" t="s">
        <v>95</v>
      </c>
      <c r="BA117" s="16" t="s">
        <v>519</v>
      </c>
      <c r="BB117" s="8" t="s">
        <v>261</v>
      </c>
      <c r="BC117" s="8" t="s">
        <v>92</v>
      </c>
      <c r="BD117" s="14" t="s">
        <v>93</v>
      </c>
      <c r="BE117" s="14" t="s">
        <v>92</v>
      </c>
      <c r="BF117" s="14" t="s">
        <v>92</v>
      </c>
      <c r="BG117" s="14" t="s">
        <v>92</v>
      </c>
      <c r="BH117" s="14" t="s">
        <v>92</v>
      </c>
      <c r="BI117" s="14" t="s">
        <v>92</v>
      </c>
      <c r="BJ117" s="14" t="s">
        <v>92</v>
      </c>
      <c r="BK117" s="14" t="s">
        <v>482</v>
      </c>
      <c r="BL117" s="14" t="s">
        <v>92</v>
      </c>
      <c r="BM117" s="14" t="s">
        <v>92</v>
      </c>
      <c r="BN117" s="14" t="s">
        <v>92</v>
      </c>
      <c r="BO117" s="14" t="s">
        <v>93</v>
      </c>
      <c r="BP117" s="14" t="s">
        <v>92</v>
      </c>
      <c r="BQ117" s="8" t="s">
        <v>92</v>
      </c>
      <c r="BR117" s="8" t="s">
        <v>92</v>
      </c>
      <c r="BS117" s="8" t="s">
        <v>92</v>
      </c>
      <c r="BT117" s="8" t="s">
        <v>93</v>
      </c>
      <c r="BU117" s="8" t="s">
        <v>92</v>
      </c>
      <c r="BV117" s="8" t="s">
        <v>92</v>
      </c>
      <c r="BW117" s="8" t="s">
        <v>92</v>
      </c>
      <c r="BX117" s="8" t="s">
        <v>92</v>
      </c>
      <c r="BY117" s="8" t="s">
        <v>92</v>
      </c>
      <c r="BZ117" s="8" t="s">
        <v>92</v>
      </c>
      <c r="CA117" s="8" t="s">
        <v>92</v>
      </c>
      <c r="CB117" s="17" t="s">
        <v>552</v>
      </c>
      <c r="CC117" s="18"/>
      <c r="CD117" s="18"/>
      <c r="CE117" s="18"/>
      <c r="CF117" s="18"/>
      <c r="CG117" s="18"/>
      <c r="CH117" s="14"/>
    </row>
    <row r="118">
      <c r="A118" s="8"/>
      <c r="B118" s="16" t="s">
        <v>487</v>
      </c>
      <c r="C118" s="10" t="s">
        <v>652</v>
      </c>
      <c r="D118" s="9" t="s">
        <v>87</v>
      </c>
      <c r="E118" s="11" t="s">
        <v>653</v>
      </c>
      <c r="F118" s="12"/>
      <c r="G118" s="13" t="s">
        <v>654</v>
      </c>
      <c r="H118" s="13" t="s">
        <v>90</v>
      </c>
      <c r="I118" s="13" t="s">
        <v>655</v>
      </c>
      <c r="J118" s="13" t="s">
        <v>92</v>
      </c>
      <c r="K118" s="14" t="s">
        <v>92</v>
      </c>
      <c r="L118" s="14" t="s">
        <v>92</v>
      </c>
      <c r="M118" s="14" t="s">
        <v>92</v>
      </c>
      <c r="N118" s="14" t="s">
        <v>92</v>
      </c>
      <c r="O118" s="13" t="s">
        <v>92</v>
      </c>
      <c r="P118" s="13" t="s">
        <v>92</v>
      </c>
      <c r="Q118" s="13" t="s">
        <v>92</v>
      </c>
      <c r="R118" s="13" t="s">
        <v>92</v>
      </c>
      <c r="S118" s="13" t="s">
        <v>92</v>
      </c>
      <c r="T118" s="13" t="s">
        <v>92</v>
      </c>
      <c r="U118" s="13" t="s">
        <v>93</v>
      </c>
      <c r="V118" s="13" t="s">
        <v>92</v>
      </c>
      <c r="W118" s="13" t="s">
        <v>92</v>
      </c>
      <c r="X118" s="13" t="s">
        <v>92</v>
      </c>
      <c r="Y118" s="13" t="s">
        <v>92</v>
      </c>
      <c r="Z118" s="13" t="s">
        <v>92</v>
      </c>
      <c r="AA118" s="14" t="s">
        <v>92</v>
      </c>
      <c r="AB118" s="15" t="s">
        <v>93</v>
      </c>
      <c r="AC118" s="15" t="s">
        <v>92</v>
      </c>
      <c r="AD118" s="15" t="s">
        <v>92</v>
      </c>
      <c r="AE118" s="13" t="s">
        <v>94</v>
      </c>
      <c r="AF118" s="13" t="s">
        <v>92</v>
      </c>
      <c r="AG118" s="13" t="s">
        <v>95</v>
      </c>
      <c r="AH118" s="15">
        <v>2020.0</v>
      </c>
      <c r="AI118" s="13" t="s">
        <v>93</v>
      </c>
      <c r="AJ118" s="13" t="s">
        <v>92</v>
      </c>
      <c r="AK118" s="13" t="s">
        <v>92</v>
      </c>
      <c r="AL118" s="14" t="s">
        <v>92</v>
      </c>
      <c r="AM118" s="15">
        <v>2020.0</v>
      </c>
      <c r="AN118" s="13" t="s">
        <v>96</v>
      </c>
      <c r="AO118" s="15" t="s">
        <v>92</v>
      </c>
      <c r="AP118" s="15" t="s">
        <v>93</v>
      </c>
      <c r="AQ118" s="13" t="s">
        <v>93</v>
      </c>
      <c r="AR118" s="14" t="s">
        <v>93</v>
      </c>
      <c r="AS118" s="13" t="s">
        <v>93</v>
      </c>
      <c r="AT118" s="13" t="s">
        <v>93</v>
      </c>
      <c r="AU118" s="13" t="s">
        <v>92</v>
      </c>
      <c r="AV118" s="13" t="s">
        <v>93</v>
      </c>
      <c r="AW118" s="13" t="s">
        <v>93</v>
      </c>
      <c r="AX118" s="14" t="s">
        <v>92</v>
      </c>
      <c r="AY118" s="15" t="s">
        <v>95</v>
      </c>
      <c r="AZ118" s="15" t="s">
        <v>95</v>
      </c>
      <c r="BA118" s="16" t="s">
        <v>656</v>
      </c>
      <c r="BB118" s="8" t="s">
        <v>185</v>
      </c>
      <c r="BC118" s="15" t="s">
        <v>92</v>
      </c>
      <c r="BD118" s="13" t="s">
        <v>92</v>
      </c>
      <c r="BE118" s="13" t="s">
        <v>92</v>
      </c>
      <c r="BF118" s="13" t="s">
        <v>92</v>
      </c>
      <c r="BG118" s="13" t="s">
        <v>92</v>
      </c>
      <c r="BH118" s="13" t="s">
        <v>92</v>
      </c>
      <c r="BI118" s="13" t="s">
        <v>93</v>
      </c>
      <c r="BJ118" s="13" t="s">
        <v>92</v>
      </c>
      <c r="BK118" s="14" t="s">
        <v>453</v>
      </c>
      <c r="BL118" s="13" t="s">
        <v>92</v>
      </c>
      <c r="BM118" s="13" t="s">
        <v>92</v>
      </c>
      <c r="BN118" s="13" t="s">
        <v>92</v>
      </c>
      <c r="BO118" s="13" t="s">
        <v>93</v>
      </c>
      <c r="BP118" s="13" t="s">
        <v>93</v>
      </c>
      <c r="BQ118" s="15" t="s">
        <v>93</v>
      </c>
      <c r="BR118" s="15" t="s">
        <v>92</v>
      </c>
      <c r="BS118" s="15" t="s">
        <v>92</v>
      </c>
      <c r="BT118" s="15" t="s">
        <v>92</v>
      </c>
      <c r="BU118" s="15" t="s">
        <v>92</v>
      </c>
      <c r="BV118" s="15" t="s">
        <v>92</v>
      </c>
      <c r="BW118" s="15" t="s">
        <v>92</v>
      </c>
      <c r="BX118" s="15" t="s">
        <v>92</v>
      </c>
      <c r="BY118" s="15" t="s">
        <v>92</v>
      </c>
      <c r="BZ118" s="15" t="s">
        <v>92</v>
      </c>
      <c r="CA118" s="15" t="s">
        <v>92</v>
      </c>
      <c r="CB118" s="17" t="s">
        <v>178</v>
      </c>
      <c r="CC118" s="17"/>
      <c r="CD118" s="18"/>
      <c r="CE118" s="18"/>
      <c r="CF118" s="18"/>
      <c r="CG118" s="18"/>
      <c r="CH118" s="18"/>
    </row>
    <row r="119">
      <c r="A119" s="8"/>
      <c r="B119" s="16" t="s">
        <v>487</v>
      </c>
      <c r="C119" s="10" t="s">
        <v>652</v>
      </c>
      <c r="D119" s="9" t="s">
        <v>87</v>
      </c>
      <c r="E119" s="11" t="s">
        <v>657</v>
      </c>
      <c r="F119" s="12"/>
      <c r="G119" s="14" t="s">
        <v>658</v>
      </c>
      <c r="H119" s="14" t="s">
        <v>90</v>
      </c>
      <c r="I119" s="14" t="s">
        <v>659</v>
      </c>
      <c r="J119" s="14" t="s">
        <v>92</v>
      </c>
      <c r="K119" s="14" t="s">
        <v>92</v>
      </c>
      <c r="L119" s="14" t="s">
        <v>92</v>
      </c>
      <c r="M119" s="14" t="s">
        <v>92</v>
      </c>
      <c r="N119" s="14" t="s">
        <v>92</v>
      </c>
      <c r="O119" s="14" t="s">
        <v>92</v>
      </c>
      <c r="P119" s="14" t="s">
        <v>92</v>
      </c>
      <c r="Q119" s="14" t="s">
        <v>92</v>
      </c>
      <c r="R119" s="14" t="s">
        <v>92</v>
      </c>
      <c r="S119" s="14" t="s">
        <v>92</v>
      </c>
      <c r="T119" s="14" t="s">
        <v>92</v>
      </c>
      <c r="U119" s="14" t="s">
        <v>92</v>
      </c>
      <c r="V119" s="14" t="s">
        <v>92</v>
      </c>
      <c r="W119" s="14" t="s">
        <v>92</v>
      </c>
      <c r="X119" s="14" t="s">
        <v>92</v>
      </c>
      <c r="Y119" s="14" t="s">
        <v>92</v>
      </c>
      <c r="Z119" s="14" t="s">
        <v>93</v>
      </c>
      <c r="AA119" s="14" t="s">
        <v>92</v>
      </c>
      <c r="AB119" s="8" t="s">
        <v>92</v>
      </c>
      <c r="AC119" s="8" t="s">
        <v>93</v>
      </c>
      <c r="AD119" s="8" t="s">
        <v>92</v>
      </c>
      <c r="AE119" s="14" t="s">
        <v>112</v>
      </c>
      <c r="AF119" s="14" t="s">
        <v>92</v>
      </c>
      <c r="AG119" s="14" t="s">
        <v>95</v>
      </c>
      <c r="AH119" s="8">
        <v>2023.0</v>
      </c>
      <c r="AI119" s="14" t="s">
        <v>92</v>
      </c>
      <c r="AJ119" s="14" t="s">
        <v>92</v>
      </c>
      <c r="AK119" s="14" t="s">
        <v>92</v>
      </c>
      <c r="AL119" s="14" t="s">
        <v>93</v>
      </c>
      <c r="AM119" s="8" t="s">
        <v>95</v>
      </c>
      <c r="AN119" s="14" t="s">
        <v>114</v>
      </c>
      <c r="AO119" s="15" t="s">
        <v>92</v>
      </c>
      <c r="AP119" s="15" t="s">
        <v>92</v>
      </c>
      <c r="AQ119" s="13" t="s">
        <v>93</v>
      </c>
      <c r="AR119" s="14" t="s">
        <v>93</v>
      </c>
      <c r="AS119" s="13" t="s">
        <v>93</v>
      </c>
      <c r="AT119" s="13" t="s">
        <v>93</v>
      </c>
      <c r="AU119" s="13" t="s">
        <v>92</v>
      </c>
      <c r="AV119" s="13" t="s">
        <v>93</v>
      </c>
      <c r="AW119" s="13" t="s">
        <v>93</v>
      </c>
      <c r="AX119" s="14" t="s">
        <v>92</v>
      </c>
      <c r="AY119" s="15" t="s">
        <v>95</v>
      </c>
      <c r="AZ119" s="15" t="s">
        <v>95</v>
      </c>
      <c r="BA119" s="16" t="s">
        <v>487</v>
      </c>
      <c r="BB119" s="8" t="s">
        <v>155</v>
      </c>
      <c r="BC119" s="15" t="s">
        <v>92</v>
      </c>
      <c r="BD119" s="14" t="s">
        <v>93</v>
      </c>
      <c r="BE119" s="14" t="s">
        <v>92</v>
      </c>
      <c r="BF119" s="14" t="s">
        <v>92</v>
      </c>
      <c r="BG119" s="14" t="s">
        <v>92</v>
      </c>
      <c r="BH119" s="14" t="s">
        <v>92</v>
      </c>
      <c r="BI119" s="14" t="s">
        <v>92</v>
      </c>
      <c r="BJ119" s="14" t="s">
        <v>92</v>
      </c>
      <c r="BK119" s="14" t="s">
        <v>156</v>
      </c>
      <c r="BL119" s="13" t="s">
        <v>92</v>
      </c>
      <c r="BM119" s="13" t="s">
        <v>92</v>
      </c>
      <c r="BN119" s="13" t="s">
        <v>92</v>
      </c>
      <c r="BO119" s="14" t="s">
        <v>92</v>
      </c>
      <c r="BP119" s="13" t="s">
        <v>93</v>
      </c>
      <c r="BQ119" s="8" t="s">
        <v>92</v>
      </c>
      <c r="BR119" s="8" t="s">
        <v>92</v>
      </c>
      <c r="BS119" s="8" t="s">
        <v>92</v>
      </c>
      <c r="BT119" s="8" t="s">
        <v>93</v>
      </c>
      <c r="BU119" s="8" t="s">
        <v>92</v>
      </c>
      <c r="BV119" s="8" t="s">
        <v>92</v>
      </c>
      <c r="BW119" s="8" t="s">
        <v>92</v>
      </c>
      <c r="BX119" s="8" t="s">
        <v>92</v>
      </c>
      <c r="BY119" s="8" t="s">
        <v>92</v>
      </c>
      <c r="BZ119" s="8" t="s">
        <v>92</v>
      </c>
      <c r="CA119" s="8" t="s">
        <v>92</v>
      </c>
      <c r="CB119" s="20" t="s">
        <v>660</v>
      </c>
      <c r="CC119" s="17"/>
      <c r="CD119" s="18"/>
      <c r="CE119" s="18"/>
      <c r="CF119" s="18"/>
      <c r="CG119" s="18"/>
      <c r="CH119" s="18"/>
    </row>
    <row r="120">
      <c r="A120" s="8"/>
      <c r="B120" s="16" t="s">
        <v>487</v>
      </c>
      <c r="C120" s="10" t="s">
        <v>652</v>
      </c>
      <c r="D120" s="9" t="s">
        <v>87</v>
      </c>
      <c r="E120" s="11" t="s">
        <v>474</v>
      </c>
      <c r="F120" s="25"/>
      <c r="G120" s="14" t="s">
        <v>475</v>
      </c>
      <c r="H120" s="14" t="s">
        <v>90</v>
      </c>
      <c r="I120" s="14" t="s">
        <v>661</v>
      </c>
      <c r="J120" s="14" t="s">
        <v>92</v>
      </c>
      <c r="K120" s="14" t="s">
        <v>92</v>
      </c>
      <c r="L120" s="14" t="s">
        <v>92</v>
      </c>
      <c r="M120" s="14" t="s">
        <v>92</v>
      </c>
      <c r="N120" s="14" t="s">
        <v>92</v>
      </c>
      <c r="O120" s="14" t="s">
        <v>92</v>
      </c>
      <c r="P120" s="14" t="s">
        <v>92</v>
      </c>
      <c r="Q120" s="14" t="s">
        <v>92</v>
      </c>
      <c r="R120" s="14" t="s">
        <v>92</v>
      </c>
      <c r="S120" s="14" t="s">
        <v>92</v>
      </c>
      <c r="T120" s="14" t="s">
        <v>92</v>
      </c>
      <c r="U120" s="14" t="s">
        <v>92</v>
      </c>
      <c r="V120" s="14" t="s">
        <v>92</v>
      </c>
      <c r="W120" s="14" t="s">
        <v>92</v>
      </c>
      <c r="X120" s="14" t="s">
        <v>92</v>
      </c>
      <c r="Y120" s="14" t="s">
        <v>92</v>
      </c>
      <c r="Z120" s="14" t="s">
        <v>93</v>
      </c>
      <c r="AA120" s="14" t="s">
        <v>92</v>
      </c>
      <c r="AB120" s="8" t="s">
        <v>92</v>
      </c>
      <c r="AC120" s="8" t="s">
        <v>93</v>
      </c>
      <c r="AD120" s="8" t="s">
        <v>92</v>
      </c>
      <c r="AE120" s="14" t="s">
        <v>112</v>
      </c>
      <c r="AF120" s="14" t="s">
        <v>92</v>
      </c>
      <c r="AG120" s="14" t="s">
        <v>95</v>
      </c>
      <c r="AH120" s="8">
        <v>2020.0</v>
      </c>
      <c r="AI120" s="14" t="s">
        <v>93</v>
      </c>
      <c r="AJ120" s="14" t="s">
        <v>92</v>
      </c>
      <c r="AK120" s="14" t="s">
        <v>92</v>
      </c>
      <c r="AL120" s="14" t="s">
        <v>92</v>
      </c>
      <c r="AM120" s="8" t="s">
        <v>105</v>
      </c>
      <c r="AN120" s="14" t="s">
        <v>105</v>
      </c>
      <c r="AO120" s="8" t="s">
        <v>105</v>
      </c>
      <c r="AP120" s="8" t="s">
        <v>92</v>
      </c>
      <c r="AQ120" s="13" t="s">
        <v>93</v>
      </c>
      <c r="AR120" s="14" t="s">
        <v>93</v>
      </c>
      <c r="AS120" s="13" t="s">
        <v>93</v>
      </c>
      <c r="AT120" s="13" t="s">
        <v>93</v>
      </c>
      <c r="AU120" s="13" t="s">
        <v>92</v>
      </c>
      <c r="AV120" s="13" t="s">
        <v>93</v>
      </c>
      <c r="AW120" s="13" t="s">
        <v>93</v>
      </c>
      <c r="AX120" s="14" t="s">
        <v>92</v>
      </c>
      <c r="AY120" s="15" t="s">
        <v>95</v>
      </c>
      <c r="AZ120" s="8" t="s">
        <v>95</v>
      </c>
      <c r="BA120" s="9" t="s">
        <v>477</v>
      </c>
      <c r="BB120" s="8" t="s">
        <v>155</v>
      </c>
      <c r="BC120" s="8" t="s">
        <v>92</v>
      </c>
      <c r="BD120" s="14" t="s">
        <v>92</v>
      </c>
      <c r="BE120" s="14" t="s">
        <v>92</v>
      </c>
      <c r="BF120" s="14" t="s">
        <v>92</v>
      </c>
      <c r="BG120" s="14" t="s">
        <v>93</v>
      </c>
      <c r="BH120" s="14" t="s">
        <v>92</v>
      </c>
      <c r="BI120" s="14" t="s">
        <v>92</v>
      </c>
      <c r="BJ120" s="14" t="s">
        <v>92</v>
      </c>
      <c r="BK120" s="14" t="s">
        <v>105</v>
      </c>
      <c r="BL120" s="14" t="s">
        <v>105</v>
      </c>
      <c r="BM120" s="14" t="s">
        <v>105</v>
      </c>
      <c r="BN120" s="14" t="s">
        <v>105</v>
      </c>
      <c r="BO120" s="14" t="s">
        <v>105</v>
      </c>
      <c r="BP120" s="14" t="s">
        <v>105</v>
      </c>
      <c r="BQ120" s="8" t="s">
        <v>92</v>
      </c>
      <c r="BR120" s="8" t="s">
        <v>92</v>
      </c>
      <c r="BS120" s="8" t="s">
        <v>92</v>
      </c>
      <c r="BT120" s="8" t="s">
        <v>93</v>
      </c>
      <c r="BU120" s="8" t="s">
        <v>92</v>
      </c>
      <c r="BV120" s="8" t="s">
        <v>92</v>
      </c>
      <c r="BW120" s="8" t="s">
        <v>92</v>
      </c>
      <c r="BX120" s="8" t="s">
        <v>92</v>
      </c>
      <c r="BY120" s="8" t="s">
        <v>93</v>
      </c>
      <c r="BZ120" s="8" t="s">
        <v>92</v>
      </c>
      <c r="CA120" s="8" t="s">
        <v>92</v>
      </c>
      <c r="CB120" s="17" t="s">
        <v>178</v>
      </c>
      <c r="CC120" s="17"/>
      <c r="CD120" s="18"/>
      <c r="CE120" s="18"/>
      <c r="CF120" s="18"/>
      <c r="CG120" s="18"/>
      <c r="CH120" s="18"/>
    </row>
    <row r="121">
      <c r="A121" s="8"/>
      <c r="B121" s="16" t="s">
        <v>487</v>
      </c>
      <c r="C121" s="10" t="s">
        <v>652</v>
      </c>
      <c r="D121" s="9" t="s">
        <v>87</v>
      </c>
      <c r="E121" s="11" t="s">
        <v>662</v>
      </c>
      <c r="F121" s="12"/>
      <c r="G121" s="13" t="s">
        <v>663</v>
      </c>
      <c r="H121" s="13" t="s">
        <v>90</v>
      </c>
      <c r="I121" s="13" t="s">
        <v>664</v>
      </c>
      <c r="J121" s="13" t="s">
        <v>92</v>
      </c>
      <c r="K121" s="14" t="s">
        <v>92</v>
      </c>
      <c r="L121" s="14" t="s">
        <v>92</v>
      </c>
      <c r="M121" s="14" t="s">
        <v>92</v>
      </c>
      <c r="N121" s="14" t="s">
        <v>92</v>
      </c>
      <c r="O121" s="13" t="s">
        <v>92</v>
      </c>
      <c r="P121" s="14" t="s">
        <v>92</v>
      </c>
      <c r="Q121" s="14" t="s">
        <v>92</v>
      </c>
      <c r="R121" s="13" t="s">
        <v>93</v>
      </c>
      <c r="S121" s="14" t="s">
        <v>92</v>
      </c>
      <c r="T121" s="13" t="s">
        <v>92</v>
      </c>
      <c r="U121" s="13" t="s">
        <v>93</v>
      </c>
      <c r="V121" s="13" t="s">
        <v>92</v>
      </c>
      <c r="W121" s="13" t="s">
        <v>92</v>
      </c>
      <c r="X121" s="13" t="s">
        <v>92</v>
      </c>
      <c r="Y121" s="13" t="s">
        <v>92</v>
      </c>
      <c r="Z121" s="14" t="s">
        <v>92</v>
      </c>
      <c r="AA121" s="14" t="s">
        <v>92</v>
      </c>
      <c r="AB121" s="15" t="s">
        <v>93</v>
      </c>
      <c r="AC121" s="15" t="s">
        <v>92</v>
      </c>
      <c r="AD121" s="15" t="s">
        <v>92</v>
      </c>
      <c r="AE121" s="13" t="s">
        <v>148</v>
      </c>
      <c r="AF121" s="13" t="s">
        <v>92</v>
      </c>
      <c r="AG121" s="13" t="s">
        <v>95</v>
      </c>
      <c r="AH121" s="8" t="s">
        <v>105</v>
      </c>
      <c r="AI121" s="13" t="s">
        <v>92</v>
      </c>
      <c r="AJ121" s="13" t="s">
        <v>93</v>
      </c>
      <c r="AK121" s="13" t="s">
        <v>92</v>
      </c>
      <c r="AL121" s="14" t="s">
        <v>92</v>
      </c>
      <c r="AM121" s="8" t="s">
        <v>105</v>
      </c>
      <c r="AN121" s="14" t="s">
        <v>105</v>
      </c>
      <c r="AO121" s="8" t="s">
        <v>105</v>
      </c>
      <c r="AP121" s="15" t="s">
        <v>92</v>
      </c>
      <c r="AQ121" s="13" t="s">
        <v>93</v>
      </c>
      <c r="AR121" s="14" t="s">
        <v>93</v>
      </c>
      <c r="AS121" s="13" t="s">
        <v>93</v>
      </c>
      <c r="AT121" s="13" t="s">
        <v>93</v>
      </c>
      <c r="AU121" s="13" t="s">
        <v>92</v>
      </c>
      <c r="AV121" s="13" t="s">
        <v>93</v>
      </c>
      <c r="AW121" s="13" t="s">
        <v>93</v>
      </c>
      <c r="AX121" s="14" t="s">
        <v>92</v>
      </c>
      <c r="AY121" s="15" t="s">
        <v>95</v>
      </c>
      <c r="AZ121" s="15" t="s">
        <v>95</v>
      </c>
      <c r="BA121" s="16" t="s">
        <v>665</v>
      </c>
      <c r="BB121" s="8" t="s">
        <v>105</v>
      </c>
      <c r="BC121" s="8" t="s">
        <v>92</v>
      </c>
      <c r="BD121" s="13" t="s">
        <v>92</v>
      </c>
      <c r="BE121" s="13" t="s">
        <v>92</v>
      </c>
      <c r="BF121" s="13" t="s">
        <v>92</v>
      </c>
      <c r="BG121" s="13" t="s">
        <v>92</v>
      </c>
      <c r="BH121" s="13" t="s">
        <v>92</v>
      </c>
      <c r="BI121" s="13" t="s">
        <v>93</v>
      </c>
      <c r="BJ121" s="13" t="s">
        <v>92</v>
      </c>
      <c r="BK121" s="14" t="s">
        <v>482</v>
      </c>
      <c r="BL121" s="13" t="s">
        <v>92</v>
      </c>
      <c r="BM121" s="13" t="s">
        <v>92</v>
      </c>
      <c r="BN121" s="13" t="s">
        <v>92</v>
      </c>
      <c r="BO121" s="13" t="s">
        <v>93</v>
      </c>
      <c r="BP121" s="13" t="s">
        <v>92</v>
      </c>
      <c r="BQ121" s="15" t="s">
        <v>93</v>
      </c>
      <c r="BR121" s="15" t="s">
        <v>92</v>
      </c>
      <c r="BS121" s="15" t="s">
        <v>92</v>
      </c>
      <c r="BT121" s="15" t="s">
        <v>92</v>
      </c>
      <c r="BU121" s="15" t="s">
        <v>92</v>
      </c>
      <c r="BV121" s="15" t="s">
        <v>92</v>
      </c>
      <c r="BW121" s="15" t="s">
        <v>92</v>
      </c>
      <c r="BX121" s="15" t="s">
        <v>92</v>
      </c>
      <c r="BY121" s="15" t="s">
        <v>92</v>
      </c>
      <c r="BZ121" s="15" t="s">
        <v>92</v>
      </c>
      <c r="CA121" s="15" t="s">
        <v>92</v>
      </c>
      <c r="CB121" s="17" t="s">
        <v>115</v>
      </c>
      <c r="CC121" s="17"/>
      <c r="CD121" s="18"/>
      <c r="CE121" s="18"/>
      <c r="CF121" s="18"/>
      <c r="CG121" s="18"/>
      <c r="CH121" s="18"/>
    </row>
    <row r="122">
      <c r="A122" s="8"/>
      <c r="B122" s="16" t="s">
        <v>487</v>
      </c>
      <c r="C122" s="10" t="s">
        <v>652</v>
      </c>
      <c r="D122" s="9" t="s">
        <v>87</v>
      </c>
      <c r="E122" s="11" t="s">
        <v>666</v>
      </c>
      <c r="F122" s="12"/>
      <c r="G122" s="13" t="s">
        <v>667</v>
      </c>
      <c r="H122" s="13" t="s">
        <v>189</v>
      </c>
      <c r="I122" s="13" t="s">
        <v>668</v>
      </c>
      <c r="J122" s="13" t="s">
        <v>92</v>
      </c>
      <c r="K122" s="14" t="s">
        <v>92</v>
      </c>
      <c r="L122" s="14" t="s">
        <v>93</v>
      </c>
      <c r="M122" s="14" t="s">
        <v>93</v>
      </c>
      <c r="N122" s="14" t="s">
        <v>92</v>
      </c>
      <c r="O122" s="13" t="s">
        <v>92</v>
      </c>
      <c r="P122" s="13" t="s">
        <v>92</v>
      </c>
      <c r="Q122" s="13" t="s">
        <v>93</v>
      </c>
      <c r="R122" s="13" t="s">
        <v>92</v>
      </c>
      <c r="S122" s="13" t="s">
        <v>92</v>
      </c>
      <c r="T122" s="13" t="s">
        <v>92</v>
      </c>
      <c r="U122" s="13" t="s">
        <v>93</v>
      </c>
      <c r="V122" s="13" t="s">
        <v>92</v>
      </c>
      <c r="W122" s="13" t="s">
        <v>92</v>
      </c>
      <c r="X122" s="13" t="s">
        <v>92</v>
      </c>
      <c r="Y122" s="13" t="s">
        <v>92</v>
      </c>
      <c r="Z122" s="13" t="s">
        <v>92</v>
      </c>
      <c r="AA122" s="14" t="s">
        <v>92</v>
      </c>
      <c r="AB122" s="15" t="s">
        <v>93</v>
      </c>
      <c r="AC122" s="15" t="s">
        <v>92</v>
      </c>
      <c r="AD122" s="15" t="s">
        <v>92</v>
      </c>
      <c r="AE122" s="13" t="s">
        <v>94</v>
      </c>
      <c r="AF122" s="13" t="s">
        <v>92</v>
      </c>
      <c r="AG122" s="13" t="s">
        <v>95</v>
      </c>
      <c r="AH122" s="15">
        <v>2020.0</v>
      </c>
      <c r="AI122" s="13" t="s">
        <v>93</v>
      </c>
      <c r="AJ122" s="13" t="s">
        <v>93</v>
      </c>
      <c r="AK122" s="13" t="s">
        <v>92</v>
      </c>
      <c r="AL122" s="14" t="s">
        <v>92</v>
      </c>
      <c r="AM122" s="15">
        <v>2021.0</v>
      </c>
      <c r="AN122" s="13" t="s">
        <v>96</v>
      </c>
      <c r="AO122" s="15" t="s">
        <v>93</v>
      </c>
      <c r="AP122" s="15" t="s">
        <v>93</v>
      </c>
      <c r="AQ122" s="13" t="s">
        <v>93</v>
      </c>
      <c r="AR122" s="14" t="s">
        <v>93</v>
      </c>
      <c r="AS122" s="13" t="s">
        <v>93</v>
      </c>
      <c r="AT122" s="13" t="s">
        <v>93</v>
      </c>
      <c r="AU122" s="13" t="s">
        <v>92</v>
      </c>
      <c r="AV122" s="13" t="s">
        <v>93</v>
      </c>
      <c r="AW122" s="13" t="s">
        <v>93</v>
      </c>
      <c r="AX122" s="14" t="s">
        <v>92</v>
      </c>
      <c r="AY122" s="15" t="s">
        <v>669</v>
      </c>
      <c r="AZ122" s="15" t="s">
        <v>93</v>
      </c>
      <c r="BA122" s="16" t="s">
        <v>670</v>
      </c>
      <c r="BB122" s="8" t="s">
        <v>95</v>
      </c>
      <c r="BC122" s="15" t="s">
        <v>93</v>
      </c>
      <c r="BD122" s="13" t="s">
        <v>92</v>
      </c>
      <c r="BE122" s="13" t="s">
        <v>92</v>
      </c>
      <c r="BF122" s="13" t="s">
        <v>92</v>
      </c>
      <c r="BG122" s="13" t="s">
        <v>92</v>
      </c>
      <c r="BH122" s="13" t="s">
        <v>92</v>
      </c>
      <c r="BI122" s="13" t="s">
        <v>93</v>
      </c>
      <c r="BJ122" s="13" t="s">
        <v>92</v>
      </c>
      <c r="BK122" s="14" t="s">
        <v>453</v>
      </c>
      <c r="BL122" s="13" t="s">
        <v>92</v>
      </c>
      <c r="BM122" s="13" t="s">
        <v>92</v>
      </c>
      <c r="BN122" s="13" t="s">
        <v>92</v>
      </c>
      <c r="BO122" s="13" t="s">
        <v>93</v>
      </c>
      <c r="BP122" s="13" t="s">
        <v>93</v>
      </c>
      <c r="BQ122" s="15" t="s">
        <v>93</v>
      </c>
      <c r="BR122" s="15" t="s">
        <v>92</v>
      </c>
      <c r="BS122" s="15" t="s">
        <v>92</v>
      </c>
      <c r="BT122" s="15" t="s">
        <v>92</v>
      </c>
      <c r="BU122" s="15" t="s">
        <v>92</v>
      </c>
      <c r="BV122" s="15" t="s">
        <v>92</v>
      </c>
      <c r="BW122" s="15" t="s">
        <v>92</v>
      </c>
      <c r="BX122" s="15" t="s">
        <v>92</v>
      </c>
      <c r="BY122" s="15" t="s">
        <v>92</v>
      </c>
      <c r="BZ122" s="15" t="s">
        <v>92</v>
      </c>
      <c r="CA122" s="15" t="s">
        <v>92</v>
      </c>
      <c r="CB122" s="17" t="s">
        <v>115</v>
      </c>
      <c r="CC122" s="17"/>
      <c r="CD122" s="18"/>
      <c r="CE122" s="18"/>
      <c r="CF122" s="18"/>
      <c r="CG122" s="18"/>
      <c r="CH122" s="18"/>
    </row>
    <row r="123">
      <c r="A123" s="8"/>
      <c r="B123" s="16" t="s">
        <v>487</v>
      </c>
      <c r="C123" s="10" t="s">
        <v>652</v>
      </c>
      <c r="D123" s="9" t="s">
        <v>87</v>
      </c>
      <c r="E123" s="11" t="s">
        <v>671</v>
      </c>
      <c r="F123" s="12"/>
      <c r="G123" s="14" t="s">
        <v>672</v>
      </c>
      <c r="H123" s="13" t="s">
        <v>110</v>
      </c>
      <c r="I123" s="13" t="s">
        <v>673</v>
      </c>
      <c r="J123" s="13" t="s">
        <v>92</v>
      </c>
      <c r="K123" s="14" t="s">
        <v>92</v>
      </c>
      <c r="L123" s="14" t="s">
        <v>92</v>
      </c>
      <c r="M123" s="14" t="s">
        <v>93</v>
      </c>
      <c r="N123" s="14" t="s">
        <v>92</v>
      </c>
      <c r="O123" s="13" t="s">
        <v>92</v>
      </c>
      <c r="P123" s="13" t="s">
        <v>92</v>
      </c>
      <c r="Q123" s="13" t="s">
        <v>92</v>
      </c>
      <c r="R123" s="13" t="s">
        <v>92</v>
      </c>
      <c r="S123" s="13" t="s">
        <v>92</v>
      </c>
      <c r="T123" s="13" t="s">
        <v>92</v>
      </c>
      <c r="U123" s="13" t="s">
        <v>93</v>
      </c>
      <c r="V123" s="13" t="s">
        <v>92</v>
      </c>
      <c r="W123" s="13" t="s">
        <v>92</v>
      </c>
      <c r="X123" s="13" t="s">
        <v>92</v>
      </c>
      <c r="Y123" s="13" t="s">
        <v>92</v>
      </c>
      <c r="Z123" s="13" t="s">
        <v>92</v>
      </c>
      <c r="AA123" s="14" t="s">
        <v>92</v>
      </c>
      <c r="AB123" s="15" t="s">
        <v>93</v>
      </c>
      <c r="AC123" s="15" t="s">
        <v>92</v>
      </c>
      <c r="AD123" s="15" t="s">
        <v>92</v>
      </c>
      <c r="AE123" s="13" t="s">
        <v>94</v>
      </c>
      <c r="AF123" s="13" t="s">
        <v>92</v>
      </c>
      <c r="AG123" s="13" t="s">
        <v>95</v>
      </c>
      <c r="AH123" s="15">
        <v>2022.0</v>
      </c>
      <c r="AI123" s="13" t="s">
        <v>92</v>
      </c>
      <c r="AJ123" s="13" t="s">
        <v>92</v>
      </c>
      <c r="AK123" s="13" t="s">
        <v>93</v>
      </c>
      <c r="AL123" s="14" t="s">
        <v>93</v>
      </c>
      <c r="AM123" s="8" t="s">
        <v>95</v>
      </c>
      <c r="AN123" s="14" t="s">
        <v>114</v>
      </c>
      <c r="AO123" s="8" t="s">
        <v>93</v>
      </c>
      <c r="AP123" s="15" t="s">
        <v>92</v>
      </c>
      <c r="AQ123" s="13" t="s">
        <v>93</v>
      </c>
      <c r="AR123" s="14" t="s">
        <v>93</v>
      </c>
      <c r="AS123" s="13" t="s">
        <v>93</v>
      </c>
      <c r="AT123" s="13" t="s">
        <v>93</v>
      </c>
      <c r="AU123" s="13" t="s">
        <v>92</v>
      </c>
      <c r="AV123" s="13" t="s">
        <v>93</v>
      </c>
      <c r="AW123" s="13" t="s">
        <v>93</v>
      </c>
      <c r="AX123" s="14" t="s">
        <v>92</v>
      </c>
      <c r="AY123" s="15" t="s">
        <v>674</v>
      </c>
      <c r="AZ123" s="15" t="s">
        <v>92</v>
      </c>
      <c r="BA123" s="16" t="s">
        <v>487</v>
      </c>
      <c r="BB123" s="8" t="s">
        <v>155</v>
      </c>
      <c r="BC123" s="15" t="s">
        <v>92</v>
      </c>
      <c r="BD123" s="13" t="s">
        <v>92</v>
      </c>
      <c r="BE123" s="13" t="s">
        <v>92</v>
      </c>
      <c r="BF123" s="13" t="s">
        <v>92</v>
      </c>
      <c r="BG123" s="13" t="s">
        <v>92</v>
      </c>
      <c r="BH123" s="13" t="s">
        <v>92</v>
      </c>
      <c r="BI123" s="13" t="s">
        <v>93</v>
      </c>
      <c r="BJ123" s="13" t="s">
        <v>92</v>
      </c>
      <c r="BK123" s="14" t="s">
        <v>453</v>
      </c>
      <c r="BL123" s="13" t="s">
        <v>92</v>
      </c>
      <c r="BM123" s="13" t="s">
        <v>92</v>
      </c>
      <c r="BN123" s="13" t="s">
        <v>92</v>
      </c>
      <c r="BO123" s="13" t="s">
        <v>93</v>
      </c>
      <c r="BP123" s="13" t="s">
        <v>93</v>
      </c>
      <c r="BQ123" s="15" t="s">
        <v>93</v>
      </c>
      <c r="BR123" s="15" t="s">
        <v>92</v>
      </c>
      <c r="BS123" s="15" t="s">
        <v>92</v>
      </c>
      <c r="BT123" s="15" t="s">
        <v>92</v>
      </c>
      <c r="BU123" s="15" t="s">
        <v>92</v>
      </c>
      <c r="BV123" s="15" t="s">
        <v>92</v>
      </c>
      <c r="BW123" s="15" t="s">
        <v>92</v>
      </c>
      <c r="BX123" s="15" t="s">
        <v>92</v>
      </c>
      <c r="BY123" s="15" t="s">
        <v>92</v>
      </c>
      <c r="BZ123" s="15" t="s">
        <v>92</v>
      </c>
      <c r="CA123" s="15" t="s">
        <v>92</v>
      </c>
      <c r="CB123" s="17" t="s">
        <v>106</v>
      </c>
      <c r="CC123" s="17"/>
      <c r="CD123" s="18"/>
      <c r="CE123" s="18"/>
      <c r="CF123" s="18"/>
      <c r="CG123" s="18"/>
      <c r="CH123" s="18"/>
    </row>
    <row r="124">
      <c r="A124" s="8"/>
      <c r="B124" s="16" t="s">
        <v>487</v>
      </c>
      <c r="C124" s="10" t="s">
        <v>652</v>
      </c>
      <c r="D124" s="9" t="s">
        <v>87</v>
      </c>
      <c r="E124" s="11" t="s">
        <v>675</v>
      </c>
      <c r="F124" s="12"/>
      <c r="G124" s="14" t="s">
        <v>676</v>
      </c>
      <c r="H124" s="14" t="s">
        <v>90</v>
      </c>
      <c r="I124" s="14" t="s">
        <v>677</v>
      </c>
      <c r="J124" s="14" t="s">
        <v>92</v>
      </c>
      <c r="K124" s="14" t="s">
        <v>92</v>
      </c>
      <c r="L124" s="14" t="s">
        <v>93</v>
      </c>
      <c r="M124" s="14" t="s">
        <v>92</v>
      </c>
      <c r="N124" s="14" t="s">
        <v>92</v>
      </c>
      <c r="O124" s="13" t="s">
        <v>92</v>
      </c>
      <c r="P124" s="13" t="s">
        <v>92</v>
      </c>
      <c r="Q124" s="13" t="s">
        <v>92</v>
      </c>
      <c r="R124" s="13" t="s">
        <v>92</v>
      </c>
      <c r="S124" s="14" t="s">
        <v>92</v>
      </c>
      <c r="T124" s="14" t="s">
        <v>92</v>
      </c>
      <c r="U124" s="14" t="s">
        <v>92</v>
      </c>
      <c r="V124" s="14" t="s">
        <v>92</v>
      </c>
      <c r="W124" s="14" t="s">
        <v>92</v>
      </c>
      <c r="X124" s="14" t="s">
        <v>93</v>
      </c>
      <c r="Y124" s="14" t="s">
        <v>92</v>
      </c>
      <c r="Z124" s="14" t="s">
        <v>93</v>
      </c>
      <c r="AA124" s="14" t="s">
        <v>92</v>
      </c>
      <c r="AB124" s="8" t="s">
        <v>92</v>
      </c>
      <c r="AC124" s="8" t="s">
        <v>93</v>
      </c>
      <c r="AD124" s="8" t="s">
        <v>92</v>
      </c>
      <c r="AE124" s="14" t="s">
        <v>112</v>
      </c>
      <c r="AF124" s="13" t="s">
        <v>92</v>
      </c>
      <c r="AG124" s="13" t="s">
        <v>95</v>
      </c>
      <c r="AH124" s="8" t="s">
        <v>105</v>
      </c>
      <c r="AI124" s="14" t="s">
        <v>92</v>
      </c>
      <c r="AJ124" s="14" t="s">
        <v>92</v>
      </c>
      <c r="AK124" s="14" t="s">
        <v>93</v>
      </c>
      <c r="AL124" s="14" t="s">
        <v>93</v>
      </c>
      <c r="AM124" s="8" t="s">
        <v>95</v>
      </c>
      <c r="AN124" s="14" t="s">
        <v>114</v>
      </c>
      <c r="AO124" s="8" t="s">
        <v>93</v>
      </c>
      <c r="AP124" s="8" t="s">
        <v>92</v>
      </c>
      <c r="AQ124" s="14" t="s">
        <v>93</v>
      </c>
      <c r="AR124" s="14" t="s">
        <v>93</v>
      </c>
      <c r="AS124" s="13" t="s">
        <v>93</v>
      </c>
      <c r="AT124" s="13" t="s">
        <v>93</v>
      </c>
      <c r="AU124" s="13" t="s">
        <v>92</v>
      </c>
      <c r="AV124" s="13" t="s">
        <v>93</v>
      </c>
      <c r="AW124" s="13" t="s">
        <v>93</v>
      </c>
      <c r="AX124" s="14" t="s">
        <v>92</v>
      </c>
      <c r="AY124" s="15" t="s">
        <v>95</v>
      </c>
      <c r="AZ124" s="15" t="s">
        <v>95</v>
      </c>
      <c r="BA124" s="16" t="s">
        <v>487</v>
      </c>
      <c r="BB124" s="8" t="s">
        <v>155</v>
      </c>
      <c r="BC124" s="15" t="s">
        <v>92</v>
      </c>
      <c r="BD124" s="14" t="s">
        <v>92</v>
      </c>
      <c r="BE124" s="14" t="s">
        <v>92</v>
      </c>
      <c r="BF124" s="14" t="s">
        <v>92</v>
      </c>
      <c r="BG124" s="14" t="s">
        <v>93</v>
      </c>
      <c r="BH124" s="14" t="s">
        <v>92</v>
      </c>
      <c r="BI124" s="14" t="s">
        <v>92</v>
      </c>
      <c r="BJ124" s="14" t="s">
        <v>92</v>
      </c>
      <c r="BK124" s="14" t="s">
        <v>105</v>
      </c>
      <c r="BL124" s="14" t="s">
        <v>105</v>
      </c>
      <c r="BM124" s="14" t="s">
        <v>105</v>
      </c>
      <c r="BN124" s="14" t="s">
        <v>105</v>
      </c>
      <c r="BO124" s="14" t="s">
        <v>105</v>
      </c>
      <c r="BP124" s="14" t="s">
        <v>105</v>
      </c>
      <c r="BQ124" s="8" t="s">
        <v>92</v>
      </c>
      <c r="BR124" s="8" t="s">
        <v>92</v>
      </c>
      <c r="BS124" s="8" t="s">
        <v>92</v>
      </c>
      <c r="BT124" s="8" t="s">
        <v>93</v>
      </c>
      <c r="BU124" s="8" t="s">
        <v>92</v>
      </c>
      <c r="BV124" s="8" t="s">
        <v>92</v>
      </c>
      <c r="BW124" s="8" t="s">
        <v>92</v>
      </c>
      <c r="BX124" s="8" t="s">
        <v>93</v>
      </c>
      <c r="BY124" s="8" t="s">
        <v>93</v>
      </c>
      <c r="BZ124" s="8" t="s">
        <v>93</v>
      </c>
      <c r="CA124" s="8" t="s">
        <v>92</v>
      </c>
      <c r="CB124" s="17" t="s">
        <v>106</v>
      </c>
      <c r="CC124" s="17"/>
      <c r="CD124" s="18"/>
      <c r="CE124" s="18"/>
      <c r="CF124" s="18"/>
      <c r="CG124" s="18"/>
      <c r="CH124" s="18"/>
    </row>
    <row r="125">
      <c r="A125" s="8"/>
      <c r="B125" s="16" t="s">
        <v>487</v>
      </c>
      <c r="C125" s="10" t="s">
        <v>652</v>
      </c>
      <c r="D125" s="9" t="s">
        <v>87</v>
      </c>
      <c r="E125" s="11" t="s">
        <v>483</v>
      </c>
      <c r="F125" s="25"/>
      <c r="G125" s="14" t="s">
        <v>484</v>
      </c>
      <c r="H125" s="14" t="s">
        <v>110</v>
      </c>
      <c r="I125" s="14" t="s">
        <v>485</v>
      </c>
      <c r="J125" s="14" t="s">
        <v>92</v>
      </c>
      <c r="K125" s="14" t="s">
        <v>92</v>
      </c>
      <c r="L125" s="14" t="s">
        <v>93</v>
      </c>
      <c r="M125" s="14" t="s">
        <v>92</v>
      </c>
      <c r="N125" s="14" t="s">
        <v>92</v>
      </c>
      <c r="O125" s="14" t="s">
        <v>92</v>
      </c>
      <c r="P125" s="14" t="s">
        <v>93</v>
      </c>
      <c r="Q125" s="14" t="s">
        <v>92</v>
      </c>
      <c r="R125" s="14" t="s">
        <v>92</v>
      </c>
      <c r="S125" s="14" t="s">
        <v>93</v>
      </c>
      <c r="T125" s="14" t="s">
        <v>92</v>
      </c>
      <c r="U125" s="14" t="s">
        <v>92</v>
      </c>
      <c r="V125" s="14" t="s">
        <v>92</v>
      </c>
      <c r="W125" s="14" t="s">
        <v>92</v>
      </c>
      <c r="X125" s="14" t="s">
        <v>92</v>
      </c>
      <c r="Y125" s="14" t="s">
        <v>92</v>
      </c>
      <c r="Z125" s="14" t="s">
        <v>92</v>
      </c>
      <c r="AA125" s="14" t="s">
        <v>92</v>
      </c>
      <c r="AB125" s="8" t="s">
        <v>93</v>
      </c>
      <c r="AC125" s="8" t="s">
        <v>92</v>
      </c>
      <c r="AD125" s="8" t="s">
        <v>92</v>
      </c>
      <c r="AE125" s="14" t="s">
        <v>103</v>
      </c>
      <c r="AF125" s="14" t="s">
        <v>93</v>
      </c>
      <c r="AG125" s="14" t="s">
        <v>486</v>
      </c>
      <c r="AH125" s="8">
        <v>2021.0</v>
      </c>
      <c r="AI125" s="14" t="s">
        <v>92</v>
      </c>
      <c r="AJ125" s="14" t="s">
        <v>93</v>
      </c>
      <c r="AK125" s="14" t="s">
        <v>92</v>
      </c>
      <c r="AL125" s="14" t="s">
        <v>92</v>
      </c>
      <c r="AM125" s="15">
        <v>2021.0</v>
      </c>
      <c r="AN125" s="13" t="s">
        <v>96</v>
      </c>
      <c r="AO125" s="8" t="s">
        <v>93</v>
      </c>
      <c r="AP125" s="8" t="s">
        <v>92</v>
      </c>
      <c r="AQ125" s="14" t="s">
        <v>93</v>
      </c>
      <c r="AR125" s="14" t="s">
        <v>93</v>
      </c>
      <c r="AS125" s="14" t="s">
        <v>93</v>
      </c>
      <c r="AT125" s="14" t="s">
        <v>93</v>
      </c>
      <c r="AU125" s="14" t="s">
        <v>92</v>
      </c>
      <c r="AV125" s="14" t="s">
        <v>93</v>
      </c>
      <c r="AW125" s="14" t="s">
        <v>93</v>
      </c>
      <c r="AX125" s="14" t="s">
        <v>92</v>
      </c>
      <c r="AY125" s="8" t="s">
        <v>95</v>
      </c>
      <c r="AZ125" s="8" t="s">
        <v>95</v>
      </c>
      <c r="BA125" s="9" t="s">
        <v>487</v>
      </c>
      <c r="BB125" s="8" t="s">
        <v>155</v>
      </c>
      <c r="BC125" s="8" t="s">
        <v>92</v>
      </c>
      <c r="BD125" s="14" t="s">
        <v>93</v>
      </c>
      <c r="BE125" s="14" t="s">
        <v>92</v>
      </c>
      <c r="BF125" s="14" t="s">
        <v>92</v>
      </c>
      <c r="BG125" s="14" t="s">
        <v>92</v>
      </c>
      <c r="BH125" s="14" t="s">
        <v>92</v>
      </c>
      <c r="BI125" s="14" t="s">
        <v>92</v>
      </c>
      <c r="BJ125" s="14" t="s">
        <v>92</v>
      </c>
      <c r="BK125" s="50" t="s">
        <v>95</v>
      </c>
      <c r="BL125" s="52" t="s">
        <v>93</v>
      </c>
      <c r="BM125" s="52" t="s">
        <v>93</v>
      </c>
      <c r="BN125" s="52" t="s">
        <v>93</v>
      </c>
      <c r="BO125" s="52" t="s">
        <v>93</v>
      </c>
      <c r="BP125" s="52" t="s">
        <v>93</v>
      </c>
      <c r="BQ125" s="8" t="s">
        <v>92</v>
      </c>
      <c r="BR125" s="8" t="s">
        <v>92</v>
      </c>
      <c r="BS125" s="8" t="s">
        <v>93</v>
      </c>
      <c r="BT125" s="8" t="s">
        <v>92</v>
      </c>
      <c r="BU125" s="8" t="s">
        <v>92</v>
      </c>
      <c r="BV125" s="8" t="s">
        <v>92</v>
      </c>
      <c r="BW125" s="8" t="s">
        <v>92</v>
      </c>
      <c r="BX125" s="8" t="s">
        <v>92</v>
      </c>
      <c r="BY125" s="8" t="s">
        <v>92</v>
      </c>
      <c r="BZ125" s="8" t="s">
        <v>92</v>
      </c>
      <c r="CA125" s="8" t="s">
        <v>92</v>
      </c>
      <c r="CB125" s="17" t="s">
        <v>115</v>
      </c>
      <c r="CC125" s="31"/>
      <c r="CD125" s="18"/>
      <c r="CE125" s="18"/>
      <c r="CF125" s="18"/>
      <c r="CG125" s="18"/>
      <c r="CH125" s="18"/>
    </row>
    <row r="126">
      <c r="A126" s="8"/>
      <c r="B126" s="16" t="s">
        <v>487</v>
      </c>
      <c r="C126" s="10" t="s">
        <v>652</v>
      </c>
      <c r="D126" s="9" t="s">
        <v>87</v>
      </c>
      <c r="E126" s="11" t="s">
        <v>678</v>
      </c>
      <c r="F126" s="12"/>
      <c r="G126" s="14" t="s">
        <v>679</v>
      </c>
      <c r="H126" s="14" t="s">
        <v>110</v>
      </c>
      <c r="I126" s="14" t="s">
        <v>680</v>
      </c>
      <c r="J126" s="14" t="s">
        <v>92</v>
      </c>
      <c r="K126" s="14" t="s">
        <v>92</v>
      </c>
      <c r="L126" s="14" t="s">
        <v>92</v>
      </c>
      <c r="M126" s="14" t="s">
        <v>92</v>
      </c>
      <c r="N126" s="14" t="s">
        <v>92</v>
      </c>
      <c r="O126" s="14" t="s">
        <v>92</v>
      </c>
      <c r="P126" s="14" t="s">
        <v>92</v>
      </c>
      <c r="Q126" s="14" t="s">
        <v>92</v>
      </c>
      <c r="R126" s="14" t="s">
        <v>92</v>
      </c>
      <c r="S126" s="14" t="s">
        <v>92</v>
      </c>
      <c r="T126" s="14" t="s">
        <v>92</v>
      </c>
      <c r="U126" s="14" t="s">
        <v>92</v>
      </c>
      <c r="V126" s="14" t="s">
        <v>92</v>
      </c>
      <c r="W126" s="14" t="s">
        <v>92</v>
      </c>
      <c r="X126" s="14" t="s">
        <v>92</v>
      </c>
      <c r="Y126" s="14" t="s">
        <v>92</v>
      </c>
      <c r="Z126" s="14" t="s">
        <v>93</v>
      </c>
      <c r="AA126" s="14" t="s">
        <v>92</v>
      </c>
      <c r="AB126" s="8" t="s">
        <v>92</v>
      </c>
      <c r="AC126" s="8" t="s">
        <v>93</v>
      </c>
      <c r="AD126" s="8" t="s">
        <v>92</v>
      </c>
      <c r="AE126" s="14" t="s">
        <v>112</v>
      </c>
      <c r="AF126" s="14" t="s">
        <v>92</v>
      </c>
      <c r="AG126" s="14" t="s">
        <v>95</v>
      </c>
      <c r="AH126" s="8">
        <v>2023.0</v>
      </c>
      <c r="AI126" s="14" t="s">
        <v>92</v>
      </c>
      <c r="AJ126" s="14" t="s">
        <v>92</v>
      </c>
      <c r="AK126" s="14" t="s">
        <v>92</v>
      </c>
      <c r="AL126" s="14" t="s">
        <v>93</v>
      </c>
      <c r="AM126" s="8" t="s">
        <v>95</v>
      </c>
      <c r="AN126" s="14" t="s">
        <v>114</v>
      </c>
      <c r="AO126" s="8" t="s">
        <v>92</v>
      </c>
      <c r="AP126" s="8" t="s">
        <v>92</v>
      </c>
      <c r="AQ126" s="14" t="s">
        <v>93</v>
      </c>
      <c r="AR126" s="14" t="s">
        <v>93</v>
      </c>
      <c r="AS126" s="14" t="s">
        <v>93</v>
      </c>
      <c r="AT126" s="14" t="s">
        <v>93</v>
      </c>
      <c r="AU126" s="14" t="s">
        <v>92</v>
      </c>
      <c r="AV126" s="14" t="s">
        <v>93</v>
      </c>
      <c r="AW126" s="14" t="s">
        <v>93</v>
      </c>
      <c r="AX126" s="14" t="s">
        <v>92</v>
      </c>
      <c r="AY126" s="8" t="s">
        <v>95</v>
      </c>
      <c r="AZ126" s="8" t="s">
        <v>95</v>
      </c>
      <c r="BA126" s="9" t="s">
        <v>487</v>
      </c>
      <c r="BB126" s="8" t="s">
        <v>155</v>
      </c>
      <c r="BC126" s="8" t="s">
        <v>92</v>
      </c>
      <c r="BD126" s="14" t="s">
        <v>93</v>
      </c>
      <c r="BE126" s="14" t="s">
        <v>93</v>
      </c>
      <c r="BF126" s="14" t="s">
        <v>92</v>
      </c>
      <c r="BG126" s="14" t="s">
        <v>92</v>
      </c>
      <c r="BH126" s="14" t="s">
        <v>92</v>
      </c>
      <c r="BI126" s="14" t="s">
        <v>92</v>
      </c>
      <c r="BJ126" s="14" t="s">
        <v>92</v>
      </c>
      <c r="BK126" s="14" t="s">
        <v>453</v>
      </c>
      <c r="BL126" s="14" t="s">
        <v>92</v>
      </c>
      <c r="BM126" s="14" t="s">
        <v>92</v>
      </c>
      <c r="BN126" s="14" t="s">
        <v>92</v>
      </c>
      <c r="BO126" s="14" t="s">
        <v>93</v>
      </c>
      <c r="BP126" s="14" t="s">
        <v>93</v>
      </c>
      <c r="BQ126" s="8" t="s">
        <v>92</v>
      </c>
      <c r="BR126" s="8" t="s">
        <v>92</v>
      </c>
      <c r="BS126" s="8" t="s">
        <v>92</v>
      </c>
      <c r="BT126" s="8" t="s">
        <v>93</v>
      </c>
      <c r="BU126" s="8" t="s">
        <v>92</v>
      </c>
      <c r="BV126" s="8" t="s">
        <v>92</v>
      </c>
      <c r="BW126" s="8" t="s">
        <v>92</v>
      </c>
      <c r="BX126" s="8" t="s">
        <v>92</v>
      </c>
      <c r="BY126" s="8" t="s">
        <v>92</v>
      </c>
      <c r="BZ126" s="8" t="s">
        <v>92</v>
      </c>
      <c r="CA126" s="8" t="s">
        <v>92</v>
      </c>
      <c r="CB126" s="20" t="s">
        <v>660</v>
      </c>
      <c r="CC126" s="17" t="s">
        <v>115</v>
      </c>
      <c r="CD126" s="17" t="s">
        <v>106</v>
      </c>
      <c r="CE126" s="18"/>
      <c r="CF126" s="18"/>
      <c r="CG126" s="18"/>
      <c r="CH126" s="18"/>
    </row>
    <row r="127">
      <c r="A127" s="8"/>
      <c r="B127" s="43" t="s">
        <v>681</v>
      </c>
      <c r="C127" s="10" t="s">
        <v>682</v>
      </c>
      <c r="D127" s="9" t="s">
        <v>87</v>
      </c>
      <c r="E127" s="11" t="s">
        <v>683</v>
      </c>
      <c r="F127" s="12"/>
      <c r="G127" s="14" t="s">
        <v>684</v>
      </c>
      <c r="H127" s="14" t="s">
        <v>90</v>
      </c>
      <c r="I127" s="14" t="s">
        <v>685</v>
      </c>
      <c r="J127" s="14" t="s">
        <v>92</v>
      </c>
      <c r="K127" s="14" t="s">
        <v>92</v>
      </c>
      <c r="L127" s="14" t="s">
        <v>92</v>
      </c>
      <c r="M127" s="14" t="s">
        <v>92</v>
      </c>
      <c r="N127" s="14" t="s">
        <v>92</v>
      </c>
      <c r="O127" s="14" t="s">
        <v>92</v>
      </c>
      <c r="P127" s="14" t="s">
        <v>92</v>
      </c>
      <c r="Q127" s="14" t="s">
        <v>93</v>
      </c>
      <c r="R127" s="14" t="s">
        <v>92</v>
      </c>
      <c r="S127" s="14" t="s">
        <v>92</v>
      </c>
      <c r="T127" s="14" t="s">
        <v>92</v>
      </c>
      <c r="U127" s="14" t="s">
        <v>93</v>
      </c>
      <c r="V127" s="14" t="s">
        <v>92</v>
      </c>
      <c r="W127" s="14" t="s">
        <v>92</v>
      </c>
      <c r="X127" s="14" t="s">
        <v>92</v>
      </c>
      <c r="Y127" s="14" t="s">
        <v>92</v>
      </c>
      <c r="Z127" s="14" t="s">
        <v>92</v>
      </c>
      <c r="AA127" s="14" t="s">
        <v>92</v>
      </c>
      <c r="AB127" s="8" t="s">
        <v>93</v>
      </c>
      <c r="AC127" s="8" t="s">
        <v>92</v>
      </c>
      <c r="AD127" s="8" t="s">
        <v>92</v>
      </c>
      <c r="AE127" s="14" t="s">
        <v>94</v>
      </c>
      <c r="AF127" s="14" t="s">
        <v>92</v>
      </c>
      <c r="AG127" s="14" t="s">
        <v>95</v>
      </c>
      <c r="AH127" s="8" t="s">
        <v>105</v>
      </c>
      <c r="AI127" s="14" t="s">
        <v>93</v>
      </c>
      <c r="AJ127" s="14" t="s">
        <v>92</v>
      </c>
      <c r="AK127" s="14" t="s">
        <v>92</v>
      </c>
      <c r="AL127" s="14" t="s">
        <v>92</v>
      </c>
      <c r="AM127" s="8" t="s">
        <v>105</v>
      </c>
      <c r="AN127" s="14" t="s">
        <v>105</v>
      </c>
      <c r="AO127" s="8" t="s">
        <v>105</v>
      </c>
      <c r="AP127" s="8" t="s">
        <v>92</v>
      </c>
      <c r="AQ127" s="14" t="s">
        <v>92</v>
      </c>
      <c r="AR127" s="14" t="s">
        <v>93</v>
      </c>
      <c r="AS127" s="14" t="s">
        <v>93</v>
      </c>
      <c r="AT127" s="14" t="s">
        <v>93</v>
      </c>
      <c r="AU127" s="14" t="s">
        <v>93</v>
      </c>
      <c r="AV127" s="14" t="s">
        <v>93</v>
      </c>
      <c r="AW127" s="14" t="s">
        <v>93</v>
      </c>
      <c r="AX127" s="14" t="s">
        <v>92</v>
      </c>
      <c r="AY127" s="8" t="s">
        <v>95</v>
      </c>
      <c r="AZ127" s="8" t="s">
        <v>95</v>
      </c>
      <c r="BA127" s="9" t="s">
        <v>681</v>
      </c>
      <c r="BB127" s="8" t="s">
        <v>213</v>
      </c>
      <c r="BC127" s="8" t="s">
        <v>92</v>
      </c>
      <c r="BD127" s="14" t="s">
        <v>92</v>
      </c>
      <c r="BE127" s="14" t="s">
        <v>92</v>
      </c>
      <c r="BF127" s="14" t="s">
        <v>92</v>
      </c>
      <c r="BG127" s="14" t="s">
        <v>92</v>
      </c>
      <c r="BH127" s="14" t="s">
        <v>92</v>
      </c>
      <c r="BI127" s="14" t="s">
        <v>93</v>
      </c>
      <c r="BJ127" s="14" t="s">
        <v>92</v>
      </c>
      <c r="BK127" s="14" t="s">
        <v>105</v>
      </c>
      <c r="BL127" s="14" t="s">
        <v>105</v>
      </c>
      <c r="BM127" s="14" t="s">
        <v>105</v>
      </c>
      <c r="BN127" s="14" t="s">
        <v>105</v>
      </c>
      <c r="BO127" s="14" t="s">
        <v>105</v>
      </c>
      <c r="BP127" s="14" t="s">
        <v>105</v>
      </c>
      <c r="BQ127" s="8" t="s">
        <v>93</v>
      </c>
      <c r="BR127" s="8" t="s">
        <v>92</v>
      </c>
      <c r="BS127" s="8" t="s">
        <v>92</v>
      </c>
      <c r="BT127" s="8" t="s">
        <v>92</v>
      </c>
      <c r="BU127" s="8" t="s">
        <v>92</v>
      </c>
      <c r="BV127" s="8" t="s">
        <v>92</v>
      </c>
      <c r="BW127" s="8" t="s">
        <v>92</v>
      </c>
      <c r="BX127" s="8" t="s">
        <v>92</v>
      </c>
      <c r="BY127" s="8" t="s">
        <v>92</v>
      </c>
      <c r="BZ127" s="8" t="s">
        <v>92</v>
      </c>
      <c r="CA127" s="8" t="s">
        <v>92</v>
      </c>
      <c r="CB127" s="20" t="s">
        <v>686</v>
      </c>
      <c r="CC127" s="17"/>
      <c r="CD127" s="18"/>
      <c r="CE127" s="18"/>
      <c r="CF127" s="18"/>
      <c r="CG127" s="18"/>
      <c r="CH127" s="18"/>
    </row>
    <row r="128">
      <c r="A128" s="8"/>
      <c r="B128" s="9" t="s">
        <v>681</v>
      </c>
      <c r="C128" s="10" t="s">
        <v>682</v>
      </c>
      <c r="D128" s="9" t="s">
        <v>87</v>
      </c>
      <c r="E128" s="11" t="s">
        <v>687</v>
      </c>
      <c r="F128" s="12"/>
      <c r="G128" s="14" t="s">
        <v>688</v>
      </c>
      <c r="H128" s="14" t="s">
        <v>90</v>
      </c>
      <c r="I128" s="14" t="s">
        <v>689</v>
      </c>
      <c r="J128" s="14" t="s">
        <v>92</v>
      </c>
      <c r="K128" s="14" t="s">
        <v>92</v>
      </c>
      <c r="L128" s="14" t="s">
        <v>92</v>
      </c>
      <c r="M128" s="14" t="s">
        <v>92</v>
      </c>
      <c r="N128" s="14" t="s">
        <v>92</v>
      </c>
      <c r="O128" s="14" t="s">
        <v>92</v>
      </c>
      <c r="P128" s="14" t="s">
        <v>92</v>
      </c>
      <c r="Q128" s="14" t="s">
        <v>92</v>
      </c>
      <c r="R128" s="14" t="s">
        <v>92</v>
      </c>
      <c r="S128" s="14" t="s">
        <v>92</v>
      </c>
      <c r="T128" s="14" t="s">
        <v>92</v>
      </c>
      <c r="U128" s="14" t="s">
        <v>92</v>
      </c>
      <c r="V128" s="14" t="s">
        <v>92</v>
      </c>
      <c r="W128" s="14" t="s">
        <v>92</v>
      </c>
      <c r="X128" s="14" t="s">
        <v>92</v>
      </c>
      <c r="Y128" s="14" t="s">
        <v>92</v>
      </c>
      <c r="Z128" s="14" t="s">
        <v>93</v>
      </c>
      <c r="AA128" s="14" t="s">
        <v>92</v>
      </c>
      <c r="AB128" s="8" t="s">
        <v>92</v>
      </c>
      <c r="AC128" s="8" t="s">
        <v>93</v>
      </c>
      <c r="AD128" s="8" t="s">
        <v>92</v>
      </c>
      <c r="AE128" s="14" t="s">
        <v>148</v>
      </c>
      <c r="AF128" s="14" t="s">
        <v>92</v>
      </c>
      <c r="AG128" s="14" t="s">
        <v>95</v>
      </c>
      <c r="AH128" s="8">
        <v>2012.0</v>
      </c>
      <c r="AI128" s="14" t="s">
        <v>93</v>
      </c>
      <c r="AJ128" s="14" t="s">
        <v>93</v>
      </c>
      <c r="AK128" s="14" t="s">
        <v>93</v>
      </c>
      <c r="AL128" s="14" t="s">
        <v>93</v>
      </c>
      <c r="AM128" s="8" t="s">
        <v>95</v>
      </c>
      <c r="AN128" s="14" t="s">
        <v>114</v>
      </c>
      <c r="AO128" s="8" t="s">
        <v>93</v>
      </c>
      <c r="AP128" s="8" t="s">
        <v>92</v>
      </c>
      <c r="AQ128" s="14" t="s">
        <v>92</v>
      </c>
      <c r="AR128" s="14" t="s">
        <v>93</v>
      </c>
      <c r="AS128" s="14" t="s">
        <v>93</v>
      </c>
      <c r="AT128" s="14" t="s">
        <v>93</v>
      </c>
      <c r="AU128" s="14" t="s">
        <v>93</v>
      </c>
      <c r="AV128" s="14" t="s">
        <v>93</v>
      </c>
      <c r="AW128" s="14" t="s">
        <v>93</v>
      </c>
      <c r="AX128" s="14" t="s">
        <v>92</v>
      </c>
      <c r="AY128" s="8" t="s">
        <v>95</v>
      </c>
      <c r="AZ128" s="8" t="s">
        <v>95</v>
      </c>
      <c r="BA128" s="9" t="s">
        <v>681</v>
      </c>
      <c r="BB128" s="8" t="s">
        <v>213</v>
      </c>
      <c r="BC128" s="8" t="s">
        <v>92</v>
      </c>
      <c r="BD128" s="14" t="s">
        <v>92</v>
      </c>
      <c r="BE128" s="14" t="s">
        <v>92</v>
      </c>
      <c r="BF128" s="14" t="s">
        <v>92</v>
      </c>
      <c r="BG128" s="14" t="s">
        <v>92</v>
      </c>
      <c r="BH128" s="14" t="s">
        <v>92</v>
      </c>
      <c r="BI128" s="14" t="s">
        <v>92</v>
      </c>
      <c r="BJ128" s="14" t="s">
        <v>92</v>
      </c>
      <c r="BK128" s="14" t="s">
        <v>482</v>
      </c>
      <c r="BL128" s="14" t="s">
        <v>92</v>
      </c>
      <c r="BM128" s="14" t="s">
        <v>92</v>
      </c>
      <c r="BN128" s="14" t="s">
        <v>92</v>
      </c>
      <c r="BO128" s="14" t="s">
        <v>93</v>
      </c>
      <c r="BP128" s="14" t="s">
        <v>92</v>
      </c>
      <c r="BQ128" s="8" t="s">
        <v>92</v>
      </c>
      <c r="BR128" s="8" t="s">
        <v>92</v>
      </c>
      <c r="BS128" s="8" t="s">
        <v>92</v>
      </c>
      <c r="BT128" s="8" t="s">
        <v>93</v>
      </c>
      <c r="BU128" s="8" t="s">
        <v>93</v>
      </c>
      <c r="BV128" s="8" t="s">
        <v>92</v>
      </c>
      <c r="BW128" s="8" t="s">
        <v>92</v>
      </c>
      <c r="BX128" s="8" t="s">
        <v>92</v>
      </c>
      <c r="BY128" s="8" t="s">
        <v>92</v>
      </c>
      <c r="BZ128" s="8" t="s">
        <v>93</v>
      </c>
      <c r="CA128" s="8" t="s">
        <v>92</v>
      </c>
      <c r="CB128" s="20" t="s">
        <v>686</v>
      </c>
      <c r="CC128" s="20" t="s">
        <v>690</v>
      </c>
      <c r="CD128" s="20" t="s">
        <v>690</v>
      </c>
      <c r="CE128" s="20" t="s">
        <v>691</v>
      </c>
      <c r="CG128" s="18"/>
      <c r="CH128" s="18"/>
    </row>
    <row r="129">
      <c r="A129" s="8"/>
      <c r="B129" s="9" t="s">
        <v>681</v>
      </c>
      <c r="C129" s="10" t="s">
        <v>682</v>
      </c>
      <c r="D129" s="9" t="s">
        <v>87</v>
      </c>
      <c r="E129" s="11" t="s">
        <v>692</v>
      </c>
      <c r="F129" s="25"/>
      <c r="G129" s="9" t="s">
        <v>693</v>
      </c>
      <c r="H129" s="14" t="s">
        <v>90</v>
      </c>
      <c r="I129" s="14" t="s">
        <v>694</v>
      </c>
      <c r="J129" s="14" t="s">
        <v>92</v>
      </c>
      <c r="K129" s="14" t="s">
        <v>92</v>
      </c>
      <c r="L129" s="14" t="s">
        <v>92</v>
      </c>
      <c r="M129" s="14" t="s">
        <v>92</v>
      </c>
      <c r="N129" s="14" t="s">
        <v>92</v>
      </c>
      <c r="O129" s="14" t="s">
        <v>92</v>
      </c>
      <c r="P129" s="14" t="s">
        <v>92</v>
      </c>
      <c r="Q129" s="14" t="s">
        <v>92</v>
      </c>
      <c r="R129" s="14" t="s">
        <v>92</v>
      </c>
      <c r="S129" s="14" t="s">
        <v>92</v>
      </c>
      <c r="T129" s="14" t="s">
        <v>92</v>
      </c>
      <c r="U129" s="14" t="s">
        <v>92</v>
      </c>
      <c r="V129" s="14" t="s">
        <v>92</v>
      </c>
      <c r="W129" s="14" t="s">
        <v>92</v>
      </c>
      <c r="X129" s="14" t="s">
        <v>92</v>
      </c>
      <c r="Y129" s="14" t="s">
        <v>92</v>
      </c>
      <c r="Z129" s="14" t="s">
        <v>93</v>
      </c>
      <c r="AA129" s="14" t="s">
        <v>92</v>
      </c>
      <c r="AB129" s="8" t="s">
        <v>92</v>
      </c>
      <c r="AC129" s="8" t="s">
        <v>93</v>
      </c>
      <c r="AD129" s="8" t="s">
        <v>92</v>
      </c>
      <c r="AE129" s="14" t="s">
        <v>112</v>
      </c>
      <c r="AF129" s="14" t="s">
        <v>92</v>
      </c>
      <c r="AG129" s="14" t="s">
        <v>95</v>
      </c>
      <c r="AH129" s="8" t="s">
        <v>105</v>
      </c>
      <c r="AI129" s="14" t="s">
        <v>93</v>
      </c>
      <c r="AJ129" s="14" t="s">
        <v>93</v>
      </c>
      <c r="AK129" s="14" t="s">
        <v>93</v>
      </c>
      <c r="AL129" s="14" t="s">
        <v>93</v>
      </c>
      <c r="AM129" s="8" t="s">
        <v>95</v>
      </c>
      <c r="AN129" s="14" t="s">
        <v>114</v>
      </c>
      <c r="AO129" s="8" t="s">
        <v>93</v>
      </c>
      <c r="AP129" s="8" t="s">
        <v>92</v>
      </c>
      <c r="AQ129" s="14" t="s">
        <v>92</v>
      </c>
      <c r="AR129" s="14" t="s">
        <v>93</v>
      </c>
      <c r="AS129" s="14" t="s">
        <v>93</v>
      </c>
      <c r="AT129" s="14" t="s">
        <v>93</v>
      </c>
      <c r="AU129" s="14" t="s">
        <v>93</v>
      </c>
      <c r="AV129" s="14" t="s">
        <v>93</v>
      </c>
      <c r="AW129" s="14" t="s">
        <v>93</v>
      </c>
      <c r="AX129" s="14" t="s">
        <v>92</v>
      </c>
      <c r="AY129" s="8" t="s">
        <v>95</v>
      </c>
      <c r="AZ129" s="8" t="s">
        <v>95</v>
      </c>
      <c r="BA129" s="9" t="s">
        <v>681</v>
      </c>
      <c r="BB129" s="8" t="s">
        <v>213</v>
      </c>
      <c r="BC129" s="8" t="s">
        <v>92</v>
      </c>
      <c r="BD129" s="14" t="s">
        <v>93</v>
      </c>
      <c r="BE129" s="14" t="s">
        <v>92</v>
      </c>
      <c r="BF129" s="14" t="s">
        <v>92</v>
      </c>
      <c r="BG129" s="14" t="s">
        <v>92</v>
      </c>
      <c r="BH129" s="14" t="s">
        <v>92</v>
      </c>
      <c r="BI129" s="14" t="s">
        <v>92</v>
      </c>
      <c r="BJ129" s="14" t="s">
        <v>92</v>
      </c>
      <c r="BK129" s="14" t="s">
        <v>105</v>
      </c>
      <c r="BL129" s="14" t="s">
        <v>105</v>
      </c>
      <c r="BM129" s="14" t="s">
        <v>105</v>
      </c>
      <c r="BN129" s="14" t="s">
        <v>105</v>
      </c>
      <c r="BO129" s="14" t="s">
        <v>105</v>
      </c>
      <c r="BP129" s="14" t="s">
        <v>105</v>
      </c>
      <c r="BQ129" s="8" t="s">
        <v>92</v>
      </c>
      <c r="BR129" s="8" t="s">
        <v>92</v>
      </c>
      <c r="BS129" s="8" t="s">
        <v>92</v>
      </c>
      <c r="BT129" s="8" t="s">
        <v>93</v>
      </c>
      <c r="BU129" s="8" t="s">
        <v>93</v>
      </c>
      <c r="BV129" s="8" t="s">
        <v>93</v>
      </c>
      <c r="BW129" s="8" t="s">
        <v>92</v>
      </c>
      <c r="BX129" s="8" t="s">
        <v>92</v>
      </c>
      <c r="BY129" s="8" t="s">
        <v>92</v>
      </c>
      <c r="BZ129" s="8" t="s">
        <v>92</v>
      </c>
      <c r="CA129" s="8" t="s">
        <v>92</v>
      </c>
      <c r="CB129" s="20" t="s">
        <v>686</v>
      </c>
      <c r="CC129" s="20" t="s">
        <v>695</v>
      </c>
      <c r="CD129" s="20" t="s">
        <v>690</v>
      </c>
      <c r="CE129" s="20" t="s">
        <v>691</v>
      </c>
      <c r="CG129" s="18"/>
      <c r="CH129" s="18"/>
    </row>
    <row r="130">
      <c r="A130" s="8"/>
      <c r="B130" s="9" t="s">
        <v>681</v>
      </c>
      <c r="C130" s="10" t="s">
        <v>682</v>
      </c>
      <c r="D130" s="9" t="s">
        <v>87</v>
      </c>
      <c r="E130" s="11" t="s">
        <v>696</v>
      </c>
      <c r="F130" s="12"/>
      <c r="G130" s="14" t="s">
        <v>697</v>
      </c>
      <c r="H130" s="14" t="s">
        <v>90</v>
      </c>
      <c r="I130" s="14" t="s">
        <v>698</v>
      </c>
      <c r="J130" s="14" t="s">
        <v>92</v>
      </c>
      <c r="K130" s="14" t="s">
        <v>92</v>
      </c>
      <c r="L130" s="14" t="s">
        <v>93</v>
      </c>
      <c r="M130" s="14" t="s">
        <v>92</v>
      </c>
      <c r="N130" s="14" t="s">
        <v>92</v>
      </c>
      <c r="O130" s="14" t="s">
        <v>92</v>
      </c>
      <c r="P130" s="14" t="s">
        <v>92</v>
      </c>
      <c r="Q130" s="14" t="s">
        <v>92</v>
      </c>
      <c r="R130" s="14" t="s">
        <v>92</v>
      </c>
      <c r="S130" s="14" t="s">
        <v>92</v>
      </c>
      <c r="T130" s="14" t="s">
        <v>92</v>
      </c>
      <c r="U130" s="14" t="s">
        <v>92</v>
      </c>
      <c r="V130" s="14" t="s">
        <v>92</v>
      </c>
      <c r="W130" s="14" t="s">
        <v>92</v>
      </c>
      <c r="X130" s="14" t="s">
        <v>93</v>
      </c>
      <c r="Y130" s="14" t="s">
        <v>92</v>
      </c>
      <c r="Z130" s="14" t="s">
        <v>93</v>
      </c>
      <c r="AA130" s="14" t="s">
        <v>92</v>
      </c>
      <c r="AB130" s="8" t="s">
        <v>92</v>
      </c>
      <c r="AC130" s="8" t="s">
        <v>93</v>
      </c>
      <c r="AD130" s="8" t="s">
        <v>92</v>
      </c>
      <c r="AE130" s="14" t="s">
        <v>112</v>
      </c>
      <c r="AF130" s="14" t="s">
        <v>92</v>
      </c>
      <c r="AG130" s="14" t="s">
        <v>95</v>
      </c>
      <c r="AH130" s="8" t="s">
        <v>105</v>
      </c>
      <c r="AI130" s="14" t="s">
        <v>93</v>
      </c>
      <c r="AJ130" s="14" t="s">
        <v>93</v>
      </c>
      <c r="AK130" s="14" t="s">
        <v>93</v>
      </c>
      <c r="AL130" s="14" t="s">
        <v>93</v>
      </c>
      <c r="AM130" s="8" t="s">
        <v>95</v>
      </c>
      <c r="AN130" s="14" t="s">
        <v>114</v>
      </c>
      <c r="AO130" s="8" t="s">
        <v>93</v>
      </c>
      <c r="AP130" s="8" t="s">
        <v>92</v>
      </c>
      <c r="AQ130" s="14" t="s">
        <v>92</v>
      </c>
      <c r="AR130" s="14" t="s">
        <v>93</v>
      </c>
      <c r="AS130" s="14" t="s">
        <v>93</v>
      </c>
      <c r="AT130" s="14" t="s">
        <v>93</v>
      </c>
      <c r="AU130" s="14" t="s">
        <v>93</v>
      </c>
      <c r="AV130" s="14" t="s">
        <v>93</v>
      </c>
      <c r="AW130" s="14" t="s">
        <v>93</v>
      </c>
      <c r="AX130" s="14" t="s">
        <v>92</v>
      </c>
      <c r="AY130" s="15" t="s">
        <v>95</v>
      </c>
      <c r="AZ130" s="8" t="s">
        <v>95</v>
      </c>
      <c r="BA130" s="9" t="s">
        <v>681</v>
      </c>
      <c r="BB130" s="8" t="s">
        <v>213</v>
      </c>
      <c r="BC130" s="8" t="s">
        <v>92</v>
      </c>
      <c r="BD130" s="14" t="s">
        <v>93</v>
      </c>
      <c r="BE130" s="14" t="s">
        <v>92</v>
      </c>
      <c r="BF130" s="14" t="s">
        <v>92</v>
      </c>
      <c r="BG130" s="14" t="s">
        <v>92</v>
      </c>
      <c r="BH130" s="14" t="s">
        <v>92</v>
      </c>
      <c r="BI130" s="14" t="s">
        <v>92</v>
      </c>
      <c r="BJ130" s="14" t="s">
        <v>92</v>
      </c>
      <c r="BK130" s="14" t="s">
        <v>699</v>
      </c>
      <c r="BL130" s="14" t="s">
        <v>92</v>
      </c>
      <c r="BM130" s="14" t="s">
        <v>92</v>
      </c>
      <c r="BN130" s="14" t="s">
        <v>92</v>
      </c>
      <c r="BO130" s="14" t="s">
        <v>93</v>
      </c>
      <c r="BP130" s="14" t="s">
        <v>92</v>
      </c>
      <c r="BQ130" s="8" t="s">
        <v>92</v>
      </c>
      <c r="BR130" s="8" t="s">
        <v>92</v>
      </c>
      <c r="BS130" s="8" t="s">
        <v>92</v>
      </c>
      <c r="BT130" s="8" t="s">
        <v>93</v>
      </c>
      <c r="BU130" s="8" t="s">
        <v>92</v>
      </c>
      <c r="BV130" s="8" t="s">
        <v>92</v>
      </c>
      <c r="BW130" s="8" t="s">
        <v>92</v>
      </c>
      <c r="BX130" s="8" t="s">
        <v>93</v>
      </c>
      <c r="BY130" s="8" t="s">
        <v>93</v>
      </c>
      <c r="BZ130" s="8" t="s">
        <v>92</v>
      </c>
      <c r="CA130" s="8" t="s">
        <v>92</v>
      </c>
      <c r="CB130" s="20" t="s">
        <v>686</v>
      </c>
      <c r="CC130" s="20" t="s">
        <v>695</v>
      </c>
      <c r="CD130" s="20" t="s">
        <v>690</v>
      </c>
      <c r="CE130" s="20" t="s">
        <v>691</v>
      </c>
      <c r="CG130" s="18"/>
      <c r="CH130" s="18"/>
    </row>
    <row r="131">
      <c r="A131" s="8"/>
      <c r="B131" s="9" t="s">
        <v>681</v>
      </c>
      <c r="C131" s="10" t="s">
        <v>682</v>
      </c>
      <c r="D131" s="9" t="s">
        <v>87</v>
      </c>
      <c r="E131" s="11" t="s">
        <v>700</v>
      </c>
      <c r="F131" s="12"/>
      <c r="G131" s="14" t="s">
        <v>701</v>
      </c>
      <c r="H131" s="14" t="s">
        <v>90</v>
      </c>
      <c r="I131" s="14" t="s">
        <v>702</v>
      </c>
      <c r="J131" s="14" t="s">
        <v>92</v>
      </c>
      <c r="K131" s="14" t="s">
        <v>92</v>
      </c>
      <c r="L131" s="14" t="s">
        <v>92</v>
      </c>
      <c r="M131" s="14" t="s">
        <v>92</v>
      </c>
      <c r="N131" s="14" t="s">
        <v>92</v>
      </c>
      <c r="O131" s="14" t="s">
        <v>92</v>
      </c>
      <c r="P131" s="14" t="s">
        <v>92</v>
      </c>
      <c r="Q131" s="14" t="s">
        <v>92</v>
      </c>
      <c r="R131" s="14" t="s">
        <v>92</v>
      </c>
      <c r="S131" s="14" t="s">
        <v>92</v>
      </c>
      <c r="T131" s="14" t="s">
        <v>92</v>
      </c>
      <c r="U131" s="14" t="s">
        <v>92</v>
      </c>
      <c r="V131" s="14" t="s">
        <v>92</v>
      </c>
      <c r="W131" s="14" t="s">
        <v>92</v>
      </c>
      <c r="X131" s="14" t="s">
        <v>92</v>
      </c>
      <c r="Y131" s="14" t="s">
        <v>92</v>
      </c>
      <c r="Z131" s="14" t="s">
        <v>93</v>
      </c>
      <c r="AA131" s="14" t="s">
        <v>92</v>
      </c>
      <c r="AB131" s="8" t="s">
        <v>92</v>
      </c>
      <c r="AC131" s="8" t="s">
        <v>93</v>
      </c>
      <c r="AD131" s="8" t="s">
        <v>92</v>
      </c>
      <c r="AE131" s="14" t="s">
        <v>112</v>
      </c>
      <c r="AF131" s="14" t="s">
        <v>92</v>
      </c>
      <c r="AG131" s="14" t="s">
        <v>95</v>
      </c>
      <c r="AH131" s="8" t="s">
        <v>105</v>
      </c>
      <c r="AI131" s="14" t="s">
        <v>93</v>
      </c>
      <c r="AJ131" s="14" t="s">
        <v>93</v>
      </c>
      <c r="AK131" s="14" t="s">
        <v>93</v>
      </c>
      <c r="AL131" s="14" t="s">
        <v>93</v>
      </c>
      <c r="AM131" s="8" t="s">
        <v>95</v>
      </c>
      <c r="AN131" s="14" t="s">
        <v>114</v>
      </c>
      <c r="AO131" s="8" t="s">
        <v>93</v>
      </c>
      <c r="AP131" s="8" t="s">
        <v>92</v>
      </c>
      <c r="AQ131" s="14" t="s">
        <v>92</v>
      </c>
      <c r="AR131" s="14" t="s">
        <v>93</v>
      </c>
      <c r="AS131" s="14" t="s">
        <v>93</v>
      </c>
      <c r="AT131" s="14" t="s">
        <v>93</v>
      </c>
      <c r="AU131" s="14" t="s">
        <v>93</v>
      </c>
      <c r="AV131" s="14" t="s">
        <v>93</v>
      </c>
      <c r="AW131" s="14" t="s">
        <v>93</v>
      </c>
      <c r="AX131" s="14" t="s">
        <v>92</v>
      </c>
      <c r="AY131" s="8" t="s">
        <v>703</v>
      </c>
      <c r="AZ131" s="8" t="s">
        <v>92</v>
      </c>
      <c r="BA131" s="9" t="s">
        <v>681</v>
      </c>
      <c r="BB131" s="8" t="s">
        <v>213</v>
      </c>
      <c r="BC131" s="8" t="s">
        <v>92</v>
      </c>
      <c r="BD131" s="14" t="s">
        <v>93</v>
      </c>
      <c r="BE131" s="14" t="s">
        <v>92</v>
      </c>
      <c r="BF131" s="14" t="s">
        <v>92</v>
      </c>
      <c r="BG131" s="14" t="s">
        <v>92</v>
      </c>
      <c r="BH131" s="14" t="s">
        <v>92</v>
      </c>
      <c r="BI131" s="14" t="s">
        <v>92</v>
      </c>
      <c r="BJ131" s="14" t="s">
        <v>92</v>
      </c>
      <c r="BK131" s="14" t="s">
        <v>699</v>
      </c>
      <c r="BL131" s="14" t="s">
        <v>92</v>
      </c>
      <c r="BM131" s="14" t="s">
        <v>92</v>
      </c>
      <c r="BN131" s="14" t="s">
        <v>92</v>
      </c>
      <c r="BO131" s="14" t="s">
        <v>93</v>
      </c>
      <c r="BP131" s="14" t="s">
        <v>92</v>
      </c>
      <c r="BQ131" s="8" t="s">
        <v>92</v>
      </c>
      <c r="BR131" s="8" t="s">
        <v>92</v>
      </c>
      <c r="BS131" s="8" t="s">
        <v>92</v>
      </c>
      <c r="BT131" s="8" t="s">
        <v>93</v>
      </c>
      <c r="BU131" s="8" t="s">
        <v>92</v>
      </c>
      <c r="BV131" s="8" t="s">
        <v>92</v>
      </c>
      <c r="BW131" s="8" t="s">
        <v>92</v>
      </c>
      <c r="BX131" s="8" t="s">
        <v>92</v>
      </c>
      <c r="BY131" s="8" t="s">
        <v>92</v>
      </c>
      <c r="BZ131" s="8" t="s">
        <v>92</v>
      </c>
      <c r="CA131" s="8" t="s">
        <v>92</v>
      </c>
      <c r="CB131" s="20" t="s">
        <v>686</v>
      </c>
      <c r="CC131" s="20" t="s">
        <v>695</v>
      </c>
      <c r="CD131" s="20" t="s">
        <v>690</v>
      </c>
      <c r="CE131" s="20" t="s">
        <v>691</v>
      </c>
      <c r="CG131" s="18"/>
      <c r="CH131" s="18"/>
    </row>
    <row r="132">
      <c r="A132" s="8"/>
      <c r="B132" s="9" t="s">
        <v>681</v>
      </c>
      <c r="C132" s="10" t="s">
        <v>682</v>
      </c>
      <c r="D132" s="9" t="s">
        <v>87</v>
      </c>
      <c r="E132" s="11" t="s">
        <v>704</v>
      </c>
      <c r="F132" s="12"/>
      <c r="G132" s="14" t="s">
        <v>705</v>
      </c>
      <c r="H132" s="14" t="s">
        <v>90</v>
      </c>
      <c r="I132" s="14" t="s">
        <v>706</v>
      </c>
      <c r="J132" s="14" t="s">
        <v>92</v>
      </c>
      <c r="K132" s="14" t="s">
        <v>92</v>
      </c>
      <c r="L132" s="14" t="s">
        <v>92</v>
      </c>
      <c r="M132" s="14" t="s">
        <v>92</v>
      </c>
      <c r="N132" s="14" t="s">
        <v>92</v>
      </c>
      <c r="O132" s="14" t="s">
        <v>92</v>
      </c>
      <c r="P132" s="14" t="s">
        <v>92</v>
      </c>
      <c r="Q132" s="14" t="s">
        <v>92</v>
      </c>
      <c r="R132" s="14" t="s">
        <v>92</v>
      </c>
      <c r="S132" s="14" t="s">
        <v>92</v>
      </c>
      <c r="T132" s="14" t="s">
        <v>92</v>
      </c>
      <c r="U132" s="14" t="s">
        <v>92</v>
      </c>
      <c r="V132" s="14" t="s">
        <v>92</v>
      </c>
      <c r="W132" s="14" t="s">
        <v>92</v>
      </c>
      <c r="X132" s="14" t="s">
        <v>92</v>
      </c>
      <c r="Y132" s="14" t="s">
        <v>92</v>
      </c>
      <c r="Z132" s="14" t="s">
        <v>93</v>
      </c>
      <c r="AA132" s="14" t="s">
        <v>92</v>
      </c>
      <c r="AB132" s="8" t="s">
        <v>92</v>
      </c>
      <c r="AC132" s="8" t="s">
        <v>93</v>
      </c>
      <c r="AD132" s="8" t="s">
        <v>92</v>
      </c>
      <c r="AE132" s="14" t="s">
        <v>112</v>
      </c>
      <c r="AF132" s="14" t="s">
        <v>92</v>
      </c>
      <c r="AG132" s="14" t="s">
        <v>95</v>
      </c>
      <c r="AH132" s="8" t="s">
        <v>105</v>
      </c>
      <c r="AI132" s="14" t="s">
        <v>93</v>
      </c>
      <c r="AJ132" s="14" t="s">
        <v>93</v>
      </c>
      <c r="AK132" s="14" t="s">
        <v>93</v>
      </c>
      <c r="AL132" s="14" t="s">
        <v>93</v>
      </c>
      <c r="AM132" s="8" t="s">
        <v>95</v>
      </c>
      <c r="AN132" s="14" t="s">
        <v>114</v>
      </c>
      <c r="AO132" s="8" t="s">
        <v>93</v>
      </c>
      <c r="AP132" s="8" t="s">
        <v>92</v>
      </c>
      <c r="AQ132" s="14" t="s">
        <v>92</v>
      </c>
      <c r="AR132" s="14" t="s">
        <v>93</v>
      </c>
      <c r="AS132" s="14" t="s">
        <v>93</v>
      </c>
      <c r="AT132" s="14" t="s">
        <v>93</v>
      </c>
      <c r="AU132" s="14" t="s">
        <v>93</v>
      </c>
      <c r="AV132" s="14" t="s">
        <v>93</v>
      </c>
      <c r="AW132" s="14" t="s">
        <v>93</v>
      </c>
      <c r="AX132" s="14" t="s">
        <v>92</v>
      </c>
      <c r="AY132" s="8" t="s">
        <v>95</v>
      </c>
      <c r="AZ132" s="8" t="s">
        <v>95</v>
      </c>
      <c r="BA132" s="9" t="s">
        <v>681</v>
      </c>
      <c r="BB132" s="8" t="s">
        <v>213</v>
      </c>
      <c r="BC132" s="8" t="s">
        <v>92</v>
      </c>
      <c r="BD132" s="14" t="s">
        <v>93</v>
      </c>
      <c r="BE132" s="14" t="s">
        <v>92</v>
      </c>
      <c r="BF132" s="14" t="s">
        <v>92</v>
      </c>
      <c r="BG132" s="14" t="s">
        <v>92</v>
      </c>
      <c r="BH132" s="14" t="s">
        <v>92</v>
      </c>
      <c r="BI132" s="14" t="s">
        <v>92</v>
      </c>
      <c r="BJ132" s="14" t="s">
        <v>92</v>
      </c>
      <c r="BK132" s="14" t="s">
        <v>699</v>
      </c>
      <c r="BL132" s="14" t="s">
        <v>92</v>
      </c>
      <c r="BM132" s="14" t="s">
        <v>92</v>
      </c>
      <c r="BN132" s="14" t="s">
        <v>92</v>
      </c>
      <c r="BO132" s="14" t="s">
        <v>93</v>
      </c>
      <c r="BP132" s="14" t="s">
        <v>92</v>
      </c>
      <c r="BQ132" s="8" t="s">
        <v>92</v>
      </c>
      <c r="BR132" s="8" t="s">
        <v>92</v>
      </c>
      <c r="BS132" s="8" t="s">
        <v>92</v>
      </c>
      <c r="BT132" s="8" t="s">
        <v>93</v>
      </c>
      <c r="BU132" s="8" t="s">
        <v>92</v>
      </c>
      <c r="BV132" s="8" t="s">
        <v>93</v>
      </c>
      <c r="BW132" s="8" t="s">
        <v>92</v>
      </c>
      <c r="BX132" s="8" t="s">
        <v>93</v>
      </c>
      <c r="BY132" s="8" t="s">
        <v>93</v>
      </c>
      <c r="BZ132" s="8" t="s">
        <v>92</v>
      </c>
      <c r="CA132" s="8" t="s">
        <v>92</v>
      </c>
      <c r="CB132" s="20" t="s">
        <v>686</v>
      </c>
      <c r="CC132" s="20" t="s">
        <v>691</v>
      </c>
      <c r="CE132" s="31"/>
      <c r="CF132" s="18"/>
      <c r="CG132" s="18"/>
      <c r="CH132" s="18"/>
    </row>
    <row r="133">
      <c r="A133" s="8"/>
      <c r="B133" s="9" t="s">
        <v>681</v>
      </c>
      <c r="C133" s="10" t="s">
        <v>682</v>
      </c>
      <c r="D133" s="9" t="s">
        <v>87</v>
      </c>
      <c r="E133" s="11" t="s">
        <v>707</v>
      </c>
      <c r="F133" s="12"/>
      <c r="G133" s="14" t="s">
        <v>708</v>
      </c>
      <c r="H133" s="14" t="s">
        <v>709</v>
      </c>
      <c r="I133" s="14" t="s">
        <v>710</v>
      </c>
      <c r="J133" s="14" t="s">
        <v>93</v>
      </c>
      <c r="K133" s="14" t="s">
        <v>92</v>
      </c>
      <c r="L133" s="14" t="s">
        <v>92</v>
      </c>
      <c r="M133" s="14" t="s">
        <v>92</v>
      </c>
      <c r="N133" s="14" t="s">
        <v>92</v>
      </c>
      <c r="O133" s="14" t="s">
        <v>92</v>
      </c>
      <c r="P133" s="14" t="s">
        <v>92</v>
      </c>
      <c r="Q133" s="14" t="s">
        <v>92</v>
      </c>
      <c r="R133" s="14" t="s">
        <v>92</v>
      </c>
      <c r="S133" s="14" t="s">
        <v>93</v>
      </c>
      <c r="T133" s="14" t="s">
        <v>92</v>
      </c>
      <c r="U133" s="14" t="s">
        <v>92</v>
      </c>
      <c r="V133" s="14" t="s">
        <v>92</v>
      </c>
      <c r="W133" s="14" t="s">
        <v>92</v>
      </c>
      <c r="X133" s="14" t="s">
        <v>92</v>
      </c>
      <c r="Y133" s="14" t="s">
        <v>92</v>
      </c>
      <c r="Z133" s="14" t="s">
        <v>93</v>
      </c>
      <c r="AA133" s="14" t="s">
        <v>92</v>
      </c>
      <c r="AB133" s="8" t="s">
        <v>93</v>
      </c>
      <c r="AC133" s="8" t="s">
        <v>93</v>
      </c>
      <c r="AD133" s="8" t="s">
        <v>92</v>
      </c>
      <c r="AE133" s="14" t="s">
        <v>112</v>
      </c>
      <c r="AF133" s="14" t="s">
        <v>92</v>
      </c>
      <c r="AG133" s="14" t="s">
        <v>95</v>
      </c>
      <c r="AH133" s="8" t="s">
        <v>105</v>
      </c>
      <c r="AI133" s="14" t="s">
        <v>93</v>
      </c>
      <c r="AJ133" s="14" t="s">
        <v>93</v>
      </c>
      <c r="AK133" s="14" t="s">
        <v>93</v>
      </c>
      <c r="AL133" s="14" t="s">
        <v>93</v>
      </c>
      <c r="AM133" s="8" t="s">
        <v>95</v>
      </c>
      <c r="AN133" s="14" t="s">
        <v>114</v>
      </c>
      <c r="AO133" s="8" t="s">
        <v>93</v>
      </c>
      <c r="AP133" s="8" t="s">
        <v>92</v>
      </c>
      <c r="AQ133" s="14" t="s">
        <v>92</v>
      </c>
      <c r="AR133" s="14" t="s">
        <v>93</v>
      </c>
      <c r="AS133" s="14" t="s">
        <v>93</v>
      </c>
      <c r="AT133" s="14" t="s">
        <v>93</v>
      </c>
      <c r="AU133" s="14" t="s">
        <v>93</v>
      </c>
      <c r="AV133" s="14" t="s">
        <v>93</v>
      </c>
      <c r="AW133" s="14" t="s">
        <v>93</v>
      </c>
      <c r="AX133" s="14" t="s">
        <v>92</v>
      </c>
      <c r="AY133" s="8" t="s">
        <v>95</v>
      </c>
      <c r="AZ133" s="8" t="s">
        <v>95</v>
      </c>
      <c r="BA133" s="9" t="s">
        <v>681</v>
      </c>
      <c r="BB133" s="8" t="s">
        <v>213</v>
      </c>
      <c r="BC133" s="8" t="s">
        <v>92</v>
      </c>
      <c r="BD133" s="14" t="s">
        <v>93</v>
      </c>
      <c r="BE133" s="14" t="s">
        <v>92</v>
      </c>
      <c r="BF133" s="14" t="s">
        <v>92</v>
      </c>
      <c r="BG133" s="14" t="s">
        <v>92</v>
      </c>
      <c r="BH133" s="14" t="s">
        <v>92</v>
      </c>
      <c r="BI133" s="14" t="s">
        <v>92</v>
      </c>
      <c r="BJ133" s="14" t="s">
        <v>92</v>
      </c>
      <c r="BK133" s="14" t="s">
        <v>105</v>
      </c>
      <c r="BL133" s="14" t="s">
        <v>105</v>
      </c>
      <c r="BM133" s="14" t="s">
        <v>105</v>
      </c>
      <c r="BN133" s="14" t="s">
        <v>105</v>
      </c>
      <c r="BO133" s="14" t="s">
        <v>105</v>
      </c>
      <c r="BP133" s="14" t="s">
        <v>105</v>
      </c>
      <c r="BQ133" s="8" t="s">
        <v>92</v>
      </c>
      <c r="BR133" s="8" t="s">
        <v>92</v>
      </c>
      <c r="BS133" s="8" t="s">
        <v>92</v>
      </c>
      <c r="BT133" s="8" t="s">
        <v>93</v>
      </c>
      <c r="BU133" s="8" t="s">
        <v>92</v>
      </c>
      <c r="BV133" s="8" t="s">
        <v>93</v>
      </c>
      <c r="BW133" s="8" t="s">
        <v>92</v>
      </c>
      <c r="BX133" s="8" t="s">
        <v>93</v>
      </c>
      <c r="BY133" s="8" t="s">
        <v>92</v>
      </c>
      <c r="BZ133" s="8" t="s">
        <v>93</v>
      </c>
      <c r="CA133" s="8" t="s">
        <v>92</v>
      </c>
      <c r="CB133" s="20" t="s">
        <v>686</v>
      </c>
      <c r="CC133" s="20" t="s">
        <v>695</v>
      </c>
      <c r="CD133" s="20" t="s">
        <v>690</v>
      </c>
      <c r="CE133" s="20" t="s">
        <v>691</v>
      </c>
      <c r="CF133" s="18"/>
      <c r="CG133" s="18"/>
      <c r="CH133" s="18"/>
    </row>
    <row r="134">
      <c r="A134" s="8"/>
      <c r="B134" s="9" t="s">
        <v>681</v>
      </c>
      <c r="C134" s="10" t="s">
        <v>682</v>
      </c>
      <c r="D134" s="9" t="s">
        <v>87</v>
      </c>
      <c r="E134" s="11" t="s">
        <v>711</v>
      </c>
      <c r="F134" s="12"/>
      <c r="G134" s="9" t="s">
        <v>712</v>
      </c>
      <c r="H134" s="9" t="s">
        <v>110</v>
      </c>
      <c r="I134" s="9" t="s">
        <v>713</v>
      </c>
      <c r="J134" s="14" t="s">
        <v>93</v>
      </c>
      <c r="K134" s="14" t="s">
        <v>92</v>
      </c>
      <c r="L134" s="14" t="s">
        <v>93</v>
      </c>
      <c r="M134" s="14" t="s">
        <v>92</v>
      </c>
      <c r="N134" s="14" t="s">
        <v>92</v>
      </c>
      <c r="O134" s="14" t="s">
        <v>92</v>
      </c>
      <c r="P134" s="14" t="s">
        <v>92</v>
      </c>
      <c r="Q134" s="14" t="s">
        <v>92</v>
      </c>
      <c r="R134" s="14" t="s">
        <v>92</v>
      </c>
      <c r="S134" s="14" t="s">
        <v>93</v>
      </c>
      <c r="T134" s="14" t="s">
        <v>92</v>
      </c>
      <c r="U134" s="14" t="s">
        <v>92</v>
      </c>
      <c r="V134" s="14" t="s">
        <v>92</v>
      </c>
      <c r="W134" s="14" t="s">
        <v>92</v>
      </c>
      <c r="X134" s="14" t="s">
        <v>92</v>
      </c>
      <c r="Y134" s="14" t="s">
        <v>92</v>
      </c>
      <c r="Z134" s="14" t="s">
        <v>93</v>
      </c>
      <c r="AA134" s="14" t="s">
        <v>92</v>
      </c>
      <c r="AB134" s="8" t="s">
        <v>92</v>
      </c>
      <c r="AC134" s="8" t="s">
        <v>93</v>
      </c>
      <c r="AD134" s="8" t="s">
        <v>92</v>
      </c>
      <c r="AE134" s="14" t="s">
        <v>112</v>
      </c>
      <c r="AF134" s="14" t="s">
        <v>92</v>
      </c>
      <c r="AG134" s="14" t="s">
        <v>95</v>
      </c>
      <c r="AH134" s="8" t="s">
        <v>105</v>
      </c>
      <c r="AI134" s="14" t="s">
        <v>93</v>
      </c>
      <c r="AJ134" s="14" t="s">
        <v>93</v>
      </c>
      <c r="AK134" s="14" t="s">
        <v>93</v>
      </c>
      <c r="AL134" s="14" t="s">
        <v>93</v>
      </c>
      <c r="AM134" s="8" t="s">
        <v>95</v>
      </c>
      <c r="AN134" s="14" t="s">
        <v>114</v>
      </c>
      <c r="AO134" s="8" t="s">
        <v>93</v>
      </c>
      <c r="AP134" s="8" t="s">
        <v>92</v>
      </c>
      <c r="AQ134" s="14" t="s">
        <v>92</v>
      </c>
      <c r="AR134" s="14" t="s">
        <v>93</v>
      </c>
      <c r="AS134" s="14" t="s">
        <v>93</v>
      </c>
      <c r="AT134" s="14" t="s">
        <v>93</v>
      </c>
      <c r="AU134" s="14" t="s">
        <v>93</v>
      </c>
      <c r="AV134" s="14" t="s">
        <v>93</v>
      </c>
      <c r="AW134" s="14" t="s">
        <v>93</v>
      </c>
      <c r="AX134" s="14" t="s">
        <v>92</v>
      </c>
      <c r="AY134" s="8" t="s">
        <v>95</v>
      </c>
      <c r="AZ134" s="8" t="s">
        <v>95</v>
      </c>
      <c r="BA134" s="9" t="s">
        <v>681</v>
      </c>
      <c r="BB134" s="8" t="s">
        <v>213</v>
      </c>
      <c r="BC134" s="8" t="s">
        <v>92</v>
      </c>
      <c r="BD134" s="14" t="s">
        <v>93</v>
      </c>
      <c r="BE134" s="14" t="s">
        <v>92</v>
      </c>
      <c r="BF134" s="14" t="s">
        <v>92</v>
      </c>
      <c r="BG134" s="14" t="s">
        <v>92</v>
      </c>
      <c r="BH134" s="14" t="s">
        <v>92</v>
      </c>
      <c r="BI134" s="14" t="s">
        <v>92</v>
      </c>
      <c r="BJ134" s="14" t="s">
        <v>92</v>
      </c>
      <c r="BK134" s="14" t="s">
        <v>105</v>
      </c>
      <c r="BL134" s="14" t="s">
        <v>105</v>
      </c>
      <c r="BM134" s="14" t="s">
        <v>105</v>
      </c>
      <c r="BN134" s="14" t="s">
        <v>105</v>
      </c>
      <c r="BO134" s="14" t="s">
        <v>105</v>
      </c>
      <c r="BP134" s="14" t="s">
        <v>105</v>
      </c>
      <c r="BQ134" s="8" t="s">
        <v>92</v>
      </c>
      <c r="BR134" s="8" t="s">
        <v>92</v>
      </c>
      <c r="BS134" s="8" t="s">
        <v>92</v>
      </c>
      <c r="BT134" s="8" t="s">
        <v>93</v>
      </c>
      <c r="BU134" s="8" t="s">
        <v>92</v>
      </c>
      <c r="BV134" s="8" t="s">
        <v>92</v>
      </c>
      <c r="BW134" s="8" t="s">
        <v>92</v>
      </c>
      <c r="BX134" s="8" t="s">
        <v>92</v>
      </c>
      <c r="BY134" s="8" t="s">
        <v>92</v>
      </c>
      <c r="BZ134" s="8" t="s">
        <v>93</v>
      </c>
      <c r="CA134" s="8" t="s">
        <v>92</v>
      </c>
      <c r="CB134" s="20" t="s">
        <v>686</v>
      </c>
      <c r="CC134" s="20" t="s">
        <v>695</v>
      </c>
      <c r="CD134" s="20" t="s">
        <v>690</v>
      </c>
      <c r="CE134" s="20" t="s">
        <v>691</v>
      </c>
      <c r="CF134" s="18"/>
      <c r="CG134" s="18"/>
      <c r="CH134" s="18"/>
    </row>
    <row r="135">
      <c r="A135" s="8"/>
      <c r="B135" s="9" t="s">
        <v>681</v>
      </c>
      <c r="C135" s="10" t="s">
        <v>682</v>
      </c>
      <c r="D135" s="9" t="s">
        <v>87</v>
      </c>
      <c r="E135" s="11" t="s">
        <v>714</v>
      </c>
      <c r="F135" s="12"/>
      <c r="G135" s="9" t="s">
        <v>715</v>
      </c>
      <c r="H135" s="9" t="s">
        <v>110</v>
      </c>
      <c r="I135" s="9" t="s">
        <v>716</v>
      </c>
      <c r="J135" s="14" t="s">
        <v>93</v>
      </c>
      <c r="K135" s="14" t="s">
        <v>92</v>
      </c>
      <c r="L135" s="14" t="s">
        <v>93</v>
      </c>
      <c r="M135" s="14" t="s">
        <v>92</v>
      </c>
      <c r="N135" s="14" t="s">
        <v>92</v>
      </c>
      <c r="O135" s="14" t="s">
        <v>93</v>
      </c>
      <c r="P135" s="14" t="s">
        <v>92</v>
      </c>
      <c r="Q135" s="14" t="s">
        <v>92</v>
      </c>
      <c r="R135" s="14" t="s">
        <v>92</v>
      </c>
      <c r="S135" s="14" t="s">
        <v>93</v>
      </c>
      <c r="T135" s="14" t="s">
        <v>92</v>
      </c>
      <c r="U135" s="14" t="s">
        <v>92</v>
      </c>
      <c r="V135" s="14" t="s">
        <v>92</v>
      </c>
      <c r="W135" s="14" t="s">
        <v>92</v>
      </c>
      <c r="X135" s="14" t="s">
        <v>92</v>
      </c>
      <c r="Y135" s="14" t="s">
        <v>92</v>
      </c>
      <c r="Z135" s="14" t="s">
        <v>93</v>
      </c>
      <c r="AA135" s="14" t="s">
        <v>93</v>
      </c>
      <c r="AB135" s="8" t="s">
        <v>93</v>
      </c>
      <c r="AC135" s="8" t="s">
        <v>92</v>
      </c>
      <c r="AD135" s="8" t="s">
        <v>92</v>
      </c>
      <c r="AE135" s="14" t="s">
        <v>287</v>
      </c>
      <c r="AF135" s="14" t="s">
        <v>92</v>
      </c>
      <c r="AG135" s="14" t="s">
        <v>95</v>
      </c>
      <c r="AH135" s="8" t="s">
        <v>105</v>
      </c>
      <c r="AI135" s="14" t="s">
        <v>93</v>
      </c>
      <c r="AJ135" s="14" t="s">
        <v>93</v>
      </c>
      <c r="AK135" s="14" t="s">
        <v>93</v>
      </c>
      <c r="AL135" s="14" t="s">
        <v>93</v>
      </c>
      <c r="AM135" s="8" t="s">
        <v>95</v>
      </c>
      <c r="AN135" s="14" t="s">
        <v>114</v>
      </c>
      <c r="AO135" s="8" t="s">
        <v>93</v>
      </c>
      <c r="AP135" s="8" t="s">
        <v>92</v>
      </c>
      <c r="AQ135" s="14" t="s">
        <v>92</v>
      </c>
      <c r="AR135" s="14" t="s">
        <v>93</v>
      </c>
      <c r="AS135" s="14" t="s">
        <v>93</v>
      </c>
      <c r="AT135" s="14" t="s">
        <v>93</v>
      </c>
      <c r="AU135" s="14" t="s">
        <v>93</v>
      </c>
      <c r="AV135" s="14" t="s">
        <v>93</v>
      </c>
      <c r="AW135" s="14" t="s">
        <v>93</v>
      </c>
      <c r="AX135" s="14" t="s">
        <v>92</v>
      </c>
      <c r="AY135" s="8" t="s">
        <v>717</v>
      </c>
      <c r="AZ135" s="8" t="s">
        <v>93</v>
      </c>
      <c r="BA135" s="9" t="s">
        <v>681</v>
      </c>
      <c r="BB135" s="8" t="s">
        <v>213</v>
      </c>
      <c r="BC135" s="8" t="s">
        <v>92</v>
      </c>
      <c r="BD135" s="14" t="s">
        <v>93</v>
      </c>
      <c r="BE135" s="14" t="s">
        <v>92</v>
      </c>
      <c r="BF135" s="14" t="s">
        <v>92</v>
      </c>
      <c r="BG135" s="14" t="s">
        <v>92</v>
      </c>
      <c r="BH135" s="14" t="s">
        <v>92</v>
      </c>
      <c r="BI135" s="14" t="s">
        <v>92</v>
      </c>
      <c r="BJ135" s="14" t="s">
        <v>92</v>
      </c>
      <c r="BK135" s="14" t="s">
        <v>482</v>
      </c>
      <c r="BL135" s="14" t="s">
        <v>92</v>
      </c>
      <c r="BM135" s="14" t="s">
        <v>92</v>
      </c>
      <c r="BN135" s="14" t="s">
        <v>92</v>
      </c>
      <c r="BO135" s="14" t="s">
        <v>93</v>
      </c>
      <c r="BP135" s="14" t="s">
        <v>92</v>
      </c>
      <c r="BQ135" s="8" t="s">
        <v>92</v>
      </c>
      <c r="BR135" s="8" t="s">
        <v>92</v>
      </c>
      <c r="BS135" s="8" t="s">
        <v>93</v>
      </c>
      <c r="BT135" s="8" t="s">
        <v>93</v>
      </c>
      <c r="BU135" s="8" t="s">
        <v>92</v>
      </c>
      <c r="BV135" s="8" t="s">
        <v>92</v>
      </c>
      <c r="BW135" s="8" t="s">
        <v>92</v>
      </c>
      <c r="BX135" s="8" t="s">
        <v>92</v>
      </c>
      <c r="BY135" s="8" t="s">
        <v>92</v>
      </c>
      <c r="BZ135" s="8" t="s">
        <v>93</v>
      </c>
      <c r="CA135" s="8" t="s">
        <v>92</v>
      </c>
      <c r="CB135" s="20" t="s">
        <v>686</v>
      </c>
      <c r="CC135" s="20" t="s">
        <v>695</v>
      </c>
      <c r="CD135" s="20" t="s">
        <v>690</v>
      </c>
      <c r="CE135" s="20" t="s">
        <v>691</v>
      </c>
      <c r="CF135" s="18"/>
      <c r="CG135" s="18"/>
      <c r="CH135" s="18"/>
    </row>
    <row r="136">
      <c r="A136" s="8"/>
      <c r="B136" s="9" t="s">
        <v>681</v>
      </c>
      <c r="C136" s="10" t="s">
        <v>682</v>
      </c>
      <c r="D136" s="9" t="s">
        <v>87</v>
      </c>
      <c r="E136" s="11" t="s">
        <v>718</v>
      </c>
      <c r="F136" s="12"/>
      <c r="G136" s="9" t="s">
        <v>719</v>
      </c>
      <c r="H136" s="9" t="s">
        <v>110</v>
      </c>
      <c r="I136" s="9" t="s">
        <v>720</v>
      </c>
      <c r="J136" s="14" t="s">
        <v>93</v>
      </c>
      <c r="K136" s="14" t="s">
        <v>92</v>
      </c>
      <c r="L136" s="14" t="s">
        <v>93</v>
      </c>
      <c r="M136" s="14" t="s">
        <v>92</v>
      </c>
      <c r="N136" s="14" t="s">
        <v>92</v>
      </c>
      <c r="O136" s="14" t="s">
        <v>92</v>
      </c>
      <c r="P136" s="14" t="s">
        <v>92</v>
      </c>
      <c r="Q136" s="14" t="s">
        <v>92</v>
      </c>
      <c r="R136" s="14" t="s">
        <v>92</v>
      </c>
      <c r="S136" s="14" t="s">
        <v>93</v>
      </c>
      <c r="T136" s="14" t="s">
        <v>92</v>
      </c>
      <c r="U136" s="14" t="s">
        <v>92</v>
      </c>
      <c r="V136" s="14" t="s">
        <v>92</v>
      </c>
      <c r="W136" s="14" t="s">
        <v>92</v>
      </c>
      <c r="X136" s="14" t="s">
        <v>92</v>
      </c>
      <c r="Y136" s="14" t="s">
        <v>92</v>
      </c>
      <c r="Z136" s="14" t="s">
        <v>93</v>
      </c>
      <c r="AA136" s="14" t="s">
        <v>92</v>
      </c>
      <c r="AB136" s="8" t="s">
        <v>93</v>
      </c>
      <c r="AC136" s="8" t="s">
        <v>93</v>
      </c>
      <c r="AD136" s="8" t="s">
        <v>92</v>
      </c>
      <c r="AE136" s="14" t="s">
        <v>287</v>
      </c>
      <c r="AF136" s="14" t="s">
        <v>92</v>
      </c>
      <c r="AG136" s="14" t="s">
        <v>95</v>
      </c>
      <c r="AH136" s="8" t="s">
        <v>105</v>
      </c>
      <c r="AI136" s="14" t="s">
        <v>93</v>
      </c>
      <c r="AJ136" s="14" t="s">
        <v>93</v>
      </c>
      <c r="AK136" s="14" t="s">
        <v>93</v>
      </c>
      <c r="AL136" s="14" t="s">
        <v>93</v>
      </c>
      <c r="AM136" s="8" t="s">
        <v>95</v>
      </c>
      <c r="AN136" s="14" t="s">
        <v>114</v>
      </c>
      <c r="AO136" s="8" t="s">
        <v>93</v>
      </c>
      <c r="AP136" s="8" t="s">
        <v>92</v>
      </c>
      <c r="AQ136" s="14" t="s">
        <v>92</v>
      </c>
      <c r="AR136" s="14" t="s">
        <v>93</v>
      </c>
      <c r="AS136" s="14" t="s">
        <v>93</v>
      </c>
      <c r="AT136" s="14" t="s">
        <v>93</v>
      </c>
      <c r="AU136" s="14" t="s">
        <v>93</v>
      </c>
      <c r="AV136" s="14" t="s">
        <v>93</v>
      </c>
      <c r="AW136" s="14" t="s">
        <v>93</v>
      </c>
      <c r="AX136" s="14" t="s">
        <v>92</v>
      </c>
      <c r="AY136" s="8" t="s">
        <v>95</v>
      </c>
      <c r="AZ136" s="8" t="s">
        <v>95</v>
      </c>
      <c r="BA136" s="9" t="s">
        <v>681</v>
      </c>
      <c r="BB136" s="8" t="s">
        <v>213</v>
      </c>
      <c r="BC136" s="8" t="s">
        <v>92</v>
      </c>
      <c r="BD136" s="14" t="s">
        <v>93</v>
      </c>
      <c r="BE136" s="14" t="s">
        <v>92</v>
      </c>
      <c r="BF136" s="14" t="s">
        <v>92</v>
      </c>
      <c r="BG136" s="14" t="s">
        <v>92</v>
      </c>
      <c r="BH136" s="14" t="s">
        <v>92</v>
      </c>
      <c r="BI136" s="14" t="s">
        <v>92</v>
      </c>
      <c r="BJ136" s="14" t="s">
        <v>92</v>
      </c>
      <c r="BK136" s="14" t="s">
        <v>105</v>
      </c>
      <c r="BL136" s="14" t="s">
        <v>105</v>
      </c>
      <c r="BM136" s="14" t="s">
        <v>105</v>
      </c>
      <c r="BN136" s="14" t="s">
        <v>105</v>
      </c>
      <c r="BO136" s="14" t="s">
        <v>105</v>
      </c>
      <c r="BP136" s="14" t="s">
        <v>105</v>
      </c>
      <c r="BQ136" s="8" t="s">
        <v>92</v>
      </c>
      <c r="BR136" s="8" t="s">
        <v>92</v>
      </c>
      <c r="BS136" s="8" t="s">
        <v>92</v>
      </c>
      <c r="BT136" s="8" t="s">
        <v>93</v>
      </c>
      <c r="BU136" s="8" t="s">
        <v>93</v>
      </c>
      <c r="BV136" s="8" t="s">
        <v>92</v>
      </c>
      <c r="BW136" s="8" t="s">
        <v>92</v>
      </c>
      <c r="BX136" s="8" t="s">
        <v>92</v>
      </c>
      <c r="BY136" s="8" t="s">
        <v>92</v>
      </c>
      <c r="BZ136" s="8" t="s">
        <v>93</v>
      </c>
      <c r="CA136" s="8" t="s">
        <v>92</v>
      </c>
      <c r="CB136" s="20" t="s">
        <v>686</v>
      </c>
      <c r="CC136" s="20" t="s">
        <v>695</v>
      </c>
      <c r="CD136" s="20" t="s">
        <v>690</v>
      </c>
      <c r="CE136" s="20" t="s">
        <v>691</v>
      </c>
      <c r="CF136" s="18"/>
      <c r="CG136" s="18"/>
      <c r="CH136" s="18"/>
    </row>
    <row r="137">
      <c r="A137" s="8"/>
      <c r="B137" s="9" t="s">
        <v>721</v>
      </c>
      <c r="C137" s="10" t="s">
        <v>722</v>
      </c>
      <c r="D137" s="9" t="s">
        <v>87</v>
      </c>
      <c r="E137" s="11" t="s">
        <v>723</v>
      </c>
      <c r="F137" s="54"/>
      <c r="G137" s="9" t="s">
        <v>724</v>
      </c>
      <c r="H137" s="9" t="s">
        <v>90</v>
      </c>
      <c r="I137" s="9" t="s">
        <v>725</v>
      </c>
      <c r="J137" s="14" t="s">
        <v>92</v>
      </c>
      <c r="K137" s="14" t="s">
        <v>92</v>
      </c>
      <c r="L137" s="14" t="s">
        <v>92</v>
      </c>
      <c r="M137" s="14" t="s">
        <v>92</v>
      </c>
      <c r="N137" s="14" t="s">
        <v>92</v>
      </c>
      <c r="O137" s="14" t="s">
        <v>92</v>
      </c>
      <c r="P137" s="14" t="s">
        <v>92</v>
      </c>
      <c r="Q137" s="14" t="s">
        <v>92</v>
      </c>
      <c r="R137" s="14" t="s">
        <v>92</v>
      </c>
      <c r="S137" s="14" t="s">
        <v>92</v>
      </c>
      <c r="T137" s="14" t="s">
        <v>92</v>
      </c>
      <c r="U137" s="14" t="s">
        <v>92</v>
      </c>
      <c r="V137" s="14" t="s">
        <v>92</v>
      </c>
      <c r="W137" s="14" t="s">
        <v>92</v>
      </c>
      <c r="X137" s="14" t="s">
        <v>92</v>
      </c>
      <c r="Y137" s="14" t="s">
        <v>92</v>
      </c>
      <c r="Z137" s="14" t="s">
        <v>93</v>
      </c>
      <c r="AA137" s="14" t="s">
        <v>92</v>
      </c>
      <c r="AB137" s="8" t="s">
        <v>92</v>
      </c>
      <c r="AC137" s="8" t="s">
        <v>93</v>
      </c>
      <c r="AD137" s="8" t="s">
        <v>92</v>
      </c>
      <c r="AE137" s="14" t="s">
        <v>112</v>
      </c>
      <c r="AF137" s="14" t="s">
        <v>92</v>
      </c>
      <c r="AG137" s="14" t="s">
        <v>95</v>
      </c>
      <c r="AH137" s="8" t="s">
        <v>105</v>
      </c>
      <c r="AI137" s="14" t="s">
        <v>93</v>
      </c>
      <c r="AJ137" s="14" t="s">
        <v>93</v>
      </c>
      <c r="AK137" s="14" t="s">
        <v>92</v>
      </c>
      <c r="AL137" s="14" t="s">
        <v>92</v>
      </c>
      <c r="AM137" s="8" t="s">
        <v>105</v>
      </c>
      <c r="AN137" s="14" t="s">
        <v>105</v>
      </c>
      <c r="AO137" s="8" t="s">
        <v>93</v>
      </c>
      <c r="AP137" s="8" t="s">
        <v>92</v>
      </c>
      <c r="AQ137" s="14" t="s">
        <v>92</v>
      </c>
      <c r="AR137" s="14" t="s">
        <v>93</v>
      </c>
      <c r="AS137" s="14" t="s">
        <v>92</v>
      </c>
      <c r="AT137" s="14" t="s">
        <v>93</v>
      </c>
      <c r="AU137" s="14" t="s">
        <v>93</v>
      </c>
      <c r="AV137" s="14" t="s">
        <v>93</v>
      </c>
      <c r="AW137" s="14" t="s">
        <v>93</v>
      </c>
      <c r="AX137" s="14" t="s">
        <v>92</v>
      </c>
      <c r="AY137" s="8" t="s">
        <v>95</v>
      </c>
      <c r="AZ137" s="8" t="s">
        <v>95</v>
      </c>
      <c r="BA137" s="9" t="s">
        <v>721</v>
      </c>
      <c r="BB137" s="8" t="s">
        <v>213</v>
      </c>
      <c r="BC137" s="8" t="s">
        <v>92</v>
      </c>
      <c r="BD137" s="14" t="s">
        <v>92</v>
      </c>
      <c r="BE137" s="14" t="s">
        <v>92</v>
      </c>
      <c r="BF137" s="14" t="s">
        <v>92</v>
      </c>
      <c r="BG137" s="14" t="s">
        <v>92</v>
      </c>
      <c r="BH137" s="14" t="s">
        <v>92</v>
      </c>
      <c r="BI137" s="14" t="s">
        <v>92</v>
      </c>
      <c r="BJ137" s="14" t="s">
        <v>92</v>
      </c>
      <c r="BK137" s="14" t="s">
        <v>332</v>
      </c>
      <c r="BL137" s="14" t="s">
        <v>92</v>
      </c>
      <c r="BM137" s="14" t="s">
        <v>92</v>
      </c>
      <c r="BN137" s="14" t="s">
        <v>92</v>
      </c>
      <c r="BO137" s="14" t="s">
        <v>93</v>
      </c>
      <c r="BP137" s="14" t="s">
        <v>92</v>
      </c>
      <c r="BQ137" s="8" t="s">
        <v>92</v>
      </c>
      <c r="BR137" s="8" t="s">
        <v>92</v>
      </c>
      <c r="BS137" s="8" t="s">
        <v>92</v>
      </c>
      <c r="BT137" s="8" t="s">
        <v>93</v>
      </c>
      <c r="BU137" s="8" t="s">
        <v>92</v>
      </c>
      <c r="BV137" s="8" t="s">
        <v>93</v>
      </c>
      <c r="BW137" s="8" t="s">
        <v>92</v>
      </c>
      <c r="BX137" s="8" t="s">
        <v>93</v>
      </c>
      <c r="BY137" s="8" t="s">
        <v>93</v>
      </c>
      <c r="BZ137" s="8" t="s">
        <v>92</v>
      </c>
      <c r="CA137" s="8" t="s">
        <v>92</v>
      </c>
      <c r="CB137" s="20" t="s">
        <v>454</v>
      </c>
      <c r="CC137" s="20" t="s">
        <v>455</v>
      </c>
      <c r="CD137" s="18"/>
      <c r="CE137" s="18"/>
      <c r="CF137" s="18"/>
      <c r="CG137" s="18"/>
      <c r="CH137" s="18"/>
    </row>
    <row r="138">
      <c r="A138" s="8"/>
      <c r="B138" s="9" t="s">
        <v>721</v>
      </c>
      <c r="C138" s="10" t="s">
        <v>722</v>
      </c>
      <c r="D138" s="9" t="s">
        <v>87</v>
      </c>
      <c r="E138" s="11" t="s">
        <v>726</v>
      </c>
      <c r="F138" s="54"/>
      <c r="G138" s="9" t="s">
        <v>727</v>
      </c>
      <c r="H138" s="9" t="s">
        <v>90</v>
      </c>
      <c r="I138" s="9" t="s">
        <v>728</v>
      </c>
      <c r="J138" s="14" t="s">
        <v>92</v>
      </c>
      <c r="K138" s="14" t="s">
        <v>92</v>
      </c>
      <c r="L138" s="14" t="s">
        <v>92</v>
      </c>
      <c r="M138" s="14" t="s">
        <v>93</v>
      </c>
      <c r="N138" s="14" t="s">
        <v>92</v>
      </c>
      <c r="O138" s="14" t="s">
        <v>92</v>
      </c>
      <c r="P138" s="14" t="s">
        <v>92</v>
      </c>
      <c r="Q138" s="14" t="s">
        <v>92</v>
      </c>
      <c r="R138" s="14" t="s">
        <v>93</v>
      </c>
      <c r="S138" s="14" t="s">
        <v>93</v>
      </c>
      <c r="T138" s="14" t="s">
        <v>92</v>
      </c>
      <c r="U138" s="14" t="s">
        <v>92</v>
      </c>
      <c r="V138" s="14" t="s">
        <v>92</v>
      </c>
      <c r="W138" s="14" t="s">
        <v>92</v>
      </c>
      <c r="X138" s="14" t="s">
        <v>92</v>
      </c>
      <c r="Y138" s="14" t="s">
        <v>92</v>
      </c>
      <c r="Z138" s="14" t="s">
        <v>92</v>
      </c>
      <c r="AA138" s="14" t="s">
        <v>92</v>
      </c>
      <c r="AB138" s="8" t="s">
        <v>93</v>
      </c>
      <c r="AC138" s="8" t="s">
        <v>92</v>
      </c>
      <c r="AD138" s="8" t="s">
        <v>92</v>
      </c>
      <c r="AE138" s="14" t="s">
        <v>287</v>
      </c>
      <c r="AF138" s="14" t="s">
        <v>92</v>
      </c>
      <c r="AG138" s="14" t="s">
        <v>95</v>
      </c>
      <c r="AH138" s="8" t="s">
        <v>105</v>
      </c>
      <c r="AI138" s="14" t="s">
        <v>92</v>
      </c>
      <c r="AJ138" s="14" t="s">
        <v>92</v>
      </c>
      <c r="AK138" s="14" t="s">
        <v>93</v>
      </c>
      <c r="AL138" s="14" t="s">
        <v>92</v>
      </c>
      <c r="AM138" s="8" t="s">
        <v>105</v>
      </c>
      <c r="AN138" s="14" t="s">
        <v>105</v>
      </c>
      <c r="AO138" s="8" t="s">
        <v>105</v>
      </c>
      <c r="AP138" s="8" t="s">
        <v>92</v>
      </c>
      <c r="AQ138" s="14" t="s">
        <v>92</v>
      </c>
      <c r="AR138" s="14" t="s">
        <v>93</v>
      </c>
      <c r="AS138" s="14" t="s">
        <v>92</v>
      </c>
      <c r="AT138" s="14" t="s">
        <v>93</v>
      </c>
      <c r="AU138" s="14" t="s">
        <v>93</v>
      </c>
      <c r="AV138" s="14" t="s">
        <v>93</v>
      </c>
      <c r="AW138" s="14" t="s">
        <v>93</v>
      </c>
      <c r="AX138" s="14" t="s">
        <v>92</v>
      </c>
      <c r="AY138" s="8" t="s">
        <v>95</v>
      </c>
      <c r="AZ138" s="8" t="s">
        <v>95</v>
      </c>
      <c r="BA138" s="9" t="s">
        <v>721</v>
      </c>
      <c r="BB138" s="8" t="s">
        <v>213</v>
      </c>
      <c r="BC138" s="8" t="s">
        <v>92</v>
      </c>
      <c r="BD138" s="14" t="s">
        <v>93</v>
      </c>
      <c r="BE138" s="14" t="s">
        <v>92</v>
      </c>
      <c r="BF138" s="14" t="s">
        <v>92</v>
      </c>
      <c r="BG138" s="14" t="s">
        <v>92</v>
      </c>
      <c r="BH138" s="14" t="s">
        <v>92</v>
      </c>
      <c r="BI138" s="14" t="s">
        <v>93</v>
      </c>
      <c r="BJ138" s="14" t="s">
        <v>92</v>
      </c>
      <c r="BK138" s="14" t="s">
        <v>332</v>
      </c>
      <c r="BL138" s="14" t="s">
        <v>92</v>
      </c>
      <c r="BM138" s="14" t="s">
        <v>92</v>
      </c>
      <c r="BN138" s="14" t="s">
        <v>92</v>
      </c>
      <c r="BO138" s="14" t="s">
        <v>93</v>
      </c>
      <c r="BP138" s="14" t="s">
        <v>92</v>
      </c>
      <c r="BQ138" s="8" t="s">
        <v>93</v>
      </c>
      <c r="BR138" s="8" t="s">
        <v>92</v>
      </c>
      <c r="BS138" s="8" t="s">
        <v>92</v>
      </c>
      <c r="BT138" s="8" t="s">
        <v>92</v>
      </c>
      <c r="BU138" s="8" t="s">
        <v>92</v>
      </c>
      <c r="BV138" s="8" t="s">
        <v>92</v>
      </c>
      <c r="BW138" s="8" t="s">
        <v>92</v>
      </c>
      <c r="BX138" s="8" t="s">
        <v>92</v>
      </c>
      <c r="BY138" s="8" t="s">
        <v>92</v>
      </c>
      <c r="BZ138" s="8" t="s">
        <v>92</v>
      </c>
      <c r="CA138" s="8" t="s">
        <v>92</v>
      </c>
      <c r="CB138" s="20" t="s">
        <v>456</v>
      </c>
      <c r="CC138" s="17"/>
      <c r="CD138" s="18"/>
      <c r="CE138" s="18"/>
      <c r="CF138" s="18"/>
      <c r="CG138" s="18"/>
      <c r="CH138" s="18"/>
    </row>
    <row r="139">
      <c r="A139" s="8"/>
      <c r="B139" s="9" t="s">
        <v>729</v>
      </c>
      <c r="C139" s="10" t="s">
        <v>730</v>
      </c>
      <c r="D139" s="9" t="s">
        <v>87</v>
      </c>
      <c r="E139" s="11" t="s">
        <v>731</v>
      </c>
      <c r="F139" s="10" t="s">
        <v>187</v>
      </c>
      <c r="G139" s="9" t="s">
        <v>188</v>
      </c>
      <c r="H139" s="14" t="s">
        <v>189</v>
      </c>
      <c r="I139" s="9" t="s">
        <v>732</v>
      </c>
      <c r="J139" s="14" t="s">
        <v>92</v>
      </c>
      <c r="K139" s="14" t="s">
        <v>92</v>
      </c>
      <c r="L139" s="14" t="s">
        <v>92</v>
      </c>
      <c r="M139" s="14" t="s">
        <v>93</v>
      </c>
      <c r="N139" s="14" t="s">
        <v>92</v>
      </c>
      <c r="O139" s="14" t="s">
        <v>92</v>
      </c>
      <c r="P139" s="14" t="s">
        <v>92</v>
      </c>
      <c r="Q139" s="14" t="s">
        <v>93</v>
      </c>
      <c r="R139" s="14" t="s">
        <v>92</v>
      </c>
      <c r="S139" s="14" t="s">
        <v>92</v>
      </c>
      <c r="T139" s="14" t="s">
        <v>92</v>
      </c>
      <c r="U139" s="14" t="s">
        <v>93</v>
      </c>
      <c r="V139" s="14" t="s">
        <v>92</v>
      </c>
      <c r="W139" s="14" t="s">
        <v>92</v>
      </c>
      <c r="X139" s="14" t="s">
        <v>92</v>
      </c>
      <c r="Y139" s="14" t="s">
        <v>92</v>
      </c>
      <c r="Z139" s="14" t="s">
        <v>92</v>
      </c>
      <c r="AA139" s="14" t="s">
        <v>92</v>
      </c>
      <c r="AB139" s="8" t="s">
        <v>93</v>
      </c>
      <c r="AC139" s="8" t="s">
        <v>92</v>
      </c>
      <c r="AD139" s="8" t="s">
        <v>92</v>
      </c>
      <c r="AE139" s="14" t="s">
        <v>94</v>
      </c>
      <c r="AF139" s="14" t="s">
        <v>92</v>
      </c>
      <c r="AG139" s="14" t="s">
        <v>95</v>
      </c>
      <c r="AH139" s="8" t="s">
        <v>105</v>
      </c>
      <c r="AI139" s="14" t="s">
        <v>93</v>
      </c>
      <c r="AJ139" s="14" t="s">
        <v>93</v>
      </c>
      <c r="AK139" s="14" t="s">
        <v>93</v>
      </c>
      <c r="AL139" s="14" t="s">
        <v>93</v>
      </c>
      <c r="AM139" s="8" t="s">
        <v>95</v>
      </c>
      <c r="AN139" s="14" t="s">
        <v>114</v>
      </c>
      <c r="AO139" s="8" t="s">
        <v>93</v>
      </c>
      <c r="AP139" s="8" t="s">
        <v>92</v>
      </c>
      <c r="AQ139" s="14" t="s">
        <v>93</v>
      </c>
      <c r="AR139" s="14" t="s">
        <v>93</v>
      </c>
      <c r="AS139" s="14" t="s">
        <v>93</v>
      </c>
      <c r="AT139" s="14" t="s">
        <v>93</v>
      </c>
      <c r="AU139" s="14" t="s">
        <v>93</v>
      </c>
      <c r="AV139" s="14" t="s">
        <v>93</v>
      </c>
      <c r="AW139" s="14" t="s">
        <v>92</v>
      </c>
      <c r="AX139" s="14" t="s">
        <v>92</v>
      </c>
      <c r="AY139" s="8" t="s">
        <v>733</v>
      </c>
      <c r="AZ139" s="8" t="s">
        <v>92</v>
      </c>
      <c r="BA139" s="9" t="s">
        <v>729</v>
      </c>
      <c r="BB139" s="8" t="s">
        <v>155</v>
      </c>
      <c r="BC139" s="8" t="s">
        <v>92</v>
      </c>
      <c r="BD139" s="14" t="s">
        <v>92</v>
      </c>
      <c r="BE139" s="14" t="s">
        <v>92</v>
      </c>
      <c r="BF139" s="14" t="s">
        <v>92</v>
      </c>
      <c r="BG139" s="14" t="s">
        <v>92</v>
      </c>
      <c r="BH139" s="14" t="s">
        <v>92</v>
      </c>
      <c r="BI139" s="14" t="s">
        <v>93</v>
      </c>
      <c r="BJ139" s="14" t="s">
        <v>92</v>
      </c>
      <c r="BK139" s="14" t="s">
        <v>332</v>
      </c>
      <c r="BL139" s="14" t="s">
        <v>92</v>
      </c>
      <c r="BM139" s="14" t="s">
        <v>92</v>
      </c>
      <c r="BN139" s="14" t="s">
        <v>92</v>
      </c>
      <c r="BO139" s="14" t="s">
        <v>93</v>
      </c>
      <c r="BP139" s="14" t="s">
        <v>92</v>
      </c>
      <c r="BQ139" s="8" t="s">
        <v>93</v>
      </c>
      <c r="BR139" s="8" t="s">
        <v>92</v>
      </c>
      <c r="BS139" s="8" t="s">
        <v>92</v>
      </c>
      <c r="BT139" s="8" t="s">
        <v>92</v>
      </c>
      <c r="BU139" s="8" t="s">
        <v>92</v>
      </c>
      <c r="BV139" s="8" t="s">
        <v>92</v>
      </c>
      <c r="BW139" s="8" t="s">
        <v>92</v>
      </c>
      <c r="BX139" s="8" t="s">
        <v>92</v>
      </c>
      <c r="BY139" s="8" t="s">
        <v>92</v>
      </c>
      <c r="BZ139" s="8" t="s">
        <v>92</v>
      </c>
      <c r="CA139" s="8" t="s">
        <v>92</v>
      </c>
      <c r="CB139" s="20" t="s">
        <v>454</v>
      </c>
      <c r="CC139" s="17"/>
      <c r="CD139" s="18"/>
      <c r="CE139" s="18"/>
      <c r="CF139" s="18"/>
      <c r="CG139" s="18"/>
      <c r="CH139" s="18"/>
    </row>
    <row r="140">
      <c r="A140" s="8"/>
      <c r="B140" s="9" t="s">
        <v>729</v>
      </c>
      <c r="C140" s="10" t="s">
        <v>730</v>
      </c>
      <c r="D140" s="9" t="s">
        <v>87</v>
      </c>
      <c r="E140" s="11" t="s">
        <v>734</v>
      </c>
      <c r="F140" s="54"/>
      <c r="G140" s="9" t="s">
        <v>735</v>
      </c>
      <c r="H140" s="9" t="s">
        <v>90</v>
      </c>
      <c r="I140" s="9" t="s">
        <v>736</v>
      </c>
      <c r="J140" s="14" t="s">
        <v>92</v>
      </c>
      <c r="K140" s="14" t="s">
        <v>92</v>
      </c>
      <c r="L140" s="14" t="s">
        <v>93</v>
      </c>
      <c r="M140" s="14" t="s">
        <v>93</v>
      </c>
      <c r="N140" s="14" t="s">
        <v>92</v>
      </c>
      <c r="O140" s="14" t="s">
        <v>92</v>
      </c>
      <c r="P140" s="14" t="s">
        <v>92</v>
      </c>
      <c r="Q140" s="14" t="s">
        <v>92</v>
      </c>
      <c r="R140" s="14" t="s">
        <v>92</v>
      </c>
      <c r="S140" s="14" t="s">
        <v>92</v>
      </c>
      <c r="T140" s="14" t="s">
        <v>92</v>
      </c>
      <c r="U140" s="14" t="s">
        <v>93</v>
      </c>
      <c r="V140" s="14" t="s">
        <v>92</v>
      </c>
      <c r="W140" s="14" t="s">
        <v>92</v>
      </c>
      <c r="X140" s="14" t="s">
        <v>92</v>
      </c>
      <c r="Y140" s="14" t="s">
        <v>92</v>
      </c>
      <c r="Z140" s="14" t="s">
        <v>92</v>
      </c>
      <c r="AA140" s="14" t="s">
        <v>92</v>
      </c>
      <c r="AB140" s="8" t="s">
        <v>93</v>
      </c>
      <c r="AC140" s="8" t="s">
        <v>92</v>
      </c>
      <c r="AD140" s="8" t="s">
        <v>92</v>
      </c>
      <c r="AE140" s="14" t="s">
        <v>94</v>
      </c>
      <c r="AF140" s="14" t="s">
        <v>92</v>
      </c>
      <c r="AG140" s="14" t="s">
        <v>95</v>
      </c>
      <c r="AH140" s="8" t="s">
        <v>105</v>
      </c>
      <c r="AI140" s="14" t="s">
        <v>92</v>
      </c>
      <c r="AJ140" s="14" t="s">
        <v>93</v>
      </c>
      <c r="AK140" s="14" t="s">
        <v>93</v>
      </c>
      <c r="AL140" s="14" t="s">
        <v>93</v>
      </c>
      <c r="AM140" s="8" t="s">
        <v>95</v>
      </c>
      <c r="AN140" s="14" t="s">
        <v>114</v>
      </c>
      <c r="AO140" s="8" t="s">
        <v>93</v>
      </c>
      <c r="AP140" s="8" t="s">
        <v>92</v>
      </c>
      <c r="AQ140" s="14" t="s">
        <v>93</v>
      </c>
      <c r="AR140" s="14" t="s">
        <v>93</v>
      </c>
      <c r="AS140" s="14" t="s">
        <v>93</v>
      </c>
      <c r="AT140" s="14" t="s">
        <v>93</v>
      </c>
      <c r="AU140" s="14" t="s">
        <v>93</v>
      </c>
      <c r="AV140" s="14" t="s">
        <v>93</v>
      </c>
      <c r="AW140" s="14" t="s">
        <v>92</v>
      </c>
      <c r="AX140" s="14" t="s">
        <v>92</v>
      </c>
      <c r="AY140" s="8" t="s">
        <v>95</v>
      </c>
      <c r="AZ140" s="8" t="s">
        <v>95</v>
      </c>
      <c r="BA140" s="9" t="s">
        <v>729</v>
      </c>
      <c r="BB140" s="8" t="s">
        <v>155</v>
      </c>
      <c r="BC140" s="8" t="s">
        <v>92</v>
      </c>
      <c r="BD140" s="14" t="s">
        <v>92</v>
      </c>
      <c r="BE140" s="14" t="s">
        <v>92</v>
      </c>
      <c r="BF140" s="14" t="s">
        <v>92</v>
      </c>
      <c r="BG140" s="14" t="s">
        <v>92</v>
      </c>
      <c r="BH140" s="14" t="s">
        <v>92</v>
      </c>
      <c r="BI140" s="14" t="s">
        <v>93</v>
      </c>
      <c r="BJ140" s="14" t="s">
        <v>92</v>
      </c>
      <c r="BK140" s="14" t="s">
        <v>332</v>
      </c>
      <c r="BL140" s="14" t="s">
        <v>92</v>
      </c>
      <c r="BM140" s="14" t="s">
        <v>92</v>
      </c>
      <c r="BN140" s="14" t="s">
        <v>92</v>
      </c>
      <c r="BO140" s="14" t="s">
        <v>93</v>
      </c>
      <c r="BP140" s="14" t="s">
        <v>92</v>
      </c>
      <c r="BQ140" s="8" t="s">
        <v>93</v>
      </c>
      <c r="BR140" s="8" t="s">
        <v>92</v>
      </c>
      <c r="BS140" s="8" t="s">
        <v>92</v>
      </c>
      <c r="BT140" s="8" t="s">
        <v>92</v>
      </c>
      <c r="BU140" s="8" t="s">
        <v>92</v>
      </c>
      <c r="BV140" s="8" t="s">
        <v>92</v>
      </c>
      <c r="BW140" s="8" t="s">
        <v>92</v>
      </c>
      <c r="BX140" s="8" t="s">
        <v>92</v>
      </c>
      <c r="BY140" s="8" t="s">
        <v>92</v>
      </c>
      <c r="BZ140" s="8" t="s">
        <v>92</v>
      </c>
      <c r="CA140" s="8" t="s">
        <v>92</v>
      </c>
      <c r="CB140" s="20" t="s">
        <v>455</v>
      </c>
      <c r="CC140" s="20" t="s">
        <v>456</v>
      </c>
      <c r="CD140" s="20" t="s">
        <v>442</v>
      </c>
      <c r="CE140" s="18"/>
      <c r="CF140" s="18"/>
      <c r="CG140" s="18"/>
      <c r="CH140" s="18"/>
    </row>
    <row r="141">
      <c r="A141" s="8"/>
      <c r="B141" s="16" t="s">
        <v>737</v>
      </c>
      <c r="C141" s="10" t="s">
        <v>738</v>
      </c>
      <c r="D141" s="9" t="s">
        <v>87</v>
      </c>
      <c r="E141" s="11" t="s">
        <v>739</v>
      </c>
      <c r="F141" s="12"/>
      <c r="G141" s="13" t="s">
        <v>740</v>
      </c>
      <c r="H141" s="13" t="s">
        <v>90</v>
      </c>
      <c r="I141" s="13" t="s">
        <v>741</v>
      </c>
      <c r="J141" s="13" t="s">
        <v>92</v>
      </c>
      <c r="K141" s="14" t="s">
        <v>92</v>
      </c>
      <c r="L141" s="14" t="s">
        <v>93</v>
      </c>
      <c r="M141" s="14" t="s">
        <v>92</v>
      </c>
      <c r="N141" s="14" t="s">
        <v>92</v>
      </c>
      <c r="O141" s="13" t="s">
        <v>92</v>
      </c>
      <c r="P141" s="14" t="s">
        <v>92</v>
      </c>
      <c r="Q141" s="13" t="s">
        <v>92</v>
      </c>
      <c r="R141" s="13" t="s">
        <v>92</v>
      </c>
      <c r="S141" s="14" t="s">
        <v>93</v>
      </c>
      <c r="T141" s="13" t="s">
        <v>92</v>
      </c>
      <c r="U141" s="13" t="s">
        <v>92</v>
      </c>
      <c r="V141" s="13" t="s">
        <v>92</v>
      </c>
      <c r="W141" s="13" t="s">
        <v>92</v>
      </c>
      <c r="X141" s="13" t="s">
        <v>92</v>
      </c>
      <c r="Y141" s="13" t="s">
        <v>92</v>
      </c>
      <c r="Z141" s="14" t="s">
        <v>92</v>
      </c>
      <c r="AA141" s="14" t="s">
        <v>92</v>
      </c>
      <c r="AB141" s="8" t="s">
        <v>93</v>
      </c>
      <c r="AC141" s="15" t="s">
        <v>92</v>
      </c>
      <c r="AD141" s="15" t="s">
        <v>92</v>
      </c>
      <c r="AE141" s="14" t="s">
        <v>103</v>
      </c>
      <c r="AF141" s="14" t="s">
        <v>93</v>
      </c>
      <c r="AG141" s="14" t="s">
        <v>742</v>
      </c>
      <c r="AH141" s="15">
        <v>2020.0</v>
      </c>
      <c r="AI141" s="13" t="s">
        <v>93</v>
      </c>
      <c r="AJ141" s="13" t="s">
        <v>92</v>
      </c>
      <c r="AK141" s="13" t="s">
        <v>93</v>
      </c>
      <c r="AL141" s="13" t="s">
        <v>93</v>
      </c>
      <c r="AM141" s="15" t="s">
        <v>95</v>
      </c>
      <c r="AN141" s="13" t="s">
        <v>114</v>
      </c>
      <c r="AO141" s="15" t="s">
        <v>93</v>
      </c>
      <c r="AP141" s="15" t="s">
        <v>92</v>
      </c>
      <c r="AQ141" s="13" t="s">
        <v>93</v>
      </c>
      <c r="AR141" s="13" t="s">
        <v>92</v>
      </c>
      <c r="AS141" s="13" t="s">
        <v>93</v>
      </c>
      <c r="AT141" s="13" t="s">
        <v>93</v>
      </c>
      <c r="AU141" s="13" t="s">
        <v>93</v>
      </c>
      <c r="AV141" s="13" t="s">
        <v>93</v>
      </c>
      <c r="AW141" s="13" t="s">
        <v>93</v>
      </c>
      <c r="AX141" s="13" t="s">
        <v>92</v>
      </c>
      <c r="AY141" s="15" t="s">
        <v>441</v>
      </c>
      <c r="AZ141" s="15" t="s">
        <v>95</v>
      </c>
      <c r="BA141" s="16" t="s">
        <v>743</v>
      </c>
      <c r="BB141" s="8" t="s">
        <v>155</v>
      </c>
      <c r="BC141" s="15" t="s">
        <v>92</v>
      </c>
      <c r="BD141" s="14" t="s">
        <v>93</v>
      </c>
      <c r="BE141" s="13" t="s">
        <v>92</v>
      </c>
      <c r="BF141" s="13" t="s">
        <v>92</v>
      </c>
      <c r="BG141" s="13" t="s">
        <v>92</v>
      </c>
      <c r="BH141" s="13" t="s">
        <v>92</v>
      </c>
      <c r="BI141" s="14" t="s">
        <v>92</v>
      </c>
      <c r="BJ141" s="13" t="s">
        <v>92</v>
      </c>
      <c r="BK141" s="14" t="s">
        <v>156</v>
      </c>
      <c r="BL141" s="13" t="s">
        <v>92</v>
      </c>
      <c r="BM141" s="13" t="s">
        <v>92</v>
      </c>
      <c r="BN141" s="13" t="s">
        <v>92</v>
      </c>
      <c r="BO141" s="13" t="s">
        <v>92</v>
      </c>
      <c r="BP141" s="13" t="s">
        <v>93</v>
      </c>
      <c r="BQ141" s="15" t="s">
        <v>92</v>
      </c>
      <c r="BR141" s="15" t="s">
        <v>92</v>
      </c>
      <c r="BS141" s="15" t="s">
        <v>93</v>
      </c>
      <c r="BT141" s="15" t="s">
        <v>92</v>
      </c>
      <c r="BU141" s="15" t="s">
        <v>92</v>
      </c>
      <c r="BV141" s="15" t="s">
        <v>92</v>
      </c>
      <c r="BW141" s="15" t="s">
        <v>92</v>
      </c>
      <c r="BX141" s="15" t="s">
        <v>92</v>
      </c>
      <c r="BY141" s="15" t="s">
        <v>92</v>
      </c>
      <c r="BZ141" s="15" t="s">
        <v>93</v>
      </c>
      <c r="CA141" s="15" t="s">
        <v>92</v>
      </c>
      <c r="CB141" s="17" t="s">
        <v>178</v>
      </c>
      <c r="CC141" s="17" t="s">
        <v>116</v>
      </c>
      <c r="CD141" s="17" t="s">
        <v>106</v>
      </c>
      <c r="CE141" s="18"/>
      <c r="CF141" s="18"/>
      <c r="CG141" s="18"/>
      <c r="CH141" s="18"/>
    </row>
    <row r="142">
      <c r="A142" s="8"/>
      <c r="B142" s="27" t="s">
        <v>737</v>
      </c>
      <c r="C142" s="10" t="s">
        <v>738</v>
      </c>
      <c r="D142" s="9" t="s">
        <v>87</v>
      </c>
      <c r="E142" s="11" t="s">
        <v>744</v>
      </c>
      <c r="F142" s="12"/>
      <c r="G142" s="13" t="s">
        <v>745</v>
      </c>
      <c r="H142" s="13" t="s">
        <v>90</v>
      </c>
      <c r="I142" s="13" t="s">
        <v>746</v>
      </c>
      <c r="J142" s="13" t="s">
        <v>92</v>
      </c>
      <c r="K142" s="14" t="s">
        <v>92</v>
      </c>
      <c r="L142" s="14" t="s">
        <v>92</v>
      </c>
      <c r="M142" s="14" t="s">
        <v>93</v>
      </c>
      <c r="N142" s="14" t="s">
        <v>92</v>
      </c>
      <c r="O142" s="13" t="s">
        <v>92</v>
      </c>
      <c r="P142" s="14" t="s">
        <v>93</v>
      </c>
      <c r="Q142" s="13" t="s">
        <v>93</v>
      </c>
      <c r="R142" s="13" t="s">
        <v>92</v>
      </c>
      <c r="S142" s="13" t="s">
        <v>92</v>
      </c>
      <c r="T142" s="13" t="s">
        <v>92</v>
      </c>
      <c r="U142" s="13" t="s">
        <v>93</v>
      </c>
      <c r="V142" s="13" t="s">
        <v>92</v>
      </c>
      <c r="W142" s="13" t="s">
        <v>92</v>
      </c>
      <c r="X142" s="13" t="s">
        <v>92</v>
      </c>
      <c r="Y142" s="13" t="s">
        <v>92</v>
      </c>
      <c r="Z142" s="13" t="s">
        <v>92</v>
      </c>
      <c r="AA142" s="14" t="s">
        <v>92</v>
      </c>
      <c r="AB142" s="15" t="s">
        <v>93</v>
      </c>
      <c r="AC142" s="15" t="s">
        <v>92</v>
      </c>
      <c r="AD142" s="15" t="s">
        <v>92</v>
      </c>
      <c r="AE142" s="13" t="s">
        <v>94</v>
      </c>
      <c r="AF142" s="13" t="s">
        <v>92</v>
      </c>
      <c r="AG142" s="13" t="s">
        <v>95</v>
      </c>
      <c r="AH142" s="15">
        <v>2022.0</v>
      </c>
      <c r="AI142" s="13" t="s">
        <v>92</v>
      </c>
      <c r="AJ142" s="13" t="s">
        <v>92</v>
      </c>
      <c r="AK142" s="13" t="s">
        <v>93</v>
      </c>
      <c r="AL142" s="13" t="s">
        <v>93</v>
      </c>
      <c r="AM142" s="15" t="s">
        <v>95</v>
      </c>
      <c r="AN142" s="13" t="s">
        <v>114</v>
      </c>
      <c r="AO142" s="15" t="s">
        <v>93</v>
      </c>
      <c r="AP142" s="15" t="s">
        <v>92</v>
      </c>
      <c r="AQ142" s="13" t="s">
        <v>93</v>
      </c>
      <c r="AR142" s="13" t="s">
        <v>92</v>
      </c>
      <c r="AS142" s="13" t="s">
        <v>93</v>
      </c>
      <c r="AT142" s="13" t="s">
        <v>93</v>
      </c>
      <c r="AU142" s="13" t="s">
        <v>93</v>
      </c>
      <c r="AV142" s="13" t="s">
        <v>93</v>
      </c>
      <c r="AW142" s="13" t="s">
        <v>93</v>
      </c>
      <c r="AX142" s="13" t="s">
        <v>92</v>
      </c>
      <c r="AY142" s="15" t="s">
        <v>441</v>
      </c>
      <c r="AZ142" s="15" t="s">
        <v>95</v>
      </c>
      <c r="BA142" s="16" t="s">
        <v>747</v>
      </c>
      <c r="BB142" s="8" t="s">
        <v>95</v>
      </c>
      <c r="BC142" s="15" t="s">
        <v>93</v>
      </c>
      <c r="BD142" s="13" t="s">
        <v>92</v>
      </c>
      <c r="BE142" s="13" t="s">
        <v>92</v>
      </c>
      <c r="BF142" s="13" t="s">
        <v>92</v>
      </c>
      <c r="BG142" s="13" t="s">
        <v>92</v>
      </c>
      <c r="BH142" s="13" t="s">
        <v>92</v>
      </c>
      <c r="BI142" s="13" t="s">
        <v>93</v>
      </c>
      <c r="BJ142" s="13" t="s">
        <v>92</v>
      </c>
      <c r="BK142" s="14" t="s">
        <v>156</v>
      </c>
      <c r="BL142" s="13" t="s">
        <v>92</v>
      </c>
      <c r="BM142" s="13" t="s">
        <v>92</v>
      </c>
      <c r="BN142" s="13" t="s">
        <v>92</v>
      </c>
      <c r="BO142" s="13" t="s">
        <v>92</v>
      </c>
      <c r="BP142" s="13" t="s">
        <v>93</v>
      </c>
      <c r="BQ142" s="15" t="s">
        <v>93</v>
      </c>
      <c r="BR142" s="15" t="s">
        <v>92</v>
      </c>
      <c r="BS142" s="15" t="s">
        <v>92</v>
      </c>
      <c r="BT142" s="15" t="s">
        <v>92</v>
      </c>
      <c r="BU142" s="15" t="s">
        <v>92</v>
      </c>
      <c r="BV142" s="15" t="s">
        <v>92</v>
      </c>
      <c r="BW142" s="15" t="s">
        <v>92</v>
      </c>
      <c r="BX142" s="15" t="s">
        <v>92</v>
      </c>
      <c r="BY142" s="15" t="s">
        <v>92</v>
      </c>
      <c r="BZ142" s="15" t="s">
        <v>92</v>
      </c>
      <c r="CA142" s="15" t="s">
        <v>92</v>
      </c>
      <c r="CB142" s="17" t="s">
        <v>106</v>
      </c>
      <c r="CC142" s="17" t="s">
        <v>116</v>
      </c>
      <c r="CD142" s="18"/>
      <c r="CE142" s="18"/>
      <c r="CF142" s="18"/>
      <c r="CG142" s="18"/>
      <c r="CH142" s="18"/>
    </row>
    <row r="143">
      <c r="A143" s="8"/>
      <c r="B143" s="16" t="s">
        <v>737</v>
      </c>
      <c r="C143" s="10" t="s">
        <v>738</v>
      </c>
      <c r="D143" s="9" t="s">
        <v>87</v>
      </c>
      <c r="E143" s="11" t="s">
        <v>748</v>
      </c>
      <c r="F143" s="12"/>
      <c r="G143" s="14" t="s">
        <v>749</v>
      </c>
      <c r="H143" s="14" t="s">
        <v>90</v>
      </c>
      <c r="I143" s="13" t="s">
        <v>750</v>
      </c>
      <c r="J143" s="14" t="s">
        <v>92</v>
      </c>
      <c r="K143" s="14" t="s">
        <v>92</v>
      </c>
      <c r="L143" s="14" t="s">
        <v>92</v>
      </c>
      <c r="M143" s="14" t="s">
        <v>93</v>
      </c>
      <c r="N143" s="14" t="s">
        <v>92</v>
      </c>
      <c r="O143" s="14" t="s">
        <v>92</v>
      </c>
      <c r="P143" s="14" t="s">
        <v>93</v>
      </c>
      <c r="Q143" s="14" t="s">
        <v>92</v>
      </c>
      <c r="R143" s="14" t="s">
        <v>92</v>
      </c>
      <c r="S143" s="14" t="s">
        <v>93</v>
      </c>
      <c r="T143" s="14" t="s">
        <v>92</v>
      </c>
      <c r="U143" s="14" t="s">
        <v>92</v>
      </c>
      <c r="V143" s="14" t="s">
        <v>92</v>
      </c>
      <c r="W143" s="14" t="s">
        <v>92</v>
      </c>
      <c r="X143" s="14" t="s">
        <v>92</v>
      </c>
      <c r="Y143" s="14" t="s">
        <v>92</v>
      </c>
      <c r="Z143" s="14" t="s">
        <v>92</v>
      </c>
      <c r="AA143" s="14" t="s">
        <v>92</v>
      </c>
      <c r="AB143" s="8" t="s">
        <v>93</v>
      </c>
      <c r="AC143" s="8" t="s">
        <v>92</v>
      </c>
      <c r="AD143" s="8" t="s">
        <v>92</v>
      </c>
      <c r="AE143" s="14" t="s">
        <v>148</v>
      </c>
      <c r="AF143" s="14" t="s">
        <v>92</v>
      </c>
      <c r="AG143" s="13" t="s">
        <v>95</v>
      </c>
      <c r="AH143" s="8" t="s">
        <v>105</v>
      </c>
      <c r="AI143" s="13" t="s">
        <v>92</v>
      </c>
      <c r="AJ143" s="13" t="s">
        <v>92</v>
      </c>
      <c r="AK143" s="13" t="s">
        <v>92</v>
      </c>
      <c r="AL143" s="13" t="s">
        <v>93</v>
      </c>
      <c r="AM143" s="8" t="s">
        <v>105</v>
      </c>
      <c r="AN143" s="14" t="s">
        <v>105</v>
      </c>
      <c r="AO143" s="8" t="s">
        <v>105</v>
      </c>
      <c r="AP143" s="15" t="s">
        <v>92</v>
      </c>
      <c r="AQ143" s="13" t="s">
        <v>93</v>
      </c>
      <c r="AR143" s="13" t="s">
        <v>92</v>
      </c>
      <c r="AS143" s="13" t="s">
        <v>93</v>
      </c>
      <c r="AT143" s="13" t="s">
        <v>93</v>
      </c>
      <c r="AU143" s="13" t="s">
        <v>93</v>
      </c>
      <c r="AV143" s="13" t="s">
        <v>93</v>
      </c>
      <c r="AW143" s="13" t="s">
        <v>93</v>
      </c>
      <c r="AX143" s="13" t="s">
        <v>92</v>
      </c>
      <c r="AY143" s="15" t="s">
        <v>441</v>
      </c>
      <c r="AZ143" s="15" t="s">
        <v>95</v>
      </c>
      <c r="BA143" s="9" t="s">
        <v>749</v>
      </c>
      <c r="BB143" s="8" t="s">
        <v>143</v>
      </c>
      <c r="BC143" s="8" t="s">
        <v>92</v>
      </c>
      <c r="BD143" s="14" t="s">
        <v>93</v>
      </c>
      <c r="BE143" s="14" t="s">
        <v>92</v>
      </c>
      <c r="BF143" s="14" t="s">
        <v>92</v>
      </c>
      <c r="BG143" s="14" t="s">
        <v>92</v>
      </c>
      <c r="BH143" s="14" t="s">
        <v>92</v>
      </c>
      <c r="BI143" s="14" t="s">
        <v>92</v>
      </c>
      <c r="BJ143" s="14" t="s">
        <v>92</v>
      </c>
      <c r="BK143" s="14" t="s">
        <v>156</v>
      </c>
      <c r="BL143" s="13" t="s">
        <v>92</v>
      </c>
      <c r="BM143" s="13" t="s">
        <v>92</v>
      </c>
      <c r="BN143" s="13" t="s">
        <v>92</v>
      </c>
      <c r="BO143" s="13" t="s">
        <v>92</v>
      </c>
      <c r="BP143" s="13" t="s">
        <v>93</v>
      </c>
      <c r="BQ143" s="8" t="s">
        <v>93</v>
      </c>
      <c r="BR143" s="8" t="s">
        <v>92</v>
      </c>
      <c r="BS143" s="8" t="s">
        <v>92</v>
      </c>
      <c r="BT143" s="8" t="s">
        <v>92</v>
      </c>
      <c r="BU143" s="8" t="s">
        <v>92</v>
      </c>
      <c r="BV143" s="8" t="s">
        <v>92</v>
      </c>
      <c r="BW143" s="8" t="s">
        <v>92</v>
      </c>
      <c r="BX143" s="8" t="s">
        <v>92</v>
      </c>
      <c r="BY143" s="8" t="s">
        <v>92</v>
      </c>
      <c r="BZ143" s="8" t="s">
        <v>92</v>
      </c>
      <c r="CA143" s="8" t="s">
        <v>92</v>
      </c>
      <c r="CB143" s="17" t="s">
        <v>116</v>
      </c>
      <c r="CC143" s="17"/>
      <c r="CD143" s="18"/>
      <c r="CE143" s="18"/>
      <c r="CF143" s="18"/>
      <c r="CG143" s="18"/>
      <c r="CH143" s="18"/>
    </row>
    <row r="144">
      <c r="A144" s="8"/>
      <c r="B144" s="16" t="s">
        <v>737</v>
      </c>
      <c r="C144" s="10" t="s">
        <v>738</v>
      </c>
      <c r="D144" s="9" t="s">
        <v>87</v>
      </c>
      <c r="E144" s="11" t="s">
        <v>751</v>
      </c>
      <c r="F144" s="10" t="s">
        <v>187</v>
      </c>
      <c r="G144" s="9" t="s">
        <v>188</v>
      </c>
      <c r="H144" s="14" t="s">
        <v>189</v>
      </c>
      <c r="I144" s="13" t="s">
        <v>752</v>
      </c>
      <c r="J144" s="13" t="s">
        <v>92</v>
      </c>
      <c r="K144" s="14" t="s">
        <v>92</v>
      </c>
      <c r="L144" s="14" t="s">
        <v>92</v>
      </c>
      <c r="M144" s="14" t="s">
        <v>93</v>
      </c>
      <c r="N144" s="14" t="s">
        <v>92</v>
      </c>
      <c r="O144" s="13" t="s">
        <v>92</v>
      </c>
      <c r="P144" s="13" t="s">
        <v>92</v>
      </c>
      <c r="Q144" s="13" t="s">
        <v>93</v>
      </c>
      <c r="R144" s="13" t="s">
        <v>92</v>
      </c>
      <c r="S144" s="13" t="s">
        <v>92</v>
      </c>
      <c r="T144" s="13" t="s">
        <v>92</v>
      </c>
      <c r="U144" s="13" t="s">
        <v>93</v>
      </c>
      <c r="V144" s="13" t="s">
        <v>92</v>
      </c>
      <c r="W144" s="13" t="s">
        <v>92</v>
      </c>
      <c r="X144" s="13" t="s">
        <v>92</v>
      </c>
      <c r="Y144" s="13" t="s">
        <v>92</v>
      </c>
      <c r="Z144" s="13" t="s">
        <v>92</v>
      </c>
      <c r="AA144" s="14" t="s">
        <v>92</v>
      </c>
      <c r="AB144" s="15" t="s">
        <v>93</v>
      </c>
      <c r="AC144" s="15" t="s">
        <v>92</v>
      </c>
      <c r="AD144" s="15" t="s">
        <v>92</v>
      </c>
      <c r="AE144" s="13" t="s">
        <v>94</v>
      </c>
      <c r="AF144" s="13" t="s">
        <v>92</v>
      </c>
      <c r="AG144" s="13" t="s">
        <v>95</v>
      </c>
      <c r="AH144" s="8" t="s">
        <v>105</v>
      </c>
      <c r="AI144" s="13" t="s">
        <v>92</v>
      </c>
      <c r="AJ144" s="13" t="s">
        <v>92</v>
      </c>
      <c r="AK144" s="13" t="s">
        <v>92</v>
      </c>
      <c r="AL144" s="13" t="s">
        <v>93</v>
      </c>
      <c r="AM144" s="8" t="s">
        <v>95</v>
      </c>
      <c r="AN144" s="14" t="s">
        <v>114</v>
      </c>
      <c r="AO144" s="15" t="s">
        <v>92</v>
      </c>
      <c r="AP144" s="15" t="s">
        <v>92</v>
      </c>
      <c r="AQ144" s="13" t="s">
        <v>93</v>
      </c>
      <c r="AR144" s="13" t="s">
        <v>92</v>
      </c>
      <c r="AS144" s="13" t="s">
        <v>93</v>
      </c>
      <c r="AT144" s="13" t="s">
        <v>93</v>
      </c>
      <c r="AU144" s="13" t="s">
        <v>93</v>
      </c>
      <c r="AV144" s="13" t="s">
        <v>93</v>
      </c>
      <c r="AW144" s="13" t="s">
        <v>93</v>
      </c>
      <c r="AX144" s="13" t="s">
        <v>92</v>
      </c>
      <c r="AY144" s="15" t="s">
        <v>753</v>
      </c>
      <c r="AZ144" s="15" t="s">
        <v>92</v>
      </c>
      <c r="BA144" s="16" t="s">
        <v>754</v>
      </c>
      <c r="BB144" s="8" t="s">
        <v>105</v>
      </c>
      <c r="BC144" s="8" t="s">
        <v>105</v>
      </c>
      <c r="BD144" s="13" t="s">
        <v>92</v>
      </c>
      <c r="BE144" s="13" t="s">
        <v>92</v>
      </c>
      <c r="BF144" s="13" t="s">
        <v>92</v>
      </c>
      <c r="BG144" s="13" t="s">
        <v>92</v>
      </c>
      <c r="BH144" s="13" t="s">
        <v>92</v>
      </c>
      <c r="BI144" s="13" t="s">
        <v>93</v>
      </c>
      <c r="BJ144" s="13" t="s">
        <v>92</v>
      </c>
      <c r="BK144" s="14" t="s">
        <v>156</v>
      </c>
      <c r="BL144" s="13" t="s">
        <v>92</v>
      </c>
      <c r="BM144" s="13" t="s">
        <v>92</v>
      </c>
      <c r="BN144" s="13" t="s">
        <v>92</v>
      </c>
      <c r="BO144" s="13" t="s">
        <v>92</v>
      </c>
      <c r="BP144" s="13" t="s">
        <v>93</v>
      </c>
      <c r="BQ144" s="15" t="s">
        <v>93</v>
      </c>
      <c r="BR144" s="15" t="s">
        <v>92</v>
      </c>
      <c r="BS144" s="15" t="s">
        <v>92</v>
      </c>
      <c r="BT144" s="15" t="s">
        <v>92</v>
      </c>
      <c r="BU144" s="15" t="s">
        <v>92</v>
      </c>
      <c r="BV144" s="15" t="s">
        <v>92</v>
      </c>
      <c r="BW144" s="15" t="s">
        <v>92</v>
      </c>
      <c r="BX144" s="15" t="s">
        <v>92</v>
      </c>
      <c r="BY144" s="15" t="s">
        <v>92</v>
      </c>
      <c r="BZ144" s="15" t="s">
        <v>92</v>
      </c>
      <c r="CA144" s="15" t="s">
        <v>92</v>
      </c>
      <c r="CB144" s="17" t="s">
        <v>116</v>
      </c>
      <c r="CC144" s="17"/>
      <c r="CD144" s="18"/>
      <c r="CE144" s="18"/>
      <c r="CF144" s="18"/>
      <c r="CG144" s="18"/>
      <c r="CH144" s="18"/>
    </row>
    <row r="145">
      <c r="A145" s="8"/>
      <c r="B145" s="16" t="s">
        <v>737</v>
      </c>
      <c r="C145" s="10" t="s">
        <v>738</v>
      </c>
      <c r="D145" s="9" t="s">
        <v>87</v>
      </c>
      <c r="E145" s="11" t="s">
        <v>755</v>
      </c>
      <c r="F145" s="12"/>
      <c r="G145" s="13" t="s">
        <v>756</v>
      </c>
      <c r="H145" s="13" t="s">
        <v>90</v>
      </c>
      <c r="I145" s="13" t="s">
        <v>757</v>
      </c>
      <c r="J145" s="13" t="s">
        <v>92</v>
      </c>
      <c r="K145" s="14" t="s">
        <v>92</v>
      </c>
      <c r="L145" s="14" t="s">
        <v>92</v>
      </c>
      <c r="M145" s="14" t="s">
        <v>93</v>
      </c>
      <c r="N145" s="14" t="s">
        <v>92</v>
      </c>
      <c r="O145" s="13" t="s">
        <v>92</v>
      </c>
      <c r="P145" s="13" t="s">
        <v>92</v>
      </c>
      <c r="Q145" s="14" t="s">
        <v>92</v>
      </c>
      <c r="R145" s="13" t="s">
        <v>92</v>
      </c>
      <c r="S145" s="13" t="s">
        <v>92</v>
      </c>
      <c r="T145" s="13" t="s">
        <v>92</v>
      </c>
      <c r="U145" s="13" t="s">
        <v>93</v>
      </c>
      <c r="V145" s="13" t="s">
        <v>92</v>
      </c>
      <c r="W145" s="13" t="s">
        <v>92</v>
      </c>
      <c r="X145" s="13" t="s">
        <v>92</v>
      </c>
      <c r="Y145" s="13" t="s">
        <v>92</v>
      </c>
      <c r="Z145" s="13" t="s">
        <v>92</v>
      </c>
      <c r="AA145" s="14" t="s">
        <v>92</v>
      </c>
      <c r="AB145" s="15" t="s">
        <v>93</v>
      </c>
      <c r="AC145" s="15" t="s">
        <v>92</v>
      </c>
      <c r="AD145" s="15" t="s">
        <v>92</v>
      </c>
      <c r="AE145" s="13" t="s">
        <v>94</v>
      </c>
      <c r="AF145" s="13" t="s">
        <v>92</v>
      </c>
      <c r="AG145" s="13" t="s">
        <v>95</v>
      </c>
      <c r="AH145" s="15">
        <v>2023.0</v>
      </c>
      <c r="AI145" s="13" t="s">
        <v>92</v>
      </c>
      <c r="AJ145" s="13" t="s">
        <v>92</v>
      </c>
      <c r="AK145" s="13" t="s">
        <v>92</v>
      </c>
      <c r="AL145" s="13" t="s">
        <v>93</v>
      </c>
      <c r="AM145" s="8">
        <v>2023.0</v>
      </c>
      <c r="AN145" s="13" t="s">
        <v>96</v>
      </c>
      <c r="AO145" s="15" t="s">
        <v>92</v>
      </c>
      <c r="AP145" s="15" t="s">
        <v>92</v>
      </c>
      <c r="AQ145" s="13" t="s">
        <v>93</v>
      </c>
      <c r="AR145" s="13" t="s">
        <v>92</v>
      </c>
      <c r="AS145" s="13" t="s">
        <v>93</v>
      </c>
      <c r="AT145" s="13" t="s">
        <v>93</v>
      </c>
      <c r="AU145" s="13" t="s">
        <v>93</v>
      </c>
      <c r="AV145" s="13" t="s">
        <v>93</v>
      </c>
      <c r="AW145" s="13" t="s">
        <v>93</v>
      </c>
      <c r="AX145" s="13" t="s">
        <v>92</v>
      </c>
      <c r="AY145" s="15" t="s">
        <v>441</v>
      </c>
      <c r="AZ145" s="15" t="s">
        <v>95</v>
      </c>
      <c r="BA145" s="16" t="s">
        <v>758</v>
      </c>
      <c r="BB145" s="8" t="s">
        <v>105</v>
      </c>
      <c r="BC145" s="8" t="s">
        <v>92</v>
      </c>
      <c r="BD145" s="13" t="s">
        <v>92</v>
      </c>
      <c r="BE145" s="13" t="s">
        <v>92</v>
      </c>
      <c r="BF145" s="13" t="s">
        <v>92</v>
      </c>
      <c r="BG145" s="13" t="s">
        <v>92</v>
      </c>
      <c r="BH145" s="13" t="s">
        <v>92</v>
      </c>
      <c r="BI145" s="13" t="s">
        <v>93</v>
      </c>
      <c r="BJ145" s="13" t="s">
        <v>92</v>
      </c>
      <c r="BK145" s="14" t="s">
        <v>156</v>
      </c>
      <c r="BL145" s="13" t="s">
        <v>92</v>
      </c>
      <c r="BM145" s="13" t="s">
        <v>92</v>
      </c>
      <c r="BN145" s="13" t="s">
        <v>92</v>
      </c>
      <c r="BO145" s="13" t="s">
        <v>92</v>
      </c>
      <c r="BP145" s="13" t="s">
        <v>93</v>
      </c>
      <c r="BQ145" s="15" t="s">
        <v>93</v>
      </c>
      <c r="BR145" s="15" t="s">
        <v>92</v>
      </c>
      <c r="BS145" s="15" t="s">
        <v>92</v>
      </c>
      <c r="BT145" s="15" t="s">
        <v>92</v>
      </c>
      <c r="BU145" s="15" t="s">
        <v>92</v>
      </c>
      <c r="BV145" s="15" t="s">
        <v>92</v>
      </c>
      <c r="BW145" s="15" t="s">
        <v>92</v>
      </c>
      <c r="BX145" s="15" t="s">
        <v>92</v>
      </c>
      <c r="BY145" s="15" t="s">
        <v>92</v>
      </c>
      <c r="BZ145" s="15" t="s">
        <v>92</v>
      </c>
      <c r="CA145" s="15" t="s">
        <v>92</v>
      </c>
      <c r="CB145" s="17" t="s">
        <v>116</v>
      </c>
      <c r="CC145" s="17"/>
      <c r="CD145" s="18"/>
      <c r="CE145" s="18"/>
      <c r="CF145" s="18"/>
      <c r="CG145" s="18"/>
      <c r="CH145" s="18"/>
    </row>
    <row r="146">
      <c r="A146" s="8"/>
      <c r="B146" s="16" t="s">
        <v>759</v>
      </c>
      <c r="C146" s="10" t="s">
        <v>760</v>
      </c>
      <c r="D146" s="9" t="s">
        <v>87</v>
      </c>
      <c r="E146" s="11" t="s">
        <v>761</v>
      </c>
      <c r="F146" s="12"/>
      <c r="G146" s="13" t="s">
        <v>762</v>
      </c>
      <c r="H146" s="14" t="s">
        <v>189</v>
      </c>
      <c r="I146" s="13" t="s">
        <v>763</v>
      </c>
      <c r="J146" s="13" t="s">
        <v>92</v>
      </c>
      <c r="K146" s="13" t="s">
        <v>92</v>
      </c>
      <c r="L146" s="14" t="s">
        <v>93</v>
      </c>
      <c r="M146" s="13" t="s">
        <v>93</v>
      </c>
      <c r="N146" s="14" t="s">
        <v>92</v>
      </c>
      <c r="O146" s="13" t="s">
        <v>92</v>
      </c>
      <c r="P146" s="14" t="s">
        <v>92</v>
      </c>
      <c r="Q146" s="14" t="s">
        <v>93</v>
      </c>
      <c r="R146" s="13" t="s">
        <v>92</v>
      </c>
      <c r="S146" s="13" t="s">
        <v>92</v>
      </c>
      <c r="T146" s="13" t="s">
        <v>92</v>
      </c>
      <c r="U146" s="13" t="s">
        <v>93</v>
      </c>
      <c r="V146" s="13" t="s">
        <v>92</v>
      </c>
      <c r="W146" s="13" t="s">
        <v>92</v>
      </c>
      <c r="X146" s="13" t="s">
        <v>92</v>
      </c>
      <c r="Y146" s="13" t="s">
        <v>92</v>
      </c>
      <c r="Z146" s="13" t="s">
        <v>92</v>
      </c>
      <c r="AA146" s="14" t="s">
        <v>92</v>
      </c>
      <c r="AB146" s="15" t="s">
        <v>93</v>
      </c>
      <c r="AC146" s="15" t="s">
        <v>92</v>
      </c>
      <c r="AD146" s="15" t="s">
        <v>92</v>
      </c>
      <c r="AE146" s="13" t="s">
        <v>94</v>
      </c>
      <c r="AF146" s="13" t="s">
        <v>92</v>
      </c>
      <c r="AG146" s="13" t="s">
        <v>95</v>
      </c>
      <c r="AH146" s="8" t="s">
        <v>105</v>
      </c>
      <c r="AI146" s="13" t="s">
        <v>105</v>
      </c>
      <c r="AJ146" s="13" t="s">
        <v>105</v>
      </c>
      <c r="AK146" s="13" t="s">
        <v>93</v>
      </c>
      <c r="AL146" s="13" t="s">
        <v>92</v>
      </c>
      <c r="AM146" s="8" t="s">
        <v>105</v>
      </c>
      <c r="AN146" s="14" t="s">
        <v>105</v>
      </c>
      <c r="AO146" s="8" t="s">
        <v>105</v>
      </c>
      <c r="AP146" s="15" t="s">
        <v>92</v>
      </c>
      <c r="AQ146" s="13" t="s">
        <v>93</v>
      </c>
      <c r="AR146" s="13" t="s">
        <v>93</v>
      </c>
      <c r="AS146" s="13" t="s">
        <v>93</v>
      </c>
      <c r="AT146" s="13" t="s">
        <v>93</v>
      </c>
      <c r="AU146" s="13" t="s">
        <v>93</v>
      </c>
      <c r="AV146" s="13" t="s">
        <v>93</v>
      </c>
      <c r="AW146" s="13" t="s">
        <v>93</v>
      </c>
      <c r="AX146" s="13" t="s">
        <v>92</v>
      </c>
      <c r="AY146" s="15" t="s">
        <v>95</v>
      </c>
      <c r="AZ146" s="15" t="s">
        <v>95</v>
      </c>
      <c r="BA146" s="16" t="s">
        <v>764</v>
      </c>
      <c r="BB146" s="8" t="s">
        <v>95</v>
      </c>
      <c r="BC146" s="15" t="s">
        <v>93</v>
      </c>
      <c r="BD146" s="13" t="s">
        <v>92</v>
      </c>
      <c r="BE146" s="13" t="s">
        <v>92</v>
      </c>
      <c r="BF146" s="13" t="s">
        <v>92</v>
      </c>
      <c r="BG146" s="13" t="s">
        <v>92</v>
      </c>
      <c r="BH146" s="13" t="s">
        <v>92</v>
      </c>
      <c r="BI146" s="13" t="s">
        <v>93</v>
      </c>
      <c r="BJ146" s="13" t="s">
        <v>92</v>
      </c>
      <c r="BK146" s="14" t="s">
        <v>765</v>
      </c>
      <c r="BL146" s="13" t="s">
        <v>93</v>
      </c>
      <c r="BM146" s="13" t="s">
        <v>92</v>
      </c>
      <c r="BN146" s="13" t="s">
        <v>92</v>
      </c>
      <c r="BO146" s="13" t="s">
        <v>93</v>
      </c>
      <c r="BP146" s="13" t="s">
        <v>93</v>
      </c>
      <c r="BQ146" s="15" t="s">
        <v>93</v>
      </c>
      <c r="BR146" s="15" t="s">
        <v>92</v>
      </c>
      <c r="BS146" s="15" t="s">
        <v>92</v>
      </c>
      <c r="BT146" s="15" t="s">
        <v>92</v>
      </c>
      <c r="BU146" s="15" t="s">
        <v>92</v>
      </c>
      <c r="BV146" s="15" t="s">
        <v>92</v>
      </c>
      <c r="BW146" s="15" t="s">
        <v>92</v>
      </c>
      <c r="BX146" s="15" t="s">
        <v>92</v>
      </c>
      <c r="BY146" s="15" t="s">
        <v>92</v>
      </c>
      <c r="BZ146" s="15" t="s">
        <v>92</v>
      </c>
      <c r="CA146" s="15" t="s">
        <v>92</v>
      </c>
      <c r="CB146" s="17" t="s">
        <v>766</v>
      </c>
      <c r="CC146" s="17"/>
      <c r="CD146" s="18"/>
      <c r="CE146" s="18"/>
      <c r="CF146" s="18"/>
      <c r="CG146" s="18"/>
      <c r="CH146" s="14"/>
    </row>
    <row r="147">
      <c r="A147" s="8"/>
      <c r="B147" s="16" t="s">
        <v>759</v>
      </c>
      <c r="C147" s="10" t="s">
        <v>760</v>
      </c>
      <c r="D147" s="9" t="s">
        <v>87</v>
      </c>
      <c r="E147" s="11" t="s">
        <v>767</v>
      </c>
      <c r="F147" s="12"/>
      <c r="G147" s="13" t="s">
        <v>768</v>
      </c>
      <c r="H147" s="14" t="s">
        <v>189</v>
      </c>
      <c r="I147" s="13" t="s">
        <v>769</v>
      </c>
      <c r="J147" s="13" t="s">
        <v>92</v>
      </c>
      <c r="K147" s="13" t="s">
        <v>92</v>
      </c>
      <c r="L147" s="13" t="s">
        <v>92</v>
      </c>
      <c r="M147" s="13" t="s">
        <v>93</v>
      </c>
      <c r="N147" s="14" t="s">
        <v>92</v>
      </c>
      <c r="O147" s="13" t="s">
        <v>92</v>
      </c>
      <c r="P147" s="14" t="s">
        <v>92</v>
      </c>
      <c r="Q147" s="14" t="s">
        <v>93</v>
      </c>
      <c r="R147" s="13" t="s">
        <v>92</v>
      </c>
      <c r="S147" s="13" t="s">
        <v>92</v>
      </c>
      <c r="T147" s="13" t="s">
        <v>92</v>
      </c>
      <c r="U147" s="13" t="s">
        <v>93</v>
      </c>
      <c r="V147" s="13" t="s">
        <v>92</v>
      </c>
      <c r="W147" s="13" t="s">
        <v>92</v>
      </c>
      <c r="X147" s="13" t="s">
        <v>92</v>
      </c>
      <c r="Y147" s="13" t="s">
        <v>92</v>
      </c>
      <c r="Z147" s="13" t="s">
        <v>92</v>
      </c>
      <c r="AA147" s="14" t="s">
        <v>92</v>
      </c>
      <c r="AB147" s="15" t="s">
        <v>93</v>
      </c>
      <c r="AC147" s="15" t="s">
        <v>92</v>
      </c>
      <c r="AD147" s="15" t="s">
        <v>92</v>
      </c>
      <c r="AE147" s="13" t="s">
        <v>94</v>
      </c>
      <c r="AF147" s="13" t="s">
        <v>92</v>
      </c>
      <c r="AG147" s="13" t="s">
        <v>95</v>
      </c>
      <c r="AH147" s="15">
        <v>2022.0</v>
      </c>
      <c r="AI147" s="13" t="s">
        <v>105</v>
      </c>
      <c r="AJ147" s="13" t="s">
        <v>105</v>
      </c>
      <c r="AK147" s="13" t="s">
        <v>93</v>
      </c>
      <c r="AL147" s="13" t="s">
        <v>92</v>
      </c>
      <c r="AM147" s="15">
        <v>2022.0</v>
      </c>
      <c r="AN147" s="13" t="s">
        <v>96</v>
      </c>
      <c r="AO147" s="15" t="s">
        <v>92</v>
      </c>
      <c r="AP147" s="15" t="s">
        <v>92</v>
      </c>
      <c r="AQ147" s="13" t="s">
        <v>93</v>
      </c>
      <c r="AR147" s="13" t="s">
        <v>93</v>
      </c>
      <c r="AS147" s="13" t="s">
        <v>93</v>
      </c>
      <c r="AT147" s="13" t="s">
        <v>93</v>
      </c>
      <c r="AU147" s="13" t="s">
        <v>93</v>
      </c>
      <c r="AV147" s="13" t="s">
        <v>93</v>
      </c>
      <c r="AW147" s="13" t="s">
        <v>93</v>
      </c>
      <c r="AX147" s="13" t="s">
        <v>92</v>
      </c>
      <c r="AY147" s="15" t="s">
        <v>95</v>
      </c>
      <c r="AZ147" s="15" t="s">
        <v>95</v>
      </c>
      <c r="BA147" s="16" t="s">
        <v>764</v>
      </c>
      <c r="BB147" s="8" t="s">
        <v>95</v>
      </c>
      <c r="BC147" s="15" t="s">
        <v>93</v>
      </c>
      <c r="BD147" s="13" t="s">
        <v>92</v>
      </c>
      <c r="BE147" s="13" t="s">
        <v>92</v>
      </c>
      <c r="BF147" s="13" t="s">
        <v>92</v>
      </c>
      <c r="BG147" s="13" t="s">
        <v>92</v>
      </c>
      <c r="BH147" s="13" t="s">
        <v>92</v>
      </c>
      <c r="BI147" s="13" t="s">
        <v>93</v>
      </c>
      <c r="BJ147" s="13" t="s">
        <v>92</v>
      </c>
      <c r="BK147" s="14" t="s">
        <v>765</v>
      </c>
      <c r="BL147" s="13" t="s">
        <v>93</v>
      </c>
      <c r="BM147" s="13" t="s">
        <v>92</v>
      </c>
      <c r="BN147" s="13" t="s">
        <v>92</v>
      </c>
      <c r="BO147" s="13" t="s">
        <v>93</v>
      </c>
      <c r="BP147" s="13" t="s">
        <v>93</v>
      </c>
      <c r="BQ147" s="15" t="s">
        <v>93</v>
      </c>
      <c r="BR147" s="15" t="s">
        <v>92</v>
      </c>
      <c r="BS147" s="15" t="s">
        <v>92</v>
      </c>
      <c r="BT147" s="15" t="s">
        <v>92</v>
      </c>
      <c r="BU147" s="15" t="s">
        <v>92</v>
      </c>
      <c r="BV147" s="15" t="s">
        <v>92</v>
      </c>
      <c r="BW147" s="15" t="s">
        <v>92</v>
      </c>
      <c r="BX147" s="15" t="s">
        <v>92</v>
      </c>
      <c r="BY147" s="15" t="s">
        <v>92</v>
      </c>
      <c r="BZ147" s="15" t="s">
        <v>92</v>
      </c>
      <c r="CA147" s="15" t="s">
        <v>92</v>
      </c>
      <c r="CB147" s="17" t="s">
        <v>766</v>
      </c>
      <c r="CC147" s="17"/>
      <c r="CD147" s="18"/>
      <c r="CE147" s="18"/>
      <c r="CF147" s="18"/>
      <c r="CG147" s="18"/>
      <c r="CH147" s="14"/>
    </row>
    <row r="148">
      <c r="A148" s="8"/>
      <c r="B148" s="16" t="s">
        <v>759</v>
      </c>
      <c r="C148" s="10" t="s">
        <v>760</v>
      </c>
      <c r="D148" s="9" t="s">
        <v>87</v>
      </c>
      <c r="E148" s="11" t="s">
        <v>770</v>
      </c>
      <c r="F148" s="25"/>
      <c r="G148" s="16" t="s">
        <v>771</v>
      </c>
      <c r="H148" s="13" t="s">
        <v>90</v>
      </c>
      <c r="I148" s="14" t="s">
        <v>772</v>
      </c>
      <c r="J148" s="13" t="s">
        <v>92</v>
      </c>
      <c r="K148" s="13" t="s">
        <v>92</v>
      </c>
      <c r="L148" s="13" t="s">
        <v>93</v>
      </c>
      <c r="M148" s="14" t="s">
        <v>93</v>
      </c>
      <c r="N148" s="14" t="s">
        <v>92</v>
      </c>
      <c r="O148" s="14" t="s">
        <v>92</v>
      </c>
      <c r="P148" s="13" t="s">
        <v>92</v>
      </c>
      <c r="Q148" s="13" t="s">
        <v>92</v>
      </c>
      <c r="R148" s="13" t="s">
        <v>92</v>
      </c>
      <c r="S148" s="14" t="s">
        <v>92</v>
      </c>
      <c r="T148" s="14" t="s">
        <v>92</v>
      </c>
      <c r="U148" s="13" t="s">
        <v>92</v>
      </c>
      <c r="V148" s="13" t="s">
        <v>92</v>
      </c>
      <c r="W148" s="13" t="s">
        <v>92</v>
      </c>
      <c r="X148" s="13" t="s">
        <v>92</v>
      </c>
      <c r="Y148" s="13" t="s">
        <v>93</v>
      </c>
      <c r="Z148" s="14" t="s">
        <v>93</v>
      </c>
      <c r="AA148" s="14" t="s">
        <v>92</v>
      </c>
      <c r="AB148" s="8" t="s">
        <v>93</v>
      </c>
      <c r="AC148" s="15" t="s">
        <v>93</v>
      </c>
      <c r="AD148" s="15" t="s">
        <v>92</v>
      </c>
      <c r="AE148" s="13" t="s">
        <v>148</v>
      </c>
      <c r="AF148" s="13" t="s">
        <v>92</v>
      </c>
      <c r="AG148" s="13" t="s">
        <v>95</v>
      </c>
      <c r="AH148" s="15">
        <v>2022.0</v>
      </c>
      <c r="AI148" s="13" t="s">
        <v>105</v>
      </c>
      <c r="AJ148" s="13" t="s">
        <v>105</v>
      </c>
      <c r="AK148" s="13" t="s">
        <v>93</v>
      </c>
      <c r="AL148" s="14" t="s">
        <v>93</v>
      </c>
      <c r="AM148" s="8" t="s">
        <v>95</v>
      </c>
      <c r="AN148" s="14" t="s">
        <v>114</v>
      </c>
      <c r="AO148" s="8" t="s">
        <v>93</v>
      </c>
      <c r="AP148" s="15" t="s">
        <v>92</v>
      </c>
      <c r="AQ148" s="13" t="s">
        <v>93</v>
      </c>
      <c r="AR148" s="13" t="s">
        <v>93</v>
      </c>
      <c r="AS148" s="13" t="s">
        <v>93</v>
      </c>
      <c r="AT148" s="13" t="s">
        <v>93</v>
      </c>
      <c r="AU148" s="13" t="s">
        <v>93</v>
      </c>
      <c r="AV148" s="13" t="s">
        <v>93</v>
      </c>
      <c r="AW148" s="13" t="s">
        <v>93</v>
      </c>
      <c r="AX148" s="13" t="s">
        <v>92</v>
      </c>
      <c r="AY148" s="15" t="s">
        <v>95</v>
      </c>
      <c r="AZ148" s="15" t="s">
        <v>95</v>
      </c>
      <c r="BA148" s="16" t="s">
        <v>759</v>
      </c>
      <c r="BB148" s="8" t="s">
        <v>155</v>
      </c>
      <c r="BC148" s="15" t="s">
        <v>92</v>
      </c>
      <c r="BD148" s="14" t="s">
        <v>93</v>
      </c>
      <c r="BE148" s="13" t="s">
        <v>92</v>
      </c>
      <c r="BF148" s="13" t="s">
        <v>92</v>
      </c>
      <c r="BG148" s="13" t="s">
        <v>92</v>
      </c>
      <c r="BH148" s="13" t="s">
        <v>92</v>
      </c>
      <c r="BI148" s="13" t="s">
        <v>93</v>
      </c>
      <c r="BJ148" s="13" t="s">
        <v>92</v>
      </c>
      <c r="BK148" s="14" t="s">
        <v>765</v>
      </c>
      <c r="BL148" s="13" t="s">
        <v>93</v>
      </c>
      <c r="BM148" s="13" t="s">
        <v>92</v>
      </c>
      <c r="BN148" s="13" t="s">
        <v>92</v>
      </c>
      <c r="BO148" s="13" t="s">
        <v>93</v>
      </c>
      <c r="BP148" s="13" t="s">
        <v>93</v>
      </c>
      <c r="BQ148" s="8" t="s">
        <v>92</v>
      </c>
      <c r="BR148" s="8" t="s">
        <v>92</v>
      </c>
      <c r="BS148" s="8" t="s">
        <v>93</v>
      </c>
      <c r="BT148" s="8" t="s">
        <v>93</v>
      </c>
      <c r="BU148" s="8" t="s">
        <v>93</v>
      </c>
      <c r="BV148" s="8" t="s">
        <v>93</v>
      </c>
      <c r="BW148" s="15" t="s">
        <v>92</v>
      </c>
      <c r="BX148" s="15" t="s">
        <v>92</v>
      </c>
      <c r="BY148" s="15" t="s">
        <v>92</v>
      </c>
      <c r="BZ148" s="8" t="s">
        <v>93</v>
      </c>
      <c r="CA148" s="15" t="s">
        <v>92</v>
      </c>
      <c r="CB148" s="17" t="s">
        <v>766</v>
      </c>
      <c r="CC148" s="20" t="s">
        <v>116</v>
      </c>
      <c r="CD148" s="18"/>
      <c r="CE148" s="18"/>
      <c r="CF148" s="18"/>
      <c r="CG148" s="18"/>
      <c r="CH148" s="14"/>
    </row>
    <row r="149">
      <c r="A149" s="8"/>
      <c r="B149" s="16" t="s">
        <v>759</v>
      </c>
      <c r="C149" s="10" t="s">
        <v>760</v>
      </c>
      <c r="D149" s="9" t="s">
        <v>87</v>
      </c>
      <c r="E149" s="11" t="s">
        <v>773</v>
      </c>
      <c r="F149" s="12"/>
      <c r="G149" s="13" t="s">
        <v>774</v>
      </c>
      <c r="H149" s="13" t="s">
        <v>90</v>
      </c>
      <c r="I149" s="13" t="s">
        <v>775</v>
      </c>
      <c r="J149" s="13" t="s">
        <v>92</v>
      </c>
      <c r="K149" s="13" t="s">
        <v>92</v>
      </c>
      <c r="L149" s="13" t="s">
        <v>92</v>
      </c>
      <c r="M149" s="14" t="s">
        <v>92</v>
      </c>
      <c r="N149" s="14" t="s">
        <v>92</v>
      </c>
      <c r="O149" s="13" t="s">
        <v>92</v>
      </c>
      <c r="P149" s="14" t="s">
        <v>92</v>
      </c>
      <c r="Q149" s="13" t="s">
        <v>92</v>
      </c>
      <c r="R149" s="13" t="s">
        <v>92</v>
      </c>
      <c r="S149" s="13" t="s">
        <v>92</v>
      </c>
      <c r="T149" s="13" t="s">
        <v>92</v>
      </c>
      <c r="U149" s="13" t="s">
        <v>93</v>
      </c>
      <c r="V149" s="13" t="s">
        <v>92</v>
      </c>
      <c r="W149" s="13" t="s">
        <v>92</v>
      </c>
      <c r="X149" s="13" t="s">
        <v>92</v>
      </c>
      <c r="Y149" s="13" t="s">
        <v>92</v>
      </c>
      <c r="Z149" s="13" t="s">
        <v>92</v>
      </c>
      <c r="AA149" s="14" t="s">
        <v>92</v>
      </c>
      <c r="AB149" s="15" t="s">
        <v>93</v>
      </c>
      <c r="AC149" s="15" t="s">
        <v>92</v>
      </c>
      <c r="AD149" s="15" t="s">
        <v>92</v>
      </c>
      <c r="AE149" s="13" t="s">
        <v>94</v>
      </c>
      <c r="AF149" s="13" t="s">
        <v>92</v>
      </c>
      <c r="AG149" s="13" t="s">
        <v>95</v>
      </c>
      <c r="AH149" s="8" t="s">
        <v>105</v>
      </c>
      <c r="AI149" s="13" t="s">
        <v>105</v>
      </c>
      <c r="AJ149" s="13" t="s">
        <v>105</v>
      </c>
      <c r="AK149" s="13" t="s">
        <v>92</v>
      </c>
      <c r="AL149" s="13" t="s">
        <v>93</v>
      </c>
      <c r="AM149" s="8" t="s">
        <v>105</v>
      </c>
      <c r="AN149" s="14" t="s">
        <v>105</v>
      </c>
      <c r="AO149" s="8" t="s">
        <v>105</v>
      </c>
      <c r="AP149" s="15" t="s">
        <v>92</v>
      </c>
      <c r="AQ149" s="13" t="s">
        <v>93</v>
      </c>
      <c r="AR149" s="13" t="s">
        <v>93</v>
      </c>
      <c r="AS149" s="13" t="s">
        <v>93</v>
      </c>
      <c r="AT149" s="13" t="s">
        <v>93</v>
      </c>
      <c r="AU149" s="13" t="s">
        <v>93</v>
      </c>
      <c r="AV149" s="13" t="s">
        <v>93</v>
      </c>
      <c r="AW149" s="13" t="s">
        <v>93</v>
      </c>
      <c r="AX149" s="13" t="s">
        <v>92</v>
      </c>
      <c r="AY149" s="15" t="s">
        <v>95</v>
      </c>
      <c r="AZ149" s="15" t="s">
        <v>95</v>
      </c>
      <c r="BA149" s="16" t="s">
        <v>759</v>
      </c>
      <c r="BB149" s="8" t="s">
        <v>155</v>
      </c>
      <c r="BC149" s="15" t="s">
        <v>92</v>
      </c>
      <c r="BD149" s="13" t="s">
        <v>92</v>
      </c>
      <c r="BE149" s="13" t="s">
        <v>92</v>
      </c>
      <c r="BF149" s="13" t="s">
        <v>92</v>
      </c>
      <c r="BG149" s="13" t="s">
        <v>92</v>
      </c>
      <c r="BH149" s="13" t="s">
        <v>92</v>
      </c>
      <c r="BI149" s="13" t="s">
        <v>93</v>
      </c>
      <c r="BJ149" s="13" t="s">
        <v>92</v>
      </c>
      <c r="BK149" s="16" t="s">
        <v>776</v>
      </c>
      <c r="BL149" s="13" t="s">
        <v>105</v>
      </c>
      <c r="BM149" s="13" t="s">
        <v>105</v>
      </c>
      <c r="BN149" s="13" t="s">
        <v>105</v>
      </c>
      <c r="BO149" s="13" t="s">
        <v>105</v>
      </c>
      <c r="BP149" s="13" t="s">
        <v>105</v>
      </c>
      <c r="BQ149" s="15" t="s">
        <v>93</v>
      </c>
      <c r="BR149" s="15" t="s">
        <v>92</v>
      </c>
      <c r="BS149" s="15" t="s">
        <v>92</v>
      </c>
      <c r="BT149" s="15" t="s">
        <v>92</v>
      </c>
      <c r="BU149" s="15" t="s">
        <v>92</v>
      </c>
      <c r="BV149" s="15" t="s">
        <v>92</v>
      </c>
      <c r="BW149" s="15" t="s">
        <v>92</v>
      </c>
      <c r="BX149" s="15" t="s">
        <v>92</v>
      </c>
      <c r="BY149" s="15" t="s">
        <v>92</v>
      </c>
      <c r="BZ149" s="15" t="s">
        <v>92</v>
      </c>
      <c r="CA149" s="15" t="s">
        <v>92</v>
      </c>
      <c r="CB149" s="17" t="s">
        <v>777</v>
      </c>
      <c r="CC149" s="17"/>
      <c r="CD149" s="18"/>
      <c r="CE149" s="18"/>
      <c r="CF149" s="18"/>
      <c r="CG149" s="18"/>
      <c r="CH149" s="14"/>
    </row>
    <row r="150">
      <c r="A150" s="8"/>
      <c r="B150" s="16" t="s">
        <v>759</v>
      </c>
      <c r="C150" s="10" t="s">
        <v>760</v>
      </c>
      <c r="D150" s="9" t="s">
        <v>87</v>
      </c>
      <c r="E150" s="11" t="s">
        <v>778</v>
      </c>
      <c r="F150" s="12"/>
      <c r="G150" s="14" t="s">
        <v>779</v>
      </c>
      <c r="H150" s="14" t="s">
        <v>90</v>
      </c>
      <c r="I150" s="14" t="s">
        <v>780</v>
      </c>
      <c r="J150" s="14" t="s">
        <v>93</v>
      </c>
      <c r="K150" s="14" t="s">
        <v>92</v>
      </c>
      <c r="L150" s="14" t="s">
        <v>93</v>
      </c>
      <c r="M150" s="14" t="s">
        <v>92</v>
      </c>
      <c r="N150" s="14" t="s">
        <v>92</v>
      </c>
      <c r="O150" s="14" t="s">
        <v>92</v>
      </c>
      <c r="P150" s="14" t="s">
        <v>92</v>
      </c>
      <c r="Q150" s="14" t="s">
        <v>92</v>
      </c>
      <c r="R150" s="14" t="s">
        <v>92</v>
      </c>
      <c r="S150" s="14" t="s">
        <v>92</v>
      </c>
      <c r="T150" s="14" t="s">
        <v>92</v>
      </c>
      <c r="U150" s="14" t="s">
        <v>92</v>
      </c>
      <c r="V150" s="14" t="s">
        <v>92</v>
      </c>
      <c r="W150" s="14" t="s">
        <v>92</v>
      </c>
      <c r="X150" s="14" t="s">
        <v>92</v>
      </c>
      <c r="Y150" s="14" t="s">
        <v>92</v>
      </c>
      <c r="Z150" s="14" t="s">
        <v>93</v>
      </c>
      <c r="AA150" s="14" t="s">
        <v>92</v>
      </c>
      <c r="AB150" s="8" t="s">
        <v>92</v>
      </c>
      <c r="AC150" s="8" t="s">
        <v>93</v>
      </c>
      <c r="AD150" s="8" t="s">
        <v>93</v>
      </c>
      <c r="AE150" s="14" t="s">
        <v>112</v>
      </c>
      <c r="AF150" s="14" t="s">
        <v>92</v>
      </c>
      <c r="AG150" s="13" t="s">
        <v>95</v>
      </c>
      <c r="AH150" s="8" t="s">
        <v>105</v>
      </c>
      <c r="AI150" s="13" t="s">
        <v>105</v>
      </c>
      <c r="AJ150" s="13" t="s">
        <v>105</v>
      </c>
      <c r="AK150" s="13" t="s">
        <v>92</v>
      </c>
      <c r="AL150" s="13" t="s">
        <v>93</v>
      </c>
      <c r="AM150" s="8" t="s">
        <v>95</v>
      </c>
      <c r="AN150" s="14" t="s">
        <v>114</v>
      </c>
      <c r="AO150" s="15" t="s">
        <v>92</v>
      </c>
      <c r="AP150" s="15" t="s">
        <v>92</v>
      </c>
      <c r="AQ150" s="13" t="s">
        <v>93</v>
      </c>
      <c r="AR150" s="13" t="s">
        <v>93</v>
      </c>
      <c r="AS150" s="13" t="s">
        <v>93</v>
      </c>
      <c r="AT150" s="13" t="s">
        <v>93</v>
      </c>
      <c r="AU150" s="13" t="s">
        <v>93</v>
      </c>
      <c r="AV150" s="13" t="s">
        <v>93</v>
      </c>
      <c r="AW150" s="13" t="s">
        <v>93</v>
      </c>
      <c r="AX150" s="13" t="s">
        <v>92</v>
      </c>
      <c r="AY150" s="15" t="s">
        <v>95</v>
      </c>
      <c r="AZ150" s="15" t="s">
        <v>95</v>
      </c>
      <c r="BA150" s="16" t="s">
        <v>781</v>
      </c>
      <c r="BB150" s="8" t="s">
        <v>95</v>
      </c>
      <c r="BC150" s="8" t="s">
        <v>93</v>
      </c>
      <c r="BD150" s="14" t="s">
        <v>93</v>
      </c>
      <c r="BE150" s="14" t="s">
        <v>92</v>
      </c>
      <c r="BF150" s="14" t="s">
        <v>92</v>
      </c>
      <c r="BG150" s="14" t="s">
        <v>92</v>
      </c>
      <c r="BH150" s="14" t="s">
        <v>92</v>
      </c>
      <c r="BI150" s="14" t="s">
        <v>92</v>
      </c>
      <c r="BJ150" s="14" t="s">
        <v>92</v>
      </c>
      <c r="BK150" s="14" t="s">
        <v>765</v>
      </c>
      <c r="BL150" s="13" t="s">
        <v>93</v>
      </c>
      <c r="BM150" s="13" t="s">
        <v>92</v>
      </c>
      <c r="BN150" s="13" t="s">
        <v>92</v>
      </c>
      <c r="BO150" s="13" t="s">
        <v>93</v>
      </c>
      <c r="BP150" s="13" t="s">
        <v>93</v>
      </c>
      <c r="BQ150" s="8" t="s">
        <v>92</v>
      </c>
      <c r="BR150" s="8" t="s">
        <v>92</v>
      </c>
      <c r="BS150" s="8" t="s">
        <v>92</v>
      </c>
      <c r="BT150" s="8" t="s">
        <v>93</v>
      </c>
      <c r="BU150" s="8" t="s">
        <v>92</v>
      </c>
      <c r="BV150" s="8" t="s">
        <v>93</v>
      </c>
      <c r="BW150" s="8" t="s">
        <v>92</v>
      </c>
      <c r="BX150" s="8" t="s">
        <v>92</v>
      </c>
      <c r="BY150" s="8" t="s">
        <v>92</v>
      </c>
      <c r="BZ150" s="8" t="s">
        <v>93</v>
      </c>
      <c r="CA150" s="8" t="s">
        <v>92</v>
      </c>
      <c r="CB150" s="24" t="s">
        <v>782</v>
      </c>
      <c r="CC150" s="17"/>
      <c r="CD150" s="18"/>
      <c r="CE150" s="18"/>
      <c r="CF150" s="18"/>
      <c r="CG150" s="18"/>
      <c r="CH150" s="14"/>
    </row>
    <row r="151">
      <c r="A151" s="8"/>
      <c r="B151" s="16" t="s">
        <v>759</v>
      </c>
      <c r="C151" s="10" t="s">
        <v>760</v>
      </c>
      <c r="D151" s="9" t="s">
        <v>87</v>
      </c>
      <c r="E151" s="11" t="s">
        <v>783</v>
      </c>
      <c r="F151" s="12"/>
      <c r="G151" s="14" t="s">
        <v>784</v>
      </c>
      <c r="H151" s="14" t="s">
        <v>110</v>
      </c>
      <c r="I151" s="14" t="s">
        <v>785</v>
      </c>
      <c r="J151" s="14" t="s">
        <v>92</v>
      </c>
      <c r="K151" s="14" t="s">
        <v>92</v>
      </c>
      <c r="L151" s="14" t="s">
        <v>93</v>
      </c>
      <c r="M151" s="14" t="s">
        <v>92</v>
      </c>
      <c r="N151" s="14" t="s">
        <v>92</v>
      </c>
      <c r="O151" s="14" t="s">
        <v>92</v>
      </c>
      <c r="P151" s="14" t="s">
        <v>92</v>
      </c>
      <c r="Q151" s="14" t="s">
        <v>92</v>
      </c>
      <c r="R151" s="14" t="s">
        <v>92</v>
      </c>
      <c r="S151" s="14" t="s">
        <v>93</v>
      </c>
      <c r="T151" s="14" t="s">
        <v>92</v>
      </c>
      <c r="U151" s="14" t="s">
        <v>92</v>
      </c>
      <c r="V151" s="14" t="s">
        <v>92</v>
      </c>
      <c r="W151" s="14" t="s">
        <v>92</v>
      </c>
      <c r="X151" s="14" t="s">
        <v>92</v>
      </c>
      <c r="Y151" s="14" t="s">
        <v>92</v>
      </c>
      <c r="Z151" s="14" t="s">
        <v>92</v>
      </c>
      <c r="AA151" s="14" t="s">
        <v>92</v>
      </c>
      <c r="AB151" s="8" t="s">
        <v>93</v>
      </c>
      <c r="AC151" s="8" t="s">
        <v>92</v>
      </c>
      <c r="AD151" s="8" t="s">
        <v>92</v>
      </c>
      <c r="AE151" s="14" t="s">
        <v>148</v>
      </c>
      <c r="AF151" s="14" t="s">
        <v>92</v>
      </c>
      <c r="AG151" s="13" t="s">
        <v>95</v>
      </c>
      <c r="AH151" s="8" t="s">
        <v>105</v>
      </c>
      <c r="AI151" s="13" t="s">
        <v>105</v>
      </c>
      <c r="AJ151" s="13" t="s">
        <v>105</v>
      </c>
      <c r="AK151" s="13" t="s">
        <v>92</v>
      </c>
      <c r="AL151" s="13" t="s">
        <v>93</v>
      </c>
      <c r="AM151" s="8" t="s">
        <v>95</v>
      </c>
      <c r="AN151" s="14" t="s">
        <v>114</v>
      </c>
      <c r="AO151" s="15" t="s">
        <v>92</v>
      </c>
      <c r="AP151" s="15" t="s">
        <v>92</v>
      </c>
      <c r="AQ151" s="13" t="s">
        <v>93</v>
      </c>
      <c r="AR151" s="13" t="s">
        <v>93</v>
      </c>
      <c r="AS151" s="13" t="s">
        <v>93</v>
      </c>
      <c r="AT151" s="13" t="s">
        <v>93</v>
      </c>
      <c r="AU151" s="13" t="s">
        <v>93</v>
      </c>
      <c r="AV151" s="13" t="s">
        <v>93</v>
      </c>
      <c r="AW151" s="13" t="s">
        <v>93</v>
      </c>
      <c r="AX151" s="13" t="s">
        <v>92</v>
      </c>
      <c r="AY151" s="15" t="s">
        <v>95</v>
      </c>
      <c r="AZ151" s="15" t="s">
        <v>95</v>
      </c>
      <c r="BA151" s="16" t="s">
        <v>759</v>
      </c>
      <c r="BB151" s="8" t="s">
        <v>155</v>
      </c>
      <c r="BC151" s="8" t="s">
        <v>92</v>
      </c>
      <c r="BD151" s="14" t="s">
        <v>93</v>
      </c>
      <c r="BE151" s="14" t="s">
        <v>92</v>
      </c>
      <c r="BF151" s="14" t="s">
        <v>92</v>
      </c>
      <c r="BG151" s="14" t="s">
        <v>92</v>
      </c>
      <c r="BH151" s="14" t="s">
        <v>92</v>
      </c>
      <c r="BI151" s="14" t="s">
        <v>92</v>
      </c>
      <c r="BJ151" s="14" t="s">
        <v>92</v>
      </c>
      <c r="BK151" s="14" t="s">
        <v>765</v>
      </c>
      <c r="BL151" s="13" t="s">
        <v>93</v>
      </c>
      <c r="BM151" s="13" t="s">
        <v>92</v>
      </c>
      <c r="BN151" s="13" t="s">
        <v>92</v>
      </c>
      <c r="BO151" s="13" t="s">
        <v>93</v>
      </c>
      <c r="BP151" s="13" t="s">
        <v>93</v>
      </c>
      <c r="BQ151" s="8" t="s">
        <v>92</v>
      </c>
      <c r="BR151" s="8" t="s">
        <v>92</v>
      </c>
      <c r="BS151" s="8" t="s">
        <v>93</v>
      </c>
      <c r="BT151" s="8" t="s">
        <v>92</v>
      </c>
      <c r="BU151" s="8" t="s">
        <v>92</v>
      </c>
      <c r="BV151" s="8" t="s">
        <v>92</v>
      </c>
      <c r="BW151" s="8" t="s">
        <v>92</v>
      </c>
      <c r="BX151" s="8" t="s">
        <v>92</v>
      </c>
      <c r="BY151" s="8" t="s">
        <v>92</v>
      </c>
      <c r="BZ151" s="8" t="s">
        <v>92</v>
      </c>
      <c r="CA151" s="8" t="s">
        <v>92</v>
      </c>
      <c r="CB151" s="24" t="s">
        <v>782</v>
      </c>
      <c r="CC151" s="17"/>
      <c r="CD151" s="18"/>
      <c r="CE151" s="18"/>
      <c r="CF151" s="18"/>
      <c r="CG151" s="18"/>
      <c r="CH151" s="14"/>
    </row>
    <row r="152">
      <c r="A152" s="8"/>
      <c r="B152" s="28" t="s">
        <v>759</v>
      </c>
      <c r="C152" s="10" t="s">
        <v>760</v>
      </c>
      <c r="D152" s="9" t="s">
        <v>87</v>
      </c>
      <c r="E152" s="11" t="s">
        <v>786</v>
      </c>
      <c r="F152" s="12"/>
      <c r="G152" s="14" t="s">
        <v>787</v>
      </c>
      <c r="H152" s="14" t="s">
        <v>90</v>
      </c>
      <c r="I152" s="14" t="s">
        <v>788</v>
      </c>
      <c r="J152" s="14" t="s">
        <v>92</v>
      </c>
      <c r="K152" s="14" t="s">
        <v>92</v>
      </c>
      <c r="L152" s="14" t="s">
        <v>92</v>
      </c>
      <c r="M152" s="14" t="s">
        <v>92</v>
      </c>
      <c r="N152" s="14" t="s">
        <v>92</v>
      </c>
      <c r="O152" s="14" t="s">
        <v>92</v>
      </c>
      <c r="P152" s="14" t="s">
        <v>92</v>
      </c>
      <c r="Q152" s="14" t="s">
        <v>92</v>
      </c>
      <c r="R152" s="14" t="s">
        <v>92</v>
      </c>
      <c r="S152" s="14" t="s">
        <v>93</v>
      </c>
      <c r="T152" s="14" t="s">
        <v>92</v>
      </c>
      <c r="U152" s="14" t="s">
        <v>92</v>
      </c>
      <c r="V152" s="14" t="s">
        <v>92</v>
      </c>
      <c r="W152" s="14" t="s">
        <v>92</v>
      </c>
      <c r="X152" s="14" t="s">
        <v>92</v>
      </c>
      <c r="Y152" s="14" t="s">
        <v>92</v>
      </c>
      <c r="Z152" s="14" t="s">
        <v>92</v>
      </c>
      <c r="AA152" s="14" t="s">
        <v>92</v>
      </c>
      <c r="AB152" s="8" t="s">
        <v>93</v>
      </c>
      <c r="AC152" s="8" t="s">
        <v>92</v>
      </c>
      <c r="AD152" s="8" t="s">
        <v>92</v>
      </c>
      <c r="AE152" s="14" t="s">
        <v>112</v>
      </c>
      <c r="AF152" s="14" t="s">
        <v>92</v>
      </c>
      <c r="AG152" s="13" t="s">
        <v>95</v>
      </c>
      <c r="AH152" s="8" t="s">
        <v>105</v>
      </c>
      <c r="AI152" s="13" t="s">
        <v>105</v>
      </c>
      <c r="AJ152" s="13" t="s">
        <v>105</v>
      </c>
      <c r="AK152" s="13" t="s">
        <v>92</v>
      </c>
      <c r="AL152" s="13" t="s">
        <v>93</v>
      </c>
      <c r="AM152" s="8" t="s">
        <v>95</v>
      </c>
      <c r="AN152" s="14" t="s">
        <v>114</v>
      </c>
      <c r="AO152" s="15" t="s">
        <v>92</v>
      </c>
      <c r="AP152" s="15" t="s">
        <v>92</v>
      </c>
      <c r="AQ152" s="13" t="s">
        <v>93</v>
      </c>
      <c r="AR152" s="13" t="s">
        <v>93</v>
      </c>
      <c r="AS152" s="13" t="s">
        <v>93</v>
      </c>
      <c r="AT152" s="13" t="s">
        <v>93</v>
      </c>
      <c r="AU152" s="13" t="s">
        <v>93</v>
      </c>
      <c r="AV152" s="13" t="s">
        <v>93</v>
      </c>
      <c r="AW152" s="13" t="s">
        <v>93</v>
      </c>
      <c r="AX152" s="13" t="s">
        <v>92</v>
      </c>
      <c r="AY152" s="15" t="s">
        <v>95</v>
      </c>
      <c r="AZ152" s="15" t="s">
        <v>95</v>
      </c>
      <c r="BA152" s="16" t="s">
        <v>759</v>
      </c>
      <c r="BB152" s="8" t="s">
        <v>155</v>
      </c>
      <c r="BC152" s="8" t="s">
        <v>92</v>
      </c>
      <c r="BD152" s="14" t="s">
        <v>93</v>
      </c>
      <c r="BE152" s="14" t="s">
        <v>92</v>
      </c>
      <c r="BF152" s="14" t="s">
        <v>92</v>
      </c>
      <c r="BG152" s="14" t="s">
        <v>92</v>
      </c>
      <c r="BH152" s="14" t="s">
        <v>92</v>
      </c>
      <c r="BI152" s="14" t="s">
        <v>92</v>
      </c>
      <c r="BJ152" s="14" t="s">
        <v>92</v>
      </c>
      <c r="BK152" s="16" t="s">
        <v>776</v>
      </c>
      <c r="BL152" s="13" t="s">
        <v>105</v>
      </c>
      <c r="BM152" s="13" t="s">
        <v>105</v>
      </c>
      <c r="BN152" s="13" t="s">
        <v>105</v>
      </c>
      <c r="BO152" s="13" t="s">
        <v>105</v>
      </c>
      <c r="BP152" s="13" t="s">
        <v>105</v>
      </c>
      <c r="BQ152" s="8" t="s">
        <v>92</v>
      </c>
      <c r="BR152" s="8" t="s">
        <v>92</v>
      </c>
      <c r="BS152" s="8" t="s">
        <v>93</v>
      </c>
      <c r="BT152" s="8" t="s">
        <v>92</v>
      </c>
      <c r="BU152" s="8" t="s">
        <v>92</v>
      </c>
      <c r="BV152" s="8" t="s">
        <v>92</v>
      </c>
      <c r="BW152" s="8" t="s">
        <v>92</v>
      </c>
      <c r="BX152" s="8" t="s">
        <v>93</v>
      </c>
      <c r="BY152" s="8" t="s">
        <v>92</v>
      </c>
      <c r="BZ152" s="8" t="s">
        <v>92</v>
      </c>
      <c r="CA152" s="8" t="s">
        <v>92</v>
      </c>
      <c r="CB152" s="24" t="s">
        <v>782</v>
      </c>
      <c r="CC152" s="17"/>
      <c r="CD152" s="18"/>
      <c r="CE152" s="18"/>
      <c r="CF152" s="18"/>
      <c r="CG152" s="18"/>
      <c r="CH152" s="14"/>
    </row>
    <row r="153">
      <c r="A153" s="8"/>
      <c r="B153" s="16" t="s">
        <v>759</v>
      </c>
      <c r="C153" s="10" t="s">
        <v>760</v>
      </c>
      <c r="D153" s="9" t="s">
        <v>87</v>
      </c>
      <c r="E153" s="11" t="s">
        <v>789</v>
      </c>
      <c r="F153" s="12"/>
      <c r="G153" s="14" t="s">
        <v>790</v>
      </c>
      <c r="H153" s="14" t="s">
        <v>110</v>
      </c>
      <c r="I153" s="14" t="s">
        <v>791</v>
      </c>
      <c r="J153" s="14" t="s">
        <v>92</v>
      </c>
      <c r="K153" s="14" t="s">
        <v>92</v>
      </c>
      <c r="L153" s="14" t="s">
        <v>93</v>
      </c>
      <c r="M153" s="14" t="s">
        <v>92</v>
      </c>
      <c r="N153" s="14" t="s">
        <v>92</v>
      </c>
      <c r="O153" s="14" t="s">
        <v>92</v>
      </c>
      <c r="P153" s="14" t="s">
        <v>92</v>
      </c>
      <c r="Q153" s="14" t="s">
        <v>92</v>
      </c>
      <c r="R153" s="14" t="s">
        <v>92</v>
      </c>
      <c r="S153" s="14" t="s">
        <v>93</v>
      </c>
      <c r="T153" s="14" t="s">
        <v>92</v>
      </c>
      <c r="U153" s="14" t="s">
        <v>92</v>
      </c>
      <c r="V153" s="14" t="s">
        <v>92</v>
      </c>
      <c r="W153" s="14" t="s">
        <v>92</v>
      </c>
      <c r="X153" s="14" t="s">
        <v>92</v>
      </c>
      <c r="Y153" s="14" t="s">
        <v>92</v>
      </c>
      <c r="Z153" s="14" t="s">
        <v>92</v>
      </c>
      <c r="AA153" s="14" t="s">
        <v>92</v>
      </c>
      <c r="AB153" s="8" t="s">
        <v>93</v>
      </c>
      <c r="AC153" s="8" t="s">
        <v>93</v>
      </c>
      <c r="AD153" s="8" t="s">
        <v>92</v>
      </c>
      <c r="AE153" s="14" t="s">
        <v>112</v>
      </c>
      <c r="AF153" s="14" t="s">
        <v>92</v>
      </c>
      <c r="AG153" s="13" t="s">
        <v>95</v>
      </c>
      <c r="AH153" s="8" t="s">
        <v>105</v>
      </c>
      <c r="AI153" s="13" t="s">
        <v>105</v>
      </c>
      <c r="AJ153" s="13" t="s">
        <v>105</v>
      </c>
      <c r="AK153" s="13" t="s">
        <v>92</v>
      </c>
      <c r="AL153" s="13" t="s">
        <v>93</v>
      </c>
      <c r="AM153" s="8" t="s">
        <v>95</v>
      </c>
      <c r="AN153" s="14" t="s">
        <v>114</v>
      </c>
      <c r="AO153" s="15" t="s">
        <v>92</v>
      </c>
      <c r="AP153" s="15" t="s">
        <v>92</v>
      </c>
      <c r="AQ153" s="13" t="s">
        <v>93</v>
      </c>
      <c r="AR153" s="13" t="s">
        <v>93</v>
      </c>
      <c r="AS153" s="13" t="s">
        <v>93</v>
      </c>
      <c r="AT153" s="13" t="s">
        <v>93</v>
      </c>
      <c r="AU153" s="13" t="s">
        <v>93</v>
      </c>
      <c r="AV153" s="13" t="s">
        <v>93</v>
      </c>
      <c r="AW153" s="13" t="s">
        <v>93</v>
      </c>
      <c r="AX153" s="13" t="s">
        <v>92</v>
      </c>
      <c r="AY153" s="15" t="s">
        <v>95</v>
      </c>
      <c r="AZ153" s="15" t="s">
        <v>95</v>
      </c>
      <c r="BA153" s="16" t="s">
        <v>759</v>
      </c>
      <c r="BB153" s="8" t="s">
        <v>155</v>
      </c>
      <c r="BC153" s="8" t="s">
        <v>92</v>
      </c>
      <c r="BD153" s="14" t="s">
        <v>93</v>
      </c>
      <c r="BE153" s="14" t="s">
        <v>92</v>
      </c>
      <c r="BF153" s="14" t="s">
        <v>92</v>
      </c>
      <c r="BG153" s="14" t="s">
        <v>92</v>
      </c>
      <c r="BH153" s="14" t="s">
        <v>92</v>
      </c>
      <c r="BI153" s="14" t="s">
        <v>92</v>
      </c>
      <c r="BJ153" s="14" t="s">
        <v>92</v>
      </c>
      <c r="BK153" s="14" t="s">
        <v>765</v>
      </c>
      <c r="BL153" s="13" t="s">
        <v>93</v>
      </c>
      <c r="BM153" s="13" t="s">
        <v>92</v>
      </c>
      <c r="BN153" s="13" t="s">
        <v>92</v>
      </c>
      <c r="BO153" s="13" t="s">
        <v>93</v>
      </c>
      <c r="BP153" s="13" t="s">
        <v>93</v>
      </c>
      <c r="BQ153" s="8" t="s">
        <v>92</v>
      </c>
      <c r="BR153" s="8" t="s">
        <v>92</v>
      </c>
      <c r="BS153" s="8" t="s">
        <v>93</v>
      </c>
      <c r="BT153" s="8" t="s">
        <v>92</v>
      </c>
      <c r="BU153" s="8" t="s">
        <v>92</v>
      </c>
      <c r="BV153" s="8" t="s">
        <v>92</v>
      </c>
      <c r="BW153" s="8" t="s">
        <v>92</v>
      </c>
      <c r="BX153" s="8" t="s">
        <v>92</v>
      </c>
      <c r="BY153" s="8" t="s">
        <v>92</v>
      </c>
      <c r="BZ153" s="8" t="s">
        <v>92</v>
      </c>
      <c r="CA153" s="8" t="s">
        <v>92</v>
      </c>
      <c r="CB153" s="24" t="s">
        <v>782</v>
      </c>
      <c r="CC153" s="17"/>
      <c r="CD153" s="18"/>
      <c r="CE153" s="18"/>
      <c r="CF153" s="18"/>
      <c r="CG153" s="18"/>
      <c r="CH153" s="14"/>
    </row>
    <row r="154">
      <c r="A154" s="8"/>
      <c r="B154" s="16" t="s">
        <v>759</v>
      </c>
      <c r="C154" s="10" t="s">
        <v>760</v>
      </c>
      <c r="D154" s="9" t="s">
        <v>87</v>
      </c>
      <c r="E154" s="11" t="s">
        <v>792</v>
      </c>
      <c r="F154" s="12"/>
      <c r="G154" s="14" t="s">
        <v>793</v>
      </c>
      <c r="H154" s="14" t="s">
        <v>90</v>
      </c>
      <c r="I154" s="13" t="s">
        <v>794</v>
      </c>
      <c r="J154" s="14" t="s">
        <v>92</v>
      </c>
      <c r="K154" s="14" t="s">
        <v>92</v>
      </c>
      <c r="L154" s="14" t="s">
        <v>93</v>
      </c>
      <c r="M154" s="14" t="s">
        <v>92</v>
      </c>
      <c r="N154" s="14" t="s">
        <v>92</v>
      </c>
      <c r="O154" s="14" t="s">
        <v>92</v>
      </c>
      <c r="P154" s="14" t="s">
        <v>92</v>
      </c>
      <c r="Q154" s="14" t="s">
        <v>92</v>
      </c>
      <c r="R154" s="14" t="s">
        <v>92</v>
      </c>
      <c r="S154" s="14" t="s">
        <v>93</v>
      </c>
      <c r="T154" s="14" t="s">
        <v>92</v>
      </c>
      <c r="U154" s="14" t="s">
        <v>92</v>
      </c>
      <c r="V154" s="14" t="s">
        <v>92</v>
      </c>
      <c r="W154" s="14" t="s">
        <v>92</v>
      </c>
      <c r="X154" s="14" t="s">
        <v>92</v>
      </c>
      <c r="Y154" s="14" t="s">
        <v>92</v>
      </c>
      <c r="Z154" s="14" t="s">
        <v>92</v>
      </c>
      <c r="AA154" s="14" t="s">
        <v>92</v>
      </c>
      <c r="AB154" s="8" t="s">
        <v>93</v>
      </c>
      <c r="AC154" s="8" t="s">
        <v>92</v>
      </c>
      <c r="AD154" s="8" t="s">
        <v>92</v>
      </c>
      <c r="AE154" s="14" t="s">
        <v>103</v>
      </c>
      <c r="AF154" s="14" t="s">
        <v>92</v>
      </c>
      <c r="AG154" s="13" t="s">
        <v>95</v>
      </c>
      <c r="AH154" s="8">
        <v>2022.0</v>
      </c>
      <c r="AI154" s="13" t="s">
        <v>105</v>
      </c>
      <c r="AJ154" s="13" t="s">
        <v>105</v>
      </c>
      <c r="AK154" s="14" t="s">
        <v>93</v>
      </c>
      <c r="AL154" s="14" t="s">
        <v>93</v>
      </c>
      <c r="AM154" s="8" t="s">
        <v>95</v>
      </c>
      <c r="AN154" s="14" t="s">
        <v>114</v>
      </c>
      <c r="AO154" s="8" t="s">
        <v>93</v>
      </c>
      <c r="AP154" s="8" t="s">
        <v>92</v>
      </c>
      <c r="AQ154" s="13" t="s">
        <v>93</v>
      </c>
      <c r="AR154" s="13" t="s">
        <v>93</v>
      </c>
      <c r="AS154" s="13" t="s">
        <v>93</v>
      </c>
      <c r="AT154" s="13" t="s">
        <v>93</v>
      </c>
      <c r="AU154" s="13" t="s">
        <v>93</v>
      </c>
      <c r="AV154" s="13" t="s">
        <v>93</v>
      </c>
      <c r="AW154" s="13" t="s">
        <v>93</v>
      </c>
      <c r="AX154" s="13" t="s">
        <v>92</v>
      </c>
      <c r="AY154" s="15" t="s">
        <v>95</v>
      </c>
      <c r="AZ154" s="15" t="s">
        <v>95</v>
      </c>
      <c r="BA154" s="16" t="s">
        <v>759</v>
      </c>
      <c r="BB154" s="8" t="s">
        <v>155</v>
      </c>
      <c r="BC154" s="8" t="s">
        <v>92</v>
      </c>
      <c r="BD154" s="14" t="s">
        <v>93</v>
      </c>
      <c r="BE154" s="14" t="s">
        <v>92</v>
      </c>
      <c r="BF154" s="14" t="s">
        <v>92</v>
      </c>
      <c r="BG154" s="14" t="s">
        <v>92</v>
      </c>
      <c r="BH154" s="14" t="s">
        <v>92</v>
      </c>
      <c r="BI154" s="14" t="s">
        <v>92</v>
      </c>
      <c r="BJ154" s="14" t="s">
        <v>92</v>
      </c>
      <c r="BK154" s="14" t="s">
        <v>156</v>
      </c>
      <c r="BL154" s="14" t="s">
        <v>92</v>
      </c>
      <c r="BM154" s="14" t="s">
        <v>92</v>
      </c>
      <c r="BN154" s="14" t="s">
        <v>92</v>
      </c>
      <c r="BO154" s="14" t="s">
        <v>92</v>
      </c>
      <c r="BP154" s="14" t="s">
        <v>93</v>
      </c>
      <c r="BQ154" s="8" t="s">
        <v>92</v>
      </c>
      <c r="BR154" s="8" t="s">
        <v>92</v>
      </c>
      <c r="BS154" s="8" t="s">
        <v>93</v>
      </c>
      <c r="BT154" s="8" t="s">
        <v>92</v>
      </c>
      <c r="BU154" s="8" t="s">
        <v>92</v>
      </c>
      <c r="BV154" s="8" t="s">
        <v>92</v>
      </c>
      <c r="BW154" s="8" t="s">
        <v>92</v>
      </c>
      <c r="BX154" s="8" t="s">
        <v>92</v>
      </c>
      <c r="BY154" s="8" t="s">
        <v>92</v>
      </c>
      <c r="BZ154" s="8" t="s">
        <v>92</v>
      </c>
      <c r="CA154" s="8" t="s">
        <v>92</v>
      </c>
      <c r="CB154" s="17" t="s">
        <v>766</v>
      </c>
      <c r="CC154" s="17"/>
      <c r="CD154" s="18"/>
      <c r="CE154" s="18"/>
      <c r="CF154" s="18"/>
      <c r="CG154" s="18"/>
      <c r="CH154" s="14"/>
    </row>
    <row r="155">
      <c r="A155" s="8"/>
      <c r="B155" s="16" t="s">
        <v>759</v>
      </c>
      <c r="C155" s="10" t="s">
        <v>760</v>
      </c>
      <c r="D155" s="9" t="s">
        <v>87</v>
      </c>
      <c r="E155" s="11" t="s">
        <v>795</v>
      </c>
      <c r="F155" s="12"/>
      <c r="G155" s="14" t="s">
        <v>796</v>
      </c>
      <c r="H155" s="14" t="s">
        <v>90</v>
      </c>
      <c r="I155" s="14" t="s">
        <v>797</v>
      </c>
      <c r="J155" s="14" t="s">
        <v>93</v>
      </c>
      <c r="K155" s="14" t="s">
        <v>92</v>
      </c>
      <c r="L155" s="14" t="s">
        <v>92</v>
      </c>
      <c r="M155" s="14" t="s">
        <v>92</v>
      </c>
      <c r="N155" s="14" t="s">
        <v>92</v>
      </c>
      <c r="O155" s="14" t="s">
        <v>92</v>
      </c>
      <c r="P155" s="14" t="s">
        <v>92</v>
      </c>
      <c r="Q155" s="14" t="s">
        <v>92</v>
      </c>
      <c r="R155" s="14" t="s">
        <v>92</v>
      </c>
      <c r="S155" s="14" t="s">
        <v>93</v>
      </c>
      <c r="T155" s="14" t="s">
        <v>92</v>
      </c>
      <c r="U155" s="14" t="s">
        <v>92</v>
      </c>
      <c r="V155" s="14" t="s">
        <v>92</v>
      </c>
      <c r="W155" s="14" t="s">
        <v>92</v>
      </c>
      <c r="X155" s="14" t="s">
        <v>92</v>
      </c>
      <c r="Y155" s="14" t="s">
        <v>92</v>
      </c>
      <c r="Z155" s="14" t="s">
        <v>93</v>
      </c>
      <c r="AA155" s="14" t="s">
        <v>92</v>
      </c>
      <c r="AB155" s="8" t="s">
        <v>92</v>
      </c>
      <c r="AC155" s="8" t="s">
        <v>93</v>
      </c>
      <c r="AD155" s="8" t="s">
        <v>92</v>
      </c>
      <c r="AE155" s="14" t="s">
        <v>112</v>
      </c>
      <c r="AF155" s="14" t="s">
        <v>92</v>
      </c>
      <c r="AG155" s="13" t="s">
        <v>95</v>
      </c>
      <c r="AH155" s="8" t="s">
        <v>105</v>
      </c>
      <c r="AI155" s="13" t="s">
        <v>105</v>
      </c>
      <c r="AJ155" s="13" t="s">
        <v>105</v>
      </c>
      <c r="AK155" s="14" t="s">
        <v>93</v>
      </c>
      <c r="AL155" s="14" t="s">
        <v>92</v>
      </c>
      <c r="AM155" s="8" t="s">
        <v>105</v>
      </c>
      <c r="AN155" s="13" t="s">
        <v>105</v>
      </c>
      <c r="AO155" s="8" t="s">
        <v>105</v>
      </c>
      <c r="AP155" s="8" t="s">
        <v>92</v>
      </c>
      <c r="AQ155" s="13" t="s">
        <v>93</v>
      </c>
      <c r="AR155" s="13" t="s">
        <v>93</v>
      </c>
      <c r="AS155" s="13" t="s">
        <v>93</v>
      </c>
      <c r="AT155" s="13" t="s">
        <v>93</v>
      </c>
      <c r="AU155" s="13" t="s">
        <v>93</v>
      </c>
      <c r="AV155" s="13" t="s">
        <v>93</v>
      </c>
      <c r="AW155" s="13" t="s">
        <v>93</v>
      </c>
      <c r="AX155" s="13" t="s">
        <v>92</v>
      </c>
      <c r="AY155" s="15" t="s">
        <v>95</v>
      </c>
      <c r="AZ155" s="15" t="s">
        <v>95</v>
      </c>
      <c r="BA155" s="16" t="s">
        <v>759</v>
      </c>
      <c r="BB155" s="8" t="s">
        <v>155</v>
      </c>
      <c r="BC155" s="8" t="s">
        <v>92</v>
      </c>
      <c r="BD155" s="14" t="s">
        <v>93</v>
      </c>
      <c r="BE155" s="14" t="s">
        <v>92</v>
      </c>
      <c r="BF155" s="14" t="s">
        <v>92</v>
      </c>
      <c r="BG155" s="14" t="s">
        <v>92</v>
      </c>
      <c r="BH155" s="14" t="s">
        <v>92</v>
      </c>
      <c r="BI155" s="14" t="s">
        <v>92</v>
      </c>
      <c r="BJ155" s="14" t="s">
        <v>92</v>
      </c>
      <c r="BK155" s="16" t="s">
        <v>776</v>
      </c>
      <c r="BL155" s="13" t="s">
        <v>105</v>
      </c>
      <c r="BM155" s="13" t="s">
        <v>105</v>
      </c>
      <c r="BN155" s="13" t="s">
        <v>105</v>
      </c>
      <c r="BO155" s="13" t="s">
        <v>105</v>
      </c>
      <c r="BP155" s="13" t="s">
        <v>105</v>
      </c>
      <c r="BQ155" s="8" t="s">
        <v>92</v>
      </c>
      <c r="BR155" s="8" t="s">
        <v>92</v>
      </c>
      <c r="BS155" s="8" t="s">
        <v>92</v>
      </c>
      <c r="BT155" s="8" t="s">
        <v>93</v>
      </c>
      <c r="BU155" s="8" t="s">
        <v>93</v>
      </c>
      <c r="BV155" s="8" t="s">
        <v>93</v>
      </c>
      <c r="BW155" s="8" t="s">
        <v>92</v>
      </c>
      <c r="BX155" s="8" t="s">
        <v>92</v>
      </c>
      <c r="BY155" s="8" t="s">
        <v>92</v>
      </c>
      <c r="BZ155" s="8" t="s">
        <v>92</v>
      </c>
      <c r="CA155" s="8" t="s">
        <v>92</v>
      </c>
      <c r="CB155" s="17" t="s">
        <v>766</v>
      </c>
      <c r="CC155" s="17"/>
      <c r="CD155" s="18"/>
      <c r="CE155" s="18"/>
      <c r="CF155" s="18"/>
      <c r="CG155" s="18"/>
      <c r="CH155" s="14"/>
    </row>
    <row r="156">
      <c r="A156" s="8"/>
      <c r="B156" s="16" t="s">
        <v>759</v>
      </c>
      <c r="C156" s="10" t="s">
        <v>760</v>
      </c>
      <c r="D156" s="9" t="s">
        <v>87</v>
      </c>
      <c r="E156" s="11" t="s">
        <v>798</v>
      </c>
      <c r="F156" s="25"/>
      <c r="G156" s="9" t="s">
        <v>799</v>
      </c>
      <c r="H156" s="14" t="s">
        <v>110</v>
      </c>
      <c r="I156" s="14" t="s">
        <v>800</v>
      </c>
      <c r="J156" s="14" t="s">
        <v>92</v>
      </c>
      <c r="K156" s="14" t="s">
        <v>92</v>
      </c>
      <c r="L156" s="14" t="s">
        <v>93</v>
      </c>
      <c r="M156" s="14" t="s">
        <v>92</v>
      </c>
      <c r="N156" s="14" t="s">
        <v>92</v>
      </c>
      <c r="O156" s="14" t="s">
        <v>92</v>
      </c>
      <c r="P156" s="14" t="s">
        <v>93</v>
      </c>
      <c r="Q156" s="14" t="s">
        <v>92</v>
      </c>
      <c r="R156" s="14" t="s">
        <v>92</v>
      </c>
      <c r="S156" s="14" t="s">
        <v>92</v>
      </c>
      <c r="T156" s="14" t="s">
        <v>92</v>
      </c>
      <c r="U156" s="14" t="s">
        <v>92</v>
      </c>
      <c r="V156" s="14" t="s">
        <v>92</v>
      </c>
      <c r="W156" s="14" t="s">
        <v>92</v>
      </c>
      <c r="X156" s="14" t="s">
        <v>92</v>
      </c>
      <c r="Y156" s="14" t="s">
        <v>93</v>
      </c>
      <c r="Z156" s="14" t="s">
        <v>93</v>
      </c>
      <c r="AA156" s="14" t="s">
        <v>92</v>
      </c>
      <c r="AB156" s="8" t="s">
        <v>93</v>
      </c>
      <c r="AC156" s="8" t="s">
        <v>93</v>
      </c>
      <c r="AD156" s="8" t="s">
        <v>92</v>
      </c>
      <c r="AE156" s="14" t="s">
        <v>112</v>
      </c>
      <c r="AF156" s="14" t="s">
        <v>92</v>
      </c>
      <c r="AG156" s="13" t="s">
        <v>95</v>
      </c>
      <c r="AH156" s="8" t="s">
        <v>105</v>
      </c>
      <c r="AI156" s="13" t="s">
        <v>105</v>
      </c>
      <c r="AJ156" s="13" t="s">
        <v>105</v>
      </c>
      <c r="AK156" s="14" t="s">
        <v>93</v>
      </c>
      <c r="AL156" s="14" t="s">
        <v>92</v>
      </c>
      <c r="AM156" s="8" t="s">
        <v>105</v>
      </c>
      <c r="AN156" s="13" t="s">
        <v>105</v>
      </c>
      <c r="AO156" s="8" t="s">
        <v>105</v>
      </c>
      <c r="AP156" s="8" t="s">
        <v>92</v>
      </c>
      <c r="AQ156" s="13" t="s">
        <v>93</v>
      </c>
      <c r="AR156" s="13" t="s">
        <v>93</v>
      </c>
      <c r="AS156" s="13" t="s">
        <v>93</v>
      </c>
      <c r="AT156" s="13" t="s">
        <v>93</v>
      </c>
      <c r="AU156" s="13" t="s">
        <v>93</v>
      </c>
      <c r="AV156" s="13" t="s">
        <v>93</v>
      </c>
      <c r="AW156" s="13" t="s">
        <v>93</v>
      </c>
      <c r="AX156" s="13" t="s">
        <v>92</v>
      </c>
      <c r="AY156" s="15" t="s">
        <v>95</v>
      </c>
      <c r="AZ156" s="15" t="s">
        <v>95</v>
      </c>
      <c r="BA156" s="16" t="s">
        <v>759</v>
      </c>
      <c r="BB156" s="8" t="s">
        <v>155</v>
      </c>
      <c r="BC156" s="8" t="s">
        <v>92</v>
      </c>
      <c r="BD156" s="14" t="s">
        <v>93</v>
      </c>
      <c r="BE156" s="14" t="s">
        <v>92</v>
      </c>
      <c r="BF156" s="14" t="s">
        <v>92</v>
      </c>
      <c r="BG156" s="14" t="s">
        <v>92</v>
      </c>
      <c r="BH156" s="14" t="s">
        <v>92</v>
      </c>
      <c r="BI156" s="14" t="s">
        <v>92</v>
      </c>
      <c r="BJ156" s="14" t="s">
        <v>92</v>
      </c>
      <c r="BK156" s="14" t="s">
        <v>156</v>
      </c>
      <c r="BL156" s="14" t="s">
        <v>92</v>
      </c>
      <c r="BM156" s="13" t="s">
        <v>92</v>
      </c>
      <c r="BN156" s="13" t="s">
        <v>92</v>
      </c>
      <c r="BO156" s="14" t="s">
        <v>92</v>
      </c>
      <c r="BP156" s="13" t="s">
        <v>93</v>
      </c>
      <c r="BQ156" s="8" t="s">
        <v>92</v>
      </c>
      <c r="BR156" s="8" t="s">
        <v>92</v>
      </c>
      <c r="BS156" s="8" t="s">
        <v>92</v>
      </c>
      <c r="BT156" s="8" t="s">
        <v>93</v>
      </c>
      <c r="BU156" s="8" t="s">
        <v>93</v>
      </c>
      <c r="BV156" s="8" t="s">
        <v>93</v>
      </c>
      <c r="BW156" s="8" t="s">
        <v>92</v>
      </c>
      <c r="BX156" s="8" t="s">
        <v>92</v>
      </c>
      <c r="BY156" s="8" t="s">
        <v>92</v>
      </c>
      <c r="BZ156" s="8" t="s">
        <v>93</v>
      </c>
      <c r="CA156" s="8" t="s">
        <v>92</v>
      </c>
      <c r="CB156" s="17" t="s">
        <v>766</v>
      </c>
      <c r="CC156" s="17" t="s">
        <v>777</v>
      </c>
      <c r="CD156" s="18"/>
      <c r="CE156" s="18"/>
      <c r="CF156" s="18"/>
      <c r="CG156" s="18"/>
      <c r="CH156" s="14"/>
    </row>
    <row r="157">
      <c r="A157" s="8"/>
      <c r="B157" s="16" t="s">
        <v>801</v>
      </c>
      <c r="C157" s="10" t="s">
        <v>802</v>
      </c>
      <c r="D157" s="9" t="s">
        <v>87</v>
      </c>
      <c r="E157" s="11" t="s">
        <v>803</v>
      </c>
      <c r="F157" s="25"/>
      <c r="G157" s="13" t="s">
        <v>804</v>
      </c>
      <c r="H157" s="13" t="s">
        <v>90</v>
      </c>
      <c r="I157" s="13" t="s">
        <v>805</v>
      </c>
      <c r="J157" s="13" t="s">
        <v>92</v>
      </c>
      <c r="K157" s="14" t="s">
        <v>92</v>
      </c>
      <c r="L157" s="14" t="s">
        <v>93</v>
      </c>
      <c r="M157" s="14" t="s">
        <v>93</v>
      </c>
      <c r="N157" s="14" t="s">
        <v>92</v>
      </c>
      <c r="O157" s="14" t="s">
        <v>92</v>
      </c>
      <c r="P157" s="13" t="s">
        <v>92</v>
      </c>
      <c r="Q157" s="13" t="s">
        <v>92</v>
      </c>
      <c r="R157" s="13" t="s">
        <v>92</v>
      </c>
      <c r="S157" s="13" t="s">
        <v>92</v>
      </c>
      <c r="T157" s="14" t="s">
        <v>92</v>
      </c>
      <c r="U157" s="13" t="s">
        <v>92</v>
      </c>
      <c r="V157" s="13" t="s">
        <v>92</v>
      </c>
      <c r="W157" s="13" t="s">
        <v>92</v>
      </c>
      <c r="X157" s="13" t="s">
        <v>92</v>
      </c>
      <c r="Y157" s="13" t="s">
        <v>93</v>
      </c>
      <c r="Z157" s="14" t="s">
        <v>93</v>
      </c>
      <c r="AA157" s="14" t="s">
        <v>92</v>
      </c>
      <c r="AB157" s="15" t="s">
        <v>93</v>
      </c>
      <c r="AC157" s="15" t="s">
        <v>93</v>
      </c>
      <c r="AD157" s="15" t="s">
        <v>92</v>
      </c>
      <c r="AE157" s="14" t="s">
        <v>112</v>
      </c>
      <c r="AF157" s="13" t="s">
        <v>92</v>
      </c>
      <c r="AG157" s="13" t="s">
        <v>95</v>
      </c>
      <c r="AH157" s="15">
        <v>2009.0</v>
      </c>
      <c r="AI157" s="13" t="s">
        <v>93</v>
      </c>
      <c r="AJ157" s="13" t="s">
        <v>93</v>
      </c>
      <c r="AK157" s="13" t="s">
        <v>93</v>
      </c>
      <c r="AL157" s="13" t="s">
        <v>93</v>
      </c>
      <c r="AM157" s="15" t="s">
        <v>95</v>
      </c>
      <c r="AN157" s="13" t="s">
        <v>114</v>
      </c>
      <c r="AO157" s="15" t="s">
        <v>93</v>
      </c>
      <c r="AP157" s="15" t="s">
        <v>92</v>
      </c>
      <c r="AQ157" s="13" t="s">
        <v>93</v>
      </c>
      <c r="AR157" s="13" t="s">
        <v>93</v>
      </c>
      <c r="AS157" s="13" t="s">
        <v>93</v>
      </c>
      <c r="AT157" s="13" t="s">
        <v>93</v>
      </c>
      <c r="AU157" s="13" t="s">
        <v>93</v>
      </c>
      <c r="AV157" s="13" t="s">
        <v>93</v>
      </c>
      <c r="AW157" s="13" t="s">
        <v>93</v>
      </c>
      <c r="AX157" s="13" t="s">
        <v>92</v>
      </c>
      <c r="AY157" s="15" t="s">
        <v>806</v>
      </c>
      <c r="AZ157" s="15" t="s">
        <v>93</v>
      </c>
      <c r="BA157" s="16" t="s">
        <v>807</v>
      </c>
      <c r="BB157" s="8" t="s">
        <v>95</v>
      </c>
      <c r="BC157" s="8" t="s">
        <v>93</v>
      </c>
      <c r="BD157" s="14" t="s">
        <v>93</v>
      </c>
      <c r="BE157" s="13" t="s">
        <v>92</v>
      </c>
      <c r="BF157" s="13" t="s">
        <v>92</v>
      </c>
      <c r="BG157" s="13" t="s">
        <v>92</v>
      </c>
      <c r="BH157" s="13" t="s">
        <v>92</v>
      </c>
      <c r="BI157" s="14" t="s">
        <v>92</v>
      </c>
      <c r="BJ157" s="13" t="s">
        <v>92</v>
      </c>
      <c r="BK157" s="14" t="s">
        <v>156</v>
      </c>
      <c r="BL157" s="13" t="s">
        <v>92</v>
      </c>
      <c r="BM157" s="13" t="s">
        <v>92</v>
      </c>
      <c r="BN157" s="13" t="s">
        <v>92</v>
      </c>
      <c r="BO157" s="13" t="s">
        <v>92</v>
      </c>
      <c r="BP157" s="13" t="s">
        <v>93</v>
      </c>
      <c r="BQ157" s="15" t="s">
        <v>92</v>
      </c>
      <c r="BR157" s="8" t="s">
        <v>92</v>
      </c>
      <c r="BS157" s="8" t="s">
        <v>93</v>
      </c>
      <c r="BT157" s="8" t="s">
        <v>93</v>
      </c>
      <c r="BU157" s="8" t="s">
        <v>92</v>
      </c>
      <c r="BV157" s="8" t="s">
        <v>93</v>
      </c>
      <c r="BW157" s="15" t="s">
        <v>92</v>
      </c>
      <c r="BX157" s="15" t="s">
        <v>92</v>
      </c>
      <c r="BY157" s="15" t="s">
        <v>92</v>
      </c>
      <c r="BZ157" s="8" t="s">
        <v>93</v>
      </c>
      <c r="CA157" s="8" t="s">
        <v>92</v>
      </c>
      <c r="CB157" s="17" t="s">
        <v>808</v>
      </c>
      <c r="CC157" s="17"/>
      <c r="CD157" s="18"/>
      <c r="CE157" s="18"/>
      <c r="CF157" s="18"/>
      <c r="CG157" s="18"/>
      <c r="CH157" s="18"/>
    </row>
    <row r="158">
      <c r="A158" s="8"/>
      <c r="B158" s="16" t="s">
        <v>801</v>
      </c>
      <c r="C158" s="10" t="s">
        <v>802</v>
      </c>
      <c r="D158" s="9" t="s">
        <v>87</v>
      </c>
      <c r="E158" s="11" t="s">
        <v>809</v>
      </c>
      <c r="F158" s="25"/>
      <c r="G158" s="16" t="s">
        <v>810</v>
      </c>
      <c r="H158" s="13" t="s">
        <v>110</v>
      </c>
      <c r="I158" s="14" t="s">
        <v>811</v>
      </c>
      <c r="J158" s="13" t="s">
        <v>92</v>
      </c>
      <c r="K158" s="14" t="s">
        <v>92</v>
      </c>
      <c r="L158" s="14" t="s">
        <v>92</v>
      </c>
      <c r="M158" s="14" t="s">
        <v>93</v>
      </c>
      <c r="N158" s="14" t="s">
        <v>92</v>
      </c>
      <c r="O158" s="13" t="s">
        <v>92</v>
      </c>
      <c r="P158" s="13" t="s">
        <v>92</v>
      </c>
      <c r="Q158" s="13" t="s">
        <v>92</v>
      </c>
      <c r="R158" s="13" t="s">
        <v>92</v>
      </c>
      <c r="S158" s="13" t="s">
        <v>92</v>
      </c>
      <c r="T158" s="13" t="s">
        <v>93</v>
      </c>
      <c r="U158" s="13" t="s">
        <v>92</v>
      </c>
      <c r="V158" s="13" t="s">
        <v>92</v>
      </c>
      <c r="W158" s="13" t="s">
        <v>92</v>
      </c>
      <c r="X158" s="13" t="s">
        <v>92</v>
      </c>
      <c r="Y158" s="13" t="s">
        <v>93</v>
      </c>
      <c r="Z158" s="14" t="s">
        <v>93</v>
      </c>
      <c r="AA158" s="14" t="s">
        <v>92</v>
      </c>
      <c r="AB158" s="15" t="s">
        <v>93</v>
      </c>
      <c r="AC158" s="15" t="s">
        <v>93</v>
      </c>
      <c r="AD158" s="15" t="s">
        <v>92</v>
      </c>
      <c r="AE158" s="14" t="s">
        <v>112</v>
      </c>
      <c r="AF158" s="13" t="s">
        <v>92</v>
      </c>
      <c r="AG158" s="13" t="s">
        <v>95</v>
      </c>
      <c r="AH158" s="8">
        <v>2013.0</v>
      </c>
      <c r="AI158" s="13" t="s">
        <v>105</v>
      </c>
      <c r="AJ158" s="13" t="s">
        <v>105</v>
      </c>
      <c r="AK158" s="13" t="s">
        <v>105</v>
      </c>
      <c r="AL158" s="13" t="s">
        <v>105</v>
      </c>
      <c r="AM158" s="15" t="s">
        <v>105</v>
      </c>
      <c r="AN158" s="13" t="s">
        <v>105</v>
      </c>
      <c r="AO158" s="15" t="s">
        <v>105</v>
      </c>
      <c r="AP158" s="8" t="s">
        <v>92</v>
      </c>
      <c r="AQ158" s="13" t="s">
        <v>93</v>
      </c>
      <c r="AR158" s="13" t="s">
        <v>93</v>
      </c>
      <c r="AS158" s="13" t="s">
        <v>93</v>
      </c>
      <c r="AT158" s="13" t="s">
        <v>93</v>
      </c>
      <c r="AU158" s="13" t="s">
        <v>93</v>
      </c>
      <c r="AV158" s="13" t="s">
        <v>93</v>
      </c>
      <c r="AW158" s="13" t="s">
        <v>93</v>
      </c>
      <c r="AX158" s="13" t="s">
        <v>92</v>
      </c>
      <c r="AY158" s="8" t="s">
        <v>95</v>
      </c>
      <c r="AZ158" s="8" t="s">
        <v>95</v>
      </c>
      <c r="BA158" s="9" t="s">
        <v>812</v>
      </c>
      <c r="BB158" s="8" t="s">
        <v>95</v>
      </c>
      <c r="BC158" s="8" t="s">
        <v>93</v>
      </c>
      <c r="BD158" s="14" t="s">
        <v>92</v>
      </c>
      <c r="BE158" s="13" t="s">
        <v>92</v>
      </c>
      <c r="BF158" s="13" t="s">
        <v>92</v>
      </c>
      <c r="BG158" s="13" t="s">
        <v>92</v>
      </c>
      <c r="BH158" s="13" t="s">
        <v>92</v>
      </c>
      <c r="BI158" s="14" t="s">
        <v>93</v>
      </c>
      <c r="BJ158" s="13" t="s">
        <v>92</v>
      </c>
      <c r="BK158" s="14" t="s">
        <v>156</v>
      </c>
      <c r="BL158" s="13" t="s">
        <v>92</v>
      </c>
      <c r="BM158" s="13" t="s">
        <v>92</v>
      </c>
      <c r="BN158" s="13" t="s">
        <v>92</v>
      </c>
      <c r="BO158" s="13" t="s">
        <v>92</v>
      </c>
      <c r="BP158" s="13" t="s">
        <v>93</v>
      </c>
      <c r="BQ158" s="15" t="s">
        <v>92</v>
      </c>
      <c r="BR158" s="8" t="s">
        <v>93</v>
      </c>
      <c r="BS158" s="15" t="s">
        <v>92</v>
      </c>
      <c r="BT158" s="8" t="s">
        <v>92</v>
      </c>
      <c r="BU158" s="15" t="s">
        <v>93</v>
      </c>
      <c r="BV158" s="8" t="s">
        <v>93</v>
      </c>
      <c r="BW158" s="15" t="s">
        <v>92</v>
      </c>
      <c r="BX158" s="15" t="s">
        <v>92</v>
      </c>
      <c r="BY158" s="15" t="s">
        <v>92</v>
      </c>
      <c r="BZ158" s="8" t="s">
        <v>92</v>
      </c>
      <c r="CA158" s="8" t="s">
        <v>92</v>
      </c>
      <c r="CB158" s="17" t="s">
        <v>808</v>
      </c>
      <c r="CC158" s="17" t="s">
        <v>813</v>
      </c>
      <c r="CD158" s="24" t="s">
        <v>814</v>
      </c>
      <c r="CE158" s="18"/>
      <c r="CF158" s="18"/>
      <c r="CG158" s="18"/>
      <c r="CH158" s="18"/>
    </row>
    <row r="159">
      <c r="A159" s="8"/>
      <c r="B159" s="16" t="s">
        <v>801</v>
      </c>
      <c r="C159" s="10" t="s">
        <v>802</v>
      </c>
      <c r="D159" s="9" t="s">
        <v>87</v>
      </c>
      <c r="E159" s="11" t="s">
        <v>815</v>
      </c>
      <c r="F159" s="12"/>
      <c r="G159" s="55" t="s">
        <v>816</v>
      </c>
      <c r="H159" s="13" t="s">
        <v>110</v>
      </c>
      <c r="I159" s="13" t="s">
        <v>817</v>
      </c>
      <c r="J159" s="13" t="s">
        <v>92</v>
      </c>
      <c r="K159" s="14" t="s">
        <v>92</v>
      </c>
      <c r="L159" s="14" t="s">
        <v>93</v>
      </c>
      <c r="M159" s="14" t="s">
        <v>93</v>
      </c>
      <c r="N159" s="14" t="s">
        <v>92</v>
      </c>
      <c r="O159" s="13" t="s">
        <v>92</v>
      </c>
      <c r="P159" s="13" t="s">
        <v>92</v>
      </c>
      <c r="Q159" s="13" t="s">
        <v>92</v>
      </c>
      <c r="R159" s="13" t="s">
        <v>92</v>
      </c>
      <c r="S159" s="13" t="s">
        <v>92</v>
      </c>
      <c r="T159" s="13" t="s">
        <v>92</v>
      </c>
      <c r="U159" s="13" t="s">
        <v>92</v>
      </c>
      <c r="V159" s="13" t="s">
        <v>92</v>
      </c>
      <c r="W159" s="13" t="s">
        <v>92</v>
      </c>
      <c r="X159" s="13" t="s">
        <v>92</v>
      </c>
      <c r="Y159" s="13" t="s">
        <v>92</v>
      </c>
      <c r="Z159" s="14" t="s">
        <v>93</v>
      </c>
      <c r="AA159" s="14" t="s">
        <v>92</v>
      </c>
      <c r="AB159" s="15" t="s">
        <v>92</v>
      </c>
      <c r="AC159" s="15" t="s">
        <v>93</v>
      </c>
      <c r="AD159" s="15" t="s">
        <v>92</v>
      </c>
      <c r="AE159" s="13" t="s">
        <v>148</v>
      </c>
      <c r="AF159" s="13" t="s">
        <v>92</v>
      </c>
      <c r="AG159" s="13" t="s">
        <v>95</v>
      </c>
      <c r="AH159" s="15" t="s">
        <v>105</v>
      </c>
      <c r="AI159" s="13" t="s">
        <v>105</v>
      </c>
      <c r="AJ159" s="13" t="s">
        <v>105</v>
      </c>
      <c r="AK159" s="13" t="s">
        <v>105</v>
      </c>
      <c r="AL159" s="13" t="s">
        <v>105</v>
      </c>
      <c r="AM159" s="15" t="s">
        <v>105</v>
      </c>
      <c r="AN159" s="13" t="s">
        <v>105</v>
      </c>
      <c r="AO159" s="15" t="s">
        <v>105</v>
      </c>
      <c r="AP159" s="15" t="s">
        <v>105</v>
      </c>
      <c r="AQ159" s="13" t="s">
        <v>93</v>
      </c>
      <c r="AR159" s="13" t="s">
        <v>93</v>
      </c>
      <c r="AS159" s="13" t="s">
        <v>93</v>
      </c>
      <c r="AT159" s="13" t="s">
        <v>93</v>
      </c>
      <c r="AU159" s="13" t="s">
        <v>93</v>
      </c>
      <c r="AV159" s="13" t="s">
        <v>93</v>
      </c>
      <c r="AW159" s="13" t="s">
        <v>93</v>
      </c>
      <c r="AX159" s="13" t="s">
        <v>92</v>
      </c>
      <c r="AY159" s="15" t="s">
        <v>818</v>
      </c>
      <c r="AZ159" s="15" t="s">
        <v>92</v>
      </c>
      <c r="BA159" s="16" t="s">
        <v>819</v>
      </c>
      <c r="BB159" s="8" t="s">
        <v>95</v>
      </c>
      <c r="BC159" s="15" t="s">
        <v>93</v>
      </c>
      <c r="BD159" s="13" t="s">
        <v>92</v>
      </c>
      <c r="BE159" s="13" t="s">
        <v>92</v>
      </c>
      <c r="BF159" s="13" t="s">
        <v>92</v>
      </c>
      <c r="BG159" s="13" t="s">
        <v>92</v>
      </c>
      <c r="BH159" s="13" t="s">
        <v>92</v>
      </c>
      <c r="BI159" s="14" t="s">
        <v>92</v>
      </c>
      <c r="BJ159" s="13" t="s">
        <v>92</v>
      </c>
      <c r="BK159" s="14" t="s">
        <v>156</v>
      </c>
      <c r="BL159" s="13" t="s">
        <v>92</v>
      </c>
      <c r="BM159" s="13" t="s">
        <v>92</v>
      </c>
      <c r="BN159" s="13" t="s">
        <v>92</v>
      </c>
      <c r="BO159" s="13" t="s">
        <v>92</v>
      </c>
      <c r="BP159" s="13" t="s">
        <v>93</v>
      </c>
      <c r="BQ159" s="15" t="s">
        <v>92</v>
      </c>
      <c r="BR159" s="15" t="s">
        <v>92</v>
      </c>
      <c r="BS159" s="15" t="s">
        <v>92</v>
      </c>
      <c r="BT159" s="8" t="s">
        <v>93</v>
      </c>
      <c r="BU159" s="15" t="s">
        <v>93</v>
      </c>
      <c r="BV159" s="15" t="s">
        <v>92</v>
      </c>
      <c r="BW159" s="15" t="s">
        <v>92</v>
      </c>
      <c r="BX159" s="15" t="s">
        <v>92</v>
      </c>
      <c r="BY159" s="15" t="s">
        <v>92</v>
      </c>
      <c r="BZ159" s="8" t="s">
        <v>93</v>
      </c>
      <c r="CA159" s="15" t="s">
        <v>92</v>
      </c>
      <c r="CB159" s="20" t="s">
        <v>820</v>
      </c>
      <c r="CC159" s="17"/>
      <c r="CD159" s="18"/>
      <c r="CE159" s="18"/>
      <c r="CF159" s="18"/>
      <c r="CG159" s="18"/>
      <c r="CH159" s="18"/>
    </row>
    <row r="160">
      <c r="A160" s="8"/>
      <c r="B160" s="16" t="s">
        <v>801</v>
      </c>
      <c r="C160" s="10" t="s">
        <v>802</v>
      </c>
      <c r="D160" s="9" t="s">
        <v>87</v>
      </c>
      <c r="E160" s="11" t="s">
        <v>821</v>
      </c>
      <c r="F160" s="12"/>
      <c r="G160" s="13" t="s">
        <v>822</v>
      </c>
      <c r="H160" s="14" t="s">
        <v>253</v>
      </c>
      <c r="I160" s="13" t="s">
        <v>823</v>
      </c>
      <c r="J160" s="13" t="s">
        <v>92</v>
      </c>
      <c r="K160" s="14" t="s">
        <v>92</v>
      </c>
      <c r="L160" s="14" t="s">
        <v>92</v>
      </c>
      <c r="M160" s="14" t="s">
        <v>92</v>
      </c>
      <c r="N160" s="14" t="s">
        <v>92</v>
      </c>
      <c r="O160" s="13" t="s">
        <v>92</v>
      </c>
      <c r="P160" s="13" t="s">
        <v>92</v>
      </c>
      <c r="Q160" s="13" t="s">
        <v>92</v>
      </c>
      <c r="R160" s="13" t="s">
        <v>93</v>
      </c>
      <c r="S160" s="13" t="s">
        <v>92</v>
      </c>
      <c r="T160" s="13" t="s">
        <v>93</v>
      </c>
      <c r="U160" s="13" t="s">
        <v>92</v>
      </c>
      <c r="V160" s="13" t="s">
        <v>92</v>
      </c>
      <c r="W160" s="13" t="s">
        <v>92</v>
      </c>
      <c r="X160" s="13" t="s">
        <v>92</v>
      </c>
      <c r="Y160" s="13" t="s">
        <v>92</v>
      </c>
      <c r="Z160" s="13" t="s">
        <v>92</v>
      </c>
      <c r="AA160" s="14" t="s">
        <v>92</v>
      </c>
      <c r="AB160" s="15" t="s">
        <v>93</v>
      </c>
      <c r="AC160" s="15" t="s">
        <v>92</v>
      </c>
      <c r="AD160" s="15" t="s">
        <v>92</v>
      </c>
      <c r="AE160" s="13" t="s">
        <v>148</v>
      </c>
      <c r="AF160" s="13" t="s">
        <v>92</v>
      </c>
      <c r="AG160" s="13" t="s">
        <v>95</v>
      </c>
      <c r="AH160" s="8" t="s">
        <v>95</v>
      </c>
      <c r="AI160" s="13" t="s">
        <v>105</v>
      </c>
      <c r="AJ160" s="13" t="s">
        <v>105</v>
      </c>
      <c r="AK160" s="13" t="s">
        <v>105</v>
      </c>
      <c r="AL160" s="13" t="s">
        <v>105</v>
      </c>
      <c r="AM160" s="15" t="s">
        <v>95</v>
      </c>
      <c r="AN160" s="14" t="s">
        <v>95</v>
      </c>
      <c r="AO160" s="8" t="s">
        <v>95</v>
      </c>
      <c r="AP160" s="8" t="s">
        <v>92</v>
      </c>
      <c r="AQ160" s="13" t="s">
        <v>93</v>
      </c>
      <c r="AR160" s="13" t="s">
        <v>93</v>
      </c>
      <c r="AS160" s="13" t="s">
        <v>93</v>
      </c>
      <c r="AT160" s="13" t="s">
        <v>93</v>
      </c>
      <c r="AU160" s="13" t="s">
        <v>93</v>
      </c>
      <c r="AV160" s="13" t="s">
        <v>93</v>
      </c>
      <c r="AW160" s="13" t="s">
        <v>93</v>
      </c>
      <c r="AX160" s="13" t="s">
        <v>92</v>
      </c>
      <c r="AY160" s="15" t="s">
        <v>824</v>
      </c>
      <c r="AZ160" s="15" t="s">
        <v>93</v>
      </c>
      <c r="BA160" s="9" t="s">
        <v>825</v>
      </c>
      <c r="BB160" s="8" t="s">
        <v>143</v>
      </c>
      <c r="BC160" s="15" t="s">
        <v>92</v>
      </c>
      <c r="BD160" s="13" t="s">
        <v>92</v>
      </c>
      <c r="BE160" s="13" t="s">
        <v>92</v>
      </c>
      <c r="BF160" s="13" t="s">
        <v>92</v>
      </c>
      <c r="BG160" s="13" t="s">
        <v>92</v>
      </c>
      <c r="BH160" s="13" t="s">
        <v>92</v>
      </c>
      <c r="BI160" s="13" t="s">
        <v>93</v>
      </c>
      <c r="BJ160" s="13" t="s">
        <v>93</v>
      </c>
      <c r="BK160" s="14" t="s">
        <v>156</v>
      </c>
      <c r="BL160" s="13" t="s">
        <v>92</v>
      </c>
      <c r="BM160" s="13" t="s">
        <v>92</v>
      </c>
      <c r="BN160" s="13" t="s">
        <v>92</v>
      </c>
      <c r="BO160" s="13" t="s">
        <v>92</v>
      </c>
      <c r="BP160" s="13" t="s">
        <v>93</v>
      </c>
      <c r="BQ160" s="15" t="s">
        <v>92</v>
      </c>
      <c r="BR160" s="15" t="s">
        <v>93</v>
      </c>
      <c r="BS160" s="15" t="s">
        <v>92</v>
      </c>
      <c r="BT160" s="15" t="s">
        <v>92</v>
      </c>
      <c r="BU160" s="15" t="s">
        <v>92</v>
      </c>
      <c r="BV160" s="15" t="s">
        <v>92</v>
      </c>
      <c r="BW160" s="15" t="s">
        <v>92</v>
      </c>
      <c r="BX160" s="15" t="s">
        <v>92</v>
      </c>
      <c r="BY160" s="15" t="s">
        <v>92</v>
      </c>
      <c r="BZ160" s="15" t="s">
        <v>92</v>
      </c>
      <c r="CA160" s="15" t="s">
        <v>92</v>
      </c>
      <c r="CB160" s="17" t="s">
        <v>826</v>
      </c>
      <c r="CC160" s="24" t="s">
        <v>827</v>
      </c>
      <c r="CD160" s="18"/>
      <c r="CE160" s="18"/>
      <c r="CF160" s="18"/>
      <c r="CG160" s="18"/>
      <c r="CH160" s="18"/>
    </row>
    <row r="161">
      <c r="A161" s="8"/>
      <c r="B161" s="16" t="s">
        <v>828</v>
      </c>
      <c r="C161" s="10" t="s">
        <v>829</v>
      </c>
      <c r="D161" s="9" t="s">
        <v>87</v>
      </c>
      <c r="E161" s="11" t="s">
        <v>830</v>
      </c>
      <c r="F161" s="12"/>
      <c r="G161" s="14" t="s">
        <v>831</v>
      </c>
      <c r="H161" s="14" t="s">
        <v>253</v>
      </c>
      <c r="I161" s="14" t="s">
        <v>832</v>
      </c>
      <c r="J161" s="14" t="s">
        <v>93</v>
      </c>
      <c r="K161" s="14" t="s">
        <v>92</v>
      </c>
      <c r="L161" s="14" t="s">
        <v>92</v>
      </c>
      <c r="M161" s="14" t="s">
        <v>92</v>
      </c>
      <c r="N161" s="14" t="s">
        <v>92</v>
      </c>
      <c r="O161" s="14" t="s">
        <v>92</v>
      </c>
      <c r="P161" s="14" t="s">
        <v>92</v>
      </c>
      <c r="Q161" s="14" t="s">
        <v>92</v>
      </c>
      <c r="R161" s="14" t="s">
        <v>92</v>
      </c>
      <c r="S161" s="14" t="s">
        <v>92</v>
      </c>
      <c r="T161" s="14" t="s">
        <v>92</v>
      </c>
      <c r="U161" s="14" t="s">
        <v>92</v>
      </c>
      <c r="V161" s="14" t="s">
        <v>92</v>
      </c>
      <c r="W161" s="14" t="s">
        <v>92</v>
      </c>
      <c r="X161" s="14" t="s">
        <v>92</v>
      </c>
      <c r="Y161" s="14" t="s">
        <v>93</v>
      </c>
      <c r="Z161" s="14" t="s">
        <v>93</v>
      </c>
      <c r="AA161" s="14" t="s">
        <v>92</v>
      </c>
      <c r="AB161" s="8" t="s">
        <v>93</v>
      </c>
      <c r="AC161" s="8" t="s">
        <v>93</v>
      </c>
      <c r="AD161" s="8" t="s">
        <v>92</v>
      </c>
      <c r="AE161" s="14" t="s">
        <v>148</v>
      </c>
      <c r="AF161" s="14" t="s">
        <v>92</v>
      </c>
      <c r="AG161" s="13" t="s">
        <v>95</v>
      </c>
      <c r="AH161" s="8" t="s">
        <v>95</v>
      </c>
      <c r="AI161" s="14" t="s">
        <v>93</v>
      </c>
      <c r="AJ161" s="14" t="s">
        <v>92</v>
      </c>
      <c r="AK161" s="14" t="s">
        <v>92</v>
      </c>
      <c r="AL161" s="14" t="s">
        <v>92</v>
      </c>
      <c r="AM161" s="15" t="s">
        <v>95</v>
      </c>
      <c r="AN161" s="14" t="s">
        <v>95</v>
      </c>
      <c r="AO161" s="8" t="s">
        <v>95</v>
      </c>
      <c r="AP161" s="8" t="s">
        <v>92</v>
      </c>
      <c r="AQ161" s="13" t="s">
        <v>92</v>
      </c>
      <c r="AR161" s="13" t="s">
        <v>93</v>
      </c>
      <c r="AS161" s="13" t="s">
        <v>93</v>
      </c>
      <c r="AT161" s="13" t="s">
        <v>93</v>
      </c>
      <c r="AU161" s="13" t="s">
        <v>93</v>
      </c>
      <c r="AV161" s="13" t="s">
        <v>93</v>
      </c>
      <c r="AW161" s="14" t="s">
        <v>92</v>
      </c>
      <c r="AX161" s="14" t="s">
        <v>92</v>
      </c>
      <c r="AY161" s="15" t="s">
        <v>95</v>
      </c>
      <c r="AZ161" s="15" t="s">
        <v>95</v>
      </c>
      <c r="BA161" s="9" t="s">
        <v>833</v>
      </c>
      <c r="BB161" s="8" t="s">
        <v>143</v>
      </c>
      <c r="BC161" s="8" t="s">
        <v>92</v>
      </c>
      <c r="BD161" s="14" t="s">
        <v>92</v>
      </c>
      <c r="BE161" s="14" t="s">
        <v>92</v>
      </c>
      <c r="BF161" s="14" t="s">
        <v>92</v>
      </c>
      <c r="BG161" s="14" t="s">
        <v>92</v>
      </c>
      <c r="BH161" s="14" t="s">
        <v>92</v>
      </c>
      <c r="BI161" s="14" t="s">
        <v>93</v>
      </c>
      <c r="BJ161" s="14" t="s">
        <v>93</v>
      </c>
      <c r="BK161" s="14" t="s">
        <v>332</v>
      </c>
      <c r="BL161" s="14" t="s">
        <v>92</v>
      </c>
      <c r="BM161" s="14" t="s">
        <v>92</v>
      </c>
      <c r="BN161" s="14" t="s">
        <v>92</v>
      </c>
      <c r="BO161" s="14" t="s">
        <v>93</v>
      </c>
      <c r="BP161" s="14" t="s">
        <v>92</v>
      </c>
      <c r="BQ161" s="8" t="s">
        <v>92</v>
      </c>
      <c r="BR161" s="8" t="s">
        <v>93</v>
      </c>
      <c r="BS161" s="8" t="s">
        <v>93</v>
      </c>
      <c r="BT161" s="8" t="s">
        <v>93</v>
      </c>
      <c r="BU161" s="8" t="s">
        <v>92</v>
      </c>
      <c r="BV161" s="8" t="s">
        <v>93</v>
      </c>
      <c r="BW161" s="8" t="s">
        <v>92</v>
      </c>
      <c r="BX161" s="8" t="s">
        <v>92</v>
      </c>
      <c r="BY161" s="8" t="s">
        <v>92</v>
      </c>
      <c r="BZ161" s="8" t="s">
        <v>92</v>
      </c>
      <c r="CA161" s="8" t="s">
        <v>92</v>
      </c>
      <c r="CB161" s="20" t="s">
        <v>240</v>
      </c>
      <c r="CC161" s="18"/>
      <c r="CD161" s="18"/>
      <c r="CE161" s="18"/>
      <c r="CF161" s="18"/>
      <c r="CG161" s="18"/>
      <c r="CH161" s="14"/>
    </row>
    <row r="162">
      <c r="A162" s="8"/>
      <c r="B162" s="16" t="s">
        <v>828</v>
      </c>
      <c r="C162" s="10" t="s">
        <v>829</v>
      </c>
      <c r="D162" s="9" t="s">
        <v>87</v>
      </c>
      <c r="E162" s="11" t="s">
        <v>834</v>
      </c>
      <c r="F162" s="12"/>
      <c r="G162" s="14" t="s">
        <v>835</v>
      </c>
      <c r="H162" s="14" t="s">
        <v>253</v>
      </c>
      <c r="I162" s="14" t="s">
        <v>836</v>
      </c>
      <c r="J162" s="14" t="s">
        <v>92</v>
      </c>
      <c r="K162" s="14" t="s">
        <v>92</v>
      </c>
      <c r="L162" s="14" t="s">
        <v>92</v>
      </c>
      <c r="M162" s="14" t="s">
        <v>93</v>
      </c>
      <c r="N162" s="14" t="s">
        <v>92</v>
      </c>
      <c r="O162" s="14" t="s">
        <v>92</v>
      </c>
      <c r="P162" s="14" t="s">
        <v>92</v>
      </c>
      <c r="Q162" s="14" t="s">
        <v>92</v>
      </c>
      <c r="R162" s="14" t="s">
        <v>92</v>
      </c>
      <c r="S162" s="14" t="s">
        <v>92</v>
      </c>
      <c r="T162" s="14" t="s">
        <v>92</v>
      </c>
      <c r="U162" s="14" t="s">
        <v>92</v>
      </c>
      <c r="V162" s="14" t="s">
        <v>92</v>
      </c>
      <c r="W162" s="14" t="s">
        <v>92</v>
      </c>
      <c r="X162" s="14" t="s">
        <v>92</v>
      </c>
      <c r="Y162" s="14" t="s">
        <v>92</v>
      </c>
      <c r="Z162" s="14" t="s">
        <v>93</v>
      </c>
      <c r="AA162" s="14" t="s">
        <v>92</v>
      </c>
      <c r="AB162" s="8" t="s">
        <v>93</v>
      </c>
      <c r="AC162" s="8" t="s">
        <v>93</v>
      </c>
      <c r="AD162" s="8" t="s">
        <v>92</v>
      </c>
      <c r="AE162" s="14" t="s">
        <v>148</v>
      </c>
      <c r="AF162" s="14" t="s">
        <v>92</v>
      </c>
      <c r="AG162" s="13" t="s">
        <v>95</v>
      </c>
      <c r="AH162" s="8" t="s">
        <v>95</v>
      </c>
      <c r="AI162" s="14" t="s">
        <v>93</v>
      </c>
      <c r="AJ162" s="14" t="s">
        <v>92</v>
      </c>
      <c r="AK162" s="14" t="s">
        <v>92</v>
      </c>
      <c r="AL162" s="14" t="s">
        <v>92</v>
      </c>
      <c r="AM162" s="15" t="s">
        <v>95</v>
      </c>
      <c r="AN162" s="14" t="s">
        <v>95</v>
      </c>
      <c r="AO162" s="8" t="s">
        <v>95</v>
      </c>
      <c r="AP162" s="8" t="s">
        <v>92</v>
      </c>
      <c r="AQ162" s="13" t="s">
        <v>92</v>
      </c>
      <c r="AR162" s="13" t="s">
        <v>93</v>
      </c>
      <c r="AS162" s="13" t="s">
        <v>93</v>
      </c>
      <c r="AT162" s="13" t="s">
        <v>93</v>
      </c>
      <c r="AU162" s="13" t="s">
        <v>93</v>
      </c>
      <c r="AV162" s="13" t="s">
        <v>93</v>
      </c>
      <c r="AW162" s="14" t="s">
        <v>92</v>
      </c>
      <c r="AX162" s="14" t="s">
        <v>92</v>
      </c>
      <c r="AY162" s="15" t="s">
        <v>95</v>
      </c>
      <c r="AZ162" s="15" t="s">
        <v>95</v>
      </c>
      <c r="BA162" s="9" t="s">
        <v>837</v>
      </c>
      <c r="BB162" s="8" t="s">
        <v>155</v>
      </c>
      <c r="BC162" s="8" t="s">
        <v>92</v>
      </c>
      <c r="BD162" s="14" t="s">
        <v>92</v>
      </c>
      <c r="BE162" s="14" t="s">
        <v>92</v>
      </c>
      <c r="BF162" s="14" t="s">
        <v>92</v>
      </c>
      <c r="BG162" s="14" t="s">
        <v>92</v>
      </c>
      <c r="BH162" s="14" t="s">
        <v>92</v>
      </c>
      <c r="BI162" s="14" t="s">
        <v>93</v>
      </c>
      <c r="BJ162" s="14" t="s">
        <v>93</v>
      </c>
      <c r="BK162" s="14" t="s">
        <v>332</v>
      </c>
      <c r="BL162" s="14" t="s">
        <v>92</v>
      </c>
      <c r="BM162" s="14" t="s">
        <v>92</v>
      </c>
      <c r="BN162" s="14" t="s">
        <v>92</v>
      </c>
      <c r="BO162" s="14" t="s">
        <v>93</v>
      </c>
      <c r="BP162" s="14" t="s">
        <v>92</v>
      </c>
      <c r="BQ162" s="8" t="s">
        <v>92</v>
      </c>
      <c r="BR162" s="8" t="s">
        <v>92</v>
      </c>
      <c r="BS162" s="8" t="s">
        <v>92</v>
      </c>
      <c r="BT162" s="8" t="s">
        <v>93</v>
      </c>
      <c r="BU162" s="8" t="s">
        <v>92</v>
      </c>
      <c r="BV162" s="8" t="s">
        <v>92</v>
      </c>
      <c r="BW162" s="8" t="s">
        <v>92</v>
      </c>
      <c r="BX162" s="8" t="s">
        <v>92</v>
      </c>
      <c r="BY162" s="8" t="s">
        <v>92</v>
      </c>
      <c r="BZ162" s="8" t="s">
        <v>92</v>
      </c>
      <c r="CA162" s="8" t="s">
        <v>93</v>
      </c>
      <c r="CB162" s="20" t="s">
        <v>240</v>
      </c>
      <c r="CC162" s="18"/>
      <c r="CD162" s="18"/>
      <c r="CE162" s="18"/>
      <c r="CF162" s="18"/>
      <c r="CG162" s="18"/>
      <c r="CH162" s="14"/>
    </row>
    <row r="163">
      <c r="A163" s="8"/>
      <c r="B163" s="16" t="s">
        <v>828</v>
      </c>
      <c r="C163" s="10" t="s">
        <v>829</v>
      </c>
      <c r="D163" s="9" t="s">
        <v>87</v>
      </c>
      <c r="E163" s="11" t="s">
        <v>838</v>
      </c>
      <c r="F163" s="12"/>
      <c r="G163" s="14" t="s">
        <v>839</v>
      </c>
      <c r="H163" s="14" t="s">
        <v>90</v>
      </c>
      <c r="I163" s="14" t="s">
        <v>840</v>
      </c>
      <c r="J163" s="14" t="s">
        <v>93</v>
      </c>
      <c r="K163" s="14" t="s">
        <v>92</v>
      </c>
      <c r="L163" s="14" t="s">
        <v>92</v>
      </c>
      <c r="M163" s="14" t="s">
        <v>92</v>
      </c>
      <c r="N163" s="14" t="s">
        <v>92</v>
      </c>
      <c r="O163" s="14" t="s">
        <v>92</v>
      </c>
      <c r="P163" s="14" t="s">
        <v>92</v>
      </c>
      <c r="Q163" s="14" t="s">
        <v>92</v>
      </c>
      <c r="R163" s="14" t="s">
        <v>92</v>
      </c>
      <c r="S163" s="14" t="s">
        <v>92</v>
      </c>
      <c r="T163" s="14" t="s">
        <v>92</v>
      </c>
      <c r="U163" s="14" t="s">
        <v>92</v>
      </c>
      <c r="V163" s="14" t="s">
        <v>93</v>
      </c>
      <c r="W163" s="14" t="s">
        <v>92</v>
      </c>
      <c r="X163" s="14" t="s">
        <v>93</v>
      </c>
      <c r="Y163" s="14" t="s">
        <v>92</v>
      </c>
      <c r="Z163" s="14" t="s">
        <v>93</v>
      </c>
      <c r="AA163" s="14" t="s">
        <v>92</v>
      </c>
      <c r="AB163" s="8" t="s">
        <v>92</v>
      </c>
      <c r="AC163" s="8" t="s">
        <v>93</v>
      </c>
      <c r="AD163" s="8" t="s">
        <v>92</v>
      </c>
      <c r="AE163" s="14" t="s">
        <v>112</v>
      </c>
      <c r="AF163" s="14" t="s">
        <v>92</v>
      </c>
      <c r="AG163" s="14" t="s">
        <v>95</v>
      </c>
      <c r="AH163" s="8" t="s">
        <v>105</v>
      </c>
      <c r="AI163" s="14" t="s">
        <v>93</v>
      </c>
      <c r="AJ163" s="14" t="s">
        <v>93</v>
      </c>
      <c r="AK163" s="14" t="s">
        <v>92</v>
      </c>
      <c r="AL163" s="14" t="s">
        <v>92</v>
      </c>
      <c r="AM163" s="15" t="s">
        <v>105</v>
      </c>
      <c r="AN163" s="13" t="s">
        <v>105</v>
      </c>
      <c r="AO163" s="8" t="s">
        <v>93</v>
      </c>
      <c r="AP163" s="8" t="s">
        <v>92</v>
      </c>
      <c r="AQ163" s="13" t="s">
        <v>92</v>
      </c>
      <c r="AR163" s="13" t="s">
        <v>93</v>
      </c>
      <c r="AS163" s="13" t="s">
        <v>93</v>
      </c>
      <c r="AT163" s="13" t="s">
        <v>93</v>
      </c>
      <c r="AU163" s="13" t="s">
        <v>93</v>
      </c>
      <c r="AV163" s="13" t="s">
        <v>93</v>
      </c>
      <c r="AW163" s="14" t="s">
        <v>92</v>
      </c>
      <c r="AX163" s="14" t="s">
        <v>92</v>
      </c>
      <c r="AY163" s="15" t="s">
        <v>95</v>
      </c>
      <c r="AZ163" s="15" t="s">
        <v>95</v>
      </c>
      <c r="BA163" s="16" t="s">
        <v>828</v>
      </c>
      <c r="BB163" s="8" t="s">
        <v>213</v>
      </c>
      <c r="BC163" s="8" t="s">
        <v>92</v>
      </c>
      <c r="BD163" s="14" t="s">
        <v>93</v>
      </c>
      <c r="BE163" s="14" t="s">
        <v>92</v>
      </c>
      <c r="BF163" s="14" t="s">
        <v>92</v>
      </c>
      <c r="BG163" s="14" t="s">
        <v>93</v>
      </c>
      <c r="BH163" s="14" t="s">
        <v>92</v>
      </c>
      <c r="BI163" s="14" t="s">
        <v>92</v>
      </c>
      <c r="BJ163" s="14" t="s">
        <v>92</v>
      </c>
      <c r="BK163" s="14" t="s">
        <v>105</v>
      </c>
      <c r="BL163" s="14" t="s">
        <v>105</v>
      </c>
      <c r="BM163" s="14" t="s">
        <v>105</v>
      </c>
      <c r="BN163" s="14" t="s">
        <v>105</v>
      </c>
      <c r="BO163" s="14" t="s">
        <v>105</v>
      </c>
      <c r="BP163" s="14" t="s">
        <v>105</v>
      </c>
      <c r="BQ163" s="8" t="s">
        <v>92</v>
      </c>
      <c r="BR163" s="8" t="s">
        <v>92</v>
      </c>
      <c r="BS163" s="8" t="s">
        <v>92</v>
      </c>
      <c r="BT163" s="8" t="s">
        <v>93</v>
      </c>
      <c r="BU163" s="8" t="s">
        <v>92</v>
      </c>
      <c r="BV163" s="8" t="s">
        <v>93</v>
      </c>
      <c r="BW163" s="8" t="s">
        <v>92</v>
      </c>
      <c r="BX163" s="8" t="s">
        <v>93</v>
      </c>
      <c r="BY163" s="8" t="s">
        <v>93</v>
      </c>
      <c r="BZ163" s="8" t="s">
        <v>92</v>
      </c>
      <c r="CA163" s="8" t="s">
        <v>92</v>
      </c>
      <c r="CB163" s="20" t="s">
        <v>240</v>
      </c>
      <c r="CC163" s="17" t="s">
        <v>841</v>
      </c>
      <c r="CD163" s="18"/>
      <c r="CE163" s="18"/>
      <c r="CF163" s="18"/>
      <c r="CG163" s="18"/>
      <c r="CH163" s="14"/>
    </row>
    <row r="164">
      <c r="A164" s="8"/>
      <c r="B164" s="16" t="s">
        <v>828</v>
      </c>
      <c r="C164" s="10" t="s">
        <v>829</v>
      </c>
      <c r="D164" s="9" t="s">
        <v>87</v>
      </c>
      <c r="E164" s="11" t="s">
        <v>842</v>
      </c>
      <c r="F164" s="12"/>
      <c r="G164" s="14" t="s">
        <v>843</v>
      </c>
      <c r="H164" s="14" t="s">
        <v>110</v>
      </c>
      <c r="I164" s="14" t="s">
        <v>844</v>
      </c>
      <c r="J164" s="14" t="s">
        <v>92</v>
      </c>
      <c r="K164" s="14" t="s">
        <v>92</v>
      </c>
      <c r="L164" s="14" t="s">
        <v>92</v>
      </c>
      <c r="M164" s="14" t="s">
        <v>92</v>
      </c>
      <c r="N164" s="14" t="s">
        <v>92</v>
      </c>
      <c r="O164" s="14" t="s">
        <v>92</v>
      </c>
      <c r="P164" s="14" t="s">
        <v>92</v>
      </c>
      <c r="Q164" s="14" t="s">
        <v>92</v>
      </c>
      <c r="R164" s="14" t="s">
        <v>92</v>
      </c>
      <c r="S164" s="14" t="s">
        <v>92</v>
      </c>
      <c r="T164" s="14" t="s">
        <v>92</v>
      </c>
      <c r="U164" s="14" t="s">
        <v>92</v>
      </c>
      <c r="V164" s="14" t="s">
        <v>92</v>
      </c>
      <c r="W164" s="14" t="s">
        <v>92</v>
      </c>
      <c r="X164" s="14" t="s">
        <v>92</v>
      </c>
      <c r="Y164" s="14" t="s">
        <v>92</v>
      </c>
      <c r="Z164" s="14" t="s">
        <v>93</v>
      </c>
      <c r="AA164" s="14" t="s">
        <v>92</v>
      </c>
      <c r="AB164" s="8" t="s">
        <v>92</v>
      </c>
      <c r="AC164" s="8" t="s">
        <v>93</v>
      </c>
      <c r="AD164" s="8" t="s">
        <v>92</v>
      </c>
      <c r="AE164" s="14" t="s">
        <v>148</v>
      </c>
      <c r="AF164" s="14" t="s">
        <v>92</v>
      </c>
      <c r="AG164" s="13" t="s">
        <v>95</v>
      </c>
      <c r="AH164" s="8" t="s">
        <v>105</v>
      </c>
      <c r="AI164" s="14" t="s">
        <v>92</v>
      </c>
      <c r="AJ164" s="14" t="s">
        <v>93</v>
      </c>
      <c r="AK164" s="14" t="s">
        <v>93</v>
      </c>
      <c r="AL164" s="14" t="s">
        <v>92</v>
      </c>
      <c r="AM164" s="15" t="s">
        <v>105</v>
      </c>
      <c r="AN164" s="13" t="s">
        <v>105</v>
      </c>
      <c r="AO164" s="8" t="s">
        <v>93</v>
      </c>
      <c r="AP164" s="8" t="s">
        <v>92</v>
      </c>
      <c r="AQ164" s="13" t="s">
        <v>92</v>
      </c>
      <c r="AR164" s="13" t="s">
        <v>93</v>
      </c>
      <c r="AS164" s="13" t="s">
        <v>93</v>
      </c>
      <c r="AT164" s="13" t="s">
        <v>93</v>
      </c>
      <c r="AU164" s="13" t="s">
        <v>93</v>
      </c>
      <c r="AV164" s="13" t="s">
        <v>93</v>
      </c>
      <c r="AW164" s="14" t="s">
        <v>92</v>
      </c>
      <c r="AX164" s="14" t="s">
        <v>92</v>
      </c>
      <c r="AY164" s="8" t="s">
        <v>845</v>
      </c>
      <c r="AZ164" s="8" t="s">
        <v>92</v>
      </c>
      <c r="BA164" s="16" t="s">
        <v>828</v>
      </c>
      <c r="BB164" s="8" t="s">
        <v>213</v>
      </c>
      <c r="BC164" s="8" t="s">
        <v>92</v>
      </c>
      <c r="BD164" s="14" t="s">
        <v>93</v>
      </c>
      <c r="BE164" s="14" t="s">
        <v>92</v>
      </c>
      <c r="BF164" s="14" t="s">
        <v>92</v>
      </c>
      <c r="BG164" s="14" t="s">
        <v>92</v>
      </c>
      <c r="BH164" s="14" t="s">
        <v>92</v>
      </c>
      <c r="BI164" s="14" t="s">
        <v>92</v>
      </c>
      <c r="BJ164" s="14" t="s">
        <v>92</v>
      </c>
      <c r="BK164" s="14" t="s">
        <v>482</v>
      </c>
      <c r="BL164" s="14" t="s">
        <v>92</v>
      </c>
      <c r="BM164" s="14" t="s">
        <v>92</v>
      </c>
      <c r="BN164" s="14" t="s">
        <v>92</v>
      </c>
      <c r="BO164" s="14" t="s">
        <v>93</v>
      </c>
      <c r="BP164" s="14" t="s">
        <v>92</v>
      </c>
      <c r="BQ164" s="8" t="s">
        <v>92</v>
      </c>
      <c r="BR164" s="8" t="s">
        <v>92</v>
      </c>
      <c r="BS164" s="8" t="s">
        <v>92</v>
      </c>
      <c r="BT164" s="8" t="s">
        <v>93</v>
      </c>
      <c r="BU164" s="8" t="s">
        <v>93</v>
      </c>
      <c r="BV164" s="8" t="s">
        <v>92</v>
      </c>
      <c r="BW164" s="8" t="s">
        <v>92</v>
      </c>
      <c r="BX164" s="8" t="s">
        <v>92</v>
      </c>
      <c r="BY164" s="8" t="s">
        <v>92</v>
      </c>
      <c r="BZ164" s="8" t="s">
        <v>92</v>
      </c>
      <c r="CA164" s="8" t="s">
        <v>92</v>
      </c>
      <c r="CB164" s="17" t="s">
        <v>841</v>
      </c>
      <c r="CC164" s="17" t="s">
        <v>846</v>
      </c>
      <c r="CD164" s="18"/>
      <c r="CE164" s="18"/>
      <c r="CF164" s="18"/>
      <c r="CG164" s="18"/>
      <c r="CH164" s="14"/>
    </row>
    <row r="165">
      <c r="A165" s="8"/>
      <c r="B165" s="16" t="s">
        <v>828</v>
      </c>
      <c r="C165" s="10" t="s">
        <v>829</v>
      </c>
      <c r="D165" s="9" t="s">
        <v>87</v>
      </c>
      <c r="E165" s="11" t="s">
        <v>847</v>
      </c>
      <c r="F165" s="25"/>
      <c r="G165" s="14" t="s">
        <v>848</v>
      </c>
      <c r="H165" s="14" t="s">
        <v>90</v>
      </c>
      <c r="I165" s="14" t="s">
        <v>849</v>
      </c>
      <c r="J165" s="14" t="s">
        <v>93</v>
      </c>
      <c r="K165" s="14" t="s">
        <v>92</v>
      </c>
      <c r="L165" s="14" t="s">
        <v>92</v>
      </c>
      <c r="M165" s="14" t="s">
        <v>92</v>
      </c>
      <c r="N165" s="14" t="s">
        <v>92</v>
      </c>
      <c r="O165" s="14" t="s">
        <v>92</v>
      </c>
      <c r="P165" s="14" t="s">
        <v>92</v>
      </c>
      <c r="Q165" s="14" t="s">
        <v>92</v>
      </c>
      <c r="R165" s="14" t="s">
        <v>92</v>
      </c>
      <c r="S165" s="14" t="s">
        <v>92</v>
      </c>
      <c r="T165" s="14" t="s">
        <v>92</v>
      </c>
      <c r="U165" s="14" t="s">
        <v>92</v>
      </c>
      <c r="V165" s="14" t="s">
        <v>92</v>
      </c>
      <c r="W165" s="14" t="s">
        <v>92</v>
      </c>
      <c r="X165" s="14" t="s">
        <v>93</v>
      </c>
      <c r="Y165" s="14" t="s">
        <v>92</v>
      </c>
      <c r="Z165" s="14" t="s">
        <v>93</v>
      </c>
      <c r="AA165" s="14" t="s">
        <v>92</v>
      </c>
      <c r="AB165" s="8" t="s">
        <v>92</v>
      </c>
      <c r="AC165" s="8" t="s">
        <v>93</v>
      </c>
      <c r="AD165" s="8" t="s">
        <v>92</v>
      </c>
      <c r="AE165" s="14" t="s">
        <v>112</v>
      </c>
      <c r="AF165" s="14" t="s">
        <v>92</v>
      </c>
      <c r="AG165" s="13" t="s">
        <v>95</v>
      </c>
      <c r="AH165" s="8" t="s">
        <v>105</v>
      </c>
      <c r="AI165" s="14" t="s">
        <v>92</v>
      </c>
      <c r="AJ165" s="14" t="s">
        <v>92</v>
      </c>
      <c r="AK165" s="14" t="s">
        <v>93</v>
      </c>
      <c r="AL165" s="14" t="s">
        <v>92</v>
      </c>
      <c r="AM165" s="15" t="s">
        <v>105</v>
      </c>
      <c r="AN165" s="13" t="s">
        <v>105</v>
      </c>
      <c r="AO165" s="8" t="s">
        <v>105</v>
      </c>
      <c r="AP165" s="8" t="s">
        <v>92</v>
      </c>
      <c r="AQ165" s="13" t="s">
        <v>92</v>
      </c>
      <c r="AR165" s="13" t="s">
        <v>93</v>
      </c>
      <c r="AS165" s="13" t="s">
        <v>93</v>
      </c>
      <c r="AT165" s="13" t="s">
        <v>93</v>
      </c>
      <c r="AU165" s="13" t="s">
        <v>93</v>
      </c>
      <c r="AV165" s="13" t="s">
        <v>93</v>
      </c>
      <c r="AW165" s="14" t="s">
        <v>92</v>
      </c>
      <c r="AX165" s="14" t="s">
        <v>92</v>
      </c>
      <c r="AY165" s="15" t="s">
        <v>95</v>
      </c>
      <c r="AZ165" s="15" t="s">
        <v>95</v>
      </c>
      <c r="BA165" s="16" t="s">
        <v>828</v>
      </c>
      <c r="BB165" s="8" t="s">
        <v>213</v>
      </c>
      <c r="BC165" s="8" t="s">
        <v>92</v>
      </c>
      <c r="BD165" s="14" t="s">
        <v>93</v>
      </c>
      <c r="BE165" s="14" t="s">
        <v>92</v>
      </c>
      <c r="BF165" s="14" t="s">
        <v>92</v>
      </c>
      <c r="BG165" s="14" t="s">
        <v>92</v>
      </c>
      <c r="BH165" s="14" t="s">
        <v>92</v>
      </c>
      <c r="BI165" s="14" t="s">
        <v>92</v>
      </c>
      <c r="BJ165" s="14" t="s">
        <v>92</v>
      </c>
      <c r="BK165" s="14" t="s">
        <v>482</v>
      </c>
      <c r="BL165" s="14" t="s">
        <v>92</v>
      </c>
      <c r="BM165" s="14" t="s">
        <v>92</v>
      </c>
      <c r="BN165" s="14" t="s">
        <v>92</v>
      </c>
      <c r="BO165" s="13" t="s">
        <v>93</v>
      </c>
      <c r="BP165" s="14" t="s">
        <v>92</v>
      </c>
      <c r="BQ165" s="8" t="s">
        <v>92</v>
      </c>
      <c r="BR165" s="8" t="s">
        <v>92</v>
      </c>
      <c r="BS165" s="8" t="s">
        <v>92</v>
      </c>
      <c r="BT165" s="8" t="s">
        <v>93</v>
      </c>
      <c r="BU165" s="8" t="s">
        <v>92</v>
      </c>
      <c r="BV165" s="8" t="s">
        <v>93</v>
      </c>
      <c r="BW165" s="8" t="s">
        <v>92</v>
      </c>
      <c r="BX165" s="8" t="s">
        <v>93</v>
      </c>
      <c r="BY165" s="8" t="s">
        <v>93</v>
      </c>
      <c r="BZ165" s="8" t="s">
        <v>92</v>
      </c>
      <c r="CA165" s="8" t="s">
        <v>92</v>
      </c>
      <c r="CB165" s="17" t="s">
        <v>846</v>
      </c>
      <c r="CC165" s="18"/>
      <c r="CD165" s="18"/>
      <c r="CE165" s="18"/>
      <c r="CF165" s="18"/>
      <c r="CG165" s="18"/>
      <c r="CH165" s="14"/>
    </row>
    <row r="166">
      <c r="A166" s="8"/>
      <c r="B166" s="16" t="s">
        <v>828</v>
      </c>
      <c r="C166" s="10" t="s">
        <v>829</v>
      </c>
      <c r="D166" s="9" t="s">
        <v>87</v>
      </c>
      <c r="E166" s="11" t="s">
        <v>850</v>
      </c>
      <c r="F166" s="12"/>
      <c r="G166" s="14" t="s">
        <v>851</v>
      </c>
      <c r="H166" s="14" t="s">
        <v>110</v>
      </c>
      <c r="I166" s="14" t="s">
        <v>852</v>
      </c>
      <c r="J166" s="14" t="s">
        <v>93</v>
      </c>
      <c r="K166" s="14" t="s">
        <v>92</v>
      </c>
      <c r="L166" s="14" t="s">
        <v>93</v>
      </c>
      <c r="M166" s="14" t="s">
        <v>93</v>
      </c>
      <c r="N166" s="14" t="s">
        <v>92</v>
      </c>
      <c r="O166" s="14" t="s">
        <v>92</v>
      </c>
      <c r="P166" s="14" t="s">
        <v>92</v>
      </c>
      <c r="Q166" s="14" t="s">
        <v>92</v>
      </c>
      <c r="R166" s="14" t="s">
        <v>92</v>
      </c>
      <c r="S166" s="14" t="s">
        <v>93</v>
      </c>
      <c r="T166" s="14" t="s">
        <v>92</v>
      </c>
      <c r="U166" s="14" t="s">
        <v>92</v>
      </c>
      <c r="V166" s="14" t="s">
        <v>92</v>
      </c>
      <c r="W166" s="14" t="s">
        <v>92</v>
      </c>
      <c r="X166" s="14" t="s">
        <v>92</v>
      </c>
      <c r="Y166" s="14" t="s">
        <v>92</v>
      </c>
      <c r="Z166" s="14" t="s">
        <v>93</v>
      </c>
      <c r="AA166" s="14" t="s">
        <v>92</v>
      </c>
      <c r="AB166" s="8" t="s">
        <v>93</v>
      </c>
      <c r="AC166" s="8" t="s">
        <v>93</v>
      </c>
      <c r="AD166" s="8" t="s">
        <v>92</v>
      </c>
      <c r="AE166" s="14" t="s">
        <v>112</v>
      </c>
      <c r="AF166" s="14" t="s">
        <v>92</v>
      </c>
      <c r="AG166" s="13" t="s">
        <v>95</v>
      </c>
      <c r="AH166" s="8" t="s">
        <v>105</v>
      </c>
      <c r="AI166" s="14" t="s">
        <v>93</v>
      </c>
      <c r="AJ166" s="14" t="s">
        <v>93</v>
      </c>
      <c r="AK166" s="14" t="s">
        <v>93</v>
      </c>
      <c r="AL166" s="14" t="s">
        <v>93</v>
      </c>
      <c r="AM166" s="15" t="s">
        <v>95</v>
      </c>
      <c r="AN166" s="13" t="s">
        <v>114</v>
      </c>
      <c r="AO166" s="8" t="s">
        <v>93</v>
      </c>
      <c r="AP166" s="8" t="s">
        <v>92</v>
      </c>
      <c r="AQ166" s="13" t="s">
        <v>92</v>
      </c>
      <c r="AR166" s="13" t="s">
        <v>93</v>
      </c>
      <c r="AS166" s="13" t="s">
        <v>93</v>
      </c>
      <c r="AT166" s="13" t="s">
        <v>93</v>
      </c>
      <c r="AU166" s="13" t="s">
        <v>93</v>
      </c>
      <c r="AV166" s="13" t="s">
        <v>93</v>
      </c>
      <c r="AW166" s="14" t="s">
        <v>92</v>
      </c>
      <c r="AX166" s="14" t="s">
        <v>92</v>
      </c>
      <c r="AY166" s="15" t="s">
        <v>95</v>
      </c>
      <c r="AZ166" s="15" t="s">
        <v>95</v>
      </c>
      <c r="BA166" s="16" t="s">
        <v>828</v>
      </c>
      <c r="BB166" s="8" t="s">
        <v>213</v>
      </c>
      <c r="BC166" s="8" t="s">
        <v>92</v>
      </c>
      <c r="BD166" s="14" t="s">
        <v>93</v>
      </c>
      <c r="BE166" s="14" t="s">
        <v>92</v>
      </c>
      <c r="BF166" s="14" t="s">
        <v>92</v>
      </c>
      <c r="BG166" s="14" t="s">
        <v>92</v>
      </c>
      <c r="BH166" s="14" t="s">
        <v>92</v>
      </c>
      <c r="BI166" s="14" t="s">
        <v>92</v>
      </c>
      <c r="BJ166" s="14" t="s">
        <v>92</v>
      </c>
      <c r="BK166" s="14" t="s">
        <v>105</v>
      </c>
      <c r="BL166" s="14" t="s">
        <v>105</v>
      </c>
      <c r="BM166" s="14" t="s">
        <v>105</v>
      </c>
      <c r="BN166" s="14" t="s">
        <v>105</v>
      </c>
      <c r="BO166" s="14" t="s">
        <v>105</v>
      </c>
      <c r="BP166" s="14" t="s">
        <v>105</v>
      </c>
      <c r="BQ166" s="8" t="s">
        <v>92</v>
      </c>
      <c r="BR166" s="8" t="s">
        <v>92</v>
      </c>
      <c r="BS166" s="8" t="s">
        <v>93</v>
      </c>
      <c r="BT166" s="8" t="s">
        <v>93</v>
      </c>
      <c r="BU166" s="8" t="s">
        <v>93</v>
      </c>
      <c r="BV166" s="8" t="s">
        <v>92</v>
      </c>
      <c r="BW166" s="8" t="s">
        <v>92</v>
      </c>
      <c r="BX166" s="8" t="s">
        <v>92</v>
      </c>
      <c r="BY166" s="8" t="s">
        <v>92</v>
      </c>
      <c r="BZ166" s="8" t="s">
        <v>93</v>
      </c>
      <c r="CA166" s="8" t="s">
        <v>92</v>
      </c>
      <c r="CB166" s="20" t="s">
        <v>116</v>
      </c>
      <c r="CC166" s="17" t="s">
        <v>846</v>
      </c>
      <c r="CD166" s="18"/>
      <c r="CE166" s="18"/>
      <c r="CF166" s="18"/>
      <c r="CG166" s="18"/>
      <c r="CH166" s="14"/>
    </row>
    <row r="167">
      <c r="A167" s="8"/>
      <c r="B167" s="16" t="s">
        <v>828</v>
      </c>
      <c r="C167" s="10" t="s">
        <v>829</v>
      </c>
      <c r="D167" s="9" t="s">
        <v>87</v>
      </c>
      <c r="E167" s="11" t="s">
        <v>853</v>
      </c>
      <c r="F167" s="12"/>
      <c r="G167" s="14" t="s">
        <v>854</v>
      </c>
      <c r="H167" s="14" t="s">
        <v>110</v>
      </c>
      <c r="I167" s="14" t="s">
        <v>855</v>
      </c>
      <c r="J167" s="14" t="s">
        <v>92</v>
      </c>
      <c r="K167" s="14" t="s">
        <v>92</v>
      </c>
      <c r="L167" s="14" t="s">
        <v>92</v>
      </c>
      <c r="M167" s="14" t="s">
        <v>93</v>
      </c>
      <c r="N167" s="14" t="s">
        <v>92</v>
      </c>
      <c r="O167" s="14" t="s">
        <v>92</v>
      </c>
      <c r="P167" s="14" t="s">
        <v>92</v>
      </c>
      <c r="Q167" s="14" t="s">
        <v>93</v>
      </c>
      <c r="R167" s="14" t="s">
        <v>93</v>
      </c>
      <c r="S167" s="14" t="s">
        <v>92</v>
      </c>
      <c r="T167" s="14" t="s">
        <v>92</v>
      </c>
      <c r="U167" s="14" t="s">
        <v>93</v>
      </c>
      <c r="V167" s="14" t="s">
        <v>92</v>
      </c>
      <c r="W167" s="14" t="s">
        <v>92</v>
      </c>
      <c r="X167" s="14" t="s">
        <v>92</v>
      </c>
      <c r="Y167" s="14" t="s">
        <v>92</v>
      </c>
      <c r="Z167" s="14" t="s">
        <v>92</v>
      </c>
      <c r="AA167" s="14" t="s">
        <v>92</v>
      </c>
      <c r="AB167" s="8" t="s">
        <v>93</v>
      </c>
      <c r="AC167" s="8" t="s">
        <v>92</v>
      </c>
      <c r="AD167" s="8" t="s">
        <v>92</v>
      </c>
      <c r="AE167" s="14" t="s">
        <v>94</v>
      </c>
      <c r="AF167" s="14" t="s">
        <v>92</v>
      </c>
      <c r="AG167" s="13" t="s">
        <v>95</v>
      </c>
      <c r="AH167" s="8" t="s">
        <v>105</v>
      </c>
      <c r="AI167" s="14" t="s">
        <v>92</v>
      </c>
      <c r="AJ167" s="14" t="s">
        <v>92</v>
      </c>
      <c r="AK167" s="14" t="s">
        <v>92</v>
      </c>
      <c r="AL167" s="14" t="s">
        <v>93</v>
      </c>
      <c r="AM167" s="15" t="s">
        <v>105</v>
      </c>
      <c r="AN167" s="13" t="s">
        <v>105</v>
      </c>
      <c r="AO167" s="8" t="s">
        <v>105</v>
      </c>
      <c r="AP167" s="8" t="s">
        <v>92</v>
      </c>
      <c r="AQ167" s="13" t="s">
        <v>92</v>
      </c>
      <c r="AR167" s="13" t="s">
        <v>93</v>
      </c>
      <c r="AS167" s="13" t="s">
        <v>93</v>
      </c>
      <c r="AT167" s="13" t="s">
        <v>93</v>
      </c>
      <c r="AU167" s="13" t="s">
        <v>93</v>
      </c>
      <c r="AV167" s="13" t="s">
        <v>93</v>
      </c>
      <c r="AW167" s="14" t="s">
        <v>92</v>
      </c>
      <c r="AX167" s="14" t="s">
        <v>92</v>
      </c>
      <c r="AY167" s="15" t="s">
        <v>95</v>
      </c>
      <c r="AZ167" s="15" t="s">
        <v>95</v>
      </c>
      <c r="BA167" s="16" t="s">
        <v>828</v>
      </c>
      <c r="BB167" s="8" t="s">
        <v>213</v>
      </c>
      <c r="BC167" s="8" t="s">
        <v>92</v>
      </c>
      <c r="BD167" s="14" t="s">
        <v>92</v>
      </c>
      <c r="BE167" s="14" t="s">
        <v>92</v>
      </c>
      <c r="BF167" s="14" t="s">
        <v>92</v>
      </c>
      <c r="BG167" s="14" t="s">
        <v>92</v>
      </c>
      <c r="BH167" s="14" t="s">
        <v>92</v>
      </c>
      <c r="BI167" s="14" t="s">
        <v>93</v>
      </c>
      <c r="BJ167" s="14" t="s">
        <v>92</v>
      </c>
      <c r="BK167" s="14" t="s">
        <v>105</v>
      </c>
      <c r="BL167" s="14" t="s">
        <v>105</v>
      </c>
      <c r="BM167" s="14" t="s">
        <v>105</v>
      </c>
      <c r="BN167" s="14" t="s">
        <v>105</v>
      </c>
      <c r="BO167" s="14" t="s">
        <v>105</v>
      </c>
      <c r="BP167" s="14" t="s">
        <v>105</v>
      </c>
      <c r="BQ167" s="8" t="s">
        <v>93</v>
      </c>
      <c r="BR167" s="8" t="s">
        <v>92</v>
      </c>
      <c r="BS167" s="8" t="s">
        <v>92</v>
      </c>
      <c r="BT167" s="8" t="s">
        <v>92</v>
      </c>
      <c r="BU167" s="8" t="s">
        <v>92</v>
      </c>
      <c r="BV167" s="8" t="s">
        <v>92</v>
      </c>
      <c r="BW167" s="8" t="s">
        <v>92</v>
      </c>
      <c r="BX167" s="8" t="s">
        <v>92</v>
      </c>
      <c r="BY167" s="8" t="s">
        <v>92</v>
      </c>
      <c r="BZ167" s="8" t="s">
        <v>92</v>
      </c>
      <c r="CA167" s="8" t="s">
        <v>92</v>
      </c>
      <c r="CB167" s="20" t="s">
        <v>116</v>
      </c>
      <c r="CC167" s="18"/>
      <c r="CD167" s="18"/>
      <c r="CE167" s="18"/>
      <c r="CF167" s="18"/>
      <c r="CG167" s="18"/>
      <c r="CH167" s="14"/>
    </row>
    <row r="168">
      <c r="A168" s="8"/>
      <c r="B168" s="16" t="s">
        <v>828</v>
      </c>
      <c r="C168" s="10" t="s">
        <v>829</v>
      </c>
      <c r="D168" s="9" t="s">
        <v>87</v>
      </c>
      <c r="E168" s="11" t="s">
        <v>856</v>
      </c>
      <c r="F168" s="12"/>
      <c r="G168" s="14" t="s">
        <v>857</v>
      </c>
      <c r="H168" s="14" t="s">
        <v>110</v>
      </c>
      <c r="I168" s="14" t="s">
        <v>858</v>
      </c>
      <c r="J168" s="14" t="s">
        <v>93</v>
      </c>
      <c r="K168" s="14" t="s">
        <v>92</v>
      </c>
      <c r="L168" s="14" t="s">
        <v>93</v>
      </c>
      <c r="M168" s="14" t="s">
        <v>92</v>
      </c>
      <c r="N168" s="14" t="s">
        <v>92</v>
      </c>
      <c r="O168" s="14" t="s">
        <v>92</v>
      </c>
      <c r="P168" s="14" t="s">
        <v>92</v>
      </c>
      <c r="Q168" s="14" t="s">
        <v>92</v>
      </c>
      <c r="R168" s="14" t="s">
        <v>92</v>
      </c>
      <c r="S168" s="14" t="s">
        <v>92</v>
      </c>
      <c r="T168" s="14" t="s">
        <v>92</v>
      </c>
      <c r="U168" s="14" t="s">
        <v>92</v>
      </c>
      <c r="V168" s="14" t="s">
        <v>92</v>
      </c>
      <c r="W168" s="14" t="s">
        <v>92</v>
      </c>
      <c r="X168" s="14" t="s">
        <v>92</v>
      </c>
      <c r="Y168" s="14" t="s">
        <v>92</v>
      </c>
      <c r="Z168" s="14" t="s">
        <v>93</v>
      </c>
      <c r="AA168" s="14" t="s">
        <v>92</v>
      </c>
      <c r="AB168" s="8" t="s">
        <v>92</v>
      </c>
      <c r="AC168" s="8" t="s">
        <v>93</v>
      </c>
      <c r="AD168" s="8" t="s">
        <v>92</v>
      </c>
      <c r="AE168" s="14" t="s">
        <v>112</v>
      </c>
      <c r="AF168" s="14" t="s">
        <v>92</v>
      </c>
      <c r="AG168" s="13" t="s">
        <v>95</v>
      </c>
      <c r="AH168" s="8">
        <v>2023.0</v>
      </c>
      <c r="AI168" s="14" t="s">
        <v>92</v>
      </c>
      <c r="AJ168" s="14" t="s">
        <v>92</v>
      </c>
      <c r="AK168" s="14" t="s">
        <v>92</v>
      </c>
      <c r="AL168" s="14" t="s">
        <v>93</v>
      </c>
      <c r="AM168" s="15" t="s">
        <v>95</v>
      </c>
      <c r="AN168" s="13" t="s">
        <v>114</v>
      </c>
      <c r="AO168" s="8" t="s">
        <v>93</v>
      </c>
      <c r="AP168" s="8" t="s">
        <v>92</v>
      </c>
      <c r="AQ168" s="13" t="s">
        <v>92</v>
      </c>
      <c r="AR168" s="13" t="s">
        <v>93</v>
      </c>
      <c r="AS168" s="13" t="s">
        <v>93</v>
      </c>
      <c r="AT168" s="13" t="s">
        <v>93</v>
      </c>
      <c r="AU168" s="13" t="s">
        <v>93</v>
      </c>
      <c r="AV168" s="13" t="s">
        <v>93</v>
      </c>
      <c r="AW168" s="14" t="s">
        <v>92</v>
      </c>
      <c r="AX168" s="14" t="s">
        <v>92</v>
      </c>
      <c r="AY168" s="15" t="s">
        <v>95</v>
      </c>
      <c r="AZ168" s="15" t="s">
        <v>95</v>
      </c>
      <c r="BA168" s="16" t="s">
        <v>828</v>
      </c>
      <c r="BB168" s="8" t="s">
        <v>213</v>
      </c>
      <c r="BC168" s="8" t="s">
        <v>92</v>
      </c>
      <c r="BD168" s="14" t="s">
        <v>93</v>
      </c>
      <c r="BE168" s="14" t="s">
        <v>92</v>
      </c>
      <c r="BF168" s="14" t="s">
        <v>92</v>
      </c>
      <c r="BG168" s="14" t="s">
        <v>92</v>
      </c>
      <c r="BH168" s="14" t="s">
        <v>92</v>
      </c>
      <c r="BI168" s="14" t="s">
        <v>92</v>
      </c>
      <c r="BJ168" s="14" t="s">
        <v>92</v>
      </c>
      <c r="BK168" s="14" t="s">
        <v>105</v>
      </c>
      <c r="BL168" s="14" t="s">
        <v>105</v>
      </c>
      <c r="BM168" s="14" t="s">
        <v>105</v>
      </c>
      <c r="BN168" s="14" t="s">
        <v>105</v>
      </c>
      <c r="BO168" s="14" t="s">
        <v>105</v>
      </c>
      <c r="BP168" s="14" t="s">
        <v>105</v>
      </c>
      <c r="BQ168" s="8" t="s">
        <v>92</v>
      </c>
      <c r="BR168" s="8" t="s">
        <v>92</v>
      </c>
      <c r="BS168" s="8" t="s">
        <v>92</v>
      </c>
      <c r="BT168" s="8" t="s">
        <v>93</v>
      </c>
      <c r="BU168" s="8" t="s">
        <v>92</v>
      </c>
      <c r="BV168" s="8" t="s">
        <v>93</v>
      </c>
      <c r="BW168" s="8" t="s">
        <v>92</v>
      </c>
      <c r="BX168" s="8" t="s">
        <v>92</v>
      </c>
      <c r="BY168" s="8" t="s">
        <v>92</v>
      </c>
      <c r="BZ168" s="8" t="s">
        <v>93</v>
      </c>
      <c r="CA168" s="8" t="s">
        <v>92</v>
      </c>
      <c r="CB168" s="20" t="s">
        <v>116</v>
      </c>
      <c r="CC168" s="18"/>
      <c r="CD168" s="18"/>
      <c r="CE168" s="18"/>
      <c r="CF168" s="18"/>
      <c r="CG168" s="18"/>
      <c r="CH168" s="14"/>
    </row>
    <row r="169" ht="13.5" customHeight="1">
      <c r="A169" s="8"/>
      <c r="B169" s="27" t="s">
        <v>828</v>
      </c>
      <c r="C169" s="10" t="s">
        <v>829</v>
      </c>
      <c r="D169" s="9" t="s">
        <v>87</v>
      </c>
      <c r="E169" s="11" t="s">
        <v>859</v>
      </c>
      <c r="F169" s="12"/>
      <c r="G169" s="14" t="s">
        <v>860</v>
      </c>
      <c r="H169" s="14" t="s">
        <v>90</v>
      </c>
      <c r="I169" s="14" t="s">
        <v>861</v>
      </c>
      <c r="J169" s="14" t="s">
        <v>93</v>
      </c>
      <c r="K169" s="14" t="s">
        <v>92</v>
      </c>
      <c r="L169" s="14" t="s">
        <v>93</v>
      </c>
      <c r="M169" s="14" t="s">
        <v>92</v>
      </c>
      <c r="N169" s="14" t="s">
        <v>92</v>
      </c>
      <c r="O169" s="14" t="s">
        <v>92</v>
      </c>
      <c r="P169" s="14" t="s">
        <v>93</v>
      </c>
      <c r="Q169" s="14" t="s">
        <v>92</v>
      </c>
      <c r="R169" s="14" t="s">
        <v>92</v>
      </c>
      <c r="S169" s="14" t="s">
        <v>93</v>
      </c>
      <c r="T169" s="14" t="s">
        <v>92</v>
      </c>
      <c r="U169" s="14" t="s">
        <v>92</v>
      </c>
      <c r="V169" s="14" t="s">
        <v>92</v>
      </c>
      <c r="W169" s="14" t="s">
        <v>92</v>
      </c>
      <c r="X169" s="14" t="s">
        <v>92</v>
      </c>
      <c r="Y169" s="14" t="s">
        <v>92</v>
      </c>
      <c r="Z169" s="14" t="s">
        <v>93</v>
      </c>
      <c r="AA169" s="14" t="s">
        <v>92</v>
      </c>
      <c r="AB169" s="8" t="s">
        <v>93</v>
      </c>
      <c r="AC169" s="8" t="s">
        <v>93</v>
      </c>
      <c r="AD169" s="8" t="s">
        <v>92</v>
      </c>
      <c r="AE169" s="14" t="s">
        <v>103</v>
      </c>
      <c r="AF169" s="14" t="s">
        <v>92</v>
      </c>
      <c r="AG169" s="13" t="s">
        <v>95</v>
      </c>
      <c r="AH169" s="8" t="s">
        <v>105</v>
      </c>
      <c r="AI169" s="14" t="s">
        <v>92</v>
      </c>
      <c r="AJ169" s="14" t="s">
        <v>93</v>
      </c>
      <c r="AK169" s="14" t="s">
        <v>92</v>
      </c>
      <c r="AL169" s="14" t="s">
        <v>92</v>
      </c>
      <c r="AM169" s="15" t="s">
        <v>105</v>
      </c>
      <c r="AN169" s="13" t="s">
        <v>105</v>
      </c>
      <c r="AO169" s="8" t="s">
        <v>105</v>
      </c>
      <c r="AP169" s="8" t="s">
        <v>92</v>
      </c>
      <c r="AQ169" s="13" t="s">
        <v>92</v>
      </c>
      <c r="AR169" s="13" t="s">
        <v>93</v>
      </c>
      <c r="AS169" s="13" t="s">
        <v>93</v>
      </c>
      <c r="AT169" s="13" t="s">
        <v>93</v>
      </c>
      <c r="AU169" s="13" t="s">
        <v>93</v>
      </c>
      <c r="AV169" s="13" t="s">
        <v>93</v>
      </c>
      <c r="AW169" s="14" t="s">
        <v>92</v>
      </c>
      <c r="AX169" s="14" t="s">
        <v>92</v>
      </c>
      <c r="AY169" s="8" t="s">
        <v>862</v>
      </c>
      <c r="AZ169" s="8" t="s">
        <v>93</v>
      </c>
      <c r="BA169" s="16" t="s">
        <v>828</v>
      </c>
      <c r="BB169" s="8" t="s">
        <v>213</v>
      </c>
      <c r="BC169" s="8" t="s">
        <v>92</v>
      </c>
      <c r="BD169" s="14" t="s">
        <v>93</v>
      </c>
      <c r="BE169" s="14" t="s">
        <v>92</v>
      </c>
      <c r="BF169" s="14" t="s">
        <v>92</v>
      </c>
      <c r="BG169" s="14" t="s">
        <v>92</v>
      </c>
      <c r="BH169" s="14" t="s">
        <v>92</v>
      </c>
      <c r="BI169" s="14" t="s">
        <v>92</v>
      </c>
      <c r="BJ169" s="14" t="s">
        <v>92</v>
      </c>
      <c r="BK169" s="14" t="s">
        <v>863</v>
      </c>
      <c r="BL169" s="14" t="s">
        <v>93</v>
      </c>
      <c r="BM169" s="14" t="s">
        <v>93</v>
      </c>
      <c r="BN169" s="14" t="s">
        <v>92</v>
      </c>
      <c r="BO169" s="14" t="s">
        <v>93</v>
      </c>
      <c r="BP169" s="14" t="s">
        <v>92</v>
      </c>
      <c r="BQ169" s="8" t="s">
        <v>92</v>
      </c>
      <c r="BR169" s="8" t="s">
        <v>92</v>
      </c>
      <c r="BS169" s="8" t="s">
        <v>93</v>
      </c>
      <c r="BT169" s="8" t="s">
        <v>93</v>
      </c>
      <c r="BU169" s="8" t="s">
        <v>92</v>
      </c>
      <c r="BV169" s="8" t="s">
        <v>92</v>
      </c>
      <c r="BW169" s="8" t="s">
        <v>92</v>
      </c>
      <c r="BX169" s="8" t="s">
        <v>92</v>
      </c>
      <c r="BY169" s="8" t="s">
        <v>92</v>
      </c>
      <c r="BZ169" s="8" t="s">
        <v>93</v>
      </c>
      <c r="CA169" s="8" t="s">
        <v>92</v>
      </c>
      <c r="CB169" s="17" t="s">
        <v>846</v>
      </c>
      <c r="CC169" s="18"/>
      <c r="CD169" s="18"/>
      <c r="CE169" s="18"/>
      <c r="CF169" s="18"/>
      <c r="CG169" s="18"/>
      <c r="CH169" s="14"/>
    </row>
    <row r="170">
      <c r="A170" s="8"/>
      <c r="B170" s="28" t="s">
        <v>828</v>
      </c>
      <c r="C170" s="10" t="s">
        <v>829</v>
      </c>
      <c r="D170" s="9" t="s">
        <v>87</v>
      </c>
      <c r="E170" s="11" t="s">
        <v>864</v>
      </c>
      <c r="F170" s="12"/>
      <c r="G170" s="14" t="s">
        <v>865</v>
      </c>
      <c r="H170" s="14" t="s">
        <v>110</v>
      </c>
      <c r="I170" s="14" t="s">
        <v>866</v>
      </c>
      <c r="J170" s="14" t="s">
        <v>93</v>
      </c>
      <c r="K170" s="14" t="s">
        <v>93</v>
      </c>
      <c r="L170" s="14" t="s">
        <v>93</v>
      </c>
      <c r="M170" s="14" t="s">
        <v>92</v>
      </c>
      <c r="N170" s="14" t="s">
        <v>92</v>
      </c>
      <c r="O170" s="14" t="s">
        <v>92</v>
      </c>
      <c r="P170" s="14" t="s">
        <v>92</v>
      </c>
      <c r="Q170" s="14" t="s">
        <v>92</v>
      </c>
      <c r="R170" s="14" t="s">
        <v>92</v>
      </c>
      <c r="S170" s="14" t="s">
        <v>93</v>
      </c>
      <c r="T170" s="14" t="s">
        <v>92</v>
      </c>
      <c r="U170" s="14" t="s">
        <v>92</v>
      </c>
      <c r="V170" s="14" t="s">
        <v>92</v>
      </c>
      <c r="W170" s="14" t="s">
        <v>92</v>
      </c>
      <c r="X170" s="14" t="s">
        <v>92</v>
      </c>
      <c r="Y170" s="14" t="s">
        <v>92</v>
      </c>
      <c r="Z170" s="14" t="s">
        <v>93</v>
      </c>
      <c r="AA170" s="14" t="s">
        <v>92</v>
      </c>
      <c r="AB170" s="8" t="s">
        <v>93</v>
      </c>
      <c r="AC170" s="8" t="s">
        <v>93</v>
      </c>
      <c r="AD170" s="8" t="s">
        <v>93</v>
      </c>
      <c r="AE170" s="14" t="s">
        <v>112</v>
      </c>
      <c r="AF170" s="14" t="s">
        <v>92</v>
      </c>
      <c r="AG170" s="13" t="s">
        <v>95</v>
      </c>
      <c r="AH170" s="8" t="s">
        <v>105</v>
      </c>
      <c r="AI170" s="14" t="s">
        <v>92</v>
      </c>
      <c r="AJ170" s="14" t="s">
        <v>92</v>
      </c>
      <c r="AK170" s="14" t="s">
        <v>92</v>
      </c>
      <c r="AL170" s="14" t="s">
        <v>93</v>
      </c>
      <c r="AM170" s="15" t="s">
        <v>95</v>
      </c>
      <c r="AN170" s="13" t="s">
        <v>114</v>
      </c>
      <c r="AO170" s="8" t="s">
        <v>92</v>
      </c>
      <c r="AP170" s="8" t="s">
        <v>92</v>
      </c>
      <c r="AQ170" s="13" t="s">
        <v>92</v>
      </c>
      <c r="AR170" s="13" t="s">
        <v>93</v>
      </c>
      <c r="AS170" s="13" t="s">
        <v>93</v>
      </c>
      <c r="AT170" s="13" t="s">
        <v>93</v>
      </c>
      <c r="AU170" s="13" t="s">
        <v>93</v>
      </c>
      <c r="AV170" s="13" t="s">
        <v>93</v>
      </c>
      <c r="AW170" s="14" t="s">
        <v>92</v>
      </c>
      <c r="AX170" s="14" t="s">
        <v>92</v>
      </c>
      <c r="AY170" s="8" t="s">
        <v>867</v>
      </c>
      <c r="AZ170" s="8" t="s">
        <v>93</v>
      </c>
      <c r="BA170" s="16" t="s">
        <v>828</v>
      </c>
      <c r="BB170" s="8" t="s">
        <v>213</v>
      </c>
      <c r="BC170" s="8" t="s">
        <v>92</v>
      </c>
      <c r="BD170" s="14" t="s">
        <v>93</v>
      </c>
      <c r="BE170" s="14" t="s">
        <v>92</v>
      </c>
      <c r="BF170" s="14" t="s">
        <v>92</v>
      </c>
      <c r="BG170" s="14" t="s">
        <v>92</v>
      </c>
      <c r="BH170" s="14" t="s">
        <v>92</v>
      </c>
      <c r="BI170" s="14" t="s">
        <v>92</v>
      </c>
      <c r="BJ170" s="14" t="s">
        <v>92</v>
      </c>
      <c r="BK170" s="14" t="s">
        <v>868</v>
      </c>
      <c r="BL170" s="14" t="s">
        <v>92</v>
      </c>
      <c r="BM170" s="14" t="s">
        <v>92</v>
      </c>
      <c r="BN170" s="14" t="s">
        <v>92</v>
      </c>
      <c r="BO170" s="14" t="s">
        <v>93</v>
      </c>
      <c r="BP170" s="14" t="s">
        <v>92</v>
      </c>
      <c r="BQ170" s="8" t="s">
        <v>92</v>
      </c>
      <c r="BR170" s="8" t="s">
        <v>92</v>
      </c>
      <c r="BS170" s="8" t="s">
        <v>93</v>
      </c>
      <c r="BT170" s="8" t="s">
        <v>93</v>
      </c>
      <c r="BU170" s="8" t="s">
        <v>92</v>
      </c>
      <c r="BV170" s="8" t="s">
        <v>93</v>
      </c>
      <c r="BW170" s="8" t="s">
        <v>92</v>
      </c>
      <c r="BX170" s="8" t="s">
        <v>92</v>
      </c>
      <c r="BY170" s="8" t="s">
        <v>92</v>
      </c>
      <c r="BZ170" s="8" t="s">
        <v>93</v>
      </c>
      <c r="CA170" s="8" t="s">
        <v>92</v>
      </c>
      <c r="CB170" s="20" t="s">
        <v>116</v>
      </c>
      <c r="CC170" s="18"/>
      <c r="CD170" s="18"/>
      <c r="CE170" s="18"/>
      <c r="CF170" s="18"/>
      <c r="CG170" s="18"/>
      <c r="CH170" s="14"/>
    </row>
    <row r="171">
      <c r="A171" s="8"/>
      <c r="B171" s="27" t="s">
        <v>828</v>
      </c>
      <c r="C171" s="10" t="s">
        <v>829</v>
      </c>
      <c r="D171" s="9" t="s">
        <v>87</v>
      </c>
      <c r="E171" s="11" t="s">
        <v>869</v>
      </c>
      <c r="F171" s="12"/>
      <c r="G171" s="14" t="s">
        <v>360</v>
      </c>
      <c r="H171" s="14" t="s">
        <v>189</v>
      </c>
      <c r="I171" s="14" t="s">
        <v>870</v>
      </c>
      <c r="J171" s="14" t="s">
        <v>92</v>
      </c>
      <c r="K171" s="14" t="s">
        <v>92</v>
      </c>
      <c r="L171" s="14" t="s">
        <v>92</v>
      </c>
      <c r="M171" s="14" t="s">
        <v>93</v>
      </c>
      <c r="N171" s="14" t="s">
        <v>92</v>
      </c>
      <c r="O171" s="14" t="s">
        <v>92</v>
      </c>
      <c r="P171" s="14" t="s">
        <v>92</v>
      </c>
      <c r="Q171" s="14" t="s">
        <v>93</v>
      </c>
      <c r="R171" s="14" t="s">
        <v>93</v>
      </c>
      <c r="S171" s="14" t="s">
        <v>92</v>
      </c>
      <c r="T171" s="14" t="s">
        <v>92</v>
      </c>
      <c r="U171" s="14" t="s">
        <v>93</v>
      </c>
      <c r="V171" s="14" t="s">
        <v>92</v>
      </c>
      <c r="W171" s="14" t="s">
        <v>92</v>
      </c>
      <c r="X171" s="14" t="s">
        <v>92</v>
      </c>
      <c r="Y171" s="14" t="s">
        <v>92</v>
      </c>
      <c r="Z171" s="14" t="s">
        <v>92</v>
      </c>
      <c r="AA171" s="14" t="s">
        <v>92</v>
      </c>
      <c r="AB171" s="8" t="s">
        <v>93</v>
      </c>
      <c r="AC171" s="8" t="s">
        <v>92</v>
      </c>
      <c r="AD171" s="8" t="s">
        <v>92</v>
      </c>
      <c r="AE171" s="14" t="s">
        <v>94</v>
      </c>
      <c r="AF171" s="14" t="s">
        <v>92</v>
      </c>
      <c r="AG171" s="13" t="s">
        <v>95</v>
      </c>
      <c r="AH171" s="8">
        <v>2023.0</v>
      </c>
      <c r="AI171" s="14" t="s">
        <v>92</v>
      </c>
      <c r="AJ171" s="14" t="s">
        <v>92</v>
      </c>
      <c r="AK171" s="14" t="s">
        <v>92</v>
      </c>
      <c r="AL171" s="14" t="s">
        <v>93</v>
      </c>
      <c r="AM171" s="15" t="s">
        <v>95</v>
      </c>
      <c r="AN171" s="13" t="s">
        <v>114</v>
      </c>
      <c r="AO171" s="8" t="s">
        <v>92</v>
      </c>
      <c r="AP171" s="8" t="s">
        <v>92</v>
      </c>
      <c r="AQ171" s="13" t="s">
        <v>92</v>
      </c>
      <c r="AR171" s="13" t="s">
        <v>93</v>
      </c>
      <c r="AS171" s="13" t="s">
        <v>93</v>
      </c>
      <c r="AT171" s="13" t="s">
        <v>93</v>
      </c>
      <c r="AU171" s="13" t="s">
        <v>93</v>
      </c>
      <c r="AV171" s="13" t="s">
        <v>93</v>
      </c>
      <c r="AW171" s="14" t="s">
        <v>92</v>
      </c>
      <c r="AX171" s="14" t="s">
        <v>92</v>
      </c>
      <c r="AY171" s="15" t="s">
        <v>95</v>
      </c>
      <c r="AZ171" s="15" t="s">
        <v>95</v>
      </c>
      <c r="BA171" s="16" t="s">
        <v>828</v>
      </c>
      <c r="BB171" s="8" t="s">
        <v>213</v>
      </c>
      <c r="BC171" s="8" t="s">
        <v>92</v>
      </c>
      <c r="BD171" s="14" t="s">
        <v>92</v>
      </c>
      <c r="BE171" s="14" t="s">
        <v>92</v>
      </c>
      <c r="BF171" s="14" t="s">
        <v>92</v>
      </c>
      <c r="BG171" s="14" t="s">
        <v>92</v>
      </c>
      <c r="BH171" s="14" t="s">
        <v>92</v>
      </c>
      <c r="BI171" s="14" t="s">
        <v>93</v>
      </c>
      <c r="BJ171" s="14" t="s">
        <v>92</v>
      </c>
      <c r="BK171" s="13" t="s">
        <v>105</v>
      </c>
      <c r="BL171" s="13" t="s">
        <v>105</v>
      </c>
      <c r="BM171" s="13" t="s">
        <v>105</v>
      </c>
      <c r="BN171" s="13" t="s">
        <v>105</v>
      </c>
      <c r="BO171" s="13" t="s">
        <v>105</v>
      </c>
      <c r="BP171" s="13" t="s">
        <v>105</v>
      </c>
      <c r="BQ171" s="8" t="s">
        <v>93</v>
      </c>
      <c r="BR171" s="8" t="s">
        <v>92</v>
      </c>
      <c r="BS171" s="8" t="s">
        <v>92</v>
      </c>
      <c r="BT171" s="8" t="s">
        <v>92</v>
      </c>
      <c r="BU171" s="8" t="s">
        <v>92</v>
      </c>
      <c r="BV171" s="8" t="s">
        <v>92</v>
      </c>
      <c r="BW171" s="8" t="s">
        <v>92</v>
      </c>
      <c r="BX171" s="8" t="s">
        <v>92</v>
      </c>
      <c r="BY171" s="8" t="s">
        <v>92</v>
      </c>
      <c r="BZ171" s="8" t="s">
        <v>92</v>
      </c>
      <c r="CA171" s="8" t="s">
        <v>92</v>
      </c>
      <c r="CB171" s="20" t="s">
        <v>116</v>
      </c>
      <c r="CC171" s="18"/>
      <c r="CD171" s="18"/>
      <c r="CE171" s="31"/>
      <c r="CF171" s="18"/>
      <c r="CG171" s="18"/>
      <c r="CH171" s="14"/>
    </row>
    <row r="172">
      <c r="A172" s="8"/>
      <c r="B172" s="16" t="s">
        <v>828</v>
      </c>
      <c r="C172" s="10" t="s">
        <v>829</v>
      </c>
      <c r="D172" s="9" t="s">
        <v>87</v>
      </c>
      <c r="E172" s="11" t="s">
        <v>871</v>
      </c>
      <c r="F172" s="25"/>
      <c r="G172" s="13" t="s">
        <v>872</v>
      </c>
      <c r="H172" s="13" t="s">
        <v>90</v>
      </c>
      <c r="I172" s="14" t="s">
        <v>873</v>
      </c>
      <c r="J172" s="13" t="s">
        <v>92</v>
      </c>
      <c r="K172" s="14" t="s">
        <v>92</v>
      </c>
      <c r="L172" s="14" t="s">
        <v>92</v>
      </c>
      <c r="M172" s="14" t="s">
        <v>93</v>
      </c>
      <c r="N172" s="14" t="s">
        <v>92</v>
      </c>
      <c r="O172" s="14" t="s">
        <v>92</v>
      </c>
      <c r="P172" s="13" t="s">
        <v>93</v>
      </c>
      <c r="Q172" s="13" t="s">
        <v>92</v>
      </c>
      <c r="R172" s="14" t="s">
        <v>93</v>
      </c>
      <c r="S172" s="13" t="s">
        <v>93</v>
      </c>
      <c r="T172" s="13" t="s">
        <v>93</v>
      </c>
      <c r="U172" s="13" t="s">
        <v>93</v>
      </c>
      <c r="V172" s="13" t="s">
        <v>92</v>
      </c>
      <c r="W172" s="13" t="s">
        <v>92</v>
      </c>
      <c r="X172" s="13" t="s">
        <v>92</v>
      </c>
      <c r="Y172" s="13" t="s">
        <v>92</v>
      </c>
      <c r="Z172" s="14" t="s">
        <v>93</v>
      </c>
      <c r="AA172" s="14" t="s">
        <v>92</v>
      </c>
      <c r="AB172" s="15" t="s">
        <v>93</v>
      </c>
      <c r="AC172" s="15" t="s">
        <v>93</v>
      </c>
      <c r="AD172" s="15" t="s">
        <v>92</v>
      </c>
      <c r="AE172" s="13" t="s">
        <v>148</v>
      </c>
      <c r="AF172" s="13" t="s">
        <v>92</v>
      </c>
      <c r="AG172" s="13" t="s">
        <v>95</v>
      </c>
      <c r="AH172" s="15">
        <v>2021.0</v>
      </c>
      <c r="AI172" s="13" t="s">
        <v>92</v>
      </c>
      <c r="AJ172" s="13" t="s">
        <v>93</v>
      </c>
      <c r="AK172" s="13" t="s">
        <v>93</v>
      </c>
      <c r="AL172" s="14" t="s">
        <v>93</v>
      </c>
      <c r="AM172" s="15" t="s">
        <v>95</v>
      </c>
      <c r="AN172" s="13" t="s">
        <v>114</v>
      </c>
      <c r="AO172" s="15" t="s">
        <v>93</v>
      </c>
      <c r="AP172" s="15" t="s">
        <v>92</v>
      </c>
      <c r="AQ172" s="13" t="s">
        <v>92</v>
      </c>
      <c r="AR172" s="13" t="s">
        <v>93</v>
      </c>
      <c r="AS172" s="13" t="s">
        <v>93</v>
      </c>
      <c r="AT172" s="13" t="s">
        <v>93</v>
      </c>
      <c r="AU172" s="13" t="s">
        <v>93</v>
      </c>
      <c r="AV172" s="13" t="s">
        <v>93</v>
      </c>
      <c r="AW172" s="14" t="s">
        <v>92</v>
      </c>
      <c r="AX172" s="14" t="s">
        <v>92</v>
      </c>
      <c r="AY172" s="15" t="s">
        <v>95</v>
      </c>
      <c r="AZ172" s="15" t="s">
        <v>95</v>
      </c>
      <c r="BA172" s="16" t="s">
        <v>874</v>
      </c>
      <c r="BB172" s="8" t="s">
        <v>95</v>
      </c>
      <c r="BC172" s="8" t="s">
        <v>93</v>
      </c>
      <c r="BD172" s="13" t="s">
        <v>93</v>
      </c>
      <c r="BE172" s="13" t="s">
        <v>92</v>
      </c>
      <c r="BF172" s="13" t="s">
        <v>92</v>
      </c>
      <c r="BG172" s="13" t="s">
        <v>92</v>
      </c>
      <c r="BH172" s="13" t="s">
        <v>92</v>
      </c>
      <c r="BI172" s="13" t="s">
        <v>93</v>
      </c>
      <c r="BJ172" s="13" t="s">
        <v>92</v>
      </c>
      <c r="BK172" s="14" t="s">
        <v>875</v>
      </c>
      <c r="BL172" s="13" t="s">
        <v>92</v>
      </c>
      <c r="BM172" s="13" t="s">
        <v>92</v>
      </c>
      <c r="BN172" s="13" t="s">
        <v>92</v>
      </c>
      <c r="BO172" s="13" t="s">
        <v>93</v>
      </c>
      <c r="BP172" s="13" t="s">
        <v>92</v>
      </c>
      <c r="BQ172" s="15" t="s">
        <v>93</v>
      </c>
      <c r="BR172" s="15" t="s">
        <v>93</v>
      </c>
      <c r="BS172" s="15" t="s">
        <v>93</v>
      </c>
      <c r="BT172" s="15" t="s">
        <v>93</v>
      </c>
      <c r="BU172" s="8" t="s">
        <v>93</v>
      </c>
      <c r="BV172" s="15" t="s">
        <v>93</v>
      </c>
      <c r="BW172" s="15" t="s">
        <v>92</v>
      </c>
      <c r="BX172" s="15" t="s">
        <v>92</v>
      </c>
      <c r="BY172" s="15" t="s">
        <v>92</v>
      </c>
      <c r="BZ172" s="15" t="s">
        <v>92</v>
      </c>
      <c r="CA172" s="15" t="s">
        <v>93</v>
      </c>
      <c r="CB172" s="17" t="s">
        <v>841</v>
      </c>
      <c r="CC172" s="17" t="s">
        <v>876</v>
      </c>
      <c r="CD172" s="17" t="s">
        <v>846</v>
      </c>
      <c r="CE172" s="20" t="s">
        <v>116</v>
      </c>
      <c r="CF172" s="18"/>
      <c r="CG172" s="18"/>
      <c r="CH172" s="14"/>
    </row>
    <row r="173">
      <c r="A173" s="8"/>
      <c r="B173" s="16" t="s">
        <v>828</v>
      </c>
      <c r="C173" s="10" t="s">
        <v>829</v>
      </c>
      <c r="D173" s="9" t="s">
        <v>87</v>
      </c>
      <c r="E173" s="11" t="s">
        <v>877</v>
      </c>
      <c r="F173" s="12"/>
      <c r="G173" s="14" t="s">
        <v>94</v>
      </c>
      <c r="H173" s="13" t="s">
        <v>90</v>
      </c>
      <c r="I173" s="13" t="s">
        <v>878</v>
      </c>
      <c r="J173" s="13" t="s">
        <v>92</v>
      </c>
      <c r="K173" s="14" t="s">
        <v>92</v>
      </c>
      <c r="L173" s="14" t="s">
        <v>92</v>
      </c>
      <c r="M173" s="14" t="s">
        <v>93</v>
      </c>
      <c r="N173" s="14" t="s">
        <v>92</v>
      </c>
      <c r="O173" s="13" t="s">
        <v>92</v>
      </c>
      <c r="P173" s="14" t="s">
        <v>92</v>
      </c>
      <c r="Q173" s="13" t="s">
        <v>93</v>
      </c>
      <c r="R173" s="13" t="s">
        <v>92</v>
      </c>
      <c r="S173" s="13" t="s">
        <v>92</v>
      </c>
      <c r="T173" s="13" t="s">
        <v>92</v>
      </c>
      <c r="U173" s="13" t="s">
        <v>93</v>
      </c>
      <c r="V173" s="13" t="s">
        <v>92</v>
      </c>
      <c r="W173" s="13" t="s">
        <v>92</v>
      </c>
      <c r="X173" s="13" t="s">
        <v>92</v>
      </c>
      <c r="Y173" s="13" t="s">
        <v>92</v>
      </c>
      <c r="Z173" s="13" t="s">
        <v>92</v>
      </c>
      <c r="AA173" s="14" t="s">
        <v>92</v>
      </c>
      <c r="AB173" s="15" t="s">
        <v>93</v>
      </c>
      <c r="AC173" s="15" t="s">
        <v>92</v>
      </c>
      <c r="AD173" s="15" t="s">
        <v>92</v>
      </c>
      <c r="AE173" s="13" t="s">
        <v>94</v>
      </c>
      <c r="AF173" s="13" t="s">
        <v>92</v>
      </c>
      <c r="AG173" s="13" t="s">
        <v>95</v>
      </c>
      <c r="AH173" s="15">
        <v>2021.0</v>
      </c>
      <c r="AI173" s="13" t="s">
        <v>92</v>
      </c>
      <c r="AJ173" s="13" t="s">
        <v>93</v>
      </c>
      <c r="AK173" s="13" t="s">
        <v>92</v>
      </c>
      <c r="AL173" s="14" t="s">
        <v>92</v>
      </c>
      <c r="AM173" s="15">
        <v>2021.0</v>
      </c>
      <c r="AN173" s="13" t="s">
        <v>96</v>
      </c>
      <c r="AO173" s="15" t="s">
        <v>92</v>
      </c>
      <c r="AP173" s="15" t="s">
        <v>93</v>
      </c>
      <c r="AQ173" s="13" t="s">
        <v>92</v>
      </c>
      <c r="AR173" s="13" t="s">
        <v>93</v>
      </c>
      <c r="AS173" s="13" t="s">
        <v>93</v>
      </c>
      <c r="AT173" s="13" t="s">
        <v>93</v>
      </c>
      <c r="AU173" s="13" t="s">
        <v>93</v>
      </c>
      <c r="AV173" s="13" t="s">
        <v>93</v>
      </c>
      <c r="AW173" s="14" t="s">
        <v>92</v>
      </c>
      <c r="AX173" s="14" t="s">
        <v>92</v>
      </c>
      <c r="AY173" s="15" t="s">
        <v>95</v>
      </c>
      <c r="AZ173" s="15" t="s">
        <v>95</v>
      </c>
      <c r="BA173" s="16" t="s">
        <v>828</v>
      </c>
      <c r="BB173" s="8" t="s">
        <v>213</v>
      </c>
      <c r="BC173" s="15" t="s">
        <v>92</v>
      </c>
      <c r="BD173" s="13" t="s">
        <v>92</v>
      </c>
      <c r="BE173" s="13" t="s">
        <v>92</v>
      </c>
      <c r="BF173" s="13" t="s">
        <v>92</v>
      </c>
      <c r="BG173" s="13" t="s">
        <v>92</v>
      </c>
      <c r="BH173" s="13" t="s">
        <v>92</v>
      </c>
      <c r="BI173" s="13" t="s">
        <v>93</v>
      </c>
      <c r="BJ173" s="13" t="s">
        <v>92</v>
      </c>
      <c r="BK173" s="13" t="s">
        <v>105</v>
      </c>
      <c r="BL173" s="13" t="s">
        <v>105</v>
      </c>
      <c r="BM173" s="13" t="s">
        <v>105</v>
      </c>
      <c r="BN173" s="13" t="s">
        <v>105</v>
      </c>
      <c r="BO173" s="13" t="s">
        <v>105</v>
      </c>
      <c r="BP173" s="13" t="s">
        <v>105</v>
      </c>
      <c r="BQ173" s="15" t="s">
        <v>93</v>
      </c>
      <c r="BR173" s="15" t="s">
        <v>92</v>
      </c>
      <c r="BS173" s="15" t="s">
        <v>92</v>
      </c>
      <c r="BT173" s="15" t="s">
        <v>92</v>
      </c>
      <c r="BU173" s="15" t="s">
        <v>92</v>
      </c>
      <c r="BV173" s="15" t="s">
        <v>92</v>
      </c>
      <c r="BW173" s="15" t="s">
        <v>92</v>
      </c>
      <c r="BX173" s="15" t="s">
        <v>92</v>
      </c>
      <c r="BY173" s="15" t="s">
        <v>92</v>
      </c>
      <c r="BZ173" s="15" t="s">
        <v>92</v>
      </c>
      <c r="CA173" s="15" t="s">
        <v>92</v>
      </c>
      <c r="CB173" s="17" t="s">
        <v>879</v>
      </c>
      <c r="CC173" s="17"/>
      <c r="CD173" s="18"/>
      <c r="CE173" s="18"/>
      <c r="CF173" s="18"/>
      <c r="CG173" s="18"/>
      <c r="CH173" s="14"/>
    </row>
    <row r="174">
      <c r="A174" s="8"/>
      <c r="B174" s="16" t="s">
        <v>828</v>
      </c>
      <c r="C174" s="10" t="s">
        <v>829</v>
      </c>
      <c r="D174" s="9" t="s">
        <v>87</v>
      </c>
      <c r="E174" s="11" t="s">
        <v>880</v>
      </c>
      <c r="F174" s="12"/>
      <c r="G174" s="13" t="s">
        <v>881</v>
      </c>
      <c r="H174" s="13" t="s">
        <v>189</v>
      </c>
      <c r="I174" s="14" t="s">
        <v>882</v>
      </c>
      <c r="J174" s="13" t="s">
        <v>92</v>
      </c>
      <c r="K174" s="14" t="s">
        <v>92</v>
      </c>
      <c r="L174" s="14" t="s">
        <v>92</v>
      </c>
      <c r="M174" s="14" t="s">
        <v>92</v>
      </c>
      <c r="N174" s="14" t="s">
        <v>92</v>
      </c>
      <c r="O174" s="13" t="s">
        <v>92</v>
      </c>
      <c r="P174" s="14" t="s">
        <v>92</v>
      </c>
      <c r="Q174" s="13" t="s">
        <v>93</v>
      </c>
      <c r="R174" s="14" t="s">
        <v>93</v>
      </c>
      <c r="S174" s="13" t="s">
        <v>92</v>
      </c>
      <c r="T174" s="13" t="s">
        <v>92</v>
      </c>
      <c r="U174" s="13" t="s">
        <v>93</v>
      </c>
      <c r="V174" s="13" t="s">
        <v>92</v>
      </c>
      <c r="W174" s="13" t="s">
        <v>92</v>
      </c>
      <c r="X174" s="13" t="s">
        <v>92</v>
      </c>
      <c r="Y174" s="13" t="s">
        <v>92</v>
      </c>
      <c r="Z174" s="13" t="s">
        <v>92</v>
      </c>
      <c r="AA174" s="14" t="s">
        <v>92</v>
      </c>
      <c r="AB174" s="15" t="s">
        <v>93</v>
      </c>
      <c r="AC174" s="15" t="s">
        <v>92</v>
      </c>
      <c r="AD174" s="15" t="s">
        <v>92</v>
      </c>
      <c r="AE174" s="13" t="s">
        <v>94</v>
      </c>
      <c r="AF174" s="13" t="s">
        <v>92</v>
      </c>
      <c r="AG174" s="13" t="s">
        <v>95</v>
      </c>
      <c r="AH174" s="8" t="s">
        <v>105</v>
      </c>
      <c r="AI174" s="13" t="s">
        <v>92</v>
      </c>
      <c r="AJ174" s="13" t="s">
        <v>92</v>
      </c>
      <c r="AK174" s="13" t="s">
        <v>93</v>
      </c>
      <c r="AL174" s="14" t="s">
        <v>93</v>
      </c>
      <c r="AM174" s="8" t="s">
        <v>95</v>
      </c>
      <c r="AN174" s="14" t="s">
        <v>114</v>
      </c>
      <c r="AO174" s="8" t="s">
        <v>93</v>
      </c>
      <c r="AP174" s="15" t="s">
        <v>92</v>
      </c>
      <c r="AQ174" s="13" t="s">
        <v>92</v>
      </c>
      <c r="AR174" s="13" t="s">
        <v>93</v>
      </c>
      <c r="AS174" s="13" t="s">
        <v>93</v>
      </c>
      <c r="AT174" s="13" t="s">
        <v>93</v>
      </c>
      <c r="AU174" s="13" t="s">
        <v>93</v>
      </c>
      <c r="AV174" s="13" t="s">
        <v>93</v>
      </c>
      <c r="AW174" s="14" t="s">
        <v>92</v>
      </c>
      <c r="AX174" s="14" t="s">
        <v>92</v>
      </c>
      <c r="AY174" s="15" t="s">
        <v>95</v>
      </c>
      <c r="AZ174" s="15" t="s">
        <v>95</v>
      </c>
      <c r="BA174" s="16" t="s">
        <v>828</v>
      </c>
      <c r="BB174" s="8" t="s">
        <v>213</v>
      </c>
      <c r="BC174" s="15" t="s">
        <v>92</v>
      </c>
      <c r="BD174" s="13" t="s">
        <v>92</v>
      </c>
      <c r="BE174" s="13" t="s">
        <v>92</v>
      </c>
      <c r="BF174" s="13" t="s">
        <v>92</v>
      </c>
      <c r="BG174" s="13" t="s">
        <v>92</v>
      </c>
      <c r="BH174" s="13" t="s">
        <v>92</v>
      </c>
      <c r="BI174" s="13" t="s">
        <v>93</v>
      </c>
      <c r="BJ174" s="13" t="s">
        <v>92</v>
      </c>
      <c r="BK174" s="13" t="s">
        <v>105</v>
      </c>
      <c r="BL174" s="13" t="s">
        <v>105</v>
      </c>
      <c r="BM174" s="13" t="s">
        <v>105</v>
      </c>
      <c r="BN174" s="13" t="s">
        <v>105</v>
      </c>
      <c r="BO174" s="13" t="s">
        <v>105</v>
      </c>
      <c r="BP174" s="13" t="s">
        <v>105</v>
      </c>
      <c r="BQ174" s="15" t="s">
        <v>93</v>
      </c>
      <c r="BR174" s="15" t="s">
        <v>92</v>
      </c>
      <c r="BS174" s="15" t="s">
        <v>92</v>
      </c>
      <c r="BT174" s="15" t="s">
        <v>92</v>
      </c>
      <c r="BU174" s="15" t="s">
        <v>92</v>
      </c>
      <c r="BV174" s="15" t="s">
        <v>92</v>
      </c>
      <c r="BW174" s="15" t="s">
        <v>92</v>
      </c>
      <c r="BX174" s="15" t="s">
        <v>92</v>
      </c>
      <c r="BY174" s="15" t="s">
        <v>92</v>
      </c>
      <c r="BZ174" s="15" t="s">
        <v>92</v>
      </c>
      <c r="CA174" s="15" t="s">
        <v>92</v>
      </c>
      <c r="CB174" s="17" t="s">
        <v>883</v>
      </c>
      <c r="CC174" s="17"/>
      <c r="CD174" s="18"/>
      <c r="CE174" s="18"/>
      <c r="CF174" s="18"/>
      <c r="CG174" s="18"/>
      <c r="CH174" s="14"/>
    </row>
    <row r="175">
      <c r="A175" s="8"/>
      <c r="B175" s="9" t="s">
        <v>884</v>
      </c>
      <c r="C175" s="10" t="s">
        <v>885</v>
      </c>
      <c r="D175" s="9" t="s">
        <v>87</v>
      </c>
      <c r="E175" s="11" t="s">
        <v>886</v>
      </c>
      <c r="F175" s="12"/>
      <c r="G175" s="13" t="s">
        <v>887</v>
      </c>
      <c r="H175" s="13" t="s">
        <v>90</v>
      </c>
      <c r="I175" s="13" t="s">
        <v>888</v>
      </c>
      <c r="J175" s="13" t="s">
        <v>93</v>
      </c>
      <c r="K175" s="13" t="s">
        <v>92</v>
      </c>
      <c r="L175" s="13" t="s">
        <v>93</v>
      </c>
      <c r="M175" s="13" t="s">
        <v>92</v>
      </c>
      <c r="N175" s="14" t="s">
        <v>92</v>
      </c>
      <c r="O175" s="14" t="s">
        <v>92</v>
      </c>
      <c r="P175" s="13" t="s">
        <v>92</v>
      </c>
      <c r="Q175" s="13" t="s">
        <v>92</v>
      </c>
      <c r="R175" s="13" t="s">
        <v>92</v>
      </c>
      <c r="S175" s="13" t="s">
        <v>92</v>
      </c>
      <c r="T175" s="13" t="s">
        <v>92</v>
      </c>
      <c r="U175" s="13" t="s">
        <v>92</v>
      </c>
      <c r="V175" s="13" t="s">
        <v>92</v>
      </c>
      <c r="W175" s="13" t="s">
        <v>92</v>
      </c>
      <c r="X175" s="13" t="s">
        <v>93</v>
      </c>
      <c r="Y175" s="13" t="s">
        <v>92</v>
      </c>
      <c r="Z175" s="14" t="s">
        <v>93</v>
      </c>
      <c r="AA175" s="14" t="s">
        <v>92</v>
      </c>
      <c r="AB175" s="15" t="s">
        <v>93</v>
      </c>
      <c r="AC175" s="15" t="s">
        <v>93</v>
      </c>
      <c r="AD175" s="15" t="s">
        <v>92</v>
      </c>
      <c r="AE175" s="13" t="s">
        <v>148</v>
      </c>
      <c r="AF175" s="13" t="s">
        <v>92</v>
      </c>
      <c r="AG175" s="13" t="s">
        <v>95</v>
      </c>
      <c r="AH175" s="8" t="s">
        <v>105</v>
      </c>
      <c r="AI175" s="13" t="s">
        <v>105</v>
      </c>
      <c r="AJ175" s="13" t="s">
        <v>105</v>
      </c>
      <c r="AK175" s="13" t="s">
        <v>93</v>
      </c>
      <c r="AL175" s="14" t="s">
        <v>92</v>
      </c>
      <c r="AM175" s="8" t="s">
        <v>105</v>
      </c>
      <c r="AN175" s="14" t="s">
        <v>105</v>
      </c>
      <c r="AO175" s="8" t="s">
        <v>105</v>
      </c>
      <c r="AP175" s="15" t="s">
        <v>92</v>
      </c>
      <c r="AQ175" s="13" t="s">
        <v>93</v>
      </c>
      <c r="AR175" s="13" t="s">
        <v>93</v>
      </c>
      <c r="AS175" s="13" t="s">
        <v>93</v>
      </c>
      <c r="AT175" s="13" t="s">
        <v>93</v>
      </c>
      <c r="AU175" s="13" t="s">
        <v>93</v>
      </c>
      <c r="AV175" s="13" t="s">
        <v>93</v>
      </c>
      <c r="AW175" s="13" t="s">
        <v>93</v>
      </c>
      <c r="AX175" s="14" t="s">
        <v>92</v>
      </c>
      <c r="AY175" s="15" t="s">
        <v>95</v>
      </c>
      <c r="AZ175" s="15" t="s">
        <v>95</v>
      </c>
      <c r="BA175" s="16" t="s">
        <v>889</v>
      </c>
      <c r="BB175" s="8" t="s">
        <v>155</v>
      </c>
      <c r="BC175" s="8" t="s">
        <v>92</v>
      </c>
      <c r="BD175" s="13" t="s">
        <v>93</v>
      </c>
      <c r="BE175" s="13" t="s">
        <v>92</v>
      </c>
      <c r="BF175" s="13" t="s">
        <v>92</v>
      </c>
      <c r="BG175" s="13" t="s">
        <v>92</v>
      </c>
      <c r="BH175" s="13" t="s">
        <v>92</v>
      </c>
      <c r="BI175" s="13" t="s">
        <v>92</v>
      </c>
      <c r="BJ175" s="13" t="s">
        <v>92</v>
      </c>
      <c r="BK175" s="14" t="s">
        <v>574</v>
      </c>
      <c r="BL175" s="13" t="s">
        <v>93</v>
      </c>
      <c r="BM175" s="13" t="s">
        <v>92</v>
      </c>
      <c r="BN175" s="13" t="s">
        <v>92</v>
      </c>
      <c r="BO175" s="13" t="s">
        <v>92</v>
      </c>
      <c r="BP175" s="13" t="s">
        <v>92</v>
      </c>
      <c r="BQ175" s="15" t="s">
        <v>92</v>
      </c>
      <c r="BR175" s="15" t="s">
        <v>92</v>
      </c>
      <c r="BS175" s="15" t="s">
        <v>92</v>
      </c>
      <c r="BT175" s="15" t="s">
        <v>93</v>
      </c>
      <c r="BU175" s="15" t="s">
        <v>92</v>
      </c>
      <c r="BV175" s="15" t="s">
        <v>93</v>
      </c>
      <c r="BW175" s="8" t="s">
        <v>92</v>
      </c>
      <c r="BX175" s="15" t="s">
        <v>92</v>
      </c>
      <c r="BY175" s="15" t="s">
        <v>93</v>
      </c>
      <c r="BZ175" s="15" t="s">
        <v>92</v>
      </c>
      <c r="CA175" s="15" t="s">
        <v>92</v>
      </c>
      <c r="CB175" s="17" t="s">
        <v>766</v>
      </c>
      <c r="CC175" s="17"/>
      <c r="CD175" s="18"/>
      <c r="CE175" s="18"/>
      <c r="CF175" s="18"/>
      <c r="CG175" s="18"/>
      <c r="CH175" s="14"/>
    </row>
    <row r="176">
      <c r="A176" s="8"/>
      <c r="B176" s="9" t="s">
        <v>884</v>
      </c>
      <c r="C176" s="10" t="s">
        <v>885</v>
      </c>
      <c r="D176" s="9" t="s">
        <v>87</v>
      </c>
      <c r="E176" s="11" t="s">
        <v>890</v>
      </c>
      <c r="F176" s="10" t="s">
        <v>187</v>
      </c>
      <c r="G176" s="9" t="s">
        <v>188</v>
      </c>
      <c r="H176" s="14" t="s">
        <v>189</v>
      </c>
      <c r="I176" s="14" t="s">
        <v>891</v>
      </c>
      <c r="J176" s="13" t="s">
        <v>92</v>
      </c>
      <c r="K176" s="13" t="s">
        <v>92</v>
      </c>
      <c r="L176" s="13" t="s">
        <v>92</v>
      </c>
      <c r="M176" s="13" t="s">
        <v>93</v>
      </c>
      <c r="N176" s="14" t="s">
        <v>92</v>
      </c>
      <c r="O176" s="13" t="s">
        <v>92</v>
      </c>
      <c r="P176" s="13" t="s">
        <v>93</v>
      </c>
      <c r="Q176" s="13" t="s">
        <v>93</v>
      </c>
      <c r="R176" s="13" t="s">
        <v>92</v>
      </c>
      <c r="S176" s="13" t="s">
        <v>92</v>
      </c>
      <c r="T176" s="13" t="s">
        <v>92</v>
      </c>
      <c r="U176" s="13" t="s">
        <v>93</v>
      </c>
      <c r="V176" s="13" t="s">
        <v>92</v>
      </c>
      <c r="W176" s="13" t="s">
        <v>92</v>
      </c>
      <c r="X176" s="13" t="s">
        <v>92</v>
      </c>
      <c r="Y176" s="13" t="s">
        <v>92</v>
      </c>
      <c r="Z176" s="13" t="s">
        <v>92</v>
      </c>
      <c r="AA176" s="14" t="s">
        <v>92</v>
      </c>
      <c r="AB176" s="15" t="s">
        <v>93</v>
      </c>
      <c r="AC176" s="15" t="s">
        <v>92</v>
      </c>
      <c r="AD176" s="15" t="s">
        <v>92</v>
      </c>
      <c r="AE176" s="13" t="s">
        <v>94</v>
      </c>
      <c r="AF176" s="13" t="s">
        <v>92</v>
      </c>
      <c r="AG176" s="13" t="s">
        <v>95</v>
      </c>
      <c r="AH176" s="8" t="s">
        <v>105</v>
      </c>
      <c r="AI176" s="13" t="s">
        <v>105</v>
      </c>
      <c r="AJ176" s="13" t="s">
        <v>105</v>
      </c>
      <c r="AK176" s="13" t="s">
        <v>93</v>
      </c>
      <c r="AL176" s="14" t="s">
        <v>92</v>
      </c>
      <c r="AM176" s="8" t="s">
        <v>105</v>
      </c>
      <c r="AN176" s="14" t="s">
        <v>105</v>
      </c>
      <c r="AO176" s="8" t="s">
        <v>105</v>
      </c>
      <c r="AP176" s="15" t="s">
        <v>92</v>
      </c>
      <c r="AQ176" s="13" t="s">
        <v>93</v>
      </c>
      <c r="AR176" s="13" t="s">
        <v>93</v>
      </c>
      <c r="AS176" s="13" t="s">
        <v>93</v>
      </c>
      <c r="AT176" s="13" t="s">
        <v>93</v>
      </c>
      <c r="AU176" s="13" t="s">
        <v>93</v>
      </c>
      <c r="AV176" s="13" t="s">
        <v>93</v>
      </c>
      <c r="AW176" s="13" t="s">
        <v>93</v>
      </c>
      <c r="AX176" s="14" t="s">
        <v>92</v>
      </c>
      <c r="AY176" s="15" t="s">
        <v>892</v>
      </c>
      <c r="AZ176" s="15" t="s">
        <v>92</v>
      </c>
      <c r="BA176" s="16" t="s">
        <v>893</v>
      </c>
      <c r="BB176" s="8" t="s">
        <v>95</v>
      </c>
      <c r="BC176" s="8" t="s">
        <v>93</v>
      </c>
      <c r="BD176" s="13" t="s">
        <v>92</v>
      </c>
      <c r="BE176" s="13" t="s">
        <v>92</v>
      </c>
      <c r="BF176" s="13" t="s">
        <v>92</v>
      </c>
      <c r="BG176" s="13" t="s">
        <v>92</v>
      </c>
      <c r="BH176" s="13" t="s">
        <v>92</v>
      </c>
      <c r="BI176" s="13" t="s">
        <v>93</v>
      </c>
      <c r="BJ176" s="13" t="s">
        <v>92</v>
      </c>
      <c r="BK176" s="14" t="s">
        <v>574</v>
      </c>
      <c r="BL176" s="13" t="s">
        <v>93</v>
      </c>
      <c r="BM176" s="13" t="s">
        <v>92</v>
      </c>
      <c r="BN176" s="13" t="s">
        <v>92</v>
      </c>
      <c r="BO176" s="13" t="s">
        <v>92</v>
      </c>
      <c r="BP176" s="13" t="s">
        <v>92</v>
      </c>
      <c r="BQ176" s="15" t="s">
        <v>93</v>
      </c>
      <c r="BR176" s="15" t="s">
        <v>92</v>
      </c>
      <c r="BS176" s="15" t="s">
        <v>92</v>
      </c>
      <c r="BT176" s="15" t="s">
        <v>92</v>
      </c>
      <c r="BU176" s="15" t="s">
        <v>92</v>
      </c>
      <c r="BV176" s="15" t="s">
        <v>92</v>
      </c>
      <c r="BW176" s="15" t="s">
        <v>92</v>
      </c>
      <c r="BX176" s="15" t="s">
        <v>92</v>
      </c>
      <c r="BY176" s="15" t="s">
        <v>92</v>
      </c>
      <c r="BZ176" s="15" t="s">
        <v>92</v>
      </c>
      <c r="CA176" s="15" t="s">
        <v>92</v>
      </c>
      <c r="CB176" s="17" t="s">
        <v>894</v>
      </c>
      <c r="CC176" s="18"/>
      <c r="CD176" s="18"/>
      <c r="CE176" s="18"/>
      <c r="CF176" s="18"/>
      <c r="CG176" s="18"/>
      <c r="CH176" s="14"/>
    </row>
    <row r="177">
      <c r="A177" s="8"/>
      <c r="B177" s="9" t="s">
        <v>884</v>
      </c>
      <c r="C177" s="10" t="s">
        <v>885</v>
      </c>
      <c r="D177" s="9" t="s">
        <v>87</v>
      </c>
      <c r="E177" s="11" t="s">
        <v>895</v>
      </c>
      <c r="F177" s="25"/>
      <c r="G177" s="13" t="s">
        <v>896</v>
      </c>
      <c r="H177" s="13" t="s">
        <v>90</v>
      </c>
      <c r="I177" s="13" t="s">
        <v>897</v>
      </c>
      <c r="J177" s="13" t="s">
        <v>92</v>
      </c>
      <c r="K177" s="13" t="s">
        <v>92</v>
      </c>
      <c r="L177" s="13" t="s">
        <v>92</v>
      </c>
      <c r="M177" s="13" t="s">
        <v>93</v>
      </c>
      <c r="N177" s="14" t="s">
        <v>92</v>
      </c>
      <c r="O177" s="13" t="s">
        <v>92</v>
      </c>
      <c r="P177" s="13" t="s">
        <v>93</v>
      </c>
      <c r="Q177" s="13" t="s">
        <v>93</v>
      </c>
      <c r="R177" s="13" t="s">
        <v>92</v>
      </c>
      <c r="S177" s="13" t="s">
        <v>92</v>
      </c>
      <c r="T177" s="13" t="s">
        <v>92</v>
      </c>
      <c r="U177" s="13" t="s">
        <v>93</v>
      </c>
      <c r="V177" s="13" t="s">
        <v>92</v>
      </c>
      <c r="W177" s="13" t="s">
        <v>92</v>
      </c>
      <c r="X177" s="13" t="s">
        <v>92</v>
      </c>
      <c r="Y177" s="13" t="s">
        <v>92</v>
      </c>
      <c r="Z177" s="13" t="s">
        <v>92</v>
      </c>
      <c r="AA177" s="14" t="s">
        <v>92</v>
      </c>
      <c r="AB177" s="15" t="s">
        <v>93</v>
      </c>
      <c r="AC177" s="15" t="s">
        <v>92</v>
      </c>
      <c r="AD177" s="15" t="s">
        <v>92</v>
      </c>
      <c r="AE177" s="13" t="s">
        <v>94</v>
      </c>
      <c r="AF177" s="13" t="s">
        <v>92</v>
      </c>
      <c r="AG177" s="13" t="s">
        <v>95</v>
      </c>
      <c r="AH177" s="8" t="s">
        <v>105</v>
      </c>
      <c r="AI177" s="13" t="s">
        <v>105</v>
      </c>
      <c r="AJ177" s="13" t="s">
        <v>105</v>
      </c>
      <c r="AK177" s="13" t="s">
        <v>93</v>
      </c>
      <c r="AL177" s="14" t="s">
        <v>92</v>
      </c>
      <c r="AM177" s="8" t="s">
        <v>105</v>
      </c>
      <c r="AN177" s="13" t="s">
        <v>105</v>
      </c>
      <c r="AO177" s="8" t="s">
        <v>105</v>
      </c>
      <c r="AP177" s="15" t="s">
        <v>92</v>
      </c>
      <c r="AQ177" s="13" t="s">
        <v>93</v>
      </c>
      <c r="AR177" s="13" t="s">
        <v>93</v>
      </c>
      <c r="AS177" s="13" t="s">
        <v>93</v>
      </c>
      <c r="AT177" s="13" t="s">
        <v>93</v>
      </c>
      <c r="AU177" s="13" t="s">
        <v>93</v>
      </c>
      <c r="AV177" s="13" t="s">
        <v>93</v>
      </c>
      <c r="AW177" s="13" t="s">
        <v>93</v>
      </c>
      <c r="AX177" s="14" t="s">
        <v>92</v>
      </c>
      <c r="AY177" s="15" t="s">
        <v>95</v>
      </c>
      <c r="AZ177" s="15" t="s">
        <v>95</v>
      </c>
      <c r="BA177" s="16" t="s">
        <v>898</v>
      </c>
      <c r="BB177" s="8" t="s">
        <v>95</v>
      </c>
      <c r="BC177" s="8" t="s">
        <v>93</v>
      </c>
      <c r="BD177" s="13" t="s">
        <v>92</v>
      </c>
      <c r="BE177" s="13" t="s">
        <v>92</v>
      </c>
      <c r="BF177" s="13" t="s">
        <v>92</v>
      </c>
      <c r="BG177" s="13" t="s">
        <v>92</v>
      </c>
      <c r="BH177" s="13" t="s">
        <v>92</v>
      </c>
      <c r="BI177" s="13" t="s">
        <v>93</v>
      </c>
      <c r="BJ177" s="13" t="s">
        <v>92</v>
      </c>
      <c r="BK177" s="14" t="s">
        <v>574</v>
      </c>
      <c r="BL177" s="13" t="s">
        <v>93</v>
      </c>
      <c r="BM177" s="13" t="s">
        <v>92</v>
      </c>
      <c r="BN177" s="13" t="s">
        <v>92</v>
      </c>
      <c r="BO177" s="13" t="s">
        <v>92</v>
      </c>
      <c r="BP177" s="13" t="s">
        <v>92</v>
      </c>
      <c r="BQ177" s="15" t="s">
        <v>93</v>
      </c>
      <c r="BR177" s="15" t="s">
        <v>92</v>
      </c>
      <c r="BS177" s="15" t="s">
        <v>92</v>
      </c>
      <c r="BT177" s="15" t="s">
        <v>92</v>
      </c>
      <c r="BU177" s="15" t="s">
        <v>92</v>
      </c>
      <c r="BV177" s="15" t="s">
        <v>92</v>
      </c>
      <c r="BW177" s="15" t="s">
        <v>92</v>
      </c>
      <c r="BX177" s="15" t="s">
        <v>92</v>
      </c>
      <c r="BY177" s="15" t="s">
        <v>92</v>
      </c>
      <c r="BZ177" s="15" t="s">
        <v>92</v>
      </c>
      <c r="CA177" s="15" t="s">
        <v>92</v>
      </c>
      <c r="CB177" s="17" t="s">
        <v>894</v>
      </c>
      <c r="CC177" s="17"/>
      <c r="CD177" s="18"/>
      <c r="CE177" s="18"/>
      <c r="CF177" s="18"/>
      <c r="CG177" s="18"/>
      <c r="CH177" s="14"/>
    </row>
    <row r="178">
      <c r="A178" s="8"/>
      <c r="B178" s="9" t="s">
        <v>884</v>
      </c>
      <c r="C178" s="10" t="s">
        <v>885</v>
      </c>
      <c r="D178" s="9" t="s">
        <v>87</v>
      </c>
      <c r="E178" s="11" t="s">
        <v>899</v>
      </c>
      <c r="F178" s="12"/>
      <c r="G178" s="13" t="s">
        <v>900</v>
      </c>
      <c r="H178" s="13" t="s">
        <v>110</v>
      </c>
      <c r="I178" s="13" t="s">
        <v>901</v>
      </c>
      <c r="J178" s="13" t="s">
        <v>92</v>
      </c>
      <c r="K178" s="13" t="s">
        <v>92</v>
      </c>
      <c r="L178" s="13" t="s">
        <v>92</v>
      </c>
      <c r="M178" s="13" t="s">
        <v>92</v>
      </c>
      <c r="N178" s="14" t="s">
        <v>93</v>
      </c>
      <c r="O178" s="13" t="s">
        <v>92</v>
      </c>
      <c r="P178" s="13" t="s">
        <v>92</v>
      </c>
      <c r="Q178" s="13" t="s">
        <v>92</v>
      </c>
      <c r="R178" s="13" t="s">
        <v>92</v>
      </c>
      <c r="S178" s="13" t="s">
        <v>92</v>
      </c>
      <c r="T178" s="13" t="s">
        <v>93</v>
      </c>
      <c r="U178" s="13" t="s">
        <v>92</v>
      </c>
      <c r="V178" s="13" t="s">
        <v>92</v>
      </c>
      <c r="W178" s="13" t="s">
        <v>92</v>
      </c>
      <c r="X178" s="13" t="s">
        <v>92</v>
      </c>
      <c r="Y178" s="13" t="s">
        <v>92</v>
      </c>
      <c r="Z178" s="13" t="s">
        <v>92</v>
      </c>
      <c r="AA178" s="14" t="s">
        <v>92</v>
      </c>
      <c r="AB178" s="15" t="s">
        <v>93</v>
      </c>
      <c r="AC178" s="15" t="s">
        <v>92</v>
      </c>
      <c r="AD178" s="15" t="s">
        <v>92</v>
      </c>
      <c r="AE178" s="14" t="s">
        <v>103</v>
      </c>
      <c r="AF178" s="13" t="s">
        <v>92</v>
      </c>
      <c r="AG178" s="13" t="s">
        <v>95</v>
      </c>
      <c r="AH178" s="15">
        <v>2022.0</v>
      </c>
      <c r="AI178" s="13" t="s">
        <v>105</v>
      </c>
      <c r="AJ178" s="13" t="s">
        <v>105</v>
      </c>
      <c r="AK178" s="13" t="s">
        <v>93</v>
      </c>
      <c r="AL178" s="14" t="s">
        <v>92</v>
      </c>
      <c r="AM178" s="15">
        <v>2022.0</v>
      </c>
      <c r="AN178" s="13" t="s">
        <v>96</v>
      </c>
      <c r="AO178" s="15" t="s">
        <v>92</v>
      </c>
      <c r="AP178" s="15" t="s">
        <v>92</v>
      </c>
      <c r="AQ178" s="13" t="s">
        <v>93</v>
      </c>
      <c r="AR178" s="13" t="s">
        <v>93</v>
      </c>
      <c r="AS178" s="13" t="s">
        <v>93</v>
      </c>
      <c r="AT178" s="13" t="s">
        <v>93</v>
      </c>
      <c r="AU178" s="13" t="s">
        <v>93</v>
      </c>
      <c r="AV178" s="13" t="s">
        <v>93</v>
      </c>
      <c r="AW178" s="13" t="s">
        <v>93</v>
      </c>
      <c r="AX178" s="14" t="s">
        <v>92</v>
      </c>
      <c r="AY178" s="15" t="s">
        <v>902</v>
      </c>
      <c r="AZ178" s="15" t="s">
        <v>92</v>
      </c>
      <c r="BA178" s="16" t="s">
        <v>903</v>
      </c>
      <c r="BB178" s="8" t="s">
        <v>155</v>
      </c>
      <c r="BC178" s="15" t="s">
        <v>92</v>
      </c>
      <c r="BD178" s="13" t="s">
        <v>92</v>
      </c>
      <c r="BE178" s="13" t="s">
        <v>92</v>
      </c>
      <c r="BF178" s="13" t="s">
        <v>92</v>
      </c>
      <c r="BG178" s="13" t="s">
        <v>92</v>
      </c>
      <c r="BH178" s="13" t="s">
        <v>92</v>
      </c>
      <c r="BI178" s="13" t="s">
        <v>92</v>
      </c>
      <c r="BJ178" s="13" t="s">
        <v>92</v>
      </c>
      <c r="BK178" s="14" t="s">
        <v>574</v>
      </c>
      <c r="BL178" s="13" t="s">
        <v>93</v>
      </c>
      <c r="BM178" s="13" t="s">
        <v>92</v>
      </c>
      <c r="BN178" s="13" t="s">
        <v>92</v>
      </c>
      <c r="BO178" s="13" t="s">
        <v>92</v>
      </c>
      <c r="BP178" s="13" t="s">
        <v>92</v>
      </c>
      <c r="BQ178" s="15" t="s">
        <v>92</v>
      </c>
      <c r="BR178" s="15" t="s">
        <v>93</v>
      </c>
      <c r="BS178" s="15" t="s">
        <v>92</v>
      </c>
      <c r="BT178" s="15" t="s">
        <v>92</v>
      </c>
      <c r="BU178" s="15" t="s">
        <v>92</v>
      </c>
      <c r="BV178" s="15" t="s">
        <v>92</v>
      </c>
      <c r="BW178" s="15" t="s">
        <v>92</v>
      </c>
      <c r="BX178" s="15" t="s">
        <v>92</v>
      </c>
      <c r="BY178" s="15" t="s">
        <v>92</v>
      </c>
      <c r="BZ178" s="15" t="s">
        <v>92</v>
      </c>
      <c r="CA178" s="15" t="s">
        <v>92</v>
      </c>
      <c r="CB178" s="17" t="s">
        <v>894</v>
      </c>
      <c r="CC178" s="17"/>
      <c r="CD178" s="18"/>
      <c r="CE178" s="18"/>
      <c r="CF178" s="18"/>
      <c r="CG178" s="18"/>
      <c r="CH178" s="14"/>
    </row>
    <row r="179">
      <c r="A179" s="8"/>
      <c r="B179" s="9" t="s">
        <v>884</v>
      </c>
      <c r="C179" s="10" t="s">
        <v>885</v>
      </c>
      <c r="D179" s="9" t="s">
        <v>87</v>
      </c>
      <c r="E179" s="11" t="s">
        <v>904</v>
      </c>
      <c r="F179" s="25"/>
      <c r="G179" s="14" t="s">
        <v>905</v>
      </c>
      <c r="H179" s="14" t="s">
        <v>253</v>
      </c>
      <c r="I179" s="14" t="s">
        <v>906</v>
      </c>
      <c r="J179" s="14" t="s">
        <v>92</v>
      </c>
      <c r="K179" s="14" t="s">
        <v>92</v>
      </c>
      <c r="L179" s="14" t="s">
        <v>92</v>
      </c>
      <c r="M179" s="14" t="s">
        <v>93</v>
      </c>
      <c r="N179" s="14" t="s">
        <v>92</v>
      </c>
      <c r="O179" s="14" t="s">
        <v>92</v>
      </c>
      <c r="P179" s="14" t="s">
        <v>93</v>
      </c>
      <c r="Q179" s="14" t="s">
        <v>92</v>
      </c>
      <c r="R179" s="14" t="s">
        <v>93</v>
      </c>
      <c r="S179" s="14" t="s">
        <v>92</v>
      </c>
      <c r="T179" s="14" t="s">
        <v>92</v>
      </c>
      <c r="U179" s="14" t="s">
        <v>93</v>
      </c>
      <c r="V179" s="14" t="s">
        <v>92</v>
      </c>
      <c r="W179" s="14" t="s">
        <v>92</v>
      </c>
      <c r="X179" s="14" t="s">
        <v>92</v>
      </c>
      <c r="Y179" s="14" t="s">
        <v>92</v>
      </c>
      <c r="Z179" s="14" t="s">
        <v>92</v>
      </c>
      <c r="AA179" s="14" t="s">
        <v>92</v>
      </c>
      <c r="AB179" s="15" t="s">
        <v>93</v>
      </c>
      <c r="AC179" s="15" t="s">
        <v>92</v>
      </c>
      <c r="AD179" s="15" t="s">
        <v>92</v>
      </c>
      <c r="AE179" s="14" t="s">
        <v>148</v>
      </c>
      <c r="AF179" s="14" t="s">
        <v>92</v>
      </c>
      <c r="AG179" s="13" t="s">
        <v>95</v>
      </c>
      <c r="AH179" s="8" t="s">
        <v>95</v>
      </c>
      <c r="AI179" s="13" t="s">
        <v>105</v>
      </c>
      <c r="AJ179" s="13" t="s">
        <v>105</v>
      </c>
      <c r="AK179" s="14" t="s">
        <v>93</v>
      </c>
      <c r="AL179" s="14" t="s">
        <v>93</v>
      </c>
      <c r="AM179" s="15" t="s">
        <v>95</v>
      </c>
      <c r="AN179" s="14" t="s">
        <v>95</v>
      </c>
      <c r="AO179" s="8" t="s">
        <v>95</v>
      </c>
      <c r="AP179" s="8" t="s">
        <v>92</v>
      </c>
      <c r="AQ179" s="13" t="s">
        <v>93</v>
      </c>
      <c r="AR179" s="13" t="s">
        <v>93</v>
      </c>
      <c r="AS179" s="13" t="s">
        <v>93</v>
      </c>
      <c r="AT179" s="13" t="s">
        <v>93</v>
      </c>
      <c r="AU179" s="13" t="s">
        <v>93</v>
      </c>
      <c r="AV179" s="13" t="s">
        <v>93</v>
      </c>
      <c r="AW179" s="13" t="s">
        <v>93</v>
      </c>
      <c r="AX179" s="14" t="s">
        <v>92</v>
      </c>
      <c r="AY179" s="15" t="s">
        <v>95</v>
      </c>
      <c r="AZ179" s="15" t="s">
        <v>95</v>
      </c>
      <c r="BA179" s="9" t="s">
        <v>907</v>
      </c>
      <c r="BB179" s="8" t="s">
        <v>185</v>
      </c>
      <c r="BC179" s="8" t="s">
        <v>92</v>
      </c>
      <c r="BD179" s="13" t="s">
        <v>92</v>
      </c>
      <c r="BE179" s="13" t="s">
        <v>92</v>
      </c>
      <c r="BF179" s="13" t="s">
        <v>92</v>
      </c>
      <c r="BG179" s="13" t="s">
        <v>92</v>
      </c>
      <c r="BH179" s="13" t="s">
        <v>92</v>
      </c>
      <c r="BI179" s="14" t="s">
        <v>93</v>
      </c>
      <c r="BJ179" s="14" t="s">
        <v>93</v>
      </c>
      <c r="BK179" s="14" t="s">
        <v>574</v>
      </c>
      <c r="BL179" s="13" t="s">
        <v>93</v>
      </c>
      <c r="BM179" s="13" t="s">
        <v>92</v>
      </c>
      <c r="BN179" s="13" t="s">
        <v>92</v>
      </c>
      <c r="BO179" s="13" t="s">
        <v>92</v>
      </c>
      <c r="BP179" s="13" t="s">
        <v>92</v>
      </c>
      <c r="BQ179" s="8" t="s">
        <v>93</v>
      </c>
      <c r="BR179" s="8" t="s">
        <v>92</v>
      </c>
      <c r="BS179" s="8" t="s">
        <v>92</v>
      </c>
      <c r="BT179" s="8" t="s">
        <v>92</v>
      </c>
      <c r="BU179" s="8" t="s">
        <v>92</v>
      </c>
      <c r="BV179" s="8" t="s">
        <v>92</v>
      </c>
      <c r="BW179" s="8" t="s">
        <v>92</v>
      </c>
      <c r="BX179" s="8" t="s">
        <v>92</v>
      </c>
      <c r="BY179" s="8" t="s">
        <v>92</v>
      </c>
      <c r="BZ179" s="8" t="s">
        <v>92</v>
      </c>
      <c r="CA179" s="8" t="s">
        <v>92</v>
      </c>
      <c r="CB179" s="20" t="s">
        <v>908</v>
      </c>
      <c r="CC179" s="17"/>
      <c r="CD179" s="18"/>
      <c r="CE179" s="18"/>
      <c r="CF179" s="18"/>
      <c r="CG179" s="18"/>
      <c r="CH179" s="14"/>
    </row>
    <row r="180">
      <c r="A180" s="8"/>
      <c r="B180" s="9" t="s">
        <v>884</v>
      </c>
      <c r="C180" s="10" t="s">
        <v>885</v>
      </c>
      <c r="D180" s="9" t="s">
        <v>87</v>
      </c>
      <c r="E180" s="11" t="s">
        <v>909</v>
      </c>
      <c r="F180" s="25"/>
      <c r="G180" s="14" t="s">
        <v>910</v>
      </c>
      <c r="H180" s="14" t="s">
        <v>90</v>
      </c>
      <c r="I180" s="14" t="s">
        <v>911</v>
      </c>
      <c r="J180" s="14" t="s">
        <v>92</v>
      </c>
      <c r="K180" s="14" t="s">
        <v>92</v>
      </c>
      <c r="L180" s="14" t="s">
        <v>92</v>
      </c>
      <c r="M180" s="14" t="s">
        <v>92</v>
      </c>
      <c r="N180" s="14" t="s">
        <v>92</v>
      </c>
      <c r="O180" s="14" t="s">
        <v>92</v>
      </c>
      <c r="P180" s="14" t="s">
        <v>92</v>
      </c>
      <c r="Q180" s="14" t="s">
        <v>92</v>
      </c>
      <c r="R180" s="14" t="s">
        <v>92</v>
      </c>
      <c r="S180" s="14" t="s">
        <v>92</v>
      </c>
      <c r="T180" s="14" t="s">
        <v>92</v>
      </c>
      <c r="U180" s="14" t="s">
        <v>92</v>
      </c>
      <c r="V180" s="14" t="s">
        <v>92</v>
      </c>
      <c r="W180" s="14" t="s">
        <v>92</v>
      </c>
      <c r="X180" s="14" t="s">
        <v>92</v>
      </c>
      <c r="Y180" s="14" t="s">
        <v>92</v>
      </c>
      <c r="Z180" s="14" t="s">
        <v>93</v>
      </c>
      <c r="AA180" s="14" t="s">
        <v>92</v>
      </c>
      <c r="AB180" s="8" t="s">
        <v>92</v>
      </c>
      <c r="AC180" s="8" t="s">
        <v>93</v>
      </c>
      <c r="AD180" s="8" t="s">
        <v>92</v>
      </c>
      <c r="AE180" s="14" t="s">
        <v>112</v>
      </c>
      <c r="AF180" s="14" t="s">
        <v>92</v>
      </c>
      <c r="AG180" s="14" t="s">
        <v>95</v>
      </c>
      <c r="AH180" s="8" t="s">
        <v>105</v>
      </c>
      <c r="AI180" s="13" t="s">
        <v>105</v>
      </c>
      <c r="AJ180" s="13" t="s">
        <v>105</v>
      </c>
      <c r="AK180" s="14" t="s">
        <v>93</v>
      </c>
      <c r="AL180" s="14" t="s">
        <v>93</v>
      </c>
      <c r="AM180" s="15" t="s">
        <v>95</v>
      </c>
      <c r="AN180" s="13" t="s">
        <v>114</v>
      </c>
      <c r="AO180" s="15" t="s">
        <v>93</v>
      </c>
      <c r="AP180" s="8" t="s">
        <v>92</v>
      </c>
      <c r="AQ180" s="13" t="s">
        <v>93</v>
      </c>
      <c r="AR180" s="13" t="s">
        <v>93</v>
      </c>
      <c r="AS180" s="13" t="s">
        <v>93</v>
      </c>
      <c r="AT180" s="13" t="s">
        <v>93</v>
      </c>
      <c r="AU180" s="13" t="s">
        <v>93</v>
      </c>
      <c r="AV180" s="13" t="s">
        <v>93</v>
      </c>
      <c r="AW180" s="13" t="s">
        <v>93</v>
      </c>
      <c r="AX180" s="14" t="s">
        <v>92</v>
      </c>
      <c r="AY180" s="15" t="s">
        <v>95</v>
      </c>
      <c r="AZ180" s="15" t="s">
        <v>95</v>
      </c>
      <c r="BA180" s="16" t="s">
        <v>903</v>
      </c>
      <c r="BB180" s="8" t="s">
        <v>155</v>
      </c>
      <c r="BC180" s="8" t="s">
        <v>92</v>
      </c>
      <c r="BD180" s="14" t="s">
        <v>93</v>
      </c>
      <c r="BE180" s="13" t="s">
        <v>92</v>
      </c>
      <c r="BF180" s="13" t="s">
        <v>92</v>
      </c>
      <c r="BG180" s="13" t="s">
        <v>92</v>
      </c>
      <c r="BH180" s="13" t="s">
        <v>92</v>
      </c>
      <c r="BI180" s="14" t="s">
        <v>92</v>
      </c>
      <c r="BJ180" s="14" t="s">
        <v>92</v>
      </c>
      <c r="BK180" s="14" t="s">
        <v>574</v>
      </c>
      <c r="BL180" s="13" t="s">
        <v>93</v>
      </c>
      <c r="BM180" s="13" t="s">
        <v>92</v>
      </c>
      <c r="BN180" s="13" t="s">
        <v>92</v>
      </c>
      <c r="BO180" s="13" t="s">
        <v>92</v>
      </c>
      <c r="BP180" s="13" t="s">
        <v>92</v>
      </c>
      <c r="BQ180" s="8" t="s">
        <v>92</v>
      </c>
      <c r="BR180" s="8" t="s">
        <v>92</v>
      </c>
      <c r="BS180" s="8" t="s">
        <v>92</v>
      </c>
      <c r="BT180" s="8" t="s">
        <v>93</v>
      </c>
      <c r="BU180" s="8" t="s">
        <v>92</v>
      </c>
      <c r="BV180" s="8" t="s">
        <v>92</v>
      </c>
      <c r="BW180" s="8" t="s">
        <v>92</v>
      </c>
      <c r="BX180" s="8" t="s">
        <v>92</v>
      </c>
      <c r="BY180" s="8" t="s">
        <v>92</v>
      </c>
      <c r="BZ180" s="8" t="s">
        <v>92</v>
      </c>
      <c r="CA180" s="8" t="s">
        <v>92</v>
      </c>
      <c r="CB180" s="17" t="s">
        <v>766</v>
      </c>
      <c r="CC180" s="17"/>
      <c r="CD180" s="18"/>
      <c r="CE180" s="18"/>
      <c r="CF180" s="18"/>
      <c r="CG180" s="18"/>
      <c r="CH180" s="14"/>
    </row>
    <row r="181">
      <c r="A181" s="8"/>
      <c r="B181" s="9" t="s">
        <v>884</v>
      </c>
      <c r="C181" s="10" t="s">
        <v>885</v>
      </c>
      <c r="D181" s="9" t="s">
        <v>87</v>
      </c>
      <c r="E181" s="11" t="s">
        <v>912</v>
      </c>
      <c r="F181" s="25"/>
      <c r="G181" s="9" t="s">
        <v>913</v>
      </c>
      <c r="H181" s="14" t="s">
        <v>90</v>
      </c>
      <c r="I181" s="14" t="s">
        <v>914</v>
      </c>
      <c r="J181" s="14" t="s">
        <v>92</v>
      </c>
      <c r="K181" s="14" t="s">
        <v>92</v>
      </c>
      <c r="L181" s="14" t="s">
        <v>93</v>
      </c>
      <c r="M181" s="14" t="s">
        <v>92</v>
      </c>
      <c r="N181" s="14" t="s">
        <v>92</v>
      </c>
      <c r="O181" s="14" t="s">
        <v>92</v>
      </c>
      <c r="P181" s="14" t="s">
        <v>92</v>
      </c>
      <c r="Q181" s="14" t="s">
        <v>92</v>
      </c>
      <c r="R181" s="14" t="s">
        <v>92</v>
      </c>
      <c r="S181" s="14" t="s">
        <v>92</v>
      </c>
      <c r="T181" s="14" t="s">
        <v>92</v>
      </c>
      <c r="U181" s="14" t="s">
        <v>92</v>
      </c>
      <c r="V181" s="14" t="s">
        <v>92</v>
      </c>
      <c r="W181" s="14" t="s">
        <v>92</v>
      </c>
      <c r="X181" s="14" t="s">
        <v>92</v>
      </c>
      <c r="Y181" s="14" t="s">
        <v>93</v>
      </c>
      <c r="Z181" s="14" t="s">
        <v>93</v>
      </c>
      <c r="AA181" s="14" t="s">
        <v>92</v>
      </c>
      <c r="AB181" s="8" t="s">
        <v>93</v>
      </c>
      <c r="AC181" s="8" t="s">
        <v>93</v>
      </c>
      <c r="AD181" s="8" t="s">
        <v>92</v>
      </c>
      <c r="AE181" s="14" t="s">
        <v>112</v>
      </c>
      <c r="AF181" s="14" t="s">
        <v>92</v>
      </c>
      <c r="AG181" s="13" t="s">
        <v>95</v>
      </c>
      <c r="AH181" s="8" t="s">
        <v>105</v>
      </c>
      <c r="AI181" s="13" t="s">
        <v>105</v>
      </c>
      <c r="AJ181" s="13" t="s">
        <v>105</v>
      </c>
      <c r="AK181" s="14" t="s">
        <v>93</v>
      </c>
      <c r="AL181" s="14" t="s">
        <v>93</v>
      </c>
      <c r="AM181" s="15" t="s">
        <v>95</v>
      </c>
      <c r="AN181" s="13" t="s">
        <v>114</v>
      </c>
      <c r="AO181" s="15" t="s">
        <v>93</v>
      </c>
      <c r="AP181" s="8" t="s">
        <v>92</v>
      </c>
      <c r="AQ181" s="13" t="s">
        <v>93</v>
      </c>
      <c r="AR181" s="13" t="s">
        <v>93</v>
      </c>
      <c r="AS181" s="13" t="s">
        <v>93</v>
      </c>
      <c r="AT181" s="13" t="s">
        <v>93</v>
      </c>
      <c r="AU181" s="13" t="s">
        <v>93</v>
      </c>
      <c r="AV181" s="13" t="s">
        <v>93</v>
      </c>
      <c r="AW181" s="13" t="s">
        <v>93</v>
      </c>
      <c r="AX181" s="14" t="s">
        <v>92</v>
      </c>
      <c r="AY181" s="15" t="s">
        <v>95</v>
      </c>
      <c r="AZ181" s="15" t="s">
        <v>95</v>
      </c>
      <c r="BA181" s="16" t="s">
        <v>903</v>
      </c>
      <c r="BB181" s="8" t="s">
        <v>155</v>
      </c>
      <c r="BC181" s="8" t="s">
        <v>92</v>
      </c>
      <c r="BD181" s="14" t="s">
        <v>93</v>
      </c>
      <c r="BE181" s="13" t="s">
        <v>92</v>
      </c>
      <c r="BF181" s="13" t="s">
        <v>92</v>
      </c>
      <c r="BG181" s="13" t="s">
        <v>92</v>
      </c>
      <c r="BH181" s="13" t="s">
        <v>92</v>
      </c>
      <c r="BI181" s="14" t="s">
        <v>92</v>
      </c>
      <c r="BJ181" s="14" t="s">
        <v>92</v>
      </c>
      <c r="BK181" s="14" t="s">
        <v>574</v>
      </c>
      <c r="BL181" s="13" t="s">
        <v>93</v>
      </c>
      <c r="BM181" s="13" t="s">
        <v>92</v>
      </c>
      <c r="BN181" s="13" t="s">
        <v>92</v>
      </c>
      <c r="BO181" s="13" t="s">
        <v>92</v>
      </c>
      <c r="BP181" s="13" t="s">
        <v>92</v>
      </c>
      <c r="BQ181" s="8" t="s">
        <v>92</v>
      </c>
      <c r="BR181" s="8" t="s">
        <v>92</v>
      </c>
      <c r="BS181" s="8" t="s">
        <v>93</v>
      </c>
      <c r="BT181" s="8" t="s">
        <v>93</v>
      </c>
      <c r="BU181" s="8" t="s">
        <v>92</v>
      </c>
      <c r="BV181" s="8" t="s">
        <v>93</v>
      </c>
      <c r="BW181" s="8" t="s">
        <v>92</v>
      </c>
      <c r="BX181" s="8" t="s">
        <v>92</v>
      </c>
      <c r="BY181" s="8" t="s">
        <v>92</v>
      </c>
      <c r="BZ181" s="8" t="s">
        <v>93</v>
      </c>
      <c r="CA181" s="8" t="s">
        <v>92</v>
      </c>
      <c r="CB181" s="17" t="s">
        <v>766</v>
      </c>
      <c r="CC181" s="20" t="s">
        <v>908</v>
      </c>
      <c r="CD181" s="18"/>
      <c r="CE181" s="18"/>
      <c r="CF181" s="18"/>
      <c r="CG181" s="18"/>
      <c r="CH181" s="14"/>
    </row>
    <row r="182">
      <c r="A182" s="8"/>
      <c r="B182" s="9" t="s">
        <v>884</v>
      </c>
      <c r="C182" s="10" t="s">
        <v>885</v>
      </c>
      <c r="D182" s="9" t="s">
        <v>87</v>
      </c>
      <c r="E182" s="11" t="s">
        <v>915</v>
      </c>
      <c r="F182" s="12"/>
      <c r="G182" s="14" t="s">
        <v>916</v>
      </c>
      <c r="H182" s="14" t="s">
        <v>90</v>
      </c>
      <c r="I182" s="14" t="s">
        <v>917</v>
      </c>
      <c r="J182" s="14" t="s">
        <v>92</v>
      </c>
      <c r="K182" s="14" t="s">
        <v>92</v>
      </c>
      <c r="L182" s="14" t="s">
        <v>93</v>
      </c>
      <c r="M182" s="14" t="s">
        <v>92</v>
      </c>
      <c r="N182" s="14" t="s">
        <v>92</v>
      </c>
      <c r="O182" s="14" t="s">
        <v>92</v>
      </c>
      <c r="P182" s="14" t="s">
        <v>92</v>
      </c>
      <c r="Q182" s="14" t="s">
        <v>92</v>
      </c>
      <c r="R182" s="14" t="s">
        <v>92</v>
      </c>
      <c r="S182" s="14" t="s">
        <v>93</v>
      </c>
      <c r="T182" s="14" t="s">
        <v>92</v>
      </c>
      <c r="U182" s="14" t="s">
        <v>92</v>
      </c>
      <c r="V182" s="14" t="s">
        <v>92</v>
      </c>
      <c r="W182" s="14" t="s">
        <v>92</v>
      </c>
      <c r="X182" s="14" t="s">
        <v>92</v>
      </c>
      <c r="Y182" s="14" t="s">
        <v>92</v>
      </c>
      <c r="Z182" s="14" t="s">
        <v>93</v>
      </c>
      <c r="AA182" s="14" t="s">
        <v>92</v>
      </c>
      <c r="AB182" s="8" t="s">
        <v>92</v>
      </c>
      <c r="AC182" s="8" t="s">
        <v>93</v>
      </c>
      <c r="AD182" s="8" t="s">
        <v>92</v>
      </c>
      <c r="AE182" s="14" t="s">
        <v>112</v>
      </c>
      <c r="AF182" s="14" t="s">
        <v>92</v>
      </c>
      <c r="AG182" s="13" t="s">
        <v>95</v>
      </c>
      <c r="AH182" s="8" t="s">
        <v>105</v>
      </c>
      <c r="AI182" s="13" t="s">
        <v>105</v>
      </c>
      <c r="AJ182" s="13" t="s">
        <v>105</v>
      </c>
      <c r="AK182" s="14" t="s">
        <v>93</v>
      </c>
      <c r="AL182" s="14" t="s">
        <v>92</v>
      </c>
      <c r="AM182" s="8" t="s">
        <v>105</v>
      </c>
      <c r="AN182" s="13" t="s">
        <v>105</v>
      </c>
      <c r="AO182" s="8" t="s">
        <v>105</v>
      </c>
      <c r="AP182" s="8" t="s">
        <v>92</v>
      </c>
      <c r="AQ182" s="13" t="s">
        <v>93</v>
      </c>
      <c r="AR182" s="13" t="s">
        <v>93</v>
      </c>
      <c r="AS182" s="13" t="s">
        <v>93</v>
      </c>
      <c r="AT182" s="13" t="s">
        <v>93</v>
      </c>
      <c r="AU182" s="13" t="s">
        <v>93</v>
      </c>
      <c r="AV182" s="13" t="s">
        <v>93</v>
      </c>
      <c r="AW182" s="13" t="s">
        <v>93</v>
      </c>
      <c r="AX182" s="14" t="s">
        <v>92</v>
      </c>
      <c r="AY182" s="15" t="s">
        <v>95</v>
      </c>
      <c r="AZ182" s="15" t="s">
        <v>95</v>
      </c>
      <c r="BA182" s="16" t="s">
        <v>903</v>
      </c>
      <c r="BB182" s="8" t="s">
        <v>155</v>
      </c>
      <c r="BC182" s="8" t="s">
        <v>92</v>
      </c>
      <c r="BD182" s="14" t="s">
        <v>93</v>
      </c>
      <c r="BE182" s="14" t="s">
        <v>92</v>
      </c>
      <c r="BF182" s="14" t="s">
        <v>92</v>
      </c>
      <c r="BG182" s="14" t="s">
        <v>92</v>
      </c>
      <c r="BH182" s="14" t="s">
        <v>92</v>
      </c>
      <c r="BI182" s="14" t="s">
        <v>92</v>
      </c>
      <c r="BJ182" s="14" t="s">
        <v>92</v>
      </c>
      <c r="BK182" s="14" t="s">
        <v>574</v>
      </c>
      <c r="BL182" s="13" t="s">
        <v>93</v>
      </c>
      <c r="BM182" s="13" t="s">
        <v>92</v>
      </c>
      <c r="BN182" s="13" t="s">
        <v>92</v>
      </c>
      <c r="BO182" s="13" t="s">
        <v>92</v>
      </c>
      <c r="BP182" s="13" t="s">
        <v>92</v>
      </c>
      <c r="BQ182" s="8" t="s">
        <v>92</v>
      </c>
      <c r="BR182" s="8" t="s">
        <v>92</v>
      </c>
      <c r="BS182" s="8" t="s">
        <v>92</v>
      </c>
      <c r="BT182" s="8" t="s">
        <v>93</v>
      </c>
      <c r="BU182" s="8" t="s">
        <v>92</v>
      </c>
      <c r="BV182" s="8" t="s">
        <v>93</v>
      </c>
      <c r="BW182" s="8" t="s">
        <v>92</v>
      </c>
      <c r="BX182" s="8" t="s">
        <v>92</v>
      </c>
      <c r="BY182" s="8" t="s">
        <v>92</v>
      </c>
      <c r="BZ182" s="8" t="s">
        <v>93</v>
      </c>
      <c r="CA182" s="8" t="s">
        <v>92</v>
      </c>
      <c r="CB182" s="17" t="s">
        <v>766</v>
      </c>
      <c r="CC182" s="31"/>
      <c r="CD182" s="18"/>
      <c r="CE182" s="18"/>
      <c r="CF182" s="18"/>
      <c r="CG182" s="18"/>
      <c r="CH182" s="14"/>
    </row>
    <row r="183">
      <c r="A183" s="8"/>
      <c r="B183" s="9" t="s">
        <v>884</v>
      </c>
      <c r="C183" s="10" t="s">
        <v>885</v>
      </c>
      <c r="D183" s="9" t="s">
        <v>87</v>
      </c>
      <c r="E183" s="11" t="s">
        <v>918</v>
      </c>
      <c r="F183" s="25"/>
      <c r="G183" s="29" t="s">
        <v>304</v>
      </c>
      <c r="H183" s="14" t="s">
        <v>90</v>
      </c>
      <c r="I183" s="14" t="s">
        <v>919</v>
      </c>
      <c r="J183" s="14" t="s">
        <v>92</v>
      </c>
      <c r="K183" s="14" t="s">
        <v>92</v>
      </c>
      <c r="L183" s="14" t="s">
        <v>92</v>
      </c>
      <c r="M183" s="14" t="s">
        <v>92</v>
      </c>
      <c r="N183" s="14" t="s">
        <v>92</v>
      </c>
      <c r="O183" s="14" t="s">
        <v>92</v>
      </c>
      <c r="P183" s="14" t="s">
        <v>92</v>
      </c>
      <c r="Q183" s="14" t="s">
        <v>92</v>
      </c>
      <c r="R183" s="14" t="s">
        <v>92</v>
      </c>
      <c r="S183" s="14" t="s">
        <v>92</v>
      </c>
      <c r="T183" s="14" t="s">
        <v>92</v>
      </c>
      <c r="U183" s="14" t="s">
        <v>92</v>
      </c>
      <c r="V183" s="14" t="s">
        <v>92</v>
      </c>
      <c r="W183" s="14" t="s">
        <v>92</v>
      </c>
      <c r="X183" s="14" t="s">
        <v>92</v>
      </c>
      <c r="Y183" s="14" t="s">
        <v>92</v>
      </c>
      <c r="Z183" s="14" t="s">
        <v>93</v>
      </c>
      <c r="AA183" s="14" t="s">
        <v>92</v>
      </c>
      <c r="AB183" s="8" t="s">
        <v>92</v>
      </c>
      <c r="AC183" s="8" t="s">
        <v>93</v>
      </c>
      <c r="AD183" s="8" t="s">
        <v>92</v>
      </c>
      <c r="AE183" s="14" t="s">
        <v>112</v>
      </c>
      <c r="AF183" s="14" t="s">
        <v>92</v>
      </c>
      <c r="AG183" s="14" t="s">
        <v>95</v>
      </c>
      <c r="AH183" s="8" t="s">
        <v>105</v>
      </c>
      <c r="AI183" s="13" t="s">
        <v>105</v>
      </c>
      <c r="AJ183" s="13" t="s">
        <v>105</v>
      </c>
      <c r="AK183" s="14" t="s">
        <v>93</v>
      </c>
      <c r="AL183" s="14" t="s">
        <v>93</v>
      </c>
      <c r="AM183" s="8" t="s">
        <v>95</v>
      </c>
      <c r="AN183" s="14" t="s">
        <v>114</v>
      </c>
      <c r="AO183" s="8" t="s">
        <v>93</v>
      </c>
      <c r="AP183" s="8" t="s">
        <v>92</v>
      </c>
      <c r="AQ183" s="13" t="s">
        <v>93</v>
      </c>
      <c r="AR183" s="13" t="s">
        <v>93</v>
      </c>
      <c r="AS183" s="13" t="s">
        <v>93</v>
      </c>
      <c r="AT183" s="13" t="s">
        <v>93</v>
      </c>
      <c r="AU183" s="13" t="s">
        <v>93</v>
      </c>
      <c r="AV183" s="13" t="s">
        <v>93</v>
      </c>
      <c r="AW183" s="13" t="s">
        <v>93</v>
      </c>
      <c r="AX183" s="14" t="s">
        <v>92</v>
      </c>
      <c r="AY183" s="15" t="s">
        <v>95</v>
      </c>
      <c r="AZ183" s="15" t="s">
        <v>95</v>
      </c>
      <c r="BA183" s="9" t="s">
        <v>903</v>
      </c>
      <c r="BB183" s="8" t="s">
        <v>155</v>
      </c>
      <c r="BC183" s="8" t="s">
        <v>92</v>
      </c>
      <c r="BD183" s="14" t="s">
        <v>93</v>
      </c>
      <c r="BE183" s="14" t="s">
        <v>92</v>
      </c>
      <c r="BF183" s="14" t="s">
        <v>92</v>
      </c>
      <c r="BG183" s="14" t="s">
        <v>92</v>
      </c>
      <c r="BH183" s="14" t="s">
        <v>92</v>
      </c>
      <c r="BI183" s="14" t="s">
        <v>92</v>
      </c>
      <c r="BJ183" s="14" t="s">
        <v>92</v>
      </c>
      <c r="BK183" s="14" t="s">
        <v>574</v>
      </c>
      <c r="BL183" s="13" t="s">
        <v>93</v>
      </c>
      <c r="BM183" s="13" t="s">
        <v>92</v>
      </c>
      <c r="BN183" s="13" t="s">
        <v>92</v>
      </c>
      <c r="BO183" s="13" t="s">
        <v>92</v>
      </c>
      <c r="BP183" s="13" t="s">
        <v>92</v>
      </c>
      <c r="BQ183" s="8" t="s">
        <v>92</v>
      </c>
      <c r="BR183" s="8" t="s">
        <v>92</v>
      </c>
      <c r="BS183" s="8" t="s">
        <v>92</v>
      </c>
      <c r="BT183" s="8" t="s">
        <v>93</v>
      </c>
      <c r="BU183" s="8" t="s">
        <v>92</v>
      </c>
      <c r="BV183" s="8" t="s">
        <v>92</v>
      </c>
      <c r="BW183" s="8" t="s">
        <v>92</v>
      </c>
      <c r="BX183" s="8" t="s">
        <v>92</v>
      </c>
      <c r="BY183" s="8" t="s">
        <v>92</v>
      </c>
      <c r="BZ183" s="8" t="s">
        <v>92</v>
      </c>
      <c r="CA183" s="8" t="s">
        <v>92</v>
      </c>
      <c r="CB183" s="17" t="s">
        <v>766</v>
      </c>
      <c r="CC183" s="20" t="s">
        <v>908</v>
      </c>
      <c r="CD183" s="18"/>
      <c r="CE183" s="18"/>
      <c r="CF183" s="18"/>
      <c r="CG183" s="18"/>
      <c r="CH183" s="14"/>
    </row>
    <row r="184">
      <c r="A184" s="8"/>
      <c r="B184" s="9" t="s">
        <v>884</v>
      </c>
      <c r="C184" s="10" t="s">
        <v>885</v>
      </c>
      <c r="D184" s="9" t="s">
        <v>87</v>
      </c>
      <c r="E184" s="11" t="s">
        <v>920</v>
      </c>
      <c r="F184" s="25"/>
      <c r="G184" s="9" t="s">
        <v>921</v>
      </c>
      <c r="H184" s="14" t="s">
        <v>90</v>
      </c>
      <c r="I184" s="14" t="s">
        <v>922</v>
      </c>
      <c r="J184" s="14" t="s">
        <v>93</v>
      </c>
      <c r="K184" s="14" t="s">
        <v>92</v>
      </c>
      <c r="L184" s="14" t="s">
        <v>92</v>
      </c>
      <c r="M184" s="14" t="s">
        <v>92</v>
      </c>
      <c r="N184" s="14" t="s">
        <v>92</v>
      </c>
      <c r="O184" s="14" t="s">
        <v>92</v>
      </c>
      <c r="P184" s="14" t="s">
        <v>92</v>
      </c>
      <c r="Q184" s="14" t="s">
        <v>92</v>
      </c>
      <c r="R184" s="14" t="s">
        <v>92</v>
      </c>
      <c r="S184" s="14" t="s">
        <v>92</v>
      </c>
      <c r="T184" s="14" t="s">
        <v>92</v>
      </c>
      <c r="U184" s="14" t="s">
        <v>92</v>
      </c>
      <c r="V184" s="14" t="s">
        <v>92</v>
      </c>
      <c r="W184" s="14" t="s">
        <v>92</v>
      </c>
      <c r="X184" s="14" t="s">
        <v>92</v>
      </c>
      <c r="Y184" s="14" t="s">
        <v>92</v>
      </c>
      <c r="Z184" s="14" t="s">
        <v>93</v>
      </c>
      <c r="AA184" s="14" t="s">
        <v>92</v>
      </c>
      <c r="AB184" s="8" t="s">
        <v>92</v>
      </c>
      <c r="AC184" s="8" t="s">
        <v>93</v>
      </c>
      <c r="AD184" s="8" t="s">
        <v>92</v>
      </c>
      <c r="AE184" s="14" t="s">
        <v>112</v>
      </c>
      <c r="AF184" s="14" t="s">
        <v>92</v>
      </c>
      <c r="AG184" s="13" t="s">
        <v>95</v>
      </c>
      <c r="AH184" s="8" t="s">
        <v>105</v>
      </c>
      <c r="AI184" s="13" t="s">
        <v>105</v>
      </c>
      <c r="AJ184" s="13" t="s">
        <v>105</v>
      </c>
      <c r="AK184" s="14" t="s">
        <v>93</v>
      </c>
      <c r="AL184" s="14" t="s">
        <v>93</v>
      </c>
      <c r="AM184" s="15" t="s">
        <v>95</v>
      </c>
      <c r="AN184" s="13" t="s">
        <v>114</v>
      </c>
      <c r="AO184" s="8" t="s">
        <v>93</v>
      </c>
      <c r="AP184" s="8" t="s">
        <v>92</v>
      </c>
      <c r="AQ184" s="13" t="s">
        <v>93</v>
      </c>
      <c r="AR184" s="13" t="s">
        <v>93</v>
      </c>
      <c r="AS184" s="13" t="s">
        <v>93</v>
      </c>
      <c r="AT184" s="13" t="s">
        <v>93</v>
      </c>
      <c r="AU184" s="13" t="s">
        <v>93</v>
      </c>
      <c r="AV184" s="13" t="s">
        <v>93</v>
      </c>
      <c r="AW184" s="13" t="s">
        <v>93</v>
      </c>
      <c r="AX184" s="14" t="s">
        <v>92</v>
      </c>
      <c r="AY184" s="15" t="s">
        <v>95</v>
      </c>
      <c r="AZ184" s="15" t="s">
        <v>95</v>
      </c>
      <c r="BA184" s="16" t="s">
        <v>903</v>
      </c>
      <c r="BB184" s="8" t="s">
        <v>155</v>
      </c>
      <c r="BC184" s="8" t="s">
        <v>92</v>
      </c>
      <c r="BD184" s="14" t="s">
        <v>93</v>
      </c>
      <c r="BE184" s="14" t="s">
        <v>92</v>
      </c>
      <c r="BF184" s="14" t="s">
        <v>92</v>
      </c>
      <c r="BG184" s="14" t="s">
        <v>92</v>
      </c>
      <c r="BH184" s="14" t="s">
        <v>92</v>
      </c>
      <c r="BI184" s="14" t="s">
        <v>92</v>
      </c>
      <c r="BJ184" s="14" t="s">
        <v>92</v>
      </c>
      <c r="BK184" s="14" t="s">
        <v>574</v>
      </c>
      <c r="BL184" s="13" t="s">
        <v>93</v>
      </c>
      <c r="BM184" s="13" t="s">
        <v>92</v>
      </c>
      <c r="BN184" s="13" t="s">
        <v>92</v>
      </c>
      <c r="BO184" s="13" t="s">
        <v>92</v>
      </c>
      <c r="BP184" s="13" t="s">
        <v>92</v>
      </c>
      <c r="BQ184" s="8" t="s">
        <v>92</v>
      </c>
      <c r="BR184" s="8" t="s">
        <v>92</v>
      </c>
      <c r="BS184" s="8" t="s">
        <v>92</v>
      </c>
      <c r="BT184" s="8" t="s">
        <v>93</v>
      </c>
      <c r="BU184" s="8" t="s">
        <v>92</v>
      </c>
      <c r="BV184" s="8" t="s">
        <v>93</v>
      </c>
      <c r="BW184" s="8" t="s">
        <v>92</v>
      </c>
      <c r="BX184" s="8" t="s">
        <v>93</v>
      </c>
      <c r="BY184" s="8" t="s">
        <v>93</v>
      </c>
      <c r="BZ184" s="8" t="s">
        <v>92</v>
      </c>
      <c r="CA184" s="8" t="s">
        <v>92</v>
      </c>
      <c r="CB184" s="17" t="s">
        <v>766</v>
      </c>
      <c r="CC184" s="17"/>
      <c r="CD184" s="18"/>
      <c r="CE184" s="18"/>
      <c r="CF184" s="18"/>
      <c r="CG184" s="18"/>
      <c r="CH184" s="14"/>
    </row>
    <row r="185">
      <c r="A185" s="8"/>
      <c r="B185" s="9" t="s">
        <v>923</v>
      </c>
      <c r="C185" s="10" t="s">
        <v>924</v>
      </c>
      <c r="D185" s="9" t="s">
        <v>87</v>
      </c>
      <c r="E185" s="11" t="s">
        <v>925</v>
      </c>
      <c r="F185" s="12"/>
      <c r="G185" s="14" t="s">
        <v>676</v>
      </c>
      <c r="H185" s="14" t="s">
        <v>90</v>
      </c>
      <c r="I185" s="14" t="s">
        <v>926</v>
      </c>
      <c r="J185" s="14" t="s">
        <v>92</v>
      </c>
      <c r="K185" s="14" t="s">
        <v>92</v>
      </c>
      <c r="L185" s="14" t="s">
        <v>92</v>
      </c>
      <c r="M185" s="14" t="s">
        <v>92</v>
      </c>
      <c r="N185" s="14" t="s">
        <v>92</v>
      </c>
      <c r="O185" s="14" t="s">
        <v>92</v>
      </c>
      <c r="P185" s="14" t="s">
        <v>92</v>
      </c>
      <c r="Q185" s="14" t="s">
        <v>92</v>
      </c>
      <c r="R185" s="14" t="s">
        <v>92</v>
      </c>
      <c r="S185" s="14" t="s">
        <v>92</v>
      </c>
      <c r="T185" s="14" t="s">
        <v>92</v>
      </c>
      <c r="U185" s="14" t="s">
        <v>92</v>
      </c>
      <c r="V185" s="14" t="s">
        <v>92</v>
      </c>
      <c r="W185" s="14" t="s">
        <v>92</v>
      </c>
      <c r="X185" s="14" t="s">
        <v>93</v>
      </c>
      <c r="Y185" s="14" t="s">
        <v>92</v>
      </c>
      <c r="Z185" s="14" t="s">
        <v>93</v>
      </c>
      <c r="AA185" s="14" t="s">
        <v>92</v>
      </c>
      <c r="AB185" s="8" t="s">
        <v>92</v>
      </c>
      <c r="AC185" s="8" t="s">
        <v>93</v>
      </c>
      <c r="AD185" s="8" t="s">
        <v>92</v>
      </c>
      <c r="AE185" s="14" t="s">
        <v>112</v>
      </c>
      <c r="AF185" s="14" t="s">
        <v>92</v>
      </c>
      <c r="AG185" s="14" t="s">
        <v>95</v>
      </c>
      <c r="AH185" s="8" t="s">
        <v>105</v>
      </c>
      <c r="AI185" s="14" t="s">
        <v>92</v>
      </c>
      <c r="AJ185" s="14" t="s">
        <v>92</v>
      </c>
      <c r="AK185" s="14" t="s">
        <v>93</v>
      </c>
      <c r="AL185" s="14" t="s">
        <v>93</v>
      </c>
      <c r="AM185" s="8" t="s">
        <v>95</v>
      </c>
      <c r="AN185" s="14" t="s">
        <v>114</v>
      </c>
      <c r="AO185" s="8" t="s">
        <v>93</v>
      </c>
      <c r="AP185" s="8" t="s">
        <v>92</v>
      </c>
      <c r="AQ185" s="14" t="s">
        <v>93</v>
      </c>
      <c r="AR185" s="14" t="s">
        <v>93</v>
      </c>
      <c r="AS185" s="14" t="s">
        <v>93</v>
      </c>
      <c r="AT185" s="14" t="s">
        <v>93</v>
      </c>
      <c r="AU185" s="14" t="s">
        <v>93</v>
      </c>
      <c r="AV185" s="14" t="s">
        <v>93</v>
      </c>
      <c r="AW185" s="14" t="s">
        <v>93</v>
      </c>
      <c r="AX185" s="14" t="s">
        <v>93</v>
      </c>
      <c r="AY185" s="8" t="s">
        <v>95</v>
      </c>
      <c r="AZ185" s="8" t="s">
        <v>95</v>
      </c>
      <c r="BA185" s="9" t="s">
        <v>927</v>
      </c>
      <c r="BB185" s="8" t="s">
        <v>155</v>
      </c>
      <c r="BC185" s="8" t="s">
        <v>92</v>
      </c>
      <c r="BD185" s="14" t="s">
        <v>92</v>
      </c>
      <c r="BE185" s="14" t="s">
        <v>92</v>
      </c>
      <c r="BF185" s="14" t="s">
        <v>92</v>
      </c>
      <c r="BG185" s="14" t="s">
        <v>93</v>
      </c>
      <c r="BH185" s="14" t="s">
        <v>92</v>
      </c>
      <c r="BI185" s="14" t="s">
        <v>92</v>
      </c>
      <c r="BJ185" s="14" t="s">
        <v>92</v>
      </c>
      <c r="BK185" s="14" t="s">
        <v>105</v>
      </c>
      <c r="BL185" s="14" t="s">
        <v>105</v>
      </c>
      <c r="BM185" s="14" t="s">
        <v>105</v>
      </c>
      <c r="BN185" s="14" t="s">
        <v>105</v>
      </c>
      <c r="BO185" s="14" t="s">
        <v>105</v>
      </c>
      <c r="BP185" s="14" t="s">
        <v>105</v>
      </c>
      <c r="BQ185" s="8" t="s">
        <v>92</v>
      </c>
      <c r="BR185" s="8" t="s">
        <v>92</v>
      </c>
      <c r="BS185" s="8" t="s">
        <v>92</v>
      </c>
      <c r="BT185" s="8" t="s">
        <v>93</v>
      </c>
      <c r="BU185" s="8" t="s">
        <v>92</v>
      </c>
      <c r="BV185" s="8" t="s">
        <v>92</v>
      </c>
      <c r="BW185" s="8" t="s">
        <v>92</v>
      </c>
      <c r="BX185" s="8" t="s">
        <v>93</v>
      </c>
      <c r="BY185" s="8" t="s">
        <v>93</v>
      </c>
      <c r="BZ185" s="8" t="s">
        <v>92</v>
      </c>
      <c r="CA185" s="8" t="s">
        <v>92</v>
      </c>
      <c r="CB185" s="20" t="s">
        <v>456</v>
      </c>
      <c r="CC185" s="20" t="s">
        <v>442</v>
      </c>
      <c r="CD185" s="18"/>
      <c r="CE185" s="18"/>
      <c r="CF185" s="18"/>
      <c r="CG185" s="18"/>
      <c r="CH185" s="18"/>
    </row>
    <row r="186">
      <c r="A186" s="8"/>
      <c r="B186" s="9" t="s">
        <v>923</v>
      </c>
      <c r="C186" s="10" t="s">
        <v>924</v>
      </c>
      <c r="D186" s="9" t="s">
        <v>87</v>
      </c>
      <c r="E186" s="11" t="s">
        <v>928</v>
      </c>
      <c r="F186" s="25"/>
      <c r="G186" s="16" t="s">
        <v>929</v>
      </c>
      <c r="H186" s="13" t="s">
        <v>90</v>
      </c>
      <c r="I186" s="14" t="s">
        <v>930</v>
      </c>
      <c r="J186" s="13" t="s">
        <v>92</v>
      </c>
      <c r="K186" s="14" t="s">
        <v>92</v>
      </c>
      <c r="L186" s="14" t="s">
        <v>93</v>
      </c>
      <c r="M186" s="14" t="s">
        <v>92</v>
      </c>
      <c r="N186" s="14" t="s">
        <v>92</v>
      </c>
      <c r="O186" s="13" t="s">
        <v>92</v>
      </c>
      <c r="P186" s="13" t="s">
        <v>92</v>
      </c>
      <c r="Q186" s="13" t="s">
        <v>92</v>
      </c>
      <c r="R186" s="13" t="s">
        <v>92</v>
      </c>
      <c r="S186" s="13" t="s">
        <v>92</v>
      </c>
      <c r="T186" s="14" t="s">
        <v>92</v>
      </c>
      <c r="U186" s="13" t="s">
        <v>92</v>
      </c>
      <c r="V186" s="13" t="s">
        <v>92</v>
      </c>
      <c r="W186" s="13" t="s">
        <v>92</v>
      </c>
      <c r="X186" s="13" t="s">
        <v>92</v>
      </c>
      <c r="Y186" s="13" t="s">
        <v>93</v>
      </c>
      <c r="Z186" s="14" t="s">
        <v>93</v>
      </c>
      <c r="AA186" s="14" t="s">
        <v>92</v>
      </c>
      <c r="AB186" s="15" t="s">
        <v>93</v>
      </c>
      <c r="AC186" s="15" t="s">
        <v>93</v>
      </c>
      <c r="AD186" s="15" t="s">
        <v>92</v>
      </c>
      <c r="AE186" s="14" t="s">
        <v>112</v>
      </c>
      <c r="AF186" s="13" t="s">
        <v>92</v>
      </c>
      <c r="AG186" s="13" t="s">
        <v>95</v>
      </c>
      <c r="AH186" s="15">
        <v>2004.0</v>
      </c>
      <c r="AI186" s="13" t="s">
        <v>93</v>
      </c>
      <c r="AJ186" s="13" t="s">
        <v>93</v>
      </c>
      <c r="AK186" s="13" t="s">
        <v>93</v>
      </c>
      <c r="AL186" s="13" t="s">
        <v>93</v>
      </c>
      <c r="AM186" s="15" t="s">
        <v>95</v>
      </c>
      <c r="AN186" s="13" t="s">
        <v>114</v>
      </c>
      <c r="AO186" s="15" t="s">
        <v>93</v>
      </c>
      <c r="AP186" s="15" t="s">
        <v>92</v>
      </c>
      <c r="AQ186" s="13" t="s">
        <v>93</v>
      </c>
      <c r="AR186" s="13" t="s">
        <v>93</v>
      </c>
      <c r="AS186" s="13" t="s">
        <v>93</v>
      </c>
      <c r="AT186" s="13" t="s">
        <v>93</v>
      </c>
      <c r="AU186" s="13" t="s">
        <v>93</v>
      </c>
      <c r="AV186" s="13" t="s">
        <v>93</v>
      </c>
      <c r="AW186" s="13" t="s">
        <v>93</v>
      </c>
      <c r="AX186" s="13" t="s">
        <v>93</v>
      </c>
      <c r="AY186" s="15" t="s">
        <v>931</v>
      </c>
      <c r="AZ186" s="15" t="s">
        <v>92</v>
      </c>
      <c r="BA186" s="16" t="s">
        <v>932</v>
      </c>
      <c r="BB186" s="8" t="s">
        <v>95</v>
      </c>
      <c r="BC186" s="8" t="s">
        <v>93</v>
      </c>
      <c r="BD186" s="14" t="s">
        <v>93</v>
      </c>
      <c r="BE186" s="13" t="s">
        <v>92</v>
      </c>
      <c r="BF186" s="13" t="s">
        <v>92</v>
      </c>
      <c r="BG186" s="13" t="s">
        <v>92</v>
      </c>
      <c r="BH186" s="13" t="s">
        <v>92</v>
      </c>
      <c r="BI186" s="14" t="s">
        <v>92</v>
      </c>
      <c r="BJ186" s="13" t="s">
        <v>92</v>
      </c>
      <c r="BK186" s="14" t="s">
        <v>105</v>
      </c>
      <c r="BL186" s="14" t="s">
        <v>105</v>
      </c>
      <c r="BM186" s="14" t="s">
        <v>105</v>
      </c>
      <c r="BN186" s="14" t="s">
        <v>105</v>
      </c>
      <c r="BO186" s="14" t="s">
        <v>105</v>
      </c>
      <c r="BP186" s="14" t="s">
        <v>105</v>
      </c>
      <c r="BQ186" s="15" t="s">
        <v>92</v>
      </c>
      <c r="BR186" s="8" t="s">
        <v>92</v>
      </c>
      <c r="BS186" s="8" t="s">
        <v>93</v>
      </c>
      <c r="BT186" s="8" t="s">
        <v>93</v>
      </c>
      <c r="BU186" s="8" t="s">
        <v>92</v>
      </c>
      <c r="BV186" s="8" t="s">
        <v>93</v>
      </c>
      <c r="BW186" s="15" t="s">
        <v>92</v>
      </c>
      <c r="BX186" s="15" t="s">
        <v>92</v>
      </c>
      <c r="BY186" s="15" t="s">
        <v>92</v>
      </c>
      <c r="BZ186" s="8" t="s">
        <v>93</v>
      </c>
      <c r="CA186" s="15" t="s">
        <v>92</v>
      </c>
      <c r="CB186" s="17" t="s">
        <v>933</v>
      </c>
      <c r="CC186" s="17" t="s">
        <v>934</v>
      </c>
      <c r="CD186" s="24" t="s">
        <v>935</v>
      </c>
      <c r="CE186" s="18"/>
      <c r="CF186" s="18"/>
      <c r="CG186" s="18"/>
      <c r="CH186" s="18"/>
    </row>
    <row r="187">
      <c r="A187" s="8"/>
      <c r="B187" s="9" t="s">
        <v>923</v>
      </c>
      <c r="C187" s="10" t="s">
        <v>924</v>
      </c>
      <c r="D187" s="9" t="s">
        <v>87</v>
      </c>
      <c r="E187" s="11" t="s">
        <v>936</v>
      </c>
      <c r="F187" s="12"/>
      <c r="G187" s="14" t="s">
        <v>304</v>
      </c>
      <c r="H187" s="14" t="s">
        <v>90</v>
      </c>
      <c r="I187" s="14" t="s">
        <v>937</v>
      </c>
      <c r="J187" s="14" t="s">
        <v>92</v>
      </c>
      <c r="K187" s="14" t="s">
        <v>92</v>
      </c>
      <c r="L187" s="14" t="s">
        <v>92</v>
      </c>
      <c r="M187" s="14" t="s">
        <v>92</v>
      </c>
      <c r="N187" s="14" t="s">
        <v>92</v>
      </c>
      <c r="O187" s="14" t="s">
        <v>92</v>
      </c>
      <c r="P187" s="14" t="s">
        <v>92</v>
      </c>
      <c r="Q187" s="14" t="s">
        <v>92</v>
      </c>
      <c r="R187" s="14" t="s">
        <v>92</v>
      </c>
      <c r="S187" s="14" t="s">
        <v>92</v>
      </c>
      <c r="T187" s="14" t="s">
        <v>92</v>
      </c>
      <c r="U187" s="14" t="s">
        <v>92</v>
      </c>
      <c r="V187" s="14" t="s">
        <v>92</v>
      </c>
      <c r="W187" s="14" t="s">
        <v>92</v>
      </c>
      <c r="X187" s="14" t="s">
        <v>92</v>
      </c>
      <c r="Y187" s="14" t="s">
        <v>92</v>
      </c>
      <c r="Z187" s="14" t="s">
        <v>93</v>
      </c>
      <c r="AA187" s="14" t="s">
        <v>92</v>
      </c>
      <c r="AB187" s="8" t="s">
        <v>92</v>
      </c>
      <c r="AC187" s="8" t="s">
        <v>93</v>
      </c>
      <c r="AD187" s="8" t="s">
        <v>92</v>
      </c>
      <c r="AE187" s="14" t="s">
        <v>112</v>
      </c>
      <c r="AF187" s="14" t="s">
        <v>92</v>
      </c>
      <c r="AG187" s="14" t="s">
        <v>95</v>
      </c>
      <c r="AH187" s="8" t="s">
        <v>105</v>
      </c>
      <c r="AI187" s="14" t="s">
        <v>92</v>
      </c>
      <c r="AJ187" s="14" t="s">
        <v>92</v>
      </c>
      <c r="AK187" s="14" t="s">
        <v>93</v>
      </c>
      <c r="AL187" s="14" t="s">
        <v>93</v>
      </c>
      <c r="AM187" s="8" t="s">
        <v>95</v>
      </c>
      <c r="AN187" s="14" t="s">
        <v>114</v>
      </c>
      <c r="AO187" s="8" t="s">
        <v>93</v>
      </c>
      <c r="AP187" s="8" t="s">
        <v>92</v>
      </c>
      <c r="AQ187" s="13" t="s">
        <v>93</v>
      </c>
      <c r="AR187" s="13" t="s">
        <v>93</v>
      </c>
      <c r="AS187" s="13" t="s">
        <v>93</v>
      </c>
      <c r="AT187" s="13" t="s">
        <v>93</v>
      </c>
      <c r="AU187" s="13" t="s">
        <v>93</v>
      </c>
      <c r="AV187" s="13" t="s">
        <v>93</v>
      </c>
      <c r="AW187" s="13" t="s">
        <v>93</v>
      </c>
      <c r="AX187" s="13" t="s">
        <v>93</v>
      </c>
      <c r="AY187" s="15" t="s">
        <v>95</v>
      </c>
      <c r="AZ187" s="15" t="s">
        <v>95</v>
      </c>
      <c r="BA187" s="9" t="s">
        <v>938</v>
      </c>
      <c r="BB187" s="8" t="s">
        <v>95</v>
      </c>
      <c r="BC187" s="8" t="s">
        <v>93</v>
      </c>
      <c r="BD187" s="14" t="s">
        <v>93</v>
      </c>
      <c r="BE187" s="14" t="s">
        <v>92</v>
      </c>
      <c r="BF187" s="14" t="s">
        <v>92</v>
      </c>
      <c r="BG187" s="14" t="s">
        <v>92</v>
      </c>
      <c r="BH187" s="14" t="s">
        <v>92</v>
      </c>
      <c r="BI187" s="14" t="s">
        <v>92</v>
      </c>
      <c r="BJ187" s="14" t="s">
        <v>92</v>
      </c>
      <c r="BK187" s="14" t="s">
        <v>105</v>
      </c>
      <c r="BL187" s="14" t="s">
        <v>105</v>
      </c>
      <c r="BM187" s="14" t="s">
        <v>105</v>
      </c>
      <c r="BN187" s="14" t="s">
        <v>105</v>
      </c>
      <c r="BO187" s="14" t="s">
        <v>105</v>
      </c>
      <c r="BP187" s="14" t="s">
        <v>105</v>
      </c>
      <c r="BQ187" s="8" t="s">
        <v>92</v>
      </c>
      <c r="BR187" s="8" t="s">
        <v>92</v>
      </c>
      <c r="BS187" s="8" t="s">
        <v>92</v>
      </c>
      <c r="BT187" s="8" t="s">
        <v>93</v>
      </c>
      <c r="BU187" s="8" t="s">
        <v>92</v>
      </c>
      <c r="BV187" s="8" t="s">
        <v>93</v>
      </c>
      <c r="BW187" s="8" t="s">
        <v>92</v>
      </c>
      <c r="BX187" s="8" t="s">
        <v>92</v>
      </c>
      <c r="BY187" s="8" t="s">
        <v>92</v>
      </c>
      <c r="BZ187" s="8" t="s">
        <v>92</v>
      </c>
      <c r="CA187" s="8" t="s">
        <v>92</v>
      </c>
      <c r="CB187" s="20" t="s">
        <v>456</v>
      </c>
      <c r="CC187" s="20" t="s">
        <v>442</v>
      </c>
      <c r="CD187" s="18"/>
      <c r="CE187" s="18"/>
      <c r="CF187" s="18"/>
      <c r="CG187" s="18"/>
      <c r="CH187" s="18"/>
    </row>
    <row r="188">
      <c r="A188" s="8"/>
      <c r="B188" s="16" t="s">
        <v>939</v>
      </c>
      <c r="C188" s="10" t="s">
        <v>940</v>
      </c>
      <c r="D188" s="9" t="s">
        <v>87</v>
      </c>
      <c r="E188" s="11" t="s">
        <v>941</v>
      </c>
      <c r="F188" s="12"/>
      <c r="G188" s="14" t="s">
        <v>942</v>
      </c>
      <c r="H188" s="14" t="s">
        <v>90</v>
      </c>
      <c r="I188" s="14" t="s">
        <v>943</v>
      </c>
      <c r="J188" s="14" t="s">
        <v>92</v>
      </c>
      <c r="K188" s="14" t="s">
        <v>92</v>
      </c>
      <c r="L188" s="14" t="s">
        <v>93</v>
      </c>
      <c r="M188" s="14" t="s">
        <v>92</v>
      </c>
      <c r="N188" s="14" t="s">
        <v>92</v>
      </c>
      <c r="O188" s="14" t="s">
        <v>92</v>
      </c>
      <c r="P188" s="14" t="s">
        <v>92</v>
      </c>
      <c r="Q188" s="14" t="s">
        <v>92</v>
      </c>
      <c r="R188" s="14" t="s">
        <v>92</v>
      </c>
      <c r="S188" s="14" t="s">
        <v>92</v>
      </c>
      <c r="T188" s="14" t="s">
        <v>92</v>
      </c>
      <c r="U188" s="14" t="s">
        <v>92</v>
      </c>
      <c r="V188" s="14" t="s">
        <v>92</v>
      </c>
      <c r="W188" s="14" t="s">
        <v>92</v>
      </c>
      <c r="X188" s="14" t="s">
        <v>92</v>
      </c>
      <c r="Y188" s="14" t="s">
        <v>92</v>
      </c>
      <c r="Z188" s="14" t="s">
        <v>93</v>
      </c>
      <c r="AA188" s="14" t="s">
        <v>92</v>
      </c>
      <c r="AB188" s="8" t="s">
        <v>92</v>
      </c>
      <c r="AC188" s="8" t="s">
        <v>93</v>
      </c>
      <c r="AD188" s="8" t="s">
        <v>92</v>
      </c>
      <c r="AE188" s="14" t="s">
        <v>112</v>
      </c>
      <c r="AF188" s="14" t="s">
        <v>92</v>
      </c>
      <c r="AG188" s="14" t="s">
        <v>95</v>
      </c>
      <c r="AH188" s="8">
        <v>2019.0</v>
      </c>
      <c r="AI188" s="14" t="s">
        <v>93</v>
      </c>
      <c r="AJ188" s="14" t="s">
        <v>93</v>
      </c>
      <c r="AK188" s="14" t="s">
        <v>93</v>
      </c>
      <c r="AL188" s="14" t="s">
        <v>93</v>
      </c>
      <c r="AM188" s="15" t="s">
        <v>95</v>
      </c>
      <c r="AN188" s="13" t="s">
        <v>114</v>
      </c>
      <c r="AO188" s="15" t="s">
        <v>93</v>
      </c>
      <c r="AP188" s="15" t="s">
        <v>92</v>
      </c>
      <c r="AQ188" s="13" t="s">
        <v>93</v>
      </c>
      <c r="AR188" s="13" t="s">
        <v>93</v>
      </c>
      <c r="AS188" s="13" t="s">
        <v>93</v>
      </c>
      <c r="AT188" s="13" t="s">
        <v>93</v>
      </c>
      <c r="AU188" s="13" t="s">
        <v>92</v>
      </c>
      <c r="AV188" s="13" t="s">
        <v>93</v>
      </c>
      <c r="AW188" s="13" t="s">
        <v>93</v>
      </c>
      <c r="AX188" s="13" t="s">
        <v>92</v>
      </c>
      <c r="AY188" s="15" t="s">
        <v>95</v>
      </c>
      <c r="AZ188" s="15" t="s">
        <v>95</v>
      </c>
      <c r="BA188" s="16" t="s">
        <v>944</v>
      </c>
      <c r="BB188" s="8" t="s">
        <v>155</v>
      </c>
      <c r="BC188" s="15" t="s">
        <v>92</v>
      </c>
      <c r="BD188" s="14" t="s">
        <v>93</v>
      </c>
      <c r="BE188" s="14" t="s">
        <v>92</v>
      </c>
      <c r="BF188" s="14" t="s">
        <v>92</v>
      </c>
      <c r="BG188" s="14" t="s">
        <v>92</v>
      </c>
      <c r="BH188" s="14" t="s">
        <v>92</v>
      </c>
      <c r="BI188" s="14" t="s">
        <v>92</v>
      </c>
      <c r="BJ188" s="14" t="s">
        <v>92</v>
      </c>
      <c r="BK188" s="14" t="s">
        <v>945</v>
      </c>
      <c r="BL188" s="14" t="s">
        <v>92</v>
      </c>
      <c r="BM188" s="14" t="s">
        <v>92</v>
      </c>
      <c r="BN188" s="14" t="s">
        <v>92</v>
      </c>
      <c r="BO188" s="14" t="s">
        <v>93</v>
      </c>
      <c r="BP188" s="14" t="s">
        <v>92</v>
      </c>
      <c r="BQ188" s="8" t="s">
        <v>92</v>
      </c>
      <c r="BR188" s="8" t="s">
        <v>92</v>
      </c>
      <c r="BS188" s="8" t="s">
        <v>92</v>
      </c>
      <c r="BT188" s="8" t="s">
        <v>93</v>
      </c>
      <c r="BU188" s="8" t="s">
        <v>92</v>
      </c>
      <c r="BV188" s="8" t="s">
        <v>92</v>
      </c>
      <c r="BW188" s="8" t="s">
        <v>92</v>
      </c>
      <c r="BX188" s="8" t="s">
        <v>92</v>
      </c>
      <c r="BY188" s="8" t="s">
        <v>92</v>
      </c>
      <c r="BZ188" s="8" t="s">
        <v>93</v>
      </c>
      <c r="CA188" s="8" t="s">
        <v>92</v>
      </c>
      <c r="CB188" s="17" t="s">
        <v>178</v>
      </c>
      <c r="CC188" s="17" t="s">
        <v>115</v>
      </c>
      <c r="CD188" s="17" t="s">
        <v>106</v>
      </c>
      <c r="CE188" s="20" t="s">
        <v>116</v>
      </c>
      <c r="CF188" s="18"/>
      <c r="CG188" s="18"/>
      <c r="CH188" s="14"/>
    </row>
    <row r="189">
      <c r="A189" s="8"/>
      <c r="B189" s="16" t="s">
        <v>939</v>
      </c>
      <c r="C189" s="10" t="s">
        <v>940</v>
      </c>
      <c r="D189" s="9" t="s">
        <v>87</v>
      </c>
      <c r="E189" s="11" t="s">
        <v>946</v>
      </c>
      <c r="F189" s="12"/>
      <c r="G189" s="14" t="s">
        <v>947</v>
      </c>
      <c r="H189" s="14" t="s">
        <v>90</v>
      </c>
      <c r="I189" s="14" t="s">
        <v>948</v>
      </c>
      <c r="J189" s="14" t="s">
        <v>92</v>
      </c>
      <c r="K189" s="14" t="s">
        <v>92</v>
      </c>
      <c r="L189" s="14" t="s">
        <v>93</v>
      </c>
      <c r="M189" s="14" t="s">
        <v>92</v>
      </c>
      <c r="N189" s="14" t="s">
        <v>92</v>
      </c>
      <c r="O189" s="14" t="s">
        <v>92</v>
      </c>
      <c r="P189" s="14" t="s">
        <v>92</v>
      </c>
      <c r="Q189" s="14" t="s">
        <v>92</v>
      </c>
      <c r="R189" s="14" t="s">
        <v>92</v>
      </c>
      <c r="S189" s="14" t="s">
        <v>92</v>
      </c>
      <c r="T189" s="14" t="s">
        <v>92</v>
      </c>
      <c r="U189" s="14" t="s">
        <v>92</v>
      </c>
      <c r="V189" s="14" t="s">
        <v>92</v>
      </c>
      <c r="W189" s="14" t="s">
        <v>92</v>
      </c>
      <c r="X189" s="14" t="s">
        <v>92</v>
      </c>
      <c r="Y189" s="14" t="s">
        <v>92</v>
      </c>
      <c r="Z189" s="14" t="s">
        <v>93</v>
      </c>
      <c r="AA189" s="14" t="s">
        <v>92</v>
      </c>
      <c r="AB189" s="8" t="s">
        <v>92</v>
      </c>
      <c r="AC189" s="8" t="s">
        <v>93</v>
      </c>
      <c r="AD189" s="8" t="s">
        <v>92</v>
      </c>
      <c r="AE189" s="14" t="s">
        <v>112</v>
      </c>
      <c r="AF189" s="14" t="s">
        <v>92</v>
      </c>
      <c r="AG189" s="13" t="s">
        <v>95</v>
      </c>
      <c r="AH189" s="8">
        <v>2021.0</v>
      </c>
      <c r="AI189" s="14" t="s">
        <v>92</v>
      </c>
      <c r="AJ189" s="14" t="s">
        <v>93</v>
      </c>
      <c r="AK189" s="14" t="s">
        <v>93</v>
      </c>
      <c r="AL189" s="14" t="s">
        <v>92</v>
      </c>
      <c r="AM189" s="8" t="s">
        <v>105</v>
      </c>
      <c r="AN189" s="14" t="s">
        <v>105</v>
      </c>
      <c r="AO189" s="15" t="s">
        <v>93</v>
      </c>
      <c r="AP189" s="8" t="s">
        <v>92</v>
      </c>
      <c r="AQ189" s="13" t="s">
        <v>93</v>
      </c>
      <c r="AR189" s="13" t="s">
        <v>93</v>
      </c>
      <c r="AS189" s="13" t="s">
        <v>93</v>
      </c>
      <c r="AT189" s="13" t="s">
        <v>93</v>
      </c>
      <c r="AU189" s="13" t="s">
        <v>92</v>
      </c>
      <c r="AV189" s="13" t="s">
        <v>93</v>
      </c>
      <c r="AW189" s="13" t="s">
        <v>93</v>
      </c>
      <c r="AX189" s="13" t="s">
        <v>92</v>
      </c>
      <c r="AY189" s="8" t="s">
        <v>949</v>
      </c>
      <c r="AZ189" s="8" t="s">
        <v>93</v>
      </c>
      <c r="BA189" s="16" t="s">
        <v>944</v>
      </c>
      <c r="BB189" s="8" t="s">
        <v>155</v>
      </c>
      <c r="BC189" s="15" t="s">
        <v>92</v>
      </c>
      <c r="BD189" s="14" t="s">
        <v>93</v>
      </c>
      <c r="BE189" s="14" t="s">
        <v>92</v>
      </c>
      <c r="BF189" s="14" t="s">
        <v>92</v>
      </c>
      <c r="BG189" s="14" t="s">
        <v>92</v>
      </c>
      <c r="BH189" s="14" t="s">
        <v>92</v>
      </c>
      <c r="BI189" s="14" t="s">
        <v>92</v>
      </c>
      <c r="BJ189" s="14" t="s">
        <v>92</v>
      </c>
      <c r="BK189" s="14" t="s">
        <v>105</v>
      </c>
      <c r="BL189" s="14" t="s">
        <v>105</v>
      </c>
      <c r="BM189" s="14" t="s">
        <v>105</v>
      </c>
      <c r="BN189" s="14" t="s">
        <v>105</v>
      </c>
      <c r="BO189" s="14" t="s">
        <v>105</v>
      </c>
      <c r="BP189" s="14" t="s">
        <v>105</v>
      </c>
      <c r="BQ189" s="8" t="s">
        <v>92</v>
      </c>
      <c r="BR189" s="8" t="s">
        <v>92</v>
      </c>
      <c r="BS189" s="8" t="s">
        <v>92</v>
      </c>
      <c r="BT189" s="8" t="s">
        <v>93</v>
      </c>
      <c r="BU189" s="8" t="s">
        <v>92</v>
      </c>
      <c r="BV189" s="8" t="s">
        <v>92</v>
      </c>
      <c r="BW189" s="8" t="s">
        <v>92</v>
      </c>
      <c r="BX189" s="8" t="s">
        <v>92</v>
      </c>
      <c r="BY189" s="8" t="s">
        <v>92</v>
      </c>
      <c r="BZ189" s="8" t="s">
        <v>93</v>
      </c>
      <c r="CA189" s="8" t="s">
        <v>92</v>
      </c>
      <c r="CB189" s="17" t="s">
        <v>106</v>
      </c>
      <c r="CC189" s="17"/>
      <c r="CD189" s="18"/>
      <c r="CE189" s="18"/>
      <c r="CF189" s="18"/>
      <c r="CG189" s="18"/>
      <c r="CH189" s="14"/>
    </row>
    <row r="190">
      <c r="A190" s="8"/>
      <c r="B190" s="16" t="s">
        <v>939</v>
      </c>
      <c r="C190" s="10" t="s">
        <v>940</v>
      </c>
      <c r="D190" s="9" t="s">
        <v>87</v>
      </c>
      <c r="E190" s="11" t="s">
        <v>950</v>
      </c>
      <c r="F190" s="12"/>
      <c r="G190" s="13" t="s">
        <v>951</v>
      </c>
      <c r="H190" s="13" t="s">
        <v>90</v>
      </c>
      <c r="I190" s="13" t="s">
        <v>952</v>
      </c>
      <c r="J190" s="13" t="s">
        <v>92</v>
      </c>
      <c r="K190" s="13" t="s">
        <v>92</v>
      </c>
      <c r="L190" s="13" t="s">
        <v>92</v>
      </c>
      <c r="M190" s="14" t="s">
        <v>92</v>
      </c>
      <c r="N190" s="14" t="s">
        <v>93</v>
      </c>
      <c r="O190" s="13" t="s">
        <v>92</v>
      </c>
      <c r="P190" s="13" t="s">
        <v>93</v>
      </c>
      <c r="Q190" s="13" t="s">
        <v>93</v>
      </c>
      <c r="R190" s="13" t="s">
        <v>92</v>
      </c>
      <c r="S190" s="13" t="s">
        <v>93</v>
      </c>
      <c r="T190" s="13" t="s">
        <v>93</v>
      </c>
      <c r="U190" s="13" t="s">
        <v>93</v>
      </c>
      <c r="V190" s="13" t="s">
        <v>92</v>
      </c>
      <c r="W190" s="13" t="s">
        <v>92</v>
      </c>
      <c r="X190" s="13" t="s">
        <v>92</v>
      </c>
      <c r="Y190" s="13" t="s">
        <v>92</v>
      </c>
      <c r="Z190" s="13" t="s">
        <v>92</v>
      </c>
      <c r="AA190" s="14" t="s">
        <v>92</v>
      </c>
      <c r="AB190" s="15" t="s">
        <v>93</v>
      </c>
      <c r="AC190" s="15" t="s">
        <v>92</v>
      </c>
      <c r="AD190" s="15" t="s">
        <v>92</v>
      </c>
      <c r="AE190" s="13" t="s">
        <v>94</v>
      </c>
      <c r="AF190" s="13" t="s">
        <v>92</v>
      </c>
      <c r="AG190" s="13" t="s">
        <v>95</v>
      </c>
      <c r="AH190" s="15">
        <v>2020.0</v>
      </c>
      <c r="AI190" s="13" t="s">
        <v>93</v>
      </c>
      <c r="AJ190" s="13" t="s">
        <v>92</v>
      </c>
      <c r="AK190" s="13" t="s">
        <v>92</v>
      </c>
      <c r="AL190" s="14" t="s">
        <v>92</v>
      </c>
      <c r="AM190" s="15">
        <v>2020.0</v>
      </c>
      <c r="AN190" s="13" t="s">
        <v>96</v>
      </c>
      <c r="AO190" s="15" t="s">
        <v>92</v>
      </c>
      <c r="AP190" s="15" t="s">
        <v>92</v>
      </c>
      <c r="AQ190" s="13" t="s">
        <v>93</v>
      </c>
      <c r="AR190" s="13" t="s">
        <v>93</v>
      </c>
      <c r="AS190" s="13" t="s">
        <v>93</v>
      </c>
      <c r="AT190" s="13" t="s">
        <v>93</v>
      </c>
      <c r="AU190" s="13" t="s">
        <v>92</v>
      </c>
      <c r="AV190" s="13" t="s">
        <v>93</v>
      </c>
      <c r="AW190" s="13" t="s">
        <v>93</v>
      </c>
      <c r="AX190" s="13" t="s">
        <v>92</v>
      </c>
      <c r="AY190" s="15" t="s">
        <v>95</v>
      </c>
      <c r="AZ190" s="15" t="s">
        <v>95</v>
      </c>
      <c r="BA190" s="16" t="s">
        <v>953</v>
      </c>
      <c r="BB190" s="8" t="s">
        <v>95</v>
      </c>
      <c r="BC190" s="15" t="s">
        <v>93</v>
      </c>
      <c r="BD190" s="13" t="s">
        <v>93</v>
      </c>
      <c r="BE190" s="13" t="s">
        <v>92</v>
      </c>
      <c r="BF190" s="13" t="s">
        <v>92</v>
      </c>
      <c r="BG190" s="13" t="s">
        <v>92</v>
      </c>
      <c r="BH190" s="13" t="s">
        <v>92</v>
      </c>
      <c r="BI190" s="13" t="s">
        <v>93</v>
      </c>
      <c r="BJ190" s="13" t="s">
        <v>92</v>
      </c>
      <c r="BK190" s="14" t="s">
        <v>482</v>
      </c>
      <c r="BL190" s="13" t="s">
        <v>92</v>
      </c>
      <c r="BM190" s="13" t="s">
        <v>92</v>
      </c>
      <c r="BN190" s="13" t="s">
        <v>92</v>
      </c>
      <c r="BO190" s="13" t="s">
        <v>93</v>
      </c>
      <c r="BP190" s="13" t="s">
        <v>92</v>
      </c>
      <c r="BQ190" s="15" t="s">
        <v>93</v>
      </c>
      <c r="BR190" s="15" t="s">
        <v>93</v>
      </c>
      <c r="BS190" s="15" t="s">
        <v>92</v>
      </c>
      <c r="BT190" s="15" t="s">
        <v>92</v>
      </c>
      <c r="BU190" s="15" t="s">
        <v>92</v>
      </c>
      <c r="BV190" s="15" t="s">
        <v>92</v>
      </c>
      <c r="BW190" s="15" t="s">
        <v>92</v>
      </c>
      <c r="BX190" s="15" t="s">
        <v>92</v>
      </c>
      <c r="BY190" s="15" t="s">
        <v>92</v>
      </c>
      <c r="BZ190" s="15" t="s">
        <v>92</v>
      </c>
      <c r="CA190" s="15" t="s">
        <v>92</v>
      </c>
      <c r="CB190" s="17" t="s">
        <v>178</v>
      </c>
      <c r="CC190" s="17"/>
      <c r="CD190" s="18"/>
      <c r="CE190" s="18"/>
      <c r="CF190" s="18"/>
      <c r="CG190" s="18"/>
      <c r="CH190" s="14"/>
    </row>
    <row r="191">
      <c r="A191" s="8"/>
      <c r="B191" s="16" t="s">
        <v>939</v>
      </c>
      <c r="C191" s="10" t="s">
        <v>940</v>
      </c>
      <c r="D191" s="9" t="s">
        <v>87</v>
      </c>
      <c r="E191" s="11" t="s">
        <v>954</v>
      </c>
      <c r="F191" s="12"/>
      <c r="G191" s="13" t="s">
        <v>955</v>
      </c>
      <c r="H191" s="13" t="s">
        <v>189</v>
      </c>
      <c r="I191" s="13" t="s">
        <v>956</v>
      </c>
      <c r="J191" s="13" t="s">
        <v>92</v>
      </c>
      <c r="K191" s="13" t="s">
        <v>92</v>
      </c>
      <c r="L191" s="14" t="s">
        <v>93</v>
      </c>
      <c r="M191" s="13" t="s">
        <v>93</v>
      </c>
      <c r="N191" s="14" t="s">
        <v>92</v>
      </c>
      <c r="O191" s="13" t="s">
        <v>92</v>
      </c>
      <c r="P191" s="14" t="s">
        <v>92</v>
      </c>
      <c r="Q191" s="13" t="s">
        <v>93</v>
      </c>
      <c r="R191" s="13" t="s">
        <v>92</v>
      </c>
      <c r="S191" s="13" t="s">
        <v>92</v>
      </c>
      <c r="T191" s="13" t="s">
        <v>92</v>
      </c>
      <c r="U191" s="13" t="s">
        <v>93</v>
      </c>
      <c r="V191" s="13" t="s">
        <v>92</v>
      </c>
      <c r="W191" s="13" t="s">
        <v>92</v>
      </c>
      <c r="X191" s="13" t="s">
        <v>92</v>
      </c>
      <c r="Y191" s="13" t="s">
        <v>92</v>
      </c>
      <c r="Z191" s="13" t="s">
        <v>92</v>
      </c>
      <c r="AA191" s="14" t="s">
        <v>92</v>
      </c>
      <c r="AB191" s="15" t="s">
        <v>93</v>
      </c>
      <c r="AC191" s="15" t="s">
        <v>92</v>
      </c>
      <c r="AD191" s="15" t="s">
        <v>92</v>
      </c>
      <c r="AE191" s="13" t="s">
        <v>94</v>
      </c>
      <c r="AF191" s="13" t="s">
        <v>92</v>
      </c>
      <c r="AG191" s="13" t="s">
        <v>95</v>
      </c>
      <c r="AH191" s="15">
        <v>2020.0</v>
      </c>
      <c r="AI191" s="13" t="s">
        <v>93</v>
      </c>
      <c r="AJ191" s="13" t="s">
        <v>92</v>
      </c>
      <c r="AK191" s="13" t="s">
        <v>92</v>
      </c>
      <c r="AL191" s="14" t="s">
        <v>92</v>
      </c>
      <c r="AM191" s="15">
        <v>2020.0</v>
      </c>
      <c r="AN191" s="13" t="s">
        <v>96</v>
      </c>
      <c r="AO191" s="15" t="s">
        <v>92</v>
      </c>
      <c r="AP191" s="15" t="s">
        <v>93</v>
      </c>
      <c r="AQ191" s="13" t="s">
        <v>93</v>
      </c>
      <c r="AR191" s="13" t="s">
        <v>93</v>
      </c>
      <c r="AS191" s="13" t="s">
        <v>93</v>
      </c>
      <c r="AT191" s="13" t="s">
        <v>93</v>
      </c>
      <c r="AU191" s="13" t="s">
        <v>92</v>
      </c>
      <c r="AV191" s="13" t="s">
        <v>93</v>
      </c>
      <c r="AW191" s="13" t="s">
        <v>93</v>
      </c>
      <c r="AX191" s="13" t="s">
        <v>92</v>
      </c>
      <c r="AY191" s="15" t="s">
        <v>957</v>
      </c>
      <c r="AZ191" s="15" t="s">
        <v>92</v>
      </c>
      <c r="BA191" s="16" t="s">
        <v>958</v>
      </c>
      <c r="BB191" s="8" t="s">
        <v>95</v>
      </c>
      <c r="BC191" s="15" t="s">
        <v>93</v>
      </c>
      <c r="BD191" s="13" t="s">
        <v>92</v>
      </c>
      <c r="BE191" s="13" t="s">
        <v>92</v>
      </c>
      <c r="BF191" s="13" t="s">
        <v>92</v>
      </c>
      <c r="BG191" s="13" t="s">
        <v>92</v>
      </c>
      <c r="BH191" s="13" t="s">
        <v>92</v>
      </c>
      <c r="BI191" s="13" t="s">
        <v>93</v>
      </c>
      <c r="BJ191" s="13" t="s">
        <v>92</v>
      </c>
      <c r="BK191" s="14" t="s">
        <v>959</v>
      </c>
      <c r="BL191" s="14" t="s">
        <v>93</v>
      </c>
      <c r="BM191" s="14" t="s">
        <v>92</v>
      </c>
      <c r="BN191" s="14" t="s">
        <v>92</v>
      </c>
      <c r="BO191" s="14" t="s">
        <v>93</v>
      </c>
      <c r="BP191" s="14" t="s">
        <v>92</v>
      </c>
      <c r="BQ191" s="15" t="s">
        <v>93</v>
      </c>
      <c r="BR191" s="15" t="s">
        <v>92</v>
      </c>
      <c r="BS191" s="15" t="s">
        <v>92</v>
      </c>
      <c r="BT191" s="15" t="s">
        <v>92</v>
      </c>
      <c r="BU191" s="15" t="s">
        <v>92</v>
      </c>
      <c r="BV191" s="15" t="s">
        <v>92</v>
      </c>
      <c r="BW191" s="15" t="s">
        <v>92</v>
      </c>
      <c r="BX191" s="15" t="s">
        <v>92</v>
      </c>
      <c r="BY191" s="15" t="s">
        <v>92</v>
      </c>
      <c r="BZ191" s="15" t="s">
        <v>92</v>
      </c>
      <c r="CA191" s="15" t="s">
        <v>92</v>
      </c>
      <c r="CB191" s="17" t="s">
        <v>178</v>
      </c>
      <c r="CC191" s="17" t="s">
        <v>960</v>
      </c>
      <c r="CD191" s="18"/>
      <c r="CE191" s="18"/>
      <c r="CF191" s="18"/>
      <c r="CG191" s="18"/>
      <c r="CH191" s="14"/>
    </row>
    <row r="192">
      <c r="A192" s="8"/>
      <c r="B192" s="16" t="s">
        <v>939</v>
      </c>
      <c r="C192" s="10" t="s">
        <v>940</v>
      </c>
      <c r="D192" s="9" t="s">
        <v>87</v>
      </c>
      <c r="E192" s="11" t="s">
        <v>961</v>
      </c>
      <c r="F192" s="12"/>
      <c r="G192" s="13" t="s">
        <v>962</v>
      </c>
      <c r="H192" s="13" t="s">
        <v>90</v>
      </c>
      <c r="I192" s="13" t="s">
        <v>963</v>
      </c>
      <c r="J192" s="13" t="s">
        <v>92</v>
      </c>
      <c r="K192" s="13" t="s">
        <v>92</v>
      </c>
      <c r="L192" s="13" t="s">
        <v>92</v>
      </c>
      <c r="M192" s="13" t="s">
        <v>93</v>
      </c>
      <c r="N192" s="14" t="s">
        <v>92</v>
      </c>
      <c r="O192" s="13" t="s">
        <v>92</v>
      </c>
      <c r="P192" s="14" t="s">
        <v>92</v>
      </c>
      <c r="Q192" s="13" t="s">
        <v>93</v>
      </c>
      <c r="R192" s="13" t="s">
        <v>92</v>
      </c>
      <c r="S192" s="13" t="s">
        <v>92</v>
      </c>
      <c r="T192" s="13" t="s">
        <v>92</v>
      </c>
      <c r="U192" s="13" t="s">
        <v>93</v>
      </c>
      <c r="V192" s="13" t="s">
        <v>92</v>
      </c>
      <c r="W192" s="13" t="s">
        <v>92</v>
      </c>
      <c r="X192" s="13" t="s">
        <v>92</v>
      </c>
      <c r="Y192" s="13" t="s">
        <v>92</v>
      </c>
      <c r="Z192" s="13" t="s">
        <v>92</v>
      </c>
      <c r="AA192" s="14" t="s">
        <v>92</v>
      </c>
      <c r="AB192" s="15" t="s">
        <v>93</v>
      </c>
      <c r="AC192" s="15" t="s">
        <v>92</v>
      </c>
      <c r="AD192" s="15" t="s">
        <v>92</v>
      </c>
      <c r="AE192" s="13" t="s">
        <v>94</v>
      </c>
      <c r="AF192" s="13" t="s">
        <v>92</v>
      </c>
      <c r="AG192" s="13" t="s">
        <v>95</v>
      </c>
      <c r="AH192" s="8" t="s">
        <v>105</v>
      </c>
      <c r="AI192" s="13" t="s">
        <v>93</v>
      </c>
      <c r="AJ192" s="13" t="s">
        <v>92</v>
      </c>
      <c r="AK192" s="13" t="s">
        <v>92</v>
      </c>
      <c r="AL192" s="14" t="s">
        <v>92</v>
      </c>
      <c r="AM192" s="8" t="s">
        <v>105</v>
      </c>
      <c r="AN192" s="14" t="s">
        <v>105</v>
      </c>
      <c r="AO192" s="15" t="s">
        <v>93</v>
      </c>
      <c r="AP192" s="15" t="s">
        <v>93</v>
      </c>
      <c r="AQ192" s="13" t="s">
        <v>93</v>
      </c>
      <c r="AR192" s="13" t="s">
        <v>93</v>
      </c>
      <c r="AS192" s="13" t="s">
        <v>93</v>
      </c>
      <c r="AT192" s="13" t="s">
        <v>93</v>
      </c>
      <c r="AU192" s="13" t="s">
        <v>92</v>
      </c>
      <c r="AV192" s="13" t="s">
        <v>93</v>
      </c>
      <c r="AW192" s="13" t="s">
        <v>93</v>
      </c>
      <c r="AX192" s="13" t="s">
        <v>92</v>
      </c>
      <c r="AY192" s="15" t="s">
        <v>964</v>
      </c>
      <c r="AZ192" s="15" t="s">
        <v>92</v>
      </c>
      <c r="BA192" s="16" t="s">
        <v>965</v>
      </c>
      <c r="BB192" s="8" t="s">
        <v>95</v>
      </c>
      <c r="BC192" s="15" t="s">
        <v>93</v>
      </c>
      <c r="BD192" s="13" t="s">
        <v>92</v>
      </c>
      <c r="BE192" s="13" t="s">
        <v>92</v>
      </c>
      <c r="BF192" s="13" t="s">
        <v>92</v>
      </c>
      <c r="BG192" s="13" t="s">
        <v>92</v>
      </c>
      <c r="BH192" s="13" t="s">
        <v>92</v>
      </c>
      <c r="BI192" s="13" t="s">
        <v>93</v>
      </c>
      <c r="BJ192" s="13" t="s">
        <v>92</v>
      </c>
      <c r="BK192" s="14" t="s">
        <v>482</v>
      </c>
      <c r="BL192" s="13" t="s">
        <v>92</v>
      </c>
      <c r="BM192" s="13" t="s">
        <v>92</v>
      </c>
      <c r="BN192" s="13" t="s">
        <v>92</v>
      </c>
      <c r="BO192" s="13" t="s">
        <v>93</v>
      </c>
      <c r="BP192" s="13" t="s">
        <v>92</v>
      </c>
      <c r="BQ192" s="15" t="s">
        <v>93</v>
      </c>
      <c r="BR192" s="15" t="s">
        <v>92</v>
      </c>
      <c r="BS192" s="15" t="s">
        <v>92</v>
      </c>
      <c r="BT192" s="15" t="s">
        <v>92</v>
      </c>
      <c r="BU192" s="15" t="s">
        <v>92</v>
      </c>
      <c r="BV192" s="15" t="s">
        <v>92</v>
      </c>
      <c r="BW192" s="15" t="s">
        <v>92</v>
      </c>
      <c r="BX192" s="15" t="s">
        <v>92</v>
      </c>
      <c r="BY192" s="15" t="s">
        <v>92</v>
      </c>
      <c r="BZ192" s="15" t="s">
        <v>92</v>
      </c>
      <c r="CA192" s="15" t="s">
        <v>92</v>
      </c>
      <c r="CB192" s="17" t="s">
        <v>178</v>
      </c>
      <c r="CC192" s="17"/>
      <c r="CD192" s="18"/>
      <c r="CE192" s="18"/>
      <c r="CF192" s="18"/>
      <c r="CG192" s="18"/>
      <c r="CH192" s="14"/>
    </row>
    <row r="193">
      <c r="A193" s="8"/>
      <c r="B193" s="16" t="s">
        <v>939</v>
      </c>
      <c r="C193" s="10" t="s">
        <v>940</v>
      </c>
      <c r="D193" s="9" t="s">
        <v>87</v>
      </c>
      <c r="E193" s="11" t="s">
        <v>966</v>
      </c>
      <c r="F193" s="25"/>
      <c r="G193" s="9" t="s">
        <v>967</v>
      </c>
      <c r="H193" s="13" t="s">
        <v>90</v>
      </c>
      <c r="I193" s="14" t="s">
        <v>968</v>
      </c>
      <c r="J193" s="13" t="s">
        <v>92</v>
      </c>
      <c r="K193" s="13" t="s">
        <v>92</v>
      </c>
      <c r="L193" s="13" t="s">
        <v>93</v>
      </c>
      <c r="M193" s="13" t="s">
        <v>93</v>
      </c>
      <c r="N193" s="14" t="s">
        <v>92</v>
      </c>
      <c r="O193" s="14" t="s">
        <v>92</v>
      </c>
      <c r="P193" s="13" t="s">
        <v>92</v>
      </c>
      <c r="Q193" s="13" t="s">
        <v>92</v>
      </c>
      <c r="R193" s="13" t="s">
        <v>92</v>
      </c>
      <c r="S193" s="13" t="s">
        <v>92</v>
      </c>
      <c r="T193" s="13" t="s">
        <v>92</v>
      </c>
      <c r="U193" s="13" t="s">
        <v>92</v>
      </c>
      <c r="V193" s="13" t="s">
        <v>92</v>
      </c>
      <c r="W193" s="13" t="s">
        <v>92</v>
      </c>
      <c r="X193" s="13" t="s">
        <v>92</v>
      </c>
      <c r="Y193" s="13" t="s">
        <v>93</v>
      </c>
      <c r="Z193" s="14" t="s">
        <v>93</v>
      </c>
      <c r="AA193" s="14" t="s">
        <v>92</v>
      </c>
      <c r="AB193" s="15" t="s">
        <v>93</v>
      </c>
      <c r="AC193" s="15" t="s">
        <v>93</v>
      </c>
      <c r="AD193" s="15" t="s">
        <v>92</v>
      </c>
      <c r="AE193" s="14" t="s">
        <v>112</v>
      </c>
      <c r="AF193" s="13" t="s">
        <v>92</v>
      </c>
      <c r="AG193" s="13" t="s">
        <v>95</v>
      </c>
      <c r="AH193" s="15">
        <v>2019.0</v>
      </c>
      <c r="AI193" s="13" t="s">
        <v>93</v>
      </c>
      <c r="AJ193" s="13" t="s">
        <v>93</v>
      </c>
      <c r="AK193" s="13" t="s">
        <v>93</v>
      </c>
      <c r="AL193" s="13" t="s">
        <v>93</v>
      </c>
      <c r="AM193" s="15" t="s">
        <v>95</v>
      </c>
      <c r="AN193" s="13" t="s">
        <v>114</v>
      </c>
      <c r="AO193" s="15" t="s">
        <v>93</v>
      </c>
      <c r="AP193" s="15" t="s">
        <v>92</v>
      </c>
      <c r="AQ193" s="13" t="s">
        <v>93</v>
      </c>
      <c r="AR193" s="13" t="s">
        <v>93</v>
      </c>
      <c r="AS193" s="13" t="s">
        <v>93</v>
      </c>
      <c r="AT193" s="13" t="s">
        <v>93</v>
      </c>
      <c r="AU193" s="13" t="s">
        <v>92</v>
      </c>
      <c r="AV193" s="13" t="s">
        <v>93</v>
      </c>
      <c r="AW193" s="13" t="s">
        <v>93</v>
      </c>
      <c r="AX193" s="13" t="s">
        <v>92</v>
      </c>
      <c r="AY193" s="15" t="s">
        <v>969</v>
      </c>
      <c r="AZ193" s="15" t="s">
        <v>92</v>
      </c>
      <c r="BA193" s="9" t="s">
        <v>970</v>
      </c>
      <c r="BB193" s="8" t="s">
        <v>155</v>
      </c>
      <c r="BC193" s="15" t="s">
        <v>92</v>
      </c>
      <c r="BD193" s="14" t="s">
        <v>93</v>
      </c>
      <c r="BE193" s="13" t="s">
        <v>92</v>
      </c>
      <c r="BF193" s="13" t="s">
        <v>92</v>
      </c>
      <c r="BG193" s="13" t="s">
        <v>92</v>
      </c>
      <c r="BH193" s="13" t="s">
        <v>92</v>
      </c>
      <c r="BI193" s="13" t="s">
        <v>93</v>
      </c>
      <c r="BJ193" s="13" t="s">
        <v>92</v>
      </c>
      <c r="BK193" s="14" t="s">
        <v>482</v>
      </c>
      <c r="BL193" s="13" t="s">
        <v>92</v>
      </c>
      <c r="BM193" s="13" t="s">
        <v>92</v>
      </c>
      <c r="BN193" s="13" t="s">
        <v>92</v>
      </c>
      <c r="BO193" s="13" t="s">
        <v>93</v>
      </c>
      <c r="BP193" s="13" t="s">
        <v>92</v>
      </c>
      <c r="BQ193" s="8" t="s">
        <v>92</v>
      </c>
      <c r="BR193" s="8" t="s">
        <v>92</v>
      </c>
      <c r="BS193" s="8" t="s">
        <v>93</v>
      </c>
      <c r="BT193" s="8" t="s">
        <v>93</v>
      </c>
      <c r="BU193" s="8" t="s">
        <v>93</v>
      </c>
      <c r="BV193" s="8" t="s">
        <v>93</v>
      </c>
      <c r="BW193" s="15" t="s">
        <v>92</v>
      </c>
      <c r="BX193" s="15" t="s">
        <v>92</v>
      </c>
      <c r="BY193" s="15" t="s">
        <v>92</v>
      </c>
      <c r="BZ193" s="8" t="s">
        <v>93</v>
      </c>
      <c r="CA193" s="15" t="s">
        <v>92</v>
      </c>
      <c r="CB193" s="17" t="s">
        <v>178</v>
      </c>
      <c r="CC193" s="17" t="s">
        <v>115</v>
      </c>
      <c r="CD193" s="17" t="s">
        <v>106</v>
      </c>
      <c r="CE193" s="20" t="s">
        <v>116</v>
      </c>
      <c r="CF193" s="18"/>
      <c r="CG193" s="18"/>
      <c r="CH193" s="14"/>
    </row>
    <row r="194">
      <c r="A194" s="8"/>
      <c r="B194" s="16" t="s">
        <v>939</v>
      </c>
      <c r="C194" s="10" t="s">
        <v>940</v>
      </c>
      <c r="D194" s="9" t="s">
        <v>87</v>
      </c>
      <c r="E194" s="11" t="s">
        <v>971</v>
      </c>
      <c r="F194" s="12"/>
      <c r="G194" s="14" t="s">
        <v>972</v>
      </c>
      <c r="H194" s="14" t="s">
        <v>110</v>
      </c>
      <c r="I194" s="14" t="s">
        <v>973</v>
      </c>
      <c r="J194" s="14" t="s">
        <v>93</v>
      </c>
      <c r="K194" s="14" t="s">
        <v>92</v>
      </c>
      <c r="L194" s="14" t="s">
        <v>93</v>
      </c>
      <c r="M194" s="14" t="s">
        <v>92</v>
      </c>
      <c r="N194" s="14" t="s">
        <v>92</v>
      </c>
      <c r="O194" s="14" t="s">
        <v>92</v>
      </c>
      <c r="P194" s="14" t="s">
        <v>92</v>
      </c>
      <c r="Q194" s="14" t="s">
        <v>92</v>
      </c>
      <c r="R194" s="14" t="s">
        <v>92</v>
      </c>
      <c r="S194" s="14" t="s">
        <v>93</v>
      </c>
      <c r="T194" s="14" t="s">
        <v>92</v>
      </c>
      <c r="U194" s="14" t="s">
        <v>92</v>
      </c>
      <c r="V194" s="14" t="s">
        <v>92</v>
      </c>
      <c r="W194" s="14" t="s">
        <v>92</v>
      </c>
      <c r="X194" s="14" t="s">
        <v>92</v>
      </c>
      <c r="Y194" s="14" t="s">
        <v>92</v>
      </c>
      <c r="Z194" s="14" t="s">
        <v>93</v>
      </c>
      <c r="AA194" s="14" t="s">
        <v>92</v>
      </c>
      <c r="AB194" s="8" t="s">
        <v>93</v>
      </c>
      <c r="AC194" s="8" t="s">
        <v>93</v>
      </c>
      <c r="AD194" s="8" t="s">
        <v>93</v>
      </c>
      <c r="AE194" s="14" t="s">
        <v>112</v>
      </c>
      <c r="AF194" s="14" t="s">
        <v>92</v>
      </c>
      <c r="AG194" s="13" t="s">
        <v>95</v>
      </c>
      <c r="AH194" s="8">
        <v>2014.0</v>
      </c>
      <c r="AI194" s="14" t="s">
        <v>93</v>
      </c>
      <c r="AJ194" s="14" t="s">
        <v>93</v>
      </c>
      <c r="AK194" s="14" t="s">
        <v>93</v>
      </c>
      <c r="AL194" s="14" t="s">
        <v>92</v>
      </c>
      <c r="AM194" s="8" t="s">
        <v>105</v>
      </c>
      <c r="AN194" s="13" t="s">
        <v>105</v>
      </c>
      <c r="AO194" s="15" t="s">
        <v>93</v>
      </c>
      <c r="AP194" s="15" t="s">
        <v>92</v>
      </c>
      <c r="AQ194" s="13" t="s">
        <v>93</v>
      </c>
      <c r="AR194" s="13" t="s">
        <v>93</v>
      </c>
      <c r="AS194" s="13" t="s">
        <v>93</v>
      </c>
      <c r="AT194" s="13" t="s">
        <v>93</v>
      </c>
      <c r="AU194" s="13" t="s">
        <v>92</v>
      </c>
      <c r="AV194" s="13" t="s">
        <v>93</v>
      </c>
      <c r="AW194" s="13" t="s">
        <v>93</v>
      </c>
      <c r="AX194" s="13" t="s">
        <v>92</v>
      </c>
      <c r="AY194" s="8" t="s">
        <v>974</v>
      </c>
      <c r="AZ194" s="8" t="s">
        <v>92</v>
      </c>
      <c r="BA194" s="16" t="s">
        <v>944</v>
      </c>
      <c r="BB194" s="8" t="s">
        <v>155</v>
      </c>
      <c r="BC194" s="15" t="s">
        <v>92</v>
      </c>
      <c r="BD194" s="14" t="s">
        <v>93</v>
      </c>
      <c r="BE194" s="14" t="s">
        <v>92</v>
      </c>
      <c r="BF194" s="14" t="s">
        <v>92</v>
      </c>
      <c r="BG194" s="14" t="s">
        <v>92</v>
      </c>
      <c r="BH194" s="14" t="s">
        <v>92</v>
      </c>
      <c r="BI194" s="14" t="s">
        <v>92</v>
      </c>
      <c r="BJ194" s="14" t="s">
        <v>92</v>
      </c>
      <c r="BK194" s="14" t="s">
        <v>975</v>
      </c>
      <c r="BL194" s="13" t="s">
        <v>93</v>
      </c>
      <c r="BM194" s="13" t="s">
        <v>92</v>
      </c>
      <c r="BN194" s="13" t="s">
        <v>92</v>
      </c>
      <c r="BO194" s="13" t="s">
        <v>93</v>
      </c>
      <c r="BP194" s="13" t="s">
        <v>92</v>
      </c>
      <c r="BQ194" s="8" t="s">
        <v>92</v>
      </c>
      <c r="BR194" s="8" t="s">
        <v>92</v>
      </c>
      <c r="BS194" s="8" t="s">
        <v>93</v>
      </c>
      <c r="BT194" s="8" t="s">
        <v>93</v>
      </c>
      <c r="BU194" s="8" t="s">
        <v>92</v>
      </c>
      <c r="BV194" s="8" t="s">
        <v>93</v>
      </c>
      <c r="BW194" s="8" t="s">
        <v>92</v>
      </c>
      <c r="BX194" s="8" t="s">
        <v>92</v>
      </c>
      <c r="BY194" s="8" t="s">
        <v>92</v>
      </c>
      <c r="BZ194" s="8" t="s">
        <v>93</v>
      </c>
      <c r="CA194" s="8" t="s">
        <v>92</v>
      </c>
      <c r="CB194" s="17" t="s">
        <v>115</v>
      </c>
      <c r="CC194" s="17" t="s">
        <v>106</v>
      </c>
      <c r="CD194" s="18"/>
      <c r="CE194" s="18"/>
      <c r="CF194" s="18"/>
      <c r="CG194" s="18"/>
      <c r="CH194" s="14"/>
    </row>
    <row r="195">
      <c r="A195" s="8"/>
      <c r="B195" s="16" t="s">
        <v>939</v>
      </c>
      <c r="C195" s="10" t="s">
        <v>940</v>
      </c>
      <c r="D195" s="9" t="s">
        <v>87</v>
      </c>
      <c r="E195" s="11" t="s">
        <v>976</v>
      </c>
      <c r="F195" s="12"/>
      <c r="G195" s="13" t="s">
        <v>977</v>
      </c>
      <c r="H195" s="13" t="s">
        <v>90</v>
      </c>
      <c r="I195" s="14" t="s">
        <v>978</v>
      </c>
      <c r="J195" s="13" t="s">
        <v>92</v>
      </c>
      <c r="K195" s="13" t="s">
        <v>92</v>
      </c>
      <c r="L195" s="13" t="s">
        <v>93</v>
      </c>
      <c r="M195" s="13" t="s">
        <v>93</v>
      </c>
      <c r="N195" s="14" t="s">
        <v>92</v>
      </c>
      <c r="O195" s="13" t="s">
        <v>93</v>
      </c>
      <c r="P195" s="13" t="s">
        <v>92</v>
      </c>
      <c r="Q195" s="13" t="s">
        <v>92</v>
      </c>
      <c r="R195" s="13" t="s">
        <v>92</v>
      </c>
      <c r="S195" s="13" t="s">
        <v>93</v>
      </c>
      <c r="T195" s="14" t="s">
        <v>92</v>
      </c>
      <c r="U195" s="13" t="s">
        <v>92</v>
      </c>
      <c r="V195" s="13" t="s">
        <v>92</v>
      </c>
      <c r="W195" s="13" t="s">
        <v>92</v>
      </c>
      <c r="X195" s="13" t="s">
        <v>92</v>
      </c>
      <c r="Y195" s="13" t="s">
        <v>92</v>
      </c>
      <c r="Z195" s="13" t="s">
        <v>92</v>
      </c>
      <c r="AA195" s="14" t="s">
        <v>93</v>
      </c>
      <c r="AB195" s="8" t="s">
        <v>93</v>
      </c>
      <c r="AC195" s="15" t="s">
        <v>92</v>
      </c>
      <c r="AD195" s="15" t="s">
        <v>92</v>
      </c>
      <c r="AE195" s="14" t="s">
        <v>103</v>
      </c>
      <c r="AF195" s="13" t="s">
        <v>92</v>
      </c>
      <c r="AG195" s="13" t="s">
        <v>95</v>
      </c>
      <c r="AH195" s="15">
        <v>2012.0</v>
      </c>
      <c r="AI195" s="13" t="s">
        <v>93</v>
      </c>
      <c r="AJ195" s="13" t="s">
        <v>93</v>
      </c>
      <c r="AK195" s="13" t="s">
        <v>93</v>
      </c>
      <c r="AL195" s="14" t="s">
        <v>92</v>
      </c>
      <c r="AM195" s="15" t="s">
        <v>105</v>
      </c>
      <c r="AN195" s="13" t="s">
        <v>105</v>
      </c>
      <c r="AO195" s="15" t="s">
        <v>93</v>
      </c>
      <c r="AP195" s="15" t="s">
        <v>92</v>
      </c>
      <c r="AQ195" s="13" t="s">
        <v>93</v>
      </c>
      <c r="AR195" s="13" t="s">
        <v>93</v>
      </c>
      <c r="AS195" s="13" t="s">
        <v>93</v>
      </c>
      <c r="AT195" s="13" t="s">
        <v>93</v>
      </c>
      <c r="AU195" s="13" t="s">
        <v>92</v>
      </c>
      <c r="AV195" s="13" t="s">
        <v>93</v>
      </c>
      <c r="AW195" s="13" t="s">
        <v>93</v>
      </c>
      <c r="AX195" s="13" t="s">
        <v>92</v>
      </c>
      <c r="AY195" s="15" t="s">
        <v>979</v>
      </c>
      <c r="AZ195" s="15" t="s">
        <v>93</v>
      </c>
      <c r="BA195" s="16" t="s">
        <v>980</v>
      </c>
      <c r="BB195" s="8" t="s">
        <v>155</v>
      </c>
      <c r="BC195" s="15" t="s">
        <v>92</v>
      </c>
      <c r="BD195" s="13" t="s">
        <v>93</v>
      </c>
      <c r="BE195" s="13" t="s">
        <v>92</v>
      </c>
      <c r="BF195" s="13" t="s">
        <v>92</v>
      </c>
      <c r="BG195" s="13" t="s">
        <v>92</v>
      </c>
      <c r="BH195" s="13" t="s">
        <v>92</v>
      </c>
      <c r="BI195" s="14" t="s">
        <v>92</v>
      </c>
      <c r="BJ195" s="13" t="s">
        <v>92</v>
      </c>
      <c r="BK195" s="14" t="s">
        <v>482</v>
      </c>
      <c r="BL195" s="13" t="s">
        <v>92</v>
      </c>
      <c r="BM195" s="13" t="s">
        <v>92</v>
      </c>
      <c r="BN195" s="13" t="s">
        <v>92</v>
      </c>
      <c r="BO195" s="13" t="s">
        <v>93</v>
      </c>
      <c r="BP195" s="13" t="s">
        <v>92</v>
      </c>
      <c r="BQ195" s="15" t="s">
        <v>92</v>
      </c>
      <c r="BR195" s="8" t="s">
        <v>93</v>
      </c>
      <c r="BS195" s="15" t="s">
        <v>93</v>
      </c>
      <c r="BT195" s="8" t="s">
        <v>92</v>
      </c>
      <c r="BU195" s="15" t="s">
        <v>92</v>
      </c>
      <c r="BV195" s="8" t="s">
        <v>92</v>
      </c>
      <c r="BW195" s="15" t="s">
        <v>92</v>
      </c>
      <c r="BX195" s="15" t="s">
        <v>92</v>
      </c>
      <c r="BY195" s="15" t="s">
        <v>92</v>
      </c>
      <c r="BZ195" s="15" t="s">
        <v>92</v>
      </c>
      <c r="CA195" s="15" t="s">
        <v>92</v>
      </c>
      <c r="CB195" s="17" t="s">
        <v>178</v>
      </c>
      <c r="CC195" s="17" t="s">
        <v>115</v>
      </c>
      <c r="CD195" s="17" t="s">
        <v>106</v>
      </c>
      <c r="CE195" s="18"/>
      <c r="CF195" s="18"/>
      <c r="CG195" s="18"/>
      <c r="CH195" s="14"/>
    </row>
    <row r="196">
      <c r="A196" s="8"/>
      <c r="B196" s="16" t="s">
        <v>939</v>
      </c>
      <c r="C196" s="10" t="s">
        <v>940</v>
      </c>
      <c r="D196" s="9" t="s">
        <v>87</v>
      </c>
      <c r="E196" s="11" t="s">
        <v>981</v>
      </c>
      <c r="F196" s="12"/>
      <c r="G196" s="13" t="s">
        <v>982</v>
      </c>
      <c r="H196" s="13" t="s">
        <v>90</v>
      </c>
      <c r="I196" s="13" t="s">
        <v>983</v>
      </c>
      <c r="J196" s="13" t="s">
        <v>93</v>
      </c>
      <c r="K196" s="13" t="s">
        <v>92</v>
      </c>
      <c r="L196" s="13" t="s">
        <v>93</v>
      </c>
      <c r="M196" s="14" t="s">
        <v>92</v>
      </c>
      <c r="N196" s="14" t="s">
        <v>92</v>
      </c>
      <c r="O196" s="14" t="s">
        <v>92</v>
      </c>
      <c r="P196" s="13" t="s">
        <v>92</v>
      </c>
      <c r="Q196" s="13" t="s">
        <v>92</v>
      </c>
      <c r="R196" s="13" t="s">
        <v>92</v>
      </c>
      <c r="S196" s="13" t="s">
        <v>92</v>
      </c>
      <c r="T196" s="13" t="s">
        <v>92</v>
      </c>
      <c r="U196" s="13" t="s">
        <v>92</v>
      </c>
      <c r="V196" s="13" t="s">
        <v>93</v>
      </c>
      <c r="W196" s="13" t="s">
        <v>92</v>
      </c>
      <c r="X196" s="13" t="s">
        <v>92</v>
      </c>
      <c r="Y196" s="13" t="s">
        <v>92</v>
      </c>
      <c r="Z196" s="13" t="s">
        <v>92</v>
      </c>
      <c r="AA196" s="14" t="s">
        <v>92</v>
      </c>
      <c r="AB196" s="8" t="s">
        <v>93</v>
      </c>
      <c r="AC196" s="15" t="s">
        <v>92</v>
      </c>
      <c r="AD196" s="8" t="s">
        <v>92</v>
      </c>
      <c r="AE196" s="13" t="s">
        <v>148</v>
      </c>
      <c r="AF196" s="13" t="s">
        <v>92</v>
      </c>
      <c r="AG196" s="13" t="s">
        <v>95</v>
      </c>
      <c r="AH196" s="8" t="s">
        <v>105</v>
      </c>
      <c r="AI196" s="13" t="s">
        <v>92</v>
      </c>
      <c r="AJ196" s="13" t="s">
        <v>93</v>
      </c>
      <c r="AK196" s="13" t="s">
        <v>93</v>
      </c>
      <c r="AL196" s="14" t="s">
        <v>92</v>
      </c>
      <c r="AM196" s="15" t="s">
        <v>105</v>
      </c>
      <c r="AN196" s="13" t="s">
        <v>105</v>
      </c>
      <c r="AO196" s="15" t="s">
        <v>93</v>
      </c>
      <c r="AP196" s="15" t="s">
        <v>92</v>
      </c>
      <c r="AQ196" s="13" t="s">
        <v>93</v>
      </c>
      <c r="AR196" s="13" t="s">
        <v>93</v>
      </c>
      <c r="AS196" s="13" t="s">
        <v>93</v>
      </c>
      <c r="AT196" s="13" t="s">
        <v>93</v>
      </c>
      <c r="AU196" s="13" t="s">
        <v>92</v>
      </c>
      <c r="AV196" s="13" t="s">
        <v>93</v>
      </c>
      <c r="AW196" s="13" t="s">
        <v>93</v>
      </c>
      <c r="AX196" s="13" t="s">
        <v>92</v>
      </c>
      <c r="AY196" s="15" t="s">
        <v>95</v>
      </c>
      <c r="AZ196" s="15" t="s">
        <v>95</v>
      </c>
      <c r="BA196" s="16" t="s">
        <v>944</v>
      </c>
      <c r="BB196" s="8" t="s">
        <v>155</v>
      </c>
      <c r="BC196" s="15" t="s">
        <v>92</v>
      </c>
      <c r="BD196" s="13" t="s">
        <v>92</v>
      </c>
      <c r="BE196" s="13" t="s">
        <v>93</v>
      </c>
      <c r="BF196" s="13" t="s">
        <v>92</v>
      </c>
      <c r="BG196" s="13" t="s">
        <v>92</v>
      </c>
      <c r="BH196" s="13" t="s">
        <v>92</v>
      </c>
      <c r="BI196" s="13" t="s">
        <v>92</v>
      </c>
      <c r="BJ196" s="13" t="s">
        <v>92</v>
      </c>
      <c r="BK196" s="14" t="s">
        <v>945</v>
      </c>
      <c r="BL196" s="13" t="s">
        <v>92</v>
      </c>
      <c r="BM196" s="13" t="s">
        <v>92</v>
      </c>
      <c r="BN196" s="13" t="s">
        <v>92</v>
      </c>
      <c r="BO196" s="13" t="s">
        <v>93</v>
      </c>
      <c r="BP196" s="13" t="s">
        <v>92</v>
      </c>
      <c r="BQ196" s="15" t="s">
        <v>92</v>
      </c>
      <c r="BR196" s="15" t="s">
        <v>92</v>
      </c>
      <c r="BS196" s="15" t="s">
        <v>93</v>
      </c>
      <c r="BT196" s="15" t="s">
        <v>92</v>
      </c>
      <c r="BU196" s="15" t="s">
        <v>92</v>
      </c>
      <c r="BV196" s="15" t="s">
        <v>92</v>
      </c>
      <c r="BW196" s="15" t="s">
        <v>93</v>
      </c>
      <c r="BX196" s="15" t="s">
        <v>92</v>
      </c>
      <c r="BY196" s="15" t="s">
        <v>92</v>
      </c>
      <c r="BZ196" s="15" t="s">
        <v>92</v>
      </c>
      <c r="CA196" s="15" t="s">
        <v>92</v>
      </c>
      <c r="CB196" s="17" t="s">
        <v>115</v>
      </c>
      <c r="CC196" s="17" t="s">
        <v>106</v>
      </c>
      <c r="CD196" s="18"/>
      <c r="CE196" s="18"/>
      <c r="CF196" s="18"/>
      <c r="CG196" s="18"/>
      <c r="CH196" s="14"/>
    </row>
    <row r="197">
      <c r="A197" s="8"/>
      <c r="B197" s="16" t="s">
        <v>939</v>
      </c>
      <c r="C197" s="10" t="s">
        <v>940</v>
      </c>
      <c r="D197" s="9" t="s">
        <v>87</v>
      </c>
      <c r="E197" s="11" t="s">
        <v>984</v>
      </c>
      <c r="F197" s="12"/>
      <c r="G197" s="14" t="s">
        <v>985</v>
      </c>
      <c r="H197" s="14" t="s">
        <v>90</v>
      </c>
      <c r="I197" s="14" t="s">
        <v>986</v>
      </c>
      <c r="J197" s="14" t="s">
        <v>93</v>
      </c>
      <c r="K197" s="14" t="s">
        <v>92</v>
      </c>
      <c r="L197" s="14" t="s">
        <v>93</v>
      </c>
      <c r="M197" s="14" t="s">
        <v>93</v>
      </c>
      <c r="N197" s="14" t="s">
        <v>92</v>
      </c>
      <c r="O197" s="14" t="s">
        <v>92</v>
      </c>
      <c r="P197" s="14" t="s">
        <v>92</v>
      </c>
      <c r="Q197" s="14" t="s">
        <v>92</v>
      </c>
      <c r="R197" s="14" t="s">
        <v>92</v>
      </c>
      <c r="S197" s="14" t="s">
        <v>93</v>
      </c>
      <c r="T197" s="14" t="s">
        <v>92</v>
      </c>
      <c r="U197" s="14" t="s">
        <v>92</v>
      </c>
      <c r="V197" s="14" t="s">
        <v>92</v>
      </c>
      <c r="W197" s="14" t="s">
        <v>92</v>
      </c>
      <c r="X197" s="14" t="s">
        <v>92</v>
      </c>
      <c r="Y197" s="14" t="s">
        <v>92</v>
      </c>
      <c r="Z197" s="14" t="s">
        <v>93</v>
      </c>
      <c r="AA197" s="14" t="s">
        <v>92</v>
      </c>
      <c r="AB197" s="8" t="s">
        <v>93</v>
      </c>
      <c r="AC197" s="8" t="s">
        <v>93</v>
      </c>
      <c r="AD197" s="8" t="s">
        <v>92</v>
      </c>
      <c r="AE197" s="14" t="s">
        <v>112</v>
      </c>
      <c r="AF197" s="14" t="s">
        <v>92</v>
      </c>
      <c r="AG197" s="14" t="s">
        <v>95</v>
      </c>
      <c r="AH197" s="8" t="s">
        <v>105</v>
      </c>
      <c r="AI197" s="14" t="s">
        <v>92</v>
      </c>
      <c r="AJ197" s="14" t="s">
        <v>92</v>
      </c>
      <c r="AK197" s="14" t="s">
        <v>92</v>
      </c>
      <c r="AL197" s="14" t="s">
        <v>93</v>
      </c>
      <c r="AM197" s="8" t="s">
        <v>105</v>
      </c>
      <c r="AN197" s="14" t="s">
        <v>105</v>
      </c>
      <c r="AO197" s="8" t="s">
        <v>105</v>
      </c>
      <c r="AP197" s="15" t="s">
        <v>92</v>
      </c>
      <c r="AQ197" s="13" t="s">
        <v>93</v>
      </c>
      <c r="AR197" s="13" t="s">
        <v>93</v>
      </c>
      <c r="AS197" s="13" t="s">
        <v>93</v>
      </c>
      <c r="AT197" s="13" t="s">
        <v>93</v>
      </c>
      <c r="AU197" s="13" t="s">
        <v>92</v>
      </c>
      <c r="AV197" s="13" t="s">
        <v>93</v>
      </c>
      <c r="AW197" s="13" t="s">
        <v>93</v>
      </c>
      <c r="AX197" s="13" t="s">
        <v>92</v>
      </c>
      <c r="AY197" s="8" t="s">
        <v>987</v>
      </c>
      <c r="AZ197" s="8" t="s">
        <v>93</v>
      </c>
      <c r="BA197" s="9" t="s">
        <v>988</v>
      </c>
      <c r="BB197" s="8" t="s">
        <v>238</v>
      </c>
      <c r="BC197" s="8" t="s">
        <v>92</v>
      </c>
      <c r="BD197" s="14" t="s">
        <v>93</v>
      </c>
      <c r="BE197" s="13" t="s">
        <v>92</v>
      </c>
      <c r="BF197" s="13" t="s">
        <v>92</v>
      </c>
      <c r="BG197" s="13" t="s">
        <v>92</v>
      </c>
      <c r="BH197" s="13" t="s">
        <v>92</v>
      </c>
      <c r="BI197" s="14" t="s">
        <v>92</v>
      </c>
      <c r="BJ197" s="13" t="s">
        <v>92</v>
      </c>
      <c r="BK197" s="14" t="s">
        <v>975</v>
      </c>
      <c r="BL197" s="13" t="s">
        <v>93</v>
      </c>
      <c r="BM197" s="13" t="s">
        <v>92</v>
      </c>
      <c r="BN197" s="13" t="s">
        <v>92</v>
      </c>
      <c r="BO197" s="13" t="s">
        <v>93</v>
      </c>
      <c r="BP197" s="13" t="s">
        <v>92</v>
      </c>
      <c r="BQ197" s="8" t="s">
        <v>92</v>
      </c>
      <c r="BR197" s="8" t="s">
        <v>92</v>
      </c>
      <c r="BS197" s="8" t="s">
        <v>92</v>
      </c>
      <c r="BT197" s="8" t="s">
        <v>93</v>
      </c>
      <c r="BU197" s="8" t="s">
        <v>92</v>
      </c>
      <c r="BV197" s="8" t="s">
        <v>92</v>
      </c>
      <c r="BW197" s="8" t="s">
        <v>92</v>
      </c>
      <c r="BX197" s="8" t="s">
        <v>92</v>
      </c>
      <c r="BY197" s="8" t="s">
        <v>92</v>
      </c>
      <c r="BZ197" s="8" t="s">
        <v>93</v>
      </c>
      <c r="CA197" s="8" t="s">
        <v>93</v>
      </c>
      <c r="CB197" s="20" t="s">
        <v>116</v>
      </c>
      <c r="CC197" s="17"/>
      <c r="CD197" s="18"/>
      <c r="CE197" s="18"/>
      <c r="CF197" s="18"/>
      <c r="CG197" s="18"/>
      <c r="CH197" s="14"/>
    </row>
    <row r="198">
      <c r="A198" s="8"/>
      <c r="B198" s="16" t="s">
        <v>939</v>
      </c>
      <c r="C198" s="10" t="s">
        <v>940</v>
      </c>
      <c r="D198" s="9" t="s">
        <v>87</v>
      </c>
      <c r="E198" s="11" t="s">
        <v>989</v>
      </c>
      <c r="F198" s="12"/>
      <c r="G198" s="13" t="s">
        <v>990</v>
      </c>
      <c r="H198" s="13" t="s">
        <v>90</v>
      </c>
      <c r="I198" s="14" t="s">
        <v>991</v>
      </c>
      <c r="J198" s="13" t="s">
        <v>92</v>
      </c>
      <c r="K198" s="13" t="s">
        <v>92</v>
      </c>
      <c r="L198" s="14" t="s">
        <v>93</v>
      </c>
      <c r="M198" s="14" t="s">
        <v>92</v>
      </c>
      <c r="N198" s="14" t="s">
        <v>92</v>
      </c>
      <c r="O198" s="13" t="s">
        <v>92</v>
      </c>
      <c r="P198" s="13" t="s">
        <v>93</v>
      </c>
      <c r="Q198" s="13" t="s">
        <v>92</v>
      </c>
      <c r="R198" s="13" t="s">
        <v>92</v>
      </c>
      <c r="S198" s="14" t="s">
        <v>93</v>
      </c>
      <c r="T198" s="13" t="s">
        <v>92</v>
      </c>
      <c r="U198" s="13" t="s">
        <v>92</v>
      </c>
      <c r="V198" s="13" t="s">
        <v>92</v>
      </c>
      <c r="W198" s="13" t="s">
        <v>92</v>
      </c>
      <c r="X198" s="13" t="s">
        <v>92</v>
      </c>
      <c r="Y198" s="13" t="s">
        <v>92</v>
      </c>
      <c r="Z198" s="13" t="s">
        <v>92</v>
      </c>
      <c r="AA198" s="14" t="s">
        <v>92</v>
      </c>
      <c r="AB198" s="8" t="s">
        <v>93</v>
      </c>
      <c r="AC198" s="15" t="s">
        <v>92</v>
      </c>
      <c r="AD198" s="15" t="s">
        <v>92</v>
      </c>
      <c r="AE198" s="14" t="s">
        <v>103</v>
      </c>
      <c r="AF198" s="13" t="s">
        <v>92</v>
      </c>
      <c r="AG198" s="13" t="s">
        <v>95</v>
      </c>
      <c r="AH198" s="15">
        <v>2022.0</v>
      </c>
      <c r="AI198" s="13" t="s">
        <v>92</v>
      </c>
      <c r="AJ198" s="13" t="s">
        <v>92</v>
      </c>
      <c r="AK198" s="13" t="s">
        <v>93</v>
      </c>
      <c r="AL198" s="14" t="s">
        <v>92</v>
      </c>
      <c r="AM198" s="15" t="s">
        <v>105</v>
      </c>
      <c r="AN198" s="13" t="s">
        <v>105</v>
      </c>
      <c r="AO198" s="15" t="s">
        <v>105</v>
      </c>
      <c r="AP198" s="15" t="s">
        <v>92</v>
      </c>
      <c r="AQ198" s="13" t="s">
        <v>93</v>
      </c>
      <c r="AR198" s="13" t="s">
        <v>93</v>
      </c>
      <c r="AS198" s="13" t="s">
        <v>93</v>
      </c>
      <c r="AT198" s="13" t="s">
        <v>93</v>
      </c>
      <c r="AU198" s="13" t="s">
        <v>92</v>
      </c>
      <c r="AV198" s="13" t="s">
        <v>93</v>
      </c>
      <c r="AW198" s="13" t="s">
        <v>93</v>
      </c>
      <c r="AX198" s="13" t="s">
        <v>92</v>
      </c>
      <c r="AY198" s="15" t="s">
        <v>95</v>
      </c>
      <c r="AZ198" s="8" t="s">
        <v>95</v>
      </c>
      <c r="BA198" s="16" t="s">
        <v>939</v>
      </c>
      <c r="BB198" s="8" t="s">
        <v>155</v>
      </c>
      <c r="BC198" s="15" t="s">
        <v>92</v>
      </c>
      <c r="BD198" s="14" t="s">
        <v>93</v>
      </c>
      <c r="BE198" s="13" t="s">
        <v>92</v>
      </c>
      <c r="BF198" s="13" t="s">
        <v>92</v>
      </c>
      <c r="BG198" s="13" t="s">
        <v>92</v>
      </c>
      <c r="BH198" s="13" t="s">
        <v>92</v>
      </c>
      <c r="BI198" s="14" t="s">
        <v>92</v>
      </c>
      <c r="BJ198" s="13" t="s">
        <v>92</v>
      </c>
      <c r="BK198" s="14" t="s">
        <v>992</v>
      </c>
      <c r="BL198" s="13" t="s">
        <v>93</v>
      </c>
      <c r="BM198" s="13" t="s">
        <v>92</v>
      </c>
      <c r="BN198" s="13" t="s">
        <v>92</v>
      </c>
      <c r="BO198" s="13" t="s">
        <v>93</v>
      </c>
      <c r="BP198" s="13" t="s">
        <v>92</v>
      </c>
      <c r="BQ198" s="15" t="s">
        <v>92</v>
      </c>
      <c r="BR198" s="15" t="s">
        <v>92</v>
      </c>
      <c r="BS198" s="15" t="s">
        <v>93</v>
      </c>
      <c r="BT198" s="15" t="s">
        <v>92</v>
      </c>
      <c r="BU198" s="15" t="s">
        <v>92</v>
      </c>
      <c r="BV198" s="15" t="s">
        <v>92</v>
      </c>
      <c r="BW198" s="15" t="s">
        <v>92</v>
      </c>
      <c r="BX198" s="15" t="s">
        <v>92</v>
      </c>
      <c r="BY198" s="15" t="s">
        <v>92</v>
      </c>
      <c r="BZ198" s="15" t="s">
        <v>92</v>
      </c>
      <c r="CA198" s="15" t="s">
        <v>92</v>
      </c>
      <c r="CB198" s="17" t="s">
        <v>106</v>
      </c>
      <c r="CC198" s="24" t="s">
        <v>993</v>
      </c>
      <c r="CD198" s="18"/>
      <c r="CE198" s="18"/>
      <c r="CF198" s="18"/>
      <c r="CG198" s="18"/>
      <c r="CH198" s="14"/>
    </row>
    <row r="199">
      <c r="A199" s="8"/>
      <c r="B199" s="16" t="s">
        <v>994</v>
      </c>
      <c r="C199" s="10" t="s">
        <v>995</v>
      </c>
      <c r="D199" s="9" t="s">
        <v>87</v>
      </c>
      <c r="E199" s="11" t="s">
        <v>996</v>
      </c>
      <c r="F199" s="12"/>
      <c r="G199" s="13" t="s">
        <v>997</v>
      </c>
      <c r="H199" s="13" t="s">
        <v>90</v>
      </c>
      <c r="I199" s="13" t="s">
        <v>998</v>
      </c>
      <c r="J199" s="13" t="s">
        <v>92</v>
      </c>
      <c r="K199" s="13" t="s">
        <v>92</v>
      </c>
      <c r="L199" s="13" t="s">
        <v>92</v>
      </c>
      <c r="M199" s="14" t="s">
        <v>92</v>
      </c>
      <c r="N199" s="14" t="s">
        <v>92</v>
      </c>
      <c r="O199" s="13" t="s">
        <v>92</v>
      </c>
      <c r="P199" s="14" t="s">
        <v>92</v>
      </c>
      <c r="Q199" s="14" t="s">
        <v>93</v>
      </c>
      <c r="R199" s="13" t="s">
        <v>92</v>
      </c>
      <c r="S199" s="13" t="s">
        <v>92</v>
      </c>
      <c r="T199" s="13" t="s">
        <v>92</v>
      </c>
      <c r="U199" s="13" t="s">
        <v>93</v>
      </c>
      <c r="V199" s="13" t="s">
        <v>92</v>
      </c>
      <c r="W199" s="13" t="s">
        <v>92</v>
      </c>
      <c r="X199" s="13" t="s">
        <v>92</v>
      </c>
      <c r="Y199" s="13" t="s">
        <v>92</v>
      </c>
      <c r="Z199" s="13" t="s">
        <v>92</v>
      </c>
      <c r="AA199" s="14" t="s">
        <v>92</v>
      </c>
      <c r="AB199" s="15" t="s">
        <v>93</v>
      </c>
      <c r="AC199" s="15" t="s">
        <v>92</v>
      </c>
      <c r="AD199" s="15" t="s">
        <v>92</v>
      </c>
      <c r="AE199" s="13" t="s">
        <v>94</v>
      </c>
      <c r="AF199" s="13" t="s">
        <v>92</v>
      </c>
      <c r="AG199" s="13" t="s">
        <v>95</v>
      </c>
      <c r="AH199" s="15">
        <v>2021.0</v>
      </c>
      <c r="AI199" s="13" t="s">
        <v>105</v>
      </c>
      <c r="AJ199" s="13" t="s">
        <v>93</v>
      </c>
      <c r="AK199" s="13" t="s">
        <v>92</v>
      </c>
      <c r="AL199" s="13" t="s">
        <v>92</v>
      </c>
      <c r="AM199" s="15">
        <v>2021.0</v>
      </c>
      <c r="AN199" s="13" t="s">
        <v>96</v>
      </c>
      <c r="AO199" s="15" t="s">
        <v>92</v>
      </c>
      <c r="AP199" s="15" t="s">
        <v>93</v>
      </c>
      <c r="AQ199" s="13" t="s">
        <v>93</v>
      </c>
      <c r="AR199" s="13" t="s">
        <v>93</v>
      </c>
      <c r="AS199" s="14" t="s">
        <v>92</v>
      </c>
      <c r="AT199" s="13" t="s">
        <v>93</v>
      </c>
      <c r="AU199" s="13" t="s">
        <v>93</v>
      </c>
      <c r="AV199" s="13" t="s">
        <v>93</v>
      </c>
      <c r="AW199" s="13" t="s">
        <v>93</v>
      </c>
      <c r="AX199" s="13" t="s">
        <v>92</v>
      </c>
      <c r="AY199" s="15" t="s">
        <v>999</v>
      </c>
      <c r="AZ199" s="15" t="s">
        <v>92</v>
      </c>
      <c r="BA199" s="16" t="s">
        <v>1000</v>
      </c>
      <c r="BB199" s="8" t="s">
        <v>95</v>
      </c>
      <c r="BC199" s="8" t="s">
        <v>93</v>
      </c>
      <c r="BD199" s="13" t="s">
        <v>92</v>
      </c>
      <c r="BE199" s="13" t="s">
        <v>92</v>
      </c>
      <c r="BF199" s="13" t="s">
        <v>92</v>
      </c>
      <c r="BG199" s="13" t="s">
        <v>92</v>
      </c>
      <c r="BH199" s="13" t="s">
        <v>92</v>
      </c>
      <c r="BI199" s="13" t="s">
        <v>93</v>
      </c>
      <c r="BJ199" s="13" t="s">
        <v>92</v>
      </c>
      <c r="BK199" s="14" t="s">
        <v>482</v>
      </c>
      <c r="BL199" s="13" t="s">
        <v>92</v>
      </c>
      <c r="BM199" s="13" t="s">
        <v>92</v>
      </c>
      <c r="BN199" s="13" t="s">
        <v>92</v>
      </c>
      <c r="BO199" s="13" t="s">
        <v>93</v>
      </c>
      <c r="BP199" s="13" t="s">
        <v>92</v>
      </c>
      <c r="BQ199" s="15" t="s">
        <v>93</v>
      </c>
      <c r="BR199" s="15" t="s">
        <v>92</v>
      </c>
      <c r="BS199" s="15" t="s">
        <v>92</v>
      </c>
      <c r="BT199" s="15" t="s">
        <v>92</v>
      </c>
      <c r="BU199" s="15" t="s">
        <v>92</v>
      </c>
      <c r="BV199" s="15" t="s">
        <v>92</v>
      </c>
      <c r="BW199" s="15" t="s">
        <v>92</v>
      </c>
      <c r="BX199" s="15" t="s">
        <v>92</v>
      </c>
      <c r="BY199" s="15" t="s">
        <v>92</v>
      </c>
      <c r="BZ199" s="15" t="s">
        <v>92</v>
      </c>
      <c r="CA199" s="15" t="s">
        <v>92</v>
      </c>
      <c r="CB199" s="17" t="s">
        <v>1001</v>
      </c>
      <c r="CC199" s="17"/>
      <c r="CD199" s="18"/>
      <c r="CE199" s="18"/>
      <c r="CF199" s="18"/>
      <c r="CG199" s="18"/>
      <c r="CH199" s="14"/>
    </row>
    <row r="200">
      <c r="A200" s="8"/>
      <c r="B200" s="16" t="s">
        <v>994</v>
      </c>
      <c r="C200" s="10" t="s">
        <v>995</v>
      </c>
      <c r="D200" s="9" t="s">
        <v>87</v>
      </c>
      <c r="E200" s="11" t="s">
        <v>1002</v>
      </c>
      <c r="F200" s="10" t="s">
        <v>187</v>
      </c>
      <c r="G200" s="9" t="s">
        <v>188</v>
      </c>
      <c r="H200" s="14" t="s">
        <v>189</v>
      </c>
      <c r="I200" s="13" t="s">
        <v>1003</v>
      </c>
      <c r="J200" s="13" t="s">
        <v>92</v>
      </c>
      <c r="K200" s="13" t="s">
        <v>92</v>
      </c>
      <c r="L200" s="14" t="s">
        <v>93</v>
      </c>
      <c r="M200" s="13" t="s">
        <v>93</v>
      </c>
      <c r="N200" s="14" t="s">
        <v>92</v>
      </c>
      <c r="O200" s="13" t="s">
        <v>92</v>
      </c>
      <c r="P200" s="13" t="s">
        <v>93</v>
      </c>
      <c r="Q200" s="13" t="s">
        <v>92</v>
      </c>
      <c r="R200" s="13" t="s">
        <v>93</v>
      </c>
      <c r="S200" s="13" t="s">
        <v>92</v>
      </c>
      <c r="T200" s="13" t="s">
        <v>92</v>
      </c>
      <c r="U200" s="13" t="s">
        <v>93</v>
      </c>
      <c r="V200" s="13" t="s">
        <v>92</v>
      </c>
      <c r="W200" s="13" t="s">
        <v>92</v>
      </c>
      <c r="X200" s="13" t="s">
        <v>92</v>
      </c>
      <c r="Y200" s="13" t="s">
        <v>92</v>
      </c>
      <c r="Z200" s="13" t="s">
        <v>92</v>
      </c>
      <c r="AA200" s="14" t="s">
        <v>92</v>
      </c>
      <c r="AB200" s="15" t="s">
        <v>93</v>
      </c>
      <c r="AC200" s="15" t="s">
        <v>92</v>
      </c>
      <c r="AD200" s="15" t="s">
        <v>92</v>
      </c>
      <c r="AE200" s="13" t="s">
        <v>94</v>
      </c>
      <c r="AF200" s="13" t="s">
        <v>92</v>
      </c>
      <c r="AG200" s="13" t="s">
        <v>95</v>
      </c>
      <c r="AH200" s="8" t="s">
        <v>105</v>
      </c>
      <c r="AI200" s="13" t="s">
        <v>105</v>
      </c>
      <c r="AJ200" s="13" t="s">
        <v>93</v>
      </c>
      <c r="AK200" s="13" t="s">
        <v>93</v>
      </c>
      <c r="AL200" s="13" t="s">
        <v>93</v>
      </c>
      <c r="AM200" s="15" t="s">
        <v>95</v>
      </c>
      <c r="AN200" s="13" t="s">
        <v>114</v>
      </c>
      <c r="AO200" s="15" t="s">
        <v>93</v>
      </c>
      <c r="AP200" s="15" t="s">
        <v>92</v>
      </c>
      <c r="AQ200" s="13" t="s">
        <v>93</v>
      </c>
      <c r="AR200" s="13" t="s">
        <v>93</v>
      </c>
      <c r="AS200" s="14" t="s">
        <v>92</v>
      </c>
      <c r="AT200" s="13" t="s">
        <v>93</v>
      </c>
      <c r="AU200" s="13" t="s">
        <v>93</v>
      </c>
      <c r="AV200" s="13" t="s">
        <v>93</v>
      </c>
      <c r="AW200" s="13" t="s">
        <v>93</v>
      </c>
      <c r="AX200" s="13" t="s">
        <v>92</v>
      </c>
      <c r="AY200" s="15" t="s">
        <v>1004</v>
      </c>
      <c r="AZ200" s="15" t="s">
        <v>92</v>
      </c>
      <c r="BA200" s="16" t="s">
        <v>1005</v>
      </c>
      <c r="BB200" s="8" t="s">
        <v>95</v>
      </c>
      <c r="BC200" s="15" t="s">
        <v>93</v>
      </c>
      <c r="BD200" s="13" t="s">
        <v>92</v>
      </c>
      <c r="BE200" s="13" t="s">
        <v>92</v>
      </c>
      <c r="BF200" s="13" t="s">
        <v>92</v>
      </c>
      <c r="BG200" s="13" t="s">
        <v>92</v>
      </c>
      <c r="BH200" s="13" t="s">
        <v>92</v>
      </c>
      <c r="BI200" s="13" t="s">
        <v>93</v>
      </c>
      <c r="BJ200" s="13" t="s">
        <v>92</v>
      </c>
      <c r="BK200" s="14" t="s">
        <v>945</v>
      </c>
      <c r="BL200" s="13" t="s">
        <v>92</v>
      </c>
      <c r="BM200" s="13" t="s">
        <v>92</v>
      </c>
      <c r="BN200" s="13" t="s">
        <v>92</v>
      </c>
      <c r="BO200" s="13" t="s">
        <v>93</v>
      </c>
      <c r="BP200" s="13" t="s">
        <v>92</v>
      </c>
      <c r="BQ200" s="15" t="s">
        <v>93</v>
      </c>
      <c r="BR200" s="15" t="s">
        <v>92</v>
      </c>
      <c r="BS200" s="15" t="s">
        <v>92</v>
      </c>
      <c r="BT200" s="15" t="s">
        <v>92</v>
      </c>
      <c r="BU200" s="15" t="s">
        <v>92</v>
      </c>
      <c r="BV200" s="15" t="s">
        <v>92</v>
      </c>
      <c r="BW200" s="15" t="s">
        <v>92</v>
      </c>
      <c r="BX200" s="15" t="s">
        <v>92</v>
      </c>
      <c r="BY200" s="15" t="s">
        <v>92</v>
      </c>
      <c r="BZ200" s="15" t="s">
        <v>92</v>
      </c>
      <c r="CA200" s="15" t="s">
        <v>92</v>
      </c>
      <c r="CB200" s="17" t="s">
        <v>1001</v>
      </c>
      <c r="CC200" s="17" t="s">
        <v>1006</v>
      </c>
      <c r="CD200" s="24" t="s">
        <v>1007</v>
      </c>
      <c r="CE200" s="18"/>
      <c r="CF200" s="18"/>
      <c r="CG200" s="18"/>
      <c r="CH200" s="14"/>
    </row>
    <row r="201">
      <c r="A201" s="8"/>
      <c r="B201" s="16" t="s">
        <v>994</v>
      </c>
      <c r="C201" s="10" t="s">
        <v>995</v>
      </c>
      <c r="D201" s="9" t="s">
        <v>87</v>
      </c>
      <c r="E201" s="11" t="s">
        <v>1008</v>
      </c>
      <c r="F201" s="25"/>
      <c r="G201" s="16" t="s">
        <v>1009</v>
      </c>
      <c r="H201" s="13" t="s">
        <v>90</v>
      </c>
      <c r="I201" s="13" t="s">
        <v>1010</v>
      </c>
      <c r="J201" s="13" t="s">
        <v>92</v>
      </c>
      <c r="K201" s="13" t="s">
        <v>92</v>
      </c>
      <c r="L201" s="13" t="s">
        <v>93</v>
      </c>
      <c r="M201" s="14" t="s">
        <v>93</v>
      </c>
      <c r="N201" s="14" t="s">
        <v>92</v>
      </c>
      <c r="O201" s="14" t="s">
        <v>92</v>
      </c>
      <c r="P201" s="13" t="s">
        <v>92</v>
      </c>
      <c r="Q201" s="13" t="s">
        <v>92</v>
      </c>
      <c r="R201" s="13" t="s">
        <v>92</v>
      </c>
      <c r="S201" s="13" t="s">
        <v>92</v>
      </c>
      <c r="T201" s="14" t="s">
        <v>92</v>
      </c>
      <c r="U201" s="13" t="s">
        <v>92</v>
      </c>
      <c r="V201" s="13" t="s">
        <v>92</v>
      </c>
      <c r="W201" s="13" t="s">
        <v>92</v>
      </c>
      <c r="X201" s="13" t="s">
        <v>92</v>
      </c>
      <c r="Y201" s="13" t="s">
        <v>93</v>
      </c>
      <c r="Z201" s="14" t="s">
        <v>93</v>
      </c>
      <c r="AA201" s="14" t="s">
        <v>92</v>
      </c>
      <c r="AB201" s="15" t="s">
        <v>93</v>
      </c>
      <c r="AC201" s="15" t="s">
        <v>93</v>
      </c>
      <c r="AD201" s="15" t="s">
        <v>92</v>
      </c>
      <c r="AE201" s="13" t="s">
        <v>148</v>
      </c>
      <c r="AF201" s="13" t="s">
        <v>92</v>
      </c>
      <c r="AG201" s="13" t="s">
        <v>95</v>
      </c>
      <c r="AH201" s="15">
        <v>2017.0</v>
      </c>
      <c r="AI201" s="13" t="s">
        <v>105</v>
      </c>
      <c r="AJ201" s="13" t="s">
        <v>93</v>
      </c>
      <c r="AK201" s="13" t="s">
        <v>93</v>
      </c>
      <c r="AL201" s="13" t="s">
        <v>93</v>
      </c>
      <c r="AM201" s="15" t="s">
        <v>95</v>
      </c>
      <c r="AN201" s="13" t="s">
        <v>114</v>
      </c>
      <c r="AO201" s="15" t="s">
        <v>93</v>
      </c>
      <c r="AP201" s="15" t="s">
        <v>92</v>
      </c>
      <c r="AQ201" s="13" t="s">
        <v>93</v>
      </c>
      <c r="AR201" s="13" t="s">
        <v>93</v>
      </c>
      <c r="AS201" s="14" t="s">
        <v>92</v>
      </c>
      <c r="AT201" s="13" t="s">
        <v>93</v>
      </c>
      <c r="AU201" s="13" t="s">
        <v>93</v>
      </c>
      <c r="AV201" s="13" t="s">
        <v>93</v>
      </c>
      <c r="AW201" s="13" t="s">
        <v>93</v>
      </c>
      <c r="AX201" s="13" t="s">
        <v>92</v>
      </c>
      <c r="AY201" s="15" t="s">
        <v>1011</v>
      </c>
      <c r="AZ201" s="15" t="s">
        <v>93</v>
      </c>
      <c r="BA201" s="16" t="s">
        <v>994</v>
      </c>
      <c r="BB201" s="8" t="s">
        <v>155</v>
      </c>
      <c r="BC201" s="15" t="s">
        <v>92</v>
      </c>
      <c r="BD201" s="13" t="s">
        <v>92</v>
      </c>
      <c r="BE201" s="13" t="s">
        <v>92</v>
      </c>
      <c r="BF201" s="13" t="s">
        <v>92</v>
      </c>
      <c r="BG201" s="13" t="s">
        <v>92</v>
      </c>
      <c r="BH201" s="13" t="s">
        <v>92</v>
      </c>
      <c r="BI201" s="13" t="s">
        <v>93</v>
      </c>
      <c r="BJ201" s="13" t="s">
        <v>92</v>
      </c>
      <c r="BK201" s="14" t="s">
        <v>332</v>
      </c>
      <c r="BL201" s="13" t="s">
        <v>92</v>
      </c>
      <c r="BM201" s="13" t="s">
        <v>92</v>
      </c>
      <c r="BN201" s="13" t="s">
        <v>92</v>
      </c>
      <c r="BO201" s="13" t="s">
        <v>93</v>
      </c>
      <c r="BP201" s="13" t="s">
        <v>92</v>
      </c>
      <c r="BQ201" s="8" t="s">
        <v>92</v>
      </c>
      <c r="BR201" s="15" t="s">
        <v>92</v>
      </c>
      <c r="BS201" s="8" t="s">
        <v>93</v>
      </c>
      <c r="BT201" s="15" t="s">
        <v>93</v>
      </c>
      <c r="BU201" s="8" t="s">
        <v>93</v>
      </c>
      <c r="BV201" s="15" t="s">
        <v>93</v>
      </c>
      <c r="BW201" s="15" t="s">
        <v>92</v>
      </c>
      <c r="BX201" s="15" t="s">
        <v>92</v>
      </c>
      <c r="BY201" s="15" t="s">
        <v>92</v>
      </c>
      <c r="BZ201" s="8" t="s">
        <v>93</v>
      </c>
      <c r="CA201" s="8" t="s">
        <v>92</v>
      </c>
      <c r="CB201" s="17" t="s">
        <v>1001</v>
      </c>
      <c r="CC201" s="17" t="s">
        <v>1006</v>
      </c>
      <c r="CD201" s="18"/>
      <c r="CE201" s="18"/>
      <c r="CF201" s="18"/>
      <c r="CG201" s="18"/>
      <c r="CH201" s="14"/>
    </row>
    <row r="202">
      <c r="A202" s="8"/>
      <c r="B202" s="16" t="s">
        <v>994</v>
      </c>
      <c r="C202" s="10" t="s">
        <v>995</v>
      </c>
      <c r="D202" s="9" t="s">
        <v>87</v>
      </c>
      <c r="E202" s="11" t="s">
        <v>1012</v>
      </c>
      <c r="F202" s="12"/>
      <c r="G202" s="13" t="s">
        <v>1013</v>
      </c>
      <c r="H202" s="13" t="s">
        <v>90</v>
      </c>
      <c r="I202" s="13" t="s">
        <v>1014</v>
      </c>
      <c r="J202" s="13" t="s">
        <v>92</v>
      </c>
      <c r="K202" s="13" t="s">
        <v>92</v>
      </c>
      <c r="L202" s="13" t="s">
        <v>93</v>
      </c>
      <c r="M202" s="13" t="s">
        <v>93</v>
      </c>
      <c r="N202" s="14" t="s">
        <v>92</v>
      </c>
      <c r="O202" s="13" t="s">
        <v>93</v>
      </c>
      <c r="P202" s="13" t="s">
        <v>92</v>
      </c>
      <c r="Q202" s="13" t="s">
        <v>92</v>
      </c>
      <c r="R202" s="13" t="s">
        <v>92</v>
      </c>
      <c r="S202" s="13" t="s">
        <v>92</v>
      </c>
      <c r="T202" s="13" t="s">
        <v>92</v>
      </c>
      <c r="U202" s="13" t="s">
        <v>93</v>
      </c>
      <c r="V202" s="13" t="s">
        <v>92</v>
      </c>
      <c r="W202" s="13" t="s">
        <v>92</v>
      </c>
      <c r="X202" s="13" t="s">
        <v>92</v>
      </c>
      <c r="Y202" s="13" t="s">
        <v>92</v>
      </c>
      <c r="Z202" s="13" t="s">
        <v>92</v>
      </c>
      <c r="AA202" s="14" t="s">
        <v>93</v>
      </c>
      <c r="AB202" s="15" t="s">
        <v>93</v>
      </c>
      <c r="AC202" s="15" t="s">
        <v>92</v>
      </c>
      <c r="AD202" s="15" t="s">
        <v>92</v>
      </c>
      <c r="AE202" s="14" t="s">
        <v>103</v>
      </c>
      <c r="AF202" s="13" t="s">
        <v>92</v>
      </c>
      <c r="AG202" s="13" t="s">
        <v>95</v>
      </c>
      <c r="AH202" s="8" t="s">
        <v>105</v>
      </c>
      <c r="AI202" s="13" t="s">
        <v>105</v>
      </c>
      <c r="AJ202" s="13" t="s">
        <v>92</v>
      </c>
      <c r="AK202" s="13" t="s">
        <v>92</v>
      </c>
      <c r="AL202" s="13" t="s">
        <v>93</v>
      </c>
      <c r="AM202" s="8" t="s">
        <v>105</v>
      </c>
      <c r="AN202" s="14" t="s">
        <v>105</v>
      </c>
      <c r="AO202" s="8" t="s">
        <v>105</v>
      </c>
      <c r="AP202" s="15" t="s">
        <v>92</v>
      </c>
      <c r="AQ202" s="13" t="s">
        <v>93</v>
      </c>
      <c r="AR202" s="13" t="s">
        <v>93</v>
      </c>
      <c r="AS202" s="14" t="s">
        <v>92</v>
      </c>
      <c r="AT202" s="13" t="s">
        <v>93</v>
      </c>
      <c r="AU202" s="13" t="s">
        <v>93</v>
      </c>
      <c r="AV202" s="13" t="s">
        <v>93</v>
      </c>
      <c r="AW202" s="13" t="s">
        <v>93</v>
      </c>
      <c r="AX202" s="13" t="s">
        <v>92</v>
      </c>
      <c r="AY202" s="15" t="s">
        <v>95</v>
      </c>
      <c r="AZ202" s="15" t="s">
        <v>95</v>
      </c>
      <c r="BA202" s="16" t="s">
        <v>1015</v>
      </c>
      <c r="BB202" s="8" t="s">
        <v>105</v>
      </c>
      <c r="BC202" s="8" t="s">
        <v>105</v>
      </c>
      <c r="BD202" s="13" t="s">
        <v>92</v>
      </c>
      <c r="BE202" s="13" t="s">
        <v>92</v>
      </c>
      <c r="BF202" s="13" t="s">
        <v>92</v>
      </c>
      <c r="BG202" s="13" t="s">
        <v>92</v>
      </c>
      <c r="BH202" s="13" t="s">
        <v>92</v>
      </c>
      <c r="BI202" s="13" t="s">
        <v>93</v>
      </c>
      <c r="BJ202" s="13" t="s">
        <v>92</v>
      </c>
      <c r="BK202" s="14" t="s">
        <v>332</v>
      </c>
      <c r="BL202" s="13" t="s">
        <v>92</v>
      </c>
      <c r="BM202" s="13" t="s">
        <v>92</v>
      </c>
      <c r="BN202" s="13" t="s">
        <v>92</v>
      </c>
      <c r="BO202" s="13" t="s">
        <v>93</v>
      </c>
      <c r="BP202" s="13" t="s">
        <v>92</v>
      </c>
      <c r="BQ202" s="15" t="s">
        <v>93</v>
      </c>
      <c r="BR202" s="15" t="s">
        <v>92</v>
      </c>
      <c r="BS202" s="8" t="s">
        <v>93</v>
      </c>
      <c r="BT202" s="15" t="s">
        <v>92</v>
      </c>
      <c r="BU202" s="15" t="s">
        <v>92</v>
      </c>
      <c r="BV202" s="15" t="s">
        <v>92</v>
      </c>
      <c r="BW202" s="15" t="s">
        <v>92</v>
      </c>
      <c r="BX202" s="15" t="s">
        <v>92</v>
      </c>
      <c r="BY202" s="15" t="s">
        <v>92</v>
      </c>
      <c r="BZ202" s="15" t="s">
        <v>92</v>
      </c>
      <c r="CA202" s="15" t="s">
        <v>92</v>
      </c>
      <c r="CB202" s="17" t="s">
        <v>1006</v>
      </c>
      <c r="CC202" s="17"/>
      <c r="CD202" s="18"/>
      <c r="CE202" s="18"/>
      <c r="CF202" s="18"/>
      <c r="CG202" s="18"/>
      <c r="CH202" s="14"/>
    </row>
    <row r="203">
      <c r="A203" s="8"/>
      <c r="B203" s="16" t="s">
        <v>994</v>
      </c>
      <c r="C203" s="10" t="s">
        <v>995</v>
      </c>
      <c r="D203" s="9" t="s">
        <v>87</v>
      </c>
      <c r="E203" s="11" t="s">
        <v>1016</v>
      </c>
      <c r="F203" s="25"/>
      <c r="G203" s="16" t="s">
        <v>1017</v>
      </c>
      <c r="H203" s="13" t="s">
        <v>90</v>
      </c>
      <c r="I203" s="14" t="s">
        <v>1018</v>
      </c>
      <c r="J203" s="13" t="s">
        <v>92</v>
      </c>
      <c r="K203" s="13" t="s">
        <v>92</v>
      </c>
      <c r="L203" s="13" t="s">
        <v>93</v>
      </c>
      <c r="M203" s="13" t="s">
        <v>93</v>
      </c>
      <c r="N203" s="14" t="s">
        <v>92</v>
      </c>
      <c r="O203" s="14" t="s">
        <v>92</v>
      </c>
      <c r="P203" s="13" t="s">
        <v>92</v>
      </c>
      <c r="Q203" s="13" t="s">
        <v>92</v>
      </c>
      <c r="R203" s="13" t="s">
        <v>92</v>
      </c>
      <c r="S203" s="13" t="s">
        <v>92</v>
      </c>
      <c r="T203" s="13" t="s">
        <v>93</v>
      </c>
      <c r="U203" s="13" t="s">
        <v>92</v>
      </c>
      <c r="V203" s="13" t="s">
        <v>92</v>
      </c>
      <c r="W203" s="13" t="s">
        <v>92</v>
      </c>
      <c r="X203" s="13" t="s">
        <v>92</v>
      </c>
      <c r="Y203" s="13" t="s">
        <v>93</v>
      </c>
      <c r="Z203" s="14" t="s">
        <v>93</v>
      </c>
      <c r="AA203" s="14" t="s">
        <v>92</v>
      </c>
      <c r="AB203" s="15" t="s">
        <v>93</v>
      </c>
      <c r="AC203" s="15" t="s">
        <v>93</v>
      </c>
      <c r="AD203" s="15" t="s">
        <v>92</v>
      </c>
      <c r="AE203" s="13" t="s">
        <v>148</v>
      </c>
      <c r="AF203" s="13" t="s">
        <v>92</v>
      </c>
      <c r="AG203" s="13" t="s">
        <v>95</v>
      </c>
      <c r="AH203" s="8" t="s">
        <v>105</v>
      </c>
      <c r="AI203" s="14" t="s">
        <v>105</v>
      </c>
      <c r="AJ203" s="13" t="s">
        <v>92</v>
      </c>
      <c r="AK203" s="13" t="s">
        <v>92</v>
      </c>
      <c r="AL203" s="13" t="s">
        <v>93</v>
      </c>
      <c r="AM203" s="8" t="s">
        <v>105</v>
      </c>
      <c r="AN203" s="14" t="s">
        <v>105</v>
      </c>
      <c r="AO203" s="8" t="s">
        <v>105</v>
      </c>
      <c r="AP203" s="15" t="s">
        <v>92</v>
      </c>
      <c r="AQ203" s="13" t="s">
        <v>93</v>
      </c>
      <c r="AR203" s="13" t="s">
        <v>93</v>
      </c>
      <c r="AS203" s="14" t="s">
        <v>92</v>
      </c>
      <c r="AT203" s="13" t="s">
        <v>93</v>
      </c>
      <c r="AU203" s="13" t="s">
        <v>93</v>
      </c>
      <c r="AV203" s="13" t="s">
        <v>93</v>
      </c>
      <c r="AW203" s="13" t="s">
        <v>93</v>
      </c>
      <c r="AX203" s="13" t="s">
        <v>92</v>
      </c>
      <c r="AY203" s="15" t="s">
        <v>95</v>
      </c>
      <c r="AZ203" s="15" t="s">
        <v>95</v>
      </c>
      <c r="BA203" s="16" t="s">
        <v>994</v>
      </c>
      <c r="BB203" s="8" t="s">
        <v>155</v>
      </c>
      <c r="BC203" s="15" t="s">
        <v>92</v>
      </c>
      <c r="BD203" s="13" t="s">
        <v>92</v>
      </c>
      <c r="BE203" s="13" t="s">
        <v>92</v>
      </c>
      <c r="BF203" s="13" t="s">
        <v>92</v>
      </c>
      <c r="BG203" s="13" t="s">
        <v>92</v>
      </c>
      <c r="BH203" s="13" t="s">
        <v>92</v>
      </c>
      <c r="BI203" s="13" t="s">
        <v>93</v>
      </c>
      <c r="BJ203" s="13" t="s">
        <v>92</v>
      </c>
      <c r="BK203" s="14" t="s">
        <v>332</v>
      </c>
      <c r="BL203" s="13" t="s">
        <v>92</v>
      </c>
      <c r="BM203" s="13" t="s">
        <v>92</v>
      </c>
      <c r="BN203" s="13" t="s">
        <v>92</v>
      </c>
      <c r="BO203" s="13" t="s">
        <v>93</v>
      </c>
      <c r="BP203" s="13" t="s">
        <v>92</v>
      </c>
      <c r="BQ203" s="8" t="s">
        <v>92</v>
      </c>
      <c r="BR203" s="8" t="s">
        <v>92</v>
      </c>
      <c r="BS203" s="8" t="s">
        <v>93</v>
      </c>
      <c r="BT203" s="8" t="s">
        <v>93</v>
      </c>
      <c r="BU203" s="8" t="s">
        <v>92</v>
      </c>
      <c r="BV203" s="15" t="s">
        <v>93</v>
      </c>
      <c r="BW203" s="15" t="s">
        <v>92</v>
      </c>
      <c r="BX203" s="15" t="s">
        <v>92</v>
      </c>
      <c r="BY203" s="15" t="s">
        <v>92</v>
      </c>
      <c r="BZ203" s="8" t="s">
        <v>93</v>
      </c>
      <c r="CA203" s="8" t="s">
        <v>92</v>
      </c>
      <c r="CB203" s="17" t="s">
        <v>1006</v>
      </c>
      <c r="CC203" s="17" t="s">
        <v>1019</v>
      </c>
      <c r="CD203" s="18"/>
      <c r="CE203" s="18"/>
      <c r="CF203" s="18"/>
      <c r="CG203" s="18"/>
      <c r="CH203" s="14"/>
    </row>
    <row r="204">
      <c r="A204" s="8"/>
      <c r="B204" s="16" t="s">
        <v>994</v>
      </c>
      <c r="C204" s="10" t="s">
        <v>995</v>
      </c>
      <c r="D204" s="9" t="s">
        <v>87</v>
      </c>
      <c r="E204" s="11" t="s">
        <v>1020</v>
      </c>
      <c r="F204" s="12"/>
      <c r="G204" s="14" t="s">
        <v>1021</v>
      </c>
      <c r="H204" s="14" t="s">
        <v>90</v>
      </c>
      <c r="I204" s="14" t="s">
        <v>1022</v>
      </c>
      <c r="J204" s="14" t="s">
        <v>92</v>
      </c>
      <c r="K204" s="14" t="s">
        <v>92</v>
      </c>
      <c r="L204" s="14" t="s">
        <v>93</v>
      </c>
      <c r="M204" s="14" t="s">
        <v>92</v>
      </c>
      <c r="N204" s="14" t="s">
        <v>92</v>
      </c>
      <c r="O204" s="14" t="s">
        <v>92</v>
      </c>
      <c r="P204" s="14" t="s">
        <v>93</v>
      </c>
      <c r="Q204" s="14" t="s">
        <v>92</v>
      </c>
      <c r="R204" s="14" t="s">
        <v>92</v>
      </c>
      <c r="S204" s="14" t="s">
        <v>93</v>
      </c>
      <c r="T204" s="14" t="s">
        <v>92</v>
      </c>
      <c r="U204" s="14" t="s">
        <v>92</v>
      </c>
      <c r="V204" s="14" t="s">
        <v>92</v>
      </c>
      <c r="W204" s="14" t="s">
        <v>92</v>
      </c>
      <c r="X204" s="14" t="s">
        <v>92</v>
      </c>
      <c r="Y204" s="14" t="s">
        <v>92</v>
      </c>
      <c r="Z204" s="14" t="s">
        <v>92</v>
      </c>
      <c r="AA204" s="14" t="s">
        <v>92</v>
      </c>
      <c r="AB204" s="8" t="s">
        <v>93</v>
      </c>
      <c r="AC204" s="8" t="s">
        <v>92</v>
      </c>
      <c r="AD204" s="8" t="s">
        <v>92</v>
      </c>
      <c r="AE204" s="14" t="s">
        <v>103</v>
      </c>
      <c r="AF204" s="14" t="s">
        <v>93</v>
      </c>
      <c r="AG204" s="14" t="s">
        <v>1023</v>
      </c>
      <c r="AH204" s="8" t="s">
        <v>105</v>
      </c>
      <c r="AI204" s="14" t="s">
        <v>105</v>
      </c>
      <c r="AJ204" s="14" t="s">
        <v>93</v>
      </c>
      <c r="AK204" s="14" t="s">
        <v>92</v>
      </c>
      <c r="AL204" s="14" t="s">
        <v>92</v>
      </c>
      <c r="AM204" s="15" t="s">
        <v>95</v>
      </c>
      <c r="AN204" s="13" t="s">
        <v>114</v>
      </c>
      <c r="AO204" s="8" t="s">
        <v>92</v>
      </c>
      <c r="AP204" s="8" t="s">
        <v>92</v>
      </c>
      <c r="AQ204" s="13" t="s">
        <v>93</v>
      </c>
      <c r="AR204" s="13" t="s">
        <v>93</v>
      </c>
      <c r="AS204" s="14" t="s">
        <v>92</v>
      </c>
      <c r="AT204" s="13" t="s">
        <v>93</v>
      </c>
      <c r="AU204" s="13" t="s">
        <v>93</v>
      </c>
      <c r="AV204" s="13" t="s">
        <v>93</v>
      </c>
      <c r="AW204" s="13" t="s">
        <v>93</v>
      </c>
      <c r="AX204" s="13" t="s">
        <v>92</v>
      </c>
      <c r="AY204" s="8" t="s">
        <v>1024</v>
      </c>
      <c r="AZ204" s="8" t="s">
        <v>92</v>
      </c>
      <c r="BA204" s="16" t="s">
        <v>994</v>
      </c>
      <c r="BB204" s="8" t="s">
        <v>155</v>
      </c>
      <c r="BC204" s="8" t="s">
        <v>92</v>
      </c>
      <c r="BD204" s="14" t="s">
        <v>93</v>
      </c>
      <c r="BE204" s="14" t="s">
        <v>92</v>
      </c>
      <c r="BF204" s="14" t="s">
        <v>92</v>
      </c>
      <c r="BG204" s="14" t="s">
        <v>92</v>
      </c>
      <c r="BH204" s="14" t="s">
        <v>92</v>
      </c>
      <c r="BI204" s="14" t="s">
        <v>92</v>
      </c>
      <c r="BJ204" s="14" t="s">
        <v>92</v>
      </c>
      <c r="BK204" s="14" t="s">
        <v>105</v>
      </c>
      <c r="BL204" s="14" t="s">
        <v>105</v>
      </c>
      <c r="BM204" s="14" t="s">
        <v>105</v>
      </c>
      <c r="BN204" s="14" t="s">
        <v>105</v>
      </c>
      <c r="BO204" s="14" t="s">
        <v>105</v>
      </c>
      <c r="BP204" s="14" t="s">
        <v>105</v>
      </c>
      <c r="BQ204" s="8" t="s">
        <v>92</v>
      </c>
      <c r="BR204" s="8" t="s">
        <v>92</v>
      </c>
      <c r="BS204" s="8" t="s">
        <v>93</v>
      </c>
      <c r="BT204" s="8" t="s">
        <v>92</v>
      </c>
      <c r="BU204" s="8" t="s">
        <v>92</v>
      </c>
      <c r="BV204" s="8" t="s">
        <v>92</v>
      </c>
      <c r="BW204" s="8" t="s">
        <v>92</v>
      </c>
      <c r="BX204" s="8" t="s">
        <v>92</v>
      </c>
      <c r="BY204" s="8" t="s">
        <v>92</v>
      </c>
      <c r="BZ204" s="8" t="s">
        <v>92</v>
      </c>
      <c r="CA204" s="8" t="s">
        <v>92</v>
      </c>
      <c r="CB204" s="17" t="s">
        <v>1001</v>
      </c>
      <c r="CC204" s="18"/>
      <c r="CD204" s="18"/>
      <c r="CE204" s="31"/>
      <c r="CF204" s="18"/>
      <c r="CG204" s="18"/>
      <c r="CH204" s="14"/>
    </row>
    <row r="205">
      <c r="A205" s="8"/>
      <c r="B205" s="16" t="s">
        <v>994</v>
      </c>
      <c r="C205" s="10" t="s">
        <v>995</v>
      </c>
      <c r="D205" s="9" t="s">
        <v>87</v>
      </c>
      <c r="E205" s="11" t="s">
        <v>1025</v>
      </c>
      <c r="F205" s="12"/>
      <c r="G205" s="14" t="s">
        <v>1026</v>
      </c>
      <c r="H205" s="14" t="s">
        <v>90</v>
      </c>
      <c r="I205" s="14" t="s">
        <v>1027</v>
      </c>
      <c r="J205" s="14" t="s">
        <v>92</v>
      </c>
      <c r="K205" s="14" t="s">
        <v>92</v>
      </c>
      <c r="L205" s="14" t="s">
        <v>92</v>
      </c>
      <c r="M205" s="14" t="s">
        <v>92</v>
      </c>
      <c r="N205" s="14" t="s">
        <v>92</v>
      </c>
      <c r="O205" s="14" t="s">
        <v>92</v>
      </c>
      <c r="P205" s="14" t="s">
        <v>92</v>
      </c>
      <c r="Q205" s="14" t="s">
        <v>92</v>
      </c>
      <c r="R205" s="14" t="s">
        <v>92</v>
      </c>
      <c r="S205" s="14" t="s">
        <v>92</v>
      </c>
      <c r="T205" s="14" t="s">
        <v>92</v>
      </c>
      <c r="U205" s="14" t="s">
        <v>92</v>
      </c>
      <c r="V205" s="14" t="s">
        <v>92</v>
      </c>
      <c r="W205" s="14" t="s">
        <v>92</v>
      </c>
      <c r="X205" s="14" t="s">
        <v>92</v>
      </c>
      <c r="Y205" s="14" t="s">
        <v>92</v>
      </c>
      <c r="Z205" s="14" t="s">
        <v>93</v>
      </c>
      <c r="AA205" s="14" t="s">
        <v>92</v>
      </c>
      <c r="AB205" s="8" t="s">
        <v>92</v>
      </c>
      <c r="AC205" s="8" t="s">
        <v>93</v>
      </c>
      <c r="AD205" s="8" t="s">
        <v>92</v>
      </c>
      <c r="AE205" s="14" t="s">
        <v>112</v>
      </c>
      <c r="AF205" s="14" t="s">
        <v>92</v>
      </c>
      <c r="AG205" s="14" t="s">
        <v>95</v>
      </c>
      <c r="AH205" s="8">
        <v>2022.0</v>
      </c>
      <c r="AI205" s="14" t="s">
        <v>105</v>
      </c>
      <c r="AJ205" s="14" t="s">
        <v>92</v>
      </c>
      <c r="AK205" s="14" t="s">
        <v>93</v>
      </c>
      <c r="AL205" s="14" t="s">
        <v>93</v>
      </c>
      <c r="AM205" s="15" t="s">
        <v>95</v>
      </c>
      <c r="AN205" s="13" t="s">
        <v>114</v>
      </c>
      <c r="AO205" s="8" t="s">
        <v>93</v>
      </c>
      <c r="AP205" s="8" t="s">
        <v>92</v>
      </c>
      <c r="AQ205" s="13" t="s">
        <v>93</v>
      </c>
      <c r="AR205" s="13" t="s">
        <v>93</v>
      </c>
      <c r="AS205" s="14" t="s">
        <v>92</v>
      </c>
      <c r="AT205" s="13" t="s">
        <v>93</v>
      </c>
      <c r="AU205" s="13" t="s">
        <v>93</v>
      </c>
      <c r="AV205" s="13" t="s">
        <v>93</v>
      </c>
      <c r="AW205" s="13" t="s">
        <v>93</v>
      </c>
      <c r="AX205" s="13" t="s">
        <v>92</v>
      </c>
      <c r="AY205" s="15" t="s">
        <v>95</v>
      </c>
      <c r="AZ205" s="15" t="s">
        <v>95</v>
      </c>
      <c r="BA205" s="9" t="s">
        <v>1028</v>
      </c>
      <c r="BB205" s="8" t="s">
        <v>95</v>
      </c>
      <c r="BC205" s="8" t="s">
        <v>93</v>
      </c>
      <c r="BD205" s="14" t="s">
        <v>93</v>
      </c>
      <c r="BE205" s="14" t="s">
        <v>92</v>
      </c>
      <c r="BF205" s="14" t="s">
        <v>92</v>
      </c>
      <c r="BG205" s="14" t="s">
        <v>92</v>
      </c>
      <c r="BH205" s="14" t="s">
        <v>92</v>
      </c>
      <c r="BI205" s="14" t="s">
        <v>92</v>
      </c>
      <c r="BJ205" s="14" t="s">
        <v>92</v>
      </c>
      <c r="BK205" s="14" t="s">
        <v>332</v>
      </c>
      <c r="BL205" s="13" t="s">
        <v>92</v>
      </c>
      <c r="BM205" s="13" t="s">
        <v>92</v>
      </c>
      <c r="BN205" s="13" t="s">
        <v>92</v>
      </c>
      <c r="BO205" s="13" t="s">
        <v>93</v>
      </c>
      <c r="BP205" s="13" t="s">
        <v>92</v>
      </c>
      <c r="BQ205" s="8" t="s">
        <v>92</v>
      </c>
      <c r="BR205" s="8" t="s">
        <v>92</v>
      </c>
      <c r="BS205" s="8" t="s">
        <v>92</v>
      </c>
      <c r="BT205" s="8" t="s">
        <v>93</v>
      </c>
      <c r="BU205" s="8" t="s">
        <v>92</v>
      </c>
      <c r="BV205" s="8" t="s">
        <v>93</v>
      </c>
      <c r="BW205" s="8" t="s">
        <v>92</v>
      </c>
      <c r="BX205" s="8" t="s">
        <v>93</v>
      </c>
      <c r="BY205" s="8" t="s">
        <v>93</v>
      </c>
      <c r="BZ205" s="8" t="s">
        <v>92</v>
      </c>
      <c r="CA205" s="8" t="s">
        <v>92</v>
      </c>
      <c r="CB205" s="17" t="s">
        <v>1006</v>
      </c>
      <c r="CC205" s="18"/>
      <c r="CD205" s="18"/>
      <c r="CE205" s="31"/>
      <c r="CF205" s="18"/>
      <c r="CG205" s="18"/>
      <c r="CH205" s="14"/>
    </row>
    <row r="206">
      <c r="A206" s="8"/>
      <c r="B206" s="16" t="s">
        <v>994</v>
      </c>
      <c r="C206" s="10" t="s">
        <v>995</v>
      </c>
      <c r="D206" s="9" t="s">
        <v>87</v>
      </c>
      <c r="E206" s="11" t="s">
        <v>1029</v>
      </c>
      <c r="F206" s="25"/>
      <c r="G206" s="29" t="s">
        <v>1030</v>
      </c>
      <c r="H206" s="14" t="s">
        <v>90</v>
      </c>
      <c r="I206" s="14" t="s">
        <v>1031</v>
      </c>
      <c r="J206" s="14" t="s">
        <v>92</v>
      </c>
      <c r="K206" s="14" t="s">
        <v>92</v>
      </c>
      <c r="L206" s="14" t="s">
        <v>92</v>
      </c>
      <c r="M206" s="14" t="s">
        <v>92</v>
      </c>
      <c r="N206" s="14" t="s">
        <v>92</v>
      </c>
      <c r="O206" s="14" t="s">
        <v>92</v>
      </c>
      <c r="P206" s="14" t="s">
        <v>92</v>
      </c>
      <c r="Q206" s="14" t="s">
        <v>92</v>
      </c>
      <c r="R206" s="14" t="s">
        <v>92</v>
      </c>
      <c r="S206" s="14" t="s">
        <v>92</v>
      </c>
      <c r="T206" s="14" t="s">
        <v>92</v>
      </c>
      <c r="U206" s="14" t="s">
        <v>92</v>
      </c>
      <c r="V206" s="14" t="s">
        <v>92</v>
      </c>
      <c r="W206" s="14" t="s">
        <v>92</v>
      </c>
      <c r="X206" s="14" t="s">
        <v>92</v>
      </c>
      <c r="Y206" s="14" t="s">
        <v>92</v>
      </c>
      <c r="Z206" s="14" t="s">
        <v>93</v>
      </c>
      <c r="AA206" s="14" t="s">
        <v>92</v>
      </c>
      <c r="AB206" s="8" t="s">
        <v>92</v>
      </c>
      <c r="AC206" s="8" t="s">
        <v>93</v>
      </c>
      <c r="AD206" s="8" t="s">
        <v>92</v>
      </c>
      <c r="AE206" s="14" t="s">
        <v>112</v>
      </c>
      <c r="AF206" s="14" t="s">
        <v>92</v>
      </c>
      <c r="AG206" s="14" t="s">
        <v>95</v>
      </c>
      <c r="AH206" s="8" t="s">
        <v>105</v>
      </c>
      <c r="AI206" s="14" t="s">
        <v>105</v>
      </c>
      <c r="AJ206" s="14" t="s">
        <v>92</v>
      </c>
      <c r="AK206" s="14" t="s">
        <v>92</v>
      </c>
      <c r="AL206" s="14" t="s">
        <v>93</v>
      </c>
      <c r="AM206" s="15" t="s">
        <v>95</v>
      </c>
      <c r="AN206" s="13" t="s">
        <v>114</v>
      </c>
      <c r="AO206" s="8" t="s">
        <v>92</v>
      </c>
      <c r="AP206" s="8" t="s">
        <v>92</v>
      </c>
      <c r="AQ206" s="13" t="s">
        <v>93</v>
      </c>
      <c r="AR206" s="13" t="s">
        <v>93</v>
      </c>
      <c r="AS206" s="14" t="s">
        <v>92</v>
      </c>
      <c r="AT206" s="13" t="s">
        <v>93</v>
      </c>
      <c r="AU206" s="13" t="s">
        <v>93</v>
      </c>
      <c r="AV206" s="13" t="s">
        <v>93</v>
      </c>
      <c r="AW206" s="13" t="s">
        <v>93</v>
      </c>
      <c r="AX206" s="13" t="s">
        <v>92</v>
      </c>
      <c r="AY206" s="15" t="s">
        <v>95</v>
      </c>
      <c r="AZ206" s="15" t="s">
        <v>95</v>
      </c>
      <c r="BA206" s="16" t="s">
        <v>994</v>
      </c>
      <c r="BB206" s="8" t="s">
        <v>155</v>
      </c>
      <c r="BC206" s="8" t="s">
        <v>92</v>
      </c>
      <c r="BD206" s="14" t="s">
        <v>92</v>
      </c>
      <c r="BE206" s="14" t="s">
        <v>92</v>
      </c>
      <c r="BF206" s="14" t="s">
        <v>92</v>
      </c>
      <c r="BG206" s="14" t="s">
        <v>93</v>
      </c>
      <c r="BH206" s="14" t="s">
        <v>92</v>
      </c>
      <c r="BI206" s="14" t="s">
        <v>92</v>
      </c>
      <c r="BJ206" s="14" t="s">
        <v>92</v>
      </c>
      <c r="BK206" s="14" t="s">
        <v>332</v>
      </c>
      <c r="BL206" s="13" t="s">
        <v>92</v>
      </c>
      <c r="BM206" s="13" t="s">
        <v>92</v>
      </c>
      <c r="BN206" s="13" t="s">
        <v>92</v>
      </c>
      <c r="BO206" s="13" t="s">
        <v>93</v>
      </c>
      <c r="BP206" s="13" t="s">
        <v>92</v>
      </c>
      <c r="BQ206" s="8" t="s">
        <v>92</v>
      </c>
      <c r="BR206" s="8" t="s">
        <v>92</v>
      </c>
      <c r="BS206" s="8" t="s">
        <v>92</v>
      </c>
      <c r="BT206" s="8" t="s">
        <v>93</v>
      </c>
      <c r="BU206" s="8" t="s">
        <v>92</v>
      </c>
      <c r="BV206" s="8" t="s">
        <v>93</v>
      </c>
      <c r="BW206" s="8" t="s">
        <v>92</v>
      </c>
      <c r="BX206" s="8" t="s">
        <v>93</v>
      </c>
      <c r="BY206" s="8" t="s">
        <v>93</v>
      </c>
      <c r="BZ206" s="8" t="s">
        <v>92</v>
      </c>
      <c r="CA206" s="8" t="s">
        <v>92</v>
      </c>
      <c r="CB206" s="17" t="s">
        <v>1006</v>
      </c>
      <c r="CC206" s="18"/>
      <c r="CD206" s="18"/>
      <c r="CE206" s="31"/>
      <c r="CF206" s="18"/>
      <c r="CG206" s="18"/>
      <c r="CH206" s="14"/>
    </row>
    <row r="207">
      <c r="A207" s="8"/>
      <c r="B207" s="16" t="s">
        <v>994</v>
      </c>
      <c r="C207" s="10" t="s">
        <v>995</v>
      </c>
      <c r="D207" s="9" t="s">
        <v>87</v>
      </c>
      <c r="E207" s="11" t="s">
        <v>1032</v>
      </c>
      <c r="F207" s="12"/>
      <c r="G207" s="14" t="s">
        <v>1033</v>
      </c>
      <c r="H207" s="14" t="s">
        <v>90</v>
      </c>
      <c r="I207" s="14" t="s">
        <v>1034</v>
      </c>
      <c r="J207" s="14" t="s">
        <v>93</v>
      </c>
      <c r="K207" s="14" t="s">
        <v>92</v>
      </c>
      <c r="L207" s="14" t="s">
        <v>93</v>
      </c>
      <c r="M207" s="14" t="s">
        <v>92</v>
      </c>
      <c r="N207" s="14" t="s">
        <v>92</v>
      </c>
      <c r="O207" s="14" t="s">
        <v>92</v>
      </c>
      <c r="P207" s="14" t="s">
        <v>92</v>
      </c>
      <c r="Q207" s="14" t="s">
        <v>92</v>
      </c>
      <c r="R207" s="14" t="s">
        <v>92</v>
      </c>
      <c r="S207" s="14" t="s">
        <v>92</v>
      </c>
      <c r="T207" s="14" t="s">
        <v>92</v>
      </c>
      <c r="U207" s="14" t="s">
        <v>92</v>
      </c>
      <c r="V207" s="14" t="s">
        <v>92</v>
      </c>
      <c r="W207" s="14" t="s">
        <v>92</v>
      </c>
      <c r="X207" s="14" t="s">
        <v>92</v>
      </c>
      <c r="Y207" s="14" t="s">
        <v>92</v>
      </c>
      <c r="Z207" s="14" t="s">
        <v>93</v>
      </c>
      <c r="AA207" s="14" t="s">
        <v>92</v>
      </c>
      <c r="AB207" s="8" t="s">
        <v>92</v>
      </c>
      <c r="AC207" s="8" t="s">
        <v>93</v>
      </c>
      <c r="AD207" s="8" t="s">
        <v>92</v>
      </c>
      <c r="AE207" s="14" t="s">
        <v>231</v>
      </c>
      <c r="AF207" s="14" t="s">
        <v>92</v>
      </c>
      <c r="AG207" s="13" t="s">
        <v>95</v>
      </c>
      <c r="AH207" s="8" t="s">
        <v>105</v>
      </c>
      <c r="AI207" s="14" t="s">
        <v>105</v>
      </c>
      <c r="AJ207" s="14" t="s">
        <v>92</v>
      </c>
      <c r="AK207" s="14" t="s">
        <v>93</v>
      </c>
      <c r="AL207" s="14" t="s">
        <v>93</v>
      </c>
      <c r="AM207" s="15" t="s">
        <v>95</v>
      </c>
      <c r="AN207" s="13" t="s">
        <v>114</v>
      </c>
      <c r="AO207" s="8" t="s">
        <v>93</v>
      </c>
      <c r="AP207" s="8" t="s">
        <v>92</v>
      </c>
      <c r="AQ207" s="13" t="s">
        <v>93</v>
      </c>
      <c r="AR207" s="13" t="s">
        <v>93</v>
      </c>
      <c r="AS207" s="14" t="s">
        <v>92</v>
      </c>
      <c r="AT207" s="13" t="s">
        <v>93</v>
      </c>
      <c r="AU207" s="13" t="s">
        <v>93</v>
      </c>
      <c r="AV207" s="13" t="s">
        <v>93</v>
      </c>
      <c r="AW207" s="13" t="s">
        <v>93</v>
      </c>
      <c r="AX207" s="13" t="s">
        <v>92</v>
      </c>
      <c r="AY207" s="15" t="s">
        <v>95</v>
      </c>
      <c r="AZ207" s="15" t="s">
        <v>95</v>
      </c>
      <c r="BA207" s="16" t="s">
        <v>994</v>
      </c>
      <c r="BB207" s="8" t="s">
        <v>155</v>
      </c>
      <c r="BC207" s="8" t="s">
        <v>92</v>
      </c>
      <c r="BD207" s="14" t="s">
        <v>92</v>
      </c>
      <c r="BE207" s="14" t="s">
        <v>92</v>
      </c>
      <c r="BF207" s="14" t="s">
        <v>92</v>
      </c>
      <c r="BG207" s="14" t="s">
        <v>92</v>
      </c>
      <c r="BH207" s="14" t="s">
        <v>92</v>
      </c>
      <c r="BI207" s="14" t="s">
        <v>92</v>
      </c>
      <c r="BJ207" s="14" t="s">
        <v>92</v>
      </c>
      <c r="BK207" s="14" t="s">
        <v>105</v>
      </c>
      <c r="BL207" s="14" t="s">
        <v>105</v>
      </c>
      <c r="BM207" s="14" t="s">
        <v>105</v>
      </c>
      <c r="BN207" s="14" t="s">
        <v>105</v>
      </c>
      <c r="BO207" s="14" t="s">
        <v>105</v>
      </c>
      <c r="BP207" s="14" t="s">
        <v>105</v>
      </c>
      <c r="BQ207" s="8" t="s">
        <v>92</v>
      </c>
      <c r="BR207" s="8" t="s">
        <v>92</v>
      </c>
      <c r="BS207" s="8" t="s">
        <v>92</v>
      </c>
      <c r="BT207" s="8" t="s">
        <v>93</v>
      </c>
      <c r="BU207" s="8" t="s">
        <v>92</v>
      </c>
      <c r="BV207" s="8" t="s">
        <v>92</v>
      </c>
      <c r="BW207" s="8" t="s">
        <v>92</v>
      </c>
      <c r="BX207" s="8" t="s">
        <v>92</v>
      </c>
      <c r="BY207" s="8" t="s">
        <v>92</v>
      </c>
      <c r="BZ207" s="8" t="s">
        <v>93</v>
      </c>
      <c r="CA207" s="8" t="s">
        <v>92</v>
      </c>
      <c r="CB207" s="17" t="s">
        <v>1006</v>
      </c>
      <c r="CC207" s="42"/>
      <c r="CD207" s="18"/>
      <c r="CE207" s="31"/>
      <c r="CF207" s="18"/>
      <c r="CG207" s="18"/>
      <c r="CH207" s="14"/>
    </row>
    <row r="208">
      <c r="A208" s="8"/>
      <c r="B208" s="16" t="s">
        <v>994</v>
      </c>
      <c r="C208" s="10" t="s">
        <v>995</v>
      </c>
      <c r="D208" s="9" t="s">
        <v>87</v>
      </c>
      <c r="E208" s="11" t="s">
        <v>1035</v>
      </c>
      <c r="F208" s="12"/>
      <c r="G208" s="14" t="s">
        <v>1036</v>
      </c>
      <c r="H208" s="14" t="s">
        <v>90</v>
      </c>
      <c r="I208" s="14" t="s">
        <v>1037</v>
      </c>
      <c r="J208" s="14" t="s">
        <v>92</v>
      </c>
      <c r="K208" s="14" t="s">
        <v>92</v>
      </c>
      <c r="L208" s="14" t="s">
        <v>92</v>
      </c>
      <c r="M208" s="14" t="s">
        <v>92</v>
      </c>
      <c r="N208" s="14" t="s">
        <v>92</v>
      </c>
      <c r="O208" s="14" t="s">
        <v>92</v>
      </c>
      <c r="P208" s="14" t="s">
        <v>92</v>
      </c>
      <c r="Q208" s="14" t="s">
        <v>92</v>
      </c>
      <c r="R208" s="14" t="s">
        <v>92</v>
      </c>
      <c r="S208" s="14" t="s">
        <v>92</v>
      </c>
      <c r="T208" s="14" t="s">
        <v>92</v>
      </c>
      <c r="U208" s="14" t="s">
        <v>92</v>
      </c>
      <c r="V208" s="14" t="s">
        <v>92</v>
      </c>
      <c r="W208" s="14" t="s">
        <v>92</v>
      </c>
      <c r="X208" s="14" t="s">
        <v>92</v>
      </c>
      <c r="Y208" s="14" t="s">
        <v>92</v>
      </c>
      <c r="Z208" s="14" t="s">
        <v>93</v>
      </c>
      <c r="AA208" s="14" t="s">
        <v>92</v>
      </c>
      <c r="AB208" s="8" t="s">
        <v>92</v>
      </c>
      <c r="AC208" s="8" t="s">
        <v>93</v>
      </c>
      <c r="AD208" s="8" t="s">
        <v>92</v>
      </c>
      <c r="AE208" s="14" t="s">
        <v>112</v>
      </c>
      <c r="AF208" s="14" t="s">
        <v>92</v>
      </c>
      <c r="AG208" s="13" t="s">
        <v>95</v>
      </c>
      <c r="AH208" s="8">
        <v>2023.0</v>
      </c>
      <c r="AI208" s="14" t="s">
        <v>105</v>
      </c>
      <c r="AJ208" s="14" t="s">
        <v>92</v>
      </c>
      <c r="AK208" s="14" t="s">
        <v>92</v>
      </c>
      <c r="AL208" s="14" t="s">
        <v>93</v>
      </c>
      <c r="AM208" s="15" t="s">
        <v>95</v>
      </c>
      <c r="AN208" s="13" t="s">
        <v>114</v>
      </c>
      <c r="AO208" s="8" t="s">
        <v>92</v>
      </c>
      <c r="AP208" s="8" t="s">
        <v>92</v>
      </c>
      <c r="AQ208" s="13" t="s">
        <v>93</v>
      </c>
      <c r="AR208" s="13" t="s">
        <v>93</v>
      </c>
      <c r="AS208" s="14" t="s">
        <v>92</v>
      </c>
      <c r="AT208" s="13" t="s">
        <v>93</v>
      </c>
      <c r="AU208" s="13" t="s">
        <v>93</v>
      </c>
      <c r="AV208" s="13" t="s">
        <v>93</v>
      </c>
      <c r="AW208" s="13" t="s">
        <v>93</v>
      </c>
      <c r="AX208" s="13" t="s">
        <v>92</v>
      </c>
      <c r="AY208" s="15" t="s">
        <v>95</v>
      </c>
      <c r="AZ208" s="15" t="s">
        <v>95</v>
      </c>
      <c r="BA208" s="16" t="s">
        <v>994</v>
      </c>
      <c r="BB208" s="8" t="s">
        <v>155</v>
      </c>
      <c r="BC208" s="8" t="s">
        <v>93</v>
      </c>
      <c r="BD208" s="14" t="s">
        <v>92</v>
      </c>
      <c r="BE208" s="14" t="s">
        <v>92</v>
      </c>
      <c r="BF208" s="14" t="s">
        <v>92</v>
      </c>
      <c r="BG208" s="14" t="s">
        <v>92</v>
      </c>
      <c r="BH208" s="14" t="s">
        <v>92</v>
      </c>
      <c r="BI208" s="14" t="s">
        <v>92</v>
      </c>
      <c r="BJ208" s="14" t="s">
        <v>92</v>
      </c>
      <c r="BK208" s="14" t="s">
        <v>332</v>
      </c>
      <c r="BL208" s="13" t="s">
        <v>92</v>
      </c>
      <c r="BM208" s="13" t="s">
        <v>92</v>
      </c>
      <c r="BN208" s="13" t="s">
        <v>92</v>
      </c>
      <c r="BO208" s="13" t="s">
        <v>93</v>
      </c>
      <c r="BP208" s="13" t="s">
        <v>92</v>
      </c>
      <c r="BQ208" s="8" t="s">
        <v>92</v>
      </c>
      <c r="BR208" s="8" t="s">
        <v>92</v>
      </c>
      <c r="BS208" s="8" t="s">
        <v>92</v>
      </c>
      <c r="BT208" s="8" t="s">
        <v>93</v>
      </c>
      <c r="BU208" s="8" t="s">
        <v>92</v>
      </c>
      <c r="BV208" s="8" t="s">
        <v>92</v>
      </c>
      <c r="BW208" s="8" t="s">
        <v>92</v>
      </c>
      <c r="BX208" s="8" t="s">
        <v>92</v>
      </c>
      <c r="BY208" s="8" t="s">
        <v>92</v>
      </c>
      <c r="BZ208" s="8" t="s">
        <v>92</v>
      </c>
      <c r="CA208" s="8" t="s">
        <v>92</v>
      </c>
      <c r="CB208" s="17" t="s">
        <v>1006</v>
      </c>
      <c r="CC208" s="24" t="s">
        <v>1038</v>
      </c>
      <c r="CD208" s="18"/>
      <c r="CE208" s="31"/>
      <c r="CF208" s="18"/>
      <c r="CG208" s="18"/>
      <c r="CH208" s="14"/>
    </row>
    <row r="209">
      <c r="A209" s="8"/>
      <c r="B209" s="9" t="s">
        <v>1039</v>
      </c>
      <c r="C209" s="10" t="s">
        <v>1040</v>
      </c>
      <c r="D209" s="9" t="s">
        <v>87</v>
      </c>
      <c r="E209" s="11" t="s">
        <v>1041</v>
      </c>
      <c r="F209" s="12"/>
      <c r="G209" s="9" t="s">
        <v>1042</v>
      </c>
      <c r="H209" s="9" t="s">
        <v>110</v>
      </c>
      <c r="I209" s="9" t="s">
        <v>1043</v>
      </c>
      <c r="J209" s="14" t="s">
        <v>93</v>
      </c>
      <c r="K209" s="14" t="s">
        <v>92</v>
      </c>
      <c r="L209" s="14" t="s">
        <v>93</v>
      </c>
      <c r="M209" s="14" t="s">
        <v>92</v>
      </c>
      <c r="N209" s="14" t="s">
        <v>92</v>
      </c>
      <c r="O209" s="14" t="s">
        <v>92</v>
      </c>
      <c r="P209" s="14" t="s">
        <v>92</v>
      </c>
      <c r="Q209" s="14" t="s">
        <v>92</v>
      </c>
      <c r="R209" s="14" t="s">
        <v>92</v>
      </c>
      <c r="S209" s="14" t="s">
        <v>93</v>
      </c>
      <c r="T209" s="14" t="s">
        <v>92</v>
      </c>
      <c r="U209" s="14" t="s">
        <v>92</v>
      </c>
      <c r="V209" s="14" t="s">
        <v>92</v>
      </c>
      <c r="W209" s="14" t="s">
        <v>92</v>
      </c>
      <c r="X209" s="14" t="s">
        <v>92</v>
      </c>
      <c r="Y209" s="14" t="s">
        <v>92</v>
      </c>
      <c r="Z209" s="14" t="s">
        <v>93</v>
      </c>
      <c r="AA209" s="14" t="s">
        <v>92</v>
      </c>
      <c r="AB209" s="8" t="s">
        <v>92</v>
      </c>
      <c r="AC209" s="8" t="s">
        <v>93</v>
      </c>
      <c r="AD209" s="8" t="s">
        <v>92</v>
      </c>
      <c r="AE209" s="14" t="s">
        <v>112</v>
      </c>
      <c r="AF209" s="14" t="s">
        <v>92</v>
      </c>
      <c r="AG209" s="14" t="s">
        <v>95</v>
      </c>
      <c r="AH209" s="8" t="s">
        <v>105</v>
      </c>
      <c r="AI209" s="14" t="s">
        <v>105</v>
      </c>
      <c r="AJ209" s="14" t="s">
        <v>105</v>
      </c>
      <c r="AK209" s="14" t="s">
        <v>93</v>
      </c>
      <c r="AL209" s="14" t="s">
        <v>93</v>
      </c>
      <c r="AM209" s="8" t="s">
        <v>95</v>
      </c>
      <c r="AN209" s="14" t="s">
        <v>114</v>
      </c>
      <c r="AO209" s="8" t="s">
        <v>93</v>
      </c>
      <c r="AP209" s="8" t="s">
        <v>92</v>
      </c>
      <c r="AQ209" s="14" t="s">
        <v>93</v>
      </c>
      <c r="AR209" s="14" t="s">
        <v>93</v>
      </c>
      <c r="AS209" s="14" t="s">
        <v>93</v>
      </c>
      <c r="AT209" s="14" t="s">
        <v>93</v>
      </c>
      <c r="AU209" s="14" t="s">
        <v>93</v>
      </c>
      <c r="AV209" s="14" t="s">
        <v>93</v>
      </c>
      <c r="AW209" s="14" t="s">
        <v>93</v>
      </c>
      <c r="AX209" s="14" t="s">
        <v>92</v>
      </c>
      <c r="AY209" s="15" t="s">
        <v>441</v>
      </c>
      <c r="AZ209" s="15" t="s">
        <v>95</v>
      </c>
      <c r="BA209" s="9" t="s">
        <v>1039</v>
      </c>
      <c r="BB209" s="8" t="s">
        <v>155</v>
      </c>
      <c r="BC209" s="8" t="s">
        <v>92</v>
      </c>
      <c r="BD209" s="14" t="s">
        <v>93</v>
      </c>
      <c r="BE209" s="14" t="s">
        <v>92</v>
      </c>
      <c r="BF209" s="14" t="s">
        <v>92</v>
      </c>
      <c r="BG209" s="14" t="s">
        <v>92</v>
      </c>
      <c r="BH209" s="14" t="s">
        <v>92</v>
      </c>
      <c r="BI209" s="14" t="s">
        <v>92</v>
      </c>
      <c r="BJ209" s="14" t="s">
        <v>92</v>
      </c>
      <c r="BK209" s="14" t="s">
        <v>1044</v>
      </c>
      <c r="BL209" s="14" t="s">
        <v>93</v>
      </c>
      <c r="BM209" s="14" t="s">
        <v>92</v>
      </c>
      <c r="BN209" s="14" t="s">
        <v>92</v>
      </c>
      <c r="BO209" s="14" t="s">
        <v>92</v>
      </c>
      <c r="BP209" s="14" t="s">
        <v>92</v>
      </c>
      <c r="BQ209" s="8" t="s">
        <v>92</v>
      </c>
      <c r="BR209" s="8" t="s">
        <v>92</v>
      </c>
      <c r="BS209" s="8" t="s">
        <v>92</v>
      </c>
      <c r="BT209" s="8" t="s">
        <v>93</v>
      </c>
      <c r="BU209" s="8" t="s">
        <v>92</v>
      </c>
      <c r="BV209" s="8" t="s">
        <v>92</v>
      </c>
      <c r="BW209" s="8" t="s">
        <v>92</v>
      </c>
      <c r="BX209" s="8" t="s">
        <v>92</v>
      </c>
      <c r="BY209" s="8" t="s">
        <v>92</v>
      </c>
      <c r="BZ209" s="8" t="s">
        <v>93</v>
      </c>
      <c r="CA209" s="8" t="s">
        <v>92</v>
      </c>
      <c r="CB209" s="20" t="s">
        <v>1045</v>
      </c>
      <c r="CC209" s="20" t="s">
        <v>116</v>
      </c>
      <c r="CD209" s="18"/>
      <c r="CE209" s="18"/>
      <c r="CF209" s="18"/>
      <c r="CG209" s="18"/>
      <c r="CH209" s="18"/>
    </row>
    <row r="210">
      <c r="A210" s="8"/>
      <c r="B210" s="9" t="s">
        <v>1039</v>
      </c>
      <c r="C210" s="10" t="s">
        <v>1040</v>
      </c>
      <c r="D210" s="9" t="s">
        <v>87</v>
      </c>
      <c r="E210" s="11" t="s">
        <v>1046</v>
      </c>
      <c r="F210" s="12"/>
      <c r="G210" s="9" t="s">
        <v>1047</v>
      </c>
      <c r="H210" s="9" t="s">
        <v>90</v>
      </c>
      <c r="I210" s="9" t="s">
        <v>1048</v>
      </c>
      <c r="J210" s="14" t="s">
        <v>92</v>
      </c>
      <c r="K210" s="14" t="s">
        <v>92</v>
      </c>
      <c r="L210" s="14" t="s">
        <v>92</v>
      </c>
      <c r="M210" s="14" t="s">
        <v>92</v>
      </c>
      <c r="N210" s="14" t="s">
        <v>92</v>
      </c>
      <c r="O210" s="14" t="s">
        <v>92</v>
      </c>
      <c r="P210" s="14" t="s">
        <v>92</v>
      </c>
      <c r="Q210" s="14" t="s">
        <v>92</v>
      </c>
      <c r="R210" s="14" t="s">
        <v>92</v>
      </c>
      <c r="S210" s="14" t="s">
        <v>92</v>
      </c>
      <c r="T210" s="14" t="s">
        <v>92</v>
      </c>
      <c r="U210" s="14" t="s">
        <v>92</v>
      </c>
      <c r="V210" s="14" t="s">
        <v>92</v>
      </c>
      <c r="W210" s="14" t="s">
        <v>92</v>
      </c>
      <c r="X210" s="14" t="s">
        <v>92</v>
      </c>
      <c r="Y210" s="14" t="s">
        <v>92</v>
      </c>
      <c r="Z210" s="14" t="s">
        <v>93</v>
      </c>
      <c r="AA210" s="14" t="s">
        <v>92</v>
      </c>
      <c r="AB210" s="8" t="s">
        <v>92</v>
      </c>
      <c r="AC210" s="8" t="s">
        <v>93</v>
      </c>
      <c r="AD210" s="8" t="s">
        <v>92</v>
      </c>
      <c r="AE210" s="14" t="s">
        <v>112</v>
      </c>
      <c r="AF210" s="14" t="s">
        <v>92</v>
      </c>
      <c r="AG210" s="14" t="s">
        <v>95</v>
      </c>
      <c r="AH210" s="8" t="s">
        <v>105</v>
      </c>
      <c r="AI210" s="14" t="s">
        <v>105</v>
      </c>
      <c r="AJ210" s="14" t="s">
        <v>105</v>
      </c>
      <c r="AK210" s="14" t="s">
        <v>92</v>
      </c>
      <c r="AL210" s="14" t="s">
        <v>93</v>
      </c>
      <c r="AM210" s="8" t="s">
        <v>95</v>
      </c>
      <c r="AN210" s="14" t="s">
        <v>114</v>
      </c>
      <c r="AO210" s="8" t="s">
        <v>92</v>
      </c>
      <c r="AP210" s="8" t="s">
        <v>92</v>
      </c>
      <c r="AQ210" s="14" t="s">
        <v>93</v>
      </c>
      <c r="AR210" s="14" t="s">
        <v>93</v>
      </c>
      <c r="AS210" s="14" t="s">
        <v>93</v>
      </c>
      <c r="AT210" s="14" t="s">
        <v>93</v>
      </c>
      <c r="AU210" s="14" t="s">
        <v>93</v>
      </c>
      <c r="AV210" s="14" t="s">
        <v>93</v>
      </c>
      <c r="AW210" s="14" t="s">
        <v>93</v>
      </c>
      <c r="AX210" s="14" t="s">
        <v>92</v>
      </c>
      <c r="AY210" s="8" t="s">
        <v>95</v>
      </c>
      <c r="AZ210" s="8" t="s">
        <v>95</v>
      </c>
      <c r="BA210" s="9" t="s">
        <v>1039</v>
      </c>
      <c r="BB210" s="8" t="s">
        <v>155</v>
      </c>
      <c r="BC210" s="8" t="s">
        <v>92</v>
      </c>
      <c r="BD210" s="14" t="s">
        <v>93</v>
      </c>
      <c r="BE210" s="14" t="s">
        <v>92</v>
      </c>
      <c r="BF210" s="14" t="s">
        <v>92</v>
      </c>
      <c r="BG210" s="14" t="s">
        <v>92</v>
      </c>
      <c r="BH210" s="14" t="s">
        <v>92</v>
      </c>
      <c r="BI210" s="14" t="s">
        <v>92</v>
      </c>
      <c r="BJ210" s="14" t="s">
        <v>92</v>
      </c>
      <c r="BK210" s="14" t="s">
        <v>1044</v>
      </c>
      <c r="BL210" s="14" t="s">
        <v>93</v>
      </c>
      <c r="BM210" s="14" t="s">
        <v>92</v>
      </c>
      <c r="BN210" s="14" t="s">
        <v>92</v>
      </c>
      <c r="BO210" s="14" t="s">
        <v>92</v>
      </c>
      <c r="BP210" s="14" t="s">
        <v>92</v>
      </c>
      <c r="BQ210" s="8" t="s">
        <v>92</v>
      </c>
      <c r="BR210" s="8" t="s">
        <v>92</v>
      </c>
      <c r="BS210" s="8" t="s">
        <v>92</v>
      </c>
      <c r="BT210" s="8" t="s">
        <v>93</v>
      </c>
      <c r="BU210" s="8" t="s">
        <v>92</v>
      </c>
      <c r="BV210" s="8" t="s">
        <v>92</v>
      </c>
      <c r="BW210" s="8" t="s">
        <v>92</v>
      </c>
      <c r="BX210" s="8" t="s">
        <v>92</v>
      </c>
      <c r="BY210" s="8" t="s">
        <v>92</v>
      </c>
      <c r="BZ210" s="8" t="s">
        <v>92</v>
      </c>
      <c r="CA210" s="8" t="s">
        <v>92</v>
      </c>
      <c r="CB210" s="20" t="s">
        <v>116</v>
      </c>
      <c r="CC210" s="31"/>
      <c r="CD210" s="18"/>
      <c r="CE210" s="18"/>
      <c r="CF210" s="18"/>
      <c r="CG210" s="18"/>
      <c r="CH210" s="18"/>
    </row>
    <row r="211">
      <c r="A211" s="8"/>
      <c r="B211" s="9" t="s">
        <v>1039</v>
      </c>
      <c r="C211" s="10" t="s">
        <v>1040</v>
      </c>
      <c r="D211" s="9" t="s">
        <v>87</v>
      </c>
      <c r="E211" s="11" t="s">
        <v>1049</v>
      </c>
      <c r="F211" s="12"/>
      <c r="G211" s="9" t="s">
        <v>1050</v>
      </c>
      <c r="H211" s="9" t="s">
        <v>110</v>
      </c>
      <c r="I211" s="9" t="s">
        <v>1051</v>
      </c>
      <c r="J211" s="14" t="s">
        <v>93</v>
      </c>
      <c r="K211" s="14" t="s">
        <v>92</v>
      </c>
      <c r="L211" s="14" t="s">
        <v>93</v>
      </c>
      <c r="M211" s="14" t="s">
        <v>92</v>
      </c>
      <c r="N211" s="14" t="s">
        <v>92</v>
      </c>
      <c r="O211" s="14" t="s">
        <v>92</v>
      </c>
      <c r="P211" s="14" t="s">
        <v>92</v>
      </c>
      <c r="Q211" s="14" t="s">
        <v>92</v>
      </c>
      <c r="R211" s="14" t="s">
        <v>92</v>
      </c>
      <c r="S211" s="14" t="s">
        <v>93</v>
      </c>
      <c r="T211" s="14" t="s">
        <v>92</v>
      </c>
      <c r="U211" s="14" t="s">
        <v>92</v>
      </c>
      <c r="V211" s="14" t="s">
        <v>92</v>
      </c>
      <c r="W211" s="14" t="s">
        <v>93</v>
      </c>
      <c r="X211" s="14" t="s">
        <v>92</v>
      </c>
      <c r="Y211" s="14" t="s">
        <v>92</v>
      </c>
      <c r="Z211" s="14" t="s">
        <v>93</v>
      </c>
      <c r="AA211" s="14" t="s">
        <v>92</v>
      </c>
      <c r="AB211" s="8" t="s">
        <v>92</v>
      </c>
      <c r="AC211" s="8" t="s">
        <v>93</v>
      </c>
      <c r="AD211" s="8" t="s">
        <v>92</v>
      </c>
      <c r="AE211" s="14" t="s">
        <v>112</v>
      </c>
      <c r="AF211" s="14" t="s">
        <v>92</v>
      </c>
      <c r="AG211" s="14" t="s">
        <v>95</v>
      </c>
      <c r="AH211" s="8" t="s">
        <v>105</v>
      </c>
      <c r="AI211" s="14" t="s">
        <v>105</v>
      </c>
      <c r="AJ211" s="14" t="s">
        <v>105</v>
      </c>
      <c r="AK211" s="14" t="s">
        <v>93</v>
      </c>
      <c r="AL211" s="14" t="s">
        <v>93</v>
      </c>
      <c r="AM211" s="8" t="s">
        <v>95</v>
      </c>
      <c r="AN211" s="14" t="s">
        <v>114</v>
      </c>
      <c r="AO211" s="8" t="s">
        <v>93</v>
      </c>
      <c r="AP211" s="8" t="s">
        <v>92</v>
      </c>
      <c r="AQ211" s="14" t="s">
        <v>93</v>
      </c>
      <c r="AR211" s="14" t="s">
        <v>93</v>
      </c>
      <c r="AS211" s="14" t="s">
        <v>93</v>
      </c>
      <c r="AT211" s="14" t="s">
        <v>93</v>
      </c>
      <c r="AU211" s="14" t="s">
        <v>93</v>
      </c>
      <c r="AV211" s="14" t="s">
        <v>93</v>
      </c>
      <c r="AW211" s="14" t="s">
        <v>93</v>
      </c>
      <c r="AX211" s="14" t="s">
        <v>92</v>
      </c>
      <c r="AY211" s="15" t="s">
        <v>441</v>
      </c>
      <c r="AZ211" s="15" t="s">
        <v>95</v>
      </c>
      <c r="BA211" s="9" t="s">
        <v>1039</v>
      </c>
      <c r="BB211" s="8" t="s">
        <v>155</v>
      </c>
      <c r="BC211" s="8" t="s">
        <v>92</v>
      </c>
      <c r="BD211" s="14" t="s">
        <v>93</v>
      </c>
      <c r="BE211" s="14" t="s">
        <v>92</v>
      </c>
      <c r="BF211" s="14" t="s">
        <v>92</v>
      </c>
      <c r="BG211" s="14" t="s">
        <v>92</v>
      </c>
      <c r="BH211" s="14" t="s">
        <v>92</v>
      </c>
      <c r="BI211" s="14" t="s">
        <v>93</v>
      </c>
      <c r="BJ211" s="14" t="s">
        <v>92</v>
      </c>
      <c r="BK211" s="14" t="s">
        <v>105</v>
      </c>
      <c r="BL211" s="14" t="s">
        <v>105</v>
      </c>
      <c r="BM211" s="14" t="s">
        <v>105</v>
      </c>
      <c r="BN211" s="14" t="s">
        <v>105</v>
      </c>
      <c r="BO211" s="14" t="s">
        <v>105</v>
      </c>
      <c r="BP211" s="14" t="s">
        <v>105</v>
      </c>
      <c r="BQ211" s="8" t="s">
        <v>92</v>
      </c>
      <c r="BR211" s="8" t="s">
        <v>92</v>
      </c>
      <c r="BS211" s="8" t="s">
        <v>92</v>
      </c>
      <c r="BT211" s="8" t="s">
        <v>93</v>
      </c>
      <c r="BU211" s="8" t="s">
        <v>92</v>
      </c>
      <c r="BV211" s="8" t="s">
        <v>92</v>
      </c>
      <c r="BW211" s="8" t="s">
        <v>93</v>
      </c>
      <c r="BX211" s="8" t="s">
        <v>92</v>
      </c>
      <c r="BY211" s="8" t="s">
        <v>92</v>
      </c>
      <c r="BZ211" s="8" t="s">
        <v>93</v>
      </c>
      <c r="CA211" s="8" t="s">
        <v>92</v>
      </c>
      <c r="CB211" s="20" t="s">
        <v>1045</v>
      </c>
      <c r="CC211" s="20" t="s">
        <v>116</v>
      </c>
      <c r="CD211" s="18"/>
      <c r="CE211" s="18"/>
      <c r="CF211" s="18"/>
      <c r="CG211" s="18"/>
      <c r="CH211" s="18"/>
    </row>
    <row r="212">
      <c r="A212" s="8"/>
      <c r="B212" s="9" t="s">
        <v>1039</v>
      </c>
      <c r="C212" s="10" t="s">
        <v>1040</v>
      </c>
      <c r="D212" s="9" t="s">
        <v>87</v>
      </c>
      <c r="E212" s="11" t="s">
        <v>1052</v>
      </c>
      <c r="F212" s="10" t="s">
        <v>187</v>
      </c>
      <c r="G212" s="9" t="s">
        <v>188</v>
      </c>
      <c r="H212" s="14" t="s">
        <v>189</v>
      </c>
      <c r="I212" s="9" t="s">
        <v>1053</v>
      </c>
      <c r="J212" s="14" t="s">
        <v>92</v>
      </c>
      <c r="K212" s="14" t="s">
        <v>92</v>
      </c>
      <c r="L212" s="14" t="s">
        <v>92</v>
      </c>
      <c r="M212" s="14" t="s">
        <v>93</v>
      </c>
      <c r="N212" s="14" t="s">
        <v>92</v>
      </c>
      <c r="O212" s="14" t="s">
        <v>92</v>
      </c>
      <c r="P212" s="14" t="s">
        <v>92</v>
      </c>
      <c r="Q212" s="14" t="s">
        <v>93</v>
      </c>
      <c r="R212" s="14" t="s">
        <v>93</v>
      </c>
      <c r="S212" s="14" t="s">
        <v>92</v>
      </c>
      <c r="T212" s="14" t="s">
        <v>92</v>
      </c>
      <c r="U212" s="14" t="s">
        <v>93</v>
      </c>
      <c r="V212" s="14" t="s">
        <v>92</v>
      </c>
      <c r="W212" s="14" t="s">
        <v>92</v>
      </c>
      <c r="X212" s="14" t="s">
        <v>92</v>
      </c>
      <c r="Y212" s="14" t="s">
        <v>92</v>
      </c>
      <c r="Z212" s="14" t="s">
        <v>92</v>
      </c>
      <c r="AA212" s="14" t="s">
        <v>92</v>
      </c>
      <c r="AB212" s="8" t="s">
        <v>93</v>
      </c>
      <c r="AC212" s="8" t="s">
        <v>92</v>
      </c>
      <c r="AD212" s="8" t="s">
        <v>92</v>
      </c>
      <c r="AE212" s="14" t="s">
        <v>94</v>
      </c>
      <c r="AF212" s="14" t="s">
        <v>92</v>
      </c>
      <c r="AG212" s="14" t="s">
        <v>95</v>
      </c>
      <c r="AH212" s="8" t="s">
        <v>105</v>
      </c>
      <c r="AI212" s="14" t="s">
        <v>105</v>
      </c>
      <c r="AJ212" s="14" t="s">
        <v>105</v>
      </c>
      <c r="AK212" s="14" t="s">
        <v>92</v>
      </c>
      <c r="AL212" s="14" t="s">
        <v>93</v>
      </c>
      <c r="AM212" s="8" t="s">
        <v>95</v>
      </c>
      <c r="AN212" s="14" t="s">
        <v>114</v>
      </c>
      <c r="AO212" s="8" t="s">
        <v>92</v>
      </c>
      <c r="AP212" s="8" t="s">
        <v>92</v>
      </c>
      <c r="AQ212" s="14" t="s">
        <v>93</v>
      </c>
      <c r="AR212" s="14" t="s">
        <v>93</v>
      </c>
      <c r="AS212" s="14" t="s">
        <v>93</v>
      </c>
      <c r="AT212" s="14" t="s">
        <v>93</v>
      </c>
      <c r="AU212" s="14" t="s">
        <v>93</v>
      </c>
      <c r="AV212" s="14" t="s">
        <v>93</v>
      </c>
      <c r="AW212" s="14" t="s">
        <v>93</v>
      </c>
      <c r="AX212" s="14" t="s">
        <v>92</v>
      </c>
      <c r="AY212" s="15" t="s">
        <v>441</v>
      </c>
      <c r="AZ212" s="15" t="s">
        <v>95</v>
      </c>
      <c r="BA212" s="9" t="s">
        <v>1039</v>
      </c>
      <c r="BB212" s="8" t="s">
        <v>155</v>
      </c>
      <c r="BC212" s="8" t="s">
        <v>92</v>
      </c>
      <c r="BD212" s="14" t="s">
        <v>92</v>
      </c>
      <c r="BE212" s="14" t="s">
        <v>92</v>
      </c>
      <c r="BF212" s="14" t="s">
        <v>92</v>
      </c>
      <c r="BG212" s="14" t="s">
        <v>92</v>
      </c>
      <c r="BH212" s="14" t="s">
        <v>92</v>
      </c>
      <c r="BI212" s="14" t="s">
        <v>93</v>
      </c>
      <c r="BJ212" s="14" t="s">
        <v>92</v>
      </c>
      <c r="BK212" s="14" t="s">
        <v>1044</v>
      </c>
      <c r="BL212" s="14" t="s">
        <v>93</v>
      </c>
      <c r="BM212" s="14" t="s">
        <v>92</v>
      </c>
      <c r="BN212" s="14" t="s">
        <v>92</v>
      </c>
      <c r="BO212" s="14" t="s">
        <v>92</v>
      </c>
      <c r="BP212" s="14" t="s">
        <v>92</v>
      </c>
      <c r="BQ212" s="8" t="s">
        <v>93</v>
      </c>
      <c r="BR212" s="8" t="s">
        <v>92</v>
      </c>
      <c r="BS212" s="8" t="s">
        <v>92</v>
      </c>
      <c r="BT212" s="8" t="s">
        <v>92</v>
      </c>
      <c r="BU212" s="8" t="s">
        <v>92</v>
      </c>
      <c r="BV212" s="8" t="s">
        <v>92</v>
      </c>
      <c r="BW212" s="8" t="s">
        <v>92</v>
      </c>
      <c r="BX212" s="8" t="s">
        <v>92</v>
      </c>
      <c r="BY212" s="8" t="s">
        <v>92</v>
      </c>
      <c r="BZ212" s="8" t="s">
        <v>92</v>
      </c>
      <c r="CA212" s="8" t="s">
        <v>92</v>
      </c>
      <c r="CB212" s="20" t="s">
        <v>116</v>
      </c>
      <c r="CC212" s="17"/>
      <c r="CD212" s="18"/>
      <c r="CE212" s="18"/>
      <c r="CF212" s="18"/>
      <c r="CG212" s="18"/>
      <c r="CH212" s="18"/>
    </row>
    <row r="213">
      <c r="A213" s="8"/>
      <c r="B213" s="9" t="s">
        <v>1039</v>
      </c>
      <c r="C213" s="10" t="s">
        <v>1040</v>
      </c>
      <c r="D213" s="9" t="s">
        <v>87</v>
      </c>
      <c r="E213" s="11" t="s">
        <v>1054</v>
      </c>
      <c r="F213" s="12"/>
      <c r="G213" s="14" t="s">
        <v>1055</v>
      </c>
      <c r="H213" s="9" t="s">
        <v>90</v>
      </c>
      <c r="I213" s="14" t="s">
        <v>1056</v>
      </c>
      <c r="J213" s="14" t="s">
        <v>92</v>
      </c>
      <c r="K213" s="14" t="s">
        <v>92</v>
      </c>
      <c r="L213" s="14" t="s">
        <v>92</v>
      </c>
      <c r="M213" s="14" t="s">
        <v>93</v>
      </c>
      <c r="N213" s="14" t="s">
        <v>92</v>
      </c>
      <c r="O213" s="14" t="s">
        <v>92</v>
      </c>
      <c r="P213" s="14" t="s">
        <v>92</v>
      </c>
      <c r="Q213" s="14" t="s">
        <v>92</v>
      </c>
      <c r="R213" s="14" t="s">
        <v>92</v>
      </c>
      <c r="S213" s="14" t="s">
        <v>93</v>
      </c>
      <c r="T213" s="14" t="s">
        <v>92</v>
      </c>
      <c r="U213" s="14" t="s">
        <v>92</v>
      </c>
      <c r="V213" s="14" t="s">
        <v>92</v>
      </c>
      <c r="W213" s="14" t="s">
        <v>92</v>
      </c>
      <c r="X213" s="14" t="s">
        <v>92</v>
      </c>
      <c r="Y213" s="14" t="s">
        <v>92</v>
      </c>
      <c r="Z213" s="14" t="s">
        <v>92</v>
      </c>
      <c r="AA213" s="14" t="s">
        <v>92</v>
      </c>
      <c r="AB213" s="8" t="s">
        <v>93</v>
      </c>
      <c r="AC213" s="8" t="s">
        <v>92</v>
      </c>
      <c r="AD213" s="8" t="s">
        <v>92</v>
      </c>
      <c r="AE213" s="14" t="s">
        <v>148</v>
      </c>
      <c r="AF213" s="14" t="s">
        <v>92</v>
      </c>
      <c r="AG213" s="14" t="s">
        <v>95</v>
      </c>
      <c r="AH213" s="8">
        <v>2023.0</v>
      </c>
      <c r="AI213" s="14" t="s">
        <v>92</v>
      </c>
      <c r="AJ213" s="14" t="s">
        <v>92</v>
      </c>
      <c r="AK213" s="14" t="s">
        <v>92</v>
      </c>
      <c r="AL213" s="14" t="s">
        <v>93</v>
      </c>
      <c r="AM213" s="8">
        <v>2023.0</v>
      </c>
      <c r="AN213" s="14" t="s">
        <v>96</v>
      </c>
      <c r="AO213" s="8" t="s">
        <v>92</v>
      </c>
      <c r="AP213" s="8" t="s">
        <v>92</v>
      </c>
      <c r="AQ213" s="14" t="s">
        <v>93</v>
      </c>
      <c r="AR213" s="14" t="s">
        <v>93</v>
      </c>
      <c r="AS213" s="14" t="s">
        <v>93</v>
      </c>
      <c r="AT213" s="14" t="s">
        <v>93</v>
      </c>
      <c r="AU213" s="14" t="s">
        <v>93</v>
      </c>
      <c r="AV213" s="14" t="s">
        <v>93</v>
      </c>
      <c r="AW213" s="14" t="s">
        <v>93</v>
      </c>
      <c r="AX213" s="14" t="s">
        <v>92</v>
      </c>
      <c r="AY213" s="15" t="s">
        <v>441</v>
      </c>
      <c r="AZ213" s="15" t="s">
        <v>95</v>
      </c>
      <c r="BA213" s="9" t="s">
        <v>1039</v>
      </c>
      <c r="BB213" s="8" t="s">
        <v>155</v>
      </c>
      <c r="BC213" s="8" t="s">
        <v>92</v>
      </c>
      <c r="BD213" s="14" t="s">
        <v>93</v>
      </c>
      <c r="BE213" s="14" t="s">
        <v>92</v>
      </c>
      <c r="BF213" s="14" t="s">
        <v>92</v>
      </c>
      <c r="BG213" s="14" t="s">
        <v>92</v>
      </c>
      <c r="BH213" s="14" t="s">
        <v>92</v>
      </c>
      <c r="BI213" s="14" t="s">
        <v>92</v>
      </c>
      <c r="BJ213" s="14" t="s">
        <v>92</v>
      </c>
      <c r="BK213" s="14" t="s">
        <v>105</v>
      </c>
      <c r="BL213" s="14" t="s">
        <v>105</v>
      </c>
      <c r="BM213" s="14" t="s">
        <v>105</v>
      </c>
      <c r="BN213" s="14" t="s">
        <v>105</v>
      </c>
      <c r="BO213" s="14" t="s">
        <v>105</v>
      </c>
      <c r="BP213" s="14" t="s">
        <v>105</v>
      </c>
      <c r="BQ213" s="8" t="s">
        <v>93</v>
      </c>
      <c r="BR213" s="8" t="s">
        <v>92</v>
      </c>
      <c r="BS213" s="8" t="s">
        <v>92</v>
      </c>
      <c r="BT213" s="8" t="s">
        <v>92</v>
      </c>
      <c r="BU213" s="8" t="s">
        <v>92</v>
      </c>
      <c r="BV213" s="8" t="s">
        <v>92</v>
      </c>
      <c r="BW213" s="8" t="s">
        <v>92</v>
      </c>
      <c r="BX213" s="8" t="s">
        <v>92</v>
      </c>
      <c r="BY213" s="8" t="s">
        <v>92</v>
      </c>
      <c r="BZ213" s="8" t="s">
        <v>92</v>
      </c>
      <c r="CA213" s="8" t="s">
        <v>92</v>
      </c>
      <c r="CB213" s="20" t="s">
        <v>116</v>
      </c>
      <c r="CC213" s="17"/>
      <c r="CD213" s="18"/>
      <c r="CE213" s="18"/>
      <c r="CF213" s="18"/>
      <c r="CG213" s="18"/>
      <c r="CH213" s="18"/>
    </row>
    <row r="214">
      <c r="A214" s="8"/>
      <c r="B214" s="9" t="s">
        <v>1039</v>
      </c>
      <c r="C214" s="10" t="s">
        <v>1040</v>
      </c>
      <c r="D214" s="9" t="s">
        <v>87</v>
      </c>
      <c r="E214" s="11" t="s">
        <v>1057</v>
      </c>
      <c r="F214" s="12"/>
      <c r="G214" s="14" t="s">
        <v>1058</v>
      </c>
      <c r="H214" s="9" t="s">
        <v>110</v>
      </c>
      <c r="I214" s="14" t="s">
        <v>1059</v>
      </c>
      <c r="J214" s="14" t="s">
        <v>93</v>
      </c>
      <c r="K214" s="14" t="s">
        <v>92</v>
      </c>
      <c r="L214" s="14" t="s">
        <v>93</v>
      </c>
      <c r="M214" s="14" t="s">
        <v>92</v>
      </c>
      <c r="N214" s="14" t="s">
        <v>92</v>
      </c>
      <c r="O214" s="14" t="s">
        <v>92</v>
      </c>
      <c r="P214" s="14" t="s">
        <v>92</v>
      </c>
      <c r="Q214" s="14" t="s">
        <v>92</v>
      </c>
      <c r="R214" s="14" t="s">
        <v>92</v>
      </c>
      <c r="S214" s="14" t="s">
        <v>92</v>
      </c>
      <c r="T214" s="14" t="s">
        <v>92</v>
      </c>
      <c r="U214" s="14" t="s">
        <v>92</v>
      </c>
      <c r="V214" s="14" t="s">
        <v>92</v>
      </c>
      <c r="W214" s="14" t="s">
        <v>92</v>
      </c>
      <c r="X214" s="14" t="s">
        <v>92</v>
      </c>
      <c r="Y214" s="14" t="s">
        <v>92</v>
      </c>
      <c r="Z214" s="14" t="s">
        <v>93</v>
      </c>
      <c r="AA214" s="14" t="s">
        <v>92</v>
      </c>
      <c r="AB214" s="8" t="s">
        <v>93</v>
      </c>
      <c r="AC214" s="8" t="s">
        <v>93</v>
      </c>
      <c r="AD214" s="8" t="s">
        <v>93</v>
      </c>
      <c r="AE214" s="14" t="s">
        <v>112</v>
      </c>
      <c r="AF214" s="14" t="s">
        <v>93</v>
      </c>
      <c r="AG214" s="14" t="s">
        <v>1060</v>
      </c>
      <c r="AH214" s="8">
        <v>2022.0</v>
      </c>
      <c r="AI214" s="14" t="s">
        <v>105</v>
      </c>
      <c r="AJ214" s="14" t="s">
        <v>105</v>
      </c>
      <c r="AK214" s="14" t="s">
        <v>93</v>
      </c>
      <c r="AL214" s="14" t="s">
        <v>93</v>
      </c>
      <c r="AM214" s="8" t="s">
        <v>95</v>
      </c>
      <c r="AN214" s="14" t="s">
        <v>114</v>
      </c>
      <c r="AO214" s="8" t="s">
        <v>93</v>
      </c>
      <c r="AP214" s="8" t="s">
        <v>92</v>
      </c>
      <c r="AQ214" s="14" t="s">
        <v>93</v>
      </c>
      <c r="AR214" s="14" t="s">
        <v>93</v>
      </c>
      <c r="AS214" s="14" t="s">
        <v>93</v>
      </c>
      <c r="AT214" s="14" t="s">
        <v>93</v>
      </c>
      <c r="AU214" s="14" t="s">
        <v>93</v>
      </c>
      <c r="AV214" s="14" t="s">
        <v>93</v>
      </c>
      <c r="AW214" s="14" t="s">
        <v>93</v>
      </c>
      <c r="AX214" s="14" t="s">
        <v>92</v>
      </c>
      <c r="AY214" s="8" t="s">
        <v>1061</v>
      </c>
      <c r="AZ214" s="8" t="s">
        <v>92</v>
      </c>
      <c r="BA214" s="9" t="s">
        <v>1039</v>
      </c>
      <c r="BB214" s="8" t="s">
        <v>155</v>
      </c>
      <c r="BC214" s="8" t="s">
        <v>92</v>
      </c>
      <c r="BD214" s="14" t="s">
        <v>92</v>
      </c>
      <c r="BE214" s="14" t="s">
        <v>92</v>
      </c>
      <c r="BF214" s="14" t="s">
        <v>92</v>
      </c>
      <c r="BG214" s="14" t="s">
        <v>92</v>
      </c>
      <c r="BH214" s="14" t="s">
        <v>92</v>
      </c>
      <c r="BI214" s="14" t="s">
        <v>93</v>
      </c>
      <c r="BJ214" s="14" t="s">
        <v>92</v>
      </c>
      <c r="BK214" s="14" t="s">
        <v>105</v>
      </c>
      <c r="BL214" s="14" t="s">
        <v>105</v>
      </c>
      <c r="BM214" s="14" t="s">
        <v>105</v>
      </c>
      <c r="BN214" s="14" t="s">
        <v>105</v>
      </c>
      <c r="BO214" s="14" t="s">
        <v>105</v>
      </c>
      <c r="BP214" s="14" t="s">
        <v>105</v>
      </c>
      <c r="BQ214" s="8" t="s">
        <v>92</v>
      </c>
      <c r="BR214" s="8" t="s">
        <v>92</v>
      </c>
      <c r="BS214" s="8" t="s">
        <v>92</v>
      </c>
      <c r="BT214" s="8" t="s">
        <v>93</v>
      </c>
      <c r="BU214" s="8" t="s">
        <v>92</v>
      </c>
      <c r="BV214" s="8" t="s">
        <v>92</v>
      </c>
      <c r="BW214" s="8" t="s">
        <v>92</v>
      </c>
      <c r="BX214" s="8" t="s">
        <v>92</v>
      </c>
      <c r="BY214" s="8" t="s">
        <v>92</v>
      </c>
      <c r="BZ214" s="8" t="s">
        <v>93</v>
      </c>
      <c r="CA214" s="8" t="s">
        <v>92</v>
      </c>
      <c r="CB214" s="20" t="s">
        <v>116</v>
      </c>
      <c r="CC214" s="17"/>
      <c r="CD214" s="18"/>
      <c r="CE214" s="18"/>
      <c r="CF214" s="18"/>
      <c r="CG214" s="18"/>
      <c r="CH214" s="18"/>
    </row>
    <row r="215">
      <c r="A215" s="8"/>
      <c r="B215" s="9" t="s">
        <v>1062</v>
      </c>
      <c r="C215" s="10" t="s">
        <v>1063</v>
      </c>
      <c r="D215" s="9" t="s">
        <v>87</v>
      </c>
      <c r="E215" s="11" t="s">
        <v>1064</v>
      </c>
      <c r="F215" s="10" t="s">
        <v>187</v>
      </c>
      <c r="G215" s="9" t="s">
        <v>188</v>
      </c>
      <c r="H215" s="14" t="s">
        <v>189</v>
      </c>
      <c r="I215" s="14" t="s">
        <v>1065</v>
      </c>
      <c r="J215" s="14" t="s">
        <v>92</v>
      </c>
      <c r="K215" s="14" t="s">
        <v>92</v>
      </c>
      <c r="L215" s="14" t="s">
        <v>92</v>
      </c>
      <c r="M215" s="14" t="s">
        <v>93</v>
      </c>
      <c r="N215" s="14" t="s">
        <v>92</v>
      </c>
      <c r="O215" s="14" t="s">
        <v>92</v>
      </c>
      <c r="P215" s="14" t="s">
        <v>92</v>
      </c>
      <c r="Q215" s="14" t="s">
        <v>93</v>
      </c>
      <c r="R215" s="14" t="s">
        <v>92</v>
      </c>
      <c r="S215" s="14" t="s">
        <v>92</v>
      </c>
      <c r="T215" s="14" t="s">
        <v>92</v>
      </c>
      <c r="U215" s="14" t="s">
        <v>93</v>
      </c>
      <c r="V215" s="14" t="s">
        <v>92</v>
      </c>
      <c r="W215" s="14" t="s">
        <v>92</v>
      </c>
      <c r="X215" s="14" t="s">
        <v>92</v>
      </c>
      <c r="Y215" s="14" t="s">
        <v>92</v>
      </c>
      <c r="Z215" s="14" t="s">
        <v>92</v>
      </c>
      <c r="AA215" s="14" t="s">
        <v>92</v>
      </c>
      <c r="AB215" s="8" t="s">
        <v>93</v>
      </c>
      <c r="AC215" s="8" t="s">
        <v>92</v>
      </c>
      <c r="AD215" s="8" t="s">
        <v>92</v>
      </c>
      <c r="AE215" s="14" t="s">
        <v>103</v>
      </c>
      <c r="AF215" s="14" t="s">
        <v>92</v>
      </c>
      <c r="AG215" s="14" t="s">
        <v>95</v>
      </c>
      <c r="AH215" s="8" t="s">
        <v>105</v>
      </c>
      <c r="AI215" s="14" t="s">
        <v>93</v>
      </c>
      <c r="AJ215" s="14" t="s">
        <v>93</v>
      </c>
      <c r="AK215" s="14" t="s">
        <v>93</v>
      </c>
      <c r="AL215" s="14" t="s">
        <v>93</v>
      </c>
      <c r="AM215" s="8" t="s">
        <v>95</v>
      </c>
      <c r="AN215" s="14" t="s">
        <v>114</v>
      </c>
      <c r="AO215" s="8" t="s">
        <v>93</v>
      </c>
      <c r="AP215" s="8" t="s">
        <v>92</v>
      </c>
      <c r="AQ215" s="14" t="s">
        <v>93</v>
      </c>
      <c r="AR215" s="14" t="s">
        <v>93</v>
      </c>
      <c r="AS215" s="14" t="s">
        <v>92</v>
      </c>
      <c r="AT215" s="14" t="s">
        <v>93</v>
      </c>
      <c r="AU215" s="14" t="s">
        <v>93</v>
      </c>
      <c r="AV215" s="14" t="s">
        <v>93</v>
      </c>
      <c r="AW215" s="14" t="s">
        <v>93</v>
      </c>
      <c r="AX215" s="14" t="s">
        <v>92</v>
      </c>
      <c r="AY215" s="8" t="s">
        <v>95</v>
      </c>
      <c r="AZ215" s="8" t="s">
        <v>95</v>
      </c>
      <c r="BA215" s="9" t="s">
        <v>105</v>
      </c>
      <c r="BB215" s="8" t="s">
        <v>105</v>
      </c>
      <c r="BC215" s="8" t="s">
        <v>105</v>
      </c>
      <c r="BD215" s="14" t="s">
        <v>92</v>
      </c>
      <c r="BE215" s="14" t="s">
        <v>92</v>
      </c>
      <c r="BF215" s="14" t="s">
        <v>92</v>
      </c>
      <c r="BG215" s="14" t="s">
        <v>92</v>
      </c>
      <c r="BH215" s="14" t="s">
        <v>92</v>
      </c>
      <c r="BI215" s="14" t="s">
        <v>93</v>
      </c>
      <c r="BJ215" s="14" t="s">
        <v>92</v>
      </c>
      <c r="BK215" s="14" t="s">
        <v>1066</v>
      </c>
      <c r="BL215" s="14" t="s">
        <v>92</v>
      </c>
      <c r="BM215" s="14" t="s">
        <v>92</v>
      </c>
      <c r="BN215" s="14" t="s">
        <v>92</v>
      </c>
      <c r="BO215" s="14" t="s">
        <v>92</v>
      </c>
      <c r="BP215" s="14" t="s">
        <v>93</v>
      </c>
      <c r="BQ215" s="8" t="s">
        <v>93</v>
      </c>
      <c r="BR215" s="8" t="s">
        <v>92</v>
      </c>
      <c r="BS215" s="8" t="s">
        <v>92</v>
      </c>
      <c r="BT215" s="8" t="s">
        <v>92</v>
      </c>
      <c r="BU215" s="8" t="s">
        <v>92</v>
      </c>
      <c r="BV215" s="8" t="s">
        <v>92</v>
      </c>
      <c r="BW215" s="8" t="s">
        <v>92</v>
      </c>
      <c r="BX215" s="8" t="s">
        <v>92</v>
      </c>
      <c r="BY215" s="8" t="s">
        <v>92</v>
      </c>
      <c r="BZ215" s="8" t="s">
        <v>92</v>
      </c>
      <c r="CA215" s="8" t="s">
        <v>92</v>
      </c>
      <c r="CB215" s="20" t="s">
        <v>178</v>
      </c>
      <c r="CC215" s="20" t="s">
        <v>115</v>
      </c>
      <c r="CD215" s="20" t="s">
        <v>116</v>
      </c>
      <c r="CE215" s="20" t="s">
        <v>106</v>
      </c>
      <c r="CF215" s="18"/>
      <c r="CG215" s="18"/>
      <c r="CH215" s="18"/>
    </row>
    <row r="216">
      <c r="A216" s="8"/>
      <c r="B216" s="9" t="s">
        <v>1062</v>
      </c>
      <c r="C216" s="10" t="s">
        <v>1063</v>
      </c>
      <c r="D216" s="9" t="s">
        <v>87</v>
      </c>
      <c r="E216" s="11" t="s">
        <v>1067</v>
      </c>
      <c r="F216" s="12"/>
      <c r="G216" s="14" t="s">
        <v>1068</v>
      </c>
      <c r="H216" s="14" t="s">
        <v>90</v>
      </c>
      <c r="I216" s="14" t="s">
        <v>1069</v>
      </c>
      <c r="J216" s="14" t="s">
        <v>92</v>
      </c>
      <c r="K216" s="14" t="s">
        <v>92</v>
      </c>
      <c r="L216" s="14" t="s">
        <v>92</v>
      </c>
      <c r="M216" s="14" t="s">
        <v>92</v>
      </c>
      <c r="N216" s="14" t="s">
        <v>93</v>
      </c>
      <c r="O216" s="14" t="s">
        <v>92</v>
      </c>
      <c r="P216" s="14" t="s">
        <v>92</v>
      </c>
      <c r="Q216" s="14" t="s">
        <v>92</v>
      </c>
      <c r="R216" s="14" t="s">
        <v>92</v>
      </c>
      <c r="S216" s="14" t="s">
        <v>92</v>
      </c>
      <c r="T216" s="14" t="s">
        <v>93</v>
      </c>
      <c r="U216" s="14" t="s">
        <v>92</v>
      </c>
      <c r="V216" s="14" t="s">
        <v>92</v>
      </c>
      <c r="W216" s="14" t="s">
        <v>92</v>
      </c>
      <c r="X216" s="14" t="s">
        <v>92</v>
      </c>
      <c r="Y216" s="14" t="s">
        <v>92</v>
      </c>
      <c r="Z216" s="14" t="s">
        <v>92</v>
      </c>
      <c r="AA216" s="14" t="s">
        <v>92</v>
      </c>
      <c r="AB216" s="8" t="s">
        <v>93</v>
      </c>
      <c r="AC216" s="8" t="s">
        <v>92</v>
      </c>
      <c r="AD216" s="8" t="s">
        <v>92</v>
      </c>
      <c r="AE216" s="14" t="s">
        <v>103</v>
      </c>
      <c r="AF216" s="14" t="s">
        <v>92</v>
      </c>
      <c r="AG216" s="14" t="s">
        <v>95</v>
      </c>
      <c r="AH216" s="8" t="s">
        <v>105</v>
      </c>
      <c r="AI216" s="14" t="s">
        <v>92</v>
      </c>
      <c r="AJ216" s="14" t="s">
        <v>93</v>
      </c>
      <c r="AK216" s="14" t="s">
        <v>92</v>
      </c>
      <c r="AL216" s="14" t="s">
        <v>92</v>
      </c>
      <c r="AM216" s="8" t="s">
        <v>105</v>
      </c>
      <c r="AN216" s="14" t="s">
        <v>105</v>
      </c>
      <c r="AO216" s="8" t="s">
        <v>105</v>
      </c>
      <c r="AP216" s="8" t="s">
        <v>92</v>
      </c>
      <c r="AQ216" s="14" t="s">
        <v>93</v>
      </c>
      <c r="AR216" s="14" t="s">
        <v>93</v>
      </c>
      <c r="AS216" s="14" t="s">
        <v>92</v>
      </c>
      <c r="AT216" s="14" t="s">
        <v>93</v>
      </c>
      <c r="AU216" s="14" t="s">
        <v>93</v>
      </c>
      <c r="AV216" s="14" t="s">
        <v>93</v>
      </c>
      <c r="AW216" s="14" t="s">
        <v>93</v>
      </c>
      <c r="AX216" s="14" t="s">
        <v>92</v>
      </c>
      <c r="AY216" s="8" t="s">
        <v>1070</v>
      </c>
      <c r="AZ216" s="8" t="s">
        <v>92</v>
      </c>
      <c r="BA216" s="9" t="s">
        <v>1062</v>
      </c>
      <c r="BB216" s="8" t="s">
        <v>155</v>
      </c>
      <c r="BC216" s="8" t="s">
        <v>92</v>
      </c>
      <c r="BD216" s="14" t="s">
        <v>92</v>
      </c>
      <c r="BE216" s="14" t="s">
        <v>92</v>
      </c>
      <c r="BF216" s="14" t="s">
        <v>92</v>
      </c>
      <c r="BG216" s="14" t="s">
        <v>92</v>
      </c>
      <c r="BH216" s="14" t="s">
        <v>92</v>
      </c>
      <c r="BI216" s="14" t="s">
        <v>93</v>
      </c>
      <c r="BJ216" s="14" t="s">
        <v>92</v>
      </c>
      <c r="BK216" s="14" t="s">
        <v>1066</v>
      </c>
      <c r="BL216" s="14" t="s">
        <v>92</v>
      </c>
      <c r="BM216" s="14" t="s">
        <v>92</v>
      </c>
      <c r="BN216" s="14" t="s">
        <v>92</v>
      </c>
      <c r="BO216" s="14" t="s">
        <v>92</v>
      </c>
      <c r="BP216" s="14" t="s">
        <v>93</v>
      </c>
      <c r="BQ216" s="8" t="s">
        <v>92</v>
      </c>
      <c r="BR216" s="8" t="s">
        <v>93</v>
      </c>
      <c r="BS216" s="8" t="s">
        <v>92</v>
      </c>
      <c r="BT216" s="8" t="s">
        <v>92</v>
      </c>
      <c r="BU216" s="8" t="s">
        <v>92</v>
      </c>
      <c r="BV216" s="8" t="s">
        <v>92</v>
      </c>
      <c r="BW216" s="8" t="s">
        <v>92</v>
      </c>
      <c r="BX216" s="8" t="s">
        <v>92</v>
      </c>
      <c r="BY216" s="8" t="s">
        <v>92</v>
      </c>
      <c r="BZ216" s="8" t="s">
        <v>92</v>
      </c>
      <c r="CA216" s="8" t="s">
        <v>92</v>
      </c>
      <c r="CB216" s="20" t="s">
        <v>115</v>
      </c>
      <c r="CC216" s="31"/>
      <c r="CD216" s="31"/>
      <c r="CE216" s="18"/>
      <c r="CF216" s="18"/>
      <c r="CG216" s="18"/>
      <c r="CH216" s="18"/>
    </row>
    <row r="217">
      <c r="A217" s="8"/>
      <c r="B217" s="9" t="s">
        <v>1062</v>
      </c>
      <c r="C217" s="10" t="s">
        <v>1063</v>
      </c>
      <c r="D217" s="9" t="s">
        <v>87</v>
      </c>
      <c r="E217" s="11" t="s">
        <v>1071</v>
      </c>
      <c r="F217" s="12"/>
      <c r="G217" s="14" t="s">
        <v>1072</v>
      </c>
      <c r="H217" s="14" t="s">
        <v>189</v>
      </c>
      <c r="I217" s="14" t="s">
        <v>1073</v>
      </c>
      <c r="J217" s="14" t="s">
        <v>92</v>
      </c>
      <c r="K217" s="14" t="s">
        <v>92</v>
      </c>
      <c r="L217" s="14" t="s">
        <v>92</v>
      </c>
      <c r="M217" s="14" t="s">
        <v>93</v>
      </c>
      <c r="N217" s="14" t="s">
        <v>92</v>
      </c>
      <c r="O217" s="14" t="s">
        <v>92</v>
      </c>
      <c r="P217" s="14" t="s">
        <v>92</v>
      </c>
      <c r="Q217" s="14" t="s">
        <v>93</v>
      </c>
      <c r="R217" s="14" t="s">
        <v>93</v>
      </c>
      <c r="S217" s="14" t="s">
        <v>92</v>
      </c>
      <c r="T217" s="14" t="s">
        <v>92</v>
      </c>
      <c r="U217" s="14" t="s">
        <v>93</v>
      </c>
      <c r="V217" s="14" t="s">
        <v>92</v>
      </c>
      <c r="W217" s="14" t="s">
        <v>92</v>
      </c>
      <c r="X217" s="14" t="s">
        <v>92</v>
      </c>
      <c r="Y217" s="14" t="s">
        <v>92</v>
      </c>
      <c r="Z217" s="14" t="s">
        <v>92</v>
      </c>
      <c r="AA217" s="14" t="s">
        <v>92</v>
      </c>
      <c r="AB217" s="8" t="s">
        <v>93</v>
      </c>
      <c r="AC217" s="8" t="s">
        <v>92</v>
      </c>
      <c r="AD217" s="8" t="s">
        <v>92</v>
      </c>
      <c r="AE217" s="14" t="s">
        <v>94</v>
      </c>
      <c r="AF217" s="14" t="s">
        <v>92</v>
      </c>
      <c r="AG217" s="14" t="s">
        <v>95</v>
      </c>
      <c r="AH217" s="8" t="s">
        <v>105</v>
      </c>
      <c r="AI217" s="14" t="s">
        <v>92</v>
      </c>
      <c r="AJ217" s="14" t="s">
        <v>93</v>
      </c>
      <c r="AK217" s="14" t="s">
        <v>92</v>
      </c>
      <c r="AL217" s="14" t="s">
        <v>92</v>
      </c>
      <c r="AM217" s="8" t="s">
        <v>105</v>
      </c>
      <c r="AN217" s="14" t="s">
        <v>105</v>
      </c>
      <c r="AO217" s="8" t="s">
        <v>105</v>
      </c>
      <c r="AP217" s="8" t="s">
        <v>92</v>
      </c>
      <c r="AQ217" s="14" t="s">
        <v>93</v>
      </c>
      <c r="AR217" s="14" t="s">
        <v>93</v>
      </c>
      <c r="AS217" s="14" t="s">
        <v>92</v>
      </c>
      <c r="AT217" s="14" t="s">
        <v>93</v>
      </c>
      <c r="AU217" s="14" t="s">
        <v>93</v>
      </c>
      <c r="AV217" s="14" t="s">
        <v>93</v>
      </c>
      <c r="AW217" s="14" t="s">
        <v>93</v>
      </c>
      <c r="AX217" s="14" t="s">
        <v>92</v>
      </c>
      <c r="AY217" s="8" t="s">
        <v>1074</v>
      </c>
      <c r="AZ217" s="8" t="s">
        <v>92</v>
      </c>
      <c r="BA217" s="9" t="s">
        <v>1062</v>
      </c>
      <c r="BB217" s="8" t="s">
        <v>155</v>
      </c>
      <c r="BC217" s="8" t="s">
        <v>92</v>
      </c>
      <c r="BD217" s="14" t="s">
        <v>92</v>
      </c>
      <c r="BE217" s="14" t="s">
        <v>92</v>
      </c>
      <c r="BF217" s="14" t="s">
        <v>92</v>
      </c>
      <c r="BG217" s="14" t="s">
        <v>92</v>
      </c>
      <c r="BH217" s="14" t="s">
        <v>92</v>
      </c>
      <c r="BI217" s="14" t="s">
        <v>93</v>
      </c>
      <c r="BJ217" s="14" t="s">
        <v>92</v>
      </c>
      <c r="BK217" s="14" t="s">
        <v>1075</v>
      </c>
      <c r="BL217" s="14" t="s">
        <v>92</v>
      </c>
      <c r="BM217" s="14" t="s">
        <v>92</v>
      </c>
      <c r="BN217" s="14" t="s">
        <v>92</v>
      </c>
      <c r="BO217" s="14" t="s">
        <v>92</v>
      </c>
      <c r="BP217" s="14" t="s">
        <v>93</v>
      </c>
      <c r="BQ217" s="8" t="s">
        <v>93</v>
      </c>
      <c r="BR217" s="8" t="s">
        <v>92</v>
      </c>
      <c r="BS217" s="8" t="s">
        <v>92</v>
      </c>
      <c r="BT217" s="8" t="s">
        <v>92</v>
      </c>
      <c r="BU217" s="8" t="s">
        <v>92</v>
      </c>
      <c r="BV217" s="8" t="s">
        <v>92</v>
      </c>
      <c r="BW217" s="8" t="s">
        <v>92</v>
      </c>
      <c r="BX217" s="8" t="s">
        <v>92</v>
      </c>
      <c r="BY217" s="8" t="s">
        <v>92</v>
      </c>
      <c r="BZ217" s="8" t="s">
        <v>92</v>
      </c>
      <c r="CA217" s="8" t="s">
        <v>92</v>
      </c>
      <c r="CB217" s="20" t="s">
        <v>115</v>
      </c>
      <c r="CC217" s="31"/>
      <c r="CD217" s="31"/>
      <c r="CE217" s="18"/>
      <c r="CF217" s="18"/>
      <c r="CG217" s="18"/>
      <c r="CH217" s="18"/>
    </row>
    <row r="218">
      <c r="A218" s="8"/>
      <c r="B218" s="9" t="s">
        <v>1062</v>
      </c>
      <c r="C218" s="10" t="s">
        <v>1063</v>
      </c>
      <c r="D218" s="9" t="s">
        <v>87</v>
      </c>
      <c r="E218" s="11" t="s">
        <v>1076</v>
      </c>
      <c r="F218" s="12"/>
      <c r="G218" s="14" t="s">
        <v>1077</v>
      </c>
      <c r="H218" s="14" t="s">
        <v>189</v>
      </c>
      <c r="I218" s="14" t="s">
        <v>1078</v>
      </c>
      <c r="J218" s="14" t="s">
        <v>92</v>
      </c>
      <c r="K218" s="14" t="s">
        <v>92</v>
      </c>
      <c r="L218" s="14" t="s">
        <v>92</v>
      </c>
      <c r="M218" s="14" t="s">
        <v>93</v>
      </c>
      <c r="N218" s="14" t="s">
        <v>92</v>
      </c>
      <c r="O218" s="14" t="s">
        <v>92</v>
      </c>
      <c r="P218" s="14" t="s">
        <v>92</v>
      </c>
      <c r="Q218" s="14" t="s">
        <v>93</v>
      </c>
      <c r="R218" s="14" t="s">
        <v>92</v>
      </c>
      <c r="S218" s="14" t="s">
        <v>92</v>
      </c>
      <c r="T218" s="14" t="s">
        <v>92</v>
      </c>
      <c r="U218" s="14" t="s">
        <v>93</v>
      </c>
      <c r="V218" s="14" t="s">
        <v>92</v>
      </c>
      <c r="W218" s="14" t="s">
        <v>92</v>
      </c>
      <c r="X218" s="14" t="s">
        <v>92</v>
      </c>
      <c r="Y218" s="14" t="s">
        <v>92</v>
      </c>
      <c r="Z218" s="14" t="s">
        <v>92</v>
      </c>
      <c r="AA218" s="14" t="s">
        <v>92</v>
      </c>
      <c r="AB218" s="8" t="s">
        <v>93</v>
      </c>
      <c r="AC218" s="8" t="s">
        <v>92</v>
      </c>
      <c r="AD218" s="8" t="s">
        <v>92</v>
      </c>
      <c r="AE218" s="14" t="s">
        <v>94</v>
      </c>
      <c r="AF218" s="14" t="s">
        <v>92</v>
      </c>
      <c r="AG218" s="14" t="s">
        <v>95</v>
      </c>
      <c r="AH218" s="8" t="s">
        <v>105</v>
      </c>
      <c r="AI218" s="14" t="s">
        <v>92</v>
      </c>
      <c r="AJ218" s="14" t="s">
        <v>92</v>
      </c>
      <c r="AK218" s="14" t="s">
        <v>93</v>
      </c>
      <c r="AL218" s="14" t="s">
        <v>92</v>
      </c>
      <c r="AM218" s="8" t="s">
        <v>105</v>
      </c>
      <c r="AN218" s="14" t="s">
        <v>105</v>
      </c>
      <c r="AO218" s="8" t="s">
        <v>105</v>
      </c>
      <c r="AP218" s="8" t="s">
        <v>92</v>
      </c>
      <c r="AQ218" s="14" t="s">
        <v>93</v>
      </c>
      <c r="AR218" s="14" t="s">
        <v>93</v>
      </c>
      <c r="AS218" s="14" t="s">
        <v>92</v>
      </c>
      <c r="AT218" s="14" t="s">
        <v>93</v>
      </c>
      <c r="AU218" s="14" t="s">
        <v>93</v>
      </c>
      <c r="AV218" s="14" t="s">
        <v>93</v>
      </c>
      <c r="AW218" s="14" t="s">
        <v>93</v>
      </c>
      <c r="AX218" s="14" t="s">
        <v>92</v>
      </c>
      <c r="AY218" s="8" t="s">
        <v>95</v>
      </c>
      <c r="AZ218" s="8" t="s">
        <v>95</v>
      </c>
      <c r="BA218" s="9" t="s">
        <v>105</v>
      </c>
      <c r="BB218" s="8" t="s">
        <v>105</v>
      </c>
      <c r="BC218" s="8" t="s">
        <v>105</v>
      </c>
      <c r="BD218" s="14" t="s">
        <v>92</v>
      </c>
      <c r="BE218" s="14" t="s">
        <v>92</v>
      </c>
      <c r="BF218" s="14" t="s">
        <v>92</v>
      </c>
      <c r="BG218" s="14" t="s">
        <v>92</v>
      </c>
      <c r="BH218" s="14" t="s">
        <v>92</v>
      </c>
      <c r="BI218" s="14" t="s">
        <v>93</v>
      </c>
      <c r="BJ218" s="14" t="s">
        <v>92</v>
      </c>
      <c r="BK218" s="14" t="s">
        <v>1066</v>
      </c>
      <c r="BL218" s="14" t="s">
        <v>92</v>
      </c>
      <c r="BM218" s="14" t="s">
        <v>92</v>
      </c>
      <c r="BN218" s="14" t="s">
        <v>92</v>
      </c>
      <c r="BO218" s="14" t="s">
        <v>92</v>
      </c>
      <c r="BP218" s="14" t="s">
        <v>93</v>
      </c>
      <c r="BQ218" s="8" t="s">
        <v>93</v>
      </c>
      <c r="BR218" s="8" t="s">
        <v>92</v>
      </c>
      <c r="BS218" s="8" t="s">
        <v>92</v>
      </c>
      <c r="BT218" s="8" t="s">
        <v>92</v>
      </c>
      <c r="BU218" s="8" t="s">
        <v>92</v>
      </c>
      <c r="BV218" s="8" t="s">
        <v>92</v>
      </c>
      <c r="BW218" s="8" t="s">
        <v>92</v>
      </c>
      <c r="BX218" s="8" t="s">
        <v>92</v>
      </c>
      <c r="BY218" s="8" t="s">
        <v>92</v>
      </c>
      <c r="BZ218" s="8" t="s">
        <v>92</v>
      </c>
      <c r="CA218" s="8" t="s">
        <v>92</v>
      </c>
      <c r="CB218" s="20" t="s">
        <v>106</v>
      </c>
      <c r="CC218" s="31"/>
      <c r="CD218" s="31"/>
      <c r="CE218" s="18"/>
      <c r="CF218" s="18"/>
      <c r="CG218" s="18"/>
      <c r="CH218" s="18"/>
    </row>
    <row r="219">
      <c r="A219" s="8"/>
      <c r="B219" s="9" t="s">
        <v>1062</v>
      </c>
      <c r="C219" s="10" t="s">
        <v>1063</v>
      </c>
      <c r="D219" s="9" t="s">
        <v>87</v>
      </c>
      <c r="E219" s="11" t="s">
        <v>1079</v>
      </c>
      <c r="F219" s="12"/>
      <c r="G219" s="14" t="s">
        <v>1080</v>
      </c>
      <c r="H219" s="14" t="s">
        <v>90</v>
      </c>
      <c r="I219" s="14" t="s">
        <v>1081</v>
      </c>
      <c r="J219" s="14" t="s">
        <v>92</v>
      </c>
      <c r="K219" s="14" t="s">
        <v>92</v>
      </c>
      <c r="L219" s="14" t="s">
        <v>93</v>
      </c>
      <c r="M219" s="14" t="s">
        <v>92</v>
      </c>
      <c r="N219" s="14" t="s">
        <v>92</v>
      </c>
      <c r="O219" s="14" t="s">
        <v>92</v>
      </c>
      <c r="P219" s="14" t="s">
        <v>92</v>
      </c>
      <c r="Q219" s="14" t="s">
        <v>92</v>
      </c>
      <c r="R219" s="14" t="s">
        <v>92</v>
      </c>
      <c r="S219" s="14" t="s">
        <v>93</v>
      </c>
      <c r="T219" s="14" t="s">
        <v>92</v>
      </c>
      <c r="U219" s="14" t="s">
        <v>92</v>
      </c>
      <c r="V219" s="14" t="s">
        <v>92</v>
      </c>
      <c r="W219" s="14" t="s">
        <v>92</v>
      </c>
      <c r="X219" s="14" t="s">
        <v>92</v>
      </c>
      <c r="Y219" s="14" t="s">
        <v>92</v>
      </c>
      <c r="Z219" s="14" t="s">
        <v>93</v>
      </c>
      <c r="AA219" s="14" t="s">
        <v>92</v>
      </c>
      <c r="AB219" s="8" t="s">
        <v>92</v>
      </c>
      <c r="AC219" s="8" t="s">
        <v>93</v>
      </c>
      <c r="AD219" s="8" t="s">
        <v>92</v>
      </c>
      <c r="AE219" s="14" t="s">
        <v>103</v>
      </c>
      <c r="AF219" s="14" t="s">
        <v>92</v>
      </c>
      <c r="AG219" s="14" t="s">
        <v>95</v>
      </c>
      <c r="AH219" s="8" t="s">
        <v>105</v>
      </c>
      <c r="AI219" s="14" t="s">
        <v>92</v>
      </c>
      <c r="AJ219" s="14" t="s">
        <v>92</v>
      </c>
      <c r="AK219" s="14" t="s">
        <v>93</v>
      </c>
      <c r="AL219" s="14" t="s">
        <v>93</v>
      </c>
      <c r="AM219" s="8" t="s">
        <v>95</v>
      </c>
      <c r="AN219" s="14" t="s">
        <v>114</v>
      </c>
      <c r="AO219" s="8" t="s">
        <v>93</v>
      </c>
      <c r="AP219" s="8" t="s">
        <v>92</v>
      </c>
      <c r="AQ219" s="14" t="s">
        <v>93</v>
      </c>
      <c r="AR219" s="14" t="s">
        <v>93</v>
      </c>
      <c r="AS219" s="14" t="s">
        <v>92</v>
      </c>
      <c r="AT219" s="14" t="s">
        <v>93</v>
      </c>
      <c r="AU219" s="14" t="s">
        <v>93</v>
      </c>
      <c r="AV219" s="14" t="s">
        <v>93</v>
      </c>
      <c r="AW219" s="14" t="s">
        <v>93</v>
      </c>
      <c r="AX219" s="14" t="s">
        <v>92</v>
      </c>
      <c r="AY219" s="8" t="s">
        <v>1082</v>
      </c>
      <c r="AZ219" s="8" t="s">
        <v>92</v>
      </c>
      <c r="BA219" s="9" t="s">
        <v>1083</v>
      </c>
      <c r="BB219" s="8" t="s">
        <v>95</v>
      </c>
      <c r="BC219" s="8" t="s">
        <v>93</v>
      </c>
      <c r="BD219" s="14" t="s">
        <v>93</v>
      </c>
      <c r="BE219" s="14" t="s">
        <v>92</v>
      </c>
      <c r="BF219" s="14" t="s">
        <v>92</v>
      </c>
      <c r="BG219" s="14" t="s">
        <v>92</v>
      </c>
      <c r="BH219" s="14" t="s">
        <v>92</v>
      </c>
      <c r="BI219" s="14" t="s">
        <v>92</v>
      </c>
      <c r="BJ219" s="14" t="s">
        <v>92</v>
      </c>
      <c r="BK219" s="14" t="s">
        <v>1075</v>
      </c>
      <c r="BL219" s="14" t="s">
        <v>92</v>
      </c>
      <c r="BM219" s="14" t="s">
        <v>92</v>
      </c>
      <c r="BN219" s="14" t="s">
        <v>92</v>
      </c>
      <c r="BO219" s="14" t="s">
        <v>92</v>
      </c>
      <c r="BP219" s="14" t="s">
        <v>93</v>
      </c>
      <c r="BQ219" s="8" t="s">
        <v>92</v>
      </c>
      <c r="BR219" s="8" t="s">
        <v>92</v>
      </c>
      <c r="BS219" s="8" t="s">
        <v>92</v>
      </c>
      <c r="BT219" s="8" t="s">
        <v>93</v>
      </c>
      <c r="BU219" s="8" t="s">
        <v>92</v>
      </c>
      <c r="BV219" s="8" t="s">
        <v>92</v>
      </c>
      <c r="BW219" s="8" t="s">
        <v>92</v>
      </c>
      <c r="BX219" s="8" t="s">
        <v>92</v>
      </c>
      <c r="BY219" s="8" t="s">
        <v>92</v>
      </c>
      <c r="BZ219" s="8" t="s">
        <v>93</v>
      </c>
      <c r="CA219" s="8" t="s">
        <v>92</v>
      </c>
      <c r="CB219" s="20" t="s">
        <v>106</v>
      </c>
      <c r="CC219" s="20" t="s">
        <v>116</v>
      </c>
      <c r="CD219" s="31"/>
      <c r="CE219" s="18"/>
      <c r="CF219" s="18"/>
      <c r="CG219" s="18"/>
      <c r="CH219" s="18"/>
    </row>
    <row r="220">
      <c r="A220" s="8"/>
      <c r="B220" s="9" t="s">
        <v>1062</v>
      </c>
      <c r="C220" s="10" t="s">
        <v>1063</v>
      </c>
      <c r="D220" s="9" t="s">
        <v>87</v>
      </c>
      <c r="E220" s="11" t="s">
        <v>1084</v>
      </c>
      <c r="F220" s="12"/>
      <c r="G220" s="14" t="s">
        <v>1085</v>
      </c>
      <c r="H220" s="14" t="s">
        <v>110</v>
      </c>
      <c r="I220" s="14" t="s">
        <v>1086</v>
      </c>
      <c r="J220" s="14" t="s">
        <v>92</v>
      </c>
      <c r="K220" s="14" t="s">
        <v>92</v>
      </c>
      <c r="L220" s="14" t="s">
        <v>93</v>
      </c>
      <c r="M220" s="14" t="s">
        <v>92</v>
      </c>
      <c r="N220" s="14" t="s">
        <v>92</v>
      </c>
      <c r="O220" s="14" t="s">
        <v>92</v>
      </c>
      <c r="P220" s="14" t="s">
        <v>92</v>
      </c>
      <c r="Q220" s="14" t="s">
        <v>92</v>
      </c>
      <c r="R220" s="14" t="s">
        <v>92</v>
      </c>
      <c r="S220" s="14" t="s">
        <v>92</v>
      </c>
      <c r="T220" s="14" t="s">
        <v>92</v>
      </c>
      <c r="U220" s="14" t="s">
        <v>92</v>
      </c>
      <c r="V220" s="14" t="s">
        <v>92</v>
      </c>
      <c r="W220" s="14" t="s">
        <v>92</v>
      </c>
      <c r="X220" s="14" t="s">
        <v>92</v>
      </c>
      <c r="Y220" s="14" t="s">
        <v>92</v>
      </c>
      <c r="Z220" s="14" t="s">
        <v>93</v>
      </c>
      <c r="AA220" s="14" t="s">
        <v>92</v>
      </c>
      <c r="AB220" s="8" t="s">
        <v>92</v>
      </c>
      <c r="AC220" s="8" t="s">
        <v>93</v>
      </c>
      <c r="AD220" s="8" t="s">
        <v>92</v>
      </c>
      <c r="AE220" s="14" t="s">
        <v>112</v>
      </c>
      <c r="AF220" s="14" t="s">
        <v>92</v>
      </c>
      <c r="AG220" s="14" t="s">
        <v>95</v>
      </c>
      <c r="AH220" s="8" t="s">
        <v>105</v>
      </c>
      <c r="AI220" s="14" t="s">
        <v>92</v>
      </c>
      <c r="AJ220" s="14" t="s">
        <v>92</v>
      </c>
      <c r="AK220" s="14" t="s">
        <v>93</v>
      </c>
      <c r="AL220" s="14" t="s">
        <v>92</v>
      </c>
      <c r="AM220" s="8" t="s">
        <v>105</v>
      </c>
      <c r="AN220" s="14" t="s">
        <v>105</v>
      </c>
      <c r="AO220" s="8" t="s">
        <v>105</v>
      </c>
      <c r="AP220" s="8" t="s">
        <v>92</v>
      </c>
      <c r="AQ220" s="14" t="s">
        <v>93</v>
      </c>
      <c r="AR220" s="14" t="s">
        <v>93</v>
      </c>
      <c r="AS220" s="14" t="s">
        <v>92</v>
      </c>
      <c r="AT220" s="14" t="s">
        <v>93</v>
      </c>
      <c r="AU220" s="14" t="s">
        <v>93</v>
      </c>
      <c r="AV220" s="14" t="s">
        <v>93</v>
      </c>
      <c r="AW220" s="14" t="s">
        <v>93</v>
      </c>
      <c r="AX220" s="14" t="s">
        <v>92</v>
      </c>
      <c r="AY220" s="8" t="s">
        <v>1087</v>
      </c>
      <c r="AZ220" s="8" t="s">
        <v>93</v>
      </c>
      <c r="BA220" s="9" t="s">
        <v>1062</v>
      </c>
      <c r="BB220" s="8" t="s">
        <v>155</v>
      </c>
      <c r="BC220" s="8" t="s">
        <v>92</v>
      </c>
      <c r="BD220" s="14" t="s">
        <v>93</v>
      </c>
      <c r="BE220" s="14" t="s">
        <v>92</v>
      </c>
      <c r="BF220" s="14" t="s">
        <v>92</v>
      </c>
      <c r="BG220" s="14" t="s">
        <v>92</v>
      </c>
      <c r="BH220" s="14" t="s">
        <v>92</v>
      </c>
      <c r="BI220" s="14" t="s">
        <v>92</v>
      </c>
      <c r="BJ220" s="14" t="s">
        <v>92</v>
      </c>
      <c r="BK220" s="14" t="s">
        <v>105</v>
      </c>
      <c r="BL220" s="14" t="s">
        <v>105</v>
      </c>
      <c r="BM220" s="14" t="s">
        <v>105</v>
      </c>
      <c r="BN220" s="14" t="s">
        <v>105</v>
      </c>
      <c r="BO220" s="14" t="s">
        <v>105</v>
      </c>
      <c r="BP220" s="14" t="s">
        <v>105</v>
      </c>
      <c r="BQ220" s="8" t="s">
        <v>92</v>
      </c>
      <c r="BR220" s="8" t="s">
        <v>92</v>
      </c>
      <c r="BS220" s="8" t="s">
        <v>92</v>
      </c>
      <c r="BT220" s="8" t="s">
        <v>93</v>
      </c>
      <c r="BU220" s="8" t="s">
        <v>92</v>
      </c>
      <c r="BV220" s="8" t="s">
        <v>93</v>
      </c>
      <c r="BW220" s="8" t="s">
        <v>92</v>
      </c>
      <c r="BX220" s="8" t="s">
        <v>92</v>
      </c>
      <c r="BY220" s="8" t="s">
        <v>92</v>
      </c>
      <c r="BZ220" s="8" t="s">
        <v>93</v>
      </c>
      <c r="CA220" s="8" t="s">
        <v>92</v>
      </c>
      <c r="CB220" s="20" t="s">
        <v>106</v>
      </c>
      <c r="CC220" s="31"/>
      <c r="CD220" s="31"/>
      <c r="CE220" s="18"/>
      <c r="CF220" s="18"/>
      <c r="CG220" s="18"/>
      <c r="CH220" s="18"/>
    </row>
    <row r="221">
      <c r="A221" s="8"/>
      <c r="B221" s="9" t="s">
        <v>1062</v>
      </c>
      <c r="C221" s="10" t="s">
        <v>1063</v>
      </c>
      <c r="D221" s="9" t="s">
        <v>87</v>
      </c>
      <c r="E221" s="11" t="s">
        <v>1088</v>
      </c>
      <c r="F221" s="12"/>
      <c r="G221" s="14" t="s">
        <v>1089</v>
      </c>
      <c r="H221" s="14" t="s">
        <v>90</v>
      </c>
      <c r="I221" s="14" t="s">
        <v>1090</v>
      </c>
      <c r="J221" s="14" t="s">
        <v>92</v>
      </c>
      <c r="K221" s="14" t="s">
        <v>92</v>
      </c>
      <c r="L221" s="14" t="s">
        <v>93</v>
      </c>
      <c r="M221" s="14" t="s">
        <v>92</v>
      </c>
      <c r="N221" s="14" t="s">
        <v>92</v>
      </c>
      <c r="O221" s="14" t="s">
        <v>92</v>
      </c>
      <c r="P221" s="14" t="s">
        <v>92</v>
      </c>
      <c r="Q221" s="14" t="s">
        <v>92</v>
      </c>
      <c r="R221" s="14" t="s">
        <v>92</v>
      </c>
      <c r="S221" s="14" t="s">
        <v>92</v>
      </c>
      <c r="T221" s="14" t="s">
        <v>92</v>
      </c>
      <c r="U221" s="14" t="s">
        <v>92</v>
      </c>
      <c r="V221" s="14" t="s">
        <v>92</v>
      </c>
      <c r="W221" s="14" t="s">
        <v>92</v>
      </c>
      <c r="X221" s="14" t="s">
        <v>92</v>
      </c>
      <c r="Y221" s="14" t="s">
        <v>92</v>
      </c>
      <c r="Z221" s="14" t="s">
        <v>93</v>
      </c>
      <c r="AA221" s="14" t="s">
        <v>92</v>
      </c>
      <c r="AB221" s="8" t="s">
        <v>92</v>
      </c>
      <c r="AC221" s="8" t="s">
        <v>93</v>
      </c>
      <c r="AD221" s="8" t="s">
        <v>92</v>
      </c>
      <c r="AE221" s="14" t="s">
        <v>112</v>
      </c>
      <c r="AF221" s="14" t="s">
        <v>92</v>
      </c>
      <c r="AG221" s="14" t="s">
        <v>95</v>
      </c>
      <c r="AH221" s="8" t="s">
        <v>105</v>
      </c>
      <c r="AI221" s="14" t="s">
        <v>92</v>
      </c>
      <c r="AJ221" s="14" t="s">
        <v>92</v>
      </c>
      <c r="AK221" s="14" t="s">
        <v>93</v>
      </c>
      <c r="AL221" s="14" t="s">
        <v>92</v>
      </c>
      <c r="AM221" s="8" t="s">
        <v>105</v>
      </c>
      <c r="AN221" s="14" t="s">
        <v>105</v>
      </c>
      <c r="AO221" s="8" t="s">
        <v>105</v>
      </c>
      <c r="AP221" s="8" t="s">
        <v>92</v>
      </c>
      <c r="AQ221" s="14" t="s">
        <v>93</v>
      </c>
      <c r="AR221" s="14" t="s">
        <v>93</v>
      </c>
      <c r="AS221" s="14" t="s">
        <v>92</v>
      </c>
      <c r="AT221" s="14" t="s">
        <v>93</v>
      </c>
      <c r="AU221" s="14" t="s">
        <v>93</v>
      </c>
      <c r="AV221" s="14" t="s">
        <v>93</v>
      </c>
      <c r="AW221" s="14" t="s">
        <v>93</v>
      </c>
      <c r="AX221" s="14" t="s">
        <v>92</v>
      </c>
      <c r="AY221" s="8" t="s">
        <v>415</v>
      </c>
      <c r="AZ221" s="8" t="s">
        <v>92</v>
      </c>
      <c r="BA221" s="9" t="s">
        <v>1062</v>
      </c>
      <c r="BB221" s="8" t="s">
        <v>155</v>
      </c>
      <c r="BC221" s="8" t="s">
        <v>92</v>
      </c>
      <c r="BD221" s="14" t="s">
        <v>93</v>
      </c>
      <c r="BE221" s="14" t="s">
        <v>92</v>
      </c>
      <c r="BF221" s="14" t="s">
        <v>92</v>
      </c>
      <c r="BG221" s="14" t="s">
        <v>92</v>
      </c>
      <c r="BH221" s="14" t="s">
        <v>92</v>
      </c>
      <c r="BI221" s="14" t="s">
        <v>92</v>
      </c>
      <c r="BJ221" s="14" t="s">
        <v>92</v>
      </c>
      <c r="BK221" s="14" t="s">
        <v>105</v>
      </c>
      <c r="BL221" s="14" t="s">
        <v>105</v>
      </c>
      <c r="BM221" s="14" t="s">
        <v>105</v>
      </c>
      <c r="BN221" s="14" t="s">
        <v>105</v>
      </c>
      <c r="BO221" s="14" t="s">
        <v>105</v>
      </c>
      <c r="BP221" s="14" t="s">
        <v>105</v>
      </c>
      <c r="BQ221" s="8" t="s">
        <v>92</v>
      </c>
      <c r="BR221" s="8" t="s">
        <v>92</v>
      </c>
      <c r="BS221" s="8" t="s">
        <v>92</v>
      </c>
      <c r="BT221" s="8" t="s">
        <v>93</v>
      </c>
      <c r="BU221" s="8" t="s">
        <v>92</v>
      </c>
      <c r="BV221" s="8" t="s">
        <v>93</v>
      </c>
      <c r="BW221" s="8" t="s">
        <v>92</v>
      </c>
      <c r="BX221" s="8" t="s">
        <v>92</v>
      </c>
      <c r="BY221" s="8" t="s">
        <v>92</v>
      </c>
      <c r="BZ221" s="8" t="s">
        <v>93</v>
      </c>
      <c r="CA221" s="8" t="s">
        <v>92</v>
      </c>
      <c r="CB221" s="20" t="s">
        <v>106</v>
      </c>
      <c r="CC221" s="31"/>
      <c r="CD221" s="31"/>
      <c r="CE221" s="18"/>
      <c r="CF221" s="18"/>
      <c r="CG221" s="18"/>
      <c r="CH221" s="18"/>
    </row>
    <row r="222" ht="15.0" customHeight="1">
      <c r="A222" s="8"/>
      <c r="B222" s="9" t="s">
        <v>1062</v>
      </c>
      <c r="C222" s="10" t="s">
        <v>1063</v>
      </c>
      <c r="D222" s="9" t="s">
        <v>87</v>
      </c>
      <c r="E222" s="11" t="s">
        <v>1091</v>
      </c>
      <c r="F222" s="12"/>
      <c r="G222" s="14" t="s">
        <v>1092</v>
      </c>
      <c r="H222" s="14" t="s">
        <v>90</v>
      </c>
      <c r="I222" s="14" t="s">
        <v>1093</v>
      </c>
      <c r="J222" s="14" t="s">
        <v>92</v>
      </c>
      <c r="K222" s="14" t="s">
        <v>92</v>
      </c>
      <c r="L222" s="14" t="s">
        <v>92</v>
      </c>
      <c r="M222" s="14" t="s">
        <v>92</v>
      </c>
      <c r="N222" s="14" t="s">
        <v>92</v>
      </c>
      <c r="O222" s="14" t="s">
        <v>92</v>
      </c>
      <c r="P222" s="14" t="s">
        <v>92</v>
      </c>
      <c r="Q222" s="14" t="s">
        <v>92</v>
      </c>
      <c r="R222" s="14" t="s">
        <v>92</v>
      </c>
      <c r="S222" s="14" t="s">
        <v>92</v>
      </c>
      <c r="T222" s="14" t="s">
        <v>92</v>
      </c>
      <c r="U222" s="14" t="s">
        <v>92</v>
      </c>
      <c r="V222" s="14" t="s">
        <v>92</v>
      </c>
      <c r="W222" s="14" t="s">
        <v>92</v>
      </c>
      <c r="X222" s="14" t="s">
        <v>92</v>
      </c>
      <c r="Y222" s="14" t="s">
        <v>92</v>
      </c>
      <c r="Z222" s="14" t="s">
        <v>93</v>
      </c>
      <c r="AA222" s="14" t="s">
        <v>92</v>
      </c>
      <c r="AB222" s="8" t="s">
        <v>92</v>
      </c>
      <c r="AC222" s="8" t="s">
        <v>93</v>
      </c>
      <c r="AD222" s="8" t="s">
        <v>92</v>
      </c>
      <c r="AE222" s="14" t="s">
        <v>112</v>
      </c>
      <c r="AF222" s="14" t="s">
        <v>92</v>
      </c>
      <c r="AG222" s="14" t="s">
        <v>95</v>
      </c>
      <c r="AH222" s="8" t="s">
        <v>105</v>
      </c>
      <c r="AI222" s="14" t="s">
        <v>92</v>
      </c>
      <c r="AJ222" s="14" t="s">
        <v>92</v>
      </c>
      <c r="AK222" s="14" t="s">
        <v>93</v>
      </c>
      <c r="AL222" s="14" t="s">
        <v>93</v>
      </c>
      <c r="AM222" s="8" t="s">
        <v>95</v>
      </c>
      <c r="AN222" s="14" t="s">
        <v>114</v>
      </c>
      <c r="AO222" s="8" t="s">
        <v>93</v>
      </c>
      <c r="AP222" s="8" t="s">
        <v>92</v>
      </c>
      <c r="AQ222" s="14" t="s">
        <v>93</v>
      </c>
      <c r="AR222" s="14" t="s">
        <v>93</v>
      </c>
      <c r="AS222" s="14" t="s">
        <v>92</v>
      </c>
      <c r="AT222" s="14" t="s">
        <v>93</v>
      </c>
      <c r="AU222" s="14" t="s">
        <v>93</v>
      </c>
      <c r="AV222" s="14" t="s">
        <v>93</v>
      </c>
      <c r="AW222" s="14" t="s">
        <v>93</v>
      </c>
      <c r="AX222" s="14" t="s">
        <v>92</v>
      </c>
      <c r="AY222" s="8" t="s">
        <v>95</v>
      </c>
      <c r="AZ222" s="8" t="s">
        <v>95</v>
      </c>
      <c r="BA222" s="9" t="s">
        <v>1062</v>
      </c>
      <c r="BB222" s="8" t="s">
        <v>155</v>
      </c>
      <c r="BC222" s="8" t="s">
        <v>92</v>
      </c>
      <c r="BD222" s="14" t="s">
        <v>92</v>
      </c>
      <c r="BE222" s="14" t="s">
        <v>92</v>
      </c>
      <c r="BF222" s="14" t="s">
        <v>92</v>
      </c>
      <c r="BG222" s="14" t="s">
        <v>92</v>
      </c>
      <c r="BH222" s="14" t="s">
        <v>92</v>
      </c>
      <c r="BI222" s="14" t="s">
        <v>92</v>
      </c>
      <c r="BJ222" s="14" t="s">
        <v>92</v>
      </c>
      <c r="BK222" s="14" t="s">
        <v>105</v>
      </c>
      <c r="BL222" s="14" t="s">
        <v>105</v>
      </c>
      <c r="BM222" s="14" t="s">
        <v>105</v>
      </c>
      <c r="BN222" s="14" t="s">
        <v>105</v>
      </c>
      <c r="BO222" s="14" t="s">
        <v>105</v>
      </c>
      <c r="BP222" s="14" t="s">
        <v>105</v>
      </c>
      <c r="BQ222" s="8" t="s">
        <v>92</v>
      </c>
      <c r="BR222" s="8" t="s">
        <v>92</v>
      </c>
      <c r="BS222" s="8" t="s">
        <v>92</v>
      </c>
      <c r="BT222" s="8" t="s">
        <v>93</v>
      </c>
      <c r="BU222" s="8" t="s">
        <v>92</v>
      </c>
      <c r="BV222" s="8" t="s">
        <v>92</v>
      </c>
      <c r="BW222" s="8" t="s">
        <v>92</v>
      </c>
      <c r="BX222" s="8" t="s">
        <v>92</v>
      </c>
      <c r="BY222" s="8" t="s">
        <v>92</v>
      </c>
      <c r="BZ222" s="8" t="s">
        <v>92</v>
      </c>
      <c r="CA222" s="8" t="s">
        <v>92</v>
      </c>
      <c r="CB222" s="20" t="s">
        <v>116</v>
      </c>
      <c r="CC222" s="20" t="s">
        <v>106</v>
      </c>
      <c r="CD222" s="31"/>
      <c r="CE222" s="18"/>
      <c r="CF222" s="18"/>
      <c r="CG222" s="18"/>
      <c r="CH222" s="18"/>
    </row>
    <row r="223" ht="14.25" customHeight="1">
      <c r="A223" s="8"/>
      <c r="B223" s="9" t="s">
        <v>1062</v>
      </c>
      <c r="C223" s="10" t="s">
        <v>1063</v>
      </c>
      <c r="D223" s="9" t="s">
        <v>87</v>
      </c>
      <c r="E223" s="11" t="s">
        <v>1094</v>
      </c>
      <c r="F223" s="12"/>
      <c r="G223" s="14" t="s">
        <v>1095</v>
      </c>
      <c r="H223" s="14" t="s">
        <v>90</v>
      </c>
      <c r="I223" s="14" t="s">
        <v>1096</v>
      </c>
      <c r="J223" s="14" t="s">
        <v>92</v>
      </c>
      <c r="K223" s="14" t="s">
        <v>92</v>
      </c>
      <c r="L223" s="14" t="s">
        <v>92</v>
      </c>
      <c r="M223" s="14" t="s">
        <v>92</v>
      </c>
      <c r="N223" s="14" t="s">
        <v>92</v>
      </c>
      <c r="O223" s="14" t="s">
        <v>92</v>
      </c>
      <c r="P223" s="14" t="s">
        <v>92</v>
      </c>
      <c r="Q223" s="14" t="s">
        <v>92</v>
      </c>
      <c r="R223" s="14" t="s">
        <v>92</v>
      </c>
      <c r="S223" s="14" t="s">
        <v>93</v>
      </c>
      <c r="T223" s="14" t="s">
        <v>92</v>
      </c>
      <c r="U223" s="14" t="s">
        <v>92</v>
      </c>
      <c r="V223" s="14" t="s">
        <v>92</v>
      </c>
      <c r="W223" s="14" t="s">
        <v>92</v>
      </c>
      <c r="X223" s="14" t="s">
        <v>92</v>
      </c>
      <c r="Y223" s="14" t="s">
        <v>92</v>
      </c>
      <c r="Z223" s="14" t="s">
        <v>93</v>
      </c>
      <c r="AA223" s="14" t="s">
        <v>92</v>
      </c>
      <c r="AB223" s="8" t="s">
        <v>92</v>
      </c>
      <c r="AC223" s="8" t="s">
        <v>93</v>
      </c>
      <c r="AD223" s="8" t="s">
        <v>92</v>
      </c>
      <c r="AE223" s="14" t="s">
        <v>112</v>
      </c>
      <c r="AF223" s="14" t="s">
        <v>92</v>
      </c>
      <c r="AG223" s="14" t="s">
        <v>95</v>
      </c>
      <c r="AH223" s="8" t="s">
        <v>105</v>
      </c>
      <c r="AI223" s="14" t="s">
        <v>93</v>
      </c>
      <c r="AJ223" s="14" t="s">
        <v>93</v>
      </c>
      <c r="AK223" s="14" t="s">
        <v>93</v>
      </c>
      <c r="AL223" s="14" t="s">
        <v>93</v>
      </c>
      <c r="AM223" s="8" t="s">
        <v>95</v>
      </c>
      <c r="AN223" s="14" t="s">
        <v>114</v>
      </c>
      <c r="AO223" s="8" t="s">
        <v>93</v>
      </c>
      <c r="AP223" s="8" t="s">
        <v>92</v>
      </c>
      <c r="AQ223" s="14" t="s">
        <v>93</v>
      </c>
      <c r="AR223" s="14" t="s">
        <v>93</v>
      </c>
      <c r="AS223" s="14" t="s">
        <v>92</v>
      </c>
      <c r="AT223" s="14" t="s">
        <v>93</v>
      </c>
      <c r="AU223" s="14" t="s">
        <v>93</v>
      </c>
      <c r="AV223" s="14" t="s">
        <v>93</v>
      </c>
      <c r="AW223" s="14" t="s">
        <v>93</v>
      </c>
      <c r="AX223" s="14" t="s">
        <v>92</v>
      </c>
      <c r="AY223" s="8" t="s">
        <v>95</v>
      </c>
      <c r="AZ223" s="8" t="s">
        <v>95</v>
      </c>
      <c r="BA223" s="9" t="s">
        <v>1062</v>
      </c>
      <c r="BB223" s="8" t="s">
        <v>155</v>
      </c>
      <c r="BC223" s="8" t="s">
        <v>92</v>
      </c>
      <c r="BD223" s="14" t="s">
        <v>93</v>
      </c>
      <c r="BE223" s="14" t="s">
        <v>92</v>
      </c>
      <c r="BF223" s="14" t="s">
        <v>92</v>
      </c>
      <c r="BG223" s="14" t="s">
        <v>92</v>
      </c>
      <c r="BH223" s="14" t="s">
        <v>92</v>
      </c>
      <c r="BI223" s="14" t="s">
        <v>92</v>
      </c>
      <c r="BJ223" s="14" t="s">
        <v>92</v>
      </c>
      <c r="BK223" s="14" t="s">
        <v>98</v>
      </c>
      <c r="BL223" s="14" t="s">
        <v>92</v>
      </c>
      <c r="BM223" s="14" t="s">
        <v>92</v>
      </c>
      <c r="BN223" s="14" t="s">
        <v>92</v>
      </c>
      <c r="BO223" s="14" t="s">
        <v>92</v>
      </c>
      <c r="BP223" s="14" t="s">
        <v>93</v>
      </c>
      <c r="BQ223" s="8" t="s">
        <v>92</v>
      </c>
      <c r="BR223" s="8" t="s">
        <v>92</v>
      </c>
      <c r="BS223" s="8" t="s">
        <v>92</v>
      </c>
      <c r="BT223" s="8" t="s">
        <v>93</v>
      </c>
      <c r="BU223" s="8" t="s">
        <v>92</v>
      </c>
      <c r="BV223" s="8" t="s">
        <v>92</v>
      </c>
      <c r="BW223" s="8" t="s">
        <v>92</v>
      </c>
      <c r="BX223" s="8" t="s">
        <v>92</v>
      </c>
      <c r="BY223" s="8" t="s">
        <v>92</v>
      </c>
      <c r="BZ223" s="8" t="s">
        <v>92</v>
      </c>
      <c r="CA223" s="8" t="s">
        <v>92</v>
      </c>
      <c r="CB223" s="20" t="s">
        <v>115</v>
      </c>
      <c r="CC223" s="20" t="s">
        <v>178</v>
      </c>
      <c r="CD223" s="20" t="s">
        <v>106</v>
      </c>
      <c r="CE223" s="20" t="s">
        <v>116</v>
      </c>
      <c r="CF223" s="18"/>
      <c r="CG223" s="18"/>
      <c r="CH223" s="18"/>
    </row>
    <row r="224">
      <c r="A224" s="8"/>
      <c r="B224" s="9" t="s">
        <v>1062</v>
      </c>
      <c r="C224" s="10" t="s">
        <v>1063</v>
      </c>
      <c r="D224" s="9" t="s">
        <v>87</v>
      </c>
      <c r="E224" s="11" t="s">
        <v>1097</v>
      </c>
      <c r="F224" s="12"/>
      <c r="G224" s="14" t="s">
        <v>1098</v>
      </c>
      <c r="H224" s="14" t="s">
        <v>90</v>
      </c>
      <c r="I224" s="14" t="s">
        <v>1099</v>
      </c>
      <c r="J224" s="14" t="s">
        <v>92</v>
      </c>
      <c r="K224" s="14" t="s">
        <v>92</v>
      </c>
      <c r="L224" s="14" t="s">
        <v>92</v>
      </c>
      <c r="M224" s="14" t="s">
        <v>92</v>
      </c>
      <c r="N224" s="14" t="s">
        <v>92</v>
      </c>
      <c r="O224" s="14" t="s">
        <v>92</v>
      </c>
      <c r="P224" s="14" t="s">
        <v>92</v>
      </c>
      <c r="Q224" s="14" t="s">
        <v>92</v>
      </c>
      <c r="R224" s="14" t="s">
        <v>92</v>
      </c>
      <c r="S224" s="14" t="s">
        <v>93</v>
      </c>
      <c r="T224" s="14" t="s">
        <v>92</v>
      </c>
      <c r="U224" s="14" t="s">
        <v>92</v>
      </c>
      <c r="V224" s="14" t="s">
        <v>92</v>
      </c>
      <c r="W224" s="14" t="s">
        <v>92</v>
      </c>
      <c r="X224" s="14" t="s">
        <v>93</v>
      </c>
      <c r="Y224" s="14" t="s">
        <v>92</v>
      </c>
      <c r="Z224" s="14" t="s">
        <v>93</v>
      </c>
      <c r="AA224" s="14" t="s">
        <v>92</v>
      </c>
      <c r="AB224" s="8" t="s">
        <v>92</v>
      </c>
      <c r="AC224" s="8" t="s">
        <v>93</v>
      </c>
      <c r="AD224" s="8" t="s">
        <v>92</v>
      </c>
      <c r="AE224" s="14" t="s">
        <v>112</v>
      </c>
      <c r="AF224" s="14" t="s">
        <v>92</v>
      </c>
      <c r="AG224" s="14" t="s">
        <v>95</v>
      </c>
      <c r="AH224" s="8" t="s">
        <v>105</v>
      </c>
      <c r="AI224" s="14" t="s">
        <v>93</v>
      </c>
      <c r="AJ224" s="14" t="s">
        <v>93</v>
      </c>
      <c r="AK224" s="14" t="s">
        <v>93</v>
      </c>
      <c r="AL224" s="14" t="s">
        <v>93</v>
      </c>
      <c r="AM224" s="8" t="s">
        <v>95</v>
      </c>
      <c r="AN224" s="14" t="s">
        <v>114</v>
      </c>
      <c r="AO224" s="8" t="s">
        <v>93</v>
      </c>
      <c r="AP224" s="8" t="s">
        <v>92</v>
      </c>
      <c r="AQ224" s="14" t="s">
        <v>93</v>
      </c>
      <c r="AR224" s="14" t="s">
        <v>93</v>
      </c>
      <c r="AS224" s="14" t="s">
        <v>92</v>
      </c>
      <c r="AT224" s="14" t="s">
        <v>93</v>
      </c>
      <c r="AU224" s="14" t="s">
        <v>93</v>
      </c>
      <c r="AV224" s="14" t="s">
        <v>93</v>
      </c>
      <c r="AW224" s="14" t="s">
        <v>93</v>
      </c>
      <c r="AX224" s="14" t="s">
        <v>92</v>
      </c>
      <c r="AY224" s="8" t="s">
        <v>95</v>
      </c>
      <c r="AZ224" s="8" t="s">
        <v>95</v>
      </c>
      <c r="BA224" s="9" t="s">
        <v>1062</v>
      </c>
      <c r="BB224" s="8" t="s">
        <v>155</v>
      </c>
      <c r="BC224" s="8" t="s">
        <v>92</v>
      </c>
      <c r="BD224" s="14" t="s">
        <v>93</v>
      </c>
      <c r="BE224" s="14" t="s">
        <v>92</v>
      </c>
      <c r="BF224" s="14" t="s">
        <v>92</v>
      </c>
      <c r="BG224" s="14" t="s">
        <v>92</v>
      </c>
      <c r="BH224" s="14" t="s">
        <v>92</v>
      </c>
      <c r="BI224" s="14" t="s">
        <v>92</v>
      </c>
      <c r="BJ224" s="14" t="s">
        <v>92</v>
      </c>
      <c r="BK224" s="14" t="s">
        <v>105</v>
      </c>
      <c r="BL224" s="14" t="s">
        <v>105</v>
      </c>
      <c r="BM224" s="14" t="s">
        <v>105</v>
      </c>
      <c r="BN224" s="14" t="s">
        <v>105</v>
      </c>
      <c r="BO224" s="14" t="s">
        <v>105</v>
      </c>
      <c r="BP224" s="14" t="s">
        <v>105</v>
      </c>
      <c r="BQ224" s="8" t="s">
        <v>92</v>
      </c>
      <c r="BR224" s="8" t="s">
        <v>92</v>
      </c>
      <c r="BS224" s="8" t="s">
        <v>92</v>
      </c>
      <c r="BT224" s="8" t="s">
        <v>93</v>
      </c>
      <c r="BU224" s="8" t="s">
        <v>92</v>
      </c>
      <c r="BV224" s="8" t="s">
        <v>93</v>
      </c>
      <c r="BW224" s="8" t="s">
        <v>92</v>
      </c>
      <c r="BX224" s="8" t="s">
        <v>93</v>
      </c>
      <c r="BY224" s="8" t="s">
        <v>93</v>
      </c>
      <c r="BZ224" s="8" t="s">
        <v>92</v>
      </c>
      <c r="CA224" s="8" t="s">
        <v>92</v>
      </c>
      <c r="CB224" s="20" t="s">
        <v>178</v>
      </c>
      <c r="CC224" s="20" t="s">
        <v>115</v>
      </c>
      <c r="CD224" s="20" t="s">
        <v>106</v>
      </c>
      <c r="CE224" s="20" t="s">
        <v>116</v>
      </c>
      <c r="CF224" s="18"/>
      <c r="CG224" s="18"/>
      <c r="CH224" s="18"/>
    </row>
    <row r="225">
      <c r="A225" s="8"/>
      <c r="B225" s="9" t="s">
        <v>1062</v>
      </c>
      <c r="C225" s="10" t="s">
        <v>1063</v>
      </c>
      <c r="D225" s="9" t="s">
        <v>87</v>
      </c>
      <c r="E225" s="11" t="s">
        <v>1100</v>
      </c>
      <c r="F225" s="12"/>
      <c r="G225" s="14" t="s">
        <v>1101</v>
      </c>
      <c r="H225" s="14" t="s">
        <v>90</v>
      </c>
      <c r="I225" s="14" t="s">
        <v>1102</v>
      </c>
      <c r="J225" s="14" t="s">
        <v>92</v>
      </c>
      <c r="K225" s="14" t="s">
        <v>92</v>
      </c>
      <c r="L225" s="14" t="s">
        <v>92</v>
      </c>
      <c r="M225" s="14" t="s">
        <v>92</v>
      </c>
      <c r="N225" s="14" t="s">
        <v>92</v>
      </c>
      <c r="O225" s="14" t="s">
        <v>92</v>
      </c>
      <c r="P225" s="14" t="s">
        <v>92</v>
      </c>
      <c r="Q225" s="14" t="s">
        <v>92</v>
      </c>
      <c r="R225" s="14" t="s">
        <v>92</v>
      </c>
      <c r="S225" s="14" t="s">
        <v>92</v>
      </c>
      <c r="T225" s="14" t="s">
        <v>92</v>
      </c>
      <c r="U225" s="14" t="s">
        <v>92</v>
      </c>
      <c r="V225" s="14" t="s">
        <v>92</v>
      </c>
      <c r="W225" s="14" t="s">
        <v>92</v>
      </c>
      <c r="X225" s="14" t="s">
        <v>92</v>
      </c>
      <c r="Y225" s="14" t="s">
        <v>92</v>
      </c>
      <c r="Z225" s="14" t="s">
        <v>93</v>
      </c>
      <c r="AA225" s="14" t="s">
        <v>92</v>
      </c>
      <c r="AB225" s="8" t="s">
        <v>92</v>
      </c>
      <c r="AC225" s="8" t="s">
        <v>93</v>
      </c>
      <c r="AD225" s="8" t="s">
        <v>92</v>
      </c>
      <c r="AE225" s="14" t="s">
        <v>112</v>
      </c>
      <c r="AF225" s="14" t="s">
        <v>92</v>
      </c>
      <c r="AG225" s="14" t="s">
        <v>95</v>
      </c>
      <c r="AH225" s="8" t="s">
        <v>105</v>
      </c>
      <c r="AI225" s="14" t="s">
        <v>93</v>
      </c>
      <c r="AJ225" s="14" t="s">
        <v>93</v>
      </c>
      <c r="AK225" s="14" t="s">
        <v>93</v>
      </c>
      <c r="AL225" s="14" t="s">
        <v>93</v>
      </c>
      <c r="AM225" s="8" t="s">
        <v>95</v>
      </c>
      <c r="AN225" s="14" t="s">
        <v>114</v>
      </c>
      <c r="AO225" s="8" t="s">
        <v>93</v>
      </c>
      <c r="AP225" s="8" t="s">
        <v>92</v>
      </c>
      <c r="AQ225" s="14" t="s">
        <v>93</v>
      </c>
      <c r="AR225" s="14" t="s">
        <v>93</v>
      </c>
      <c r="AS225" s="14" t="s">
        <v>92</v>
      </c>
      <c r="AT225" s="14" t="s">
        <v>93</v>
      </c>
      <c r="AU225" s="14" t="s">
        <v>93</v>
      </c>
      <c r="AV225" s="14" t="s">
        <v>93</v>
      </c>
      <c r="AW225" s="14" t="s">
        <v>93</v>
      </c>
      <c r="AX225" s="14" t="s">
        <v>92</v>
      </c>
      <c r="AY225" s="8" t="s">
        <v>95</v>
      </c>
      <c r="AZ225" s="8" t="s">
        <v>95</v>
      </c>
      <c r="BA225" s="9" t="s">
        <v>1062</v>
      </c>
      <c r="BB225" s="8" t="s">
        <v>155</v>
      </c>
      <c r="BC225" s="8" t="s">
        <v>92</v>
      </c>
      <c r="BD225" s="14" t="s">
        <v>93</v>
      </c>
      <c r="BE225" s="14" t="s">
        <v>92</v>
      </c>
      <c r="BF225" s="14" t="s">
        <v>92</v>
      </c>
      <c r="BG225" s="14" t="s">
        <v>92</v>
      </c>
      <c r="BH225" s="14" t="s">
        <v>92</v>
      </c>
      <c r="BI225" s="14" t="s">
        <v>92</v>
      </c>
      <c r="BJ225" s="14" t="s">
        <v>92</v>
      </c>
      <c r="BK225" s="14" t="s">
        <v>105</v>
      </c>
      <c r="BL225" s="14" t="s">
        <v>105</v>
      </c>
      <c r="BM225" s="14" t="s">
        <v>105</v>
      </c>
      <c r="BN225" s="14" t="s">
        <v>105</v>
      </c>
      <c r="BO225" s="14" t="s">
        <v>105</v>
      </c>
      <c r="BP225" s="14" t="s">
        <v>105</v>
      </c>
      <c r="BQ225" s="8" t="s">
        <v>92</v>
      </c>
      <c r="BR225" s="8" t="s">
        <v>92</v>
      </c>
      <c r="BS225" s="8" t="s">
        <v>92</v>
      </c>
      <c r="BT225" s="8" t="s">
        <v>93</v>
      </c>
      <c r="BU225" s="8" t="s">
        <v>92</v>
      </c>
      <c r="BV225" s="8" t="s">
        <v>92</v>
      </c>
      <c r="BW225" s="8" t="s">
        <v>92</v>
      </c>
      <c r="BX225" s="8" t="s">
        <v>93</v>
      </c>
      <c r="BY225" s="8" t="s">
        <v>93</v>
      </c>
      <c r="BZ225" s="8" t="s">
        <v>92</v>
      </c>
      <c r="CA225" s="8" t="s">
        <v>92</v>
      </c>
      <c r="CB225" s="20" t="s">
        <v>178</v>
      </c>
      <c r="CC225" s="20" t="s">
        <v>115</v>
      </c>
      <c r="CD225" s="20" t="s">
        <v>106</v>
      </c>
      <c r="CE225" s="20" t="s">
        <v>116</v>
      </c>
      <c r="CF225" s="18"/>
      <c r="CG225" s="18"/>
      <c r="CH225" s="18"/>
    </row>
    <row r="226">
      <c r="A226" s="8"/>
      <c r="B226" s="16" t="s">
        <v>1103</v>
      </c>
      <c r="C226" s="10" t="s">
        <v>1104</v>
      </c>
      <c r="D226" s="9" t="s">
        <v>87</v>
      </c>
      <c r="E226" s="11" t="s">
        <v>1105</v>
      </c>
      <c r="F226" s="12"/>
      <c r="G226" s="13" t="s">
        <v>1106</v>
      </c>
      <c r="H226" s="13" t="s">
        <v>90</v>
      </c>
      <c r="I226" s="14" t="s">
        <v>1107</v>
      </c>
      <c r="J226" s="13" t="s">
        <v>92</v>
      </c>
      <c r="K226" s="14" t="s">
        <v>92</v>
      </c>
      <c r="L226" s="14" t="s">
        <v>93</v>
      </c>
      <c r="M226" s="14" t="s">
        <v>92</v>
      </c>
      <c r="N226" s="14" t="s">
        <v>92</v>
      </c>
      <c r="O226" s="13" t="s">
        <v>92</v>
      </c>
      <c r="P226" s="13" t="s">
        <v>92</v>
      </c>
      <c r="Q226" s="13" t="s">
        <v>92</v>
      </c>
      <c r="R226" s="13" t="s">
        <v>92</v>
      </c>
      <c r="S226" s="13" t="s">
        <v>92</v>
      </c>
      <c r="T226" s="13" t="s">
        <v>92</v>
      </c>
      <c r="U226" s="13" t="s">
        <v>92</v>
      </c>
      <c r="V226" s="13" t="s">
        <v>92</v>
      </c>
      <c r="W226" s="13" t="s">
        <v>92</v>
      </c>
      <c r="X226" s="13" t="s">
        <v>93</v>
      </c>
      <c r="Y226" s="13" t="s">
        <v>92</v>
      </c>
      <c r="Z226" s="14" t="s">
        <v>93</v>
      </c>
      <c r="AA226" s="14" t="s">
        <v>92</v>
      </c>
      <c r="AB226" s="15" t="s">
        <v>92</v>
      </c>
      <c r="AC226" s="15" t="s">
        <v>93</v>
      </c>
      <c r="AD226" s="15" t="s">
        <v>92</v>
      </c>
      <c r="AE226" s="13" t="s">
        <v>148</v>
      </c>
      <c r="AF226" s="13" t="s">
        <v>92</v>
      </c>
      <c r="AG226" s="13" t="s">
        <v>95</v>
      </c>
      <c r="AH226" s="8" t="s">
        <v>105</v>
      </c>
      <c r="AI226" s="13" t="s">
        <v>105</v>
      </c>
      <c r="AJ226" s="13" t="s">
        <v>93</v>
      </c>
      <c r="AK226" s="13" t="s">
        <v>93</v>
      </c>
      <c r="AL226" s="13" t="s">
        <v>105</v>
      </c>
      <c r="AM226" s="8" t="s">
        <v>105</v>
      </c>
      <c r="AN226" s="14" t="s">
        <v>105</v>
      </c>
      <c r="AO226" s="15" t="s">
        <v>93</v>
      </c>
      <c r="AP226" s="15" t="s">
        <v>92</v>
      </c>
      <c r="AQ226" s="13" t="s">
        <v>93</v>
      </c>
      <c r="AR226" s="13" t="s">
        <v>93</v>
      </c>
      <c r="AS226" s="13" t="s">
        <v>92</v>
      </c>
      <c r="AT226" s="13" t="s">
        <v>93</v>
      </c>
      <c r="AU226" s="13" t="s">
        <v>92</v>
      </c>
      <c r="AV226" s="13" t="s">
        <v>93</v>
      </c>
      <c r="AW226" s="13" t="s">
        <v>93</v>
      </c>
      <c r="AX226" s="13" t="s">
        <v>92</v>
      </c>
      <c r="AY226" s="15" t="s">
        <v>441</v>
      </c>
      <c r="AZ226" s="15" t="s">
        <v>95</v>
      </c>
      <c r="BA226" s="16" t="s">
        <v>1103</v>
      </c>
      <c r="BB226" s="8" t="s">
        <v>155</v>
      </c>
      <c r="BC226" s="15" t="s">
        <v>92</v>
      </c>
      <c r="BD226" s="13" t="s">
        <v>93</v>
      </c>
      <c r="BE226" s="13" t="s">
        <v>92</v>
      </c>
      <c r="BF226" s="13" t="s">
        <v>92</v>
      </c>
      <c r="BG226" s="13" t="s">
        <v>92</v>
      </c>
      <c r="BH226" s="13" t="s">
        <v>93</v>
      </c>
      <c r="BI226" s="13" t="s">
        <v>92</v>
      </c>
      <c r="BJ226" s="13" t="s">
        <v>92</v>
      </c>
      <c r="BK226" s="14" t="s">
        <v>482</v>
      </c>
      <c r="BL226" s="13" t="s">
        <v>92</v>
      </c>
      <c r="BM226" s="13" t="s">
        <v>92</v>
      </c>
      <c r="BN226" s="13" t="s">
        <v>92</v>
      </c>
      <c r="BO226" s="13" t="s">
        <v>93</v>
      </c>
      <c r="BP226" s="13" t="s">
        <v>92</v>
      </c>
      <c r="BQ226" s="15" t="s">
        <v>92</v>
      </c>
      <c r="BR226" s="15" t="s">
        <v>92</v>
      </c>
      <c r="BS226" s="15" t="s">
        <v>92</v>
      </c>
      <c r="BT226" s="15" t="s">
        <v>93</v>
      </c>
      <c r="BU226" s="15" t="s">
        <v>92</v>
      </c>
      <c r="BV226" s="15" t="s">
        <v>92</v>
      </c>
      <c r="BW226" s="8" t="s">
        <v>92</v>
      </c>
      <c r="BX226" s="15" t="s">
        <v>92</v>
      </c>
      <c r="BY226" s="15" t="s">
        <v>93</v>
      </c>
      <c r="BZ226" s="15" t="s">
        <v>92</v>
      </c>
      <c r="CA226" s="15" t="s">
        <v>92</v>
      </c>
      <c r="CB226" s="20" t="s">
        <v>1108</v>
      </c>
      <c r="CC226" s="17" t="s">
        <v>766</v>
      </c>
      <c r="CD226" s="18"/>
      <c r="CE226" s="18"/>
      <c r="CF226" s="18"/>
      <c r="CG226" s="18"/>
      <c r="CH226" s="18"/>
    </row>
    <row r="227">
      <c r="A227" s="8"/>
      <c r="B227" s="16" t="s">
        <v>1103</v>
      </c>
      <c r="C227" s="10" t="s">
        <v>1104</v>
      </c>
      <c r="D227" s="9" t="s">
        <v>87</v>
      </c>
      <c r="E227" s="11" t="s">
        <v>1109</v>
      </c>
      <c r="F227" s="12"/>
      <c r="G227" s="14" t="s">
        <v>1110</v>
      </c>
      <c r="H227" s="14" t="s">
        <v>90</v>
      </c>
      <c r="I227" s="14" t="s">
        <v>1111</v>
      </c>
      <c r="J227" s="14" t="s">
        <v>92</v>
      </c>
      <c r="K227" s="14" t="s">
        <v>92</v>
      </c>
      <c r="L227" s="14" t="s">
        <v>92</v>
      </c>
      <c r="M227" s="14" t="s">
        <v>92</v>
      </c>
      <c r="N227" s="14" t="s">
        <v>92</v>
      </c>
      <c r="O227" s="14" t="s">
        <v>92</v>
      </c>
      <c r="P227" s="14" t="s">
        <v>92</v>
      </c>
      <c r="Q227" s="14" t="s">
        <v>92</v>
      </c>
      <c r="R227" s="14" t="s">
        <v>92</v>
      </c>
      <c r="S227" s="14" t="s">
        <v>92</v>
      </c>
      <c r="T227" s="14" t="s">
        <v>92</v>
      </c>
      <c r="U227" s="14" t="s">
        <v>93</v>
      </c>
      <c r="V227" s="14" t="s">
        <v>92</v>
      </c>
      <c r="W227" s="14" t="s">
        <v>92</v>
      </c>
      <c r="X227" s="14" t="s">
        <v>92</v>
      </c>
      <c r="Y227" s="14" t="s">
        <v>92</v>
      </c>
      <c r="Z227" s="14" t="s">
        <v>92</v>
      </c>
      <c r="AA227" s="14" t="s">
        <v>92</v>
      </c>
      <c r="AB227" s="8" t="s">
        <v>93</v>
      </c>
      <c r="AC227" s="8" t="s">
        <v>92</v>
      </c>
      <c r="AD227" s="8" t="s">
        <v>92</v>
      </c>
      <c r="AE227" s="14" t="s">
        <v>94</v>
      </c>
      <c r="AF227" s="14" t="s">
        <v>92</v>
      </c>
      <c r="AG227" s="14" t="s">
        <v>95</v>
      </c>
      <c r="AH227" s="8">
        <v>2021.0</v>
      </c>
      <c r="AI227" s="14" t="s">
        <v>105</v>
      </c>
      <c r="AJ227" s="14" t="s">
        <v>93</v>
      </c>
      <c r="AK227" s="14" t="s">
        <v>92</v>
      </c>
      <c r="AL227" s="14" t="s">
        <v>105</v>
      </c>
      <c r="AM227" s="8">
        <v>2021.0</v>
      </c>
      <c r="AN227" s="14" t="s">
        <v>96</v>
      </c>
      <c r="AO227" s="8" t="s">
        <v>92</v>
      </c>
      <c r="AP227" s="8" t="s">
        <v>93</v>
      </c>
      <c r="AQ227" s="14" t="s">
        <v>93</v>
      </c>
      <c r="AR227" s="14" t="s">
        <v>93</v>
      </c>
      <c r="AS227" s="14" t="s">
        <v>92</v>
      </c>
      <c r="AT227" s="13" t="s">
        <v>93</v>
      </c>
      <c r="AU227" s="14" t="s">
        <v>92</v>
      </c>
      <c r="AV227" s="14" t="s">
        <v>93</v>
      </c>
      <c r="AW227" s="14" t="s">
        <v>93</v>
      </c>
      <c r="AX227" s="14" t="s">
        <v>92</v>
      </c>
      <c r="AY227" s="8" t="s">
        <v>95</v>
      </c>
      <c r="AZ227" s="8" t="s">
        <v>95</v>
      </c>
      <c r="BA227" s="9" t="s">
        <v>1103</v>
      </c>
      <c r="BB227" s="8" t="s">
        <v>155</v>
      </c>
      <c r="BC227" s="8" t="s">
        <v>92</v>
      </c>
      <c r="BD227" s="14" t="s">
        <v>92</v>
      </c>
      <c r="BE227" s="14" t="s">
        <v>92</v>
      </c>
      <c r="BF227" s="14" t="s">
        <v>92</v>
      </c>
      <c r="BG227" s="14" t="s">
        <v>92</v>
      </c>
      <c r="BH227" s="14" t="s">
        <v>92</v>
      </c>
      <c r="BI227" s="14" t="s">
        <v>93</v>
      </c>
      <c r="BJ227" s="14" t="s">
        <v>92</v>
      </c>
      <c r="BK227" s="14" t="s">
        <v>95</v>
      </c>
      <c r="BL227" s="14" t="s">
        <v>93</v>
      </c>
      <c r="BM227" s="14" t="s">
        <v>93</v>
      </c>
      <c r="BN227" s="14" t="s">
        <v>93</v>
      </c>
      <c r="BO227" s="14" t="s">
        <v>93</v>
      </c>
      <c r="BP227" s="14" t="s">
        <v>93</v>
      </c>
      <c r="BQ227" s="8" t="s">
        <v>93</v>
      </c>
      <c r="BR227" s="8" t="s">
        <v>92</v>
      </c>
      <c r="BS227" s="8" t="s">
        <v>92</v>
      </c>
      <c r="BT227" s="8" t="s">
        <v>92</v>
      </c>
      <c r="BU227" s="8" t="s">
        <v>92</v>
      </c>
      <c r="BV227" s="8" t="s">
        <v>92</v>
      </c>
      <c r="BW227" s="8" t="s">
        <v>92</v>
      </c>
      <c r="BX227" s="8" t="s">
        <v>92</v>
      </c>
      <c r="BY227" s="8" t="s">
        <v>92</v>
      </c>
      <c r="BZ227" s="8" t="s">
        <v>92</v>
      </c>
      <c r="CA227" s="8" t="s">
        <v>92</v>
      </c>
      <c r="CB227" s="20" t="s">
        <v>1108</v>
      </c>
      <c r="CC227" s="18"/>
      <c r="CD227" s="18"/>
      <c r="CE227" s="18"/>
      <c r="CF227" s="18"/>
      <c r="CG227" s="18"/>
      <c r="CH227" s="18"/>
    </row>
    <row r="228">
      <c r="A228" s="8"/>
      <c r="B228" s="16" t="s">
        <v>1103</v>
      </c>
      <c r="C228" s="10" t="s">
        <v>1104</v>
      </c>
      <c r="D228" s="9" t="s">
        <v>87</v>
      </c>
      <c r="E228" s="11" t="s">
        <v>1112</v>
      </c>
      <c r="F228" s="25"/>
      <c r="G228" s="9" t="s">
        <v>688</v>
      </c>
      <c r="H228" s="14" t="s">
        <v>90</v>
      </c>
      <c r="I228" s="14" t="s">
        <v>1113</v>
      </c>
      <c r="J228" s="14" t="s">
        <v>92</v>
      </c>
      <c r="K228" s="14" t="s">
        <v>92</v>
      </c>
      <c r="L228" s="14" t="s">
        <v>93</v>
      </c>
      <c r="M228" s="14" t="s">
        <v>92</v>
      </c>
      <c r="N228" s="14" t="s">
        <v>92</v>
      </c>
      <c r="O228" s="14" t="s">
        <v>92</v>
      </c>
      <c r="P228" s="14" t="s">
        <v>92</v>
      </c>
      <c r="Q228" s="14" t="s">
        <v>92</v>
      </c>
      <c r="R228" s="14" t="s">
        <v>92</v>
      </c>
      <c r="S228" s="14" t="s">
        <v>92</v>
      </c>
      <c r="T228" s="14" t="s">
        <v>92</v>
      </c>
      <c r="U228" s="14" t="s">
        <v>92</v>
      </c>
      <c r="V228" s="14" t="s">
        <v>92</v>
      </c>
      <c r="W228" s="14" t="s">
        <v>92</v>
      </c>
      <c r="X228" s="14" t="s">
        <v>92</v>
      </c>
      <c r="Y228" s="14" t="s">
        <v>93</v>
      </c>
      <c r="Z228" s="14" t="s">
        <v>93</v>
      </c>
      <c r="AA228" s="14" t="s">
        <v>92</v>
      </c>
      <c r="AB228" s="8" t="s">
        <v>93</v>
      </c>
      <c r="AC228" s="8" t="s">
        <v>93</v>
      </c>
      <c r="AD228" s="8" t="s">
        <v>92</v>
      </c>
      <c r="AE228" s="14" t="s">
        <v>148</v>
      </c>
      <c r="AF228" s="14" t="s">
        <v>92</v>
      </c>
      <c r="AG228" s="14" t="s">
        <v>95</v>
      </c>
      <c r="AH228" s="8">
        <v>2000.0</v>
      </c>
      <c r="AI228" s="14" t="s">
        <v>93</v>
      </c>
      <c r="AJ228" s="14" t="s">
        <v>93</v>
      </c>
      <c r="AK228" s="14" t="s">
        <v>93</v>
      </c>
      <c r="AL228" s="14" t="s">
        <v>105</v>
      </c>
      <c r="AM228" s="8" t="s">
        <v>95</v>
      </c>
      <c r="AN228" s="14" t="s">
        <v>114</v>
      </c>
      <c r="AO228" s="8" t="s">
        <v>93</v>
      </c>
      <c r="AP228" s="8" t="s">
        <v>92</v>
      </c>
      <c r="AQ228" s="14" t="s">
        <v>93</v>
      </c>
      <c r="AR228" s="14" t="s">
        <v>93</v>
      </c>
      <c r="AS228" s="14" t="s">
        <v>92</v>
      </c>
      <c r="AT228" s="14" t="s">
        <v>93</v>
      </c>
      <c r="AU228" s="14" t="s">
        <v>92</v>
      </c>
      <c r="AV228" s="14" t="s">
        <v>93</v>
      </c>
      <c r="AW228" s="14" t="s">
        <v>93</v>
      </c>
      <c r="AX228" s="14" t="s">
        <v>92</v>
      </c>
      <c r="AY228" s="8" t="s">
        <v>95</v>
      </c>
      <c r="AZ228" s="8" t="s">
        <v>95</v>
      </c>
      <c r="BA228" s="9" t="s">
        <v>1103</v>
      </c>
      <c r="BB228" s="8" t="s">
        <v>155</v>
      </c>
      <c r="BC228" s="8" t="s">
        <v>92</v>
      </c>
      <c r="BD228" s="14" t="s">
        <v>93</v>
      </c>
      <c r="BE228" s="14" t="s">
        <v>92</v>
      </c>
      <c r="BF228" s="14" t="s">
        <v>92</v>
      </c>
      <c r="BG228" s="14" t="s">
        <v>92</v>
      </c>
      <c r="BH228" s="14" t="s">
        <v>92</v>
      </c>
      <c r="BI228" s="14" t="s">
        <v>92</v>
      </c>
      <c r="BJ228" s="14" t="s">
        <v>92</v>
      </c>
      <c r="BK228" s="14" t="s">
        <v>105</v>
      </c>
      <c r="BL228" s="14" t="s">
        <v>105</v>
      </c>
      <c r="BM228" s="14" t="s">
        <v>105</v>
      </c>
      <c r="BN228" s="14" t="s">
        <v>105</v>
      </c>
      <c r="BO228" s="14" t="s">
        <v>105</v>
      </c>
      <c r="BP228" s="14" t="s">
        <v>105</v>
      </c>
      <c r="BQ228" s="8" t="s">
        <v>92</v>
      </c>
      <c r="BR228" s="8" t="s">
        <v>92</v>
      </c>
      <c r="BS228" s="8" t="s">
        <v>93</v>
      </c>
      <c r="BT228" s="8" t="s">
        <v>93</v>
      </c>
      <c r="BU228" s="8" t="s">
        <v>93</v>
      </c>
      <c r="BV228" s="8" t="s">
        <v>93</v>
      </c>
      <c r="BW228" s="8" t="s">
        <v>92</v>
      </c>
      <c r="BX228" s="8" t="s">
        <v>92</v>
      </c>
      <c r="BY228" s="8" t="s">
        <v>92</v>
      </c>
      <c r="BZ228" s="8" t="s">
        <v>93</v>
      </c>
      <c r="CA228" s="8" t="s">
        <v>92</v>
      </c>
      <c r="CB228" s="20" t="s">
        <v>1108</v>
      </c>
      <c r="CC228" s="17" t="s">
        <v>766</v>
      </c>
      <c r="CD228" s="18"/>
      <c r="CE228" s="18"/>
      <c r="CF228" s="18"/>
      <c r="CG228" s="18"/>
      <c r="CH228" s="18"/>
    </row>
    <row r="229">
      <c r="A229" s="8"/>
      <c r="B229" s="9" t="s">
        <v>1114</v>
      </c>
      <c r="C229" s="10" t="s">
        <v>1115</v>
      </c>
      <c r="D229" s="9" t="s">
        <v>87</v>
      </c>
      <c r="E229" s="11" t="s">
        <v>1116</v>
      </c>
      <c r="F229" s="12"/>
      <c r="G229" s="9" t="s">
        <v>1117</v>
      </c>
      <c r="H229" s="9" t="s">
        <v>90</v>
      </c>
      <c r="I229" s="9" t="s">
        <v>1118</v>
      </c>
      <c r="J229" s="14" t="s">
        <v>92</v>
      </c>
      <c r="K229" s="14" t="s">
        <v>92</v>
      </c>
      <c r="L229" s="14" t="s">
        <v>93</v>
      </c>
      <c r="M229" s="14" t="s">
        <v>92</v>
      </c>
      <c r="N229" s="14" t="s">
        <v>92</v>
      </c>
      <c r="O229" s="14" t="s">
        <v>92</v>
      </c>
      <c r="P229" s="14" t="s">
        <v>92</v>
      </c>
      <c r="Q229" s="14" t="s">
        <v>92</v>
      </c>
      <c r="R229" s="14" t="s">
        <v>92</v>
      </c>
      <c r="S229" s="14" t="s">
        <v>93</v>
      </c>
      <c r="T229" s="14" t="s">
        <v>92</v>
      </c>
      <c r="U229" s="14" t="s">
        <v>92</v>
      </c>
      <c r="V229" s="14" t="s">
        <v>92</v>
      </c>
      <c r="W229" s="14" t="s">
        <v>92</v>
      </c>
      <c r="X229" s="14" t="s">
        <v>92</v>
      </c>
      <c r="Y229" s="14" t="s">
        <v>92</v>
      </c>
      <c r="Z229" s="14" t="s">
        <v>93</v>
      </c>
      <c r="AA229" s="14" t="s">
        <v>92</v>
      </c>
      <c r="AB229" s="8" t="s">
        <v>92</v>
      </c>
      <c r="AC229" s="8" t="s">
        <v>93</v>
      </c>
      <c r="AD229" s="8" t="s">
        <v>92</v>
      </c>
      <c r="AE229" s="14" t="s">
        <v>112</v>
      </c>
      <c r="AF229" s="14" t="s">
        <v>92</v>
      </c>
      <c r="AG229" s="13" t="s">
        <v>95</v>
      </c>
      <c r="AH229" s="8" t="s">
        <v>105</v>
      </c>
      <c r="AI229" s="14" t="s">
        <v>105</v>
      </c>
      <c r="AJ229" s="14" t="s">
        <v>105</v>
      </c>
      <c r="AK229" s="14" t="s">
        <v>105</v>
      </c>
      <c r="AL229" s="14" t="s">
        <v>105</v>
      </c>
      <c r="AM229" s="8" t="s">
        <v>105</v>
      </c>
      <c r="AN229" s="14" t="s">
        <v>105</v>
      </c>
      <c r="AO229" s="8" t="s">
        <v>105</v>
      </c>
      <c r="AP229" s="8" t="s">
        <v>105</v>
      </c>
      <c r="AQ229" s="14" t="s">
        <v>93</v>
      </c>
      <c r="AR229" s="14" t="s">
        <v>93</v>
      </c>
      <c r="AS229" s="14" t="s">
        <v>93</v>
      </c>
      <c r="AT229" s="14" t="s">
        <v>93</v>
      </c>
      <c r="AU229" s="14" t="s">
        <v>93</v>
      </c>
      <c r="AV229" s="14" t="s">
        <v>93</v>
      </c>
      <c r="AW229" s="14" t="s">
        <v>93</v>
      </c>
      <c r="AX229" s="14" t="s">
        <v>92</v>
      </c>
      <c r="AY229" s="8" t="s">
        <v>1119</v>
      </c>
      <c r="AZ229" s="8" t="s">
        <v>92</v>
      </c>
      <c r="BA229" s="9" t="s">
        <v>1114</v>
      </c>
      <c r="BB229" s="8" t="s">
        <v>155</v>
      </c>
      <c r="BC229" s="8" t="s">
        <v>92</v>
      </c>
      <c r="BD229" s="14" t="s">
        <v>93</v>
      </c>
      <c r="BE229" s="14" t="s">
        <v>92</v>
      </c>
      <c r="BF229" s="14" t="s">
        <v>92</v>
      </c>
      <c r="BG229" s="14" t="s">
        <v>92</v>
      </c>
      <c r="BH229" s="14" t="s">
        <v>92</v>
      </c>
      <c r="BI229" s="14" t="s">
        <v>92</v>
      </c>
      <c r="BJ229" s="14" t="s">
        <v>92</v>
      </c>
      <c r="BK229" s="14" t="s">
        <v>105</v>
      </c>
      <c r="BL229" s="14" t="s">
        <v>105</v>
      </c>
      <c r="BM229" s="14" t="s">
        <v>105</v>
      </c>
      <c r="BN229" s="14" t="s">
        <v>105</v>
      </c>
      <c r="BO229" s="14" t="s">
        <v>105</v>
      </c>
      <c r="BP229" s="14" t="s">
        <v>105</v>
      </c>
      <c r="BQ229" s="8" t="s">
        <v>92</v>
      </c>
      <c r="BR229" s="8" t="s">
        <v>92</v>
      </c>
      <c r="BS229" s="8" t="s">
        <v>92</v>
      </c>
      <c r="BT229" s="8" t="s">
        <v>93</v>
      </c>
      <c r="BU229" s="8" t="s">
        <v>92</v>
      </c>
      <c r="BV229" s="8" t="s">
        <v>93</v>
      </c>
      <c r="BW229" s="8" t="s">
        <v>92</v>
      </c>
      <c r="BX229" s="8" t="s">
        <v>92</v>
      </c>
      <c r="BY229" s="8" t="s">
        <v>92</v>
      </c>
      <c r="BZ229" s="8" t="s">
        <v>93</v>
      </c>
      <c r="CA229" s="8" t="s">
        <v>92</v>
      </c>
      <c r="CB229" s="20" t="s">
        <v>1120</v>
      </c>
      <c r="CC229" s="17"/>
      <c r="CD229" s="18"/>
      <c r="CE229" s="18"/>
      <c r="CF229" s="18"/>
      <c r="CG229" s="18"/>
      <c r="CH229" s="18"/>
    </row>
    <row r="230">
      <c r="A230" s="8"/>
      <c r="B230" s="9" t="s">
        <v>1114</v>
      </c>
      <c r="C230" s="10" t="s">
        <v>1115</v>
      </c>
      <c r="D230" s="9" t="s">
        <v>87</v>
      </c>
      <c r="E230" s="11" t="s">
        <v>1121</v>
      </c>
      <c r="F230" s="12"/>
      <c r="G230" s="9" t="s">
        <v>1122</v>
      </c>
      <c r="H230" s="9" t="s">
        <v>90</v>
      </c>
      <c r="I230" s="9" t="s">
        <v>1123</v>
      </c>
      <c r="J230" s="14" t="s">
        <v>92</v>
      </c>
      <c r="K230" s="14" t="s">
        <v>92</v>
      </c>
      <c r="L230" s="14" t="s">
        <v>92</v>
      </c>
      <c r="M230" s="14" t="s">
        <v>92</v>
      </c>
      <c r="N230" s="14" t="s">
        <v>92</v>
      </c>
      <c r="O230" s="14" t="s">
        <v>92</v>
      </c>
      <c r="P230" s="14" t="s">
        <v>92</v>
      </c>
      <c r="Q230" s="14" t="s">
        <v>92</v>
      </c>
      <c r="R230" s="14" t="s">
        <v>92</v>
      </c>
      <c r="S230" s="14" t="s">
        <v>92</v>
      </c>
      <c r="T230" s="14" t="s">
        <v>92</v>
      </c>
      <c r="U230" s="14" t="s">
        <v>92</v>
      </c>
      <c r="V230" s="14" t="s">
        <v>92</v>
      </c>
      <c r="W230" s="14" t="s">
        <v>92</v>
      </c>
      <c r="X230" s="14" t="s">
        <v>92</v>
      </c>
      <c r="Y230" s="14" t="s">
        <v>92</v>
      </c>
      <c r="Z230" s="14" t="s">
        <v>93</v>
      </c>
      <c r="AA230" s="14" t="s">
        <v>92</v>
      </c>
      <c r="AB230" s="8" t="s">
        <v>92</v>
      </c>
      <c r="AC230" s="8" t="s">
        <v>93</v>
      </c>
      <c r="AD230" s="8" t="s">
        <v>92</v>
      </c>
      <c r="AE230" s="14" t="s">
        <v>112</v>
      </c>
      <c r="AF230" s="14" t="s">
        <v>92</v>
      </c>
      <c r="AG230" s="13" t="s">
        <v>95</v>
      </c>
      <c r="AH230" s="8" t="s">
        <v>105</v>
      </c>
      <c r="AI230" s="14" t="s">
        <v>105</v>
      </c>
      <c r="AJ230" s="14" t="s">
        <v>105</v>
      </c>
      <c r="AK230" s="14" t="s">
        <v>105</v>
      </c>
      <c r="AL230" s="14" t="s">
        <v>105</v>
      </c>
      <c r="AM230" s="8" t="s">
        <v>105</v>
      </c>
      <c r="AN230" s="14" t="s">
        <v>105</v>
      </c>
      <c r="AO230" s="8" t="s">
        <v>105</v>
      </c>
      <c r="AP230" s="8" t="s">
        <v>105</v>
      </c>
      <c r="AQ230" s="14" t="s">
        <v>93</v>
      </c>
      <c r="AR230" s="14" t="s">
        <v>93</v>
      </c>
      <c r="AS230" s="14" t="s">
        <v>93</v>
      </c>
      <c r="AT230" s="14" t="s">
        <v>93</v>
      </c>
      <c r="AU230" s="14" t="s">
        <v>93</v>
      </c>
      <c r="AV230" s="14" t="s">
        <v>93</v>
      </c>
      <c r="AW230" s="14" t="s">
        <v>93</v>
      </c>
      <c r="AX230" s="14" t="s">
        <v>92</v>
      </c>
      <c r="AY230" s="15" t="s">
        <v>441</v>
      </c>
      <c r="AZ230" s="15" t="s">
        <v>95</v>
      </c>
      <c r="BA230" s="9" t="s">
        <v>1114</v>
      </c>
      <c r="BB230" s="8" t="s">
        <v>155</v>
      </c>
      <c r="BC230" s="8" t="s">
        <v>92</v>
      </c>
      <c r="BD230" s="14" t="s">
        <v>93</v>
      </c>
      <c r="BE230" s="14" t="s">
        <v>92</v>
      </c>
      <c r="BF230" s="14" t="s">
        <v>92</v>
      </c>
      <c r="BG230" s="14" t="s">
        <v>92</v>
      </c>
      <c r="BH230" s="14" t="s">
        <v>92</v>
      </c>
      <c r="BI230" s="14" t="s">
        <v>92</v>
      </c>
      <c r="BJ230" s="14" t="s">
        <v>92</v>
      </c>
      <c r="BK230" s="14" t="s">
        <v>1124</v>
      </c>
      <c r="BL230" s="14" t="s">
        <v>92</v>
      </c>
      <c r="BM230" s="14" t="s">
        <v>92</v>
      </c>
      <c r="BN230" s="14" t="s">
        <v>92</v>
      </c>
      <c r="BO230" s="14" t="s">
        <v>92</v>
      </c>
      <c r="BP230" s="14" t="s">
        <v>93</v>
      </c>
      <c r="BQ230" s="8" t="s">
        <v>92</v>
      </c>
      <c r="BR230" s="8" t="s">
        <v>92</v>
      </c>
      <c r="BS230" s="8" t="s">
        <v>92</v>
      </c>
      <c r="BT230" s="8" t="s">
        <v>93</v>
      </c>
      <c r="BU230" s="8" t="s">
        <v>92</v>
      </c>
      <c r="BV230" s="8" t="s">
        <v>92</v>
      </c>
      <c r="BW230" s="8" t="s">
        <v>92</v>
      </c>
      <c r="BX230" s="8" t="s">
        <v>92</v>
      </c>
      <c r="BY230" s="8" t="s">
        <v>92</v>
      </c>
      <c r="BZ230" s="8" t="s">
        <v>92</v>
      </c>
      <c r="CA230" s="8" t="s">
        <v>92</v>
      </c>
      <c r="CB230" s="20" t="s">
        <v>1125</v>
      </c>
      <c r="CC230" s="17"/>
      <c r="CD230" s="18"/>
      <c r="CE230" s="18"/>
      <c r="CF230" s="18"/>
      <c r="CG230" s="18"/>
      <c r="CH230" s="18"/>
    </row>
    <row r="231">
      <c r="A231" s="8"/>
      <c r="B231" s="9" t="s">
        <v>1114</v>
      </c>
      <c r="C231" s="10" t="s">
        <v>1115</v>
      </c>
      <c r="D231" s="9" t="s">
        <v>87</v>
      </c>
      <c r="E231" s="11" t="s">
        <v>1126</v>
      </c>
      <c r="F231" s="12"/>
      <c r="G231" s="9" t="s">
        <v>304</v>
      </c>
      <c r="H231" s="9" t="s">
        <v>90</v>
      </c>
      <c r="I231" s="9" t="s">
        <v>1127</v>
      </c>
      <c r="J231" s="14" t="s">
        <v>92</v>
      </c>
      <c r="K231" s="14" t="s">
        <v>92</v>
      </c>
      <c r="L231" s="14" t="s">
        <v>93</v>
      </c>
      <c r="M231" s="14" t="s">
        <v>92</v>
      </c>
      <c r="N231" s="14" t="s">
        <v>92</v>
      </c>
      <c r="O231" s="14" t="s">
        <v>92</v>
      </c>
      <c r="P231" s="14" t="s">
        <v>92</v>
      </c>
      <c r="Q231" s="14" t="s">
        <v>92</v>
      </c>
      <c r="R231" s="14" t="s">
        <v>92</v>
      </c>
      <c r="S231" s="14" t="s">
        <v>92</v>
      </c>
      <c r="T231" s="14" t="s">
        <v>92</v>
      </c>
      <c r="U231" s="14" t="s">
        <v>92</v>
      </c>
      <c r="V231" s="14" t="s">
        <v>92</v>
      </c>
      <c r="W231" s="14" t="s">
        <v>92</v>
      </c>
      <c r="X231" s="14" t="s">
        <v>92</v>
      </c>
      <c r="Y231" s="14" t="s">
        <v>92</v>
      </c>
      <c r="Z231" s="14" t="s">
        <v>93</v>
      </c>
      <c r="AA231" s="14" t="s">
        <v>92</v>
      </c>
      <c r="AB231" s="8" t="s">
        <v>92</v>
      </c>
      <c r="AC231" s="8" t="s">
        <v>93</v>
      </c>
      <c r="AD231" s="8" t="s">
        <v>92</v>
      </c>
      <c r="AE231" s="14" t="s">
        <v>112</v>
      </c>
      <c r="AF231" s="14" t="s">
        <v>92</v>
      </c>
      <c r="AG231" s="14" t="s">
        <v>95</v>
      </c>
      <c r="AH231" s="8" t="s">
        <v>105</v>
      </c>
      <c r="AI231" s="14" t="s">
        <v>105</v>
      </c>
      <c r="AJ231" s="14" t="s">
        <v>105</v>
      </c>
      <c r="AK231" s="14" t="s">
        <v>105</v>
      </c>
      <c r="AL231" s="14" t="s">
        <v>93</v>
      </c>
      <c r="AM231" s="8" t="s">
        <v>105</v>
      </c>
      <c r="AN231" s="14" t="s">
        <v>105</v>
      </c>
      <c r="AO231" s="8" t="s">
        <v>105</v>
      </c>
      <c r="AP231" s="8" t="s">
        <v>92</v>
      </c>
      <c r="AQ231" s="14" t="s">
        <v>93</v>
      </c>
      <c r="AR231" s="14" t="s">
        <v>93</v>
      </c>
      <c r="AS231" s="14" t="s">
        <v>93</v>
      </c>
      <c r="AT231" s="14" t="s">
        <v>93</v>
      </c>
      <c r="AU231" s="14" t="s">
        <v>93</v>
      </c>
      <c r="AV231" s="14" t="s">
        <v>93</v>
      </c>
      <c r="AW231" s="14" t="s">
        <v>93</v>
      </c>
      <c r="AX231" s="14" t="s">
        <v>92</v>
      </c>
      <c r="AY231" s="15" t="s">
        <v>95</v>
      </c>
      <c r="AZ231" s="15" t="s">
        <v>95</v>
      </c>
      <c r="BA231" s="9" t="s">
        <v>1114</v>
      </c>
      <c r="BB231" s="8" t="s">
        <v>155</v>
      </c>
      <c r="BC231" s="8" t="s">
        <v>92</v>
      </c>
      <c r="BD231" s="14" t="s">
        <v>92</v>
      </c>
      <c r="BE231" s="14" t="s">
        <v>92</v>
      </c>
      <c r="BF231" s="14" t="s">
        <v>92</v>
      </c>
      <c r="BG231" s="14" t="s">
        <v>93</v>
      </c>
      <c r="BH231" s="14" t="s">
        <v>92</v>
      </c>
      <c r="BI231" s="14" t="s">
        <v>92</v>
      </c>
      <c r="BJ231" s="14" t="s">
        <v>92</v>
      </c>
      <c r="BK231" s="14" t="s">
        <v>1128</v>
      </c>
      <c r="BL231" s="14" t="s">
        <v>92</v>
      </c>
      <c r="BM231" s="14" t="s">
        <v>92</v>
      </c>
      <c r="BN231" s="14" t="s">
        <v>92</v>
      </c>
      <c r="BO231" s="14" t="s">
        <v>92</v>
      </c>
      <c r="BP231" s="14" t="s">
        <v>93</v>
      </c>
      <c r="BQ231" s="8" t="s">
        <v>92</v>
      </c>
      <c r="BR231" s="8" t="s">
        <v>92</v>
      </c>
      <c r="BS231" s="8" t="s">
        <v>92</v>
      </c>
      <c r="BT231" s="8" t="s">
        <v>93</v>
      </c>
      <c r="BU231" s="8" t="s">
        <v>92</v>
      </c>
      <c r="BV231" s="8" t="s">
        <v>92</v>
      </c>
      <c r="BW231" s="8" t="s">
        <v>92</v>
      </c>
      <c r="BX231" s="8" t="s">
        <v>92</v>
      </c>
      <c r="BY231" s="8" t="s">
        <v>92</v>
      </c>
      <c r="BZ231" s="8" t="s">
        <v>93</v>
      </c>
      <c r="CA231" s="8" t="s">
        <v>92</v>
      </c>
      <c r="CB231" s="20" t="s">
        <v>1129</v>
      </c>
      <c r="CC231" s="17"/>
      <c r="CD231" s="18"/>
      <c r="CE231" s="18"/>
      <c r="CF231" s="18"/>
      <c r="CG231" s="18"/>
      <c r="CH231" s="18"/>
    </row>
    <row r="232">
      <c r="A232" s="8"/>
      <c r="B232" s="16" t="s">
        <v>1130</v>
      </c>
      <c r="C232" s="10" t="s">
        <v>1131</v>
      </c>
      <c r="D232" s="9" t="s">
        <v>87</v>
      </c>
      <c r="E232" s="11" t="s">
        <v>1132</v>
      </c>
      <c r="F232" s="12"/>
      <c r="G232" s="13" t="s">
        <v>1133</v>
      </c>
      <c r="H232" s="13" t="s">
        <v>90</v>
      </c>
      <c r="I232" s="13" t="s">
        <v>1134</v>
      </c>
      <c r="J232" s="13" t="s">
        <v>92</v>
      </c>
      <c r="K232" s="14" t="s">
        <v>92</v>
      </c>
      <c r="L232" s="14" t="s">
        <v>92</v>
      </c>
      <c r="M232" s="14" t="s">
        <v>92</v>
      </c>
      <c r="N232" s="14" t="s">
        <v>92</v>
      </c>
      <c r="O232" s="13" t="s">
        <v>93</v>
      </c>
      <c r="P232" s="13" t="s">
        <v>92</v>
      </c>
      <c r="Q232" s="13" t="s">
        <v>92</v>
      </c>
      <c r="R232" s="13" t="s">
        <v>92</v>
      </c>
      <c r="S232" s="13" t="s">
        <v>93</v>
      </c>
      <c r="T232" s="13" t="s">
        <v>92</v>
      </c>
      <c r="U232" s="13" t="s">
        <v>92</v>
      </c>
      <c r="V232" s="13" t="s">
        <v>92</v>
      </c>
      <c r="W232" s="13" t="s">
        <v>92</v>
      </c>
      <c r="X232" s="13" t="s">
        <v>92</v>
      </c>
      <c r="Y232" s="13" t="s">
        <v>92</v>
      </c>
      <c r="Z232" s="14" t="s">
        <v>93</v>
      </c>
      <c r="AA232" s="14" t="s">
        <v>93</v>
      </c>
      <c r="AB232" s="8" t="s">
        <v>93</v>
      </c>
      <c r="AC232" s="15" t="s">
        <v>92</v>
      </c>
      <c r="AD232" s="15" t="s">
        <v>92</v>
      </c>
      <c r="AE232" s="13" t="s">
        <v>1135</v>
      </c>
      <c r="AF232" s="13" t="s">
        <v>93</v>
      </c>
      <c r="AG232" s="13" t="s">
        <v>1136</v>
      </c>
      <c r="AH232" s="15">
        <v>2000.0</v>
      </c>
      <c r="AI232" s="14" t="s">
        <v>93</v>
      </c>
      <c r="AJ232" s="13" t="s">
        <v>92</v>
      </c>
      <c r="AK232" s="13" t="s">
        <v>93</v>
      </c>
      <c r="AL232" s="14" t="s">
        <v>93</v>
      </c>
      <c r="AM232" s="56" t="s">
        <v>95</v>
      </c>
      <c r="AN232" s="14" t="s">
        <v>114</v>
      </c>
      <c r="AO232" s="8" t="s">
        <v>93</v>
      </c>
      <c r="AP232" s="15" t="s">
        <v>92</v>
      </c>
      <c r="AQ232" s="13" t="s">
        <v>93</v>
      </c>
      <c r="AR232" s="13" t="s">
        <v>93</v>
      </c>
      <c r="AS232" s="13" t="s">
        <v>92</v>
      </c>
      <c r="AT232" s="13" t="s">
        <v>93</v>
      </c>
      <c r="AU232" s="13" t="s">
        <v>93</v>
      </c>
      <c r="AV232" s="13" t="s">
        <v>93</v>
      </c>
      <c r="AW232" s="13" t="s">
        <v>93</v>
      </c>
      <c r="AX232" s="13" t="s">
        <v>92</v>
      </c>
      <c r="AY232" s="15" t="s">
        <v>441</v>
      </c>
      <c r="AZ232" s="15" t="s">
        <v>95</v>
      </c>
      <c r="BA232" s="16" t="s">
        <v>1130</v>
      </c>
      <c r="BB232" s="8" t="s">
        <v>155</v>
      </c>
      <c r="BC232" s="15" t="s">
        <v>92</v>
      </c>
      <c r="BD232" s="14" t="s">
        <v>93</v>
      </c>
      <c r="BE232" s="13" t="s">
        <v>92</v>
      </c>
      <c r="BF232" s="13" t="s">
        <v>92</v>
      </c>
      <c r="BG232" s="13" t="s">
        <v>92</v>
      </c>
      <c r="BH232" s="13" t="s">
        <v>92</v>
      </c>
      <c r="BI232" s="14" t="s">
        <v>92</v>
      </c>
      <c r="BJ232" s="13" t="s">
        <v>92</v>
      </c>
      <c r="BK232" s="14" t="s">
        <v>1137</v>
      </c>
      <c r="BL232" s="13" t="s">
        <v>92</v>
      </c>
      <c r="BM232" s="13" t="s">
        <v>92</v>
      </c>
      <c r="BN232" s="13" t="s">
        <v>92</v>
      </c>
      <c r="BO232" s="13" t="s">
        <v>92</v>
      </c>
      <c r="BP232" s="13" t="s">
        <v>93</v>
      </c>
      <c r="BQ232" s="15" t="s">
        <v>92</v>
      </c>
      <c r="BR232" s="15" t="s">
        <v>92</v>
      </c>
      <c r="BS232" s="15" t="s">
        <v>93</v>
      </c>
      <c r="BT232" s="8" t="s">
        <v>93</v>
      </c>
      <c r="BU232" s="15" t="s">
        <v>92</v>
      </c>
      <c r="BV232" s="15" t="s">
        <v>92</v>
      </c>
      <c r="BW232" s="15" t="s">
        <v>92</v>
      </c>
      <c r="BX232" s="15" t="s">
        <v>92</v>
      </c>
      <c r="BY232" s="15" t="s">
        <v>92</v>
      </c>
      <c r="BZ232" s="8" t="s">
        <v>93</v>
      </c>
      <c r="CA232" s="15" t="s">
        <v>92</v>
      </c>
      <c r="CB232" s="17" t="s">
        <v>106</v>
      </c>
      <c r="CC232" s="18"/>
      <c r="CD232" s="18"/>
      <c r="CE232" s="18"/>
      <c r="CF232" s="18"/>
      <c r="CG232" s="18"/>
      <c r="CH232" s="18"/>
    </row>
    <row r="233">
      <c r="A233" s="8"/>
      <c r="B233" s="16" t="s">
        <v>1130</v>
      </c>
      <c r="C233" s="10" t="s">
        <v>1131</v>
      </c>
      <c r="D233" s="9" t="s">
        <v>87</v>
      </c>
      <c r="E233" s="11" t="s">
        <v>1138</v>
      </c>
      <c r="F233" s="12"/>
      <c r="G233" s="13" t="s">
        <v>1139</v>
      </c>
      <c r="H233" s="13" t="s">
        <v>110</v>
      </c>
      <c r="I233" s="13" t="s">
        <v>1140</v>
      </c>
      <c r="J233" s="13" t="s">
        <v>92</v>
      </c>
      <c r="K233" s="14" t="s">
        <v>92</v>
      </c>
      <c r="L233" s="14" t="s">
        <v>93</v>
      </c>
      <c r="M233" s="14" t="s">
        <v>92</v>
      </c>
      <c r="N233" s="14" t="s">
        <v>92</v>
      </c>
      <c r="O233" s="13" t="s">
        <v>92</v>
      </c>
      <c r="P233" s="13" t="s">
        <v>93</v>
      </c>
      <c r="Q233" s="13" t="s">
        <v>92</v>
      </c>
      <c r="R233" s="13" t="s">
        <v>92</v>
      </c>
      <c r="S233" s="14" t="s">
        <v>93</v>
      </c>
      <c r="T233" s="13" t="s">
        <v>92</v>
      </c>
      <c r="U233" s="13" t="s">
        <v>92</v>
      </c>
      <c r="V233" s="13" t="s">
        <v>92</v>
      </c>
      <c r="W233" s="13" t="s">
        <v>92</v>
      </c>
      <c r="X233" s="13" t="s">
        <v>92</v>
      </c>
      <c r="Y233" s="13" t="s">
        <v>92</v>
      </c>
      <c r="Z233" s="13" t="s">
        <v>93</v>
      </c>
      <c r="AA233" s="14" t="s">
        <v>92</v>
      </c>
      <c r="AB233" s="8" t="s">
        <v>93</v>
      </c>
      <c r="AC233" s="15" t="s">
        <v>92</v>
      </c>
      <c r="AD233" s="15" t="s">
        <v>92</v>
      </c>
      <c r="AE233" s="14" t="s">
        <v>103</v>
      </c>
      <c r="AF233" s="13" t="s">
        <v>92</v>
      </c>
      <c r="AG233" s="13" t="s">
        <v>95</v>
      </c>
      <c r="AH233" s="15">
        <v>2022.0</v>
      </c>
      <c r="AI233" s="13" t="s">
        <v>92</v>
      </c>
      <c r="AJ233" s="13" t="s">
        <v>92</v>
      </c>
      <c r="AK233" s="13" t="s">
        <v>93</v>
      </c>
      <c r="AL233" s="14" t="s">
        <v>93</v>
      </c>
      <c r="AM233" s="8" t="s">
        <v>95</v>
      </c>
      <c r="AN233" s="14" t="s">
        <v>114</v>
      </c>
      <c r="AO233" s="8" t="s">
        <v>93</v>
      </c>
      <c r="AP233" s="15" t="s">
        <v>92</v>
      </c>
      <c r="AQ233" s="13" t="s">
        <v>93</v>
      </c>
      <c r="AR233" s="13" t="s">
        <v>93</v>
      </c>
      <c r="AS233" s="13" t="s">
        <v>92</v>
      </c>
      <c r="AT233" s="13" t="s">
        <v>93</v>
      </c>
      <c r="AU233" s="13" t="s">
        <v>93</v>
      </c>
      <c r="AV233" s="13" t="s">
        <v>93</v>
      </c>
      <c r="AW233" s="13" t="s">
        <v>93</v>
      </c>
      <c r="AX233" s="13" t="s">
        <v>92</v>
      </c>
      <c r="AY233" s="15" t="s">
        <v>441</v>
      </c>
      <c r="AZ233" s="15" t="s">
        <v>95</v>
      </c>
      <c r="BA233" s="16" t="s">
        <v>1130</v>
      </c>
      <c r="BB233" s="8" t="s">
        <v>155</v>
      </c>
      <c r="BC233" s="15" t="s">
        <v>92</v>
      </c>
      <c r="BD233" s="13" t="s">
        <v>93</v>
      </c>
      <c r="BE233" s="13" t="s">
        <v>92</v>
      </c>
      <c r="BF233" s="13" t="s">
        <v>92</v>
      </c>
      <c r="BG233" s="13" t="s">
        <v>92</v>
      </c>
      <c r="BH233" s="13" t="s">
        <v>92</v>
      </c>
      <c r="BI233" s="14" t="s">
        <v>92</v>
      </c>
      <c r="BJ233" s="13" t="s">
        <v>92</v>
      </c>
      <c r="BK233" s="14" t="s">
        <v>1137</v>
      </c>
      <c r="BL233" s="13" t="s">
        <v>92</v>
      </c>
      <c r="BM233" s="13" t="s">
        <v>92</v>
      </c>
      <c r="BN233" s="13" t="s">
        <v>92</v>
      </c>
      <c r="BO233" s="13" t="s">
        <v>92</v>
      </c>
      <c r="BP233" s="13" t="s">
        <v>93</v>
      </c>
      <c r="BQ233" s="15" t="s">
        <v>92</v>
      </c>
      <c r="BR233" s="15" t="s">
        <v>92</v>
      </c>
      <c r="BS233" s="15" t="s">
        <v>93</v>
      </c>
      <c r="BT233" s="15" t="s">
        <v>93</v>
      </c>
      <c r="BU233" s="15" t="s">
        <v>92</v>
      </c>
      <c r="BV233" s="15" t="s">
        <v>93</v>
      </c>
      <c r="BW233" s="15" t="s">
        <v>92</v>
      </c>
      <c r="BX233" s="15" t="s">
        <v>92</v>
      </c>
      <c r="BY233" s="15" t="s">
        <v>92</v>
      </c>
      <c r="BZ233" s="8" t="s">
        <v>93</v>
      </c>
      <c r="CA233" s="15" t="s">
        <v>92</v>
      </c>
      <c r="CB233" s="17" t="s">
        <v>106</v>
      </c>
      <c r="CC233" s="17"/>
      <c r="CD233" s="18"/>
      <c r="CE233" s="18"/>
      <c r="CF233" s="18"/>
      <c r="CG233" s="18"/>
      <c r="CH233" s="18"/>
    </row>
    <row r="234">
      <c r="A234" s="8"/>
      <c r="B234" s="16" t="s">
        <v>1130</v>
      </c>
      <c r="C234" s="10" t="s">
        <v>1131</v>
      </c>
      <c r="D234" s="9" t="s">
        <v>87</v>
      </c>
      <c r="E234" s="11" t="s">
        <v>1141</v>
      </c>
      <c r="F234" s="12"/>
      <c r="G234" s="13" t="s">
        <v>1142</v>
      </c>
      <c r="H234" s="14" t="s">
        <v>90</v>
      </c>
      <c r="I234" s="14" t="s">
        <v>1143</v>
      </c>
      <c r="J234" s="14" t="s">
        <v>92</v>
      </c>
      <c r="K234" s="14" t="s">
        <v>92</v>
      </c>
      <c r="L234" s="14" t="s">
        <v>93</v>
      </c>
      <c r="M234" s="14" t="s">
        <v>92</v>
      </c>
      <c r="N234" s="14" t="s">
        <v>92</v>
      </c>
      <c r="O234" s="14" t="s">
        <v>92</v>
      </c>
      <c r="P234" s="14" t="s">
        <v>92</v>
      </c>
      <c r="Q234" s="14" t="s">
        <v>92</v>
      </c>
      <c r="R234" s="14" t="s">
        <v>92</v>
      </c>
      <c r="S234" s="14" t="s">
        <v>93</v>
      </c>
      <c r="T234" s="14" t="s">
        <v>92</v>
      </c>
      <c r="U234" s="14" t="s">
        <v>92</v>
      </c>
      <c r="V234" s="14" t="s">
        <v>92</v>
      </c>
      <c r="W234" s="14" t="s">
        <v>92</v>
      </c>
      <c r="X234" s="14" t="s">
        <v>92</v>
      </c>
      <c r="Y234" s="14" t="s">
        <v>92</v>
      </c>
      <c r="Z234" s="14" t="s">
        <v>92</v>
      </c>
      <c r="AA234" s="14" t="s">
        <v>92</v>
      </c>
      <c r="AB234" s="8" t="s">
        <v>93</v>
      </c>
      <c r="AC234" s="8" t="s">
        <v>92</v>
      </c>
      <c r="AD234" s="8" t="s">
        <v>92</v>
      </c>
      <c r="AE234" s="14" t="s">
        <v>148</v>
      </c>
      <c r="AF234" s="14" t="s">
        <v>92</v>
      </c>
      <c r="AG234" s="13" t="s">
        <v>95</v>
      </c>
      <c r="AH234" s="8" t="s">
        <v>105</v>
      </c>
      <c r="AI234" s="13" t="s">
        <v>93</v>
      </c>
      <c r="AJ234" s="14" t="s">
        <v>92</v>
      </c>
      <c r="AK234" s="14" t="s">
        <v>92</v>
      </c>
      <c r="AL234" s="14" t="s">
        <v>92</v>
      </c>
      <c r="AM234" s="8" t="s">
        <v>105</v>
      </c>
      <c r="AN234" s="14" t="s">
        <v>105</v>
      </c>
      <c r="AO234" s="8" t="s">
        <v>105</v>
      </c>
      <c r="AP234" s="8" t="s">
        <v>92</v>
      </c>
      <c r="AQ234" s="13" t="s">
        <v>93</v>
      </c>
      <c r="AR234" s="13" t="s">
        <v>93</v>
      </c>
      <c r="AS234" s="13" t="s">
        <v>92</v>
      </c>
      <c r="AT234" s="13" t="s">
        <v>93</v>
      </c>
      <c r="AU234" s="13" t="s">
        <v>93</v>
      </c>
      <c r="AV234" s="13" t="s">
        <v>93</v>
      </c>
      <c r="AW234" s="13" t="s">
        <v>93</v>
      </c>
      <c r="AX234" s="13" t="s">
        <v>92</v>
      </c>
      <c r="AY234" s="15" t="s">
        <v>441</v>
      </c>
      <c r="AZ234" s="15" t="s">
        <v>95</v>
      </c>
      <c r="BA234" s="16" t="s">
        <v>1130</v>
      </c>
      <c r="BB234" s="8" t="s">
        <v>155</v>
      </c>
      <c r="BC234" s="15" t="s">
        <v>92</v>
      </c>
      <c r="BD234" s="14" t="s">
        <v>93</v>
      </c>
      <c r="BE234" s="14" t="s">
        <v>92</v>
      </c>
      <c r="BF234" s="14" t="s">
        <v>92</v>
      </c>
      <c r="BG234" s="14" t="s">
        <v>92</v>
      </c>
      <c r="BH234" s="14" t="s">
        <v>92</v>
      </c>
      <c r="BI234" s="14" t="s">
        <v>92</v>
      </c>
      <c r="BJ234" s="14" t="s">
        <v>92</v>
      </c>
      <c r="BK234" s="14" t="s">
        <v>105</v>
      </c>
      <c r="BL234" s="14" t="s">
        <v>105</v>
      </c>
      <c r="BM234" s="14" t="s">
        <v>105</v>
      </c>
      <c r="BN234" s="14" t="s">
        <v>105</v>
      </c>
      <c r="BO234" s="14" t="s">
        <v>105</v>
      </c>
      <c r="BP234" s="14" t="s">
        <v>105</v>
      </c>
      <c r="BQ234" s="8" t="s">
        <v>92</v>
      </c>
      <c r="BR234" s="8" t="s">
        <v>92</v>
      </c>
      <c r="BS234" s="8" t="s">
        <v>93</v>
      </c>
      <c r="BT234" s="8" t="s">
        <v>92</v>
      </c>
      <c r="BU234" s="8" t="s">
        <v>92</v>
      </c>
      <c r="BV234" s="8" t="s">
        <v>92</v>
      </c>
      <c r="BW234" s="8" t="s">
        <v>92</v>
      </c>
      <c r="BX234" s="8" t="s">
        <v>92</v>
      </c>
      <c r="BY234" s="8" t="s">
        <v>92</v>
      </c>
      <c r="BZ234" s="8" t="s">
        <v>92</v>
      </c>
      <c r="CA234" s="8" t="s">
        <v>92</v>
      </c>
      <c r="CB234" s="17" t="s">
        <v>1144</v>
      </c>
      <c r="CC234" s="17"/>
      <c r="CD234" s="18"/>
      <c r="CE234" s="18"/>
      <c r="CF234" s="18"/>
      <c r="CG234" s="18"/>
      <c r="CH234" s="18"/>
    </row>
    <row r="235">
      <c r="A235" s="8"/>
      <c r="B235" s="16" t="s">
        <v>1130</v>
      </c>
      <c r="C235" s="10" t="s">
        <v>1131</v>
      </c>
      <c r="D235" s="9" t="s">
        <v>87</v>
      </c>
      <c r="E235" s="11" t="s">
        <v>1145</v>
      </c>
      <c r="F235" s="12"/>
      <c r="G235" s="13" t="s">
        <v>1146</v>
      </c>
      <c r="H235" s="14" t="s">
        <v>90</v>
      </c>
      <c r="I235" s="14" t="s">
        <v>1147</v>
      </c>
      <c r="J235" s="14" t="s">
        <v>92</v>
      </c>
      <c r="K235" s="14" t="s">
        <v>92</v>
      </c>
      <c r="L235" s="14" t="s">
        <v>92</v>
      </c>
      <c r="M235" s="14" t="s">
        <v>92</v>
      </c>
      <c r="N235" s="14" t="s">
        <v>92</v>
      </c>
      <c r="O235" s="14" t="s">
        <v>92</v>
      </c>
      <c r="P235" s="14" t="s">
        <v>92</v>
      </c>
      <c r="Q235" s="14" t="s">
        <v>92</v>
      </c>
      <c r="R235" s="14" t="s">
        <v>92</v>
      </c>
      <c r="S235" s="14" t="s">
        <v>92</v>
      </c>
      <c r="T235" s="14" t="s">
        <v>92</v>
      </c>
      <c r="U235" s="14" t="s">
        <v>93</v>
      </c>
      <c r="V235" s="14" t="s">
        <v>92</v>
      </c>
      <c r="W235" s="14" t="s">
        <v>92</v>
      </c>
      <c r="X235" s="14" t="s">
        <v>92</v>
      </c>
      <c r="Y235" s="14" t="s">
        <v>92</v>
      </c>
      <c r="Z235" s="14" t="s">
        <v>92</v>
      </c>
      <c r="AA235" s="14" t="s">
        <v>92</v>
      </c>
      <c r="AB235" s="8" t="s">
        <v>93</v>
      </c>
      <c r="AC235" s="8" t="s">
        <v>92</v>
      </c>
      <c r="AD235" s="8" t="s">
        <v>92</v>
      </c>
      <c r="AE235" s="14" t="s">
        <v>94</v>
      </c>
      <c r="AF235" s="14" t="s">
        <v>92</v>
      </c>
      <c r="AG235" s="13" t="s">
        <v>95</v>
      </c>
      <c r="AH235" s="8">
        <v>2021.0</v>
      </c>
      <c r="AI235" s="14" t="s">
        <v>92</v>
      </c>
      <c r="AJ235" s="14" t="s">
        <v>93</v>
      </c>
      <c r="AK235" s="14" t="s">
        <v>92</v>
      </c>
      <c r="AL235" s="14" t="s">
        <v>92</v>
      </c>
      <c r="AM235" s="8">
        <v>2021.0</v>
      </c>
      <c r="AN235" s="14" t="s">
        <v>96</v>
      </c>
      <c r="AO235" s="8" t="s">
        <v>92</v>
      </c>
      <c r="AP235" s="8" t="s">
        <v>93</v>
      </c>
      <c r="AQ235" s="13" t="s">
        <v>93</v>
      </c>
      <c r="AR235" s="13" t="s">
        <v>93</v>
      </c>
      <c r="AS235" s="13" t="s">
        <v>92</v>
      </c>
      <c r="AT235" s="13" t="s">
        <v>93</v>
      </c>
      <c r="AU235" s="13" t="s">
        <v>93</v>
      </c>
      <c r="AV235" s="13" t="s">
        <v>93</v>
      </c>
      <c r="AW235" s="13" t="s">
        <v>93</v>
      </c>
      <c r="AX235" s="13" t="s">
        <v>92</v>
      </c>
      <c r="AY235" s="15" t="s">
        <v>441</v>
      </c>
      <c r="AZ235" s="15" t="s">
        <v>95</v>
      </c>
      <c r="BA235" s="16" t="s">
        <v>1130</v>
      </c>
      <c r="BB235" s="8" t="s">
        <v>155</v>
      </c>
      <c r="BC235" s="15" t="s">
        <v>92</v>
      </c>
      <c r="BD235" s="14" t="s">
        <v>92</v>
      </c>
      <c r="BE235" s="14" t="s">
        <v>92</v>
      </c>
      <c r="BF235" s="14" t="s">
        <v>92</v>
      </c>
      <c r="BG235" s="14" t="s">
        <v>92</v>
      </c>
      <c r="BH235" s="14" t="s">
        <v>92</v>
      </c>
      <c r="BI235" s="14" t="s">
        <v>93</v>
      </c>
      <c r="BJ235" s="14" t="s">
        <v>92</v>
      </c>
      <c r="BK235" s="14" t="s">
        <v>1137</v>
      </c>
      <c r="BL235" s="13" t="s">
        <v>92</v>
      </c>
      <c r="BM235" s="13" t="s">
        <v>92</v>
      </c>
      <c r="BN235" s="13" t="s">
        <v>92</v>
      </c>
      <c r="BO235" s="13" t="s">
        <v>92</v>
      </c>
      <c r="BP235" s="13" t="s">
        <v>93</v>
      </c>
      <c r="BQ235" s="8" t="s">
        <v>93</v>
      </c>
      <c r="BR235" s="8" t="s">
        <v>92</v>
      </c>
      <c r="BS235" s="8" t="s">
        <v>92</v>
      </c>
      <c r="BT235" s="8" t="s">
        <v>92</v>
      </c>
      <c r="BU235" s="8" t="s">
        <v>92</v>
      </c>
      <c r="BV235" s="8" t="s">
        <v>92</v>
      </c>
      <c r="BW235" s="8" t="s">
        <v>92</v>
      </c>
      <c r="BX235" s="8" t="s">
        <v>92</v>
      </c>
      <c r="BY235" s="8" t="s">
        <v>92</v>
      </c>
      <c r="BZ235" s="8" t="s">
        <v>92</v>
      </c>
      <c r="CA235" s="8" t="s">
        <v>92</v>
      </c>
      <c r="CB235" s="17" t="s">
        <v>115</v>
      </c>
      <c r="CC235" s="17"/>
      <c r="CD235" s="18"/>
      <c r="CE235" s="18"/>
      <c r="CF235" s="18"/>
      <c r="CG235" s="18"/>
      <c r="CH235" s="18"/>
    </row>
    <row r="236">
      <c r="A236" s="8"/>
      <c r="B236" s="16" t="s">
        <v>1130</v>
      </c>
      <c r="C236" s="10" t="s">
        <v>1131</v>
      </c>
      <c r="D236" s="9" t="s">
        <v>87</v>
      </c>
      <c r="E236" s="11" t="s">
        <v>1148</v>
      </c>
      <c r="F236" s="12"/>
      <c r="G236" s="14" t="s">
        <v>1149</v>
      </c>
      <c r="H236" s="14" t="s">
        <v>110</v>
      </c>
      <c r="I236" s="14" t="s">
        <v>1150</v>
      </c>
      <c r="J236" s="14" t="s">
        <v>93</v>
      </c>
      <c r="K236" s="14" t="s">
        <v>92</v>
      </c>
      <c r="L236" s="14" t="s">
        <v>93</v>
      </c>
      <c r="M236" s="14" t="s">
        <v>92</v>
      </c>
      <c r="N236" s="14" t="s">
        <v>92</v>
      </c>
      <c r="O236" s="14" t="s">
        <v>92</v>
      </c>
      <c r="P236" s="14" t="s">
        <v>92</v>
      </c>
      <c r="Q236" s="14" t="s">
        <v>92</v>
      </c>
      <c r="R236" s="14" t="s">
        <v>92</v>
      </c>
      <c r="S236" s="14" t="s">
        <v>93</v>
      </c>
      <c r="T236" s="14" t="s">
        <v>92</v>
      </c>
      <c r="U236" s="14" t="s">
        <v>92</v>
      </c>
      <c r="V236" s="14" t="s">
        <v>92</v>
      </c>
      <c r="W236" s="14" t="s">
        <v>92</v>
      </c>
      <c r="X236" s="14" t="s">
        <v>92</v>
      </c>
      <c r="Y236" s="14" t="s">
        <v>92</v>
      </c>
      <c r="Z236" s="14" t="s">
        <v>92</v>
      </c>
      <c r="AA236" s="14" t="s">
        <v>92</v>
      </c>
      <c r="AB236" s="8" t="s">
        <v>93</v>
      </c>
      <c r="AC236" s="8" t="s">
        <v>93</v>
      </c>
      <c r="AD236" s="8" t="s">
        <v>92</v>
      </c>
      <c r="AE236" s="14" t="s">
        <v>112</v>
      </c>
      <c r="AF236" s="14" t="s">
        <v>93</v>
      </c>
      <c r="AG236" s="14" t="s">
        <v>105</v>
      </c>
      <c r="AH236" s="8" t="s">
        <v>105</v>
      </c>
      <c r="AI236" s="13" t="s">
        <v>92</v>
      </c>
      <c r="AJ236" s="13" t="s">
        <v>92</v>
      </c>
      <c r="AK236" s="13" t="s">
        <v>93</v>
      </c>
      <c r="AL236" s="14" t="s">
        <v>92</v>
      </c>
      <c r="AM236" s="8" t="s">
        <v>105</v>
      </c>
      <c r="AN236" s="14" t="s">
        <v>105</v>
      </c>
      <c r="AO236" s="8" t="s">
        <v>105</v>
      </c>
      <c r="AP236" s="15" t="s">
        <v>92</v>
      </c>
      <c r="AQ236" s="13" t="s">
        <v>93</v>
      </c>
      <c r="AR236" s="13" t="s">
        <v>93</v>
      </c>
      <c r="AS236" s="13" t="s">
        <v>92</v>
      </c>
      <c r="AT236" s="13" t="s">
        <v>93</v>
      </c>
      <c r="AU236" s="13" t="s">
        <v>93</v>
      </c>
      <c r="AV236" s="13" t="s">
        <v>93</v>
      </c>
      <c r="AW236" s="13" t="s">
        <v>93</v>
      </c>
      <c r="AX236" s="13" t="s">
        <v>92</v>
      </c>
      <c r="AY236" s="15" t="s">
        <v>441</v>
      </c>
      <c r="AZ236" s="15" t="s">
        <v>95</v>
      </c>
      <c r="BA236" s="16" t="s">
        <v>1130</v>
      </c>
      <c r="BB236" s="8" t="s">
        <v>155</v>
      </c>
      <c r="BC236" s="15" t="s">
        <v>92</v>
      </c>
      <c r="BD236" s="14" t="s">
        <v>93</v>
      </c>
      <c r="BE236" s="14" t="s">
        <v>92</v>
      </c>
      <c r="BF236" s="14" t="s">
        <v>92</v>
      </c>
      <c r="BG236" s="14" t="s">
        <v>92</v>
      </c>
      <c r="BH236" s="14" t="s">
        <v>92</v>
      </c>
      <c r="BI236" s="14" t="s">
        <v>92</v>
      </c>
      <c r="BJ236" s="14" t="s">
        <v>92</v>
      </c>
      <c r="BK236" s="14" t="s">
        <v>105</v>
      </c>
      <c r="BL236" s="14" t="s">
        <v>105</v>
      </c>
      <c r="BM236" s="14" t="s">
        <v>105</v>
      </c>
      <c r="BN236" s="14" t="s">
        <v>105</v>
      </c>
      <c r="BO236" s="14" t="s">
        <v>105</v>
      </c>
      <c r="BP236" s="14" t="s">
        <v>105</v>
      </c>
      <c r="BQ236" s="8" t="s">
        <v>92</v>
      </c>
      <c r="BR236" s="8" t="s">
        <v>92</v>
      </c>
      <c r="BS236" s="8" t="s">
        <v>93</v>
      </c>
      <c r="BT236" s="8" t="s">
        <v>92</v>
      </c>
      <c r="BU236" s="8" t="s">
        <v>92</v>
      </c>
      <c r="BV236" s="8" t="s">
        <v>92</v>
      </c>
      <c r="BW236" s="8" t="s">
        <v>92</v>
      </c>
      <c r="BX236" s="8" t="s">
        <v>92</v>
      </c>
      <c r="BY236" s="8" t="s">
        <v>92</v>
      </c>
      <c r="BZ236" s="8" t="s">
        <v>92</v>
      </c>
      <c r="CA236" s="8" t="s">
        <v>92</v>
      </c>
      <c r="CB236" s="17" t="s">
        <v>106</v>
      </c>
      <c r="CC236" s="17"/>
      <c r="CD236" s="18"/>
      <c r="CE236" s="18"/>
      <c r="CF236" s="18"/>
      <c r="CG236" s="18"/>
      <c r="CH236" s="18"/>
    </row>
    <row r="237">
      <c r="A237" s="8"/>
      <c r="B237" s="16" t="s">
        <v>1130</v>
      </c>
      <c r="C237" s="10" t="s">
        <v>1131</v>
      </c>
      <c r="D237" s="9" t="s">
        <v>87</v>
      </c>
      <c r="E237" s="11" t="s">
        <v>1151</v>
      </c>
      <c r="F237" s="12"/>
      <c r="G237" s="13" t="s">
        <v>1152</v>
      </c>
      <c r="H237" s="13" t="s">
        <v>110</v>
      </c>
      <c r="I237" s="13" t="s">
        <v>1153</v>
      </c>
      <c r="J237" s="13" t="s">
        <v>92</v>
      </c>
      <c r="K237" s="14" t="s">
        <v>92</v>
      </c>
      <c r="L237" s="14" t="s">
        <v>93</v>
      </c>
      <c r="M237" s="14" t="s">
        <v>92</v>
      </c>
      <c r="N237" s="14" t="s">
        <v>92</v>
      </c>
      <c r="O237" s="13" t="s">
        <v>92</v>
      </c>
      <c r="P237" s="13" t="s">
        <v>92</v>
      </c>
      <c r="Q237" s="13" t="s">
        <v>92</v>
      </c>
      <c r="R237" s="13" t="s">
        <v>93</v>
      </c>
      <c r="S237" s="13" t="s">
        <v>92</v>
      </c>
      <c r="T237" s="13" t="s">
        <v>92</v>
      </c>
      <c r="U237" s="13" t="s">
        <v>92</v>
      </c>
      <c r="V237" s="13" t="s">
        <v>92</v>
      </c>
      <c r="W237" s="13" t="s">
        <v>92</v>
      </c>
      <c r="X237" s="13" t="s">
        <v>92</v>
      </c>
      <c r="Y237" s="13" t="s">
        <v>92</v>
      </c>
      <c r="Z237" s="13" t="s">
        <v>93</v>
      </c>
      <c r="AA237" s="14" t="s">
        <v>92</v>
      </c>
      <c r="AB237" s="8" t="s">
        <v>93</v>
      </c>
      <c r="AC237" s="15" t="s">
        <v>93</v>
      </c>
      <c r="AD237" s="15" t="s">
        <v>92</v>
      </c>
      <c r="AE237" s="14" t="s">
        <v>103</v>
      </c>
      <c r="AF237" s="13" t="s">
        <v>93</v>
      </c>
      <c r="AG237" s="13" t="s">
        <v>1154</v>
      </c>
      <c r="AH237" s="8">
        <v>2021.0</v>
      </c>
      <c r="AI237" s="14" t="s">
        <v>92</v>
      </c>
      <c r="AJ237" s="13" t="s">
        <v>93</v>
      </c>
      <c r="AK237" s="13" t="s">
        <v>93</v>
      </c>
      <c r="AL237" s="14" t="s">
        <v>92</v>
      </c>
      <c r="AM237" s="8" t="s">
        <v>105</v>
      </c>
      <c r="AN237" s="14" t="s">
        <v>105</v>
      </c>
      <c r="AO237" s="15" t="s">
        <v>93</v>
      </c>
      <c r="AP237" s="15" t="s">
        <v>92</v>
      </c>
      <c r="AQ237" s="13" t="s">
        <v>93</v>
      </c>
      <c r="AR237" s="13" t="s">
        <v>93</v>
      </c>
      <c r="AS237" s="13" t="s">
        <v>92</v>
      </c>
      <c r="AT237" s="13" t="s">
        <v>93</v>
      </c>
      <c r="AU237" s="13" t="s">
        <v>93</v>
      </c>
      <c r="AV237" s="13" t="s">
        <v>93</v>
      </c>
      <c r="AW237" s="13" t="s">
        <v>93</v>
      </c>
      <c r="AX237" s="13" t="s">
        <v>92</v>
      </c>
      <c r="AY237" s="15" t="s">
        <v>1155</v>
      </c>
      <c r="AZ237" s="15" t="s">
        <v>92</v>
      </c>
      <c r="BA237" s="16" t="s">
        <v>1156</v>
      </c>
      <c r="BB237" s="8" t="s">
        <v>95</v>
      </c>
      <c r="BC237" s="15" t="s">
        <v>93</v>
      </c>
      <c r="BD237" s="13" t="s">
        <v>92</v>
      </c>
      <c r="BE237" s="13" t="s">
        <v>92</v>
      </c>
      <c r="BF237" s="13" t="s">
        <v>92</v>
      </c>
      <c r="BG237" s="13" t="s">
        <v>92</v>
      </c>
      <c r="BH237" s="13" t="s">
        <v>92</v>
      </c>
      <c r="BI237" s="14" t="s">
        <v>92</v>
      </c>
      <c r="BJ237" s="13" t="s">
        <v>92</v>
      </c>
      <c r="BK237" s="14" t="s">
        <v>105</v>
      </c>
      <c r="BL237" s="14" t="s">
        <v>105</v>
      </c>
      <c r="BM237" s="14" t="s">
        <v>105</v>
      </c>
      <c r="BN237" s="14" t="s">
        <v>105</v>
      </c>
      <c r="BO237" s="14" t="s">
        <v>105</v>
      </c>
      <c r="BP237" s="14" t="s">
        <v>105</v>
      </c>
      <c r="BQ237" s="15" t="s">
        <v>92</v>
      </c>
      <c r="BR237" s="15" t="s">
        <v>92</v>
      </c>
      <c r="BS237" s="15" t="s">
        <v>92</v>
      </c>
      <c r="BT237" s="15" t="s">
        <v>93</v>
      </c>
      <c r="BU237" s="15" t="s">
        <v>92</v>
      </c>
      <c r="BV237" s="8" t="s">
        <v>92</v>
      </c>
      <c r="BW237" s="15" t="s">
        <v>92</v>
      </c>
      <c r="BX237" s="15" t="s">
        <v>92</v>
      </c>
      <c r="BY237" s="15" t="s">
        <v>92</v>
      </c>
      <c r="BZ237" s="15" t="s">
        <v>92</v>
      </c>
      <c r="CA237" s="15" t="s">
        <v>93</v>
      </c>
      <c r="CB237" s="17" t="s">
        <v>106</v>
      </c>
      <c r="CC237" s="17" t="s">
        <v>115</v>
      </c>
      <c r="CD237" s="24" t="s">
        <v>1007</v>
      </c>
      <c r="CE237" s="18"/>
      <c r="CF237" s="18"/>
      <c r="CG237" s="18"/>
      <c r="CH237" s="18"/>
    </row>
    <row r="238">
      <c r="A238" s="8"/>
      <c r="B238" s="9" t="s">
        <v>1157</v>
      </c>
      <c r="C238" s="10" t="s">
        <v>1158</v>
      </c>
      <c r="D238" s="9" t="s">
        <v>87</v>
      </c>
      <c r="E238" s="11" t="s">
        <v>1159</v>
      </c>
      <c r="F238" s="12"/>
      <c r="G238" s="14" t="s">
        <v>1160</v>
      </c>
      <c r="H238" s="14" t="s">
        <v>90</v>
      </c>
      <c r="I238" s="14" t="s">
        <v>1161</v>
      </c>
      <c r="J238" s="14" t="s">
        <v>92</v>
      </c>
      <c r="K238" s="14" t="s">
        <v>92</v>
      </c>
      <c r="L238" s="14" t="s">
        <v>92</v>
      </c>
      <c r="M238" s="14" t="s">
        <v>93</v>
      </c>
      <c r="N238" s="14" t="s">
        <v>92</v>
      </c>
      <c r="O238" s="14" t="s">
        <v>92</v>
      </c>
      <c r="P238" s="14" t="s">
        <v>92</v>
      </c>
      <c r="Q238" s="14" t="s">
        <v>92</v>
      </c>
      <c r="R238" s="14" t="s">
        <v>92</v>
      </c>
      <c r="S238" s="14" t="s">
        <v>92</v>
      </c>
      <c r="T238" s="14" t="s">
        <v>92</v>
      </c>
      <c r="U238" s="14" t="s">
        <v>93</v>
      </c>
      <c r="V238" s="14" t="s">
        <v>92</v>
      </c>
      <c r="W238" s="14" t="s">
        <v>92</v>
      </c>
      <c r="X238" s="14" t="s">
        <v>92</v>
      </c>
      <c r="Y238" s="14" t="s">
        <v>92</v>
      </c>
      <c r="Z238" s="14" t="s">
        <v>92</v>
      </c>
      <c r="AA238" s="14" t="s">
        <v>92</v>
      </c>
      <c r="AB238" s="8" t="s">
        <v>93</v>
      </c>
      <c r="AC238" s="8" t="s">
        <v>92</v>
      </c>
      <c r="AD238" s="8" t="s">
        <v>92</v>
      </c>
      <c r="AE238" s="14" t="s">
        <v>94</v>
      </c>
      <c r="AF238" s="14" t="s">
        <v>92</v>
      </c>
      <c r="AG238" s="14" t="s">
        <v>95</v>
      </c>
      <c r="AH238" s="8" t="s">
        <v>105</v>
      </c>
      <c r="AI238" s="14" t="s">
        <v>105</v>
      </c>
      <c r="AJ238" s="14" t="s">
        <v>105</v>
      </c>
      <c r="AK238" s="14" t="s">
        <v>105</v>
      </c>
      <c r="AL238" s="14" t="s">
        <v>93</v>
      </c>
      <c r="AM238" s="8" t="s">
        <v>105</v>
      </c>
      <c r="AN238" s="14" t="s">
        <v>105</v>
      </c>
      <c r="AO238" s="8" t="s">
        <v>105</v>
      </c>
      <c r="AP238" s="8" t="s">
        <v>92</v>
      </c>
      <c r="AQ238" s="14" t="s">
        <v>93</v>
      </c>
      <c r="AR238" s="14" t="s">
        <v>93</v>
      </c>
      <c r="AS238" s="14" t="s">
        <v>93</v>
      </c>
      <c r="AT238" s="14" t="s">
        <v>93</v>
      </c>
      <c r="AU238" s="14" t="s">
        <v>92</v>
      </c>
      <c r="AV238" s="14" t="s">
        <v>93</v>
      </c>
      <c r="AW238" s="14" t="s">
        <v>92</v>
      </c>
      <c r="AX238" s="14" t="s">
        <v>93</v>
      </c>
      <c r="AY238" s="8" t="s">
        <v>95</v>
      </c>
      <c r="AZ238" s="8" t="s">
        <v>95</v>
      </c>
      <c r="BA238" s="9" t="s">
        <v>1162</v>
      </c>
      <c r="BB238" s="8" t="s">
        <v>143</v>
      </c>
      <c r="BC238" s="8" t="s">
        <v>92</v>
      </c>
      <c r="BD238" s="14" t="s">
        <v>92</v>
      </c>
      <c r="BE238" s="14" t="s">
        <v>92</v>
      </c>
      <c r="BF238" s="14" t="s">
        <v>92</v>
      </c>
      <c r="BG238" s="14" t="s">
        <v>92</v>
      </c>
      <c r="BH238" s="14" t="s">
        <v>92</v>
      </c>
      <c r="BI238" s="14" t="s">
        <v>93</v>
      </c>
      <c r="BJ238" s="14" t="s">
        <v>92</v>
      </c>
      <c r="BK238" s="14" t="s">
        <v>98</v>
      </c>
      <c r="BL238" s="14" t="s">
        <v>92</v>
      </c>
      <c r="BM238" s="14" t="s">
        <v>92</v>
      </c>
      <c r="BN238" s="14" t="s">
        <v>92</v>
      </c>
      <c r="BO238" s="14" t="s">
        <v>92</v>
      </c>
      <c r="BP238" s="14" t="s">
        <v>93</v>
      </c>
      <c r="BQ238" s="8" t="s">
        <v>93</v>
      </c>
      <c r="BR238" s="8" t="s">
        <v>92</v>
      </c>
      <c r="BS238" s="8" t="s">
        <v>92</v>
      </c>
      <c r="BT238" s="8" t="s">
        <v>92</v>
      </c>
      <c r="BU238" s="8" t="s">
        <v>92</v>
      </c>
      <c r="BV238" s="8" t="s">
        <v>92</v>
      </c>
      <c r="BW238" s="8" t="s">
        <v>92</v>
      </c>
      <c r="BX238" s="8" t="s">
        <v>92</v>
      </c>
      <c r="BY238" s="8" t="s">
        <v>92</v>
      </c>
      <c r="BZ238" s="8" t="s">
        <v>92</v>
      </c>
      <c r="CA238" s="8" t="s">
        <v>92</v>
      </c>
      <c r="CB238" s="20" t="s">
        <v>1163</v>
      </c>
      <c r="CC238" s="31"/>
      <c r="CD238" s="31"/>
      <c r="CE238" s="18"/>
      <c r="CF238" s="18"/>
      <c r="CG238" s="18"/>
      <c r="CH238" s="18"/>
    </row>
    <row r="239">
      <c r="A239" s="8"/>
      <c r="B239" s="9" t="s">
        <v>1157</v>
      </c>
      <c r="C239" s="10" t="s">
        <v>1158</v>
      </c>
      <c r="D239" s="9" t="s">
        <v>87</v>
      </c>
      <c r="E239" s="11" t="s">
        <v>1164</v>
      </c>
      <c r="F239" s="12"/>
      <c r="G239" s="14" t="s">
        <v>1165</v>
      </c>
      <c r="H239" s="14" t="s">
        <v>189</v>
      </c>
      <c r="I239" s="14" t="s">
        <v>1166</v>
      </c>
      <c r="J239" s="14" t="s">
        <v>92</v>
      </c>
      <c r="K239" s="14" t="s">
        <v>92</v>
      </c>
      <c r="L239" s="14" t="s">
        <v>92</v>
      </c>
      <c r="M239" s="14" t="s">
        <v>93</v>
      </c>
      <c r="N239" s="14" t="s">
        <v>92</v>
      </c>
      <c r="O239" s="14" t="s">
        <v>92</v>
      </c>
      <c r="P239" s="14" t="s">
        <v>93</v>
      </c>
      <c r="Q239" s="14" t="s">
        <v>92</v>
      </c>
      <c r="R239" s="14" t="s">
        <v>92</v>
      </c>
      <c r="S239" s="14" t="s">
        <v>92</v>
      </c>
      <c r="T239" s="14" t="s">
        <v>92</v>
      </c>
      <c r="U239" s="14" t="s">
        <v>93</v>
      </c>
      <c r="V239" s="14" t="s">
        <v>92</v>
      </c>
      <c r="W239" s="14" t="s">
        <v>92</v>
      </c>
      <c r="X239" s="14" t="s">
        <v>92</v>
      </c>
      <c r="Y239" s="14" t="s">
        <v>92</v>
      </c>
      <c r="Z239" s="14" t="s">
        <v>92</v>
      </c>
      <c r="AA239" s="14" t="s">
        <v>92</v>
      </c>
      <c r="AB239" s="8" t="s">
        <v>93</v>
      </c>
      <c r="AC239" s="8" t="s">
        <v>92</v>
      </c>
      <c r="AD239" s="8" t="s">
        <v>92</v>
      </c>
      <c r="AE239" s="14" t="s">
        <v>94</v>
      </c>
      <c r="AF239" s="14" t="s">
        <v>92</v>
      </c>
      <c r="AG239" s="14" t="s">
        <v>95</v>
      </c>
      <c r="AH239" s="8" t="s">
        <v>105</v>
      </c>
      <c r="AI239" s="14" t="s">
        <v>105</v>
      </c>
      <c r="AJ239" s="14" t="s">
        <v>105</v>
      </c>
      <c r="AK239" s="14" t="s">
        <v>105</v>
      </c>
      <c r="AL239" s="14" t="s">
        <v>93</v>
      </c>
      <c r="AM239" s="8" t="s">
        <v>105</v>
      </c>
      <c r="AN239" s="14" t="s">
        <v>105</v>
      </c>
      <c r="AO239" s="8" t="s">
        <v>105</v>
      </c>
      <c r="AP239" s="8" t="s">
        <v>92</v>
      </c>
      <c r="AQ239" s="14" t="s">
        <v>93</v>
      </c>
      <c r="AR239" s="14" t="s">
        <v>93</v>
      </c>
      <c r="AS239" s="14" t="s">
        <v>93</v>
      </c>
      <c r="AT239" s="14" t="s">
        <v>93</v>
      </c>
      <c r="AU239" s="14" t="s">
        <v>92</v>
      </c>
      <c r="AV239" s="14" t="s">
        <v>93</v>
      </c>
      <c r="AW239" s="14" t="s">
        <v>92</v>
      </c>
      <c r="AX239" s="14" t="s">
        <v>93</v>
      </c>
      <c r="AY239" s="8" t="s">
        <v>1167</v>
      </c>
      <c r="AZ239" s="8" t="s">
        <v>92</v>
      </c>
      <c r="BA239" s="9" t="s">
        <v>1167</v>
      </c>
      <c r="BB239" s="8" t="s">
        <v>95</v>
      </c>
      <c r="BC239" s="8" t="s">
        <v>93</v>
      </c>
      <c r="BD239" s="14" t="s">
        <v>92</v>
      </c>
      <c r="BE239" s="14" t="s">
        <v>92</v>
      </c>
      <c r="BF239" s="14" t="s">
        <v>92</v>
      </c>
      <c r="BG239" s="14" t="s">
        <v>92</v>
      </c>
      <c r="BH239" s="14" t="s">
        <v>92</v>
      </c>
      <c r="BI239" s="14" t="s">
        <v>93</v>
      </c>
      <c r="BJ239" s="14" t="s">
        <v>92</v>
      </c>
      <c r="BK239" s="14" t="s">
        <v>98</v>
      </c>
      <c r="BL239" s="14" t="s">
        <v>92</v>
      </c>
      <c r="BM239" s="14" t="s">
        <v>92</v>
      </c>
      <c r="BN239" s="14" t="s">
        <v>92</v>
      </c>
      <c r="BO239" s="14" t="s">
        <v>92</v>
      </c>
      <c r="BP239" s="14" t="s">
        <v>93</v>
      </c>
      <c r="BQ239" s="8" t="s">
        <v>93</v>
      </c>
      <c r="BR239" s="8" t="s">
        <v>92</v>
      </c>
      <c r="BS239" s="8" t="s">
        <v>92</v>
      </c>
      <c r="BT239" s="8" t="s">
        <v>92</v>
      </c>
      <c r="BU239" s="8" t="s">
        <v>92</v>
      </c>
      <c r="BV239" s="8" t="s">
        <v>92</v>
      </c>
      <c r="BW239" s="8" t="s">
        <v>92</v>
      </c>
      <c r="BX239" s="8" t="s">
        <v>92</v>
      </c>
      <c r="BY239" s="8" t="s">
        <v>92</v>
      </c>
      <c r="BZ239" s="8" t="s">
        <v>92</v>
      </c>
      <c r="CA239" s="8" t="s">
        <v>92</v>
      </c>
      <c r="CB239" s="20" t="s">
        <v>1163</v>
      </c>
      <c r="CC239" s="31"/>
      <c r="CD239" s="31"/>
      <c r="CE239" s="18"/>
      <c r="CF239" s="18"/>
      <c r="CG239" s="18"/>
      <c r="CH239" s="18"/>
    </row>
    <row r="240">
      <c r="A240" s="8"/>
      <c r="B240" s="9" t="s">
        <v>729</v>
      </c>
      <c r="C240" s="10" t="s">
        <v>730</v>
      </c>
      <c r="D240" s="9" t="s">
        <v>87</v>
      </c>
      <c r="E240" s="11" t="s">
        <v>1168</v>
      </c>
      <c r="F240" s="10" t="s">
        <v>187</v>
      </c>
      <c r="G240" s="9" t="s">
        <v>188</v>
      </c>
      <c r="H240" s="14" t="s">
        <v>189</v>
      </c>
      <c r="I240" s="14" t="s">
        <v>1169</v>
      </c>
      <c r="J240" s="14" t="s">
        <v>92</v>
      </c>
      <c r="K240" s="14" t="s">
        <v>92</v>
      </c>
      <c r="L240" s="14" t="s">
        <v>92</v>
      </c>
      <c r="M240" s="14" t="s">
        <v>93</v>
      </c>
      <c r="N240" s="14" t="s">
        <v>92</v>
      </c>
      <c r="O240" s="14" t="s">
        <v>92</v>
      </c>
      <c r="P240" s="14" t="s">
        <v>92</v>
      </c>
      <c r="Q240" s="14" t="s">
        <v>92</v>
      </c>
      <c r="R240" s="14" t="s">
        <v>93</v>
      </c>
      <c r="S240" s="14" t="s">
        <v>92</v>
      </c>
      <c r="T240" s="14" t="s">
        <v>92</v>
      </c>
      <c r="U240" s="14" t="s">
        <v>93</v>
      </c>
      <c r="V240" s="14" t="s">
        <v>92</v>
      </c>
      <c r="W240" s="14" t="s">
        <v>92</v>
      </c>
      <c r="X240" s="14" t="s">
        <v>92</v>
      </c>
      <c r="Y240" s="14" t="s">
        <v>92</v>
      </c>
      <c r="Z240" s="14" t="s">
        <v>92</v>
      </c>
      <c r="AA240" s="14" t="s">
        <v>92</v>
      </c>
      <c r="AB240" s="8" t="s">
        <v>93</v>
      </c>
      <c r="AC240" s="8" t="s">
        <v>92</v>
      </c>
      <c r="AD240" s="8" t="s">
        <v>92</v>
      </c>
      <c r="AE240" s="14" t="s">
        <v>94</v>
      </c>
      <c r="AF240" s="14" t="s">
        <v>92</v>
      </c>
      <c r="AG240" s="14" t="s">
        <v>95</v>
      </c>
      <c r="AH240" s="8" t="s">
        <v>105</v>
      </c>
      <c r="AI240" s="14" t="s">
        <v>105</v>
      </c>
      <c r="AJ240" s="14" t="s">
        <v>105</v>
      </c>
      <c r="AK240" s="14" t="s">
        <v>105</v>
      </c>
      <c r="AL240" s="14" t="s">
        <v>93</v>
      </c>
      <c r="AM240" s="8" t="s">
        <v>95</v>
      </c>
      <c r="AN240" s="14" t="s">
        <v>114</v>
      </c>
      <c r="AO240" s="8" t="s">
        <v>92</v>
      </c>
      <c r="AP240" s="8" t="s">
        <v>92</v>
      </c>
      <c r="AQ240" s="14" t="s">
        <v>93</v>
      </c>
      <c r="AR240" s="14" t="s">
        <v>93</v>
      </c>
      <c r="AS240" s="14" t="s">
        <v>93</v>
      </c>
      <c r="AT240" s="14" t="s">
        <v>93</v>
      </c>
      <c r="AU240" s="14" t="s">
        <v>93</v>
      </c>
      <c r="AV240" s="14" t="s">
        <v>93</v>
      </c>
      <c r="AW240" s="14" t="s">
        <v>92</v>
      </c>
      <c r="AX240" s="14" t="s">
        <v>92</v>
      </c>
      <c r="AY240" s="8" t="s">
        <v>1170</v>
      </c>
      <c r="AZ240" s="8" t="s">
        <v>92</v>
      </c>
      <c r="BA240" s="9" t="s">
        <v>1171</v>
      </c>
      <c r="BB240" s="8" t="s">
        <v>155</v>
      </c>
      <c r="BC240" s="8" t="s">
        <v>92</v>
      </c>
      <c r="BD240" s="14" t="s">
        <v>92</v>
      </c>
      <c r="BE240" s="14" t="s">
        <v>92</v>
      </c>
      <c r="BF240" s="14" t="s">
        <v>92</v>
      </c>
      <c r="BG240" s="14" t="s">
        <v>92</v>
      </c>
      <c r="BH240" s="14" t="s">
        <v>92</v>
      </c>
      <c r="BI240" s="14" t="s">
        <v>93</v>
      </c>
      <c r="BJ240" s="14" t="s">
        <v>92</v>
      </c>
      <c r="BK240" s="14" t="s">
        <v>98</v>
      </c>
      <c r="BL240" s="14" t="s">
        <v>92</v>
      </c>
      <c r="BM240" s="14" t="s">
        <v>92</v>
      </c>
      <c r="BN240" s="14" t="s">
        <v>92</v>
      </c>
      <c r="BO240" s="14" t="s">
        <v>92</v>
      </c>
      <c r="BP240" s="14" t="s">
        <v>93</v>
      </c>
      <c r="BQ240" s="8" t="s">
        <v>93</v>
      </c>
      <c r="BR240" s="8" t="s">
        <v>92</v>
      </c>
      <c r="BS240" s="8" t="s">
        <v>92</v>
      </c>
      <c r="BT240" s="8" t="s">
        <v>92</v>
      </c>
      <c r="BU240" s="8" t="s">
        <v>92</v>
      </c>
      <c r="BV240" s="8" t="s">
        <v>92</v>
      </c>
      <c r="BW240" s="8" t="s">
        <v>92</v>
      </c>
      <c r="BX240" s="8" t="s">
        <v>92</v>
      </c>
      <c r="BY240" s="8" t="s">
        <v>92</v>
      </c>
      <c r="BZ240" s="8" t="s">
        <v>92</v>
      </c>
      <c r="CA240" s="8" t="s">
        <v>92</v>
      </c>
      <c r="CB240" s="20" t="s">
        <v>1163</v>
      </c>
      <c r="CC240" s="31"/>
      <c r="CD240" s="31"/>
      <c r="CE240" s="18"/>
      <c r="CF240" s="18"/>
      <c r="CG240" s="18"/>
      <c r="CH240" s="18"/>
    </row>
    <row r="241">
      <c r="A241" s="8"/>
      <c r="B241" s="9" t="s">
        <v>1157</v>
      </c>
      <c r="C241" s="10" t="s">
        <v>1158</v>
      </c>
      <c r="D241" s="9" t="s">
        <v>87</v>
      </c>
      <c r="E241" s="11" t="s">
        <v>1168</v>
      </c>
      <c r="F241" s="10" t="s">
        <v>187</v>
      </c>
      <c r="G241" s="9" t="s">
        <v>188</v>
      </c>
      <c r="H241" s="14" t="s">
        <v>189</v>
      </c>
      <c r="I241" s="14" t="s">
        <v>1169</v>
      </c>
      <c r="J241" s="14" t="s">
        <v>92</v>
      </c>
      <c r="K241" s="14" t="s">
        <v>92</v>
      </c>
      <c r="L241" s="14" t="s">
        <v>92</v>
      </c>
      <c r="M241" s="14" t="s">
        <v>93</v>
      </c>
      <c r="N241" s="14" t="s">
        <v>92</v>
      </c>
      <c r="O241" s="14" t="s">
        <v>92</v>
      </c>
      <c r="P241" s="14" t="s">
        <v>92</v>
      </c>
      <c r="Q241" s="14" t="s">
        <v>92</v>
      </c>
      <c r="R241" s="14" t="s">
        <v>93</v>
      </c>
      <c r="S241" s="14" t="s">
        <v>92</v>
      </c>
      <c r="T241" s="14" t="s">
        <v>92</v>
      </c>
      <c r="U241" s="14" t="s">
        <v>93</v>
      </c>
      <c r="V241" s="14" t="s">
        <v>92</v>
      </c>
      <c r="W241" s="14" t="s">
        <v>92</v>
      </c>
      <c r="X241" s="14" t="s">
        <v>92</v>
      </c>
      <c r="Y241" s="14" t="s">
        <v>92</v>
      </c>
      <c r="Z241" s="14" t="s">
        <v>92</v>
      </c>
      <c r="AA241" s="14" t="s">
        <v>92</v>
      </c>
      <c r="AB241" s="8" t="s">
        <v>93</v>
      </c>
      <c r="AC241" s="8" t="s">
        <v>92</v>
      </c>
      <c r="AD241" s="8" t="s">
        <v>92</v>
      </c>
      <c r="AE241" s="14" t="s">
        <v>94</v>
      </c>
      <c r="AF241" s="14" t="s">
        <v>92</v>
      </c>
      <c r="AG241" s="14" t="s">
        <v>95</v>
      </c>
      <c r="AH241" s="8" t="s">
        <v>105</v>
      </c>
      <c r="AI241" s="14" t="s">
        <v>105</v>
      </c>
      <c r="AJ241" s="14" t="s">
        <v>105</v>
      </c>
      <c r="AK241" s="14" t="s">
        <v>105</v>
      </c>
      <c r="AL241" s="14" t="s">
        <v>93</v>
      </c>
      <c r="AM241" s="8" t="s">
        <v>95</v>
      </c>
      <c r="AN241" s="14" t="s">
        <v>114</v>
      </c>
      <c r="AO241" s="8" t="s">
        <v>92</v>
      </c>
      <c r="AP241" s="8" t="s">
        <v>92</v>
      </c>
      <c r="AQ241" s="14" t="s">
        <v>93</v>
      </c>
      <c r="AR241" s="14" t="s">
        <v>93</v>
      </c>
      <c r="AS241" s="14" t="s">
        <v>93</v>
      </c>
      <c r="AT241" s="14" t="s">
        <v>93</v>
      </c>
      <c r="AU241" s="14" t="s">
        <v>92</v>
      </c>
      <c r="AV241" s="14" t="s">
        <v>93</v>
      </c>
      <c r="AW241" s="14" t="s">
        <v>92</v>
      </c>
      <c r="AX241" s="14" t="s">
        <v>93</v>
      </c>
      <c r="AY241" s="8" t="s">
        <v>1172</v>
      </c>
      <c r="AZ241" s="8" t="s">
        <v>92</v>
      </c>
      <c r="BA241" s="9" t="s">
        <v>1171</v>
      </c>
      <c r="BB241" s="8" t="s">
        <v>155</v>
      </c>
      <c r="BC241" s="8" t="s">
        <v>92</v>
      </c>
      <c r="BD241" s="14" t="s">
        <v>92</v>
      </c>
      <c r="BE241" s="14" t="s">
        <v>92</v>
      </c>
      <c r="BF241" s="14" t="s">
        <v>92</v>
      </c>
      <c r="BG241" s="14" t="s">
        <v>92</v>
      </c>
      <c r="BH241" s="14" t="s">
        <v>92</v>
      </c>
      <c r="BI241" s="14" t="s">
        <v>93</v>
      </c>
      <c r="BJ241" s="14" t="s">
        <v>92</v>
      </c>
      <c r="BK241" s="14" t="s">
        <v>98</v>
      </c>
      <c r="BL241" s="14" t="s">
        <v>92</v>
      </c>
      <c r="BM241" s="14" t="s">
        <v>92</v>
      </c>
      <c r="BN241" s="14" t="s">
        <v>92</v>
      </c>
      <c r="BO241" s="14" t="s">
        <v>92</v>
      </c>
      <c r="BP241" s="14" t="s">
        <v>93</v>
      </c>
      <c r="BQ241" s="8" t="s">
        <v>93</v>
      </c>
      <c r="BR241" s="8" t="s">
        <v>92</v>
      </c>
      <c r="BS241" s="8" t="s">
        <v>92</v>
      </c>
      <c r="BT241" s="8" t="s">
        <v>92</v>
      </c>
      <c r="BU241" s="8" t="s">
        <v>92</v>
      </c>
      <c r="BV241" s="8" t="s">
        <v>92</v>
      </c>
      <c r="BW241" s="8" t="s">
        <v>92</v>
      </c>
      <c r="BX241" s="8" t="s">
        <v>92</v>
      </c>
      <c r="BY241" s="8" t="s">
        <v>92</v>
      </c>
      <c r="BZ241" s="8" t="s">
        <v>92</v>
      </c>
      <c r="CA241" s="8" t="s">
        <v>92</v>
      </c>
      <c r="CB241" s="20" t="s">
        <v>1163</v>
      </c>
      <c r="CC241" s="31"/>
      <c r="CD241" s="31"/>
      <c r="CE241" s="18"/>
      <c r="CF241" s="18"/>
      <c r="CG241" s="18"/>
      <c r="CH241" s="18"/>
    </row>
    <row r="242">
      <c r="A242" s="8"/>
      <c r="B242" s="9" t="s">
        <v>1157</v>
      </c>
      <c r="C242" s="10" t="s">
        <v>1158</v>
      </c>
      <c r="D242" s="9" t="s">
        <v>87</v>
      </c>
      <c r="E242" s="11" t="s">
        <v>1173</v>
      </c>
      <c r="F242" s="10" t="s">
        <v>187</v>
      </c>
      <c r="G242" s="9" t="s">
        <v>188</v>
      </c>
      <c r="H242" s="14" t="s">
        <v>189</v>
      </c>
      <c r="I242" s="14" t="s">
        <v>1174</v>
      </c>
      <c r="J242" s="14" t="s">
        <v>92</v>
      </c>
      <c r="K242" s="14" t="s">
        <v>92</v>
      </c>
      <c r="L242" s="14" t="s">
        <v>92</v>
      </c>
      <c r="M242" s="14" t="s">
        <v>93</v>
      </c>
      <c r="N242" s="14" t="s">
        <v>92</v>
      </c>
      <c r="O242" s="14" t="s">
        <v>92</v>
      </c>
      <c r="P242" s="14" t="s">
        <v>92</v>
      </c>
      <c r="Q242" s="14" t="s">
        <v>92</v>
      </c>
      <c r="R242" s="14" t="s">
        <v>92</v>
      </c>
      <c r="S242" s="14" t="s">
        <v>92</v>
      </c>
      <c r="T242" s="14" t="s">
        <v>92</v>
      </c>
      <c r="U242" s="14" t="s">
        <v>93</v>
      </c>
      <c r="V242" s="14" t="s">
        <v>92</v>
      </c>
      <c r="W242" s="14" t="s">
        <v>92</v>
      </c>
      <c r="X242" s="14" t="s">
        <v>92</v>
      </c>
      <c r="Y242" s="14" t="s">
        <v>92</v>
      </c>
      <c r="Z242" s="14" t="s">
        <v>92</v>
      </c>
      <c r="AA242" s="14" t="s">
        <v>92</v>
      </c>
      <c r="AB242" s="8" t="s">
        <v>93</v>
      </c>
      <c r="AC242" s="8" t="s">
        <v>92</v>
      </c>
      <c r="AD242" s="8" t="s">
        <v>92</v>
      </c>
      <c r="AE242" s="14" t="s">
        <v>94</v>
      </c>
      <c r="AF242" s="14" t="s">
        <v>92</v>
      </c>
      <c r="AG242" s="14" t="s">
        <v>95</v>
      </c>
      <c r="AH242" s="8" t="s">
        <v>105</v>
      </c>
      <c r="AI242" s="14" t="s">
        <v>105</v>
      </c>
      <c r="AJ242" s="14" t="s">
        <v>105</v>
      </c>
      <c r="AK242" s="14" t="s">
        <v>105</v>
      </c>
      <c r="AL242" s="14" t="s">
        <v>93</v>
      </c>
      <c r="AM242" s="8" t="s">
        <v>95</v>
      </c>
      <c r="AN242" s="14" t="s">
        <v>114</v>
      </c>
      <c r="AO242" s="8" t="s">
        <v>92</v>
      </c>
      <c r="AP242" s="8" t="s">
        <v>92</v>
      </c>
      <c r="AQ242" s="14" t="s">
        <v>93</v>
      </c>
      <c r="AR242" s="14" t="s">
        <v>93</v>
      </c>
      <c r="AS242" s="14" t="s">
        <v>93</v>
      </c>
      <c r="AT242" s="14" t="s">
        <v>93</v>
      </c>
      <c r="AU242" s="14" t="s">
        <v>92</v>
      </c>
      <c r="AV242" s="14" t="s">
        <v>93</v>
      </c>
      <c r="AW242" s="14" t="s">
        <v>92</v>
      </c>
      <c r="AX242" s="14" t="s">
        <v>93</v>
      </c>
      <c r="AY242" s="8" t="s">
        <v>95</v>
      </c>
      <c r="AZ242" s="8" t="s">
        <v>95</v>
      </c>
      <c r="BA242" s="9" t="s">
        <v>1175</v>
      </c>
      <c r="BB242" s="8" t="s">
        <v>155</v>
      </c>
      <c r="BC242" s="8" t="s">
        <v>92</v>
      </c>
      <c r="BD242" s="14" t="s">
        <v>92</v>
      </c>
      <c r="BE242" s="14" t="s">
        <v>92</v>
      </c>
      <c r="BF242" s="14" t="s">
        <v>92</v>
      </c>
      <c r="BG242" s="14" t="s">
        <v>92</v>
      </c>
      <c r="BH242" s="14" t="s">
        <v>92</v>
      </c>
      <c r="BI242" s="14" t="s">
        <v>93</v>
      </c>
      <c r="BJ242" s="14" t="s">
        <v>92</v>
      </c>
      <c r="BK242" s="14" t="s">
        <v>98</v>
      </c>
      <c r="BL242" s="14" t="s">
        <v>92</v>
      </c>
      <c r="BM242" s="14" t="s">
        <v>92</v>
      </c>
      <c r="BN242" s="14" t="s">
        <v>92</v>
      </c>
      <c r="BO242" s="14" t="s">
        <v>92</v>
      </c>
      <c r="BP242" s="14" t="s">
        <v>93</v>
      </c>
      <c r="BQ242" s="8" t="s">
        <v>93</v>
      </c>
      <c r="BR242" s="8" t="s">
        <v>92</v>
      </c>
      <c r="BS242" s="8" t="s">
        <v>92</v>
      </c>
      <c r="BT242" s="8" t="s">
        <v>92</v>
      </c>
      <c r="BU242" s="8" t="s">
        <v>92</v>
      </c>
      <c r="BV242" s="8" t="s">
        <v>92</v>
      </c>
      <c r="BW242" s="8" t="s">
        <v>92</v>
      </c>
      <c r="BX242" s="8" t="s">
        <v>92</v>
      </c>
      <c r="BY242" s="8" t="s">
        <v>92</v>
      </c>
      <c r="BZ242" s="8" t="s">
        <v>92</v>
      </c>
      <c r="CA242" s="8" t="s">
        <v>92</v>
      </c>
      <c r="CB242" s="20" t="s">
        <v>1163</v>
      </c>
      <c r="CC242" s="31"/>
      <c r="CD242" s="31"/>
      <c r="CE242" s="18"/>
      <c r="CF242" s="18"/>
      <c r="CG242" s="18"/>
      <c r="CH242" s="18"/>
    </row>
    <row r="243">
      <c r="A243" s="8"/>
      <c r="B243" s="9" t="s">
        <v>1157</v>
      </c>
      <c r="C243" s="10" t="s">
        <v>1158</v>
      </c>
      <c r="D243" s="9" t="s">
        <v>87</v>
      </c>
      <c r="E243" s="11" t="s">
        <v>1176</v>
      </c>
      <c r="F243" s="10" t="s">
        <v>187</v>
      </c>
      <c r="G243" s="9" t="s">
        <v>188</v>
      </c>
      <c r="H243" s="14" t="s">
        <v>189</v>
      </c>
      <c r="I243" s="14" t="s">
        <v>1177</v>
      </c>
      <c r="J243" s="14" t="s">
        <v>92</v>
      </c>
      <c r="K243" s="14" t="s">
        <v>92</v>
      </c>
      <c r="L243" s="14" t="s">
        <v>92</v>
      </c>
      <c r="M243" s="14" t="s">
        <v>93</v>
      </c>
      <c r="N243" s="14" t="s">
        <v>92</v>
      </c>
      <c r="O243" s="14" t="s">
        <v>92</v>
      </c>
      <c r="P243" s="14" t="s">
        <v>92</v>
      </c>
      <c r="Q243" s="14" t="s">
        <v>92</v>
      </c>
      <c r="R243" s="14" t="s">
        <v>92</v>
      </c>
      <c r="S243" s="14" t="s">
        <v>92</v>
      </c>
      <c r="T243" s="14" t="s">
        <v>92</v>
      </c>
      <c r="U243" s="14" t="s">
        <v>93</v>
      </c>
      <c r="V243" s="14" t="s">
        <v>92</v>
      </c>
      <c r="W243" s="14" t="s">
        <v>92</v>
      </c>
      <c r="X243" s="14" t="s">
        <v>92</v>
      </c>
      <c r="Y243" s="14" t="s">
        <v>92</v>
      </c>
      <c r="Z243" s="14" t="s">
        <v>92</v>
      </c>
      <c r="AA243" s="14" t="s">
        <v>92</v>
      </c>
      <c r="AB243" s="8" t="s">
        <v>93</v>
      </c>
      <c r="AC243" s="8" t="s">
        <v>92</v>
      </c>
      <c r="AD243" s="8" t="s">
        <v>92</v>
      </c>
      <c r="AE243" s="14" t="s">
        <v>94</v>
      </c>
      <c r="AF243" s="14" t="s">
        <v>92</v>
      </c>
      <c r="AG243" s="14" t="s">
        <v>95</v>
      </c>
      <c r="AH243" s="8" t="s">
        <v>105</v>
      </c>
      <c r="AI243" s="14" t="s">
        <v>105</v>
      </c>
      <c r="AJ243" s="14" t="s">
        <v>105</v>
      </c>
      <c r="AK243" s="14" t="s">
        <v>105</v>
      </c>
      <c r="AL243" s="14" t="s">
        <v>93</v>
      </c>
      <c r="AM243" s="8" t="s">
        <v>95</v>
      </c>
      <c r="AN243" s="14" t="s">
        <v>114</v>
      </c>
      <c r="AO243" s="8" t="s">
        <v>92</v>
      </c>
      <c r="AP243" s="8" t="s">
        <v>92</v>
      </c>
      <c r="AQ243" s="14" t="s">
        <v>93</v>
      </c>
      <c r="AR243" s="14" t="s">
        <v>93</v>
      </c>
      <c r="AS243" s="14" t="s">
        <v>93</v>
      </c>
      <c r="AT243" s="14" t="s">
        <v>93</v>
      </c>
      <c r="AU243" s="14" t="s">
        <v>92</v>
      </c>
      <c r="AV243" s="14" t="s">
        <v>93</v>
      </c>
      <c r="AW243" s="14" t="s">
        <v>92</v>
      </c>
      <c r="AX243" s="14" t="s">
        <v>93</v>
      </c>
      <c r="AY243" s="8" t="s">
        <v>1178</v>
      </c>
      <c r="AZ243" s="8" t="s">
        <v>93</v>
      </c>
      <c r="BA243" s="9" t="s">
        <v>1179</v>
      </c>
      <c r="BB243" s="8" t="s">
        <v>95</v>
      </c>
      <c r="BC243" s="8" t="s">
        <v>93</v>
      </c>
      <c r="BD243" s="14" t="s">
        <v>92</v>
      </c>
      <c r="BE243" s="14" t="s">
        <v>92</v>
      </c>
      <c r="BF243" s="14" t="s">
        <v>92</v>
      </c>
      <c r="BG243" s="14" t="s">
        <v>92</v>
      </c>
      <c r="BH243" s="14" t="s">
        <v>92</v>
      </c>
      <c r="BI243" s="14" t="s">
        <v>93</v>
      </c>
      <c r="BJ243" s="14" t="s">
        <v>92</v>
      </c>
      <c r="BK243" s="14" t="s">
        <v>98</v>
      </c>
      <c r="BL243" s="14" t="s">
        <v>92</v>
      </c>
      <c r="BM243" s="14" t="s">
        <v>92</v>
      </c>
      <c r="BN243" s="14" t="s">
        <v>92</v>
      </c>
      <c r="BO243" s="14" t="s">
        <v>92</v>
      </c>
      <c r="BP243" s="14" t="s">
        <v>93</v>
      </c>
      <c r="BQ243" s="8" t="s">
        <v>93</v>
      </c>
      <c r="BR243" s="8" t="s">
        <v>92</v>
      </c>
      <c r="BS243" s="8" t="s">
        <v>92</v>
      </c>
      <c r="BT243" s="8" t="s">
        <v>92</v>
      </c>
      <c r="BU243" s="8" t="s">
        <v>92</v>
      </c>
      <c r="BV243" s="8" t="s">
        <v>92</v>
      </c>
      <c r="BW243" s="8" t="s">
        <v>92</v>
      </c>
      <c r="BX243" s="8" t="s">
        <v>92</v>
      </c>
      <c r="BY243" s="8" t="s">
        <v>92</v>
      </c>
      <c r="BZ243" s="8" t="s">
        <v>92</v>
      </c>
      <c r="CA243" s="8" t="s">
        <v>92</v>
      </c>
      <c r="CB243" s="20" t="s">
        <v>1163</v>
      </c>
      <c r="CC243" s="31"/>
      <c r="CD243" s="31"/>
      <c r="CE243" s="18"/>
      <c r="CF243" s="18"/>
      <c r="CG243" s="18"/>
      <c r="CH243" s="18"/>
    </row>
    <row r="244">
      <c r="A244" s="8"/>
      <c r="B244" s="9" t="s">
        <v>1157</v>
      </c>
      <c r="C244" s="10" t="s">
        <v>1158</v>
      </c>
      <c r="D244" s="9" t="s">
        <v>87</v>
      </c>
      <c r="E244" s="11" t="s">
        <v>1180</v>
      </c>
      <c r="F244" s="12"/>
      <c r="G244" s="14" t="s">
        <v>1181</v>
      </c>
      <c r="H244" s="14" t="s">
        <v>110</v>
      </c>
      <c r="I244" s="14" t="s">
        <v>1182</v>
      </c>
      <c r="J244" s="14" t="s">
        <v>92</v>
      </c>
      <c r="K244" s="14" t="s">
        <v>92</v>
      </c>
      <c r="L244" s="14" t="s">
        <v>93</v>
      </c>
      <c r="M244" s="14" t="s">
        <v>92</v>
      </c>
      <c r="N244" s="14" t="s">
        <v>92</v>
      </c>
      <c r="O244" s="14" t="s">
        <v>92</v>
      </c>
      <c r="P244" s="14" t="s">
        <v>93</v>
      </c>
      <c r="Q244" s="14" t="s">
        <v>92</v>
      </c>
      <c r="R244" s="14" t="s">
        <v>92</v>
      </c>
      <c r="S244" s="14" t="s">
        <v>92</v>
      </c>
      <c r="T244" s="14" t="s">
        <v>92</v>
      </c>
      <c r="U244" s="14" t="s">
        <v>92</v>
      </c>
      <c r="V244" s="14" t="s">
        <v>92</v>
      </c>
      <c r="W244" s="14" t="s">
        <v>92</v>
      </c>
      <c r="X244" s="14" t="s">
        <v>92</v>
      </c>
      <c r="Y244" s="14" t="s">
        <v>92</v>
      </c>
      <c r="Z244" s="14" t="s">
        <v>92</v>
      </c>
      <c r="AA244" s="14" t="s">
        <v>92</v>
      </c>
      <c r="AB244" s="8" t="s">
        <v>93</v>
      </c>
      <c r="AC244" s="8" t="s">
        <v>92</v>
      </c>
      <c r="AD244" s="8" t="s">
        <v>92</v>
      </c>
      <c r="AE244" s="14" t="s">
        <v>103</v>
      </c>
      <c r="AF244" s="14" t="s">
        <v>92</v>
      </c>
      <c r="AG244" s="14" t="s">
        <v>95</v>
      </c>
      <c r="AH244" s="8" t="s">
        <v>105</v>
      </c>
      <c r="AI244" s="14" t="s">
        <v>105</v>
      </c>
      <c r="AJ244" s="14" t="s">
        <v>105</v>
      </c>
      <c r="AK244" s="14" t="s">
        <v>105</v>
      </c>
      <c r="AL244" s="14" t="s">
        <v>93</v>
      </c>
      <c r="AM244" s="8" t="s">
        <v>95</v>
      </c>
      <c r="AN244" s="14" t="s">
        <v>114</v>
      </c>
      <c r="AO244" s="8" t="s">
        <v>92</v>
      </c>
      <c r="AP244" s="8" t="s">
        <v>92</v>
      </c>
      <c r="AQ244" s="14" t="s">
        <v>93</v>
      </c>
      <c r="AR244" s="14" t="s">
        <v>93</v>
      </c>
      <c r="AS244" s="14" t="s">
        <v>93</v>
      </c>
      <c r="AT244" s="14" t="s">
        <v>93</v>
      </c>
      <c r="AU244" s="14" t="s">
        <v>92</v>
      </c>
      <c r="AV244" s="14" t="s">
        <v>93</v>
      </c>
      <c r="AW244" s="14" t="s">
        <v>92</v>
      </c>
      <c r="AX244" s="14" t="s">
        <v>93</v>
      </c>
      <c r="AY244" s="8" t="s">
        <v>95</v>
      </c>
      <c r="AZ244" s="8" t="s">
        <v>95</v>
      </c>
      <c r="BA244" s="9" t="s">
        <v>1157</v>
      </c>
      <c r="BB244" s="8" t="s">
        <v>155</v>
      </c>
      <c r="BC244" s="8" t="s">
        <v>92</v>
      </c>
      <c r="BD244" s="14" t="s">
        <v>92</v>
      </c>
      <c r="BE244" s="14" t="s">
        <v>92</v>
      </c>
      <c r="BF244" s="14" t="s">
        <v>92</v>
      </c>
      <c r="BG244" s="14" t="s">
        <v>92</v>
      </c>
      <c r="BH244" s="14" t="s">
        <v>92</v>
      </c>
      <c r="BI244" s="14" t="s">
        <v>93</v>
      </c>
      <c r="BJ244" s="14" t="s">
        <v>92</v>
      </c>
      <c r="BK244" s="14" t="s">
        <v>98</v>
      </c>
      <c r="BL244" s="14" t="s">
        <v>92</v>
      </c>
      <c r="BM244" s="14" t="s">
        <v>92</v>
      </c>
      <c r="BN244" s="14" t="s">
        <v>92</v>
      </c>
      <c r="BO244" s="14" t="s">
        <v>92</v>
      </c>
      <c r="BP244" s="14" t="s">
        <v>93</v>
      </c>
      <c r="BQ244" s="8" t="s">
        <v>92</v>
      </c>
      <c r="BR244" s="8" t="s">
        <v>92</v>
      </c>
      <c r="BS244" s="8" t="s">
        <v>93</v>
      </c>
      <c r="BT244" s="8" t="s">
        <v>92</v>
      </c>
      <c r="BU244" s="8" t="s">
        <v>92</v>
      </c>
      <c r="BV244" s="8" t="s">
        <v>92</v>
      </c>
      <c r="BW244" s="8" t="s">
        <v>92</v>
      </c>
      <c r="BX244" s="8" t="s">
        <v>92</v>
      </c>
      <c r="BY244" s="8" t="s">
        <v>92</v>
      </c>
      <c r="BZ244" s="8" t="s">
        <v>92</v>
      </c>
      <c r="CA244" s="8" t="s">
        <v>92</v>
      </c>
      <c r="CB244" s="20" t="s">
        <v>1163</v>
      </c>
      <c r="CC244" s="31"/>
      <c r="CD244" s="31"/>
      <c r="CE244" s="18"/>
      <c r="CF244" s="18"/>
      <c r="CG244" s="18"/>
      <c r="CH244" s="18"/>
    </row>
    <row r="245">
      <c r="A245" s="8"/>
      <c r="B245" s="16" t="s">
        <v>1183</v>
      </c>
      <c r="C245" s="10" t="s">
        <v>1184</v>
      </c>
      <c r="D245" s="9" t="s">
        <v>87</v>
      </c>
      <c r="E245" s="11" t="s">
        <v>1185</v>
      </c>
      <c r="F245" s="12"/>
      <c r="G245" s="13" t="s">
        <v>1186</v>
      </c>
      <c r="H245" s="13" t="s">
        <v>90</v>
      </c>
      <c r="I245" s="13" t="s">
        <v>1187</v>
      </c>
      <c r="J245" s="13" t="s">
        <v>92</v>
      </c>
      <c r="K245" s="13" t="s">
        <v>93</v>
      </c>
      <c r="L245" s="13" t="s">
        <v>92</v>
      </c>
      <c r="M245" s="13" t="s">
        <v>92</v>
      </c>
      <c r="N245" s="14" t="s">
        <v>92</v>
      </c>
      <c r="O245" s="13" t="s">
        <v>92</v>
      </c>
      <c r="P245" s="13" t="s">
        <v>92</v>
      </c>
      <c r="Q245" s="13" t="s">
        <v>93</v>
      </c>
      <c r="R245" s="13" t="s">
        <v>92</v>
      </c>
      <c r="S245" s="13" t="s">
        <v>92</v>
      </c>
      <c r="T245" s="13" t="s">
        <v>92</v>
      </c>
      <c r="U245" s="13" t="s">
        <v>93</v>
      </c>
      <c r="V245" s="13" t="s">
        <v>92</v>
      </c>
      <c r="W245" s="13" t="s">
        <v>92</v>
      </c>
      <c r="X245" s="13" t="s">
        <v>92</v>
      </c>
      <c r="Y245" s="13" t="s">
        <v>92</v>
      </c>
      <c r="Z245" s="13" t="s">
        <v>92</v>
      </c>
      <c r="AA245" s="14" t="s">
        <v>92</v>
      </c>
      <c r="AB245" s="15" t="s">
        <v>93</v>
      </c>
      <c r="AC245" s="15" t="s">
        <v>92</v>
      </c>
      <c r="AD245" s="15" t="s">
        <v>92</v>
      </c>
      <c r="AE245" s="13" t="s">
        <v>94</v>
      </c>
      <c r="AF245" s="13" t="s">
        <v>92</v>
      </c>
      <c r="AG245" s="13" t="s">
        <v>95</v>
      </c>
      <c r="AH245" s="15">
        <v>2020.0</v>
      </c>
      <c r="AI245" s="13" t="s">
        <v>93</v>
      </c>
      <c r="AJ245" s="13" t="s">
        <v>92</v>
      </c>
      <c r="AK245" s="13" t="s">
        <v>92</v>
      </c>
      <c r="AL245" s="14" t="s">
        <v>92</v>
      </c>
      <c r="AM245" s="15">
        <v>2020.0</v>
      </c>
      <c r="AN245" s="13" t="s">
        <v>96</v>
      </c>
      <c r="AO245" s="15" t="s">
        <v>92</v>
      </c>
      <c r="AP245" s="8" t="s">
        <v>93</v>
      </c>
      <c r="AQ245" s="13" t="s">
        <v>92</v>
      </c>
      <c r="AR245" s="13" t="s">
        <v>93</v>
      </c>
      <c r="AS245" s="13" t="s">
        <v>93</v>
      </c>
      <c r="AT245" s="13" t="s">
        <v>93</v>
      </c>
      <c r="AU245" s="13" t="s">
        <v>93</v>
      </c>
      <c r="AV245" s="13" t="s">
        <v>93</v>
      </c>
      <c r="AW245" s="13" t="s">
        <v>92</v>
      </c>
      <c r="AX245" s="13" t="s">
        <v>92</v>
      </c>
      <c r="AY245" s="15" t="s">
        <v>1188</v>
      </c>
      <c r="AZ245" s="15" t="s">
        <v>92</v>
      </c>
      <c r="BA245" s="16" t="s">
        <v>1183</v>
      </c>
      <c r="BB245" s="8" t="s">
        <v>213</v>
      </c>
      <c r="BC245" s="15" t="s">
        <v>92</v>
      </c>
      <c r="BD245" s="13" t="s">
        <v>92</v>
      </c>
      <c r="BE245" s="13" t="s">
        <v>92</v>
      </c>
      <c r="BF245" s="13" t="s">
        <v>92</v>
      </c>
      <c r="BG245" s="13" t="s">
        <v>92</v>
      </c>
      <c r="BH245" s="13" t="s">
        <v>92</v>
      </c>
      <c r="BI245" s="13" t="s">
        <v>93</v>
      </c>
      <c r="BJ245" s="13" t="s">
        <v>92</v>
      </c>
      <c r="BK245" s="14" t="s">
        <v>105</v>
      </c>
      <c r="BL245" s="14" t="s">
        <v>105</v>
      </c>
      <c r="BM245" s="14" t="s">
        <v>105</v>
      </c>
      <c r="BN245" s="14" t="s">
        <v>105</v>
      </c>
      <c r="BO245" s="14" t="s">
        <v>105</v>
      </c>
      <c r="BP245" s="14" t="s">
        <v>105</v>
      </c>
      <c r="BQ245" s="15" t="s">
        <v>93</v>
      </c>
      <c r="BR245" s="15" t="s">
        <v>92</v>
      </c>
      <c r="BS245" s="15" t="s">
        <v>92</v>
      </c>
      <c r="BT245" s="15" t="s">
        <v>92</v>
      </c>
      <c r="BU245" s="15" t="s">
        <v>92</v>
      </c>
      <c r="BV245" s="15" t="s">
        <v>92</v>
      </c>
      <c r="BW245" s="15" t="s">
        <v>92</v>
      </c>
      <c r="BX245" s="15" t="s">
        <v>92</v>
      </c>
      <c r="BY245" s="15" t="s">
        <v>92</v>
      </c>
      <c r="BZ245" s="15" t="s">
        <v>92</v>
      </c>
      <c r="CA245" s="15" t="s">
        <v>92</v>
      </c>
      <c r="CB245" s="17" t="s">
        <v>1189</v>
      </c>
      <c r="CC245" s="17"/>
      <c r="CD245" s="18"/>
      <c r="CE245" s="18"/>
      <c r="CF245" s="18"/>
      <c r="CG245" s="18"/>
      <c r="CH245" s="18"/>
    </row>
    <row r="246">
      <c r="A246" s="8"/>
      <c r="B246" s="16" t="s">
        <v>1183</v>
      </c>
      <c r="C246" s="10" t="s">
        <v>1184</v>
      </c>
      <c r="D246" s="9" t="s">
        <v>87</v>
      </c>
      <c r="E246" s="11" t="s">
        <v>1190</v>
      </c>
      <c r="F246" s="12"/>
      <c r="G246" s="13" t="s">
        <v>1191</v>
      </c>
      <c r="H246" s="13" t="s">
        <v>90</v>
      </c>
      <c r="I246" s="13" t="s">
        <v>1192</v>
      </c>
      <c r="J246" s="13" t="s">
        <v>92</v>
      </c>
      <c r="K246" s="13" t="s">
        <v>92</v>
      </c>
      <c r="L246" s="14" t="s">
        <v>92</v>
      </c>
      <c r="M246" s="13" t="s">
        <v>92</v>
      </c>
      <c r="N246" s="14" t="s">
        <v>92</v>
      </c>
      <c r="O246" s="13" t="s">
        <v>92</v>
      </c>
      <c r="P246" s="14" t="s">
        <v>92</v>
      </c>
      <c r="Q246" s="13" t="s">
        <v>93</v>
      </c>
      <c r="R246" s="13" t="s">
        <v>92</v>
      </c>
      <c r="S246" s="13" t="s">
        <v>92</v>
      </c>
      <c r="T246" s="13" t="s">
        <v>93</v>
      </c>
      <c r="U246" s="13" t="s">
        <v>92</v>
      </c>
      <c r="V246" s="13" t="s">
        <v>92</v>
      </c>
      <c r="W246" s="13" t="s">
        <v>92</v>
      </c>
      <c r="X246" s="13" t="s">
        <v>92</v>
      </c>
      <c r="Y246" s="13" t="s">
        <v>92</v>
      </c>
      <c r="Z246" s="14" t="s">
        <v>93</v>
      </c>
      <c r="AA246" s="14" t="s">
        <v>92</v>
      </c>
      <c r="AB246" s="15" t="s">
        <v>93</v>
      </c>
      <c r="AC246" s="15" t="s">
        <v>93</v>
      </c>
      <c r="AD246" s="15" t="s">
        <v>92</v>
      </c>
      <c r="AE246" s="13" t="s">
        <v>148</v>
      </c>
      <c r="AF246" s="13" t="s">
        <v>92</v>
      </c>
      <c r="AG246" s="13" t="s">
        <v>95</v>
      </c>
      <c r="AH246" s="8" t="s">
        <v>105</v>
      </c>
      <c r="AI246" s="13" t="s">
        <v>93</v>
      </c>
      <c r="AJ246" s="13" t="s">
        <v>93</v>
      </c>
      <c r="AK246" s="13" t="s">
        <v>93</v>
      </c>
      <c r="AL246" s="14" t="s">
        <v>93</v>
      </c>
      <c r="AM246" s="8" t="s">
        <v>95</v>
      </c>
      <c r="AN246" s="14" t="s">
        <v>114</v>
      </c>
      <c r="AO246" s="15" t="s">
        <v>93</v>
      </c>
      <c r="AP246" s="15" t="s">
        <v>92</v>
      </c>
      <c r="AQ246" s="13" t="s">
        <v>92</v>
      </c>
      <c r="AR246" s="13" t="s">
        <v>93</v>
      </c>
      <c r="AS246" s="13" t="s">
        <v>93</v>
      </c>
      <c r="AT246" s="13" t="s">
        <v>93</v>
      </c>
      <c r="AU246" s="13" t="s">
        <v>93</v>
      </c>
      <c r="AV246" s="13" t="s">
        <v>93</v>
      </c>
      <c r="AW246" s="13" t="s">
        <v>92</v>
      </c>
      <c r="AX246" s="13" t="s">
        <v>92</v>
      </c>
      <c r="AY246" s="15" t="s">
        <v>1193</v>
      </c>
      <c r="AZ246" s="15" t="s">
        <v>93</v>
      </c>
      <c r="BA246" s="16" t="s">
        <v>1194</v>
      </c>
      <c r="BB246" s="8" t="s">
        <v>95</v>
      </c>
      <c r="BC246" s="15" t="s">
        <v>93</v>
      </c>
      <c r="BD246" s="13" t="s">
        <v>92</v>
      </c>
      <c r="BE246" s="13" t="s">
        <v>92</v>
      </c>
      <c r="BF246" s="13" t="s">
        <v>92</v>
      </c>
      <c r="BG246" s="13" t="s">
        <v>92</v>
      </c>
      <c r="BH246" s="13" t="s">
        <v>92</v>
      </c>
      <c r="BI246" s="13" t="s">
        <v>92</v>
      </c>
      <c r="BJ246" s="13" t="s">
        <v>92</v>
      </c>
      <c r="BK246" s="14" t="s">
        <v>105</v>
      </c>
      <c r="BL246" s="14" t="s">
        <v>105</v>
      </c>
      <c r="BM246" s="14" t="s">
        <v>105</v>
      </c>
      <c r="BN246" s="14" t="s">
        <v>105</v>
      </c>
      <c r="BO246" s="14" t="s">
        <v>105</v>
      </c>
      <c r="BP246" s="14" t="s">
        <v>105</v>
      </c>
      <c r="BQ246" s="15" t="s">
        <v>92</v>
      </c>
      <c r="BR246" s="15" t="s">
        <v>93</v>
      </c>
      <c r="BS246" s="15" t="s">
        <v>92</v>
      </c>
      <c r="BT246" s="8" t="s">
        <v>92</v>
      </c>
      <c r="BU246" s="15" t="s">
        <v>92</v>
      </c>
      <c r="BV246" s="15" t="s">
        <v>92</v>
      </c>
      <c r="BW246" s="15" t="s">
        <v>92</v>
      </c>
      <c r="BX246" s="15" t="s">
        <v>92</v>
      </c>
      <c r="BY246" s="15" t="s">
        <v>92</v>
      </c>
      <c r="BZ246" s="15" t="s">
        <v>92</v>
      </c>
      <c r="CA246" s="15" t="s">
        <v>92</v>
      </c>
      <c r="CB246" s="17" t="s">
        <v>1189</v>
      </c>
      <c r="CC246" s="17" t="s">
        <v>129</v>
      </c>
      <c r="CD246" s="17" t="s">
        <v>1195</v>
      </c>
      <c r="CE246" s="18"/>
      <c r="CF246" s="18"/>
      <c r="CG246" s="18"/>
      <c r="CH246" s="18"/>
    </row>
    <row r="247">
      <c r="A247" s="8"/>
      <c r="B247" s="16" t="s">
        <v>1183</v>
      </c>
      <c r="C247" s="10" t="s">
        <v>1184</v>
      </c>
      <c r="D247" s="9" t="s">
        <v>87</v>
      </c>
      <c r="E247" s="11" t="s">
        <v>1196</v>
      </c>
      <c r="F247" s="12"/>
      <c r="G247" s="13" t="s">
        <v>1197</v>
      </c>
      <c r="H247" s="13" t="s">
        <v>90</v>
      </c>
      <c r="I247" s="13" t="s">
        <v>1198</v>
      </c>
      <c r="J247" s="13" t="s">
        <v>92</v>
      </c>
      <c r="K247" s="13" t="s">
        <v>92</v>
      </c>
      <c r="L247" s="13" t="s">
        <v>92</v>
      </c>
      <c r="M247" s="13" t="s">
        <v>92</v>
      </c>
      <c r="N247" s="14" t="s">
        <v>92</v>
      </c>
      <c r="O247" s="13" t="s">
        <v>92</v>
      </c>
      <c r="P247" s="13" t="s">
        <v>93</v>
      </c>
      <c r="Q247" s="13" t="s">
        <v>93</v>
      </c>
      <c r="R247" s="13" t="s">
        <v>92</v>
      </c>
      <c r="S247" s="13" t="s">
        <v>92</v>
      </c>
      <c r="T247" s="13" t="s">
        <v>93</v>
      </c>
      <c r="U247" s="13" t="s">
        <v>92</v>
      </c>
      <c r="V247" s="13" t="s">
        <v>92</v>
      </c>
      <c r="W247" s="13" t="s">
        <v>92</v>
      </c>
      <c r="X247" s="13" t="s">
        <v>92</v>
      </c>
      <c r="Y247" s="13" t="s">
        <v>92</v>
      </c>
      <c r="Z247" s="13" t="s">
        <v>92</v>
      </c>
      <c r="AA247" s="14" t="s">
        <v>92</v>
      </c>
      <c r="AB247" s="15" t="s">
        <v>93</v>
      </c>
      <c r="AC247" s="15" t="s">
        <v>92</v>
      </c>
      <c r="AD247" s="15" t="s">
        <v>92</v>
      </c>
      <c r="AE247" s="13" t="s">
        <v>148</v>
      </c>
      <c r="AF247" s="13" t="s">
        <v>92</v>
      </c>
      <c r="AG247" s="13" t="s">
        <v>95</v>
      </c>
      <c r="AH247" s="15">
        <v>2019.0</v>
      </c>
      <c r="AI247" s="13" t="s">
        <v>93</v>
      </c>
      <c r="AJ247" s="13" t="s">
        <v>93</v>
      </c>
      <c r="AK247" s="13" t="s">
        <v>93</v>
      </c>
      <c r="AL247" s="14" t="s">
        <v>92</v>
      </c>
      <c r="AM247" s="8" t="s">
        <v>105</v>
      </c>
      <c r="AN247" s="14" t="s">
        <v>105</v>
      </c>
      <c r="AO247" s="15" t="s">
        <v>93</v>
      </c>
      <c r="AP247" s="15" t="s">
        <v>92</v>
      </c>
      <c r="AQ247" s="13" t="s">
        <v>92</v>
      </c>
      <c r="AR247" s="13" t="s">
        <v>93</v>
      </c>
      <c r="AS247" s="13" t="s">
        <v>93</v>
      </c>
      <c r="AT247" s="13" t="s">
        <v>93</v>
      </c>
      <c r="AU247" s="13" t="s">
        <v>93</v>
      </c>
      <c r="AV247" s="13" t="s">
        <v>93</v>
      </c>
      <c r="AW247" s="13" t="s">
        <v>92</v>
      </c>
      <c r="AX247" s="13" t="s">
        <v>92</v>
      </c>
      <c r="AY247" s="15" t="s">
        <v>441</v>
      </c>
      <c r="AZ247" s="15" t="s">
        <v>95</v>
      </c>
      <c r="BA247" s="16" t="s">
        <v>1183</v>
      </c>
      <c r="BB247" s="8" t="s">
        <v>213</v>
      </c>
      <c r="BC247" s="15" t="s">
        <v>92</v>
      </c>
      <c r="BD247" s="13" t="s">
        <v>92</v>
      </c>
      <c r="BE247" s="13" t="s">
        <v>92</v>
      </c>
      <c r="BF247" s="13" t="s">
        <v>92</v>
      </c>
      <c r="BG247" s="13" t="s">
        <v>92</v>
      </c>
      <c r="BH247" s="13" t="s">
        <v>92</v>
      </c>
      <c r="BI247" s="13" t="s">
        <v>93</v>
      </c>
      <c r="BJ247" s="13" t="s">
        <v>92</v>
      </c>
      <c r="BK247" s="14" t="s">
        <v>1199</v>
      </c>
      <c r="BL247" s="14" t="s">
        <v>92</v>
      </c>
      <c r="BM247" s="14" t="s">
        <v>92</v>
      </c>
      <c r="BN247" s="14" t="s">
        <v>93</v>
      </c>
      <c r="BO247" s="14" t="s">
        <v>92</v>
      </c>
      <c r="BP247" s="14" t="s">
        <v>92</v>
      </c>
      <c r="BQ247" s="15" t="s">
        <v>93</v>
      </c>
      <c r="BR247" s="15" t="s">
        <v>93</v>
      </c>
      <c r="BS247" s="15" t="s">
        <v>92</v>
      </c>
      <c r="BT247" s="15" t="s">
        <v>92</v>
      </c>
      <c r="BU247" s="15" t="s">
        <v>92</v>
      </c>
      <c r="BV247" s="15" t="s">
        <v>92</v>
      </c>
      <c r="BW247" s="15" t="s">
        <v>92</v>
      </c>
      <c r="BX247" s="15" t="s">
        <v>92</v>
      </c>
      <c r="BY247" s="15" t="s">
        <v>92</v>
      </c>
      <c r="BZ247" s="15" t="s">
        <v>92</v>
      </c>
      <c r="CA247" s="15" t="s">
        <v>92</v>
      </c>
      <c r="CB247" s="17" t="s">
        <v>1189</v>
      </c>
      <c r="CC247" s="17" t="s">
        <v>129</v>
      </c>
      <c r="CD247" s="17" t="s">
        <v>1195</v>
      </c>
      <c r="CE247" s="18"/>
      <c r="CF247" s="18"/>
      <c r="CG247" s="18"/>
      <c r="CH247" s="18"/>
    </row>
    <row r="248">
      <c r="A248" s="8"/>
      <c r="B248" s="16" t="s">
        <v>1183</v>
      </c>
      <c r="C248" s="10" t="s">
        <v>1184</v>
      </c>
      <c r="D248" s="9" t="s">
        <v>87</v>
      </c>
      <c r="E248" s="11" t="s">
        <v>1200</v>
      </c>
      <c r="F248" s="12"/>
      <c r="G248" s="13" t="s">
        <v>1201</v>
      </c>
      <c r="H248" s="14" t="s">
        <v>253</v>
      </c>
      <c r="I248" s="14" t="s">
        <v>1202</v>
      </c>
      <c r="J248" s="14" t="s">
        <v>92</v>
      </c>
      <c r="K248" s="14" t="s">
        <v>92</v>
      </c>
      <c r="L248" s="14" t="s">
        <v>92</v>
      </c>
      <c r="M248" s="14" t="s">
        <v>92</v>
      </c>
      <c r="N248" s="14" t="s">
        <v>92</v>
      </c>
      <c r="O248" s="14" t="s">
        <v>92</v>
      </c>
      <c r="P248" s="14" t="s">
        <v>92</v>
      </c>
      <c r="Q248" s="14" t="s">
        <v>93</v>
      </c>
      <c r="R248" s="14" t="s">
        <v>92</v>
      </c>
      <c r="S248" s="14" t="s">
        <v>92</v>
      </c>
      <c r="T248" s="14" t="s">
        <v>93</v>
      </c>
      <c r="U248" s="14" t="s">
        <v>93</v>
      </c>
      <c r="V248" s="14" t="s">
        <v>92</v>
      </c>
      <c r="W248" s="14" t="s">
        <v>92</v>
      </c>
      <c r="X248" s="14" t="s">
        <v>92</v>
      </c>
      <c r="Y248" s="14" t="s">
        <v>92</v>
      </c>
      <c r="Z248" s="14" t="s">
        <v>92</v>
      </c>
      <c r="AA248" s="14" t="s">
        <v>92</v>
      </c>
      <c r="AB248" s="8" t="s">
        <v>93</v>
      </c>
      <c r="AC248" s="8" t="s">
        <v>92</v>
      </c>
      <c r="AD248" s="8" t="s">
        <v>92</v>
      </c>
      <c r="AE248" s="14" t="s">
        <v>148</v>
      </c>
      <c r="AF248" s="14" t="s">
        <v>92</v>
      </c>
      <c r="AG248" s="13" t="s">
        <v>95</v>
      </c>
      <c r="AH248" s="8" t="s">
        <v>95</v>
      </c>
      <c r="AI248" s="13" t="s">
        <v>93</v>
      </c>
      <c r="AJ248" s="13" t="s">
        <v>93</v>
      </c>
      <c r="AK248" s="14" t="s">
        <v>92</v>
      </c>
      <c r="AL248" s="14" t="s">
        <v>92</v>
      </c>
      <c r="AM248" s="15" t="s">
        <v>95</v>
      </c>
      <c r="AN248" s="14" t="s">
        <v>95</v>
      </c>
      <c r="AO248" s="8" t="s">
        <v>95</v>
      </c>
      <c r="AP248" s="8" t="s">
        <v>92</v>
      </c>
      <c r="AQ248" s="13" t="s">
        <v>92</v>
      </c>
      <c r="AR248" s="13" t="s">
        <v>93</v>
      </c>
      <c r="AS248" s="13" t="s">
        <v>93</v>
      </c>
      <c r="AT248" s="13" t="s">
        <v>93</v>
      </c>
      <c r="AU248" s="13" t="s">
        <v>93</v>
      </c>
      <c r="AV248" s="13" t="s">
        <v>93</v>
      </c>
      <c r="AW248" s="13" t="s">
        <v>92</v>
      </c>
      <c r="AX248" s="13" t="s">
        <v>92</v>
      </c>
      <c r="AY248" s="8" t="s">
        <v>1203</v>
      </c>
      <c r="AZ248" s="8" t="s">
        <v>93</v>
      </c>
      <c r="BA248" s="9" t="s">
        <v>1204</v>
      </c>
      <c r="BB248" s="8" t="s">
        <v>143</v>
      </c>
      <c r="BC248" s="8" t="s">
        <v>92</v>
      </c>
      <c r="BD248" s="14" t="s">
        <v>92</v>
      </c>
      <c r="BE248" s="14" t="s">
        <v>92</v>
      </c>
      <c r="BF248" s="14" t="s">
        <v>92</v>
      </c>
      <c r="BG248" s="14" t="s">
        <v>92</v>
      </c>
      <c r="BH248" s="14" t="s">
        <v>92</v>
      </c>
      <c r="BI248" s="14" t="s">
        <v>93</v>
      </c>
      <c r="BJ248" s="14" t="s">
        <v>93</v>
      </c>
      <c r="BK248" s="14" t="s">
        <v>482</v>
      </c>
      <c r="BL248" s="14" t="s">
        <v>92</v>
      </c>
      <c r="BM248" s="14" t="s">
        <v>92</v>
      </c>
      <c r="BN248" s="14" t="s">
        <v>92</v>
      </c>
      <c r="BO248" s="14" t="s">
        <v>93</v>
      </c>
      <c r="BP248" s="14" t="s">
        <v>92</v>
      </c>
      <c r="BQ248" s="8" t="s">
        <v>93</v>
      </c>
      <c r="BR248" s="8" t="s">
        <v>93</v>
      </c>
      <c r="BS248" s="8" t="s">
        <v>92</v>
      </c>
      <c r="BT248" s="8" t="s">
        <v>92</v>
      </c>
      <c r="BU248" s="8" t="s">
        <v>92</v>
      </c>
      <c r="BV248" s="8" t="s">
        <v>92</v>
      </c>
      <c r="BW248" s="8" t="s">
        <v>92</v>
      </c>
      <c r="BX248" s="8" t="s">
        <v>92</v>
      </c>
      <c r="BY248" s="8" t="s">
        <v>92</v>
      </c>
      <c r="BZ248" s="8" t="s">
        <v>92</v>
      </c>
      <c r="CA248" s="8" t="s">
        <v>92</v>
      </c>
      <c r="CB248" s="17" t="s">
        <v>1189</v>
      </c>
      <c r="CC248" s="17" t="s">
        <v>129</v>
      </c>
      <c r="CD248" s="24" t="s">
        <v>1205</v>
      </c>
      <c r="CE248" s="18"/>
      <c r="CF248" s="18"/>
      <c r="CG248" s="18"/>
      <c r="CH248" s="18"/>
    </row>
    <row r="249">
      <c r="A249" s="8"/>
      <c r="B249" s="16" t="s">
        <v>1183</v>
      </c>
      <c r="C249" s="10" t="s">
        <v>1184</v>
      </c>
      <c r="D249" s="9" t="s">
        <v>87</v>
      </c>
      <c r="E249" s="11" t="s">
        <v>1206</v>
      </c>
      <c r="F249" s="12"/>
      <c r="G249" s="14" t="s">
        <v>1207</v>
      </c>
      <c r="H249" s="14" t="s">
        <v>90</v>
      </c>
      <c r="I249" s="14" t="s">
        <v>1208</v>
      </c>
      <c r="J249" s="14" t="s">
        <v>92</v>
      </c>
      <c r="K249" s="14" t="s">
        <v>92</v>
      </c>
      <c r="L249" s="14" t="s">
        <v>92</v>
      </c>
      <c r="M249" s="14" t="s">
        <v>92</v>
      </c>
      <c r="N249" s="14" t="s">
        <v>92</v>
      </c>
      <c r="O249" s="14" t="s">
        <v>92</v>
      </c>
      <c r="P249" s="14" t="s">
        <v>92</v>
      </c>
      <c r="Q249" s="14" t="s">
        <v>92</v>
      </c>
      <c r="R249" s="14" t="s">
        <v>92</v>
      </c>
      <c r="S249" s="14" t="s">
        <v>92</v>
      </c>
      <c r="T249" s="14" t="s">
        <v>92</v>
      </c>
      <c r="U249" s="14" t="s">
        <v>92</v>
      </c>
      <c r="V249" s="14" t="s">
        <v>92</v>
      </c>
      <c r="W249" s="14" t="s">
        <v>92</v>
      </c>
      <c r="X249" s="14" t="s">
        <v>92</v>
      </c>
      <c r="Y249" s="14" t="s">
        <v>92</v>
      </c>
      <c r="Z249" s="14" t="s">
        <v>93</v>
      </c>
      <c r="AA249" s="14" t="s">
        <v>92</v>
      </c>
      <c r="AB249" s="8" t="s">
        <v>92</v>
      </c>
      <c r="AC249" s="8" t="s">
        <v>93</v>
      </c>
      <c r="AD249" s="8" t="s">
        <v>92</v>
      </c>
      <c r="AE249" s="14" t="s">
        <v>112</v>
      </c>
      <c r="AF249" s="14" t="s">
        <v>92</v>
      </c>
      <c r="AG249" s="13" t="s">
        <v>95</v>
      </c>
      <c r="AH249" s="8">
        <v>2021.0</v>
      </c>
      <c r="AI249" s="14" t="s">
        <v>92</v>
      </c>
      <c r="AJ249" s="14" t="s">
        <v>93</v>
      </c>
      <c r="AK249" s="14" t="s">
        <v>93</v>
      </c>
      <c r="AL249" s="14" t="s">
        <v>93</v>
      </c>
      <c r="AM249" s="8" t="s">
        <v>95</v>
      </c>
      <c r="AN249" s="14" t="s">
        <v>114</v>
      </c>
      <c r="AO249" s="15" t="s">
        <v>93</v>
      </c>
      <c r="AP249" s="15" t="s">
        <v>92</v>
      </c>
      <c r="AQ249" s="13" t="s">
        <v>92</v>
      </c>
      <c r="AR249" s="13" t="s">
        <v>93</v>
      </c>
      <c r="AS249" s="13" t="s">
        <v>93</v>
      </c>
      <c r="AT249" s="13" t="s">
        <v>93</v>
      </c>
      <c r="AU249" s="13" t="s">
        <v>93</v>
      </c>
      <c r="AV249" s="13" t="s">
        <v>93</v>
      </c>
      <c r="AW249" s="13" t="s">
        <v>92</v>
      </c>
      <c r="AX249" s="13" t="s">
        <v>92</v>
      </c>
      <c r="AY249" s="15" t="s">
        <v>441</v>
      </c>
      <c r="AZ249" s="15" t="s">
        <v>95</v>
      </c>
      <c r="BA249" s="16" t="s">
        <v>1183</v>
      </c>
      <c r="BB249" s="8" t="s">
        <v>213</v>
      </c>
      <c r="BC249" s="15" t="s">
        <v>92</v>
      </c>
      <c r="BD249" s="14" t="s">
        <v>93</v>
      </c>
      <c r="BE249" s="14" t="s">
        <v>92</v>
      </c>
      <c r="BF249" s="14" t="s">
        <v>92</v>
      </c>
      <c r="BG249" s="14" t="s">
        <v>92</v>
      </c>
      <c r="BH249" s="14" t="s">
        <v>92</v>
      </c>
      <c r="BI249" s="14" t="s">
        <v>92</v>
      </c>
      <c r="BJ249" s="14" t="s">
        <v>92</v>
      </c>
      <c r="BK249" s="14" t="s">
        <v>105</v>
      </c>
      <c r="BL249" s="14" t="s">
        <v>105</v>
      </c>
      <c r="BM249" s="14" t="s">
        <v>105</v>
      </c>
      <c r="BN249" s="14" t="s">
        <v>105</v>
      </c>
      <c r="BO249" s="14" t="s">
        <v>105</v>
      </c>
      <c r="BP249" s="14" t="s">
        <v>105</v>
      </c>
      <c r="BQ249" s="8" t="s">
        <v>92</v>
      </c>
      <c r="BR249" s="8" t="s">
        <v>92</v>
      </c>
      <c r="BS249" s="8" t="s">
        <v>92</v>
      </c>
      <c r="BT249" s="8" t="s">
        <v>93</v>
      </c>
      <c r="BU249" s="8" t="s">
        <v>92</v>
      </c>
      <c r="BV249" s="8" t="s">
        <v>92</v>
      </c>
      <c r="BW249" s="8" t="s">
        <v>92</v>
      </c>
      <c r="BX249" s="8" t="s">
        <v>92</v>
      </c>
      <c r="BY249" s="8" t="s">
        <v>92</v>
      </c>
      <c r="BZ249" s="8" t="s">
        <v>92</v>
      </c>
      <c r="CA249" s="8" t="s">
        <v>92</v>
      </c>
      <c r="CB249" s="17" t="s">
        <v>129</v>
      </c>
      <c r="CC249" s="20" t="s">
        <v>1209</v>
      </c>
      <c r="CD249" s="18"/>
      <c r="CE249" s="18"/>
      <c r="CF249" s="18"/>
      <c r="CG249" s="18"/>
      <c r="CH249" s="18"/>
    </row>
    <row r="250">
      <c r="A250" s="8"/>
      <c r="B250" s="16" t="s">
        <v>1183</v>
      </c>
      <c r="C250" s="10" t="s">
        <v>1184</v>
      </c>
      <c r="D250" s="9" t="s">
        <v>87</v>
      </c>
      <c r="E250" s="11" t="s">
        <v>1210</v>
      </c>
      <c r="F250" s="12"/>
      <c r="G250" s="13" t="s">
        <v>1211</v>
      </c>
      <c r="H250" s="13" t="s">
        <v>90</v>
      </c>
      <c r="I250" s="13" t="s">
        <v>1212</v>
      </c>
      <c r="J250" s="13" t="s">
        <v>92</v>
      </c>
      <c r="K250" s="13" t="s">
        <v>92</v>
      </c>
      <c r="L250" s="13" t="s">
        <v>92</v>
      </c>
      <c r="M250" s="13" t="s">
        <v>92</v>
      </c>
      <c r="N250" s="14" t="s">
        <v>92</v>
      </c>
      <c r="O250" s="13" t="s">
        <v>92</v>
      </c>
      <c r="P250" s="13" t="s">
        <v>92</v>
      </c>
      <c r="Q250" s="13" t="s">
        <v>93</v>
      </c>
      <c r="R250" s="13" t="s">
        <v>92</v>
      </c>
      <c r="S250" s="13" t="s">
        <v>92</v>
      </c>
      <c r="T250" s="13" t="s">
        <v>93</v>
      </c>
      <c r="U250" s="13" t="s">
        <v>92</v>
      </c>
      <c r="V250" s="13" t="s">
        <v>92</v>
      </c>
      <c r="W250" s="13" t="s">
        <v>92</v>
      </c>
      <c r="X250" s="13" t="s">
        <v>92</v>
      </c>
      <c r="Y250" s="13" t="s">
        <v>92</v>
      </c>
      <c r="Z250" s="13" t="s">
        <v>92</v>
      </c>
      <c r="AA250" s="14" t="s">
        <v>92</v>
      </c>
      <c r="AB250" s="15" t="s">
        <v>93</v>
      </c>
      <c r="AC250" s="15" t="s">
        <v>92</v>
      </c>
      <c r="AD250" s="15" t="s">
        <v>92</v>
      </c>
      <c r="AE250" s="14" t="s">
        <v>94</v>
      </c>
      <c r="AF250" s="13" t="s">
        <v>92</v>
      </c>
      <c r="AG250" s="13" t="s">
        <v>95</v>
      </c>
      <c r="AH250" s="8" t="s">
        <v>105</v>
      </c>
      <c r="AI250" s="13" t="s">
        <v>93</v>
      </c>
      <c r="AJ250" s="13" t="s">
        <v>93</v>
      </c>
      <c r="AK250" s="14" t="s">
        <v>92</v>
      </c>
      <c r="AL250" s="14" t="s">
        <v>92</v>
      </c>
      <c r="AM250" s="8" t="s">
        <v>105</v>
      </c>
      <c r="AN250" s="14" t="s">
        <v>105</v>
      </c>
      <c r="AO250" s="15" t="s">
        <v>93</v>
      </c>
      <c r="AP250" s="15" t="s">
        <v>92</v>
      </c>
      <c r="AQ250" s="13" t="s">
        <v>92</v>
      </c>
      <c r="AR250" s="13" t="s">
        <v>93</v>
      </c>
      <c r="AS250" s="13" t="s">
        <v>93</v>
      </c>
      <c r="AT250" s="13" t="s">
        <v>93</v>
      </c>
      <c r="AU250" s="13" t="s">
        <v>93</v>
      </c>
      <c r="AV250" s="13" t="s">
        <v>93</v>
      </c>
      <c r="AW250" s="13" t="s">
        <v>92</v>
      </c>
      <c r="AX250" s="13" t="s">
        <v>92</v>
      </c>
      <c r="AY250" s="15" t="s">
        <v>441</v>
      </c>
      <c r="AZ250" s="15" t="s">
        <v>95</v>
      </c>
      <c r="BA250" s="9" t="s">
        <v>1213</v>
      </c>
      <c r="BB250" s="8" t="s">
        <v>95</v>
      </c>
      <c r="BC250" s="15" t="s">
        <v>93</v>
      </c>
      <c r="BD250" s="13" t="s">
        <v>92</v>
      </c>
      <c r="BE250" s="13" t="s">
        <v>92</v>
      </c>
      <c r="BF250" s="13" t="s">
        <v>92</v>
      </c>
      <c r="BG250" s="13" t="s">
        <v>92</v>
      </c>
      <c r="BH250" s="13" t="s">
        <v>92</v>
      </c>
      <c r="BI250" s="13" t="s">
        <v>93</v>
      </c>
      <c r="BJ250" s="14" t="s">
        <v>92</v>
      </c>
      <c r="BK250" s="14" t="s">
        <v>105</v>
      </c>
      <c r="BL250" s="14" t="s">
        <v>105</v>
      </c>
      <c r="BM250" s="14" t="s">
        <v>105</v>
      </c>
      <c r="BN250" s="14" t="s">
        <v>105</v>
      </c>
      <c r="BO250" s="14" t="s">
        <v>105</v>
      </c>
      <c r="BP250" s="14" t="s">
        <v>105</v>
      </c>
      <c r="BQ250" s="15" t="s">
        <v>93</v>
      </c>
      <c r="BR250" s="15" t="s">
        <v>93</v>
      </c>
      <c r="BS250" s="15" t="s">
        <v>92</v>
      </c>
      <c r="BT250" s="15" t="s">
        <v>92</v>
      </c>
      <c r="BU250" s="15" t="s">
        <v>92</v>
      </c>
      <c r="BV250" s="15" t="s">
        <v>92</v>
      </c>
      <c r="BW250" s="15" t="s">
        <v>92</v>
      </c>
      <c r="BX250" s="15" t="s">
        <v>92</v>
      </c>
      <c r="BY250" s="15" t="s">
        <v>92</v>
      </c>
      <c r="BZ250" s="15" t="s">
        <v>92</v>
      </c>
      <c r="CA250" s="15" t="s">
        <v>92</v>
      </c>
      <c r="CB250" s="17" t="s">
        <v>1189</v>
      </c>
      <c r="CC250" s="17" t="s">
        <v>129</v>
      </c>
      <c r="CD250" s="18"/>
      <c r="CE250" s="18"/>
      <c r="CF250" s="18"/>
      <c r="CG250" s="18"/>
      <c r="CH250" s="18"/>
    </row>
    <row r="251">
      <c r="A251" s="8"/>
      <c r="B251" s="16" t="s">
        <v>1183</v>
      </c>
      <c r="C251" s="10" t="s">
        <v>1184</v>
      </c>
      <c r="D251" s="9" t="s">
        <v>87</v>
      </c>
      <c r="E251" s="11" t="s">
        <v>1214</v>
      </c>
      <c r="F251" s="12"/>
      <c r="G251" s="13" t="s">
        <v>1215</v>
      </c>
      <c r="H251" s="13" t="s">
        <v>110</v>
      </c>
      <c r="I251" s="13" t="s">
        <v>1216</v>
      </c>
      <c r="J251" s="13" t="s">
        <v>92</v>
      </c>
      <c r="K251" s="13" t="s">
        <v>92</v>
      </c>
      <c r="L251" s="13" t="s">
        <v>92</v>
      </c>
      <c r="M251" s="13" t="s">
        <v>92</v>
      </c>
      <c r="N251" s="14" t="s">
        <v>92</v>
      </c>
      <c r="O251" s="13" t="s">
        <v>92</v>
      </c>
      <c r="P251" s="13" t="s">
        <v>92</v>
      </c>
      <c r="Q251" s="13" t="s">
        <v>92</v>
      </c>
      <c r="R251" s="13" t="s">
        <v>92</v>
      </c>
      <c r="S251" s="14" t="s">
        <v>93</v>
      </c>
      <c r="T251" s="13" t="s">
        <v>92</v>
      </c>
      <c r="U251" s="13" t="s">
        <v>92</v>
      </c>
      <c r="V251" s="13" t="s">
        <v>92</v>
      </c>
      <c r="W251" s="13" t="s">
        <v>92</v>
      </c>
      <c r="X251" s="13" t="s">
        <v>92</v>
      </c>
      <c r="Y251" s="13" t="s">
        <v>92</v>
      </c>
      <c r="Z251" s="13" t="s">
        <v>93</v>
      </c>
      <c r="AA251" s="14" t="s">
        <v>92</v>
      </c>
      <c r="AB251" s="15" t="s">
        <v>93</v>
      </c>
      <c r="AC251" s="15" t="s">
        <v>93</v>
      </c>
      <c r="AD251" s="15" t="s">
        <v>93</v>
      </c>
      <c r="AE251" s="14" t="s">
        <v>112</v>
      </c>
      <c r="AF251" s="13" t="s">
        <v>92</v>
      </c>
      <c r="AG251" s="13" t="s">
        <v>95</v>
      </c>
      <c r="AH251" s="8" t="s">
        <v>105</v>
      </c>
      <c r="AI251" s="13" t="s">
        <v>93</v>
      </c>
      <c r="AJ251" s="13" t="s">
        <v>93</v>
      </c>
      <c r="AK251" s="13" t="s">
        <v>93</v>
      </c>
      <c r="AL251" s="14" t="s">
        <v>92</v>
      </c>
      <c r="AM251" s="8" t="s">
        <v>105</v>
      </c>
      <c r="AN251" s="14" t="s">
        <v>105</v>
      </c>
      <c r="AO251" s="15" t="s">
        <v>93</v>
      </c>
      <c r="AP251" s="15" t="s">
        <v>93</v>
      </c>
      <c r="AQ251" s="13" t="s">
        <v>92</v>
      </c>
      <c r="AR251" s="13" t="s">
        <v>93</v>
      </c>
      <c r="AS251" s="13" t="s">
        <v>93</v>
      </c>
      <c r="AT251" s="13" t="s">
        <v>93</v>
      </c>
      <c r="AU251" s="13" t="s">
        <v>93</v>
      </c>
      <c r="AV251" s="13" t="s">
        <v>93</v>
      </c>
      <c r="AW251" s="13" t="s">
        <v>92</v>
      </c>
      <c r="AX251" s="13" t="s">
        <v>92</v>
      </c>
      <c r="AY251" s="15" t="s">
        <v>1217</v>
      </c>
      <c r="AZ251" s="15" t="s">
        <v>93</v>
      </c>
      <c r="BA251" s="16" t="s">
        <v>1218</v>
      </c>
      <c r="BB251" s="8" t="s">
        <v>213</v>
      </c>
      <c r="BC251" s="15" t="s">
        <v>92</v>
      </c>
      <c r="BD251" s="14" t="s">
        <v>93</v>
      </c>
      <c r="BE251" s="13" t="s">
        <v>92</v>
      </c>
      <c r="BF251" s="13" t="s">
        <v>92</v>
      </c>
      <c r="BG251" s="13" t="s">
        <v>92</v>
      </c>
      <c r="BH251" s="13" t="s">
        <v>92</v>
      </c>
      <c r="BI251" s="14" t="s">
        <v>92</v>
      </c>
      <c r="BJ251" s="13" t="s">
        <v>92</v>
      </c>
      <c r="BK251" s="14" t="s">
        <v>105</v>
      </c>
      <c r="BL251" s="14" t="s">
        <v>105</v>
      </c>
      <c r="BM251" s="14" t="s">
        <v>105</v>
      </c>
      <c r="BN251" s="14" t="s">
        <v>105</v>
      </c>
      <c r="BO251" s="14" t="s">
        <v>105</v>
      </c>
      <c r="BP251" s="14" t="s">
        <v>105</v>
      </c>
      <c r="BQ251" s="15" t="s">
        <v>92</v>
      </c>
      <c r="BR251" s="15" t="s">
        <v>92</v>
      </c>
      <c r="BS251" s="15" t="s">
        <v>92</v>
      </c>
      <c r="BT251" s="15" t="s">
        <v>93</v>
      </c>
      <c r="BU251" s="15" t="s">
        <v>92</v>
      </c>
      <c r="BV251" s="15" t="s">
        <v>93</v>
      </c>
      <c r="BW251" s="15" t="s">
        <v>92</v>
      </c>
      <c r="BX251" s="15" t="s">
        <v>92</v>
      </c>
      <c r="BY251" s="15" t="s">
        <v>92</v>
      </c>
      <c r="BZ251" s="15" t="s">
        <v>93</v>
      </c>
      <c r="CA251" s="15" t="s">
        <v>92</v>
      </c>
      <c r="CB251" s="17" t="s">
        <v>1189</v>
      </c>
      <c r="CC251" s="17" t="s">
        <v>129</v>
      </c>
      <c r="CD251" s="17" t="s">
        <v>1195</v>
      </c>
      <c r="CE251" s="18"/>
      <c r="CF251" s="18"/>
      <c r="CG251" s="18"/>
      <c r="CH251" s="18"/>
    </row>
    <row r="252">
      <c r="A252" s="8"/>
      <c r="B252" s="16" t="s">
        <v>1183</v>
      </c>
      <c r="C252" s="10" t="s">
        <v>1184</v>
      </c>
      <c r="D252" s="9" t="s">
        <v>87</v>
      </c>
      <c r="E252" s="11" t="s">
        <v>1219</v>
      </c>
      <c r="F252" s="12"/>
      <c r="G252" s="13" t="s">
        <v>1220</v>
      </c>
      <c r="H252" s="14" t="s">
        <v>110</v>
      </c>
      <c r="I252" s="13" t="s">
        <v>1221</v>
      </c>
      <c r="J252" s="14" t="s">
        <v>92</v>
      </c>
      <c r="K252" s="14" t="s">
        <v>92</v>
      </c>
      <c r="L252" s="14" t="s">
        <v>92</v>
      </c>
      <c r="M252" s="14" t="s">
        <v>92</v>
      </c>
      <c r="N252" s="14" t="s">
        <v>92</v>
      </c>
      <c r="O252" s="13" t="s">
        <v>92</v>
      </c>
      <c r="P252" s="14" t="s">
        <v>92</v>
      </c>
      <c r="Q252" s="13" t="s">
        <v>92</v>
      </c>
      <c r="R252" s="13" t="s">
        <v>92</v>
      </c>
      <c r="S252" s="14" t="s">
        <v>92</v>
      </c>
      <c r="T252" s="14" t="s">
        <v>93</v>
      </c>
      <c r="U252" s="14" t="s">
        <v>93</v>
      </c>
      <c r="V252" s="14" t="s">
        <v>92</v>
      </c>
      <c r="W252" s="14" t="s">
        <v>92</v>
      </c>
      <c r="X252" s="14" t="s">
        <v>92</v>
      </c>
      <c r="Y252" s="14" t="s">
        <v>92</v>
      </c>
      <c r="Z252" s="14" t="s">
        <v>92</v>
      </c>
      <c r="AA252" s="14" t="s">
        <v>92</v>
      </c>
      <c r="AB252" s="8" t="s">
        <v>93</v>
      </c>
      <c r="AC252" s="8" t="s">
        <v>92</v>
      </c>
      <c r="AD252" s="8" t="s">
        <v>92</v>
      </c>
      <c r="AE252" s="14" t="s">
        <v>94</v>
      </c>
      <c r="AF252" s="14" t="s">
        <v>92</v>
      </c>
      <c r="AG252" s="13" t="s">
        <v>95</v>
      </c>
      <c r="AH252" s="8">
        <v>2007.0</v>
      </c>
      <c r="AI252" s="14" t="s">
        <v>93</v>
      </c>
      <c r="AJ252" s="14" t="s">
        <v>93</v>
      </c>
      <c r="AK252" s="14" t="s">
        <v>93</v>
      </c>
      <c r="AL252" s="14" t="s">
        <v>93</v>
      </c>
      <c r="AM252" s="8" t="s">
        <v>95</v>
      </c>
      <c r="AN252" s="14" t="s">
        <v>114</v>
      </c>
      <c r="AO252" s="8" t="s">
        <v>93</v>
      </c>
      <c r="AP252" s="8" t="s">
        <v>92</v>
      </c>
      <c r="AQ252" s="13" t="s">
        <v>92</v>
      </c>
      <c r="AR252" s="13" t="s">
        <v>93</v>
      </c>
      <c r="AS252" s="13" t="s">
        <v>93</v>
      </c>
      <c r="AT252" s="13" t="s">
        <v>93</v>
      </c>
      <c r="AU252" s="13" t="s">
        <v>93</v>
      </c>
      <c r="AV252" s="13" t="s">
        <v>93</v>
      </c>
      <c r="AW252" s="13" t="s">
        <v>92</v>
      </c>
      <c r="AX252" s="13" t="s">
        <v>92</v>
      </c>
      <c r="AY252" s="15" t="s">
        <v>441</v>
      </c>
      <c r="AZ252" s="15" t="s">
        <v>95</v>
      </c>
      <c r="BA252" s="9" t="s">
        <v>1222</v>
      </c>
      <c r="BB252" s="8" t="s">
        <v>95</v>
      </c>
      <c r="BC252" s="8" t="s">
        <v>93</v>
      </c>
      <c r="BD252" s="14" t="s">
        <v>92</v>
      </c>
      <c r="BE252" s="14" t="s">
        <v>92</v>
      </c>
      <c r="BF252" s="14" t="s">
        <v>92</v>
      </c>
      <c r="BG252" s="14" t="s">
        <v>92</v>
      </c>
      <c r="BH252" s="14" t="s">
        <v>92</v>
      </c>
      <c r="BI252" s="14" t="s">
        <v>93</v>
      </c>
      <c r="BJ252" s="14" t="s">
        <v>92</v>
      </c>
      <c r="BK252" s="14" t="s">
        <v>105</v>
      </c>
      <c r="BL252" s="14" t="s">
        <v>105</v>
      </c>
      <c r="BM252" s="14" t="s">
        <v>105</v>
      </c>
      <c r="BN252" s="14" t="s">
        <v>105</v>
      </c>
      <c r="BO252" s="14" t="s">
        <v>105</v>
      </c>
      <c r="BP252" s="14" t="s">
        <v>105</v>
      </c>
      <c r="BQ252" s="8" t="s">
        <v>93</v>
      </c>
      <c r="BR252" s="8" t="s">
        <v>93</v>
      </c>
      <c r="BS252" s="8" t="s">
        <v>92</v>
      </c>
      <c r="BT252" s="8" t="s">
        <v>92</v>
      </c>
      <c r="BU252" s="8" t="s">
        <v>92</v>
      </c>
      <c r="BV252" s="8" t="s">
        <v>92</v>
      </c>
      <c r="BW252" s="8" t="s">
        <v>92</v>
      </c>
      <c r="BX252" s="8" t="s">
        <v>92</v>
      </c>
      <c r="BY252" s="8" t="s">
        <v>92</v>
      </c>
      <c r="BZ252" s="8" t="s">
        <v>92</v>
      </c>
      <c r="CA252" s="8" t="s">
        <v>92</v>
      </c>
      <c r="CB252" s="17" t="s">
        <v>1189</v>
      </c>
      <c r="CC252" s="24" t="s">
        <v>1223</v>
      </c>
      <c r="CD252" s="18"/>
      <c r="CE252" s="18"/>
      <c r="CF252" s="18"/>
      <c r="CG252" s="18"/>
      <c r="CH252" s="18"/>
    </row>
    <row r="253">
      <c r="A253" s="8"/>
      <c r="B253" s="16" t="s">
        <v>1183</v>
      </c>
      <c r="C253" s="10" t="s">
        <v>1184</v>
      </c>
      <c r="D253" s="9" t="s">
        <v>87</v>
      </c>
      <c r="E253" s="11" t="s">
        <v>1224</v>
      </c>
      <c r="F253" s="12"/>
      <c r="G253" s="13" t="s">
        <v>1225</v>
      </c>
      <c r="H253" s="13" t="s">
        <v>110</v>
      </c>
      <c r="I253" s="13" t="s">
        <v>1226</v>
      </c>
      <c r="J253" s="13" t="s">
        <v>92</v>
      </c>
      <c r="K253" s="13" t="s">
        <v>92</v>
      </c>
      <c r="L253" s="13" t="s">
        <v>93</v>
      </c>
      <c r="M253" s="13" t="s">
        <v>92</v>
      </c>
      <c r="N253" s="14" t="s">
        <v>92</v>
      </c>
      <c r="O253" s="13" t="s">
        <v>92</v>
      </c>
      <c r="P253" s="13" t="s">
        <v>92</v>
      </c>
      <c r="Q253" s="13" t="s">
        <v>92</v>
      </c>
      <c r="R253" s="13" t="s">
        <v>92</v>
      </c>
      <c r="S253" s="14" t="s">
        <v>93</v>
      </c>
      <c r="T253" s="13" t="s">
        <v>92</v>
      </c>
      <c r="U253" s="13" t="s">
        <v>92</v>
      </c>
      <c r="V253" s="13" t="s">
        <v>92</v>
      </c>
      <c r="W253" s="13" t="s">
        <v>92</v>
      </c>
      <c r="X253" s="13" t="s">
        <v>92</v>
      </c>
      <c r="Y253" s="13" t="s">
        <v>92</v>
      </c>
      <c r="Z253" s="13" t="s">
        <v>93</v>
      </c>
      <c r="AA253" s="14" t="s">
        <v>92</v>
      </c>
      <c r="AB253" s="15" t="s">
        <v>92</v>
      </c>
      <c r="AC253" s="15" t="s">
        <v>93</v>
      </c>
      <c r="AD253" s="8" t="s">
        <v>92</v>
      </c>
      <c r="AE253" s="14" t="s">
        <v>112</v>
      </c>
      <c r="AF253" s="13" t="s">
        <v>92</v>
      </c>
      <c r="AG253" s="13" t="s">
        <v>95</v>
      </c>
      <c r="AH253" s="15">
        <v>2020.0</v>
      </c>
      <c r="AI253" s="13" t="s">
        <v>93</v>
      </c>
      <c r="AJ253" s="13" t="s">
        <v>93</v>
      </c>
      <c r="AK253" s="13" t="s">
        <v>93</v>
      </c>
      <c r="AL253" s="14" t="s">
        <v>92</v>
      </c>
      <c r="AM253" s="8" t="s">
        <v>105</v>
      </c>
      <c r="AN253" s="14" t="s">
        <v>105</v>
      </c>
      <c r="AO253" s="15" t="s">
        <v>93</v>
      </c>
      <c r="AP253" s="15" t="s">
        <v>92</v>
      </c>
      <c r="AQ253" s="13" t="s">
        <v>92</v>
      </c>
      <c r="AR253" s="13" t="s">
        <v>93</v>
      </c>
      <c r="AS253" s="13" t="s">
        <v>93</v>
      </c>
      <c r="AT253" s="13" t="s">
        <v>93</v>
      </c>
      <c r="AU253" s="13" t="s">
        <v>93</v>
      </c>
      <c r="AV253" s="13" t="s">
        <v>93</v>
      </c>
      <c r="AW253" s="13" t="s">
        <v>92</v>
      </c>
      <c r="AX253" s="13" t="s">
        <v>92</v>
      </c>
      <c r="AY253" s="15" t="s">
        <v>441</v>
      </c>
      <c r="AZ253" s="15" t="s">
        <v>95</v>
      </c>
      <c r="BA253" s="9" t="s">
        <v>1227</v>
      </c>
      <c r="BB253" s="8" t="s">
        <v>95</v>
      </c>
      <c r="BC253" s="8" t="s">
        <v>93</v>
      </c>
      <c r="BD253" s="14" t="s">
        <v>93</v>
      </c>
      <c r="BE253" s="13" t="s">
        <v>92</v>
      </c>
      <c r="BF253" s="13" t="s">
        <v>92</v>
      </c>
      <c r="BG253" s="13" t="s">
        <v>92</v>
      </c>
      <c r="BH253" s="13" t="s">
        <v>92</v>
      </c>
      <c r="BI253" s="14" t="s">
        <v>92</v>
      </c>
      <c r="BJ253" s="13" t="s">
        <v>92</v>
      </c>
      <c r="BK253" s="14" t="s">
        <v>105</v>
      </c>
      <c r="BL253" s="14" t="s">
        <v>105</v>
      </c>
      <c r="BM253" s="14" t="s">
        <v>105</v>
      </c>
      <c r="BN253" s="14" t="s">
        <v>105</v>
      </c>
      <c r="BO253" s="14" t="s">
        <v>105</v>
      </c>
      <c r="BP253" s="14" t="s">
        <v>105</v>
      </c>
      <c r="BQ253" s="15" t="s">
        <v>92</v>
      </c>
      <c r="BR253" s="15" t="s">
        <v>92</v>
      </c>
      <c r="BS253" s="15" t="s">
        <v>92</v>
      </c>
      <c r="BT253" s="15" t="s">
        <v>93</v>
      </c>
      <c r="BU253" s="15" t="s">
        <v>92</v>
      </c>
      <c r="BV253" s="15" t="s">
        <v>92</v>
      </c>
      <c r="BW253" s="15" t="s">
        <v>92</v>
      </c>
      <c r="BX253" s="15" t="s">
        <v>92</v>
      </c>
      <c r="BY253" s="15" t="s">
        <v>92</v>
      </c>
      <c r="BZ253" s="15" t="s">
        <v>93</v>
      </c>
      <c r="CA253" s="15" t="s">
        <v>92</v>
      </c>
      <c r="CB253" s="17" t="s">
        <v>1189</v>
      </c>
      <c r="CC253" s="17" t="s">
        <v>129</v>
      </c>
      <c r="CD253" s="17" t="s">
        <v>1195</v>
      </c>
      <c r="CE253" s="18"/>
      <c r="CF253" s="18"/>
      <c r="CG253" s="18"/>
      <c r="CH253" s="18"/>
    </row>
    <row r="254">
      <c r="A254" s="8"/>
      <c r="B254" s="16" t="s">
        <v>1183</v>
      </c>
      <c r="C254" s="10" t="s">
        <v>1184</v>
      </c>
      <c r="D254" s="9" t="s">
        <v>87</v>
      </c>
      <c r="E254" s="11" t="s">
        <v>1228</v>
      </c>
      <c r="F254" s="12"/>
      <c r="G254" s="13" t="s">
        <v>1229</v>
      </c>
      <c r="H254" s="13" t="s">
        <v>90</v>
      </c>
      <c r="I254" s="13" t="s">
        <v>1230</v>
      </c>
      <c r="J254" s="13" t="s">
        <v>92</v>
      </c>
      <c r="K254" s="13" t="s">
        <v>92</v>
      </c>
      <c r="L254" s="14" t="s">
        <v>93</v>
      </c>
      <c r="M254" s="13" t="s">
        <v>92</v>
      </c>
      <c r="N254" s="14" t="s">
        <v>92</v>
      </c>
      <c r="O254" s="13" t="s">
        <v>92</v>
      </c>
      <c r="P254" s="13" t="s">
        <v>92</v>
      </c>
      <c r="Q254" s="13" t="s">
        <v>92</v>
      </c>
      <c r="R254" s="13" t="s">
        <v>92</v>
      </c>
      <c r="S254" s="14" t="s">
        <v>93</v>
      </c>
      <c r="T254" s="13" t="s">
        <v>92</v>
      </c>
      <c r="U254" s="13" t="s">
        <v>92</v>
      </c>
      <c r="V254" s="13" t="s">
        <v>92</v>
      </c>
      <c r="W254" s="13" t="s">
        <v>92</v>
      </c>
      <c r="X254" s="13" t="s">
        <v>92</v>
      </c>
      <c r="Y254" s="13" t="s">
        <v>92</v>
      </c>
      <c r="Z254" s="13" t="s">
        <v>93</v>
      </c>
      <c r="AA254" s="14" t="s">
        <v>92</v>
      </c>
      <c r="AB254" s="15" t="s">
        <v>92</v>
      </c>
      <c r="AC254" s="15" t="s">
        <v>93</v>
      </c>
      <c r="AD254" s="15" t="s">
        <v>93</v>
      </c>
      <c r="AE254" s="14" t="s">
        <v>112</v>
      </c>
      <c r="AF254" s="13" t="s">
        <v>92</v>
      </c>
      <c r="AG254" s="13" t="s">
        <v>95</v>
      </c>
      <c r="AH254" s="8" t="s">
        <v>105</v>
      </c>
      <c r="AI254" s="13" t="s">
        <v>93</v>
      </c>
      <c r="AJ254" s="13" t="s">
        <v>93</v>
      </c>
      <c r="AK254" s="13" t="s">
        <v>93</v>
      </c>
      <c r="AL254" s="14" t="s">
        <v>93</v>
      </c>
      <c r="AM254" s="8" t="s">
        <v>95</v>
      </c>
      <c r="AN254" s="14" t="s">
        <v>114</v>
      </c>
      <c r="AO254" s="15" t="s">
        <v>93</v>
      </c>
      <c r="AP254" s="15" t="s">
        <v>92</v>
      </c>
      <c r="AQ254" s="13" t="s">
        <v>92</v>
      </c>
      <c r="AR254" s="13" t="s">
        <v>93</v>
      </c>
      <c r="AS254" s="13" t="s">
        <v>93</v>
      </c>
      <c r="AT254" s="13" t="s">
        <v>93</v>
      </c>
      <c r="AU254" s="13" t="s">
        <v>93</v>
      </c>
      <c r="AV254" s="13" t="s">
        <v>93</v>
      </c>
      <c r="AW254" s="13" t="s">
        <v>92</v>
      </c>
      <c r="AX254" s="13" t="s">
        <v>92</v>
      </c>
      <c r="AY254" s="15" t="s">
        <v>1231</v>
      </c>
      <c r="AZ254" s="15" t="s">
        <v>92</v>
      </c>
      <c r="BA254" s="16" t="s">
        <v>1218</v>
      </c>
      <c r="BB254" s="8" t="s">
        <v>213</v>
      </c>
      <c r="BC254" s="15" t="s">
        <v>92</v>
      </c>
      <c r="BD254" s="14" t="s">
        <v>93</v>
      </c>
      <c r="BE254" s="13" t="s">
        <v>92</v>
      </c>
      <c r="BF254" s="13" t="s">
        <v>92</v>
      </c>
      <c r="BG254" s="13" t="s">
        <v>92</v>
      </c>
      <c r="BH254" s="13" t="s">
        <v>92</v>
      </c>
      <c r="BI254" s="14" t="s">
        <v>92</v>
      </c>
      <c r="BJ254" s="13" t="s">
        <v>92</v>
      </c>
      <c r="BK254" s="14" t="s">
        <v>105</v>
      </c>
      <c r="BL254" s="14" t="s">
        <v>105</v>
      </c>
      <c r="BM254" s="14" t="s">
        <v>105</v>
      </c>
      <c r="BN254" s="14" t="s">
        <v>105</v>
      </c>
      <c r="BO254" s="14" t="s">
        <v>105</v>
      </c>
      <c r="BP254" s="14" t="s">
        <v>105</v>
      </c>
      <c r="BQ254" s="15" t="s">
        <v>92</v>
      </c>
      <c r="BR254" s="15" t="s">
        <v>92</v>
      </c>
      <c r="BS254" s="15" t="s">
        <v>92</v>
      </c>
      <c r="BT254" s="8" t="s">
        <v>93</v>
      </c>
      <c r="BU254" s="8" t="s">
        <v>92</v>
      </c>
      <c r="BV254" s="15" t="s">
        <v>92</v>
      </c>
      <c r="BW254" s="15" t="s">
        <v>92</v>
      </c>
      <c r="BX254" s="15" t="s">
        <v>92</v>
      </c>
      <c r="BY254" s="15" t="s">
        <v>92</v>
      </c>
      <c r="BZ254" s="15" t="s">
        <v>93</v>
      </c>
      <c r="CA254" s="15" t="s">
        <v>92</v>
      </c>
      <c r="CB254" s="17" t="s">
        <v>1189</v>
      </c>
      <c r="CC254" s="17" t="s">
        <v>129</v>
      </c>
      <c r="CD254" s="17" t="s">
        <v>1195</v>
      </c>
      <c r="CE254" s="18"/>
      <c r="CF254" s="18"/>
      <c r="CG254" s="18"/>
      <c r="CH254" s="18"/>
    </row>
    <row r="255">
      <c r="A255" s="8"/>
      <c r="B255" s="16" t="s">
        <v>1183</v>
      </c>
      <c r="C255" s="10" t="s">
        <v>1184</v>
      </c>
      <c r="D255" s="9" t="s">
        <v>87</v>
      </c>
      <c r="E255" s="11" t="s">
        <v>1232</v>
      </c>
      <c r="F255" s="12"/>
      <c r="G255" s="13" t="s">
        <v>1233</v>
      </c>
      <c r="H255" s="13" t="s">
        <v>90</v>
      </c>
      <c r="I255" s="13" t="s">
        <v>1234</v>
      </c>
      <c r="J255" s="13" t="s">
        <v>92</v>
      </c>
      <c r="K255" s="13" t="s">
        <v>93</v>
      </c>
      <c r="L255" s="13" t="s">
        <v>93</v>
      </c>
      <c r="M255" s="13" t="s">
        <v>92</v>
      </c>
      <c r="N255" s="14" t="s">
        <v>92</v>
      </c>
      <c r="O255" s="13" t="s">
        <v>92</v>
      </c>
      <c r="P255" s="13" t="s">
        <v>92</v>
      </c>
      <c r="Q255" s="13" t="s">
        <v>92</v>
      </c>
      <c r="R255" s="13" t="s">
        <v>92</v>
      </c>
      <c r="S255" s="14" t="s">
        <v>93</v>
      </c>
      <c r="T255" s="13" t="s">
        <v>92</v>
      </c>
      <c r="U255" s="13" t="s">
        <v>92</v>
      </c>
      <c r="V255" s="13" t="s">
        <v>93</v>
      </c>
      <c r="W255" s="13" t="s">
        <v>93</v>
      </c>
      <c r="X255" s="13" t="s">
        <v>92</v>
      </c>
      <c r="Y255" s="13" t="s">
        <v>92</v>
      </c>
      <c r="Z255" s="13" t="s">
        <v>93</v>
      </c>
      <c r="AA255" s="14" t="s">
        <v>92</v>
      </c>
      <c r="AB255" s="15" t="s">
        <v>92</v>
      </c>
      <c r="AC255" s="15" t="s">
        <v>93</v>
      </c>
      <c r="AD255" s="8" t="s">
        <v>92</v>
      </c>
      <c r="AE255" s="14" t="s">
        <v>112</v>
      </c>
      <c r="AF255" s="13" t="s">
        <v>92</v>
      </c>
      <c r="AG255" s="13" t="s">
        <v>95</v>
      </c>
      <c r="AH255" s="8" t="s">
        <v>105</v>
      </c>
      <c r="AI255" s="13" t="s">
        <v>93</v>
      </c>
      <c r="AJ255" s="13" t="s">
        <v>93</v>
      </c>
      <c r="AK255" s="13" t="s">
        <v>93</v>
      </c>
      <c r="AL255" s="14" t="s">
        <v>93</v>
      </c>
      <c r="AM255" s="8" t="s">
        <v>95</v>
      </c>
      <c r="AN255" s="14" t="s">
        <v>114</v>
      </c>
      <c r="AO255" s="15" t="s">
        <v>93</v>
      </c>
      <c r="AP255" s="15" t="s">
        <v>92</v>
      </c>
      <c r="AQ255" s="13" t="s">
        <v>92</v>
      </c>
      <c r="AR255" s="13" t="s">
        <v>93</v>
      </c>
      <c r="AS255" s="13" t="s">
        <v>93</v>
      </c>
      <c r="AT255" s="13" t="s">
        <v>93</v>
      </c>
      <c r="AU255" s="13" t="s">
        <v>93</v>
      </c>
      <c r="AV255" s="13" t="s">
        <v>93</v>
      </c>
      <c r="AW255" s="13" t="s">
        <v>92</v>
      </c>
      <c r="AX255" s="13" t="s">
        <v>92</v>
      </c>
      <c r="AY255" s="15" t="s">
        <v>441</v>
      </c>
      <c r="AZ255" s="15" t="s">
        <v>95</v>
      </c>
      <c r="BA255" s="16" t="s">
        <v>1218</v>
      </c>
      <c r="BB255" s="8" t="s">
        <v>213</v>
      </c>
      <c r="BC255" s="15" t="s">
        <v>92</v>
      </c>
      <c r="BD255" s="13" t="s">
        <v>93</v>
      </c>
      <c r="BE255" s="13" t="s">
        <v>92</v>
      </c>
      <c r="BF255" s="13" t="s">
        <v>92</v>
      </c>
      <c r="BG255" s="13" t="s">
        <v>92</v>
      </c>
      <c r="BH255" s="13" t="s">
        <v>92</v>
      </c>
      <c r="BI255" s="13" t="s">
        <v>93</v>
      </c>
      <c r="BJ255" s="13" t="s">
        <v>92</v>
      </c>
      <c r="BK255" s="14" t="s">
        <v>105</v>
      </c>
      <c r="BL255" s="14" t="s">
        <v>105</v>
      </c>
      <c r="BM255" s="14" t="s">
        <v>105</v>
      </c>
      <c r="BN255" s="14" t="s">
        <v>105</v>
      </c>
      <c r="BO255" s="14" t="s">
        <v>105</v>
      </c>
      <c r="BP255" s="14" t="s">
        <v>105</v>
      </c>
      <c r="BQ255" s="15" t="s">
        <v>92</v>
      </c>
      <c r="BR255" s="15" t="s">
        <v>92</v>
      </c>
      <c r="BS255" s="15" t="s">
        <v>92</v>
      </c>
      <c r="BT255" s="15" t="s">
        <v>93</v>
      </c>
      <c r="BU255" s="15" t="s">
        <v>92</v>
      </c>
      <c r="BV255" s="15" t="s">
        <v>93</v>
      </c>
      <c r="BW255" s="15" t="s">
        <v>93</v>
      </c>
      <c r="BX255" s="15" t="s">
        <v>92</v>
      </c>
      <c r="BY255" s="15" t="s">
        <v>92</v>
      </c>
      <c r="BZ255" s="15" t="s">
        <v>93</v>
      </c>
      <c r="CA255" s="15" t="s">
        <v>92</v>
      </c>
      <c r="CB255" s="17" t="s">
        <v>1189</v>
      </c>
      <c r="CC255" s="17" t="s">
        <v>129</v>
      </c>
      <c r="CD255" s="17" t="s">
        <v>1195</v>
      </c>
      <c r="CE255" s="18"/>
      <c r="CF255" s="18"/>
      <c r="CG255" s="18"/>
      <c r="CH255" s="18"/>
    </row>
    <row r="256">
      <c r="A256" s="8"/>
      <c r="B256" s="16" t="s">
        <v>1183</v>
      </c>
      <c r="C256" s="10" t="s">
        <v>1184</v>
      </c>
      <c r="D256" s="9" t="s">
        <v>87</v>
      </c>
      <c r="E256" s="11" t="s">
        <v>1235</v>
      </c>
      <c r="F256" s="12"/>
      <c r="G256" s="13" t="s">
        <v>1236</v>
      </c>
      <c r="H256" s="13" t="s">
        <v>90</v>
      </c>
      <c r="I256" s="13" t="s">
        <v>1237</v>
      </c>
      <c r="J256" s="13" t="s">
        <v>92</v>
      </c>
      <c r="K256" s="13" t="s">
        <v>92</v>
      </c>
      <c r="L256" s="13" t="s">
        <v>93</v>
      </c>
      <c r="M256" s="13" t="s">
        <v>92</v>
      </c>
      <c r="N256" s="14" t="s">
        <v>92</v>
      </c>
      <c r="O256" s="13" t="s">
        <v>92</v>
      </c>
      <c r="P256" s="13" t="s">
        <v>92</v>
      </c>
      <c r="Q256" s="13" t="s">
        <v>92</v>
      </c>
      <c r="R256" s="13" t="s">
        <v>92</v>
      </c>
      <c r="S256" s="13" t="s">
        <v>92</v>
      </c>
      <c r="T256" s="13" t="s">
        <v>92</v>
      </c>
      <c r="U256" s="13" t="s">
        <v>92</v>
      </c>
      <c r="V256" s="13" t="s">
        <v>92</v>
      </c>
      <c r="W256" s="13" t="s">
        <v>92</v>
      </c>
      <c r="X256" s="13" t="s">
        <v>92</v>
      </c>
      <c r="Y256" s="13" t="s">
        <v>92</v>
      </c>
      <c r="Z256" s="13" t="s">
        <v>93</v>
      </c>
      <c r="AA256" s="14" t="s">
        <v>92</v>
      </c>
      <c r="AB256" s="8" t="s">
        <v>93</v>
      </c>
      <c r="AC256" s="15" t="s">
        <v>93</v>
      </c>
      <c r="AD256" s="8" t="s">
        <v>92</v>
      </c>
      <c r="AE256" s="14" t="s">
        <v>112</v>
      </c>
      <c r="AF256" s="13" t="s">
        <v>93</v>
      </c>
      <c r="AG256" s="13" t="s">
        <v>1238</v>
      </c>
      <c r="AH256" s="15">
        <v>2020.0</v>
      </c>
      <c r="AI256" s="13" t="s">
        <v>93</v>
      </c>
      <c r="AJ256" s="13" t="s">
        <v>92</v>
      </c>
      <c r="AK256" s="13" t="s">
        <v>92</v>
      </c>
      <c r="AL256" s="14" t="s">
        <v>92</v>
      </c>
      <c r="AM256" s="15">
        <v>2020.0</v>
      </c>
      <c r="AN256" s="13" t="s">
        <v>96</v>
      </c>
      <c r="AO256" s="15" t="s">
        <v>92</v>
      </c>
      <c r="AP256" s="15" t="s">
        <v>92</v>
      </c>
      <c r="AQ256" s="13" t="s">
        <v>92</v>
      </c>
      <c r="AR256" s="13" t="s">
        <v>93</v>
      </c>
      <c r="AS256" s="13" t="s">
        <v>93</v>
      </c>
      <c r="AT256" s="13" t="s">
        <v>93</v>
      </c>
      <c r="AU256" s="13" t="s">
        <v>93</v>
      </c>
      <c r="AV256" s="13" t="s">
        <v>93</v>
      </c>
      <c r="AW256" s="13" t="s">
        <v>92</v>
      </c>
      <c r="AX256" s="13" t="s">
        <v>92</v>
      </c>
      <c r="AY256" s="15" t="s">
        <v>441</v>
      </c>
      <c r="AZ256" s="15" t="s">
        <v>95</v>
      </c>
      <c r="BA256" s="16" t="s">
        <v>1218</v>
      </c>
      <c r="BB256" s="8" t="s">
        <v>213</v>
      </c>
      <c r="BC256" s="15" t="s">
        <v>92</v>
      </c>
      <c r="BD256" s="13" t="s">
        <v>93</v>
      </c>
      <c r="BE256" s="13" t="s">
        <v>92</v>
      </c>
      <c r="BF256" s="13" t="s">
        <v>92</v>
      </c>
      <c r="BG256" s="13" t="s">
        <v>92</v>
      </c>
      <c r="BH256" s="13" t="s">
        <v>92</v>
      </c>
      <c r="BI256" s="14" t="s">
        <v>92</v>
      </c>
      <c r="BJ256" s="13" t="s">
        <v>92</v>
      </c>
      <c r="BK256" s="14" t="s">
        <v>105</v>
      </c>
      <c r="BL256" s="14" t="s">
        <v>105</v>
      </c>
      <c r="BM256" s="14" t="s">
        <v>105</v>
      </c>
      <c r="BN256" s="14" t="s">
        <v>105</v>
      </c>
      <c r="BO256" s="14" t="s">
        <v>105</v>
      </c>
      <c r="BP256" s="14" t="s">
        <v>105</v>
      </c>
      <c r="BQ256" s="15" t="s">
        <v>92</v>
      </c>
      <c r="BR256" s="15" t="s">
        <v>92</v>
      </c>
      <c r="BS256" s="15" t="s">
        <v>93</v>
      </c>
      <c r="BT256" s="15" t="s">
        <v>93</v>
      </c>
      <c r="BU256" s="15" t="s">
        <v>92</v>
      </c>
      <c r="BV256" s="15" t="s">
        <v>93</v>
      </c>
      <c r="BW256" s="15" t="s">
        <v>92</v>
      </c>
      <c r="BX256" s="15" t="s">
        <v>92</v>
      </c>
      <c r="BY256" s="15" t="s">
        <v>92</v>
      </c>
      <c r="BZ256" s="15" t="s">
        <v>93</v>
      </c>
      <c r="CA256" s="15" t="s">
        <v>92</v>
      </c>
      <c r="CB256" s="17" t="s">
        <v>1189</v>
      </c>
      <c r="CC256" s="17"/>
      <c r="CD256" s="18"/>
      <c r="CE256" s="18"/>
      <c r="CF256" s="18"/>
      <c r="CG256" s="18"/>
      <c r="CH256" s="18"/>
    </row>
    <row r="257">
      <c r="A257" s="8"/>
      <c r="B257" s="16" t="s">
        <v>1183</v>
      </c>
      <c r="C257" s="10" t="s">
        <v>1184</v>
      </c>
      <c r="D257" s="9" t="s">
        <v>87</v>
      </c>
      <c r="E257" s="11" t="s">
        <v>1239</v>
      </c>
      <c r="F257" s="12"/>
      <c r="G257" s="13" t="s">
        <v>1240</v>
      </c>
      <c r="H257" s="14" t="s">
        <v>90</v>
      </c>
      <c r="I257" s="13" t="s">
        <v>1241</v>
      </c>
      <c r="J257" s="14" t="s">
        <v>92</v>
      </c>
      <c r="K257" s="14" t="s">
        <v>92</v>
      </c>
      <c r="L257" s="14" t="s">
        <v>92</v>
      </c>
      <c r="M257" s="14" t="s">
        <v>92</v>
      </c>
      <c r="N257" s="14" t="s">
        <v>92</v>
      </c>
      <c r="O257" s="14" t="s">
        <v>92</v>
      </c>
      <c r="P257" s="14" t="s">
        <v>93</v>
      </c>
      <c r="Q257" s="14" t="s">
        <v>92</v>
      </c>
      <c r="R257" s="14" t="s">
        <v>92</v>
      </c>
      <c r="S257" s="14" t="s">
        <v>92</v>
      </c>
      <c r="T257" s="14" t="s">
        <v>93</v>
      </c>
      <c r="U257" s="14" t="s">
        <v>92</v>
      </c>
      <c r="V257" s="14" t="s">
        <v>92</v>
      </c>
      <c r="W257" s="14" t="s">
        <v>92</v>
      </c>
      <c r="X257" s="14" t="s">
        <v>92</v>
      </c>
      <c r="Y257" s="14" t="s">
        <v>92</v>
      </c>
      <c r="Z257" s="14" t="s">
        <v>92</v>
      </c>
      <c r="AA257" s="14" t="s">
        <v>92</v>
      </c>
      <c r="AB257" s="8" t="s">
        <v>93</v>
      </c>
      <c r="AC257" s="8" t="s">
        <v>92</v>
      </c>
      <c r="AD257" s="8" t="s">
        <v>92</v>
      </c>
      <c r="AE257" s="14" t="s">
        <v>148</v>
      </c>
      <c r="AF257" s="14" t="s">
        <v>92</v>
      </c>
      <c r="AG257" s="13" t="s">
        <v>95</v>
      </c>
      <c r="AH257" s="8">
        <v>2020.0</v>
      </c>
      <c r="AI257" s="14" t="s">
        <v>93</v>
      </c>
      <c r="AJ257" s="13" t="s">
        <v>92</v>
      </c>
      <c r="AK257" s="13" t="s">
        <v>92</v>
      </c>
      <c r="AL257" s="14" t="s">
        <v>92</v>
      </c>
      <c r="AM257" s="15">
        <v>2020.0</v>
      </c>
      <c r="AN257" s="13" t="s">
        <v>96</v>
      </c>
      <c r="AO257" s="15" t="s">
        <v>92</v>
      </c>
      <c r="AP257" s="15" t="s">
        <v>92</v>
      </c>
      <c r="AQ257" s="13" t="s">
        <v>92</v>
      </c>
      <c r="AR257" s="13" t="s">
        <v>93</v>
      </c>
      <c r="AS257" s="13" t="s">
        <v>93</v>
      </c>
      <c r="AT257" s="13" t="s">
        <v>93</v>
      </c>
      <c r="AU257" s="13" t="s">
        <v>93</v>
      </c>
      <c r="AV257" s="13" t="s">
        <v>93</v>
      </c>
      <c r="AW257" s="13" t="s">
        <v>92</v>
      </c>
      <c r="AX257" s="13" t="s">
        <v>92</v>
      </c>
      <c r="AY257" s="8" t="s">
        <v>1242</v>
      </c>
      <c r="AZ257" s="8" t="s">
        <v>92</v>
      </c>
      <c r="BA257" s="16" t="s">
        <v>1218</v>
      </c>
      <c r="BB257" s="8" t="s">
        <v>213</v>
      </c>
      <c r="BC257" s="15" t="s">
        <v>92</v>
      </c>
      <c r="BD257" s="14" t="s">
        <v>92</v>
      </c>
      <c r="BE257" s="14" t="s">
        <v>92</v>
      </c>
      <c r="BF257" s="14" t="s">
        <v>92</v>
      </c>
      <c r="BG257" s="14" t="s">
        <v>92</v>
      </c>
      <c r="BH257" s="14" t="s">
        <v>92</v>
      </c>
      <c r="BI257" s="14" t="s">
        <v>93</v>
      </c>
      <c r="BJ257" s="14" t="s">
        <v>92</v>
      </c>
      <c r="BK257" s="14" t="s">
        <v>105</v>
      </c>
      <c r="BL257" s="14" t="s">
        <v>105</v>
      </c>
      <c r="BM257" s="14" t="s">
        <v>105</v>
      </c>
      <c r="BN257" s="14" t="s">
        <v>105</v>
      </c>
      <c r="BO257" s="14" t="s">
        <v>105</v>
      </c>
      <c r="BP257" s="14" t="s">
        <v>105</v>
      </c>
      <c r="BQ257" s="8" t="s">
        <v>92</v>
      </c>
      <c r="BR257" s="8" t="s">
        <v>93</v>
      </c>
      <c r="BS257" s="8" t="s">
        <v>92</v>
      </c>
      <c r="BT257" s="8" t="s">
        <v>92</v>
      </c>
      <c r="BU257" s="8" t="s">
        <v>92</v>
      </c>
      <c r="BV257" s="8" t="s">
        <v>92</v>
      </c>
      <c r="BW257" s="8" t="s">
        <v>92</v>
      </c>
      <c r="BX257" s="8" t="s">
        <v>92</v>
      </c>
      <c r="BY257" s="8" t="s">
        <v>92</v>
      </c>
      <c r="BZ257" s="8" t="s">
        <v>92</v>
      </c>
      <c r="CA257" s="8" t="s">
        <v>92</v>
      </c>
      <c r="CB257" s="17" t="s">
        <v>1189</v>
      </c>
      <c r="CC257" s="17"/>
      <c r="CD257" s="18"/>
      <c r="CE257" s="18"/>
      <c r="CF257" s="18"/>
      <c r="CG257" s="18"/>
      <c r="CH257" s="18"/>
    </row>
    <row r="258">
      <c r="A258" s="8"/>
      <c r="B258" s="16" t="s">
        <v>1183</v>
      </c>
      <c r="C258" s="10" t="s">
        <v>1184</v>
      </c>
      <c r="D258" s="9" t="s">
        <v>87</v>
      </c>
      <c r="E258" s="11" t="s">
        <v>1243</v>
      </c>
      <c r="F258" s="12"/>
      <c r="G258" s="13" t="s">
        <v>1244</v>
      </c>
      <c r="H258" s="13" t="s">
        <v>110</v>
      </c>
      <c r="I258" s="13" t="s">
        <v>1245</v>
      </c>
      <c r="J258" s="14" t="s">
        <v>92</v>
      </c>
      <c r="K258" s="13" t="s">
        <v>92</v>
      </c>
      <c r="L258" s="13" t="s">
        <v>93</v>
      </c>
      <c r="M258" s="13" t="s">
        <v>93</v>
      </c>
      <c r="N258" s="14" t="s">
        <v>92</v>
      </c>
      <c r="O258" s="13" t="s">
        <v>92</v>
      </c>
      <c r="P258" s="13" t="s">
        <v>92</v>
      </c>
      <c r="Q258" s="13" t="s">
        <v>92</v>
      </c>
      <c r="R258" s="13" t="s">
        <v>92</v>
      </c>
      <c r="S258" s="14" t="s">
        <v>93</v>
      </c>
      <c r="T258" s="13" t="s">
        <v>92</v>
      </c>
      <c r="U258" s="13" t="s">
        <v>92</v>
      </c>
      <c r="V258" s="13" t="s">
        <v>92</v>
      </c>
      <c r="W258" s="13" t="s">
        <v>92</v>
      </c>
      <c r="X258" s="13" t="s">
        <v>92</v>
      </c>
      <c r="Y258" s="13" t="s">
        <v>92</v>
      </c>
      <c r="Z258" s="13" t="s">
        <v>93</v>
      </c>
      <c r="AA258" s="14" t="s">
        <v>92</v>
      </c>
      <c r="AB258" s="8" t="s">
        <v>93</v>
      </c>
      <c r="AC258" s="15" t="s">
        <v>93</v>
      </c>
      <c r="AD258" s="8" t="s">
        <v>92</v>
      </c>
      <c r="AE258" s="14" t="s">
        <v>112</v>
      </c>
      <c r="AF258" s="13" t="s">
        <v>92</v>
      </c>
      <c r="AG258" s="13" t="s">
        <v>95</v>
      </c>
      <c r="AH258" s="15">
        <v>2020.0</v>
      </c>
      <c r="AI258" s="13" t="s">
        <v>93</v>
      </c>
      <c r="AJ258" s="13" t="s">
        <v>93</v>
      </c>
      <c r="AK258" s="14" t="s">
        <v>92</v>
      </c>
      <c r="AL258" s="14" t="s">
        <v>92</v>
      </c>
      <c r="AM258" s="8" t="s">
        <v>105</v>
      </c>
      <c r="AN258" s="14" t="s">
        <v>105</v>
      </c>
      <c r="AO258" s="15" t="s">
        <v>93</v>
      </c>
      <c r="AP258" s="15" t="s">
        <v>92</v>
      </c>
      <c r="AQ258" s="13" t="s">
        <v>92</v>
      </c>
      <c r="AR258" s="13" t="s">
        <v>93</v>
      </c>
      <c r="AS258" s="13" t="s">
        <v>93</v>
      </c>
      <c r="AT258" s="13" t="s">
        <v>93</v>
      </c>
      <c r="AU258" s="13" t="s">
        <v>93</v>
      </c>
      <c r="AV258" s="13" t="s">
        <v>93</v>
      </c>
      <c r="AW258" s="13" t="s">
        <v>92</v>
      </c>
      <c r="AX258" s="13" t="s">
        <v>92</v>
      </c>
      <c r="AY258" s="15" t="s">
        <v>441</v>
      </c>
      <c r="AZ258" s="15" t="s">
        <v>95</v>
      </c>
      <c r="BA258" s="16" t="s">
        <v>1246</v>
      </c>
      <c r="BB258" s="8" t="s">
        <v>95</v>
      </c>
      <c r="BC258" s="8" t="s">
        <v>93</v>
      </c>
      <c r="BD258" s="13" t="s">
        <v>93</v>
      </c>
      <c r="BE258" s="13" t="s">
        <v>92</v>
      </c>
      <c r="BF258" s="13" t="s">
        <v>93</v>
      </c>
      <c r="BG258" s="13" t="s">
        <v>92</v>
      </c>
      <c r="BH258" s="13" t="s">
        <v>92</v>
      </c>
      <c r="BI258" s="13" t="s">
        <v>93</v>
      </c>
      <c r="BJ258" s="13" t="s">
        <v>92</v>
      </c>
      <c r="BK258" s="14" t="s">
        <v>105</v>
      </c>
      <c r="BL258" s="14" t="s">
        <v>105</v>
      </c>
      <c r="BM258" s="14" t="s">
        <v>105</v>
      </c>
      <c r="BN258" s="14" t="s">
        <v>105</v>
      </c>
      <c r="BO258" s="14" t="s">
        <v>105</v>
      </c>
      <c r="BP258" s="14" t="s">
        <v>105</v>
      </c>
      <c r="BQ258" s="15" t="s">
        <v>92</v>
      </c>
      <c r="BR258" s="15" t="s">
        <v>92</v>
      </c>
      <c r="BS258" s="15" t="s">
        <v>92</v>
      </c>
      <c r="BT258" s="15" t="s">
        <v>93</v>
      </c>
      <c r="BU258" s="15" t="s">
        <v>92</v>
      </c>
      <c r="BV258" s="15" t="s">
        <v>93</v>
      </c>
      <c r="BW258" s="15" t="s">
        <v>92</v>
      </c>
      <c r="BX258" s="15" t="s">
        <v>92</v>
      </c>
      <c r="BY258" s="15" t="s">
        <v>93</v>
      </c>
      <c r="BZ258" s="15" t="s">
        <v>93</v>
      </c>
      <c r="CA258" s="15" t="s">
        <v>92</v>
      </c>
      <c r="CB258" s="17" t="s">
        <v>1189</v>
      </c>
      <c r="CC258" s="17" t="s">
        <v>129</v>
      </c>
      <c r="CD258" s="17" t="s">
        <v>1247</v>
      </c>
      <c r="CE258" s="18"/>
      <c r="CF258" s="18"/>
      <c r="CG258" s="18"/>
      <c r="CH258" s="18"/>
    </row>
    <row r="259">
      <c r="A259" s="8"/>
      <c r="B259" s="16" t="s">
        <v>1183</v>
      </c>
      <c r="C259" s="10" t="s">
        <v>1184</v>
      </c>
      <c r="D259" s="9" t="s">
        <v>87</v>
      </c>
      <c r="E259" s="11" t="s">
        <v>1248</v>
      </c>
      <c r="F259" s="12"/>
      <c r="G259" s="13" t="s">
        <v>1249</v>
      </c>
      <c r="H259" s="14" t="s">
        <v>110</v>
      </c>
      <c r="I259" s="14" t="s">
        <v>1250</v>
      </c>
      <c r="J259" s="13" t="s">
        <v>92</v>
      </c>
      <c r="K259" s="13" t="s">
        <v>92</v>
      </c>
      <c r="L259" s="13" t="s">
        <v>93</v>
      </c>
      <c r="M259" s="13" t="s">
        <v>92</v>
      </c>
      <c r="N259" s="14" t="s">
        <v>92</v>
      </c>
      <c r="O259" s="13" t="s">
        <v>92</v>
      </c>
      <c r="P259" s="13" t="s">
        <v>92</v>
      </c>
      <c r="Q259" s="13" t="s">
        <v>92</v>
      </c>
      <c r="R259" s="13" t="s">
        <v>92</v>
      </c>
      <c r="S259" s="14" t="s">
        <v>93</v>
      </c>
      <c r="T259" s="13" t="s">
        <v>92</v>
      </c>
      <c r="U259" s="13" t="s">
        <v>92</v>
      </c>
      <c r="V259" s="13" t="s">
        <v>92</v>
      </c>
      <c r="W259" s="13" t="s">
        <v>92</v>
      </c>
      <c r="X259" s="13" t="s">
        <v>92</v>
      </c>
      <c r="Y259" s="13" t="s">
        <v>92</v>
      </c>
      <c r="Z259" s="13" t="s">
        <v>93</v>
      </c>
      <c r="AA259" s="14" t="s">
        <v>92</v>
      </c>
      <c r="AB259" s="15" t="s">
        <v>92</v>
      </c>
      <c r="AC259" s="15" t="s">
        <v>93</v>
      </c>
      <c r="AD259" s="8" t="s">
        <v>92</v>
      </c>
      <c r="AE259" s="14" t="s">
        <v>112</v>
      </c>
      <c r="AF259" s="13" t="s">
        <v>92</v>
      </c>
      <c r="AG259" s="13" t="s">
        <v>95</v>
      </c>
      <c r="AH259" s="15">
        <v>2020.0</v>
      </c>
      <c r="AI259" s="13" t="s">
        <v>93</v>
      </c>
      <c r="AJ259" s="13" t="s">
        <v>93</v>
      </c>
      <c r="AK259" s="13" t="s">
        <v>93</v>
      </c>
      <c r="AL259" s="14" t="s">
        <v>93</v>
      </c>
      <c r="AM259" s="8" t="s">
        <v>95</v>
      </c>
      <c r="AN259" s="14" t="s">
        <v>114</v>
      </c>
      <c r="AO259" s="15" t="s">
        <v>93</v>
      </c>
      <c r="AP259" s="15" t="s">
        <v>92</v>
      </c>
      <c r="AQ259" s="13" t="s">
        <v>92</v>
      </c>
      <c r="AR259" s="13" t="s">
        <v>93</v>
      </c>
      <c r="AS259" s="13" t="s">
        <v>93</v>
      </c>
      <c r="AT259" s="13" t="s">
        <v>93</v>
      </c>
      <c r="AU259" s="13" t="s">
        <v>93</v>
      </c>
      <c r="AV259" s="13" t="s">
        <v>93</v>
      </c>
      <c r="AW259" s="13" t="s">
        <v>92</v>
      </c>
      <c r="AX259" s="13" t="s">
        <v>92</v>
      </c>
      <c r="AY259" s="15" t="s">
        <v>441</v>
      </c>
      <c r="AZ259" s="15" t="s">
        <v>95</v>
      </c>
      <c r="BA259" s="16" t="s">
        <v>1246</v>
      </c>
      <c r="BB259" s="8" t="s">
        <v>95</v>
      </c>
      <c r="BC259" s="8" t="s">
        <v>93</v>
      </c>
      <c r="BD259" s="14" t="s">
        <v>93</v>
      </c>
      <c r="BE259" s="13" t="s">
        <v>92</v>
      </c>
      <c r="BF259" s="13" t="s">
        <v>92</v>
      </c>
      <c r="BG259" s="13" t="s">
        <v>92</v>
      </c>
      <c r="BH259" s="13" t="s">
        <v>92</v>
      </c>
      <c r="BI259" s="14" t="s">
        <v>92</v>
      </c>
      <c r="BJ259" s="13" t="s">
        <v>92</v>
      </c>
      <c r="BK259" s="14" t="s">
        <v>105</v>
      </c>
      <c r="BL259" s="14" t="s">
        <v>105</v>
      </c>
      <c r="BM259" s="14" t="s">
        <v>105</v>
      </c>
      <c r="BN259" s="14" t="s">
        <v>105</v>
      </c>
      <c r="BO259" s="14" t="s">
        <v>105</v>
      </c>
      <c r="BP259" s="14" t="s">
        <v>105</v>
      </c>
      <c r="BQ259" s="15" t="s">
        <v>92</v>
      </c>
      <c r="BR259" s="15" t="s">
        <v>92</v>
      </c>
      <c r="BS259" s="15" t="s">
        <v>92</v>
      </c>
      <c r="BT259" s="15" t="s">
        <v>93</v>
      </c>
      <c r="BU259" s="15" t="s">
        <v>92</v>
      </c>
      <c r="BV259" s="15" t="s">
        <v>92</v>
      </c>
      <c r="BW259" s="15" t="s">
        <v>92</v>
      </c>
      <c r="BX259" s="15" t="s">
        <v>92</v>
      </c>
      <c r="BY259" s="15" t="s">
        <v>92</v>
      </c>
      <c r="BZ259" s="15" t="s">
        <v>93</v>
      </c>
      <c r="CA259" s="15" t="s">
        <v>92</v>
      </c>
      <c r="CB259" s="17" t="s">
        <v>1189</v>
      </c>
      <c r="CC259" s="17" t="s">
        <v>129</v>
      </c>
      <c r="CD259" s="17" t="s">
        <v>1195</v>
      </c>
      <c r="CE259" s="18"/>
      <c r="CF259" s="18"/>
      <c r="CG259" s="18"/>
      <c r="CH259" s="18"/>
    </row>
    <row r="260">
      <c r="A260" s="8"/>
      <c r="B260" s="16" t="s">
        <v>1183</v>
      </c>
      <c r="C260" s="10" t="s">
        <v>1184</v>
      </c>
      <c r="D260" s="9" t="s">
        <v>87</v>
      </c>
      <c r="E260" s="11" t="s">
        <v>1251</v>
      </c>
      <c r="F260" s="12"/>
      <c r="G260" s="13" t="s">
        <v>1186</v>
      </c>
      <c r="H260" s="13" t="s">
        <v>90</v>
      </c>
      <c r="I260" s="13" t="s">
        <v>1252</v>
      </c>
      <c r="J260" s="13" t="s">
        <v>92</v>
      </c>
      <c r="K260" s="13" t="s">
        <v>92</v>
      </c>
      <c r="L260" s="13" t="s">
        <v>92</v>
      </c>
      <c r="M260" s="13" t="s">
        <v>93</v>
      </c>
      <c r="N260" s="14" t="s">
        <v>92</v>
      </c>
      <c r="O260" s="13" t="s">
        <v>92</v>
      </c>
      <c r="P260" s="13" t="s">
        <v>93</v>
      </c>
      <c r="Q260" s="13" t="s">
        <v>93</v>
      </c>
      <c r="R260" s="13" t="s">
        <v>93</v>
      </c>
      <c r="S260" s="13" t="s">
        <v>92</v>
      </c>
      <c r="T260" s="13" t="s">
        <v>92</v>
      </c>
      <c r="U260" s="13" t="s">
        <v>93</v>
      </c>
      <c r="V260" s="13" t="s">
        <v>92</v>
      </c>
      <c r="W260" s="13" t="s">
        <v>92</v>
      </c>
      <c r="X260" s="13" t="s">
        <v>92</v>
      </c>
      <c r="Y260" s="13" t="s">
        <v>92</v>
      </c>
      <c r="Z260" s="13" t="s">
        <v>92</v>
      </c>
      <c r="AA260" s="14" t="s">
        <v>92</v>
      </c>
      <c r="AB260" s="15" t="s">
        <v>93</v>
      </c>
      <c r="AC260" s="15" t="s">
        <v>92</v>
      </c>
      <c r="AD260" s="15" t="s">
        <v>92</v>
      </c>
      <c r="AE260" s="13" t="s">
        <v>94</v>
      </c>
      <c r="AF260" s="13" t="s">
        <v>92</v>
      </c>
      <c r="AG260" s="13" t="s">
        <v>95</v>
      </c>
      <c r="AH260" s="15">
        <v>2021.0</v>
      </c>
      <c r="AI260" s="13" t="s">
        <v>92</v>
      </c>
      <c r="AJ260" s="13" t="s">
        <v>93</v>
      </c>
      <c r="AK260" s="13" t="s">
        <v>92</v>
      </c>
      <c r="AL260" s="14" t="s">
        <v>92</v>
      </c>
      <c r="AM260" s="15">
        <v>2021.0</v>
      </c>
      <c r="AN260" s="13" t="s">
        <v>96</v>
      </c>
      <c r="AO260" s="15" t="s">
        <v>92</v>
      </c>
      <c r="AP260" s="15" t="s">
        <v>93</v>
      </c>
      <c r="AQ260" s="13" t="s">
        <v>92</v>
      </c>
      <c r="AR260" s="13" t="s">
        <v>93</v>
      </c>
      <c r="AS260" s="13" t="s">
        <v>93</v>
      </c>
      <c r="AT260" s="13" t="s">
        <v>93</v>
      </c>
      <c r="AU260" s="13" t="s">
        <v>93</v>
      </c>
      <c r="AV260" s="13" t="s">
        <v>93</v>
      </c>
      <c r="AW260" s="13" t="s">
        <v>92</v>
      </c>
      <c r="AX260" s="13" t="s">
        <v>92</v>
      </c>
      <c r="AY260" s="15" t="s">
        <v>441</v>
      </c>
      <c r="AZ260" s="15" t="s">
        <v>95</v>
      </c>
      <c r="BA260" s="9" t="s">
        <v>1253</v>
      </c>
      <c r="BB260" s="8" t="s">
        <v>95</v>
      </c>
      <c r="BC260" s="15" t="s">
        <v>93</v>
      </c>
      <c r="BD260" s="13" t="s">
        <v>92</v>
      </c>
      <c r="BE260" s="13" t="s">
        <v>92</v>
      </c>
      <c r="BF260" s="13" t="s">
        <v>92</v>
      </c>
      <c r="BG260" s="13" t="s">
        <v>92</v>
      </c>
      <c r="BH260" s="13" t="s">
        <v>92</v>
      </c>
      <c r="BI260" s="13" t="s">
        <v>93</v>
      </c>
      <c r="BJ260" s="13" t="s">
        <v>92</v>
      </c>
      <c r="BK260" s="14" t="s">
        <v>1254</v>
      </c>
      <c r="BL260" s="13" t="s">
        <v>93</v>
      </c>
      <c r="BM260" s="13" t="s">
        <v>93</v>
      </c>
      <c r="BN260" s="13" t="s">
        <v>93</v>
      </c>
      <c r="BO260" s="13" t="s">
        <v>93</v>
      </c>
      <c r="BP260" s="13" t="s">
        <v>93</v>
      </c>
      <c r="BQ260" s="15" t="s">
        <v>93</v>
      </c>
      <c r="BR260" s="15" t="s">
        <v>92</v>
      </c>
      <c r="BS260" s="15" t="s">
        <v>92</v>
      </c>
      <c r="BT260" s="15" t="s">
        <v>92</v>
      </c>
      <c r="BU260" s="15" t="s">
        <v>92</v>
      </c>
      <c r="BV260" s="15" t="s">
        <v>92</v>
      </c>
      <c r="BW260" s="15" t="s">
        <v>92</v>
      </c>
      <c r="BX260" s="15" t="s">
        <v>92</v>
      </c>
      <c r="BY260" s="15" t="s">
        <v>92</v>
      </c>
      <c r="BZ260" s="15" t="s">
        <v>92</v>
      </c>
      <c r="CA260" s="15" t="s">
        <v>92</v>
      </c>
      <c r="CB260" s="17" t="s">
        <v>129</v>
      </c>
      <c r="CC260" s="17"/>
      <c r="CD260" s="18"/>
      <c r="CE260" s="18"/>
      <c r="CF260" s="18"/>
      <c r="CG260" s="18"/>
      <c r="CH260" s="18"/>
    </row>
    <row r="261">
      <c r="A261" s="8"/>
      <c r="B261" s="16" t="s">
        <v>1183</v>
      </c>
      <c r="C261" s="10" t="s">
        <v>1184</v>
      </c>
      <c r="D261" s="9" t="s">
        <v>87</v>
      </c>
      <c r="E261" s="11" t="s">
        <v>1255</v>
      </c>
      <c r="F261" s="12"/>
      <c r="G261" s="13" t="s">
        <v>1256</v>
      </c>
      <c r="H261" s="13" t="s">
        <v>90</v>
      </c>
      <c r="I261" s="13" t="s">
        <v>1257</v>
      </c>
      <c r="J261" s="13" t="s">
        <v>92</v>
      </c>
      <c r="K261" s="13" t="s">
        <v>92</v>
      </c>
      <c r="L261" s="13" t="s">
        <v>92</v>
      </c>
      <c r="M261" s="13" t="s">
        <v>92</v>
      </c>
      <c r="N261" s="14" t="s">
        <v>92</v>
      </c>
      <c r="O261" s="13" t="s">
        <v>92</v>
      </c>
      <c r="P261" s="13" t="s">
        <v>92</v>
      </c>
      <c r="Q261" s="13" t="s">
        <v>92</v>
      </c>
      <c r="R261" s="13" t="s">
        <v>92</v>
      </c>
      <c r="S261" s="13" t="s">
        <v>92</v>
      </c>
      <c r="T261" s="13" t="s">
        <v>92</v>
      </c>
      <c r="U261" s="13" t="s">
        <v>92</v>
      </c>
      <c r="V261" s="13" t="s">
        <v>92</v>
      </c>
      <c r="W261" s="13" t="s">
        <v>92</v>
      </c>
      <c r="X261" s="13" t="s">
        <v>93</v>
      </c>
      <c r="Y261" s="13" t="s">
        <v>92</v>
      </c>
      <c r="Z261" s="14" t="s">
        <v>93</v>
      </c>
      <c r="AA261" s="14" t="s">
        <v>92</v>
      </c>
      <c r="AB261" s="15" t="s">
        <v>92</v>
      </c>
      <c r="AC261" s="15" t="s">
        <v>93</v>
      </c>
      <c r="AD261" s="15" t="s">
        <v>92</v>
      </c>
      <c r="AE261" s="14" t="s">
        <v>148</v>
      </c>
      <c r="AF261" s="13" t="s">
        <v>92</v>
      </c>
      <c r="AG261" s="13" t="s">
        <v>95</v>
      </c>
      <c r="AH261" s="15">
        <v>2021.0</v>
      </c>
      <c r="AI261" s="13" t="s">
        <v>92</v>
      </c>
      <c r="AJ261" s="13" t="s">
        <v>93</v>
      </c>
      <c r="AK261" s="13" t="s">
        <v>93</v>
      </c>
      <c r="AL261" s="14" t="s">
        <v>92</v>
      </c>
      <c r="AM261" s="8" t="s">
        <v>105</v>
      </c>
      <c r="AN261" s="14" t="s">
        <v>105</v>
      </c>
      <c r="AO261" s="15" t="s">
        <v>93</v>
      </c>
      <c r="AP261" s="15" t="s">
        <v>92</v>
      </c>
      <c r="AQ261" s="13" t="s">
        <v>92</v>
      </c>
      <c r="AR261" s="13" t="s">
        <v>93</v>
      </c>
      <c r="AS261" s="13" t="s">
        <v>93</v>
      </c>
      <c r="AT261" s="13" t="s">
        <v>93</v>
      </c>
      <c r="AU261" s="13" t="s">
        <v>93</v>
      </c>
      <c r="AV261" s="13" t="s">
        <v>93</v>
      </c>
      <c r="AW261" s="13" t="s">
        <v>92</v>
      </c>
      <c r="AX261" s="13" t="s">
        <v>92</v>
      </c>
      <c r="AY261" s="15" t="s">
        <v>441</v>
      </c>
      <c r="AZ261" s="15" t="s">
        <v>95</v>
      </c>
      <c r="BA261" s="16" t="s">
        <v>1218</v>
      </c>
      <c r="BB261" s="8" t="s">
        <v>213</v>
      </c>
      <c r="BC261" s="15" t="s">
        <v>92</v>
      </c>
      <c r="BD261" s="13" t="s">
        <v>92</v>
      </c>
      <c r="BE261" s="13" t="s">
        <v>92</v>
      </c>
      <c r="BF261" s="13" t="s">
        <v>92</v>
      </c>
      <c r="BG261" s="14" t="s">
        <v>92</v>
      </c>
      <c r="BH261" s="13" t="s">
        <v>92</v>
      </c>
      <c r="BI261" s="13" t="s">
        <v>92</v>
      </c>
      <c r="BJ261" s="13" t="s">
        <v>92</v>
      </c>
      <c r="BK261" s="14" t="s">
        <v>105</v>
      </c>
      <c r="BL261" s="14" t="s">
        <v>105</v>
      </c>
      <c r="BM261" s="14" t="s">
        <v>105</v>
      </c>
      <c r="BN261" s="14" t="s">
        <v>105</v>
      </c>
      <c r="BO261" s="14" t="s">
        <v>105</v>
      </c>
      <c r="BP261" s="14" t="s">
        <v>105</v>
      </c>
      <c r="BQ261" s="15" t="s">
        <v>92</v>
      </c>
      <c r="BR261" s="15" t="s">
        <v>92</v>
      </c>
      <c r="BS261" s="15" t="s">
        <v>92</v>
      </c>
      <c r="BT261" s="15" t="s">
        <v>93</v>
      </c>
      <c r="BU261" s="15" t="s">
        <v>92</v>
      </c>
      <c r="BV261" s="15" t="s">
        <v>93</v>
      </c>
      <c r="BW261" s="8" t="s">
        <v>92</v>
      </c>
      <c r="BX261" s="15" t="s">
        <v>92</v>
      </c>
      <c r="BY261" s="15" t="s">
        <v>93</v>
      </c>
      <c r="BZ261" s="15" t="s">
        <v>92</v>
      </c>
      <c r="CA261" s="15" t="s">
        <v>92</v>
      </c>
      <c r="CB261" s="17" t="s">
        <v>129</v>
      </c>
      <c r="CC261" s="17" t="s">
        <v>1195</v>
      </c>
      <c r="CD261" s="18"/>
      <c r="CE261" s="18"/>
      <c r="CF261" s="18"/>
      <c r="CG261" s="18"/>
      <c r="CH261" s="18"/>
    </row>
    <row r="262">
      <c r="A262" s="8"/>
      <c r="B262" s="16" t="s">
        <v>1183</v>
      </c>
      <c r="C262" s="10" t="s">
        <v>1184</v>
      </c>
      <c r="D262" s="9" t="s">
        <v>87</v>
      </c>
      <c r="E262" s="11" t="s">
        <v>1258</v>
      </c>
      <c r="F262" s="12"/>
      <c r="G262" s="13" t="s">
        <v>1259</v>
      </c>
      <c r="H262" s="13" t="s">
        <v>90</v>
      </c>
      <c r="I262" s="14" t="s">
        <v>1260</v>
      </c>
      <c r="J262" s="13" t="s">
        <v>93</v>
      </c>
      <c r="K262" s="14" t="s">
        <v>93</v>
      </c>
      <c r="L262" s="13" t="s">
        <v>92</v>
      </c>
      <c r="M262" s="13" t="s">
        <v>92</v>
      </c>
      <c r="N262" s="14" t="s">
        <v>92</v>
      </c>
      <c r="O262" s="13" t="s">
        <v>92</v>
      </c>
      <c r="P262" s="14" t="s">
        <v>93</v>
      </c>
      <c r="Q262" s="14" t="s">
        <v>92</v>
      </c>
      <c r="R262" s="13" t="s">
        <v>93</v>
      </c>
      <c r="S262" s="13" t="s">
        <v>92</v>
      </c>
      <c r="T262" s="13" t="s">
        <v>93</v>
      </c>
      <c r="U262" s="13" t="s">
        <v>92</v>
      </c>
      <c r="V262" s="13" t="s">
        <v>92</v>
      </c>
      <c r="W262" s="13" t="s">
        <v>92</v>
      </c>
      <c r="X262" s="13" t="s">
        <v>92</v>
      </c>
      <c r="Y262" s="13" t="s">
        <v>92</v>
      </c>
      <c r="Z262" s="13" t="s">
        <v>92</v>
      </c>
      <c r="AA262" s="14" t="s">
        <v>92</v>
      </c>
      <c r="AB262" s="15" t="s">
        <v>93</v>
      </c>
      <c r="AC262" s="15" t="s">
        <v>92</v>
      </c>
      <c r="AD262" s="15" t="s">
        <v>92</v>
      </c>
      <c r="AE262" s="14" t="s">
        <v>148</v>
      </c>
      <c r="AF262" s="13" t="s">
        <v>92</v>
      </c>
      <c r="AG262" s="13" t="s">
        <v>95</v>
      </c>
      <c r="AH262" s="8" t="s">
        <v>105</v>
      </c>
      <c r="AI262" s="13" t="s">
        <v>92</v>
      </c>
      <c r="AJ262" s="13" t="s">
        <v>93</v>
      </c>
      <c r="AK262" s="13" t="s">
        <v>93</v>
      </c>
      <c r="AL262" s="14" t="s">
        <v>93</v>
      </c>
      <c r="AM262" s="8" t="s">
        <v>95</v>
      </c>
      <c r="AN262" s="14" t="s">
        <v>114</v>
      </c>
      <c r="AO262" s="15" t="s">
        <v>93</v>
      </c>
      <c r="AP262" s="15" t="s">
        <v>92</v>
      </c>
      <c r="AQ262" s="13" t="s">
        <v>92</v>
      </c>
      <c r="AR262" s="13" t="s">
        <v>93</v>
      </c>
      <c r="AS262" s="13" t="s">
        <v>93</v>
      </c>
      <c r="AT262" s="13" t="s">
        <v>93</v>
      </c>
      <c r="AU262" s="13" t="s">
        <v>93</v>
      </c>
      <c r="AV262" s="13" t="s">
        <v>93</v>
      </c>
      <c r="AW262" s="13" t="s">
        <v>92</v>
      </c>
      <c r="AX262" s="13" t="s">
        <v>92</v>
      </c>
      <c r="AY262" s="15" t="s">
        <v>441</v>
      </c>
      <c r="AZ262" s="15" t="s">
        <v>95</v>
      </c>
      <c r="BA262" s="16" t="s">
        <v>1261</v>
      </c>
      <c r="BB262" s="8" t="s">
        <v>95</v>
      </c>
      <c r="BC262" s="15" t="s">
        <v>93</v>
      </c>
      <c r="BD262" s="13" t="s">
        <v>93</v>
      </c>
      <c r="BE262" s="13" t="s">
        <v>92</v>
      </c>
      <c r="BF262" s="13" t="s">
        <v>92</v>
      </c>
      <c r="BG262" s="13" t="s">
        <v>92</v>
      </c>
      <c r="BH262" s="13" t="s">
        <v>92</v>
      </c>
      <c r="BI262" s="13" t="s">
        <v>93</v>
      </c>
      <c r="BJ262" s="13" t="s">
        <v>92</v>
      </c>
      <c r="BK262" s="14" t="s">
        <v>105</v>
      </c>
      <c r="BL262" s="14" t="s">
        <v>105</v>
      </c>
      <c r="BM262" s="14" t="s">
        <v>105</v>
      </c>
      <c r="BN262" s="14" t="s">
        <v>105</v>
      </c>
      <c r="BO262" s="14" t="s">
        <v>105</v>
      </c>
      <c r="BP262" s="14" t="s">
        <v>105</v>
      </c>
      <c r="BQ262" s="15" t="s">
        <v>93</v>
      </c>
      <c r="BR262" s="15" t="s">
        <v>93</v>
      </c>
      <c r="BS262" s="15" t="s">
        <v>92</v>
      </c>
      <c r="BT262" s="15" t="s">
        <v>92</v>
      </c>
      <c r="BU262" s="15" t="s">
        <v>92</v>
      </c>
      <c r="BV262" s="15" t="s">
        <v>92</v>
      </c>
      <c r="BW262" s="15" t="s">
        <v>92</v>
      </c>
      <c r="BX262" s="15" t="s">
        <v>92</v>
      </c>
      <c r="BY262" s="15" t="s">
        <v>92</v>
      </c>
      <c r="BZ262" s="15" t="s">
        <v>92</v>
      </c>
      <c r="CA262" s="15" t="s">
        <v>92</v>
      </c>
      <c r="CB262" s="17" t="s">
        <v>129</v>
      </c>
      <c r="CC262" s="17" t="s">
        <v>1195</v>
      </c>
      <c r="CD262" s="18"/>
      <c r="CE262" s="18"/>
      <c r="CF262" s="18"/>
      <c r="CG262" s="18"/>
      <c r="CH262" s="18"/>
    </row>
    <row r="263">
      <c r="A263" s="8"/>
      <c r="B263" s="16" t="s">
        <v>1183</v>
      </c>
      <c r="C263" s="10" t="s">
        <v>1184</v>
      </c>
      <c r="D263" s="9" t="s">
        <v>87</v>
      </c>
      <c r="E263" s="11" t="s">
        <v>1262</v>
      </c>
      <c r="F263" s="12"/>
      <c r="G263" s="13" t="s">
        <v>1263</v>
      </c>
      <c r="H263" s="14" t="s">
        <v>90</v>
      </c>
      <c r="I263" s="13" t="s">
        <v>1264</v>
      </c>
      <c r="J263" s="13" t="s">
        <v>92</v>
      </c>
      <c r="K263" s="13" t="s">
        <v>92</v>
      </c>
      <c r="L263" s="13" t="s">
        <v>92</v>
      </c>
      <c r="M263" s="13" t="s">
        <v>92</v>
      </c>
      <c r="N263" s="14" t="s">
        <v>92</v>
      </c>
      <c r="O263" s="13" t="s">
        <v>92</v>
      </c>
      <c r="P263" s="13" t="s">
        <v>92</v>
      </c>
      <c r="Q263" s="13" t="s">
        <v>92</v>
      </c>
      <c r="R263" s="13" t="s">
        <v>92</v>
      </c>
      <c r="S263" s="13" t="s">
        <v>92</v>
      </c>
      <c r="T263" s="13" t="s">
        <v>92</v>
      </c>
      <c r="U263" s="13" t="s">
        <v>92</v>
      </c>
      <c r="V263" s="13" t="s">
        <v>92</v>
      </c>
      <c r="W263" s="13" t="s">
        <v>92</v>
      </c>
      <c r="X263" s="13" t="s">
        <v>92</v>
      </c>
      <c r="Y263" s="13" t="s">
        <v>92</v>
      </c>
      <c r="Z263" s="13" t="s">
        <v>93</v>
      </c>
      <c r="AA263" s="14" t="s">
        <v>92</v>
      </c>
      <c r="AB263" s="15" t="s">
        <v>92</v>
      </c>
      <c r="AC263" s="15" t="s">
        <v>93</v>
      </c>
      <c r="AD263" s="15" t="s">
        <v>92</v>
      </c>
      <c r="AE263" s="14" t="s">
        <v>112</v>
      </c>
      <c r="AF263" s="13" t="s">
        <v>92</v>
      </c>
      <c r="AG263" s="13" t="s">
        <v>95</v>
      </c>
      <c r="AH263" s="15">
        <v>2019.0</v>
      </c>
      <c r="AI263" s="13" t="s">
        <v>93</v>
      </c>
      <c r="AJ263" s="13" t="s">
        <v>93</v>
      </c>
      <c r="AK263" s="13" t="s">
        <v>93</v>
      </c>
      <c r="AL263" s="14" t="s">
        <v>93</v>
      </c>
      <c r="AM263" s="15" t="s">
        <v>95</v>
      </c>
      <c r="AN263" s="13" t="s">
        <v>114</v>
      </c>
      <c r="AO263" s="15" t="s">
        <v>93</v>
      </c>
      <c r="AP263" s="15" t="s">
        <v>92</v>
      </c>
      <c r="AQ263" s="13" t="s">
        <v>92</v>
      </c>
      <c r="AR263" s="13" t="s">
        <v>93</v>
      </c>
      <c r="AS263" s="13" t="s">
        <v>93</v>
      </c>
      <c r="AT263" s="13" t="s">
        <v>93</v>
      </c>
      <c r="AU263" s="13" t="s">
        <v>93</v>
      </c>
      <c r="AV263" s="13" t="s">
        <v>93</v>
      </c>
      <c r="AW263" s="13" t="s">
        <v>92</v>
      </c>
      <c r="AX263" s="13" t="s">
        <v>92</v>
      </c>
      <c r="AY263" s="15" t="s">
        <v>441</v>
      </c>
      <c r="AZ263" s="15" t="s">
        <v>95</v>
      </c>
      <c r="BA263" s="16" t="s">
        <v>1218</v>
      </c>
      <c r="BB263" s="8" t="s">
        <v>213</v>
      </c>
      <c r="BC263" s="15" t="s">
        <v>92</v>
      </c>
      <c r="BD263" s="13" t="s">
        <v>92</v>
      </c>
      <c r="BE263" s="13" t="s">
        <v>92</v>
      </c>
      <c r="BF263" s="13" t="s">
        <v>92</v>
      </c>
      <c r="BG263" s="13" t="s">
        <v>92</v>
      </c>
      <c r="BH263" s="13" t="s">
        <v>92</v>
      </c>
      <c r="BI263" s="13" t="s">
        <v>92</v>
      </c>
      <c r="BJ263" s="13" t="s">
        <v>92</v>
      </c>
      <c r="BK263" s="14" t="s">
        <v>105</v>
      </c>
      <c r="BL263" s="14" t="s">
        <v>105</v>
      </c>
      <c r="BM263" s="14" t="s">
        <v>105</v>
      </c>
      <c r="BN263" s="14" t="s">
        <v>105</v>
      </c>
      <c r="BO263" s="14" t="s">
        <v>105</v>
      </c>
      <c r="BP263" s="14" t="s">
        <v>105</v>
      </c>
      <c r="BQ263" s="15" t="s">
        <v>92</v>
      </c>
      <c r="BR263" s="15" t="s">
        <v>92</v>
      </c>
      <c r="BS263" s="15" t="s">
        <v>92</v>
      </c>
      <c r="BT263" s="15" t="s">
        <v>93</v>
      </c>
      <c r="BU263" s="15" t="s">
        <v>92</v>
      </c>
      <c r="BV263" s="15" t="s">
        <v>93</v>
      </c>
      <c r="BW263" s="15" t="s">
        <v>92</v>
      </c>
      <c r="BX263" s="15" t="s">
        <v>92</v>
      </c>
      <c r="BY263" s="15" t="s">
        <v>92</v>
      </c>
      <c r="BZ263" s="8" t="s">
        <v>93</v>
      </c>
      <c r="CA263" s="15" t="s">
        <v>92</v>
      </c>
      <c r="CB263" s="17" t="s">
        <v>129</v>
      </c>
      <c r="CC263" s="17" t="s">
        <v>1195</v>
      </c>
      <c r="CD263" s="18"/>
      <c r="CE263" s="18"/>
      <c r="CF263" s="18"/>
      <c r="CG263" s="18"/>
      <c r="CH263" s="18"/>
    </row>
    <row r="264">
      <c r="A264" s="8"/>
      <c r="B264" s="16" t="s">
        <v>1183</v>
      </c>
      <c r="C264" s="10" t="s">
        <v>1184</v>
      </c>
      <c r="D264" s="9" t="s">
        <v>87</v>
      </c>
      <c r="E264" s="11" t="s">
        <v>1265</v>
      </c>
      <c r="F264" s="12"/>
      <c r="G264" s="13" t="s">
        <v>1266</v>
      </c>
      <c r="H264" s="14" t="s">
        <v>90</v>
      </c>
      <c r="I264" s="13" t="s">
        <v>1267</v>
      </c>
      <c r="J264" s="13" t="s">
        <v>92</v>
      </c>
      <c r="K264" s="13" t="s">
        <v>92</v>
      </c>
      <c r="L264" s="13" t="s">
        <v>92</v>
      </c>
      <c r="M264" s="13" t="s">
        <v>92</v>
      </c>
      <c r="N264" s="14" t="s">
        <v>92</v>
      </c>
      <c r="O264" s="14" t="s">
        <v>92</v>
      </c>
      <c r="P264" s="14" t="s">
        <v>92</v>
      </c>
      <c r="Q264" s="13" t="s">
        <v>93</v>
      </c>
      <c r="R264" s="13" t="s">
        <v>92</v>
      </c>
      <c r="S264" s="13" t="s">
        <v>93</v>
      </c>
      <c r="T264" s="13" t="s">
        <v>93</v>
      </c>
      <c r="U264" s="13" t="s">
        <v>92</v>
      </c>
      <c r="V264" s="13" t="s">
        <v>92</v>
      </c>
      <c r="W264" s="13" t="s">
        <v>92</v>
      </c>
      <c r="X264" s="13" t="s">
        <v>92</v>
      </c>
      <c r="Y264" s="13" t="s">
        <v>92</v>
      </c>
      <c r="Z264" s="13" t="s">
        <v>93</v>
      </c>
      <c r="AA264" s="14" t="s">
        <v>92</v>
      </c>
      <c r="AB264" s="15" t="s">
        <v>93</v>
      </c>
      <c r="AC264" s="15" t="s">
        <v>93</v>
      </c>
      <c r="AD264" s="8" t="s">
        <v>92</v>
      </c>
      <c r="AE264" s="14" t="s">
        <v>287</v>
      </c>
      <c r="AF264" s="13" t="s">
        <v>92</v>
      </c>
      <c r="AG264" s="13" t="s">
        <v>95</v>
      </c>
      <c r="AH264" s="8" t="s">
        <v>105</v>
      </c>
      <c r="AI264" s="13" t="s">
        <v>92</v>
      </c>
      <c r="AJ264" s="13" t="s">
        <v>93</v>
      </c>
      <c r="AK264" s="13" t="s">
        <v>92</v>
      </c>
      <c r="AL264" s="14" t="s">
        <v>93</v>
      </c>
      <c r="AM264" s="8" t="s">
        <v>95</v>
      </c>
      <c r="AN264" s="14" t="s">
        <v>114</v>
      </c>
      <c r="AO264" s="8" t="s">
        <v>93</v>
      </c>
      <c r="AP264" s="15" t="s">
        <v>92</v>
      </c>
      <c r="AQ264" s="13" t="s">
        <v>92</v>
      </c>
      <c r="AR264" s="13" t="s">
        <v>93</v>
      </c>
      <c r="AS264" s="13" t="s">
        <v>93</v>
      </c>
      <c r="AT264" s="13" t="s">
        <v>93</v>
      </c>
      <c r="AU264" s="13" t="s">
        <v>93</v>
      </c>
      <c r="AV264" s="13" t="s">
        <v>93</v>
      </c>
      <c r="AW264" s="13" t="s">
        <v>92</v>
      </c>
      <c r="AX264" s="13" t="s">
        <v>92</v>
      </c>
      <c r="AY264" s="15" t="s">
        <v>441</v>
      </c>
      <c r="AZ264" s="15" t="s">
        <v>95</v>
      </c>
      <c r="BA264" s="16" t="s">
        <v>1218</v>
      </c>
      <c r="BB264" s="8" t="s">
        <v>213</v>
      </c>
      <c r="BC264" s="15" t="s">
        <v>92</v>
      </c>
      <c r="BD264" s="14" t="s">
        <v>93</v>
      </c>
      <c r="BE264" s="13" t="s">
        <v>92</v>
      </c>
      <c r="BF264" s="13" t="s">
        <v>92</v>
      </c>
      <c r="BG264" s="13" t="s">
        <v>92</v>
      </c>
      <c r="BH264" s="13" t="s">
        <v>92</v>
      </c>
      <c r="BI264" s="13" t="s">
        <v>93</v>
      </c>
      <c r="BJ264" s="13" t="s">
        <v>92</v>
      </c>
      <c r="BK264" s="14" t="s">
        <v>105</v>
      </c>
      <c r="BL264" s="14" t="s">
        <v>105</v>
      </c>
      <c r="BM264" s="14" t="s">
        <v>105</v>
      </c>
      <c r="BN264" s="14" t="s">
        <v>105</v>
      </c>
      <c r="BO264" s="14" t="s">
        <v>105</v>
      </c>
      <c r="BP264" s="14" t="s">
        <v>105</v>
      </c>
      <c r="BQ264" s="15" t="s">
        <v>92</v>
      </c>
      <c r="BR264" s="15" t="s">
        <v>93</v>
      </c>
      <c r="BS264" s="15" t="s">
        <v>93</v>
      </c>
      <c r="BT264" s="15" t="s">
        <v>93</v>
      </c>
      <c r="BU264" s="15" t="s">
        <v>92</v>
      </c>
      <c r="BV264" s="15" t="s">
        <v>92</v>
      </c>
      <c r="BW264" s="15" t="s">
        <v>92</v>
      </c>
      <c r="BX264" s="15" t="s">
        <v>92</v>
      </c>
      <c r="BY264" s="15" t="s">
        <v>92</v>
      </c>
      <c r="BZ264" s="8" t="s">
        <v>93</v>
      </c>
      <c r="CA264" s="15" t="s">
        <v>92</v>
      </c>
      <c r="CB264" s="17" t="s">
        <v>129</v>
      </c>
      <c r="CC264" s="17"/>
      <c r="CD264" s="18"/>
      <c r="CE264" s="18"/>
      <c r="CF264" s="18"/>
      <c r="CG264" s="18"/>
      <c r="CH264" s="18"/>
    </row>
    <row r="265">
      <c r="A265" s="8"/>
      <c r="B265" s="16" t="s">
        <v>1183</v>
      </c>
      <c r="C265" s="10" t="s">
        <v>1184</v>
      </c>
      <c r="D265" s="9" t="s">
        <v>87</v>
      </c>
      <c r="E265" s="11" t="s">
        <v>1268</v>
      </c>
      <c r="F265" s="12"/>
      <c r="G265" s="13" t="s">
        <v>1269</v>
      </c>
      <c r="H265" s="13" t="s">
        <v>90</v>
      </c>
      <c r="I265" s="13" t="s">
        <v>1270</v>
      </c>
      <c r="J265" s="13" t="s">
        <v>92</v>
      </c>
      <c r="K265" s="13" t="s">
        <v>92</v>
      </c>
      <c r="L265" s="13" t="s">
        <v>92</v>
      </c>
      <c r="M265" s="13" t="s">
        <v>92</v>
      </c>
      <c r="N265" s="14" t="s">
        <v>92</v>
      </c>
      <c r="O265" s="14" t="s">
        <v>92</v>
      </c>
      <c r="P265" s="14" t="s">
        <v>93</v>
      </c>
      <c r="Q265" s="14" t="s">
        <v>93</v>
      </c>
      <c r="R265" s="14" t="s">
        <v>93</v>
      </c>
      <c r="S265" s="14" t="s">
        <v>92</v>
      </c>
      <c r="T265" s="14" t="s">
        <v>93</v>
      </c>
      <c r="U265" s="14" t="s">
        <v>93</v>
      </c>
      <c r="V265" s="14" t="s">
        <v>92</v>
      </c>
      <c r="W265" s="14" t="s">
        <v>92</v>
      </c>
      <c r="X265" s="14" t="s">
        <v>92</v>
      </c>
      <c r="Y265" s="14" t="s">
        <v>92</v>
      </c>
      <c r="Z265" s="14" t="s">
        <v>92</v>
      </c>
      <c r="AA265" s="14" t="s">
        <v>92</v>
      </c>
      <c r="AB265" s="8" t="s">
        <v>93</v>
      </c>
      <c r="AC265" s="8" t="s">
        <v>92</v>
      </c>
      <c r="AD265" s="8" t="s">
        <v>92</v>
      </c>
      <c r="AE265" s="14" t="s">
        <v>148</v>
      </c>
      <c r="AF265" s="14" t="s">
        <v>92</v>
      </c>
      <c r="AG265" s="13" t="s">
        <v>95</v>
      </c>
      <c r="AH265" s="8">
        <v>2022.0</v>
      </c>
      <c r="AI265" s="14" t="s">
        <v>92</v>
      </c>
      <c r="AJ265" s="14" t="s">
        <v>92</v>
      </c>
      <c r="AK265" s="14" t="s">
        <v>93</v>
      </c>
      <c r="AL265" s="14" t="s">
        <v>92</v>
      </c>
      <c r="AM265" s="8" t="s">
        <v>105</v>
      </c>
      <c r="AN265" s="14" t="s">
        <v>105</v>
      </c>
      <c r="AO265" s="8" t="s">
        <v>105</v>
      </c>
      <c r="AP265" s="8" t="s">
        <v>92</v>
      </c>
      <c r="AQ265" s="13" t="s">
        <v>92</v>
      </c>
      <c r="AR265" s="13" t="s">
        <v>93</v>
      </c>
      <c r="AS265" s="13" t="s">
        <v>93</v>
      </c>
      <c r="AT265" s="13" t="s">
        <v>93</v>
      </c>
      <c r="AU265" s="13" t="s">
        <v>93</v>
      </c>
      <c r="AV265" s="13" t="s">
        <v>93</v>
      </c>
      <c r="AW265" s="13" t="s">
        <v>92</v>
      </c>
      <c r="AX265" s="13" t="s">
        <v>92</v>
      </c>
      <c r="AY265" s="15" t="s">
        <v>441</v>
      </c>
      <c r="AZ265" s="15" t="s">
        <v>95</v>
      </c>
      <c r="BA265" s="9" t="s">
        <v>1271</v>
      </c>
      <c r="BB265" s="8" t="s">
        <v>95</v>
      </c>
      <c r="BC265" s="8" t="s">
        <v>93</v>
      </c>
      <c r="BD265" s="14" t="s">
        <v>92</v>
      </c>
      <c r="BE265" s="14" t="s">
        <v>92</v>
      </c>
      <c r="BF265" s="14" t="s">
        <v>92</v>
      </c>
      <c r="BG265" s="14" t="s">
        <v>92</v>
      </c>
      <c r="BH265" s="14" t="s">
        <v>92</v>
      </c>
      <c r="BI265" s="14" t="s">
        <v>93</v>
      </c>
      <c r="BJ265" s="14" t="s">
        <v>92</v>
      </c>
      <c r="BK265" s="14" t="s">
        <v>105</v>
      </c>
      <c r="BL265" s="14" t="s">
        <v>105</v>
      </c>
      <c r="BM265" s="14" t="s">
        <v>105</v>
      </c>
      <c r="BN265" s="14" t="s">
        <v>105</v>
      </c>
      <c r="BO265" s="14" t="s">
        <v>105</v>
      </c>
      <c r="BP265" s="14" t="s">
        <v>105</v>
      </c>
      <c r="BQ265" s="8" t="s">
        <v>93</v>
      </c>
      <c r="BR265" s="15" t="s">
        <v>93</v>
      </c>
      <c r="BS265" s="8" t="s">
        <v>92</v>
      </c>
      <c r="BT265" s="8" t="s">
        <v>92</v>
      </c>
      <c r="BU265" s="8" t="s">
        <v>92</v>
      </c>
      <c r="BV265" s="8" t="s">
        <v>92</v>
      </c>
      <c r="BW265" s="8" t="s">
        <v>92</v>
      </c>
      <c r="BX265" s="8" t="s">
        <v>92</v>
      </c>
      <c r="BY265" s="8" t="s">
        <v>92</v>
      </c>
      <c r="BZ265" s="8" t="s">
        <v>92</v>
      </c>
      <c r="CA265" s="8" t="s">
        <v>92</v>
      </c>
      <c r="CB265" s="17" t="s">
        <v>1195</v>
      </c>
      <c r="CC265" s="17"/>
      <c r="CD265" s="18"/>
      <c r="CE265" s="18"/>
      <c r="CF265" s="18"/>
      <c r="CG265" s="18"/>
      <c r="CH265" s="18"/>
    </row>
    <row r="266">
      <c r="A266" s="8"/>
      <c r="B266" s="16" t="s">
        <v>1183</v>
      </c>
      <c r="C266" s="10" t="s">
        <v>1184</v>
      </c>
      <c r="D266" s="9" t="s">
        <v>87</v>
      </c>
      <c r="E266" s="11" t="s">
        <v>1272</v>
      </c>
      <c r="F266" s="12"/>
      <c r="G266" s="57" t="s">
        <v>1273</v>
      </c>
      <c r="H266" s="13" t="s">
        <v>189</v>
      </c>
      <c r="I266" s="13" t="s">
        <v>1274</v>
      </c>
      <c r="J266" s="13" t="s">
        <v>92</v>
      </c>
      <c r="K266" s="13" t="s">
        <v>92</v>
      </c>
      <c r="L266" s="13" t="s">
        <v>92</v>
      </c>
      <c r="M266" s="13" t="s">
        <v>93</v>
      </c>
      <c r="N266" s="14" t="s">
        <v>92</v>
      </c>
      <c r="O266" s="13" t="s">
        <v>92</v>
      </c>
      <c r="P266" s="13" t="s">
        <v>92</v>
      </c>
      <c r="Q266" s="13" t="s">
        <v>93</v>
      </c>
      <c r="R266" s="13" t="s">
        <v>92</v>
      </c>
      <c r="S266" s="13" t="s">
        <v>92</v>
      </c>
      <c r="T266" s="13" t="s">
        <v>92</v>
      </c>
      <c r="U266" s="13" t="s">
        <v>93</v>
      </c>
      <c r="V266" s="13" t="s">
        <v>92</v>
      </c>
      <c r="W266" s="13" t="s">
        <v>92</v>
      </c>
      <c r="X266" s="13" t="s">
        <v>92</v>
      </c>
      <c r="Y266" s="13" t="s">
        <v>92</v>
      </c>
      <c r="Z266" s="13" t="s">
        <v>92</v>
      </c>
      <c r="AA266" s="14" t="s">
        <v>92</v>
      </c>
      <c r="AB266" s="15" t="s">
        <v>93</v>
      </c>
      <c r="AC266" s="15" t="s">
        <v>92</v>
      </c>
      <c r="AD266" s="15" t="s">
        <v>92</v>
      </c>
      <c r="AE266" s="13" t="s">
        <v>94</v>
      </c>
      <c r="AF266" s="13" t="s">
        <v>92</v>
      </c>
      <c r="AG266" s="13" t="s">
        <v>95</v>
      </c>
      <c r="AH266" s="8" t="s">
        <v>105</v>
      </c>
      <c r="AI266" s="13" t="s">
        <v>92</v>
      </c>
      <c r="AJ266" s="13" t="s">
        <v>92</v>
      </c>
      <c r="AK266" s="13" t="s">
        <v>93</v>
      </c>
      <c r="AL266" s="14" t="s">
        <v>92</v>
      </c>
      <c r="AM266" s="8" t="s">
        <v>105</v>
      </c>
      <c r="AN266" s="14" t="s">
        <v>105</v>
      </c>
      <c r="AO266" s="8" t="s">
        <v>105</v>
      </c>
      <c r="AP266" s="15" t="s">
        <v>92</v>
      </c>
      <c r="AQ266" s="13" t="s">
        <v>92</v>
      </c>
      <c r="AR266" s="13" t="s">
        <v>93</v>
      </c>
      <c r="AS266" s="13" t="s">
        <v>93</v>
      </c>
      <c r="AT266" s="13" t="s">
        <v>93</v>
      </c>
      <c r="AU266" s="13" t="s">
        <v>93</v>
      </c>
      <c r="AV266" s="13" t="s">
        <v>93</v>
      </c>
      <c r="AW266" s="13" t="s">
        <v>92</v>
      </c>
      <c r="AX266" s="13" t="s">
        <v>92</v>
      </c>
      <c r="AY266" s="15" t="s">
        <v>441</v>
      </c>
      <c r="AZ266" s="15" t="s">
        <v>95</v>
      </c>
      <c r="BA266" s="16" t="s">
        <v>1218</v>
      </c>
      <c r="BB266" s="8" t="s">
        <v>213</v>
      </c>
      <c r="BC266" s="15" t="s">
        <v>92</v>
      </c>
      <c r="BD266" s="13" t="s">
        <v>92</v>
      </c>
      <c r="BE266" s="13" t="s">
        <v>92</v>
      </c>
      <c r="BF266" s="13" t="s">
        <v>92</v>
      </c>
      <c r="BG266" s="13" t="s">
        <v>92</v>
      </c>
      <c r="BH266" s="13" t="s">
        <v>92</v>
      </c>
      <c r="BI266" s="13" t="s">
        <v>93</v>
      </c>
      <c r="BJ266" s="13" t="s">
        <v>92</v>
      </c>
      <c r="BK266" s="14" t="s">
        <v>1254</v>
      </c>
      <c r="BL266" s="13" t="s">
        <v>93</v>
      </c>
      <c r="BM266" s="13" t="s">
        <v>93</v>
      </c>
      <c r="BN266" s="13" t="s">
        <v>93</v>
      </c>
      <c r="BO266" s="13" t="s">
        <v>93</v>
      </c>
      <c r="BP266" s="13" t="s">
        <v>93</v>
      </c>
      <c r="BQ266" s="15" t="s">
        <v>93</v>
      </c>
      <c r="BR266" s="15" t="s">
        <v>92</v>
      </c>
      <c r="BS266" s="15" t="s">
        <v>92</v>
      </c>
      <c r="BT266" s="15" t="s">
        <v>92</v>
      </c>
      <c r="BU266" s="15" t="s">
        <v>92</v>
      </c>
      <c r="BV266" s="15" t="s">
        <v>92</v>
      </c>
      <c r="BW266" s="15" t="s">
        <v>92</v>
      </c>
      <c r="BX266" s="15" t="s">
        <v>92</v>
      </c>
      <c r="BY266" s="15" t="s">
        <v>92</v>
      </c>
      <c r="BZ266" s="15" t="s">
        <v>92</v>
      </c>
      <c r="CA266" s="15" t="s">
        <v>92</v>
      </c>
      <c r="CB266" s="17" t="s">
        <v>1195</v>
      </c>
      <c r="CC266" s="17"/>
      <c r="CD266" s="18"/>
      <c r="CE266" s="18"/>
      <c r="CF266" s="18"/>
      <c r="CG266" s="18"/>
      <c r="CH266" s="18"/>
    </row>
    <row r="267">
      <c r="A267" s="8"/>
      <c r="B267" s="16" t="s">
        <v>1183</v>
      </c>
      <c r="C267" s="10" t="s">
        <v>1184</v>
      </c>
      <c r="D267" s="9" t="s">
        <v>87</v>
      </c>
      <c r="E267" s="11" t="s">
        <v>1275</v>
      </c>
      <c r="F267" s="12"/>
      <c r="G267" s="13" t="s">
        <v>1276</v>
      </c>
      <c r="H267" s="13" t="s">
        <v>90</v>
      </c>
      <c r="I267" s="13" t="s">
        <v>1277</v>
      </c>
      <c r="J267" s="13" t="s">
        <v>92</v>
      </c>
      <c r="K267" s="13" t="s">
        <v>92</v>
      </c>
      <c r="L267" s="13" t="s">
        <v>93</v>
      </c>
      <c r="M267" s="13" t="s">
        <v>92</v>
      </c>
      <c r="N267" s="14" t="s">
        <v>92</v>
      </c>
      <c r="O267" s="13" t="s">
        <v>92</v>
      </c>
      <c r="P267" s="13" t="s">
        <v>92</v>
      </c>
      <c r="Q267" s="13" t="s">
        <v>92</v>
      </c>
      <c r="R267" s="13" t="s">
        <v>92</v>
      </c>
      <c r="S267" s="13" t="s">
        <v>92</v>
      </c>
      <c r="T267" s="13" t="s">
        <v>92</v>
      </c>
      <c r="U267" s="13" t="s">
        <v>92</v>
      </c>
      <c r="V267" s="13" t="s">
        <v>92</v>
      </c>
      <c r="W267" s="13" t="s">
        <v>92</v>
      </c>
      <c r="X267" s="13" t="s">
        <v>92</v>
      </c>
      <c r="Y267" s="13" t="s">
        <v>92</v>
      </c>
      <c r="Z267" s="13" t="s">
        <v>93</v>
      </c>
      <c r="AA267" s="14" t="s">
        <v>92</v>
      </c>
      <c r="AB267" s="8" t="s">
        <v>93</v>
      </c>
      <c r="AC267" s="15" t="s">
        <v>93</v>
      </c>
      <c r="AD267" s="8" t="s">
        <v>93</v>
      </c>
      <c r="AE267" s="14" t="s">
        <v>112</v>
      </c>
      <c r="AF267" s="13" t="s">
        <v>92</v>
      </c>
      <c r="AG267" s="13" t="s">
        <v>95</v>
      </c>
      <c r="AH267" s="8" t="s">
        <v>105</v>
      </c>
      <c r="AI267" s="13" t="s">
        <v>92</v>
      </c>
      <c r="AJ267" s="13" t="s">
        <v>92</v>
      </c>
      <c r="AK267" s="13" t="s">
        <v>93</v>
      </c>
      <c r="AL267" s="14" t="s">
        <v>93</v>
      </c>
      <c r="AM267" s="8" t="s">
        <v>95</v>
      </c>
      <c r="AN267" s="14" t="s">
        <v>114</v>
      </c>
      <c r="AO267" s="8" t="s">
        <v>93</v>
      </c>
      <c r="AP267" s="15" t="s">
        <v>92</v>
      </c>
      <c r="AQ267" s="13" t="s">
        <v>92</v>
      </c>
      <c r="AR267" s="13" t="s">
        <v>93</v>
      </c>
      <c r="AS267" s="13" t="s">
        <v>93</v>
      </c>
      <c r="AT267" s="13" t="s">
        <v>93</v>
      </c>
      <c r="AU267" s="13" t="s">
        <v>93</v>
      </c>
      <c r="AV267" s="13" t="s">
        <v>93</v>
      </c>
      <c r="AW267" s="13" t="s">
        <v>92</v>
      </c>
      <c r="AX267" s="13" t="s">
        <v>92</v>
      </c>
      <c r="AY267" s="15" t="s">
        <v>441</v>
      </c>
      <c r="AZ267" s="15" t="s">
        <v>95</v>
      </c>
      <c r="BA267" s="16" t="s">
        <v>1218</v>
      </c>
      <c r="BB267" s="8" t="s">
        <v>213</v>
      </c>
      <c r="BC267" s="15" t="s">
        <v>92</v>
      </c>
      <c r="BD267" s="13" t="s">
        <v>92</v>
      </c>
      <c r="BE267" s="13" t="s">
        <v>92</v>
      </c>
      <c r="BF267" s="13" t="s">
        <v>92</v>
      </c>
      <c r="BG267" s="13" t="s">
        <v>92</v>
      </c>
      <c r="BH267" s="13" t="s">
        <v>92</v>
      </c>
      <c r="BI267" s="13" t="s">
        <v>93</v>
      </c>
      <c r="BJ267" s="13" t="s">
        <v>92</v>
      </c>
      <c r="BK267" s="14" t="s">
        <v>105</v>
      </c>
      <c r="BL267" s="14" t="s">
        <v>105</v>
      </c>
      <c r="BM267" s="14" t="s">
        <v>105</v>
      </c>
      <c r="BN267" s="14" t="s">
        <v>105</v>
      </c>
      <c r="BO267" s="14" t="s">
        <v>105</v>
      </c>
      <c r="BP267" s="14" t="s">
        <v>105</v>
      </c>
      <c r="BQ267" s="15" t="s">
        <v>92</v>
      </c>
      <c r="BR267" s="15" t="s">
        <v>92</v>
      </c>
      <c r="BS267" s="15" t="s">
        <v>92</v>
      </c>
      <c r="BT267" s="15" t="s">
        <v>93</v>
      </c>
      <c r="BU267" s="15" t="s">
        <v>92</v>
      </c>
      <c r="BV267" s="15" t="s">
        <v>92</v>
      </c>
      <c r="BW267" s="15" t="s">
        <v>92</v>
      </c>
      <c r="BX267" s="15" t="s">
        <v>92</v>
      </c>
      <c r="BY267" s="15" t="s">
        <v>92</v>
      </c>
      <c r="BZ267" s="15" t="s">
        <v>93</v>
      </c>
      <c r="CA267" s="15" t="s">
        <v>92</v>
      </c>
      <c r="CB267" s="17" t="s">
        <v>1195</v>
      </c>
      <c r="CC267" s="17"/>
      <c r="CD267" s="18"/>
      <c r="CE267" s="18"/>
      <c r="CF267" s="18"/>
      <c r="CG267" s="18"/>
      <c r="CH267" s="18"/>
    </row>
    <row r="268">
      <c r="A268" s="8"/>
      <c r="B268" s="16" t="s">
        <v>1183</v>
      </c>
      <c r="C268" s="10" t="s">
        <v>1184</v>
      </c>
      <c r="D268" s="9" t="s">
        <v>87</v>
      </c>
      <c r="E268" s="11" t="s">
        <v>1278</v>
      </c>
      <c r="F268" s="12"/>
      <c r="G268" s="13" t="s">
        <v>1279</v>
      </c>
      <c r="H268" s="13" t="s">
        <v>90</v>
      </c>
      <c r="I268" s="13" t="s">
        <v>1280</v>
      </c>
      <c r="J268" s="13" t="s">
        <v>92</v>
      </c>
      <c r="K268" s="13" t="s">
        <v>92</v>
      </c>
      <c r="L268" s="13" t="s">
        <v>93</v>
      </c>
      <c r="M268" s="13" t="s">
        <v>92</v>
      </c>
      <c r="N268" s="14" t="s">
        <v>93</v>
      </c>
      <c r="O268" s="13" t="s">
        <v>92</v>
      </c>
      <c r="P268" s="13" t="s">
        <v>92</v>
      </c>
      <c r="Q268" s="13" t="s">
        <v>92</v>
      </c>
      <c r="R268" s="13" t="s">
        <v>92</v>
      </c>
      <c r="S268" s="14" t="s">
        <v>93</v>
      </c>
      <c r="T268" s="13" t="s">
        <v>92</v>
      </c>
      <c r="U268" s="13" t="s">
        <v>92</v>
      </c>
      <c r="V268" s="13" t="s">
        <v>92</v>
      </c>
      <c r="W268" s="13" t="s">
        <v>92</v>
      </c>
      <c r="X268" s="13" t="s">
        <v>92</v>
      </c>
      <c r="Y268" s="13" t="s">
        <v>92</v>
      </c>
      <c r="Z268" s="13" t="s">
        <v>93</v>
      </c>
      <c r="AA268" s="14" t="s">
        <v>92</v>
      </c>
      <c r="AB268" s="8" t="s">
        <v>93</v>
      </c>
      <c r="AC268" s="15" t="s">
        <v>93</v>
      </c>
      <c r="AD268" s="8" t="s">
        <v>92</v>
      </c>
      <c r="AE268" s="14" t="s">
        <v>112</v>
      </c>
      <c r="AF268" s="13" t="s">
        <v>93</v>
      </c>
      <c r="AG268" s="13" t="s">
        <v>1281</v>
      </c>
      <c r="AH268" s="15">
        <v>2022.0</v>
      </c>
      <c r="AI268" s="13" t="s">
        <v>92</v>
      </c>
      <c r="AJ268" s="13" t="s">
        <v>92</v>
      </c>
      <c r="AK268" s="13" t="s">
        <v>93</v>
      </c>
      <c r="AL268" s="14" t="s">
        <v>93</v>
      </c>
      <c r="AM268" s="8" t="s">
        <v>95</v>
      </c>
      <c r="AN268" s="14" t="s">
        <v>114</v>
      </c>
      <c r="AO268" s="8" t="s">
        <v>93</v>
      </c>
      <c r="AP268" s="15" t="s">
        <v>92</v>
      </c>
      <c r="AQ268" s="13" t="s">
        <v>92</v>
      </c>
      <c r="AR268" s="13" t="s">
        <v>93</v>
      </c>
      <c r="AS268" s="13" t="s">
        <v>93</v>
      </c>
      <c r="AT268" s="13" t="s">
        <v>93</v>
      </c>
      <c r="AU268" s="13" t="s">
        <v>93</v>
      </c>
      <c r="AV268" s="13" t="s">
        <v>93</v>
      </c>
      <c r="AW268" s="13" t="s">
        <v>92</v>
      </c>
      <c r="AX268" s="13" t="s">
        <v>92</v>
      </c>
      <c r="AY268" s="15" t="s">
        <v>441</v>
      </c>
      <c r="AZ268" s="15" t="s">
        <v>95</v>
      </c>
      <c r="BA268" s="16" t="s">
        <v>1218</v>
      </c>
      <c r="BB268" s="8" t="s">
        <v>213</v>
      </c>
      <c r="BC268" s="15" t="s">
        <v>92</v>
      </c>
      <c r="BD268" s="14" t="s">
        <v>93</v>
      </c>
      <c r="BE268" s="13" t="s">
        <v>92</v>
      </c>
      <c r="BF268" s="13" t="s">
        <v>92</v>
      </c>
      <c r="BG268" s="13" t="s">
        <v>92</v>
      </c>
      <c r="BH268" s="13" t="s">
        <v>92</v>
      </c>
      <c r="BI268" s="14" t="s">
        <v>92</v>
      </c>
      <c r="BJ268" s="13" t="s">
        <v>92</v>
      </c>
      <c r="BK268" s="14" t="s">
        <v>105</v>
      </c>
      <c r="BL268" s="14" t="s">
        <v>105</v>
      </c>
      <c r="BM268" s="14" t="s">
        <v>105</v>
      </c>
      <c r="BN268" s="14" t="s">
        <v>105</v>
      </c>
      <c r="BO268" s="14" t="s">
        <v>105</v>
      </c>
      <c r="BP268" s="14" t="s">
        <v>105</v>
      </c>
      <c r="BQ268" s="15" t="s">
        <v>92</v>
      </c>
      <c r="BR268" s="15" t="s">
        <v>92</v>
      </c>
      <c r="BS268" s="15" t="s">
        <v>92</v>
      </c>
      <c r="BT268" s="15" t="s">
        <v>93</v>
      </c>
      <c r="BU268" s="15" t="s">
        <v>92</v>
      </c>
      <c r="BV268" s="15" t="s">
        <v>92</v>
      </c>
      <c r="BW268" s="15" t="s">
        <v>92</v>
      </c>
      <c r="BX268" s="15" t="s">
        <v>92</v>
      </c>
      <c r="BY268" s="15" t="s">
        <v>92</v>
      </c>
      <c r="BZ268" s="15" t="s">
        <v>93</v>
      </c>
      <c r="CA268" s="15" t="s">
        <v>92</v>
      </c>
      <c r="CB268" s="17" t="s">
        <v>1195</v>
      </c>
      <c r="CC268" s="17"/>
      <c r="CD268" s="18"/>
      <c r="CE268" s="18"/>
      <c r="CF268" s="18"/>
      <c r="CG268" s="18"/>
      <c r="CH268" s="18"/>
    </row>
    <row r="269">
      <c r="A269" s="8"/>
      <c r="B269" s="9" t="s">
        <v>1183</v>
      </c>
      <c r="C269" s="10" t="s">
        <v>1184</v>
      </c>
      <c r="D269" s="9" t="s">
        <v>87</v>
      </c>
      <c r="E269" s="11" t="s">
        <v>1282</v>
      </c>
      <c r="F269" s="12"/>
      <c r="G269" s="14" t="s">
        <v>1283</v>
      </c>
      <c r="H269" s="14" t="s">
        <v>90</v>
      </c>
      <c r="I269" s="14" t="s">
        <v>1284</v>
      </c>
      <c r="J269" s="14" t="s">
        <v>92</v>
      </c>
      <c r="K269" s="14" t="s">
        <v>92</v>
      </c>
      <c r="L269" s="14" t="s">
        <v>93</v>
      </c>
      <c r="M269" s="14" t="s">
        <v>92</v>
      </c>
      <c r="N269" s="14" t="s">
        <v>92</v>
      </c>
      <c r="O269" s="14" t="s">
        <v>93</v>
      </c>
      <c r="P269" s="14" t="s">
        <v>92</v>
      </c>
      <c r="Q269" s="14" t="s">
        <v>93</v>
      </c>
      <c r="R269" s="14" t="s">
        <v>93</v>
      </c>
      <c r="S269" s="14" t="s">
        <v>92</v>
      </c>
      <c r="T269" s="14" t="s">
        <v>93</v>
      </c>
      <c r="U269" s="14" t="s">
        <v>93</v>
      </c>
      <c r="V269" s="14" t="s">
        <v>92</v>
      </c>
      <c r="W269" s="14" t="s">
        <v>92</v>
      </c>
      <c r="X269" s="14" t="s">
        <v>92</v>
      </c>
      <c r="Y269" s="14" t="s">
        <v>92</v>
      </c>
      <c r="Z269" s="14" t="s">
        <v>92</v>
      </c>
      <c r="AA269" s="14" t="s">
        <v>93</v>
      </c>
      <c r="AB269" s="8" t="s">
        <v>93</v>
      </c>
      <c r="AC269" s="8" t="s">
        <v>92</v>
      </c>
      <c r="AD269" s="8" t="s">
        <v>92</v>
      </c>
      <c r="AE269" s="14" t="s">
        <v>287</v>
      </c>
      <c r="AF269" s="14" t="s">
        <v>92</v>
      </c>
      <c r="AG269" s="14" t="s">
        <v>95</v>
      </c>
      <c r="AH269" s="8">
        <v>2021.0</v>
      </c>
      <c r="AI269" s="14" t="s">
        <v>92</v>
      </c>
      <c r="AJ269" s="14" t="s">
        <v>93</v>
      </c>
      <c r="AK269" s="14" t="s">
        <v>93</v>
      </c>
      <c r="AL269" s="14" t="s">
        <v>93</v>
      </c>
      <c r="AM269" s="8" t="s">
        <v>95</v>
      </c>
      <c r="AN269" s="14" t="s">
        <v>114</v>
      </c>
      <c r="AO269" s="8" t="s">
        <v>93</v>
      </c>
      <c r="AP269" s="8" t="s">
        <v>92</v>
      </c>
      <c r="AQ269" s="14" t="s">
        <v>92</v>
      </c>
      <c r="AR269" s="14" t="s">
        <v>93</v>
      </c>
      <c r="AS269" s="14" t="s">
        <v>93</v>
      </c>
      <c r="AT269" s="14" t="s">
        <v>93</v>
      </c>
      <c r="AU269" s="14" t="s">
        <v>93</v>
      </c>
      <c r="AV269" s="14" t="s">
        <v>93</v>
      </c>
      <c r="AW269" s="13" t="s">
        <v>92</v>
      </c>
      <c r="AX269" s="14" t="s">
        <v>92</v>
      </c>
      <c r="AY269" s="8" t="s">
        <v>95</v>
      </c>
      <c r="AZ269" s="8" t="s">
        <v>95</v>
      </c>
      <c r="BA269" s="9" t="s">
        <v>1285</v>
      </c>
      <c r="BB269" s="8" t="s">
        <v>213</v>
      </c>
      <c r="BC269" s="8" t="s">
        <v>92</v>
      </c>
      <c r="BD269" s="14" t="s">
        <v>93</v>
      </c>
      <c r="BE269" s="14" t="s">
        <v>92</v>
      </c>
      <c r="BF269" s="14" t="s">
        <v>92</v>
      </c>
      <c r="BG269" s="14" t="s">
        <v>92</v>
      </c>
      <c r="BH269" s="14" t="s">
        <v>92</v>
      </c>
      <c r="BI269" s="14" t="s">
        <v>93</v>
      </c>
      <c r="BJ269" s="14" t="s">
        <v>92</v>
      </c>
      <c r="BK269" s="14" t="s">
        <v>105</v>
      </c>
      <c r="BL269" s="14" t="s">
        <v>105</v>
      </c>
      <c r="BM269" s="14" t="s">
        <v>105</v>
      </c>
      <c r="BN269" s="14" t="s">
        <v>105</v>
      </c>
      <c r="BO269" s="14" t="s">
        <v>105</v>
      </c>
      <c r="BP269" s="14" t="s">
        <v>105</v>
      </c>
      <c r="BQ269" s="8" t="s">
        <v>93</v>
      </c>
      <c r="BR269" s="8" t="s">
        <v>93</v>
      </c>
      <c r="BS269" s="8" t="s">
        <v>93</v>
      </c>
      <c r="BT269" s="8" t="s">
        <v>92</v>
      </c>
      <c r="BU269" s="8" t="s">
        <v>92</v>
      </c>
      <c r="BV269" s="8" t="s">
        <v>92</v>
      </c>
      <c r="BW269" s="8" t="s">
        <v>92</v>
      </c>
      <c r="BX269" s="8" t="s">
        <v>92</v>
      </c>
      <c r="BY269" s="8" t="s">
        <v>92</v>
      </c>
      <c r="BZ269" s="8" t="s">
        <v>92</v>
      </c>
      <c r="CA269" s="8" t="s">
        <v>92</v>
      </c>
      <c r="CB269" s="20" t="s">
        <v>1209</v>
      </c>
      <c r="CC269" s="17"/>
      <c r="CD269" s="18"/>
      <c r="CE269" s="18"/>
      <c r="CF269" s="18"/>
      <c r="CG269" s="18"/>
      <c r="CH269" s="18"/>
    </row>
    <row r="270">
      <c r="A270" s="8"/>
      <c r="B270" s="9" t="s">
        <v>1286</v>
      </c>
      <c r="C270" s="10" t="s">
        <v>1287</v>
      </c>
      <c r="D270" s="9" t="s">
        <v>87</v>
      </c>
      <c r="E270" s="11" t="s">
        <v>1288</v>
      </c>
      <c r="F270" s="12"/>
      <c r="G270" s="13" t="s">
        <v>1289</v>
      </c>
      <c r="H270" s="13" t="s">
        <v>90</v>
      </c>
      <c r="I270" s="13" t="s">
        <v>1290</v>
      </c>
      <c r="J270" s="14" t="s">
        <v>92</v>
      </c>
      <c r="K270" s="14" t="s">
        <v>92</v>
      </c>
      <c r="L270" s="14" t="s">
        <v>92</v>
      </c>
      <c r="M270" s="14" t="s">
        <v>92</v>
      </c>
      <c r="N270" s="14" t="s">
        <v>92</v>
      </c>
      <c r="O270" s="13" t="s">
        <v>92</v>
      </c>
      <c r="P270" s="13" t="s">
        <v>93</v>
      </c>
      <c r="Q270" s="13" t="s">
        <v>93</v>
      </c>
      <c r="R270" s="13" t="s">
        <v>93</v>
      </c>
      <c r="S270" s="13" t="s">
        <v>93</v>
      </c>
      <c r="T270" s="13" t="s">
        <v>92</v>
      </c>
      <c r="U270" s="13" t="s">
        <v>92</v>
      </c>
      <c r="V270" s="13" t="s">
        <v>92</v>
      </c>
      <c r="W270" s="13" t="s">
        <v>92</v>
      </c>
      <c r="X270" s="13" t="s">
        <v>92</v>
      </c>
      <c r="Y270" s="13" t="s">
        <v>92</v>
      </c>
      <c r="Z270" s="14" t="s">
        <v>93</v>
      </c>
      <c r="AA270" s="14" t="s">
        <v>92</v>
      </c>
      <c r="AB270" s="15" t="s">
        <v>93</v>
      </c>
      <c r="AC270" s="15" t="s">
        <v>93</v>
      </c>
      <c r="AD270" s="15" t="s">
        <v>92</v>
      </c>
      <c r="AE270" s="14" t="s">
        <v>112</v>
      </c>
      <c r="AF270" s="13" t="s">
        <v>92</v>
      </c>
      <c r="AG270" s="13" t="s">
        <v>95</v>
      </c>
      <c r="AH270" s="8" t="s">
        <v>105</v>
      </c>
      <c r="AI270" s="13" t="s">
        <v>93</v>
      </c>
      <c r="AJ270" s="13" t="s">
        <v>92</v>
      </c>
      <c r="AK270" s="13" t="s">
        <v>92</v>
      </c>
      <c r="AL270" s="14" t="s">
        <v>92</v>
      </c>
      <c r="AM270" s="8" t="s">
        <v>105</v>
      </c>
      <c r="AN270" s="14" t="s">
        <v>105</v>
      </c>
      <c r="AO270" s="8" t="s">
        <v>105</v>
      </c>
      <c r="AP270" s="15" t="s">
        <v>92</v>
      </c>
      <c r="AQ270" s="13" t="s">
        <v>92</v>
      </c>
      <c r="AR270" s="13" t="s">
        <v>92</v>
      </c>
      <c r="AS270" s="13" t="s">
        <v>92</v>
      </c>
      <c r="AT270" s="13" t="s">
        <v>92</v>
      </c>
      <c r="AU270" s="13" t="s">
        <v>93</v>
      </c>
      <c r="AV270" s="13" t="s">
        <v>93</v>
      </c>
      <c r="AW270" s="13" t="s">
        <v>93</v>
      </c>
      <c r="AX270" s="13" t="s">
        <v>92</v>
      </c>
      <c r="AY270" s="15" t="s">
        <v>441</v>
      </c>
      <c r="AZ270" s="15" t="s">
        <v>95</v>
      </c>
      <c r="BA270" s="16" t="s">
        <v>1291</v>
      </c>
      <c r="BB270" s="8" t="s">
        <v>213</v>
      </c>
      <c r="BC270" s="15" t="s">
        <v>92</v>
      </c>
      <c r="BD270" s="13" t="s">
        <v>93</v>
      </c>
      <c r="BE270" s="13" t="s">
        <v>92</v>
      </c>
      <c r="BF270" s="13" t="s">
        <v>92</v>
      </c>
      <c r="BG270" s="13" t="s">
        <v>92</v>
      </c>
      <c r="BH270" s="13" t="s">
        <v>92</v>
      </c>
      <c r="BI270" s="13" t="s">
        <v>92</v>
      </c>
      <c r="BJ270" s="13" t="s">
        <v>92</v>
      </c>
      <c r="BK270" s="14" t="s">
        <v>105</v>
      </c>
      <c r="BL270" s="14" t="s">
        <v>105</v>
      </c>
      <c r="BM270" s="14" t="s">
        <v>105</v>
      </c>
      <c r="BN270" s="14" t="s">
        <v>105</v>
      </c>
      <c r="BO270" s="14" t="s">
        <v>105</v>
      </c>
      <c r="BP270" s="14" t="s">
        <v>105</v>
      </c>
      <c r="BQ270" s="15" t="s">
        <v>92</v>
      </c>
      <c r="BR270" s="15" t="s">
        <v>92</v>
      </c>
      <c r="BS270" s="15" t="s">
        <v>93</v>
      </c>
      <c r="BT270" s="15" t="s">
        <v>93</v>
      </c>
      <c r="BU270" s="15" t="s">
        <v>92</v>
      </c>
      <c r="BV270" s="8" t="s">
        <v>92</v>
      </c>
      <c r="BW270" s="15" t="s">
        <v>92</v>
      </c>
      <c r="BX270" s="15" t="s">
        <v>92</v>
      </c>
      <c r="BY270" s="15" t="s">
        <v>92</v>
      </c>
      <c r="BZ270" s="15" t="s">
        <v>92</v>
      </c>
      <c r="CA270" s="15" t="s">
        <v>93</v>
      </c>
      <c r="CB270" s="17" t="s">
        <v>1292</v>
      </c>
      <c r="CC270" s="17"/>
      <c r="CD270" s="18"/>
      <c r="CE270" s="18"/>
      <c r="CF270" s="18"/>
      <c r="CG270" s="18"/>
      <c r="CH270" s="18"/>
    </row>
    <row r="271" ht="15.0" customHeight="1">
      <c r="A271" s="8"/>
      <c r="B271" s="19" t="s">
        <v>1286</v>
      </c>
      <c r="C271" s="10" t="s">
        <v>1287</v>
      </c>
      <c r="D271" s="9" t="s">
        <v>87</v>
      </c>
      <c r="E271" s="11" t="s">
        <v>1293</v>
      </c>
      <c r="F271" s="12"/>
      <c r="G271" s="13" t="s">
        <v>1294</v>
      </c>
      <c r="H271" s="13" t="s">
        <v>90</v>
      </c>
      <c r="I271" s="13" t="s">
        <v>1295</v>
      </c>
      <c r="J271" s="14" t="s">
        <v>92</v>
      </c>
      <c r="K271" s="14" t="s">
        <v>92</v>
      </c>
      <c r="L271" s="14" t="s">
        <v>93</v>
      </c>
      <c r="M271" s="14" t="s">
        <v>92</v>
      </c>
      <c r="N271" s="14" t="s">
        <v>92</v>
      </c>
      <c r="O271" s="14" t="s">
        <v>92</v>
      </c>
      <c r="P271" s="13" t="s">
        <v>92</v>
      </c>
      <c r="Q271" s="13" t="s">
        <v>92</v>
      </c>
      <c r="R271" s="13" t="s">
        <v>92</v>
      </c>
      <c r="S271" s="13" t="s">
        <v>93</v>
      </c>
      <c r="T271" s="13" t="s">
        <v>92</v>
      </c>
      <c r="U271" s="13" t="s">
        <v>92</v>
      </c>
      <c r="V271" s="13" t="s">
        <v>92</v>
      </c>
      <c r="W271" s="13" t="s">
        <v>92</v>
      </c>
      <c r="X271" s="13" t="s">
        <v>92</v>
      </c>
      <c r="Y271" s="13" t="s">
        <v>92</v>
      </c>
      <c r="Z271" s="13" t="s">
        <v>93</v>
      </c>
      <c r="AA271" s="14" t="s">
        <v>92</v>
      </c>
      <c r="AB271" s="15" t="s">
        <v>93</v>
      </c>
      <c r="AC271" s="15" t="s">
        <v>93</v>
      </c>
      <c r="AD271" s="15" t="s">
        <v>92</v>
      </c>
      <c r="AE271" s="14" t="s">
        <v>112</v>
      </c>
      <c r="AF271" s="13" t="s">
        <v>92</v>
      </c>
      <c r="AG271" s="13" t="s">
        <v>95</v>
      </c>
      <c r="AH271" s="8" t="s">
        <v>105</v>
      </c>
      <c r="AI271" s="13" t="s">
        <v>93</v>
      </c>
      <c r="AJ271" s="13" t="s">
        <v>92</v>
      </c>
      <c r="AK271" s="13" t="s">
        <v>92</v>
      </c>
      <c r="AL271" s="14" t="s">
        <v>92</v>
      </c>
      <c r="AM271" s="8" t="s">
        <v>105</v>
      </c>
      <c r="AN271" s="14" t="s">
        <v>105</v>
      </c>
      <c r="AO271" s="8" t="s">
        <v>105</v>
      </c>
      <c r="AP271" s="15" t="s">
        <v>92</v>
      </c>
      <c r="AQ271" s="13" t="s">
        <v>92</v>
      </c>
      <c r="AR271" s="13" t="s">
        <v>92</v>
      </c>
      <c r="AS271" s="13" t="s">
        <v>92</v>
      </c>
      <c r="AT271" s="13" t="s">
        <v>92</v>
      </c>
      <c r="AU271" s="13" t="s">
        <v>93</v>
      </c>
      <c r="AV271" s="13" t="s">
        <v>93</v>
      </c>
      <c r="AW271" s="13" t="s">
        <v>93</v>
      </c>
      <c r="AX271" s="13" t="s">
        <v>92</v>
      </c>
      <c r="AY271" s="15" t="s">
        <v>441</v>
      </c>
      <c r="AZ271" s="15" t="s">
        <v>95</v>
      </c>
      <c r="BA271" s="16" t="s">
        <v>1291</v>
      </c>
      <c r="BB271" s="8" t="s">
        <v>213</v>
      </c>
      <c r="BC271" s="15" t="s">
        <v>92</v>
      </c>
      <c r="BD271" s="13" t="s">
        <v>93</v>
      </c>
      <c r="BE271" s="13" t="s">
        <v>92</v>
      </c>
      <c r="BF271" s="13" t="s">
        <v>92</v>
      </c>
      <c r="BG271" s="13" t="s">
        <v>92</v>
      </c>
      <c r="BH271" s="13" t="s">
        <v>92</v>
      </c>
      <c r="BI271" s="13" t="s">
        <v>92</v>
      </c>
      <c r="BJ271" s="13" t="s">
        <v>92</v>
      </c>
      <c r="BK271" s="14" t="s">
        <v>105</v>
      </c>
      <c r="BL271" s="14" t="s">
        <v>105</v>
      </c>
      <c r="BM271" s="14" t="s">
        <v>105</v>
      </c>
      <c r="BN271" s="14" t="s">
        <v>105</v>
      </c>
      <c r="BO271" s="14" t="s">
        <v>105</v>
      </c>
      <c r="BP271" s="14" t="s">
        <v>105</v>
      </c>
      <c r="BQ271" s="15" t="s">
        <v>92</v>
      </c>
      <c r="BR271" s="15" t="s">
        <v>92</v>
      </c>
      <c r="BS271" s="15" t="s">
        <v>93</v>
      </c>
      <c r="BT271" s="15" t="s">
        <v>93</v>
      </c>
      <c r="BU271" s="15" t="s">
        <v>92</v>
      </c>
      <c r="BV271" s="8" t="s">
        <v>92</v>
      </c>
      <c r="BW271" s="15" t="s">
        <v>92</v>
      </c>
      <c r="BX271" s="8" t="s">
        <v>93</v>
      </c>
      <c r="BY271" s="8" t="s">
        <v>92</v>
      </c>
      <c r="BZ271" s="8" t="s">
        <v>93</v>
      </c>
      <c r="CA271" s="15" t="s">
        <v>92</v>
      </c>
      <c r="CB271" s="17" t="s">
        <v>1292</v>
      </c>
      <c r="CC271" s="17"/>
      <c r="CD271" s="18"/>
      <c r="CE271" s="18"/>
      <c r="CF271" s="18"/>
      <c r="CG271" s="18"/>
      <c r="CH271" s="18"/>
    </row>
    <row r="272">
      <c r="A272" s="8"/>
      <c r="B272" s="9" t="s">
        <v>1286</v>
      </c>
      <c r="C272" s="10" t="s">
        <v>1287</v>
      </c>
      <c r="D272" s="9" t="s">
        <v>87</v>
      </c>
      <c r="E272" s="11" t="s">
        <v>1296</v>
      </c>
      <c r="F272" s="12"/>
      <c r="G272" s="14" t="s">
        <v>1297</v>
      </c>
      <c r="H272" s="14" t="s">
        <v>90</v>
      </c>
      <c r="I272" s="14" t="s">
        <v>1298</v>
      </c>
      <c r="J272" s="14" t="s">
        <v>93</v>
      </c>
      <c r="K272" s="14" t="s">
        <v>92</v>
      </c>
      <c r="L272" s="14" t="s">
        <v>92</v>
      </c>
      <c r="M272" s="14" t="s">
        <v>92</v>
      </c>
      <c r="N272" s="14" t="s">
        <v>92</v>
      </c>
      <c r="O272" s="14" t="s">
        <v>92</v>
      </c>
      <c r="P272" s="14" t="s">
        <v>92</v>
      </c>
      <c r="Q272" s="14" t="s">
        <v>92</v>
      </c>
      <c r="R272" s="14" t="s">
        <v>92</v>
      </c>
      <c r="S272" s="14" t="s">
        <v>93</v>
      </c>
      <c r="T272" s="14" t="s">
        <v>92</v>
      </c>
      <c r="U272" s="14" t="s">
        <v>92</v>
      </c>
      <c r="V272" s="14" t="s">
        <v>92</v>
      </c>
      <c r="W272" s="14" t="s">
        <v>92</v>
      </c>
      <c r="X272" s="14" t="s">
        <v>92</v>
      </c>
      <c r="Y272" s="14" t="s">
        <v>92</v>
      </c>
      <c r="Z272" s="14" t="s">
        <v>93</v>
      </c>
      <c r="AA272" s="14" t="s">
        <v>92</v>
      </c>
      <c r="AB272" s="8" t="s">
        <v>92</v>
      </c>
      <c r="AC272" s="8" t="s">
        <v>93</v>
      </c>
      <c r="AD272" s="8" t="s">
        <v>92</v>
      </c>
      <c r="AE272" s="14" t="s">
        <v>112</v>
      </c>
      <c r="AF272" s="14" t="s">
        <v>92</v>
      </c>
      <c r="AG272" s="14" t="s">
        <v>95</v>
      </c>
      <c r="AH272" s="8" t="s">
        <v>105</v>
      </c>
      <c r="AI272" s="14" t="s">
        <v>92</v>
      </c>
      <c r="AJ272" s="14" t="s">
        <v>92</v>
      </c>
      <c r="AK272" s="14" t="s">
        <v>92</v>
      </c>
      <c r="AL272" s="14" t="s">
        <v>93</v>
      </c>
      <c r="AM272" s="15" t="s">
        <v>95</v>
      </c>
      <c r="AN272" s="13" t="s">
        <v>114</v>
      </c>
      <c r="AO272" s="15" t="s">
        <v>92</v>
      </c>
      <c r="AP272" s="15" t="s">
        <v>92</v>
      </c>
      <c r="AQ272" s="13" t="s">
        <v>92</v>
      </c>
      <c r="AR272" s="13" t="s">
        <v>92</v>
      </c>
      <c r="AS272" s="13" t="s">
        <v>92</v>
      </c>
      <c r="AT272" s="13" t="s">
        <v>92</v>
      </c>
      <c r="AU272" s="13" t="s">
        <v>93</v>
      </c>
      <c r="AV272" s="13" t="s">
        <v>93</v>
      </c>
      <c r="AW272" s="13" t="s">
        <v>93</v>
      </c>
      <c r="AX272" s="13" t="s">
        <v>92</v>
      </c>
      <c r="AY272" s="15" t="s">
        <v>441</v>
      </c>
      <c r="AZ272" s="15" t="s">
        <v>95</v>
      </c>
      <c r="BA272" s="16" t="s">
        <v>1291</v>
      </c>
      <c r="BB272" s="8" t="s">
        <v>213</v>
      </c>
      <c r="BC272" s="15" t="s">
        <v>92</v>
      </c>
      <c r="BD272" s="14" t="s">
        <v>93</v>
      </c>
      <c r="BE272" s="14" t="s">
        <v>92</v>
      </c>
      <c r="BF272" s="14" t="s">
        <v>92</v>
      </c>
      <c r="BG272" s="14" t="s">
        <v>92</v>
      </c>
      <c r="BH272" s="14" t="s">
        <v>92</v>
      </c>
      <c r="BI272" s="14" t="s">
        <v>92</v>
      </c>
      <c r="BJ272" s="14" t="s">
        <v>92</v>
      </c>
      <c r="BK272" s="14" t="s">
        <v>868</v>
      </c>
      <c r="BL272" s="14" t="s">
        <v>92</v>
      </c>
      <c r="BM272" s="14" t="s">
        <v>92</v>
      </c>
      <c r="BN272" s="14" t="s">
        <v>92</v>
      </c>
      <c r="BO272" s="14" t="s">
        <v>93</v>
      </c>
      <c r="BP272" s="14" t="s">
        <v>92</v>
      </c>
      <c r="BQ272" s="8" t="s">
        <v>92</v>
      </c>
      <c r="BR272" s="8" t="s">
        <v>92</v>
      </c>
      <c r="BS272" s="8" t="s">
        <v>92</v>
      </c>
      <c r="BT272" s="8" t="s">
        <v>93</v>
      </c>
      <c r="BU272" s="8" t="s">
        <v>92</v>
      </c>
      <c r="BV272" s="8" t="s">
        <v>92</v>
      </c>
      <c r="BW272" s="8" t="s">
        <v>92</v>
      </c>
      <c r="BX272" s="8" t="s">
        <v>93</v>
      </c>
      <c r="BY272" s="8" t="s">
        <v>93</v>
      </c>
      <c r="BZ272" s="8" t="s">
        <v>92</v>
      </c>
      <c r="CA272" s="8" t="s">
        <v>92</v>
      </c>
      <c r="CB272" s="20" t="s">
        <v>660</v>
      </c>
      <c r="CC272" s="17"/>
      <c r="CD272" s="18"/>
      <c r="CE272" s="18"/>
      <c r="CF272" s="18"/>
      <c r="CG272" s="18"/>
      <c r="CH272" s="18"/>
    </row>
    <row r="273">
      <c r="A273" s="8"/>
      <c r="B273" s="9" t="s">
        <v>1286</v>
      </c>
      <c r="C273" s="10" t="s">
        <v>1287</v>
      </c>
      <c r="D273" s="9" t="s">
        <v>87</v>
      </c>
      <c r="E273" s="11" t="s">
        <v>1299</v>
      </c>
      <c r="F273" s="12"/>
      <c r="G273" s="13" t="s">
        <v>1300</v>
      </c>
      <c r="H273" s="13" t="s">
        <v>90</v>
      </c>
      <c r="I273" s="13" t="s">
        <v>1301</v>
      </c>
      <c r="J273" s="14" t="s">
        <v>92</v>
      </c>
      <c r="K273" s="14" t="s">
        <v>92</v>
      </c>
      <c r="L273" s="14" t="s">
        <v>93</v>
      </c>
      <c r="M273" s="14" t="s">
        <v>92</v>
      </c>
      <c r="N273" s="14" t="s">
        <v>92</v>
      </c>
      <c r="O273" s="14" t="s">
        <v>92</v>
      </c>
      <c r="P273" s="13" t="s">
        <v>92</v>
      </c>
      <c r="Q273" s="13" t="s">
        <v>93</v>
      </c>
      <c r="R273" s="13" t="s">
        <v>92</v>
      </c>
      <c r="S273" s="13" t="s">
        <v>93</v>
      </c>
      <c r="T273" s="13" t="s">
        <v>92</v>
      </c>
      <c r="U273" s="13" t="s">
        <v>92</v>
      </c>
      <c r="V273" s="13" t="s">
        <v>92</v>
      </c>
      <c r="W273" s="13" t="s">
        <v>92</v>
      </c>
      <c r="X273" s="13" t="s">
        <v>92</v>
      </c>
      <c r="Y273" s="13" t="s">
        <v>92</v>
      </c>
      <c r="Z273" s="14" t="s">
        <v>93</v>
      </c>
      <c r="AA273" s="14" t="s">
        <v>92</v>
      </c>
      <c r="AB273" s="15" t="s">
        <v>93</v>
      </c>
      <c r="AC273" s="15" t="s">
        <v>93</v>
      </c>
      <c r="AD273" s="15" t="s">
        <v>92</v>
      </c>
      <c r="AE273" s="14" t="s">
        <v>103</v>
      </c>
      <c r="AF273" s="13" t="s">
        <v>92</v>
      </c>
      <c r="AG273" s="13" t="s">
        <v>95</v>
      </c>
      <c r="AH273" s="8" t="s">
        <v>105</v>
      </c>
      <c r="AI273" s="13" t="s">
        <v>93</v>
      </c>
      <c r="AJ273" s="13" t="s">
        <v>92</v>
      </c>
      <c r="AK273" s="13" t="s">
        <v>92</v>
      </c>
      <c r="AL273" s="14" t="s">
        <v>92</v>
      </c>
      <c r="AM273" s="8" t="s">
        <v>105</v>
      </c>
      <c r="AN273" s="14" t="s">
        <v>105</v>
      </c>
      <c r="AO273" s="8" t="s">
        <v>105</v>
      </c>
      <c r="AP273" s="15" t="s">
        <v>92</v>
      </c>
      <c r="AQ273" s="13" t="s">
        <v>92</v>
      </c>
      <c r="AR273" s="13" t="s">
        <v>92</v>
      </c>
      <c r="AS273" s="13" t="s">
        <v>92</v>
      </c>
      <c r="AT273" s="13" t="s">
        <v>92</v>
      </c>
      <c r="AU273" s="13" t="s">
        <v>93</v>
      </c>
      <c r="AV273" s="13" t="s">
        <v>93</v>
      </c>
      <c r="AW273" s="13" t="s">
        <v>93</v>
      </c>
      <c r="AX273" s="13" t="s">
        <v>92</v>
      </c>
      <c r="AY273" s="15" t="s">
        <v>441</v>
      </c>
      <c r="AZ273" s="15" t="s">
        <v>95</v>
      </c>
      <c r="BA273" s="16" t="s">
        <v>1291</v>
      </c>
      <c r="BB273" s="8" t="s">
        <v>213</v>
      </c>
      <c r="BC273" s="15" t="s">
        <v>92</v>
      </c>
      <c r="BD273" s="13" t="s">
        <v>93</v>
      </c>
      <c r="BE273" s="13" t="s">
        <v>92</v>
      </c>
      <c r="BF273" s="13" t="s">
        <v>92</v>
      </c>
      <c r="BG273" s="13" t="s">
        <v>92</v>
      </c>
      <c r="BH273" s="13" t="s">
        <v>92</v>
      </c>
      <c r="BI273" s="13" t="s">
        <v>92</v>
      </c>
      <c r="BJ273" s="13" t="s">
        <v>92</v>
      </c>
      <c r="BK273" s="14" t="s">
        <v>105</v>
      </c>
      <c r="BL273" s="14" t="s">
        <v>105</v>
      </c>
      <c r="BM273" s="14" t="s">
        <v>105</v>
      </c>
      <c r="BN273" s="14" t="s">
        <v>105</v>
      </c>
      <c r="BO273" s="14" t="s">
        <v>105</v>
      </c>
      <c r="BP273" s="14" t="s">
        <v>105</v>
      </c>
      <c r="BQ273" s="15" t="s">
        <v>92</v>
      </c>
      <c r="BR273" s="15" t="s">
        <v>92</v>
      </c>
      <c r="BS273" s="15" t="s">
        <v>93</v>
      </c>
      <c r="BT273" s="15" t="s">
        <v>93</v>
      </c>
      <c r="BU273" s="15" t="s">
        <v>92</v>
      </c>
      <c r="BV273" s="15" t="s">
        <v>92</v>
      </c>
      <c r="BW273" s="15" t="s">
        <v>92</v>
      </c>
      <c r="BX273" s="15" t="s">
        <v>92</v>
      </c>
      <c r="BY273" s="15" t="s">
        <v>92</v>
      </c>
      <c r="BZ273" s="8" t="s">
        <v>93</v>
      </c>
      <c r="CA273" s="15" t="s">
        <v>92</v>
      </c>
      <c r="CB273" s="17" t="s">
        <v>1292</v>
      </c>
      <c r="CC273" s="17"/>
      <c r="CD273" s="18"/>
      <c r="CE273" s="18"/>
      <c r="CF273" s="18"/>
      <c r="CG273" s="18"/>
      <c r="CH273" s="18"/>
    </row>
    <row r="274">
      <c r="A274" s="8"/>
      <c r="B274" s="9" t="s">
        <v>1286</v>
      </c>
      <c r="C274" s="10" t="s">
        <v>1287</v>
      </c>
      <c r="D274" s="9" t="s">
        <v>87</v>
      </c>
      <c r="E274" s="11" t="s">
        <v>1302</v>
      </c>
      <c r="F274" s="12"/>
      <c r="G274" s="13" t="s">
        <v>1303</v>
      </c>
      <c r="H274" s="13" t="s">
        <v>90</v>
      </c>
      <c r="I274" s="13" t="s">
        <v>1304</v>
      </c>
      <c r="J274" s="14" t="s">
        <v>92</v>
      </c>
      <c r="K274" s="14" t="s">
        <v>93</v>
      </c>
      <c r="L274" s="14" t="s">
        <v>93</v>
      </c>
      <c r="M274" s="14" t="s">
        <v>92</v>
      </c>
      <c r="N274" s="14" t="s">
        <v>92</v>
      </c>
      <c r="O274" s="13" t="s">
        <v>93</v>
      </c>
      <c r="P274" s="14" t="s">
        <v>92</v>
      </c>
      <c r="Q274" s="13" t="s">
        <v>93</v>
      </c>
      <c r="R274" s="13" t="s">
        <v>93</v>
      </c>
      <c r="S274" s="13" t="s">
        <v>93</v>
      </c>
      <c r="T274" s="13" t="s">
        <v>92</v>
      </c>
      <c r="U274" s="13" t="s">
        <v>92</v>
      </c>
      <c r="V274" s="13" t="s">
        <v>92</v>
      </c>
      <c r="W274" s="13" t="s">
        <v>92</v>
      </c>
      <c r="X274" s="13" t="s">
        <v>92</v>
      </c>
      <c r="Y274" s="13" t="s">
        <v>92</v>
      </c>
      <c r="Z274" s="14" t="s">
        <v>93</v>
      </c>
      <c r="AA274" s="14" t="s">
        <v>93</v>
      </c>
      <c r="AB274" s="15" t="s">
        <v>93</v>
      </c>
      <c r="AC274" s="15" t="s">
        <v>93</v>
      </c>
      <c r="AD274" s="8" t="s">
        <v>92</v>
      </c>
      <c r="AE274" s="14" t="s">
        <v>103</v>
      </c>
      <c r="AF274" s="13" t="s">
        <v>93</v>
      </c>
      <c r="AG274" s="13" t="s">
        <v>1305</v>
      </c>
      <c r="AH274" s="8" t="s">
        <v>105</v>
      </c>
      <c r="AI274" s="13" t="s">
        <v>92</v>
      </c>
      <c r="AJ274" s="13" t="s">
        <v>93</v>
      </c>
      <c r="AK274" s="13" t="s">
        <v>93</v>
      </c>
      <c r="AL274" s="14" t="s">
        <v>92</v>
      </c>
      <c r="AM274" s="8" t="s">
        <v>105</v>
      </c>
      <c r="AN274" s="14" t="s">
        <v>105</v>
      </c>
      <c r="AO274" s="15" t="s">
        <v>93</v>
      </c>
      <c r="AP274" s="15" t="s">
        <v>92</v>
      </c>
      <c r="AQ274" s="13" t="s">
        <v>92</v>
      </c>
      <c r="AR274" s="13" t="s">
        <v>92</v>
      </c>
      <c r="AS274" s="13" t="s">
        <v>92</v>
      </c>
      <c r="AT274" s="13" t="s">
        <v>92</v>
      </c>
      <c r="AU274" s="13" t="s">
        <v>93</v>
      </c>
      <c r="AV274" s="13" t="s">
        <v>93</v>
      </c>
      <c r="AW274" s="13" t="s">
        <v>93</v>
      </c>
      <c r="AX274" s="13" t="s">
        <v>92</v>
      </c>
      <c r="AY274" s="15" t="s">
        <v>1306</v>
      </c>
      <c r="AZ274" s="15" t="s">
        <v>93</v>
      </c>
      <c r="BA274" s="16" t="s">
        <v>1291</v>
      </c>
      <c r="BB274" s="8" t="s">
        <v>213</v>
      </c>
      <c r="BC274" s="15" t="s">
        <v>92</v>
      </c>
      <c r="BD274" s="13" t="s">
        <v>93</v>
      </c>
      <c r="BE274" s="13" t="s">
        <v>92</v>
      </c>
      <c r="BF274" s="13" t="s">
        <v>92</v>
      </c>
      <c r="BG274" s="13" t="s">
        <v>92</v>
      </c>
      <c r="BH274" s="13" t="s">
        <v>92</v>
      </c>
      <c r="BI274" s="14" t="s">
        <v>92</v>
      </c>
      <c r="BJ274" s="13" t="s">
        <v>92</v>
      </c>
      <c r="BK274" s="14" t="s">
        <v>105</v>
      </c>
      <c r="BL274" s="14" t="s">
        <v>105</v>
      </c>
      <c r="BM274" s="14" t="s">
        <v>105</v>
      </c>
      <c r="BN274" s="14" t="s">
        <v>105</v>
      </c>
      <c r="BO274" s="14" t="s">
        <v>105</v>
      </c>
      <c r="BP274" s="14" t="s">
        <v>105</v>
      </c>
      <c r="BQ274" s="15" t="s">
        <v>92</v>
      </c>
      <c r="BR274" s="15" t="s">
        <v>92</v>
      </c>
      <c r="BS274" s="15" t="s">
        <v>93</v>
      </c>
      <c r="BT274" s="15" t="s">
        <v>93</v>
      </c>
      <c r="BU274" s="15" t="s">
        <v>92</v>
      </c>
      <c r="BV274" s="15" t="s">
        <v>92</v>
      </c>
      <c r="BW274" s="15" t="s">
        <v>92</v>
      </c>
      <c r="BX274" s="15" t="s">
        <v>92</v>
      </c>
      <c r="BY274" s="15" t="s">
        <v>92</v>
      </c>
      <c r="BZ274" s="8" t="s">
        <v>93</v>
      </c>
      <c r="CA274" s="15" t="s">
        <v>92</v>
      </c>
      <c r="CB274" s="17" t="s">
        <v>170</v>
      </c>
      <c r="CC274" s="17" t="s">
        <v>1307</v>
      </c>
      <c r="CD274" s="18"/>
      <c r="CE274" s="18"/>
      <c r="CF274" s="18"/>
      <c r="CG274" s="18"/>
      <c r="CH274" s="18"/>
    </row>
    <row r="275">
      <c r="A275" s="8"/>
      <c r="B275" s="9" t="s">
        <v>1286</v>
      </c>
      <c r="C275" s="10" t="s">
        <v>1287</v>
      </c>
      <c r="D275" s="9" t="s">
        <v>87</v>
      </c>
      <c r="E275" s="11" t="s">
        <v>1308</v>
      </c>
      <c r="F275" s="12"/>
      <c r="G275" s="13" t="s">
        <v>1309</v>
      </c>
      <c r="H275" s="13" t="s">
        <v>90</v>
      </c>
      <c r="I275" s="13" t="s">
        <v>1310</v>
      </c>
      <c r="J275" s="14" t="s">
        <v>92</v>
      </c>
      <c r="K275" s="14" t="s">
        <v>92</v>
      </c>
      <c r="L275" s="14" t="s">
        <v>92</v>
      </c>
      <c r="M275" s="14" t="s">
        <v>92</v>
      </c>
      <c r="N275" s="14" t="s">
        <v>92</v>
      </c>
      <c r="O275" s="13" t="s">
        <v>92</v>
      </c>
      <c r="P275" s="13" t="s">
        <v>92</v>
      </c>
      <c r="Q275" s="13" t="s">
        <v>92</v>
      </c>
      <c r="R275" s="13" t="s">
        <v>92</v>
      </c>
      <c r="S275" s="13" t="s">
        <v>93</v>
      </c>
      <c r="T275" s="13" t="s">
        <v>92</v>
      </c>
      <c r="U275" s="13" t="s">
        <v>92</v>
      </c>
      <c r="V275" s="13" t="s">
        <v>92</v>
      </c>
      <c r="W275" s="13" t="s">
        <v>92</v>
      </c>
      <c r="X275" s="13" t="s">
        <v>92</v>
      </c>
      <c r="Y275" s="13" t="s">
        <v>92</v>
      </c>
      <c r="Z275" s="14" t="s">
        <v>93</v>
      </c>
      <c r="AA275" s="14" t="s">
        <v>92</v>
      </c>
      <c r="AB275" s="15" t="s">
        <v>93</v>
      </c>
      <c r="AC275" s="15" t="s">
        <v>93</v>
      </c>
      <c r="AD275" s="8" t="s">
        <v>93</v>
      </c>
      <c r="AE275" s="14" t="s">
        <v>103</v>
      </c>
      <c r="AF275" s="13" t="s">
        <v>92</v>
      </c>
      <c r="AG275" s="13" t="s">
        <v>95</v>
      </c>
      <c r="AH275" s="8" t="s">
        <v>105</v>
      </c>
      <c r="AI275" s="13" t="s">
        <v>92</v>
      </c>
      <c r="AJ275" s="13" t="s">
        <v>92</v>
      </c>
      <c r="AK275" s="13" t="s">
        <v>93</v>
      </c>
      <c r="AL275" s="14" t="s">
        <v>92</v>
      </c>
      <c r="AM275" s="8" t="s">
        <v>105</v>
      </c>
      <c r="AN275" s="14" t="s">
        <v>105</v>
      </c>
      <c r="AO275" s="8" t="s">
        <v>105</v>
      </c>
      <c r="AP275" s="15" t="s">
        <v>92</v>
      </c>
      <c r="AQ275" s="13" t="s">
        <v>92</v>
      </c>
      <c r="AR275" s="13" t="s">
        <v>92</v>
      </c>
      <c r="AS275" s="13" t="s">
        <v>92</v>
      </c>
      <c r="AT275" s="13" t="s">
        <v>92</v>
      </c>
      <c r="AU275" s="13" t="s">
        <v>93</v>
      </c>
      <c r="AV275" s="13" t="s">
        <v>93</v>
      </c>
      <c r="AW275" s="13" t="s">
        <v>93</v>
      </c>
      <c r="AX275" s="13" t="s">
        <v>92</v>
      </c>
      <c r="AY275" s="15" t="s">
        <v>441</v>
      </c>
      <c r="AZ275" s="15" t="s">
        <v>95</v>
      </c>
      <c r="BA275" s="16" t="s">
        <v>1291</v>
      </c>
      <c r="BB275" s="8" t="s">
        <v>213</v>
      </c>
      <c r="BC275" s="15" t="s">
        <v>92</v>
      </c>
      <c r="BD275" s="13" t="s">
        <v>93</v>
      </c>
      <c r="BE275" s="13" t="s">
        <v>92</v>
      </c>
      <c r="BF275" s="13" t="s">
        <v>92</v>
      </c>
      <c r="BG275" s="13" t="s">
        <v>92</v>
      </c>
      <c r="BH275" s="13" t="s">
        <v>92</v>
      </c>
      <c r="BI275" s="14" t="s">
        <v>92</v>
      </c>
      <c r="BJ275" s="13" t="s">
        <v>92</v>
      </c>
      <c r="BK275" s="14" t="s">
        <v>105</v>
      </c>
      <c r="BL275" s="14" t="s">
        <v>105</v>
      </c>
      <c r="BM275" s="14" t="s">
        <v>105</v>
      </c>
      <c r="BN275" s="14" t="s">
        <v>105</v>
      </c>
      <c r="BO275" s="14" t="s">
        <v>105</v>
      </c>
      <c r="BP275" s="14" t="s">
        <v>105</v>
      </c>
      <c r="BQ275" s="15" t="s">
        <v>92</v>
      </c>
      <c r="BR275" s="15" t="s">
        <v>92</v>
      </c>
      <c r="BS275" s="15" t="s">
        <v>93</v>
      </c>
      <c r="BT275" s="15" t="s">
        <v>93</v>
      </c>
      <c r="BU275" s="15" t="s">
        <v>92</v>
      </c>
      <c r="BV275" s="8" t="s">
        <v>92</v>
      </c>
      <c r="BW275" s="15" t="s">
        <v>92</v>
      </c>
      <c r="BX275" s="15" t="s">
        <v>92</v>
      </c>
      <c r="BY275" s="15" t="s">
        <v>92</v>
      </c>
      <c r="BZ275" s="15" t="s">
        <v>92</v>
      </c>
      <c r="CA275" s="15" t="s">
        <v>92</v>
      </c>
      <c r="CB275" s="17" t="s">
        <v>1307</v>
      </c>
      <c r="CC275" s="17"/>
      <c r="CD275" s="18"/>
      <c r="CE275" s="18"/>
      <c r="CF275" s="18"/>
      <c r="CG275" s="18"/>
      <c r="CH275" s="18"/>
    </row>
    <row r="276">
      <c r="A276" s="8"/>
      <c r="B276" s="9" t="s">
        <v>1286</v>
      </c>
      <c r="C276" s="10" t="s">
        <v>1287</v>
      </c>
      <c r="D276" s="9" t="s">
        <v>87</v>
      </c>
      <c r="E276" s="11" t="s">
        <v>1311</v>
      </c>
      <c r="F276" s="12"/>
      <c r="G276" s="13" t="s">
        <v>1312</v>
      </c>
      <c r="H276" s="13" t="s">
        <v>90</v>
      </c>
      <c r="I276" s="14" t="s">
        <v>1313</v>
      </c>
      <c r="J276" s="14" t="s">
        <v>92</v>
      </c>
      <c r="K276" s="14" t="s">
        <v>92</v>
      </c>
      <c r="L276" s="14" t="s">
        <v>93</v>
      </c>
      <c r="M276" s="14" t="s">
        <v>92</v>
      </c>
      <c r="N276" s="14" t="s">
        <v>92</v>
      </c>
      <c r="O276" s="13" t="s">
        <v>92</v>
      </c>
      <c r="P276" s="13" t="s">
        <v>92</v>
      </c>
      <c r="Q276" s="13" t="s">
        <v>93</v>
      </c>
      <c r="R276" s="14" t="s">
        <v>92</v>
      </c>
      <c r="S276" s="13" t="s">
        <v>93</v>
      </c>
      <c r="T276" s="13" t="s">
        <v>92</v>
      </c>
      <c r="U276" s="13" t="s">
        <v>92</v>
      </c>
      <c r="V276" s="13" t="s">
        <v>92</v>
      </c>
      <c r="W276" s="13" t="s">
        <v>92</v>
      </c>
      <c r="X276" s="13" t="s">
        <v>92</v>
      </c>
      <c r="Y276" s="13" t="s">
        <v>92</v>
      </c>
      <c r="Z276" s="14" t="s">
        <v>93</v>
      </c>
      <c r="AA276" s="14" t="s">
        <v>92</v>
      </c>
      <c r="AB276" s="15" t="s">
        <v>93</v>
      </c>
      <c r="AC276" s="15" t="s">
        <v>93</v>
      </c>
      <c r="AD276" s="15" t="s">
        <v>92</v>
      </c>
      <c r="AE276" s="14" t="s">
        <v>112</v>
      </c>
      <c r="AF276" s="13" t="s">
        <v>92</v>
      </c>
      <c r="AG276" s="13" t="s">
        <v>95</v>
      </c>
      <c r="AH276" s="8" t="s">
        <v>105</v>
      </c>
      <c r="AI276" s="13" t="s">
        <v>92</v>
      </c>
      <c r="AJ276" s="13" t="s">
        <v>92</v>
      </c>
      <c r="AK276" s="13" t="s">
        <v>93</v>
      </c>
      <c r="AL276" s="14" t="s">
        <v>92</v>
      </c>
      <c r="AM276" s="8" t="s">
        <v>105</v>
      </c>
      <c r="AN276" s="14" t="s">
        <v>105</v>
      </c>
      <c r="AO276" s="8" t="s">
        <v>105</v>
      </c>
      <c r="AP276" s="15" t="s">
        <v>92</v>
      </c>
      <c r="AQ276" s="13" t="s">
        <v>92</v>
      </c>
      <c r="AR276" s="13" t="s">
        <v>92</v>
      </c>
      <c r="AS276" s="13" t="s">
        <v>92</v>
      </c>
      <c r="AT276" s="13" t="s">
        <v>92</v>
      </c>
      <c r="AU276" s="13" t="s">
        <v>93</v>
      </c>
      <c r="AV276" s="13" t="s">
        <v>93</v>
      </c>
      <c r="AW276" s="13" t="s">
        <v>93</v>
      </c>
      <c r="AX276" s="13" t="s">
        <v>92</v>
      </c>
      <c r="AY276" s="15" t="s">
        <v>441</v>
      </c>
      <c r="AZ276" s="15" t="s">
        <v>95</v>
      </c>
      <c r="BA276" s="16" t="s">
        <v>1291</v>
      </c>
      <c r="BB276" s="8" t="s">
        <v>213</v>
      </c>
      <c r="BC276" s="15" t="s">
        <v>92</v>
      </c>
      <c r="BD276" s="13" t="s">
        <v>93</v>
      </c>
      <c r="BE276" s="13" t="s">
        <v>92</v>
      </c>
      <c r="BF276" s="13" t="s">
        <v>92</v>
      </c>
      <c r="BG276" s="13" t="s">
        <v>92</v>
      </c>
      <c r="BH276" s="13" t="s">
        <v>92</v>
      </c>
      <c r="BI276" s="14" t="s">
        <v>92</v>
      </c>
      <c r="BJ276" s="13" t="s">
        <v>92</v>
      </c>
      <c r="BK276" s="14" t="s">
        <v>105</v>
      </c>
      <c r="BL276" s="14" t="s">
        <v>105</v>
      </c>
      <c r="BM276" s="14" t="s">
        <v>105</v>
      </c>
      <c r="BN276" s="14" t="s">
        <v>105</v>
      </c>
      <c r="BO276" s="14" t="s">
        <v>105</v>
      </c>
      <c r="BP276" s="14" t="s">
        <v>105</v>
      </c>
      <c r="BQ276" s="15" t="s">
        <v>92</v>
      </c>
      <c r="BR276" s="15" t="s">
        <v>92</v>
      </c>
      <c r="BS276" s="15" t="s">
        <v>93</v>
      </c>
      <c r="BT276" s="15" t="s">
        <v>93</v>
      </c>
      <c r="BU276" s="15" t="s">
        <v>92</v>
      </c>
      <c r="BV276" s="8" t="s">
        <v>92</v>
      </c>
      <c r="BW276" s="15" t="s">
        <v>92</v>
      </c>
      <c r="BX276" s="15" t="s">
        <v>92</v>
      </c>
      <c r="BY276" s="15" t="s">
        <v>92</v>
      </c>
      <c r="BZ276" s="8" t="s">
        <v>93</v>
      </c>
      <c r="CA276" s="15" t="s">
        <v>92</v>
      </c>
      <c r="CB276" s="17" t="s">
        <v>1307</v>
      </c>
      <c r="CC276" s="17"/>
      <c r="CD276" s="18"/>
      <c r="CE276" s="18"/>
      <c r="CF276" s="18"/>
      <c r="CG276" s="18"/>
      <c r="CH276" s="18"/>
    </row>
    <row r="277">
      <c r="A277" s="8"/>
      <c r="B277" s="9" t="s">
        <v>1286</v>
      </c>
      <c r="C277" s="10" t="s">
        <v>1287</v>
      </c>
      <c r="D277" s="9" t="s">
        <v>87</v>
      </c>
      <c r="E277" s="11" t="s">
        <v>1314</v>
      </c>
      <c r="F277" s="12"/>
      <c r="G277" s="13" t="s">
        <v>1315</v>
      </c>
      <c r="H277" s="13" t="s">
        <v>90</v>
      </c>
      <c r="I277" s="13" t="s">
        <v>1316</v>
      </c>
      <c r="J277" s="14" t="s">
        <v>92</v>
      </c>
      <c r="K277" s="14" t="s">
        <v>92</v>
      </c>
      <c r="L277" s="14" t="s">
        <v>93</v>
      </c>
      <c r="M277" s="14" t="s">
        <v>92</v>
      </c>
      <c r="N277" s="14" t="s">
        <v>92</v>
      </c>
      <c r="O277" s="13" t="s">
        <v>92</v>
      </c>
      <c r="P277" s="13" t="s">
        <v>92</v>
      </c>
      <c r="Q277" s="13" t="s">
        <v>92</v>
      </c>
      <c r="R277" s="13" t="s">
        <v>92</v>
      </c>
      <c r="S277" s="13" t="s">
        <v>93</v>
      </c>
      <c r="T277" s="13" t="s">
        <v>92</v>
      </c>
      <c r="U277" s="13" t="s">
        <v>92</v>
      </c>
      <c r="V277" s="13" t="s">
        <v>92</v>
      </c>
      <c r="W277" s="13" t="s">
        <v>92</v>
      </c>
      <c r="X277" s="13" t="s">
        <v>92</v>
      </c>
      <c r="Y277" s="13" t="s">
        <v>92</v>
      </c>
      <c r="Z277" s="14" t="s">
        <v>93</v>
      </c>
      <c r="AA277" s="14" t="s">
        <v>92</v>
      </c>
      <c r="AB277" s="8" t="s">
        <v>92</v>
      </c>
      <c r="AC277" s="15" t="s">
        <v>93</v>
      </c>
      <c r="AD277" s="8" t="s">
        <v>93</v>
      </c>
      <c r="AE277" s="14" t="s">
        <v>112</v>
      </c>
      <c r="AF277" s="13" t="s">
        <v>92</v>
      </c>
      <c r="AG277" s="13" t="s">
        <v>95</v>
      </c>
      <c r="AH277" s="15">
        <v>2022.0</v>
      </c>
      <c r="AI277" s="13" t="s">
        <v>92</v>
      </c>
      <c r="AJ277" s="13" t="s">
        <v>92</v>
      </c>
      <c r="AK277" s="13" t="s">
        <v>93</v>
      </c>
      <c r="AL277" s="14" t="s">
        <v>92</v>
      </c>
      <c r="AM277" s="8" t="s">
        <v>105</v>
      </c>
      <c r="AN277" s="14" t="s">
        <v>105</v>
      </c>
      <c r="AO277" s="8" t="s">
        <v>105</v>
      </c>
      <c r="AP277" s="15" t="s">
        <v>92</v>
      </c>
      <c r="AQ277" s="13" t="s">
        <v>92</v>
      </c>
      <c r="AR277" s="13" t="s">
        <v>92</v>
      </c>
      <c r="AS277" s="13" t="s">
        <v>92</v>
      </c>
      <c r="AT277" s="13" t="s">
        <v>92</v>
      </c>
      <c r="AU277" s="13" t="s">
        <v>93</v>
      </c>
      <c r="AV277" s="13" t="s">
        <v>93</v>
      </c>
      <c r="AW277" s="13" t="s">
        <v>93</v>
      </c>
      <c r="AX277" s="13" t="s">
        <v>92</v>
      </c>
      <c r="AY277" s="15" t="s">
        <v>441</v>
      </c>
      <c r="AZ277" s="15" t="s">
        <v>95</v>
      </c>
      <c r="BA277" s="16" t="s">
        <v>1291</v>
      </c>
      <c r="BB277" s="8" t="s">
        <v>213</v>
      </c>
      <c r="BC277" s="15" t="s">
        <v>92</v>
      </c>
      <c r="BD277" s="13" t="s">
        <v>93</v>
      </c>
      <c r="BE277" s="13" t="s">
        <v>92</v>
      </c>
      <c r="BF277" s="13" t="s">
        <v>92</v>
      </c>
      <c r="BG277" s="13" t="s">
        <v>92</v>
      </c>
      <c r="BH277" s="13" t="s">
        <v>92</v>
      </c>
      <c r="BI277" s="14" t="s">
        <v>92</v>
      </c>
      <c r="BJ277" s="13" t="s">
        <v>92</v>
      </c>
      <c r="BK277" s="14" t="s">
        <v>105</v>
      </c>
      <c r="BL277" s="14" t="s">
        <v>105</v>
      </c>
      <c r="BM277" s="14" t="s">
        <v>105</v>
      </c>
      <c r="BN277" s="14" t="s">
        <v>105</v>
      </c>
      <c r="BO277" s="14" t="s">
        <v>105</v>
      </c>
      <c r="BP277" s="14" t="s">
        <v>105</v>
      </c>
      <c r="BQ277" s="15" t="s">
        <v>92</v>
      </c>
      <c r="BR277" s="15" t="s">
        <v>92</v>
      </c>
      <c r="BS277" s="15" t="s">
        <v>92</v>
      </c>
      <c r="BT277" s="15" t="s">
        <v>93</v>
      </c>
      <c r="BU277" s="15" t="s">
        <v>92</v>
      </c>
      <c r="BV277" s="8" t="s">
        <v>92</v>
      </c>
      <c r="BW277" s="15" t="s">
        <v>92</v>
      </c>
      <c r="BX277" s="15" t="s">
        <v>92</v>
      </c>
      <c r="BY277" s="15" t="s">
        <v>92</v>
      </c>
      <c r="BZ277" s="15" t="s">
        <v>93</v>
      </c>
      <c r="CA277" s="15" t="s">
        <v>92</v>
      </c>
      <c r="CB277" s="17" t="s">
        <v>1307</v>
      </c>
      <c r="CC277" s="17"/>
      <c r="CD277" s="18"/>
      <c r="CE277" s="18"/>
      <c r="CF277" s="18"/>
      <c r="CG277" s="18"/>
      <c r="CH277" s="18"/>
    </row>
    <row r="278">
      <c r="A278" s="8"/>
      <c r="B278" s="9" t="s">
        <v>1286</v>
      </c>
      <c r="C278" s="10" t="s">
        <v>1287</v>
      </c>
      <c r="D278" s="9" t="s">
        <v>87</v>
      </c>
      <c r="E278" s="11" t="s">
        <v>1317</v>
      </c>
      <c r="F278" s="12"/>
      <c r="G278" s="13" t="s">
        <v>1318</v>
      </c>
      <c r="H278" s="13" t="s">
        <v>90</v>
      </c>
      <c r="I278" s="13" t="s">
        <v>1319</v>
      </c>
      <c r="J278" s="14" t="s">
        <v>92</v>
      </c>
      <c r="K278" s="14" t="s">
        <v>92</v>
      </c>
      <c r="L278" s="14" t="s">
        <v>93</v>
      </c>
      <c r="M278" s="14" t="s">
        <v>92</v>
      </c>
      <c r="N278" s="14" t="s">
        <v>92</v>
      </c>
      <c r="O278" s="13" t="s">
        <v>92</v>
      </c>
      <c r="P278" s="13" t="s">
        <v>93</v>
      </c>
      <c r="Q278" s="13" t="s">
        <v>92</v>
      </c>
      <c r="R278" s="13" t="s">
        <v>92</v>
      </c>
      <c r="S278" s="13" t="s">
        <v>93</v>
      </c>
      <c r="T278" s="13" t="s">
        <v>92</v>
      </c>
      <c r="U278" s="13" t="s">
        <v>92</v>
      </c>
      <c r="V278" s="13" t="s">
        <v>92</v>
      </c>
      <c r="W278" s="13" t="s">
        <v>92</v>
      </c>
      <c r="X278" s="13" t="s">
        <v>92</v>
      </c>
      <c r="Y278" s="13" t="s">
        <v>92</v>
      </c>
      <c r="Z278" s="14" t="s">
        <v>93</v>
      </c>
      <c r="AA278" s="14" t="s">
        <v>92</v>
      </c>
      <c r="AB278" s="15" t="s">
        <v>93</v>
      </c>
      <c r="AC278" s="15" t="s">
        <v>93</v>
      </c>
      <c r="AD278" s="8" t="s">
        <v>93</v>
      </c>
      <c r="AE278" s="14" t="s">
        <v>112</v>
      </c>
      <c r="AF278" s="13" t="s">
        <v>92</v>
      </c>
      <c r="AG278" s="13" t="s">
        <v>95</v>
      </c>
      <c r="AH278" s="8" t="s">
        <v>105</v>
      </c>
      <c r="AI278" s="13" t="s">
        <v>92</v>
      </c>
      <c r="AJ278" s="13" t="s">
        <v>93</v>
      </c>
      <c r="AK278" s="13" t="s">
        <v>93</v>
      </c>
      <c r="AL278" s="14" t="s">
        <v>93</v>
      </c>
      <c r="AM278" s="15" t="s">
        <v>95</v>
      </c>
      <c r="AN278" s="13" t="s">
        <v>114</v>
      </c>
      <c r="AO278" s="15" t="s">
        <v>93</v>
      </c>
      <c r="AP278" s="15" t="s">
        <v>92</v>
      </c>
      <c r="AQ278" s="13" t="s">
        <v>92</v>
      </c>
      <c r="AR278" s="13" t="s">
        <v>92</v>
      </c>
      <c r="AS278" s="13" t="s">
        <v>92</v>
      </c>
      <c r="AT278" s="13" t="s">
        <v>92</v>
      </c>
      <c r="AU278" s="13" t="s">
        <v>93</v>
      </c>
      <c r="AV278" s="13" t="s">
        <v>93</v>
      </c>
      <c r="AW278" s="13" t="s">
        <v>93</v>
      </c>
      <c r="AX278" s="13" t="s">
        <v>92</v>
      </c>
      <c r="AY278" s="15" t="s">
        <v>441</v>
      </c>
      <c r="AZ278" s="15" t="s">
        <v>95</v>
      </c>
      <c r="BA278" s="16" t="s">
        <v>1291</v>
      </c>
      <c r="BB278" s="8" t="s">
        <v>213</v>
      </c>
      <c r="BC278" s="15" t="s">
        <v>92</v>
      </c>
      <c r="BD278" s="13" t="s">
        <v>93</v>
      </c>
      <c r="BE278" s="13" t="s">
        <v>92</v>
      </c>
      <c r="BF278" s="13" t="s">
        <v>92</v>
      </c>
      <c r="BG278" s="13" t="s">
        <v>92</v>
      </c>
      <c r="BH278" s="13" t="s">
        <v>92</v>
      </c>
      <c r="BI278" s="14" t="s">
        <v>92</v>
      </c>
      <c r="BJ278" s="13" t="s">
        <v>92</v>
      </c>
      <c r="BK278" s="14" t="s">
        <v>105</v>
      </c>
      <c r="BL278" s="14" t="s">
        <v>105</v>
      </c>
      <c r="BM278" s="14" t="s">
        <v>105</v>
      </c>
      <c r="BN278" s="14" t="s">
        <v>105</v>
      </c>
      <c r="BO278" s="14" t="s">
        <v>105</v>
      </c>
      <c r="BP278" s="14" t="s">
        <v>105</v>
      </c>
      <c r="BQ278" s="15" t="s">
        <v>92</v>
      </c>
      <c r="BR278" s="15" t="s">
        <v>92</v>
      </c>
      <c r="BS278" s="15" t="s">
        <v>93</v>
      </c>
      <c r="BT278" s="15" t="s">
        <v>93</v>
      </c>
      <c r="BU278" s="15" t="s">
        <v>92</v>
      </c>
      <c r="BV278" s="15" t="s">
        <v>93</v>
      </c>
      <c r="BW278" s="15" t="s">
        <v>92</v>
      </c>
      <c r="BX278" s="15" t="s">
        <v>92</v>
      </c>
      <c r="BY278" s="15" t="s">
        <v>92</v>
      </c>
      <c r="BZ278" s="8" t="s">
        <v>93</v>
      </c>
      <c r="CA278" s="15" t="s">
        <v>92</v>
      </c>
      <c r="CB278" s="17" t="s">
        <v>170</v>
      </c>
      <c r="CC278" s="17" t="s">
        <v>1307</v>
      </c>
      <c r="CD278" s="18"/>
      <c r="CE278" s="18"/>
      <c r="CF278" s="18"/>
      <c r="CG278" s="18"/>
      <c r="CH278" s="18"/>
    </row>
    <row r="279">
      <c r="A279" s="8"/>
      <c r="B279" s="9" t="s">
        <v>1286</v>
      </c>
      <c r="C279" s="10" t="s">
        <v>1287</v>
      </c>
      <c r="D279" s="9" t="s">
        <v>87</v>
      </c>
      <c r="E279" s="11" t="s">
        <v>1320</v>
      </c>
      <c r="F279" s="12"/>
      <c r="G279" s="14" t="s">
        <v>1321</v>
      </c>
      <c r="H279" s="14" t="s">
        <v>90</v>
      </c>
      <c r="I279" s="14" t="s">
        <v>1322</v>
      </c>
      <c r="J279" s="14" t="s">
        <v>93</v>
      </c>
      <c r="K279" s="14" t="s">
        <v>92</v>
      </c>
      <c r="L279" s="14" t="s">
        <v>93</v>
      </c>
      <c r="M279" s="14" t="s">
        <v>92</v>
      </c>
      <c r="N279" s="14" t="s">
        <v>92</v>
      </c>
      <c r="O279" s="14" t="s">
        <v>92</v>
      </c>
      <c r="P279" s="14" t="s">
        <v>92</v>
      </c>
      <c r="Q279" s="14" t="s">
        <v>92</v>
      </c>
      <c r="R279" s="14" t="s">
        <v>92</v>
      </c>
      <c r="S279" s="14" t="s">
        <v>93</v>
      </c>
      <c r="T279" s="14" t="s">
        <v>92</v>
      </c>
      <c r="U279" s="14" t="s">
        <v>92</v>
      </c>
      <c r="V279" s="14" t="s">
        <v>92</v>
      </c>
      <c r="W279" s="14" t="s">
        <v>92</v>
      </c>
      <c r="X279" s="14" t="s">
        <v>92</v>
      </c>
      <c r="Y279" s="14" t="s">
        <v>92</v>
      </c>
      <c r="Z279" s="14" t="s">
        <v>93</v>
      </c>
      <c r="AA279" s="14" t="s">
        <v>92</v>
      </c>
      <c r="AB279" s="8" t="s">
        <v>92</v>
      </c>
      <c r="AC279" s="8" t="s">
        <v>93</v>
      </c>
      <c r="AD279" s="8" t="s">
        <v>92</v>
      </c>
      <c r="AE279" s="14" t="s">
        <v>112</v>
      </c>
      <c r="AF279" s="14" t="s">
        <v>92</v>
      </c>
      <c r="AG279" s="14" t="s">
        <v>95</v>
      </c>
      <c r="AH279" s="8" t="s">
        <v>105</v>
      </c>
      <c r="AI279" s="14" t="s">
        <v>92</v>
      </c>
      <c r="AJ279" s="14" t="s">
        <v>92</v>
      </c>
      <c r="AK279" s="14" t="s">
        <v>92</v>
      </c>
      <c r="AL279" s="14" t="s">
        <v>93</v>
      </c>
      <c r="AM279" s="8" t="s">
        <v>95</v>
      </c>
      <c r="AN279" s="14" t="s">
        <v>114</v>
      </c>
      <c r="AO279" s="8" t="s">
        <v>92</v>
      </c>
      <c r="AP279" s="8" t="s">
        <v>92</v>
      </c>
      <c r="AQ279" s="14" t="s">
        <v>92</v>
      </c>
      <c r="AR279" s="14" t="s">
        <v>92</v>
      </c>
      <c r="AS279" s="14" t="s">
        <v>92</v>
      </c>
      <c r="AT279" s="14" t="s">
        <v>92</v>
      </c>
      <c r="AU279" s="14" t="s">
        <v>93</v>
      </c>
      <c r="AV279" s="14" t="s">
        <v>93</v>
      </c>
      <c r="AW279" s="14" t="s">
        <v>93</v>
      </c>
      <c r="AX279" s="14" t="s">
        <v>92</v>
      </c>
      <c r="AY279" s="8" t="s">
        <v>95</v>
      </c>
      <c r="AZ279" s="8" t="s">
        <v>95</v>
      </c>
      <c r="BA279" s="9" t="s">
        <v>1291</v>
      </c>
      <c r="BB279" s="8" t="s">
        <v>213</v>
      </c>
      <c r="BC279" s="8" t="s">
        <v>92</v>
      </c>
      <c r="BD279" s="14" t="s">
        <v>93</v>
      </c>
      <c r="BE279" s="14" t="s">
        <v>92</v>
      </c>
      <c r="BF279" s="14" t="s">
        <v>92</v>
      </c>
      <c r="BG279" s="14" t="s">
        <v>92</v>
      </c>
      <c r="BH279" s="14" t="s">
        <v>92</v>
      </c>
      <c r="BI279" s="14" t="s">
        <v>92</v>
      </c>
      <c r="BJ279" s="14" t="s">
        <v>92</v>
      </c>
      <c r="BK279" s="14" t="s">
        <v>105</v>
      </c>
      <c r="BL279" s="14" t="s">
        <v>105</v>
      </c>
      <c r="BM279" s="14" t="s">
        <v>105</v>
      </c>
      <c r="BN279" s="14" t="s">
        <v>105</v>
      </c>
      <c r="BO279" s="14" t="s">
        <v>105</v>
      </c>
      <c r="BP279" s="14" t="s">
        <v>105</v>
      </c>
      <c r="BQ279" s="8" t="s">
        <v>92</v>
      </c>
      <c r="BR279" s="8" t="s">
        <v>92</v>
      </c>
      <c r="BS279" s="8" t="s">
        <v>92</v>
      </c>
      <c r="BT279" s="8" t="s">
        <v>93</v>
      </c>
      <c r="BU279" s="8" t="s">
        <v>92</v>
      </c>
      <c r="BV279" s="8" t="s">
        <v>93</v>
      </c>
      <c r="BW279" s="8" t="s">
        <v>92</v>
      </c>
      <c r="BX279" s="8" t="s">
        <v>92</v>
      </c>
      <c r="BY279" s="8" t="s">
        <v>92</v>
      </c>
      <c r="BZ279" s="8" t="s">
        <v>93</v>
      </c>
      <c r="CA279" s="8" t="s">
        <v>92</v>
      </c>
      <c r="CB279" s="20" t="s">
        <v>660</v>
      </c>
      <c r="CC279" s="18"/>
      <c r="CD279" s="18"/>
      <c r="CE279" s="18"/>
      <c r="CF279" s="18"/>
      <c r="CG279" s="18"/>
      <c r="CH279" s="18"/>
    </row>
    <row r="280">
      <c r="A280" s="8"/>
      <c r="B280" s="9" t="s">
        <v>1286</v>
      </c>
      <c r="C280" s="10" t="s">
        <v>1287</v>
      </c>
      <c r="D280" s="9" t="s">
        <v>87</v>
      </c>
      <c r="E280" s="11" t="s">
        <v>1323</v>
      </c>
      <c r="F280" s="12"/>
      <c r="G280" s="14" t="s">
        <v>1324</v>
      </c>
      <c r="H280" s="14" t="s">
        <v>90</v>
      </c>
      <c r="I280" s="14" t="s">
        <v>1325</v>
      </c>
      <c r="J280" s="14" t="s">
        <v>93</v>
      </c>
      <c r="K280" s="14" t="s">
        <v>92</v>
      </c>
      <c r="L280" s="14" t="s">
        <v>93</v>
      </c>
      <c r="M280" s="14" t="s">
        <v>92</v>
      </c>
      <c r="N280" s="14" t="s">
        <v>92</v>
      </c>
      <c r="O280" s="14" t="s">
        <v>92</v>
      </c>
      <c r="P280" s="14" t="s">
        <v>92</v>
      </c>
      <c r="Q280" s="14" t="s">
        <v>92</v>
      </c>
      <c r="R280" s="14" t="s">
        <v>92</v>
      </c>
      <c r="S280" s="14" t="s">
        <v>93</v>
      </c>
      <c r="T280" s="14" t="s">
        <v>92</v>
      </c>
      <c r="U280" s="14" t="s">
        <v>92</v>
      </c>
      <c r="V280" s="14" t="s">
        <v>92</v>
      </c>
      <c r="W280" s="14" t="s">
        <v>92</v>
      </c>
      <c r="X280" s="14" t="s">
        <v>92</v>
      </c>
      <c r="Y280" s="14" t="s">
        <v>92</v>
      </c>
      <c r="Z280" s="14" t="s">
        <v>93</v>
      </c>
      <c r="AA280" s="14" t="s">
        <v>92</v>
      </c>
      <c r="AB280" s="8" t="s">
        <v>93</v>
      </c>
      <c r="AC280" s="8" t="s">
        <v>93</v>
      </c>
      <c r="AD280" s="8" t="s">
        <v>92</v>
      </c>
      <c r="AE280" s="14" t="s">
        <v>112</v>
      </c>
      <c r="AF280" s="14" t="s">
        <v>92</v>
      </c>
      <c r="AG280" s="14" t="s">
        <v>95</v>
      </c>
      <c r="AH280" s="8">
        <v>2023.0</v>
      </c>
      <c r="AI280" s="14" t="s">
        <v>92</v>
      </c>
      <c r="AJ280" s="14" t="s">
        <v>92</v>
      </c>
      <c r="AK280" s="14" t="s">
        <v>92</v>
      </c>
      <c r="AL280" s="14" t="s">
        <v>93</v>
      </c>
      <c r="AM280" s="8" t="s">
        <v>95</v>
      </c>
      <c r="AN280" s="14" t="s">
        <v>114</v>
      </c>
      <c r="AO280" s="8" t="s">
        <v>92</v>
      </c>
      <c r="AP280" s="8" t="s">
        <v>92</v>
      </c>
      <c r="AQ280" s="14" t="s">
        <v>92</v>
      </c>
      <c r="AR280" s="14" t="s">
        <v>92</v>
      </c>
      <c r="AS280" s="14" t="s">
        <v>92</v>
      </c>
      <c r="AT280" s="14" t="s">
        <v>92</v>
      </c>
      <c r="AU280" s="14" t="s">
        <v>93</v>
      </c>
      <c r="AV280" s="14" t="s">
        <v>93</v>
      </c>
      <c r="AW280" s="14" t="s">
        <v>93</v>
      </c>
      <c r="AX280" s="14" t="s">
        <v>92</v>
      </c>
      <c r="AY280" s="8" t="s">
        <v>1326</v>
      </c>
      <c r="AZ280" s="8" t="s">
        <v>93</v>
      </c>
      <c r="BA280" s="9" t="s">
        <v>1327</v>
      </c>
      <c r="BB280" s="8" t="s">
        <v>95</v>
      </c>
      <c r="BC280" s="8" t="s">
        <v>93</v>
      </c>
      <c r="BD280" s="14" t="s">
        <v>93</v>
      </c>
      <c r="BE280" s="14" t="s">
        <v>92</v>
      </c>
      <c r="BF280" s="14" t="s">
        <v>92</v>
      </c>
      <c r="BG280" s="14" t="s">
        <v>92</v>
      </c>
      <c r="BH280" s="14" t="s">
        <v>92</v>
      </c>
      <c r="BI280" s="14" t="s">
        <v>92</v>
      </c>
      <c r="BJ280" s="14" t="s">
        <v>92</v>
      </c>
      <c r="BK280" s="14" t="s">
        <v>332</v>
      </c>
      <c r="BL280" s="14" t="s">
        <v>92</v>
      </c>
      <c r="BM280" s="14" t="s">
        <v>92</v>
      </c>
      <c r="BN280" s="14" t="s">
        <v>92</v>
      </c>
      <c r="BO280" s="14" t="s">
        <v>93</v>
      </c>
      <c r="BP280" s="14" t="s">
        <v>92</v>
      </c>
      <c r="BQ280" s="8" t="s">
        <v>92</v>
      </c>
      <c r="BR280" s="8" t="s">
        <v>92</v>
      </c>
      <c r="BS280" s="8" t="s">
        <v>92</v>
      </c>
      <c r="BT280" s="8" t="s">
        <v>93</v>
      </c>
      <c r="BU280" s="8" t="s">
        <v>93</v>
      </c>
      <c r="BV280" s="8" t="s">
        <v>92</v>
      </c>
      <c r="BW280" s="8" t="s">
        <v>92</v>
      </c>
      <c r="BX280" s="8" t="s">
        <v>92</v>
      </c>
      <c r="BY280" s="8" t="s">
        <v>92</v>
      </c>
      <c r="BZ280" s="8" t="s">
        <v>93</v>
      </c>
      <c r="CA280" s="8" t="s">
        <v>92</v>
      </c>
      <c r="CB280" s="20" t="s">
        <v>660</v>
      </c>
      <c r="CC280" s="18"/>
      <c r="CD280" s="18"/>
      <c r="CE280" s="18"/>
      <c r="CF280" s="18"/>
      <c r="CG280" s="18"/>
      <c r="CH280" s="18"/>
    </row>
    <row r="281">
      <c r="A281" s="8"/>
      <c r="B281" s="9" t="s">
        <v>1286</v>
      </c>
      <c r="C281" s="10" t="s">
        <v>1287</v>
      </c>
      <c r="D281" s="9" t="s">
        <v>87</v>
      </c>
      <c r="E281" s="11" t="s">
        <v>1328</v>
      </c>
      <c r="F281" s="12"/>
      <c r="G281" s="13" t="s">
        <v>1329</v>
      </c>
      <c r="H281" s="13" t="s">
        <v>90</v>
      </c>
      <c r="I281" s="13" t="s">
        <v>1330</v>
      </c>
      <c r="J281" s="13" t="s">
        <v>92</v>
      </c>
      <c r="K281" s="14" t="s">
        <v>92</v>
      </c>
      <c r="L281" s="14" t="s">
        <v>93</v>
      </c>
      <c r="M281" s="14" t="s">
        <v>92</v>
      </c>
      <c r="N281" s="14" t="s">
        <v>92</v>
      </c>
      <c r="O281" s="14" t="s">
        <v>92</v>
      </c>
      <c r="P281" s="13" t="s">
        <v>93</v>
      </c>
      <c r="Q281" s="13" t="s">
        <v>92</v>
      </c>
      <c r="R281" s="13" t="s">
        <v>92</v>
      </c>
      <c r="S281" s="13" t="s">
        <v>93</v>
      </c>
      <c r="T281" s="13" t="s">
        <v>92</v>
      </c>
      <c r="U281" s="13" t="s">
        <v>92</v>
      </c>
      <c r="V281" s="13" t="s">
        <v>92</v>
      </c>
      <c r="W281" s="13" t="s">
        <v>92</v>
      </c>
      <c r="X281" s="13" t="s">
        <v>92</v>
      </c>
      <c r="Y281" s="13" t="s">
        <v>92</v>
      </c>
      <c r="Z281" s="14" t="s">
        <v>92</v>
      </c>
      <c r="AA281" s="14" t="s">
        <v>92</v>
      </c>
      <c r="AB281" s="15" t="s">
        <v>93</v>
      </c>
      <c r="AC281" s="15" t="s">
        <v>92</v>
      </c>
      <c r="AD281" s="15" t="s">
        <v>92</v>
      </c>
      <c r="AE281" s="14" t="s">
        <v>103</v>
      </c>
      <c r="AF281" s="13" t="s">
        <v>92</v>
      </c>
      <c r="AG281" s="13" t="s">
        <v>95</v>
      </c>
      <c r="AH281" s="8" t="s">
        <v>105</v>
      </c>
      <c r="AI281" s="13" t="s">
        <v>93</v>
      </c>
      <c r="AJ281" s="13" t="s">
        <v>92</v>
      </c>
      <c r="AK281" s="13" t="s">
        <v>92</v>
      </c>
      <c r="AL281" s="14" t="s">
        <v>92</v>
      </c>
      <c r="AM281" s="8" t="s">
        <v>105</v>
      </c>
      <c r="AN281" s="14" t="s">
        <v>105</v>
      </c>
      <c r="AO281" s="8" t="s">
        <v>105</v>
      </c>
      <c r="AP281" s="15" t="s">
        <v>92</v>
      </c>
      <c r="AQ281" s="13" t="s">
        <v>92</v>
      </c>
      <c r="AR281" s="13" t="s">
        <v>92</v>
      </c>
      <c r="AS281" s="13" t="s">
        <v>92</v>
      </c>
      <c r="AT281" s="13" t="s">
        <v>92</v>
      </c>
      <c r="AU281" s="13" t="s">
        <v>93</v>
      </c>
      <c r="AV281" s="13" t="s">
        <v>93</v>
      </c>
      <c r="AW281" s="13" t="s">
        <v>93</v>
      </c>
      <c r="AX281" s="13" t="s">
        <v>92</v>
      </c>
      <c r="AY281" s="15" t="s">
        <v>441</v>
      </c>
      <c r="AZ281" s="15" t="s">
        <v>95</v>
      </c>
      <c r="BA281" s="16" t="s">
        <v>1291</v>
      </c>
      <c r="BB281" s="8" t="s">
        <v>213</v>
      </c>
      <c r="BC281" s="15" t="s">
        <v>92</v>
      </c>
      <c r="BD281" s="13" t="s">
        <v>93</v>
      </c>
      <c r="BE281" s="13" t="s">
        <v>92</v>
      </c>
      <c r="BF281" s="13" t="s">
        <v>92</v>
      </c>
      <c r="BG281" s="13" t="s">
        <v>92</v>
      </c>
      <c r="BH281" s="13" t="s">
        <v>92</v>
      </c>
      <c r="BI281" s="13" t="s">
        <v>92</v>
      </c>
      <c r="BJ281" s="13" t="s">
        <v>92</v>
      </c>
      <c r="BK281" s="14" t="s">
        <v>105</v>
      </c>
      <c r="BL281" s="14" t="s">
        <v>105</v>
      </c>
      <c r="BM281" s="14" t="s">
        <v>105</v>
      </c>
      <c r="BN281" s="14" t="s">
        <v>105</v>
      </c>
      <c r="BO281" s="14" t="s">
        <v>105</v>
      </c>
      <c r="BP281" s="14" t="s">
        <v>105</v>
      </c>
      <c r="BQ281" s="15" t="s">
        <v>92</v>
      </c>
      <c r="BR281" s="15" t="s">
        <v>92</v>
      </c>
      <c r="BS281" s="15" t="s">
        <v>93</v>
      </c>
      <c r="BT281" s="15" t="s">
        <v>92</v>
      </c>
      <c r="BU281" s="15" t="s">
        <v>92</v>
      </c>
      <c r="BV281" s="15" t="s">
        <v>92</v>
      </c>
      <c r="BW281" s="15" t="s">
        <v>92</v>
      </c>
      <c r="BX281" s="15" t="s">
        <v>92</v>
      </c>
      <c r="BY281" s="15" t="s">
        <v>92</v>
      </c>
      <c r="BZ281" s="15" t="s">
        <v>92</v>
      </c>
      <c r="CA281" s="15" t="s">
        <v>92</v>
      </c>
      <c r="CB281" s="17" t="s">
        <v>1292</v>
      </c>
      <c r="CC281" s="17"/>
      <c r="CD281" s="18"/>
      <c r="CE281" s="18"/>
      <c r="CF281" s="18"/>
      <c r="CG281" s="18"/>
      <c r="CH281" s="18"/>
    </row>
    <row r="282">
      <c r="A282" s="8"/>
      <c r="B282" s="9" t="s">
        <v>415</v>
      </c>
      <c r="C282" s="10" t="s">
        <v>1331</v>
      </c>
      <c r="D282" s="9" t="s">
        <v>87</v>
      </c>
      <c r="E282" s="11" t="s">
        <v>1332</v>
      </c>
      <c r="F282" s="12"/>
      <c r="G282" s="14" t="s">
        <v>1333</v>
      </c>
      <c r="H282" s="9" t="s">
        <v>110</v>
      </c>
      <c r="I282" s="14" t="s">
        <v>1334</v>
      </c>
      <c r="J282" s="14" t="s">
        <v>92</v>
      </c>
      <c r="K282" s="14" t="s">
        <v>92</v>
      </c>
      <c r="L282" s="14" t="s">
        <v>92</v>
      </c>
      <c r="M282" s="14" t="s">
        <v>93</v>
      </c>
      <c r="N282" s="14" t="s">
        <v>92</v>
      </c>
      <c r="O282" s="14" t="s">
        <v>93</v>
      </c>
      <c r="P282" s="14" t="s">
        <v>93</v>
      </c>
      <c r="Q282" s="14" t="s">
        <v>92</v>
      </c>
      <c r="R282" s="14" t="s">
        <v>92</v>
      </c>
      <c r="S282" s="14" t="s">
        <v>92</v>
      </c>
      <c r="T282" s="14" t="s">
        <v>92</v>
      </c>
      <c r="U282" s="14" t="s">
        <v>92</v>
      </c>
      <c r="V282" s="14" t="s">
        <v>92</v>
      </c>
      <c r="W282" s="14" t="s">
        <v>92</v>
      </c>
      <c r="X282" s="14" t="s">
        <v>92</v>
      </c>
      <c r="Y282" s="14" t="s">
        <v>92</v>
      </c>
      <c r="Z282" s="14" t="s">
        <v>93</v>
      </c>
      <c r="AA282" s="14" t="s">
        <v>93</v>
      </c>
      <c r="AB282" s="8" t="s">
        <v>93</v>
      </c>
      <c r="AC282" s="8" t="s">
        <v>93</v>
      </c>
      <c r="AD282" s="8" t="s">
        <v>92</v>
      </c>
      <c r="AE282" s="14" t="s">
        <v>112</v>
      </c>
      <c r="AF282" s="14" t="s">
        <v>93</v>
      </c>
      <c r="AG282" s="14" t="s">
        <v>105</v>
      </c>
      <c r="AH282" s="8" t="s">
        <v>105</v>
      </c>
      <c r="AI282" s="14" t="s">
        <v>93</v>
      </c>
      <c r="AJ282" s="14" t="s">
        <v>93</v>
      </c>
      <c r="AK282" s="14" t="s">
        <v>93</v>
      </c>
      <c r="AL282" s="14" t="s">
        <v>93</v>
      </c>
      <c r="AM282" s="8" t="s">
        <v>95</v>
      </c>
      <c r="AN282" s="14" t="s">
        <v>114</v>
      </c>
      <c r="AO282" s="8" t="s">
        <v>93</v>
      </c>
      <c r="AP282" s="8" t="s">
        <v>92</v>
      </c>
      <c r="AQ282" s="14" t="s">
        <v>92</v>
      </c>
      <c r="AR282" s="14" t="s">
        <v>92</v>
      </c>
      <c r="AS282" s="14" t="s">
        <v>92</v>
      </c>
      <c r="AT282" s="14" t="s">
        <v>92</v>
      </c>
      <c r="AU282" s="14" t="s">
        <v>92</v>
      </c>
      <c r="AV282" s="14" t="s">
        <v>92</v>
      </c>
      <c r="AW282" s="14" t="s">
        <v>92</v>
      </c>
      <c r="AX282" s="14" t="s">
        <v>92</v>
      </c>
      <c r="AY282" s="8" t="s">
        <v>1335</v>
      </c>
      <c r="AZ282" s="8" t="s">
        <v>93</v>
      </c>
      <c r="BA282" s="9" t="s">
        <v>1336</v>
      </c>
      <c r="BB282" s="8" t="s">
        <v>95</v>
      </c>
      <c r="BC282" s="8" t="s">
        <v>93</v>
      </c>
      <c r="BD282" s="14" t="s">
        <v>93</v>
      </c>
      <c r="BE282" s="14" t="s">
        <v>92</v>
      </c>
      <c r="BF282" s="14" t="s">
        <v>92</v>
      </c>
      <c r="BG282" s="14" t="s">
        <v>92</v>
      </c>
      <c r="BH282" s="14" t="s">
        <v>92</v>
      </c>
      <c r="BI282" s="14" t="s">
        <v>93</v>
      </c>
      <c r="BJ282" s="14" t="s">
        <v>92</v>
      </c>
      <c r="BK282" s="14" t="s">
        <v>105</v>
      </c>
      <c r="BL282" s="14" t="s">
        <v>105</v>
      </c>
      <c r="BM282" s="14" t="s">
        <v>105</v>
      </c>
      <c r="BN282" s="14" t="s">
        <v>105</v>
      </c>
      <c r="BO282" s="14" t="s">
        <v>105</v>
      </c>
      <c r="BP282" s="14" t="s">
        <v>105</v>
      </c>
      <c r="BQ282" s="8" t="s">
        <v>92</v>
      </c>
      <c r="BR282" s="8" t="s">
        <v>92</v>
      </c>
      <c r="BS282" s="8" t="s">
        <v>93</v>
      </c>
      <c r="BT282" s="8" t="s">
        <v>93</v>
      </c>
      <c r="BU282" s="8" t="s">
        <v>92</v>
      </c>
      <c r="BV282" s="8" t="s">
        <v>93</v>
      </c>
      <c r="BW282" s="8" t="s">
        <v>92</v>
      </c>
      <c r="BX282" s="8" t="s">
        <v>93</v>
      </c>
      <c r="BY282" s="8" t="s">
        <v>92</v>
      </c>
      <c r="BZ282" s="8" t="s">
        <v>92</v>
      </c>
      <c r="CA282" s="8" t="s">
        <v>93</v>
      </c>
      <c r="CB282" s="20" t="s">
        <v>1337</v>
      </c>
      <c r="CC282" s="17"/>
      <c r="CD282" s="18"/>
      <c r="CE282" s="18"/>
      <c r="CF282" s="18"/>
      <c r="CG282" s="18"/>
      <c r="CH282" s="18"/>
    </row>
    <row r="283">
      <c r="A283" s="8"/>
      <c r="B283" s="9" t="s">
        <v>415</v>
      </c>
      <c r="C283" s="10" t="s">
        <v>1331</v>
      </c>
      <c r="D283" s="9" t="s">
        <v>87</v>
      </c>
      <c r="E283" s="11" t="s">
        <v>1338</v>
      </c>
      <c r="F283" s="12"/>
      <c r="G283" s="14" t="s">
        <v>1339</v>
      </c>
      <c r="H283" s="14" t="s">
        <v>110</v>
      </c>
      <c r="I283" s="14" t="s">
        <v>1340</v>
      </c>
      <c r="J283" s="14" t="s">
        <v>92</v>
      </c>
      <c r="K283" s="14" t="s">
        <v>92</v>
      </c>
      <c r="L283" s="14" t="s">
        <v>92</v>
      </c>
      <c r="M283" s="14" t="s">
        <v>93</v>
      </c>
      <c r="N283" s="14" t="s">
        <v>92</v>
      </c>
      <c r="O283" s="14" t="s">
        <v>93</v>
      </c>
      <c r="P283" s="14" t="s">
        <v>93</v>
      </c>
      <c r="Q283" s="14" t="s">
        <v>92</v>
      </c>
      <c r="R283" s="14" t="s">
        <v>92</v>
      </c>
      <c r="S283" s="14" t="s">
        <v>92</v>
      </c>
      <c r="T283" s="14" t="s">
        <v>92</v>
      </c>
      <c r="U283" s="14" t="s">
        <v>92</v>
      </c>
      <c r="V283" s="14" t="s">
        <v>92</v>
      </c>
      <c r="W283" s="14" t="s">
        <v>92</v>
      </c>
      <c r="X283" s="14" t="s">
        <v>92</v>
      </c>
      <c r="Y283" s="14" t="s">
        <v>92</v>
      </c>
      <c r="Z283" s="14" t="s">
        <v>92</v>
      </c>
      <c r="AA283" s="14" t="s">
        <v>93</v>
      </c>
      <c r="AB283" s="8" t="s">
        <v>93</v>
      </c>
      <c r="AC283" s="8" t="s">
        <v>92</v>
      </c>
      <c r="AD283" s="8" t="s">
        <v>92</v>
      </c>
      <c r="AE283" s="14" t="s">
        <v>103</v>
      </c>
      <c r="AF283" s="14" t="s">
        <v>92</v>
      </c>
      <c r="AG283" s="14" t="s">
        <v>95</v>
      </c>
      <c r="AH283" s="8" t="s">
        <v>105</v>
      </c>
      <c r="AI283" s="14" t="s">
        <v>93</v>
      </c>
      <c r="AJ283" s="14" t="s">
        <v>93</v>
      </c>
      <c r="AK283" s="14" t="s">
        <v>93</v>
      </c>
      <c r="AL283" s="14" t="s">
        <v>93</v>
      </c>
      <c r="AM283" s="8" t="s">
        <v>95</v>
      </c>
      <c r="AN283" s="14" t="s">
        <v>114</v>
      </c>
      <c r="AO283" s="8" t="s">
        <v>93</v>
      </c>
      <c r="AP283" s="8" t="s">
        <v>92</v>
      </c>
      <c r="AQ283" s="14" t="s">
        <v>92</v>
      </c>
      <c r="AR283" s="14" t="s">
        <v>92</v>
      </c>
      <c r="AS283" s="14" t="s">
        <v>92</v>
      </c>
      <c r="AT283" s="14" t="s">
        <v>92</v>
      </c>
      <c r="AU283" s="14" t="s">
        <v>92</v>
      </c>
      <c r="AV283" s="14" t="s">
        <v>92</v>
      </c>
      <c r="AW283" s="14" t="s">
        <v>92</v>
      </c>
      <c r="AX283" s="14" t="s">
        <v>92</v>
      </c>
      <c r="AY283" s="8" t="s">
        <v>1341</v>
      </c>
      <c r="AZ283" s="8" t="s">
        <v>93</v>
      </c>
      <c r="BA283" s="9" t="s">
        <v>1342</v>
      </c>
      <c r="BB283" s="8" t="s">
        <v>95</v>
      </c>
      <c r="BC283" s="8" t="s">
        <v>93</v>
      </c>
      <c r="BD283" s="14" t="s">
        <v>93</v>
      </c>
      <c r="BE283" s="14" t="s">
        <v>92</v>
      </c>
      <c r="BF283" s="14" t="s">
        <v>92</v>
      </c>
      <c r="BG283" s="14" t="s">
        <v>92</v>
      </c>
      <c r="BH283" s="14" t="s">
        <v>92</v>
      </c>
      <c r="BI283" s="14" t="s">
        <v>92</v>
      </c>
      <c r="BJ283" s="14" t="s">
        <v>92</v>
      </c>
      <c r="BK283" s="14" t="s">
        <v>105</v>
      </c>
      <c r="BL283" s="14" t="s">
        <v>105</v>
      </c>
      <c r="BM283" s="14" t="s">
        <v>105</v>
      </c>
      <c r="BN283" s="14" t="s">
        <v>105</v>
      </c>
      <c r="BO283" s="14" t="s">
        <v>105</v>
      </c>
      <c r="BP283" s="14" t="s">
        <v>105</v>
      </c>
      <c r="BQ283" s="8" t="s">
        <v>92</v>
      </c>
      <c r="BR283" s="8" t="s">
        <v>92</v>
      </c>
      <c r="BS283" s="8" t="s">
        <v>93</v>
      </c>
      <c r="BT283" s="8" t="s">
        <v>92</v>
      </c>
      <c r="BU283" s="8" t="s">
        <v>92</v>
      </c>
      <c r="BV283" s="8" t="s">
        <v>92</v>
      </c>
      <c r="BW283" s="8" t="s">
        <v>92</v>
      </c>
      <c r="BX283" s="8" t="s">
        <v>92</v>
      </c>
      <c r="BY283" s="8" t="s">
        <v>92</v>
      </c>
      <c r="BZ283" s="8" t="s">
        <v>92</v>
      </c>
      <c r="CA283" s="8" t="s">
        <v>93</v>
      </c>
      <c r="CB283" s="20" t="s">
        <v>1337</v>
      </c>
      <c r="CC283" s="17"/>
      <c r="CD283" s="18"/>
      <c r="CE283" s="18"/>
      <c r="CF283" s="18"/>
      <c r="CG283" s="18"/>
      <c r="CH283" s="18"/>
    </row>
    <row r="284">
      <c r="A284" s="8"/>
      <c r="B284" s="9" t="s">
        <v>415</v>
      </c>
      <c r="C284" s="10" t="s">
        <v>1331</v>
      </c>
      <c r="D284" s="9" t="s">
        <v>87</v>
      </c>
      <c r="E284" s="11" t="s">
        <v>1343</v>
      </c>
      <c r="F284" s="12"/>
      <c r="G284" s="14" t="s">
        <v>1344</v>
      </c>
      <c r="H284" s="14" t="s">
        <v>110</v>
      </c>
      <c r="I284" s="14" t="s">
        <v>1345</v>
      </c>
      <c r="J284" s="14" t="s">
        <v>93</v>
      </c>
      <c r="K284" s="14" t="s">
        <v>92</v>
      </c>
      <c r="L284" s="14" t="s">
        <v>92</v>
      </c>
      <c r="M284" s="14" t="s">
        <v>92</v>
      </c>
      <c r="N284" s="14" t="s">
        <v>92</v>
      </c>
      <c r="O284" s="14" t="s">
        <v>92</v>
      </c>
      <c r="P284" s="14" t="s">
        <v>92</v>
      </c>
      <c r="Q284" s="14" t="s">
        <v>92</v>
      </c>
      <c r="R284" s="14" t="s">
        <v>92</v>
      </c>
      <c r="S284" s="14" t="s">
        <v>92</v>
      </c>
      <c r="T284" s="14" t="s">
        <v>92</v>
      </c>
      <c r="U284" s="14" t="s">
        <v>92</v>
      </c>
      <c r="V284" s="14" t="s">
        <v>92</v>
      </c>
      <c r="W284" s="14" t="s">
        <v>92</v>
      </c>
      <c r="X284" s="14" t="s">
        <v>92</v>
      </c>
      <c r="Y284" s="14" t="s">
        <v>92</v>
      </c>
      <c r="Z284" s="14" t="s">
        <v>93</v>
      </c>
      <c r="AA284" s="14" t="s">
        <v>92</v>
      </c>
      <c r="AB284" s="8" t="s">
        <v>92</v>
      </c>
      <c r="AC284" s="8" t="s">
        <v>93</v>
      </c>
      <c r="AD284" s="8" t="s">
        <v>93</v>
      </c>
      <c r="AE284" s="14" t="s">
        <v>112</v>
      </c>
      <c r="AF284" s="14" t="s">
        <v>92</v>
      </c>
      <c r="AG284" s="14" t="s">
        <v>95</v>
      </c>
      <c r="AH284" s="8" t="s">
        <v>105</v>
      </c>
      <c r="AI284" s="14" t="s">
        <v>93</v>
      </c>
      <c r="AJ284" s="14" t="s">
        <v>92</v>
      </c>
      <c r="AK284" s="14" t="s">
        <v>92</v>
      </c>
      <c r="AL284" s="14" t="s">
        <v>92</v>
      </c>
      <c r="AM284" s="8" t="s">
        <v>105</v>
      </c>
      <c r="AN284" s="14" t="s">
        <v>105</v>
      </c>
      <c r="AO284" s="8" t="s">
        <v>105</v>
      </c>
      <c r="AP284" s="8" t="s">
        <v>92</v>
      </c>
      <c r="AQ284" s="14" t="s">
        <v>92</v>
      </c>
      <c r="AR284" s="14" t="s">
        <v>92</v>
      </c>
      <c r="AS284" s="14" t="s">
        <v>92</v>
      </c>
      <c r="AT284" s="14" t="s">
        <v>92</v>
      </c>
      <c r="AU284" s="14" t="s">
        <v>92</v>
      </c>
      <c r="AV284" s="14" t="s">
        <v>92</v>
      </c>
      <c r="AW284" s="14" t="s">
        <v>92</v>
      </c>
      <c r="AX284" s="14" t="s">
        <v>92</v>
      </c>
      <c r="AY284" s="8" t="s">
        <v>95</v>
      </c>
      <c r="AZ284" s="8" t="s">
        <v>95</v>
      </c>
      <c r="BA284" s="9" t="s">
        <v>415</v>
      </c>
      <c r="BB284" s="8" t="s">
        <v>416</v>
      </c>
      <c r="BC284" s="8" t="s">
        <v>92</v>
      </c>
      <c r="BD284" s="14" t="s">
        <v>93</v>
      </c>
      <c r="BE284" s="14" t="s">
        <v>92</v>
      </c>
      <c r="BF284" s="14" t="s">
        <v>92</v>
      </c>
      <c r="BG284" s="14" t="s">
        <v>92</v>
      </c>
      <c r="BH284" s="14" t="s">
        <v>92</v>
      </c>
      <c r="BI284" s="14" t="s">
        <v>92</v>
      </c>
      <c r="BJ284" s="14" t="s">
        <v>92</v>
      </c>
      <c r="BK284" s="14" t="s">
        <v>105</v>
      </c>
      <c r="BL284" s="14" t="s">
        <v>105</v>
      </c>
      <c r="BM284" s="14" t="s">
        <v>105</v>
      </c>
      <c r="BN284" s="14" t="s">
        <v>105</v>
      </c>
      <c r="BO284" s="14" t="s">
        <v>105</v>
      </c>
      <c r="BP284" s="14" t="s">
        <v>105</v>
      </c>
      <c r="BQ284" s="8" t="s">
        <v>92</v>
      </c>
      <c r="BR284" s="8" t="s">
        <v>92</v>
      </c>
      <c r="BS284" s="8" t="s">
        <v>92</v>
      </c>
      <c r="BT284" s="8" t="s">
        <v>93</v>
      </c>
      <c r="BU284" s="8" t="s">
        <v>93</v>
      </c>
      <c r="BV284" s="8" t="s">
        <v>92</v>
      </c>
      <c r="BW284" s="8" t="s">
        <v>92</v>
      </c>
      <c r="BX284" s="8" t="s">
        <v>92</v>
      </c>
      <c r="BY284" s="8" t="s">
        <v>92</v>
      </c>
      <c r="BZ284" s="8" t="s">
        <v>93</v>
      </c>
      <c r="CA284" s="8" t="s">
        <v>92</v>
      </c>
      <c r="CB284" s="20" t="s">
        <v>1337</v>
      </c>
      <c r="CC284" s="17"/>
      <c r="CD284" s="18"/>
      <c r="CE284" s="18"/>
      <c r="CF284" s="18"/>
      <c r="CG284" s="18"/>
      <c r="CH284" s="18"/>
    </row>
    <row r="285">
      <c r="A285" s="8"/>
      <c r="B285" s="9" t="s">
        <v>415</v>
      </c>
      <c r="C285" s="10" t="s">
        <v>1331</v>
      </c>
      <c r="D285" s="9" t="s">
        <v>87</v>
      </c>
      <c r="E285" s="11" t="s">
        <v>262</v>
      </c>
      <c r="F285" s="25"/>
      <c r="G285" s="50" t="s">
        <v>263</v>
      </c>
      <c r="H285" s="50" t="s">
        <v>110</v>
      </c>
      <c r="I285" s="50" t="s">
        <v>264</v>
      </c>
      <c r="J285" s="50" t="s">
        <v>93</v>
      </c>
      <c r="K285" s="50" t="s">
        <v>92</v>
      </c>
      <c r="L285" s="50" t="s">
        <v>93</v>
      </c>
      <c r="M285" s="50" t="s">
        <v>92</v>
      </c>
      <c r="N285" s="14" t="s">
        <v>92</v>
      </c>
      <c r="O285" s="50" t="s">
        <v>92</v>
      </c>
      <c r="P285" s="50" t="s">
        <v>92</v>
      </c>
      <c r="Q285" s="50" t="s">
        <v>92</v>
      </c>
      <c r="R285" s="50" t="s">
        <v>92</v>
      </c>
      <c r="S285" s="50" t="s">
        <v>93</v>
      </c>
      <c r="T285" s="50" t="s">
        <v>92</v>
      </c>
      <c r="U285" s="50" t="s">
        <v>92</v>
      </c>
      <c r="V285" s="50" t="s">
        <v>92</v>
      </c>
      <c r="W285" s="50" t="s">
        <v>92</v>
      </c>
      <c r="X285" s="50" t="s">
        <v>92</v>
      </c>
      <c r="Y285" s="50" t="s">
        <v>92</v>
      </c>
      <c r="Z285" s="50" t="s">
        <v>93</v>
      </c>
      <c r="AA285" s="50" t="s">
        <v>92</v>
      </c>
      <c r="AB285" s="49" t="s">
        <v>92</v>
      </c>
      <c r="AC285" s="49" t="s">
        <v>93</v>
      </c>
      <c r="AD285" s="49" t="s">
        <v>92</v>
      </c>
      <c r="AE285" s="50" t="s">
        <v>112</v>
      </c>
      <c r="AF285" s="50" t="s">
        <v>92</v>
      </c>
      <c r="AG285" s="50" t="s">
        <v>95</v>
      </c>
      <c r="AH285" s="49">
        <v>2021.0</v>
      </c>
      <c r="AI285" s="50" t="s">
        <v>92</v>
      </c>
      <c r="AJ285" s="50" t="s">
        <v>93</v>
      </c>
      <c r="AK285" s="50" t="s">
        <v>93</v>
      </c>
      <c r="AL285" s="50" t="s">
        <v>93</v>
      </c>
      <c r="AM285" s="49" t="s">
        <v>95</v>
      </c>
      <c r="AN285" s="50" t="s">
        <v>114</v>
      </c>
      <c r="AO285" s="49" t="s">
        <v>93</v>
      </c>
      <c r="AP285" s="49" t="s">
        <v>92</v>
      </c>
      <c r="AQ285" s="14" t="s">
        <v>92</v>
      </c>
      <c r="AR285" s="14" t="s">
        <v>92</v>
      </c>
      <c r="AS285" s="14" t="s">
        <v>92</v>
      </c>
      <c r="AT285" s="14" t="s">
        <v>92</v>
      </c>
      <c r="AU285" s="14" t="s">
        <v>92</v>
      </c>
      <c r="AV285" s="14" t="s">
        <v>92</v>
      </c>
      <c r="AW285" s="14" t="s">
        <v>92</v>
      </c>
      <c r="AX285" s="14" t="s">
        <v>92</v>
      </c>
      <c r="AY285" s="58" t="s">
        <v>1346</v>
      </c>
      <c r="AZ285" s="49" t="s">
        <v>93</v>
      </c>
      <c r="BA285" s="50" t="s">
        <v>260</v>
      </c>
      <c r="BB285" s="49" t="s">
        <v>261</v>
      </c>
      <c r="BC285" s="49" t="s">
        <v>92</v>
      </c>
      <c r="BD285" s="50" t="s">
        <v>93</v>
      </c>
      <c r="BE285" s="50" t="s">
        <v>92</v>
      </c>
      <c r="BF285" s="50" t="s">
        <v>92</v>
      </c>
      <c r="BG285" s="50" t="s">
        <v>92</v>
      </c>
      <c r="BH285" s="50" t="s">
        <v>92</v>
      </c>
      <c r="BI285" s="50" t="s">
        <v>92</v>
      </c>
      <c r="BJ285" s="50" t="s">
        <v>92</v>
      </c>
      <c r="BK285" s="50" t="s">
        <v>105</v>
      </c>
      <c r="BL285" s="50" t="s">
        <v>105</v>
      </c>
      <c r="BM285" s="50" t="s">
        <v>105</v>
      </c>
      <c r="BN285" s="50" t="s">
        <v>105</v>
      </c>
      <c r="BO285" s="50" t="s">
        <v>105</v>
      </c>
      <c r="BP285" s="50" t="s">
        <v>105</v>
      </c>
      <c r="BQ285" s="49" t="s">
        <v>92</v>
      </c>
      <c r="BR285" s="49" t="s">
        <v>92</v>
      </c>
      <c r="BS285" s="49" t="s">
        <v>92</v>
      </c>
      <c r="BT285" s="49" t="s">
        <v>93</v>
      </c>
      <c r="BU285" s="49" t="s">
        <v>92</v>
      </c>
      <c r="BV285" s="49" t="s">
        <v>92</v>
      </c>
      <c r="BW285" s="49" t="s">
        <v>92</v>
      </c>
      <c r="BX285" s="49" t="s">
        <v>92</v>
      </c>
      <c r="BY285" s="49" t="s">
        <v>92</v>
      </c>
      <c r="BZ285" s="49" t="s">
        <v>93</v>
      </c>
      <c r="CA285" s="49" t="s">
        <v>92</v>
      </c>
      <c r="CB285" s="59" t="s">
        <v>266</v>
      </c>
      <c r="CC285" s="60" t="s">
        <v>267</v>
      </c>
      <c r="CD285" s="60" t="s">
        <v>268</v>
      </c>
      <c r="CE285" s="60" t="s">
        <v>269</v>
      </c>
      <c r="CF285" s="60" t="s">
        <v>116</v>
      </c>
      <c r="CG285" s="60" t="s">
        <v>268</v>
      </c>
      <c r="CH285" s="18"/>
    </row>
    <row r="286">
      <c r="A286" s="8"/>
      <c r="B286" s="9" t="s">
        <v>415</v>
      </c>
      <c r="C286" s="10" t="s">
        <v>1331</v>
      </c>
      <c r="D286" s="9" t="s">
        <v>87</v>
      </c>
      <c r="E286" s="11" t="s">
        <v>569</v>
      </c>
      <c r="F286" s="54"/>
      <c r="G286" s="50" t="s">
        <v>570</v>
      </c>
      <c r="H286" s="50" t="s">
        <v>90</v>
      </c>
      <c r="I286" s="50" t="s">
        <v>571</v>
      </c>
      <c r="J286" s="50" t="s">
        <v>92</v>
      </c>
      <c r="K286" s="50" t="s">
        <v>92</v>
      </c>
      <c r="L286" s="50" t="s">
        <v>92</v>
      </c>
      <c r="M286" s="50" t="s">
        <v>92</v>
      </c>
      <c r="N286" s="58" t="s">
        <v>92</v>
      </c>
      <c r="O286" s="50" t="s">
        <v>92</v>
      </c>
      <c r="P286" s="50" t="s">
        <v>92</v>
      </c>
      <c r="Q286" s="50" t="s">
        <v>92</v>
      </c>
      <c r="R286" s="50" t="s">
        <v>92</v>
      </c>
      <c r="S286" s="50" t="s">
        <v>93</v>
      </c>
      <c r="T286" s="50" t="s">
        <v>92</v>
      </c>
      <c r="U286" s="50" t="s">
        <v>92</v>
      </c>
      <c r="V286" s="50" t="s">
        <v>92</v>
      </c>
      <c r="W286" s="50" t="s">
        <v>92</v>
      </c>
      <c r="X286" s="50" t="s">
        <v>92</v>
      </c>
      <c r="Y286" s="50" t="s">
        <v>92</v>
      </c>
      <c r="Z286" s="50" t="s">
        <v>93</v>
      </c>
      <c r="AA286" s="50" t="s">
        <v>92</v>
      </c>
      <c r="AB286" s="49" t="s">
        <v>93</v>
      </c>
      <c r="AC286" s="49" t="s">
        <v>93</v>
      </c>
      <c r="AD286" s="49" t="s">
        <v>92</v>
      </c>
      <c r="AE286" s="50" t="s">
        <v>112</v>
      </c>
      <c r="AF286" s="50" t="s">
        <v>92</v>
      </c>
      <c r="AG286" s="50" t="s">
        <v>95</v>
      </c>
      <c r="AH286" s="49">
        <v>2022.0</v>
      </c>
      <c r="AI286" s="50" t="s">
        <v>92</v>
      </c>
      <c r="AJ286" s="50" t="s">
        <v>92</v>
      </c>
      <c r="AK286" s="50" t="s">
        <v>93</v>
      </c>
      <c r="AL286" s="50" t="s">
        <v>93</v>
      </c>
      <c r="AM286" s="49" t="s">
        <v>95</v>
      </c>
      <c r="AN286" s="50" t="s">
        <v>114</v>
      </c>
      <c r="AO286" s="49" t="s">
        <v>93</v>
      </c>
      <c r="AP286" s="49" t="s">
        <v>92</v>
      </c>
      <c r="AQ286" s="14" t="s">
        <v>92</v>
      </c>
      <c r="AR286" s="14" t="s">
        <v>92</v>
      </c>
      <c r="AS286" s="14" t="s">
        <v>92</v>
      </c>
      <c r="AT286" s="14" t="s">
        <v>92</v>
      </c>
      <c r="AU286" s="14" t="s">
        <v>92</v>
      </c>
      <c r="AV286" s="14" t="s">
        <v>92</v>
      </c>
      <c r="AW286" s="14" t="s">
        <v>92</v>
      </c>
      <c r="AX286" s="14" t="s">
        <v>92</v>
      </c>
      <c r="AY286" s="61" t="s">
        <v>1347</v>
      </c>
      <c r="AZ286" s="49" t="s">
        <v>93</v>
      </c>
      <c r="BA286" s="50" t="s">
        <v>573</v>
      </c>
      <c r="BB286" s="49" t="s">
        <v>143</v>
      </c>
      <c r="BC286" s="49" t="s">
        <v>92</v>
      </c>
      <c r="BD286" s="50" t="s">
        <v>93</v>
      </c>
      <c r="BE286" s="50" t="s">
        <v>92</v>
      </c>
      <c r="BF286" s="50" t="s">
        <v>92</v>
      </c>
      <c r="BG286" s="50" t="s">
        <v>92</v>
      </c>
      <c r="BH286" s="50" t="s">
        <v>92</v>
      </c>
      <c r="BI286" s="50" t="s">
        <v>92</v>
      </c>
      <c r="BJ286" s="50" t="s">
        <v>93</v>
      </c>
      <c r="BK286" s="50" t="s">
        <v>574</v>
      </c>
      <c r="BL286" s="50" t="s">
        <v>93</v>
      </c>
      <c r="BM286" s="50" t="s">
        <v>92</v>
      </c>
      <c r="BN286" s="50" t="s">
        <v>92</v>
      </c>
      <c r="BO286" s="50" t="s">
        <v>92</v>
      </c>
      <c r="BP286" s="50" t="s">
        <v>92</v>
      </c>
      <c r="BQ286" s="49" t="s">
        <v>92</v>
      </c>
      <c r="BR286" s="49" t="s">
        <v>92</v>
      </c>
      <c r="BS286" s="49" t="s">
        <v>92</v>
      </c>
      <c r="BT286" s="49" t="s">
        <v>93</v>
      </c>
      <c r="BU286" s="49" t="s">
        <v>92</v>
      </c>
      <c r="BV286" s="49" t="s">
        <v>93</v>
      </c>
      <c r="BW286" s="49" t="s">
        <v>92</v>
      </c>
      <c r="BX286" s="49" t="s">
        <v>92</v>
      </c>
      <c r="BY286" s="49" t="s">
        <v>92</v>
      </c>
      <c r="BZ286" s="49" t="s">
        <v>93</v>
      </c>
      <c r="CA286" s="49" t="s">
        <v>92</v>
      </c>
      <c r="CB286" s="59" t="s">
        <v>116</v>
      </c>
      <c r="CC286" s="60" t="s">
        <v>575</v>
      </c>
      <c r="CD286" s="18"/>
      <c r="CE286" s="18"/>
      <c r="CF286" s="18"/>
      <c r="CG286" s="18"/>
      <c r="CH286" s="18"/>
    </row>
    <row r="287">
      <c r="A287" s="8"/>
      <c r="B287" s="9" t="s">
        <v>415</v>
      </c>
      <c r="C287" s="10" t="s">
        <v>1331</v>
      </c>
      <c r="D287" s="9" t="s">
        <v>87</v>
      </c>
      <c r="E287" s="11" t="s">
        <v>1084</v>
      </c>
      <c r="F287" s="12"/>
      <c r="G287" s="14" t="s">
        <v>1085</v>
      </c>
      <c r="H287" s="14" t="s">
        <v>110</v>
      </c>
      <c r="I287" s="14" t="s">
        <v>1086</v>
      </c>
      <c r="J287" s="14" t="s">
        <v>92</v>
      </c>
      <c r="K287" s="14" t="s">
        <v>92</v>
      </c>
      <c r="L287" s="14" t="s">
        <v>93</v>
      </c>
      <c r="M287" s="14" t="s">
        <v>92</v>
      </c>
      <c r="N287" s="14" t="s">
        <v>92</v>
      </c>
      <c r="O287" s="14" t="s">
        <v>92</v>
      </c>
      <c r="P287" s="14" t="s">
        <v>92</v>
      </c>
      <c r="Q287" s="14" t="s">
        <v>92</v>
      </c>
      <c r="R287" s="14" t="s">
        <v>92</v>
      </c>
      <c r="S287" s="14" t="s">
        <v>92</v>
      </c>
      <c r="T287" s="14" t="s">
        <v>92</v>
      </c>
      <c r="U287" s="14" t="s">
        <v>92</v>
      </c>
      <c r="V287" s="14" t="s">
        <v>92</v>
      </c>
      <c r="W287" s="14" t="s">
        <v>92</v>
      </c>
      <c r="X287" s="14" t="s">
        <v>92</v>
      </c>
      <c r="Y287" s="14" t="s">
        <v>92</v>
      </c>
      <c r="Z287" s="14" t="s">
        <v>93</v>
      </c>
      <c r="AA287" s="14" t="s">
        <v>92</v>
      </c>
      <c r="AB287" s="8" t="s">
        <v>92</v>
      </c>
      <c r="AC287" s="8" t="s">
        <v>93</v>
      </c>
      <c r="AD287" s="8" t="s">
        <v>92</v>
      </c>
      <c r="AE287" s="14" t="s">
        <v>112</v>
      </c>
      <c r="AF287" s="14" t="s">
        <v>92</v>
      </c>
      <c r="AG287" s="14" t="s">
        <v>95</v>
      </c>
      <c r="AH287" s="8" t="s">
        <v>105</v>
      </c>
      <c r="AI287" s="14" t="s">
        <v>92</v>
      </c>
      <c r="AJ287" s="14" t="s">
        <v>92</v>
      </c>
      <c r="AK287" s="14" t="s">
        <v>93</v>
      </c>
      <c r="AL287" s="14" t="s">
        <v>92</v>
      </c>
      <c r="AM287" s="8" t="s">
        <v>105</v>
      </c>
      <c r="AN287" s="14" t="s">
        <v>105</v>
      </c>
      <c r="AO287" s="8" t="s">
        <v>105</v>
      </c>
      <c r="AP287" s="8" t="s">
        <v>92</v>
      </c>
      <c r="AQ287" s="14" t="s">
        <v>92</v>
      </c>
      <c r="AR287" s="14" t="s">
        <v>92</v>
      </c>
      <c r="AS287" s="14" t="s">
        <v>92</v>
      </c>
      <c r="AT287" s="14" t="s">
        <v>92</v>
      </c>
      <c r="AU287" s="14" t="s">
        <v>92</v>
      </c>
      <c r="AV287" s="14" t="s">
        <v>92</v>
      </c>
      <c r="AW287" s="14" t="s">
        <v>92</v>
      </c>
      <c r="AX287" s="14" t="s">
        <v>92</v>
      </c>
      <c r="AY287" s="8" t="s">
        <v>1348</v>
      </c>
      <c r="AZ287" s="8" t="s">
        <v>93</v>
      </c>
      <c r="BA287" s="9" t="s">
        <v>1062</v>
      </c>
      <c r="BB287" s="8" t="s">
        <v>155</v>
      </c>
      <c r="BC287" s="8" t="s">
        <v>92</v>
      </c>
      <c r="BD287" s="14" t="s">
        <v>93</v>
      </c>
      <c r="BE287" s="14" t="s">
        <v>92</v>
      </c>
      <c r="BF287" s="14" t="s">
        <v>92</v>
      </c>
      <c r="BG287" s="14" t="s">
        <v>92</v>
      </c>
      <c r="BH287" s="14" t="s">
        <v>92</v>
      </c>
      <c r="BI287" s="14" t="s">
        <v>92</v>
      </c>
      <c r="BJ287" s="14" t="s">
        <v>92</v>
      </c>
      <c r="BK287" s="14" t="s">
        <v>105</v>
      </c>
      <c r="BL287" s="14" t="s">
        <v>105</v>
      </c>
      <c r="BM287" s="14" t="s">
        <v>105</v>
      </c>
      <c r="BN287" s="14" t="s">
        <v>105</v>
      </c>
      <c r="BO287" s="14" t="s">
        <v>105</v>
      </c>
      <c r="BP287" s="14" t="s">
        <v>105</v>
      </c>
      <c r="BQ287" s="8" t="s">
        <v>92</v>
      </c>
      <c r="BR287" s="8" t="s">
        <v>92</v>
      </c>
      <c r="BS287" s="8" t="s">
        <v>92</v>
      </c>
      <c r="BT287" s="8" t="s">
        <v>93</v>
      </c>
      <c r="BU287" s="8" t="s">
        <v>92</v>
      </c>
      <c r="BV287" s="8" t="s">
        <v>93</v>
      </c>
      <c r="BW287" s="8" t="s">
        <v>92</v>
      </c>
      <c r="BX287" s="8" t="s">
        <v>92</v>
      </c>
      <c r="BY287" s="8" t="s">
        <v>92</v>
      </c>
      <c r="BZ287" s="8" t="s">
        <v>93</v>
      </c>
      <c r="CA287" s="8" t="s">
        <v>92</v>
      </c>
      <c r="CB287" s="20" t="s">
        <v>106</v>
      </c>
      <c r="CC287" s="17"/>
      <c r="CD287" s="18"/>
      <c r="CE287" s="18"/>
      <c r="CF287" s="18"/>
      <c r="CG287" s="18"/>
      <c r="CH287" s="18"/>
    </row>
    <row r="288">
      <c r="A288" s="8"/>
      <c r="B288" s="9" t="s">
        <v>415</v>
      </c>
      <c r="C288" s="10" t="s">
        <v>1331</v>
      </c>
      <c r="D288" s="9" t="s">
        <v>87</v>
      </c>
      <c r="E288" s="11" t="s">
        <v>609</v>
      </c>
      <c r="F288" s="12"/>
      <c r="G288" s="14" t="s">
        <v>610</v>
      </c>
      <c r="H288" s="14" t="s">
        <v>90</v>
      </c>
      <c r="I288" s="14" t="s">
        <v>611</v>
      </c>
      <c r="J288" s="14" t="s">
        <v>93</v>
      </c>
      <c r="K288" s="14" t="s">
        <v>92</v>
      </c>
      <c r="L288" s="14" t="s">
        <v>93</v>
      </c>
      <c r="M288" s="14" t="s">
        <v>92</v>
      </c>
      <c r="N288" s="14" t="s">
        <v>92</v>
      </c>
      <c r="O288" s="14" t="s">
        <v>92</v>
      </c>
      <c r="P288" s="14" t="s">
        <v>92</v>
      </c>
      <c r="Q288" s="14" t="s">
        <v>92</v>
      </c>
      <c r="R288" s="14" t="s">
        <v>92</v>
      </c>
      <c r="S288" s="14" t="s">
        <v>92</v>
      </c>
      <c r="T288" s="14" t="s">
        <v>92</v>
      </c>
      <c r="U288" s="14" t="s">
        <v>92</v>
      </c>
      <c r="V288" s="14" t="s">
        <v>92</v>
      </c>
      <c r="W288" s="14" t="s">
        <v>92</v>
      </c>
      <c r="X288" s="14" t="s">
        <v>92</v>
      </c>
      <c r="Y288" s="14" t="s">
        <v>92</v>
      </c>
      <c r="Z288" s="14" t="s">
        <v>93</v>
      </c>
      <c r="AA288" s="14" t="s">
        <v>92</v>
      </c>
      <c r="AB288" s="8" t="s">
        <v>92</v>
      </c>
      <c r="AC288" s="8" t="s">
        <v>93</v>
      </c>
      <c r="AD288" s="8" t="s">
        <v>92</v>
      </c>
      <c r="AE288" s="14" t="s">
        <v>112</v>
      </c>
      <c r="AF288" s="14" t="s">
        <v>92</v>
      </c>
      <c r="AG288" s="13" t="s">
        <v>95</v>
      </c>
      <c r="AH288" s="8" t="s">
        <v>105</v>
      </c>
      <c r="AI288" s="14" t="s">
        <v>92</v>
      </c>
      <c r="AJ288" s="14" t="s">
        <v>92</v>
      </c>
      <c r="AK288" s="14" t="s">
        <v>92</v>
      </c>
      <c r="AL288" s="14" t="s">
        <v>93</v>
      </c>
      <c r="AM288" s="15" t="s">
        <v>95</v>
      </c>
      <c r="AN288" s="13" t="s">
        <v>114</v>
      </c>
      <c r="AO288" s="8" t="s">
        <v>92</v>
      </c>
      <c r="AP288" s="8" t="s">
        <v>92</v>
      </c>
      <c r="AQ288" s="13" t="s">
        <v>92</v>
      </c>
      <c r="AR288" s="13" t="s">
        <v>92</v>
      </c>
      <c r="AS288" s="13" t="s">
        <v>92</v>
      </c>
      <c r="AT288" s="13" t="s">
        <v>92</v>
      </c>
      <c r="AU288" s="13" t="s">
        <v>92</v>
      </c>
      <c r="AV288" s="13" t="s">
        <v>92</v>
      </c>
      <c r="AW288" s="13" t="s">
        <v>92</v>
      </c>
      <c r="AX288" s="13" t="s">
        <v>92</v>
      </c>
      <c r="AY288" s="16" t="s">
        <v>519</v>
      </c>
      <c r="AZ288" s="8" t="s">
        <v>92</v>
      </c>
      <c r="BA288" s="16" t="s">
        <v>519</v>
      </c>
      <c r="BB288" s="8" t="s">
        <v>261</v>
      </c>
      <c r="BC288" s="8" t="s">
        <v>92</v>
      </c>
      <c r="BD288" s="14" t="s">
        <v>93</v>
      </c>
      <c r="BE288" s="14" t="s">
        <v>92</v>
      </c>
      <c r="BF288" s="14" t="s">
        <v>92</v>
      </c>
      <c r="BG288" s="14" t="s">
        <v>92</v>
      </c>
      <c r="BH288" s="14" t="s">
        <v>92</v>
      </c>
      <c r="BI288" s="14" t="s">
        <v>92</v>
      </c>
      <c r="BJ288" s="14" t="s">
        <v>92</v>
      </c>
      <c r="BK288" s="13" t="s">
        <v>105</v>
      </c>
      <c r="BL288" s="13" t="s">
        <v>105</v>
      </c>
      <c r="BM288" s="13" t="s">
        <v>105</v>
      </c>
      <c r="BN288" s="13" t="s">
        <v>105</v>
      </c>
      <c r="BO288" s="13" t="s">
        <v>105</v>
      </c>
      <c r="BP288" s="13" t="s">
        <v>105</v>
      </c>
      <c r="BQ288" s="8" t="s">
        <v>92</v>
      </c>
      <c r="BR288" s="8" t="s">
        <v>92</v>
      </c>
      <c r="BS288" s="8" t="s">
        <v>92</v>
      </c>
      <c r="BT288" s="8" t="s">
        <v>93</v>
      </c>
      <c r="BU288" s="8" t="s">
        <v>92</v>
      </c>
      <c r="BV288" s="8" t="s">
        <v>93</v>
      </c>
      <c r="BW288" s="8" t="s">
        <v>92</v>
      </c>
      <c r="BX288" s="8" t="s">
        <v>92</v>
      </c>
      <c r="BY288" s="8" t="s">
        <v>92</v>
      </c>
      <c r="BZ288" s="8" t="s">
        <v>93</v>
      </c>
      <c r="CA288" s="8" t="s">
        <v>92</v>
      </c>
      <c r="CB288" s="20" t="s">
        <v>116</v>
      </c>
      <c r="CC288" s="17"/>
      <c r="CD288" s="18"/>
      <c r="CE288" s="18"/>
      <c r="CF288" s="18"/>
      <c r="CG288" s="18"/>
      <c r="CH288" s="18"/>
    </row>
    <row r="289">
      <c r="A289" s="8"/>
      <c r="B289" s="9" t="s">
        <v>415</v>
      </c>
      <c r="C289" s="10" t="s">
        <v>1331</v>
      </c>
      <c r="D289" s="9" t="s">
        <v>87</v>
      </c>
      <c r="E289" s="11" t="s">
        <v>1088</v>
      </c>
      <c r="F289" s="12"/>
      <c r="G289" s="14" t="s">
        <v>1089</v>
      </c>
      <c r="H289" s="14" t="s">
        <v>90</v>
      </c>
      <c r="I289" s="14" t="s">
        <v>1090</v>
      </c>
      <c r="J289" s="14" t="s">
        <v>92</v>
      </c>
      <c r="K289" s="14" t="s">
        <v>92</v>
      </c>
      <c r="L289" s="14" t="s">
        <v>93</v>
      </c>
      <c r="M289" s="14" t="s">
        <v>92</v>
      </c>
      <c r="N289" s="14" t="s">
        <v>92</v>
      </c>
      <c r="O289" s="14" t="s">
        <v>92</v>
      </c>
      <c r="P289" s="14" t="s">
        <v>92</v>
      </c>
      <c r="Q289" s="14" t="s">
        <v>92</v>
      </c>
      <c r="R289" s="14" t="s">
        <v>92</v>
      </c>
      <c r="S289" s="14" t="s">
        <v>92</v>
      </c>
      <c r="T289" s="14" t="s">
        <v>92</v>
      </c>
      <c r="U289" s="14" t="s">
        <v>92</v>
      </c>
      <c r="V289" s="14" t="s">
        <v>92</v>
      </c>
      <c r="W289" s="14" t="s">
        <v>92</v>
      </c>
      <c r="X289" s="14" t="s">
        <v>92</v>
      </c>
      <c r="Y289" s="14" t="s">
        <v>92</v>
      </c>
      <c r="Z289" s="14" t="s">
        <v>93</v>
      </c>
      <c r="AA289" s="14" t="s">
        <v>92</v>
      </c>
      <c r="AB289" s="8" t="s">
        <v>92</v>
      </c>
      <c r="AC289" s="8" t="s">
        <v>93</v>
      </c>
      <c r="AD289" s="8" t="s">
        <v>92</v>
      </c>
      <c r="AE289" s="14" t="s">
        <v>112</v>
      </c>
      <c r="AF289" s="14" t="s">
        <v>92</v>
      </c>
      <c r="AG289" s="14" t="s">
        <v>95</v>
      </c>
      <c r="AH289" s="8" t="s">
        <v>105</v>
      </c>
      <c r="AI289" s="14" t="s">
        <v>92</v>
      </c>
      <c r="AJ289" s="14" t="s">
        <v>92</v>
      </c>
      <c r="AK289" s="14" t="s">
        <v>93</v>
      </c>
      <c r="AL289" s="14" t="s">
        <v>92</v>
      </c>
      <c r="AM289" s="8" t="s">
        <v>105</v>
      </c>
      <c r="AN289" s="14" t="s">
        <v>105</v>
      </c>
      <c r="AO289" s="8" t="s">
        <v>105</v>
      </c>
      <c r="AP289" s="8" t="s">
        <v>92</v>
      </c>
      <c r="AQ289" s="14" t="s">
        <v>92</v>
      </c>
      <c r="AR289" s="14" t="s">
        <v>92</v>
      </c>
      <c r="AS289" s="14" t="s">
        <v>92</v>
      </c>
      <c r="AT289" s="14" t="s">
        <v>92</v>
      </c>
      <c r="AU289" s="14" t="s">
        <v>92</v>
      </c>
      <c r="AV289" s="14" t="s">
        <v>92</v>
      </c>
      <c r="AW289" s="14" t="s">
        <v>92</v>
      </c>
      <c r="AX289" s="14" t="s">
        <v>92</v>
      </c>
      <c r="AY289" s="9" t="s">
        <v>1062</v>
      </c>
      <c r="AZ289" s="8" t="s">
        <v>92</v>
      </c>
      <c r="BA289" s="9" t="s">
        <v>1062</v>
      </c>
      <c r="BB289" s="8" t="s">
        <v>155</v>
      </c>
      <c r="BC289" s="8" t="s">
        <v>92</v>
      </c>
      <c r="BD289" s="14" t="s">
        <v>93</v>
      </c>
      <c r="BE289" s="14" t="s">
        <v>92</v>
      </c>
      <c r="BF289" s="14" t="s">
        <v>92</v>
      </c>
      <c r="BG289" s="14" t="s">
        <v>92</v>
      </c>
      <c r="BH289" s="14" t="s">
        <v>92</v>
      </c>
      <c r="BI289" s="14" t="s">
        <v>92</v>
      </c>
      <c r="BJ289" s="14" t="s">
        <v>92</v>
      </c>
      <c r="BK289" s="14" t="s">
        <v>105</v>
      </c>
      <c r="BL289" s="14" t="s">
        <v>105</v>
      </c>
      <c r="BM289" s="14" t="s">
        <v>105</v>
      </c>
      <c r="BN289" s="14" t="s">
        <v>105</v>
      </c>
      <c r="BO289" s="14" t="s">
        <v>105</v>
      </c>
      <c r="BP289" s="14" t="s">
        <v>105</v>
      </c>
      <c r="BQ289" s="8" t="s">
        <v>92</v>
      </c>
      <c r="BR289" s="8" t="s">
        <v>92</v>
      </c>
      <c r="BS289" s="8" t="s">
        <v>92</v>
      </c>
      <c r="BT289" s="8" t="s">
        <v>93</v>
      </c>
      <c r="BU289" s="8" t="s">
        <v>92</v>
      </c>
      <c r="BV289" s="8" t="s">
        <v>93</v>
      </c>
      <c r="BW289" s="8" t="s">
        <v>92</v>
      </c>
      <c r="BX289" s="8" t="s">
        <v>92</v>
      </c>
      <c r="BY289" s="8" t="s">
        <v>92</v>
      </c>
      <c r="BZ289" s="8" t="s">
        <v>93</v>
      </c>
      <c r="CA289" s="8" t="s">
        <v>92</v>
      </c>
      <c r="CB289" s="20" t="s">
        <v>106</v>
      </c>
      <c r="CC289" s="17"/>
      <c r="CD289" s="18"/>
      <c r="CE289" s="18"/>
      <c r="CF289" s="18"/>
      <c r="CG289" s="18"/>
      <c r="CH289" s="18"/>
    </row>
    <row r="290">
      <c r="A290" s="8"/>
      <c r="B290" s="9" t="s">
        <v>415</v>
      </c>
      <c r="C290" s="10" t="s">
        <v>1331</v>
      </c>
      <c r="D290" s="9" t="s">
        <v>87</v>
      </c>
      <c r="E290" s="11" t="s">
        <v>1349</v>
      </c>
      <c r="F290" s="12"/>
      <c r="G290" s="14" t="s">
        <v>1350</v>
      </c>
      <c r="H290" s="14" t="s">
        <v>90</v>
      </c>
      <c r="I290" s="14" t="s">
        <v>1351</v>
      </c>
      <c r="J290" s="14" t="s">
        <v>92</v>
      </c>
      <c r="K290" s="14" t="s">
        <v>92</v>
      </c>
      <c r="L290" s="14" t="s">
        <v>92</v>
      </c>
      <c r="M290" s="14" t="s">
        <v>92</v>
      </c>
      <c r="N290" s="14" t="s">
        <v>92</v>
      </c>
      <c r="O290" s="14" t="s">
        <v>92</v>
      </c>
      <c r="P290" s="14" t="s">
        <v>92</v>
      </c>
      <c r="Q290" s="14" t="s">
        <v>92</v>
      </c>
      <c r="R290" s="14" t="s">
        <v>92</v>
      </c>
      <c r="S290" s="14" t="s">
        <v>92</v>
      </c>
      <c r="T290" s="14" t="s">
        <v>92</v>
      </c>
      <c r="U290" s="14" t="s">
        <v>92</v>
      </c>
      <c r="V290" s="14" t="s">
        <v>92</v>
      </c>
      <c r="W290" s="14" t="s">
        <v>92</v>
      </c>
      <c r="X290" s="14" t="s">
        <v>92</v>
      </c>
      <c r="Y290" s="14" t="s">
        <v>92</v>
      </c>
      <c r="Z290" s="14" t="s">
        <v>93</v>
      </c>
      <c r="AA290" s="14" t="s">
        <v>92</v>
      </c>
      <c r="AB290" s="8" t="s">
        <v>92</v>
      </c>
      <c r="AC290" s="8" t="s">
        <v>93</v>
      </c>
      <c r="AD290" s="8" t="s">
        <v>92</v>
      </c>
      <c r="AE290" s="14" t="s">
        <v>112</v>
      </c>
      <c r="AF290" s="14" t="s">
        <v>92</v>
      </c>
      <c r="AG290" s="14" t="s">
        <v>95</v>
      </c>
      <c r="AH290" s="8">
        <v>2022.0</v>
      </c>
      <c r="AI290" s="14" t="s">
        <v>92</v>
      </c>
      <c r="AJ290" s="14" t="s">
        <v>92</v>
      </c>
      <c r="AK290" s="14" t="s">
        <v>93</v>
      </c>
      <c r="AL290" s="14" t="s">
        <v>93</v>
      </c>
      <c r="AM290" s="8">
        <v>2023.0</v>
      </c>
      <c r="AN290" s="14" t="s">
        <v>96</v>
      </c>
      <c r="AO290" s="8" t="s">
        <v>92</v>
      </c>
      <c r="AP290" s="8" t="s">
        <v>92</v>
      </c>
      <c r="AQ290" s="14" t="s">
        <v>92</v>
      </c>
      <c r="AR290" s="14" t="s">
        <v>92</v>
      </c>
      <c r="AS290" s="14" t="s">
        <v>92</v>
      </c>
      <c r="AT290" s="14" t="s">
        <v>92</v>
      </c>
      <c r="AU290" s="14" t="s">
        <v>92</v>
      </c>
      <c r="AV290" s="14" t="s">
        <v>92</v>
      </c>
      <c r="AW290" s="14" t="s">
        <v>92</v>
      </c>
      <c r="AX290" s="14" t="s">
        <v>92</v>
      </c>
      <c r="AY290" s="8" t="s">
        <v>1352</v>
      </c>
      <c r="AZ290" s="8" t="s">
        <v>93</v>
      </c>
      <c r="BA290" s="9" t="s">
        <v>1353</v>
      </c>
      <c r="BB290" s="8" t="s">
        <v>95</v>
      </c>
      <c r="BC290" s="8" t="s">
        <v>93</v>
      </c>
      <c r="BD290" s="14" t="s">
        <v>93</v>
      </c>
      <c r="BE290" s="14" t="s">
        <v>92</v>
      </c>
      <c r="BF290" s="14" t="s">
        <v>92</v>
      </c>
      <c r="BG290" s="14" t="s">
        <v>92</v>
      </c>
      <c r="BH290" s="14" t="s">
        <v>92</v>
      </c>
      <c r="BI290" s="14" t="s">
        <v>92</v>
      </c>
      <c r="BJ290" s="14" t="s">
        <v>92</v>
      </c>
      <c r="BK290" s="14" t="s">
        <v>105</v>
      </c>
      <c r="BL290" s="14" t="s">
        <v>105</v>
      </c>
      <c r="BM290" s="14" t="s">
        <v>105</v>
      </c>
      <c r="BN290" s="14" t="s">
        <v>105</v>
      </c>
      <c r="BO290" s="14" t="s">
        <v>105</v>
      </c>
      <c r="BP290" s="14" t="s">
        <v>105</v>
      </c>
      <c r="BQ290" s="8" t="s">
        <v>92</v>
      </c>
      <c r="BR290" s="8" t="s">
        <v>92</v>
      </c>
      <c r="BS290" s="8" t="s">
        <v>92</v>
      </c>
      <c r="BT290" s="8" t="s">
        <v>93</v>
      </c>
      <c r="BU290" s="8" t="s">
        <v>92</v>
      </c>
      <c r="BV290" s="8" t="s">
        <v>92</v>
      </c>
      <c r="BW290" s="8" t="s">
        <v>92</v>
      </c>
      <c r="BX290" s="8" t="s">
        <v>92</v>
      </c>
      <c r="BY290" s="8" t="s">
        <v>92</v>
      </c>
      <c r="BZ290" s="8" t="s">
        <v>92</v>
      </c>
      <c r="CA290" s="8" t="s">
        <v>92</v>
      </c>
      <c r="CB290" s="20" t="s">
        <v>1195</v>
      </c>
      <c r="CC290" s="17"/>
      <c r="CD290" s="18"/>
      <c r="CE290" s="18"/>
      <c r="CF290" s="18"/>
      <c r="CG290" s="18"/>
      <c r="CH290" s="18"/>
    </row>
    <row r="291">
      <c r="A291" s="8"/>
      <c r="B291" s="9" t="s">
        <v>415</v>
      </c>
      <c r="C291" s="10" t="s">
        <v>1331</v>
      </c>
      <c r="D291" s="9" t="s">
        <v>87</v>
      </c>
      <c r="E291" s="11" t="s">
        <v>412</v>
      </c>
      <c r="F291" s="12"/>
      <c r="G291" s="9" t="s">
        <v>413</v>
      </c>
      <c r="H291" s="14" t="s">
        <v>110</v>
      </c>
      <c r="I291" s="14" t="s">
        <v>414</v>
      </c>
      <c r="J291" s="14" t="s">
        <v>93</v>
      </c>
      <c r="K291" s="14" t="s">
        <v>92</v>
      </c>
      <c r="L291" s="14" t="s">
        <v>92</v>
      </c>
      <c r="M291" s="14" t="s">
        <v>92</v>
      </c>
      <c r="N291" s="14" t="s">
        <v>92</v>
      </c>
      <c r="O291" s="14" t="s">
        <v>92</v>
      </c>
      <c r="P291" s="14" t="s">
        <v>92</v>
      </c>
      <c r="Q291" s="14" t="s">
        <v>92</v>
      </c>
      <c r="R291" s="14" t="s">
        <v>92</v>
      </c>
      <c r="S291" s="14" t="s">
        <v>92</v>
      </c>
      <c r="T291" s="14" t="s">
        <v>92</v>
      </c>
      <c r="U291" s="14" t="s">
        <v>92</v>
      </c>
      <c r="V291" s="14" t="s">
        <v>92</v>
      </c>
      <c r="W291" s="14" t="s">
        <v>92</v>
      </c>
      <c r="X291" s="14" t="s">
        <v>92</v>
      </c>
      <c r="Y291" s="14" t="s">
        <v>92</v>
      </c>
      <c r="Z291" s="14" t="s">
        <v>93</v>
      </c>
      <c r="AA291" s="14" t="s">
        <v>92</v>
      </c>
      <c r="AB291" s="8" t="s">
        <v>92</v>
      </c>
      <c r="AC291" s="8" t="s">
        <v>93</v>
      </c>
      <c r="AD291" s="8" t="s">
        <v>92</v>
      </c>
      <c r="AE291" s="14" t="s">
        <v>112</v>
      </c>
      <c r="AF291" s="14" t="s">
        <v>92</v>
      </c>
      <c r="AG291" s="13" t="s">
        <v>95</v>
      </c>
      <c r="AH291" s="8" t="s">
        <v>105</v>
      </c>
      <c r="AI291" s="14" t="s">
        <v>105</v>
      </c>
      <c r="AJ291" s="14" t="s">
        <v>92</v>
      </c>
      <c r="AK291" s="14" t="s">
        <v>92</v>
      </c>
      <c r="AL291" s="14" t="s">
        <v>93</v>
      </c>
      <c r="AM291" s="15" t="s">
        <v>95</v>
      </c>
      <c r="AN291" s="13" t="s">
        <v>114</v>
      </c>
      <c r="AO291" s="8" t="s">
        <v>92</v>
      </c>
      <c r="AP291" s="8" t="s">
        <v>92</v>
      </c>
      <c r="AQ291" s="13" t="s">
        <v>92</v>
      </c>
      <c r="AR291" s="13" t="s">
        <v>92</v>
      </c>
      <c r="AS291" s="13" t="s">
        <v>92</v>
      </c>
      <c r="AT291" s="13" t="s">
        <v>92</v>
      </c>
      <c r="AU291" s="13" t="s">
        <v>92</v>
      </c>
      <c r="AV291" s="13" t="s">
        <v>92</v>
      </c>
      <c r="AW291" s="13" t="s">
        <v>92</v>
      </c>
      <c r="AX291" s="13" t="s">
        <v>92</v>
      </c>
      <c r="AY291" s="8" t="s">
        <v>378</v>
      </c>
      <c r="AZ291" s="15" t="s">
        <v>95</v>
      </c>
      <c r="BA291" s="9" t="s">
        <v>415</v>
      </c>
      <c r="BB291" s="8" t="s">
        <v>416</v>
      </c>
      <c r="BC291" s="8" t="s">
        <v>92</v>
      </c>
      <c r="BD291" s="13" t="s">
        <v>93</v>
      </c>
      <c r="BE291" s="13" t="s">
        <v>92</v>
      </c>
      <c r="BF291" s="13" t="s">
        <v>92</v>
      </c>
      <c r="BG291" s="13" t="s">
        <v>92</v>
      </c>
      <c r="BH291" s="13" t="s">
        <v>92</v>
      </c>
      <c r="BI291" s="13" t="s">
        <v>92</v>
      </c>
      <c r="BJ291" s="14" t="s">
        <v>92</v>
      </c>
      <c r="BK291" s="13" t="s">
        <v>105</v>
      </c>
      <c r="BL291" s="13" t="s">
        <v>105</v>
      </c>
      <c r="BM291" s="13" t="s">
        <v>105</v>
      </c>
      <c r="BN291" s="13" t="s">
        <v>105</v>
      </c>
      <c r="BO291" s="13" t="s">
        <v>105</v>
      </c>
      <c r="BP291" s="13" t="s">
        <v>105</v>
      </c>
      <c r="BQ291" s="15" t="s">
        <v>92</v>
      </c>
      <c r="BR291" s="15" t="s">
        <v>92</v>
      </c>
      <c r="BS291" s="15" t="s">
        <v>92</v>
      </c>
      <c r="BT291" s="15" t="s">
        <v>93</v>
      </c>
      <c r="BU291" s="15" t="s">
        <v>92</v>
      </c>
      <c r="BV291" s="8" t="s">
        <v>92</v>
      </c>
      <c r="BW291" s="15" t="s">
        <v>92</v>
      </c>
      <c r="BX291" s="8" t="s">
        <v>92</v>
      </c>
      <c r="BY291" s="15" t="s">
        <v>92</v>
      </c>
      <c r="BZ291" s="8" t="s">
        <v>93</v>
      </c>
      <c r="CA291" s="15" t="s">
        <v>92</v>
      </c>
      <c r="CB291" s="17" t="s">
        <v>116</v>
      </c>
      <c r="CC291" s="17"/>
      <c r="CD291" s="18"/>
      <c r="CE291" s="18"/>
      <c r="CF291" s="18"/>
      <c r="CG291" s="18"/>
      <c r="CH291" s="18"/>
    </row>
    <row r="292">
      <c r="A292" s="8"/>
      <c r="B292" s="9" t="s">
        <v>415</v>
      </c>
      <c r="C292" s="10" t="s">
        <v>1331</v>
      </c>
      <c r="D292" s="9" t="s">
        <v>87</v>
      </c>
      <c r="E292" s="11" t="s">
        <v>1354</v>
      </c>
      <c r="F292" s="12"/>
      <c r="G292" s="14" t="s">
        <v>1355</v>
      </c>
      <c r="H292" s="14" t="s">
        <v>90</v>
      </c>
      <c r="I292" s="14" t="s">
        <v>1356</v>
      </c>
      <c r="J292" s="14" t="s">
        <v>92</v>
      </c>
      <c r="K292" s="14" t="s">
        <v>92</v>
      </c>
      <c r="L292" s="14" t="s">
        <v>92</v>
      </c>
      <c r="M292" s="14" t="s">
        <v>92</v>
      </c>
      <c r="N292" s="14" t="s">
        <v>92</v>
      </c>
      <c r="O292" s="14" t="s">
        <v>92</v>
      </c>
      <c r="P292" s="14" t="s">
        <v>93</v>
      </c>
      <c r="Q292" s="14" t="s">
        <v>92</v>
      </c>
      <c r="R292" s="14" t="s">
        <v>92</v>
      </c>
      <c r="S292" s="14" t="s">
        <v>93</v>
      </c>
      <c r="T292" s="14" t="s">
        <v>92</v>
      </c>
      <c r="U292" s="14" t="s">
        <v>92</v>
      </c>
      <c r="V292" s="14" t="s">
        <v>92</v>
      </c>
      <c r="W292" s="14" t="s">
        <v>92</v>
      </c>
      <c r="X292" s="14" t="s">
        <v>92</v>
      </c>
      <c r="Y292" s="14" t="s">
        <v>92</v>
      </c>
      <c r="Z292" s="14" t="s">
        <v>92</v>
      </c>
      <c r="AA292" s="14" t="s">
        <v>92</v>
      </c>
      <c r="AB292" s="8" t="s">
        <v>93</v>
      </c>
      <c r="AC292" s="8" t="s">
        <v>92</v>
      </c>
      <c r="AD292" s="8" t="s">
        <v>92</v>
      </c>
      <c r="AE292" s="14" t="s">
        <v>148</v>
      </c>
      <c r="AF292" s="14" t="s">
        <v>93</v>
      </c>
      <c r="AG292" s="14" t="s">
        <v>1357</v>
      </c>
      <c r="AH292" s="8" t="s">
        <v>105</v>
      </c>
      <c r="AI292" s="14" t="s">
        <v>92</v>
      </c>
      <c r="AJ292" s="14" t="s">
        <v>92</v>
      </c>
      <c r="AK292" s="14" t="s">
        <v>93</v>
      </c>
      <c r="AL292" s="14" t="s">
        <v>93</v>
      </c>
      <c r="AM292" s="8" t="s">
        <v>95</v>
      </c>
      <c r="AN292" s="14" t="s">
        <v>114</v>
      </c>
      <c r="AO292" s="8" t="s">
        <v>93</v>
      </c>
      <c r="AP292" s="8" t="s">
        <v>92</v>
      </c>
      <c r="AQ292" s="14" t="s">
        <v>92</v>
      </c>
      <c r="AR292" s="14" t="s">
        <v>92</v>
      </c>
      <c r="AS292" s="14" t="s">
        <v>92</v>
      </c>
      <c r="AT292" s="14" t="s">
        <v>92</v>
      </c>
      <c r="AU292" s="14" t="s">
        <v>92</v>
      </c>
      <c r="AV292" s="14" t="s">
        <v>92</v>
      </c>
      <c r="AW292" s="14" t="s">
        <v>92</v>
      </c>
      <c r="AX292" s="14" t="s">
        <v>92</v>
      </c>
      <c r="AY292" s="8" t="s">
        <v>95</v>
      </c>
      <c r="AZ292" s="8" t="s">
        <v>95</v>
      </c>
      <c r="BA292" s="9" t="s">
        <v>415</v>
      </c>
      <c r="BB292" s="8" t="s">
        <v>416</v>
      </c>
      <c r="BC292" s="8" t="s">
        <v>92</v>
      </c>
      <c r="BD292" s="14" t="s">
        <v>93</v>
      </c>
      <c r="BE292" s="14" t="s">
        <v>92</v>
      </c>
      <c r="BF292" s="14" t="s">
        <v>92</v>
      </c>
      <c r="BG292" s="14" t="s">
        <v>92</v>
      </c>
      <c r="BH292" s="14" t="s">
        <v>92</v>
      </c>
      <c r="BI292" s="14" t="s">
        <v>92</v>
      </c>
      <c r="BJ292" s="14" t="s">
        <v>92</v>
      </c>
      <c r="BK292" s="14" t="s">
        <v>105</v>
      </c>
      <c r="BL292" s="14" t="s">
        <v>105</v>
      </c>
      <c r="BM292" s="14" t="s">
        <v>105</v>
      </c>
      <c r="BN292" s="14" t="s">
        <v>105</v>
      </c>
      <c r="BO292" s="14" t="s">
        <v>105</v>
      </c>
      <c r="BP292" s="14" t="s">
        <v>105</v>
      </c>
      <c r="BQ292" s="8" t="s">
        <v>92</v>
      </c>
      <c r="BR292" s="8" t="s">
        <v>92</v>
      </c>
      <c r="BS292" s="8" t="s">
        <v>93</v>
      </c>
      <c r="BT292" s="8" t="s">
        <v>92</v>
      </c>
      <c r="BU292" s="8" t="s">
        <v>92</v>
      </c>
      <c r="BV292" s="8" t="s">
        <v>92</v>
      </c>
      <c r="BW292" s="8" t="s">
        <v>92</v>
      </c>
      <c r="BX292" s="8" t="s">
        <v>92</v>
      </c>
      <c r="BY292" s="8" t="s">
        <v>92</v>
      </c>
      <c r="BZ292" s="8" t="s">
        <v>92</v>
      </c>
      <c r="CA292" s="8" t="s">
        <v>92</v>
      </c>
      <c r="CB292" s="20" t="s">
        <v>1358</v>
      </c>
      <c r="CC292" s="17"/>
      <c r="CD292" s="18"/>
      <c r="CE292" s="18"/>
      <c r="CF292" s="18"/>
      <c r="CG292" s="18"/>
      <c r="CH292" s="18"/>
    </row>
    <row r="293">
      <c r="A293" s="8"/>
      <c r="B293" s="16" t="s">
        <v>1359</v>
      </c>
      <c r="C293" s="10" t="s">
        <v>1360</v>
      </c>
      <c r="D293" s="9" t="s">
        <v>87</v>
      </c>
      <c r="E293" s="11" t="s">
        <v>1361</v>
      </c>
      <c r="F293" s="25"/>
      <c r="G293" s="14" t="s">
        <v>1362</v>
      </c>
      <c r="H293" s="13" t="s">
        <v>90</v>
      </c>
      <c r="I293" s="13" t="s">
        <v>1363</v>
      </c>
      <c r="J293" s="13" t="s">
        <v>92</v>
      </c>
      <c r="K293" s="14" t="s">
        <v>92</v>
      </c>
      <c r="L293" s="14" t="s">
        <v>92</v>
      </c>
      <c r="M293" s="14" t="s">
        <v>93</v>
      </c>
      <c r="N293" s="14" t="s">
        <v>92</v>
      </c>
      <c r="O293" s="13" t="s">
        <v>92</v>
      </c>
      <c r="P293" s="13" t="s">
        <v>92</v>
      </c>
      <c r="Q293" s="14" t="s">
        <v>92</v>
      </c>
      <c r="R293" s="13" t="s">
        <v>92</v>
      </c>
      <c r="S293" s="13" t="s">
        <v>92</v>
      </c>
      <c r="T293" s="13" t="s">
        <v>92</v>
      </c>
      <c r="U293" s="13" t="s">
        <v>93</v>
      </c>
      <c r="V293" s="13" t="s">
        <v>92</v>
      </c>
      <c r="W293" s="13" t="s">
        <v>92</v>
      </c>
      <c r="X293" s="13" t="s">
        <v>92</v>
      </c>
      <c r="Y293" s="13" t="s">
        <v>92</v>
      </c>
      <c r="Z293" s="13" t="s">
        <v>92</v>
      </c>
      <c r="AA293" s="14" t="s">
        <v>92</v>
      </c>
      <c r="AB293" s="15" t="s">
        <v>93</v>
      </c>
      <c r="AC293" s="15" t="s">
        <v>92</v>
      </c>
      <c r="AD293" s="15" t="s">
        <v>92</v>
      </c>
      <c r="AE293" s="13" t="s">
        <v>94</v>
      </c>
      <c r="AF293" s="13" t="s">
        <v>92</v>
      </c>
      <c r="AG293" s="13" t="s">
        <v>95</v>
      </c>
      <c r="AH293" s="15">
        <v>2020.0</v>
      </c>
      <c r="AI293" s="13" t="s">
        <v>93</v>
      </c>
      <c r="AJ293" s="13" t="s">
        <v>92</v>
      </c>
      <c r="AK293" s="13" t="s">
        <v>92</v>
      </c>
      <c r="AL293" s="14" t="s">
        <v>92</v>
      </c>
      <c r="AM293" s="15">
        <v>2020.0</v>
      </c>
      <c r="AN293" s="13" t="s">
        <v>96</v>
      </c>
      <c r="AO293" s="15" t="s">
        <v>92</v>
      </c>
      <c r="AP293" s="15" t="s">
        <v>93</v>
      </c>
      <c r="AQ293" s="13" t="s">
        <v>92</v>
      </c>
      <c r="AR293" s="13" t="s">
        <v>93</v>
      </c>
      <c r="AS293" s="13" t="s">
        <v>92</v>
      </c>
      <c r="AT293" s="13" t="s">
        <v>93</v>
      </c>
      <c r="AU293" s="13" t="s">
        <v>92</v>
      </c>
      <c r="AV293" s="13" t="s">
        <v>93</v>
      </c>
      <c r="AW293" s="13" t="s">
        <v>93</v>
      </c>
      <c r="AX293" s="13" t="s">
        <v>92</v>
      </c>
      <c r="AY293" s="15" t="s">
        <v>441</v>
      </c>
      <c r="AZ293" s="15" t="s">
        <v>95</v>
      </c>
      <c r="BA293" s="16" t="s">
        <v>1364</v>
      </c>
      <c r="BB293" s="8" t="s">
        <v>105</v>
      </c>
      <c r="BC293" s="8" t="s">
        <v>105</v>
      </c>
      <c r="BD293" s="13" t="s">
        <v>92</v>
      </c>
      <c r="BE293" s="13" t="s">
        <v>92</v>
      </c>
      <c r="BF293" s="13" t="s">
        <v>92</v>
      </c>
      <c r="BG293" s="13" t="s">
        <v>92</v>
      </c>
      <c r="BH293" s="13" t="s">
        <v>92</v>
      </c>
      <c r="BI293" s="13" t="s">
        <v>93</v>
      </c>
      <c r="BJ293" s="13" t="s">
        <v>92</v>
      </c>
      <c r="BK293" s="14" t="s">
        <v>274</v>
      </c>
      <c r="BL293" s="13" t="s">
        <v>93</v>
      </c>
      <c r="BM293" s="13" t="s">
        <v>92</v>
      </c>
      <c r="BN293" s="13" t="s">
        <v>92</v>
      </c>
      <c r="BO293" s="13" t="s">
        <v>92</v>
      </c>
      <c r="BP293" s="13" t="s">
        <v>92</v>
      </c>
      <c r="BQ293" s="15" t="s">
        <v>93</v>
      </c>
      <c r="BR293" s="15" t="s">
        <v>92</v>
      </c>
      <c r="BS293" s="15" t="s">
        <v>92</v>
      </c>
      <c r="BT293" s="15" t="s">
        <v>92</v>
      </c>
      <c r="BU293" s="15" t="s">
        <v>92</v>
      </c>
      <c r="BV293" s="15" t="s">
        <v>92</v>
      </c>
      <c r="BW293" s="15" t="s">
        <v>92</v>
      </c>
      <c r="BX293" s="15" t="s">
        <v>92</v>
      </c>
      <c r="BY293" s="15" t="s">
        <v>92</v>
      </c>
      <c r="BZ293" s="15" t="s">
        <v>92</v>
      </c>
      <c r="CA293" s="15" t="s">
        <v>92</v>
      </c>
      <c r="CB293" s="17" t="s">
        <v>1292</v>
      </c>
      <c r="CC293" s="17"/>
      <c r="CD293" s="18"/>
      <c r="CE293" s="18"/>
      <c r="CF293" s="18"/>
      <c r="CG293" s="18"/>
      <c r="CH293" s="18"/>
    </row>
    <row r="294">
      <c r="A294" s="8"/>
      <c r="B294" s="16" t="s">
        <v>1359</v>
      </c>
      <c r="C294" s="10" t="s">
        <v>1360</v>
      </c>
      <c r="D294" s="9" t="s">
        <v>87</v>
      </c>
      <c r="E294" s="11" t="s">
        <v>1365</v>
      </c>
      <c r="F294" s="12"/>
      <c r="G294" s="13" t="s">
        <v>1366</v>
      </c>
      <c r="H294" s="13" t="s">
        <v>90</v>
      </c>
      <c r="I294" s="13" t="s">
        <v>1367</v>
      </c>
      <c r="J294" s="13" t="s">
        <v>92</v>
      </c>
      <c r="K294" s="14" t="s">
        <v>93</v>
      </c>
      <c r="L294" s="14" t="s">
        <v>93</v>
      </c>
      <c r="M294" s="14" t="s">
        <v>92</v>
      </c>
      <c r="N294" s="14" t="s">
        <v>92</v>
      </c>
      <c r="O294" s="14" t="s">
        <v>92</v>
      </c>
      <c r="P294" s="13" t="s">
        <v>92</v>
      </c>
      <c r="Q294" s="13" t="s">
        <v>92</v>
      </c>
      <c r="R294" s="13" t="s">
        <v>92</v>
      </c>
      <c r="S294" s="14" t="s">
        <v>93</v>
      </c>
      <c r="T294" s="13" t="s">
        <v>92</v>
      </c>
      <c r="U294" s="13" t="s">
        <v>92</v>
      </c>
      <c r="V294" s="13" t="s">
        <v>92</v>
      </c>
      <c r="W294" s="13" t="s">
        <v>92</v>
      </c>
      <c r="X294" s="13" t="s">
        <v>92</v>
      </c>
      <c r="Y294" s="13" t="s">
        <v>92</v>
      </c>
      <c r="Z294" s="14" t="s">
        <v>92</v>
      </c>
      <c r="AA294" s="14" t="s">
        <v>92</v>
      </c>
      <c r="AB294" s="8" t="s">
        <v>93</v>
      </c>
      <c r="AC294" s="15" t="s">
        <v>92</v>
      </c>
      <c r="AD294" s="15" t="s">
        <v>92</v>
      </c>
      <c r="AE294" s="14" t="s">
        <v>231</v>
      </c>
      <c r="AF294" s="14" t="s">
        <v>93</v>
      </c>
      <c r="AG294" s="14" t="s">
        <v>105</v>
      </c>
      <c r="AH294" s="8" t="s">
        <v>105</v>
      </c>
      <c r="AI294" s="13" t="s">
        <v>93</v>
      </c>
      <c r="AJ294" s="13" t="s">
        <v>92</v>
      </c>
      <c r="AK294" s="13" t="s">
        <v>92</v>
      </c>
      <c r="AL294" s="14" t="s">
        <v>92</v>
      </c>
      <c r="AM294" s="8" t="s">
        <v>105</v>
      </c>
      <c r="AN294" s="14" t="s">
        <v>105</v>
      </c>
      <c r="AO294" s="8" t="s">
        <v>105</v>
      </c>
      <c r="AP294" s="15" t="s">
        <v>92</v>
      </c>
      <c r="AQ294" s="13" t="s">
        <v>92</v>
      </c>
      <c r="AR294" s="13" t="s">
        <v>93</v>
      </c>
      <c r="AS294" s="13" t="s">
        <v>92</v>
      </c>
      <c r="AT294" s="13" t="s">
        <v>93</v>
      </c>
      <c r="AU294" s="13" t="s">
        <v>92</v>
      </c>
      <c r="AV294" s="13" t="s">
        <v>93</v>
      </c>
      <c r="AW294" s="13" t="s">
        <v>93</v>
      </c>
      <c r="AX294" s="13" t="s">
        <v>92</v>
      </c>
      <c r="AY294" s="15" t="s">
        <v>441</v>
      </c>
      <c r="AZ294" s="15" t="s">
        <v>95</v>
      </c>
      <c r="BA294" s="16" t="s">
        <v>1359</v>
      </c>
      <c r="BB294" s="8" t="s">
        <v>261</v>
      </c>
      <c r="BC294" s="15" t="s">
        <v>92</v>
      </c>
      <c r="BD294" s="14" t="s">
        <v>93</v>
      </c>
      <c r="BE294" s="13" t="s">
        <v>92</v>
      </c>
      <c r="BF294" s="13" t="s">
        <v>92</v>
      </c>
      <c r="BG294" s="13" t="s">
        <v>92</v>
      </c>
      <c r="BH294" s="13" t="s">
        <v>92</v>
      </c>
      <c r="BI294" s="13" t="s">
        <v>93</v>
      </c>
      <c r="BJ294" s="13" t="s">
        <v>92</v>
      </c>
      <c r="BK294" s="14" t="s">
        <v>105</v>
      </c>
      <c r="BL294" s="14" t="s">
        <v>105</v>
      </c>
      <c r="BM294" s="14" t="s">
        <v>105</v>
      </c>
      <c r="BN294" s="14" t="s">
        <v>105</v>
      </c>
      <c r="BO294" s="14" t="s">
        <v>105</v>
      </c>
      <c r="BP294" s="14" t="s">
        <v>105</v>
      </c>
      <c r="BQ294" s="15" t="s">
        <v>92</v>
      </c>
      <c r="BR294" s="15" t="s">
        <v>92</v>
      </c>
      <c r="BS294" s="15" t="s">
        <v>93</v>
      </c>
      <c r="BT294" s="15" t="s">
        <v>92</v>
      </c>
      <c r="BU294" s="15" t="s">
        <v>92</v>
      </c>
      <c r="BV294" s="15" t="s">
        <v>92</v>
      </c>
      <c r="BW294" s="15" t="s">
        <v>92</v>
      </c>
      <c r="BX294" s="15" t="s">
        <v>92</v>
      </c>
      <c r="BY294" s="15" t="s">
        <v>92</v>
      </c>
      <c r="BZ294" s="15" t="s">
        <v>92</v>
      </c>
      <c r="CA294" s="15" t="s">
        <v>92</v>
      </c>
      <c r="CB294" s="17" t="s">
        <v>1292</v>
      </c>
      <c r="CC294" s="17"/>
      <c r="CD294" s="18"/>
      <c r="CE294" s="18"/>
      <c r="CF294" s="18"/>
      <c r="CG294" s="18"/>
      <c r="CH294" s="18"/>
    </row>
    <row r="295">
      <c r="A295" s="8"/>
      <c r="B295" s="16" t="s">
        <v>1359</v>
      </c>
      <c r="C295" s="10" t="s">
        <v>1360</v>
      </c>
      <c r="D295" s="9" t="s">
        <v>87</v>
      </c>
      <c r="E295" s="11" t="s">
        <v>1368</v>
      </c>
      <c r="F295" s="12"/>
      <c r="G295" s="13" t="s">
        <v>1369</v>
      </c>
      <c r="H295" s="13" t="s">
        <v>90</v>
      </c>
      <c r="I295" s="13" t="s">
        <v>1370</v>
      </c>
      <c r="J295" s="14" t="s">
        <v>93</v>
      </c>
      <c r="K295" s="14" t="s">
        <v>93</v>
      </c>
      <c r="L295" s="14" t="s">
        <v>93</v>
      </c>
      <c r="M295" s="14" t="s">
        <v>92</v>
      </c>
      <c r="N295" s="14" t="s">
        <v>92</v>
      </c>
      <c r="O295" s="14" t="s">
        <v>92</v>
      </c>
      <c r="P295" s="13" t="s">
        <v>92</v>
      </c>
      <c r="Q295" s="13" t="s">
        <v>92</v>
      </c>
      <c r="R295" s="13" t="s">
        <v>92</v>
      </c>
      <c r="S295" s="13" t="s">
        <v>92</v>
      </c>
      <c r="T295" s="13" t="s">
        <v>92</v>
      </c>
      <c r="U295" s="13" t="s">
        <v>92</v>
      </c>
      <c r="V295" s="13" t="s">
        <v>92</v>
      </c>
      <c r="W295" s="13" t="s">
        <v>92</v>
      </c>
      <c r="X295" s="13" t="s">
        <v>92</v>
      </c>
      <c r="Y295" s="13" t="s">
        <v>92</v>
      </c>
      <c r="Z295" s="13" t="s">
        <v>92</v>
      </c>
      <c r="AA295" s="14" t="s">
        <v>92</v>
      </c>
      <c r="AB295" s="8" t="s">
        <v>93</v>
      </c>
      <c r="AC295" s="15" t="s">
        <v>92</v>
      </c>
      <c r="AD295" s="15" t="s">
        <v>92</v>
      </c>
      <c r="AE295" s="13" t="s">
        <v>1135</v>
      </c>
      <c r="AF295" s="13" t="s">
        <v>92</v>
      </c>
      <c r="AG295" s="13" t="s">
        <v>95</v>
      </c>
      <c r="AH295" s="8" t="s">
        <v>105</v>
      </c>
      <c r="AI295" s="13" t="s">
        <v>93</v>
      </c>
      <c r="AJ295" s="13" t="s">
        <v>93</v>
      </c>
      <c r="AK295" s="13" t="s">
        <v>93</v>
      </c>
      <c r="AL295" s="14" t="s">
        <v>93</v>
      </c>
      <c r="AM295" s="15" t="s">
        <v>95</v>
      </c>
      <c r="AN295" s="13" t="s">
        <v>114</v>
      </c>
      <c r="AO295" s="15" t="s">
        <v>93</v>
      </c>
      <c r="AP295" s="15" t="s">
        <v>92</v>
      </c>
      <c r="AQ295" s="13" t="s">
        <v>92</v>
      </c>
      <c r="AR295" s="13" t="s">
        <v>93</v>
      </c>
      <c r="AS295" s="13" t="s">
        <v>92</v>
      </c>
      <c r="AT295" s="13" t="s">
        <v>93</v>
      </c>
      <c r="AU295" s="13" t="s">
        <v>92</v>
      </c>
      <c r="AV295" s="13" t="s">
        <v>93</v>
      </c>
      <c r="AW295" s="13" t="s">
        <v>93</v>
      </c>
      <c r="AX295" s="13" t="s">
        <v>92</v>
      </c>
      <c r="AY295" s="15" t="s">
        <v>441</v>
      </c>
      <c r="AZ295" s="15" t="s">
        <v>95</v>
      </c>
      <c r="BA295" s="16" t="s">
        <v>1359</v>
      </c>
      <c r="BB295" s="8" t="s">
        <v>261</v>
      </c>
      <c r="BC295" s="15" t="s">
        <v>92</v>
      </c>
      <c r="BD295" s="14" t="s">
        <v>93</v>
      </c>
      <c r="BE295" s="13" t="s">
        <v>92</v>
      </c>
      <c r="BF295" s="13" t="s">
        <v>92</v>
      </c>
      <c r="BG295" s="13" t="s">
        <v>92</v>
      </c>
      <c r="BH295" s="13" t="s">
        <v>92</v>
      </c>
      <c r="BI295" s="13" t="s">
        <v>92</v>
      </c>
      <c r="BJ295" s="13" t="s">
        <v>92</v>
      </c>
      <c r="BK295" s="14" t="s">
        <v>105</v>
      </c>
      <c r="BL295" s="14" t="s">
        <v>105</v>
      </c>
      <c r="BM295" s="14" t="s">
        <v>105</v>
      </c>
      <c r="BN295" s="14" t="s">
        <v>105</v>
      </c>
      <c r="BO295" s="14" t="s">
        <v>105</v>
      </c>
      <c r="BP295" s="14" t="s">
        <v>105</v>
      </c>
      <c r="BQ295" s="15" t="s">
        <v>92</v>
      </c>
      <c r="BR295" s="15" t="s">
        <v>92</v>
      </c>
      <c r="BS295" s="15" t="s">
        <v>93</v>
      </c>
      <c r="BT295" s="15" t="s">
        <v>92</v>
      </c>
      <c r="BU295" s="15" t="s">
        <v>92</v>
      </c>
      <c r="BV295" s="15" t="s">
        <v>92</v>
      </c>
      <c r="BW295" s="15" t="s">
        <v>92</v>
      </c>
      <c r="BX295" s="15" t="s">
        <v>92</v>
      </c>
      <c r="BY295" s="15" t="s">
        <v>92</v>
      </c>
      <c r="BZ295" s="15" t="s">
        <v>92</v>
      </c>
      <c r="CA295" s="15" t="s">
        <v>92</v>
      </c>
      <c r="CB295" s="17" t="s">
        <v>1292</v>
      </c>
      <c r="CC295" s="17" t="s">
        <v>170</v>
      </c>
      <c r="CD295" s="17" t="s">
        <v>1307</v>
      </c>
      <c r="CE295" s="20" t="s">
        <v>1371</v>
      </c>
      <c r="CF295" s="34"/>
      <c r="CG295" s="18"/>
      <c r="CH295" s="18"/>
    </row>
    <row r="296">
      <c r="A296" s="8"/>
      <c r="B296" s="16" t="s">
        <v>1359</v>
      </c>
      <c r="C296" s="10" t="s">
        <v>1360</v>
      </c>
      <c r="D296" s="9" t="s">
        <v>87</v>
      </c>
      <c r="E296" s="11" t="s">
        <v>1372</v>
      </c>
      <c r="F296" s="12"/>
      <c r="G296" s="13" t="s">
        <v>1373</v>
      </c>
      <c r="H296" s="13" t="s">
        <v>90</v>
      </c>
      <c r="I296" s="13" t="s">
        <v>1374</v>
      </c>
      <c r="J296" s="13" t="s">
        <v>93</v>
      </c>
      <c r="K296" s="14" t="s">
        <v>92</v>
      </c>
      <c r="L296" s="14" t="s">
        <v>93</v>
      </c>
      <c r="M296" s="14" t="s">
        <v>93</v>
      </c>
      <c r="N296" s="14" t="s">
        <v>92</v>
      </c>
      <c r="O296" s="14" t="s">
        <v>92</v>
      </c>
      <c r="P296" s="13" t="s">
        <v>92</v>
      </c>
      <c r="Q296" s="14" t="s">
        <v>92</v>
      </c>
      <c r="R296" s="13" t="s">
        <v>92</v>
      </c>
      <c r="S296" s="14" t="s">
        <v>93</v>
      </c>
      <c r="T296" s="14" t="s">
        <v>92</v>
      </c>
      <c r="U296" s="14" t="s">
        <v>92</v>
      </c>
      <c r="V296" s="14" t="s">
        <v>92</v>
      </c>
      <c r="W296" s="14" t="s">
        <v>92</v>
      </c>
      <c r="X296" s="14" t="s">
        <v>92</v>
      </c>
      <c r="Y296" s="14" t="s">
        <v>92</v>
      </c>
      <c r="Z296" s="14" t="s">
        <v>92</v>
      </c>
      <c r="AA296" s="14" t="s">
        <v>92</v>
      </c>
      <c r="AB296" s="15" t="s">
        <v>93</v>
      </c>
      <c r="AC296" s="15" t="s">
        <v>92</v>
      </c>
      <c r="AD296" s="15" t="s">
        <v>92</v>
      </c>
      <c r="AE296" s="14" t="s">
        <v>148</v>
      </c>
      <c r="AF296" s="14" t="s">
        <v>92</v>
      </c>
      <c r="AG296" s="13" t="s">
        <v>95</v>
      </c>
      <c r="AH296" s="8" t="s">
        <v>105</v>
      </c>
      <c r="AI296" s="13" t="s">
        <v>93</v>
      </c>
      <c r="AJ296" s="13" t="s">
        <v>92</v>
      </c>
      <c r="AK296" s="13" t="s">
        <v>92</v>
      </c>
      <c r="AL296" s="14" t="s">
        <v>92</v>
      </c>
      <c r="AM296" s="15" t="s">
        <v>105</v>
      </c>
      <c r="AN296" s="13" t="s">
        <v>105</v>
      </c>
      <c r="AO296" s="8" t="s">
        <v>105</v>
      </c>
      <c r="AP296" s="8" t="s">
        <v>92</v>
      </c>
      <c r="AQ296" s="13" t="s">
        <v>92</v>
      </c>
      <c r="AR296" s="13" t="s">
        <v>93</v>
      </c>
      <c r="AS296" s="13" t="s">
        <v>92</v>
      </c>
      <c r="AT296" s="13" t="s">
        <v>93</v>
      </c>
      <c r="AU296" s="13" t="s">
        <v>92</v>
      </c>
      <c r="AV296" s="13" t="s">
        <v>93</v>
      </c>
      <c r="AW296" s="13" t="s">
        <v>93</v>
      </c>
      <c r="AX296" s="13" t="s">
        <v>92</v>
      </c>
      <c r="AY296" s="15" t="s">
        <v>441</v>
      </c>
      <c r="AZ296" s="15" t="s">
        <v>95</v>
      </c>
      <c r="BA296" s="16" t="s">
        <v>1359</v>
      </c>
      <c r="BB296" s="8" t="s">
        <v>261</v>
      </c>
      <c r="BC296" s="15" t="s">
        <v>92</v>
      </c>
      <c r="BD296" s="14" t="s">
        <v>93</v>
      </c>
      <c r="BE296" s="14" t="s">
        <v>92</v>
      </c>
      <c r="BF296" s="14" t="s">
        <v>92</v>
      </c>
      <c r="BG296" s="14" t="s">
        <v>92</v>
      </c>
      <c r="BH296" s="14" t="s">
        <v>92</v>
      </c>
      <c r="BI296" s="14" t="s">
        <v>92</v>
      </c>
      <c r="BJ296" s="14" t="s">
        <v>92</v>
      </c>
      <c r="BK296" s="14" t="s">
        <v>105</v>
      </c>
      <c r="BL296" s="14" t="s">
        <v>105</v>
      </c>
      <c r="BM296" s="14" t="s">
        <v>105</v>
      </c>
      <c r="BN296" s="14" t="s">
        <v>105</v>
      </c>
      <c r="BO296" s="14" t="s">
        <v>105</v>
      </c>
      <c r="BP296" s="14" t="s">
        <v>105</v>
      </c>
      <c r="BQ296" s="8" t="s">
        <v>92</v>
      </c>
      <c r="BR296" s="8" t="s">
        <v>92</v>
      </c>
      <c r="BS296" s="15" t="s">
        <v>93</v>
      </c>
      <c r="BT296" s="8" t="s">
        <v>92</v>
      </c>
      <c r="BU296" s="8" t="s">
        <v>92</v>
      </c>
      <c r="BV296" s="8" t="s">
        <v>92</v>
      </c>
      <c r="BW296" s="8" t="s">
        <v>92</v>
      </c>
      <c r="BX296" s="8" t="s">
        <v>92</v>
      </c>
      <c r="BY296" s="8" t="s">
        <v>92</v>
      </c>
      <c r="BZ296" s="8" t="s">
        <v>92</v>
      </c>
      <c r="CA296" s="8" t="s">
        <v>92</v>
      </c>
      <c r="CB296" s="17" t="s">
        <v>1292</v>
      </c>
      <c r="CC296" s="17"/>
      <c r="CD296" s="18"/>
      <c r="CE296" s="18"/>
      <c r="CF296" s="18"/>
      <c r="CG296" s="18"/>
      <c r="CH296" s="18"/>
    </row>
    <row r="297">
      <c r="A297" s="8"/>
      <c r="B297" s="16" t="s">
        <v>1359</v>
      </c>
      <c r="C297" s="10" t="s">
        <v>1360</v>
      </c>
      <c r="D297" s="9" t="s">
        <v>87</v>
      </c>
      <c r="E297" s="11" t="s">
        <v>1375</v>
      </c>
      <c r="F297" s="25"/>
      <c r="G297" s="14" t="s">
        <v>1095</v>
      </c>
      <c r="H297" s="13" t="s">
        <v>90</v>
      </c>
      <c r="I297" s="14" t="s">
        <v>1376</v>
      </c>
      <c r="J297" s="14" t="s">
        <v>92</v>
      </c>
      <c r="K297" s="14" t="s">
        <v>92</v>
      </c>
      <c r="L297" s="14" t="s">
        <v>92</v>
      </c>
      <c r="M297" s="14" t="s">
        <v>92</v>
      </c>
      <c r="N297" s="14" t="s">
        <v>92</v>
      </c>
      <c r="O297" s="14" t="s">
        <v>92</v>
      </c>
      <c r="P297" s="14" t="s">
        <v>92</v>
      </c>
      <c r="Q297" s="14" t="s">
        <v>92</v>
      </c>
      <c r="R297" s="14" t="s">
        <v>92</v>
      </c>
      <c r="S297" s="14" t="s">
        <v>92</v>
      </c>
      <c r="T297" s="14" t="s">
        <v>92</v>
      </c>
      <c r="U297" s="14" t="s">
        <v>92</v>
      </c>
      <c r="V297" s="14" t="s">
        <v>92</v>
      </c>
      <c r="W297" s="14" t="s">
        <v>92</v>
      </c>
      <c r="X297" s="14" t="s">
        <v>92</v>
      </c>
      <c r="Y297" s="14" t="s">
        <v>92</v>
      </c>
      <c r="Z297" s="14" t="s">
        <v>93</v>
      </c>
      <c r="AA297" s="14" t="s">
        <v>92</v>
      </c>
      <c r="AB297" s="8" t="s">
        <v>92</v>
      </c>
      <c r="AC297" s="8" t="s">
        <v>93</v>
      </c>
      <c r="AD297" s="8" t="s">
        <v>92</v>
      </c>
      <c r="AE297" s="14" t="s">
        <v>112</v>
      </c>
      <c r="AF297" s="14" t="s">
        <v>92</v>
      </c>
      <c r="AG297" s="14" t="s">
        <v>95</v>
      </c>
      <c r="AH297" s="8">
        <v>2022.0</v>
      </c>
      <c r="AI297" s="14" t="s">
        <v>92</v>
      </c>
      <c r="AJ297" s="14" t="s">
        <v>92</v>
      </c>
      <c r="AK297" s="14" t="s">
        <v>93</v>
      </c>
      <c r="AL297" s="14" t="s">
        <v>93</v>
      </c>
      <c r="AM297" s="15" t="s">
        <v>95</v>
      </c>
      <c r="AN297" s="13" t="s">
        <v>114</v>
      </c>
      <c r="AO297" s="15" t="s">
        <v>93</v>
      </c>
      <c r="AP297" s="15" t="s">
        <v>92</v>
      </c>
      <c r="AQ297" s="13" t="s">
        <v>92</v>
      </c>
      <c r="AR297" s="13" t="s">
        <v>93</v>
      </c>
      <c r="AS297" s="13" t="s">
        <v>92</v>
      </c>
      <c r="AT297" s="13" t="s">
        <v>93</v>
      </c>
      <c r="AU297" s="13" t="s">
        <v>92</v>
      </c>
      <c r="AV297" s="13" t="s">
        <v>93</v>
      </c>
      <c r="AW297" s="13" t="s">
        <v>93</v>
      </c>
      <c r="AX297" s="13" t="s">
        <v>92</v>
      </c>
      <c r="AY297" s="15" t="s">
        <v>441</v>
      </c>
      <c r="AZ297" s="15" t="s">
        <v>95</v>
      </c>
      <c r="BA297" s="16" t="s">
        <v>1359</v>
      </c>
      <c r="BB297" s="8" t="s">
        <v>261</v>
      </c>
      <c r="BC297" s="15" t="s">
        <v>92</v>
      </c>
      <c r="BD297" s="14" t="s">
        <v>92</v>
      </c>
      <c r="BE297" s="14" t="s">
        <v>92</v>
      </c>
      <c r="BF297" s="14" t="s">
        <v>92</v>
      </c>
      <c r="BG297" s="14" t="s">
        <v>93</v>
      </c>
      <c r="BH297" s="14" t="s">
        <v>92</v>
      </c>
      <c r="BI297" s="14" t="s">
        <v>92</v>
      </c>
      <c r="BJ297" s="14" t="s">
        <v>92</v>
      </c>
      <c r="BK297" s="14" t="s">
        <v>274</v>
      </c>
      <c r="BL297" s="13" t="s">
        <v>93</v>
      </c>
      <c r="BM297" s="13" t="s">
        <v>92</v>
      </c>
      <c r="BN297" s="13" t="s">
        <v>92</v>
      </c>
      <c r="BO297" s="13" t="s">
        <v>92</v>
      </c>
      <c r="BP297" s="13" t="s">
        <v>92</v>
      </c>
      <c r="BQ297" s="8" t="s">
        <v>92</v>
      </c>
      <c r="BR297" s="8" t="s">
        <v>92</v>
      </c>
      <c r="BS297" s="8" t="s">
        <v>92</v>
      </c>
      <c r="BT297" s="8" t="s">
        <v>93</v>
      </c>
      <c r="BU297" s="8" t="s">
        <v>92</v>
      </c>
      <c r="BV297" s="8" t="s">
        <v>92</v>
      </c>
      <c r="BW297" s="8" t="s">
        <v>92</v>
      </c>
      <c r="BX297" s="8" t="s">
        <v>92</v>
      </c>
      <c r="BY297" s="8" t="s">
        <v>92</v>
      </c>
      <c r="BZ297" s="8" t="s">
        <v>92</v>
      </c>
      <c r="CA297" s="8" t="s">
        <v>92</v>
      </c>
      <c r="CB297" s="17" t="s">
        <v>1307</v>
      </c>
      <c r="CC297" s="17"/>
      <c r="CD297" s="18"/>
      <c r="CE297" s="18"/>
      <c r="CF297" s="18"/>
      <c r="CG297" s="18"/>
      <c r="CH297" s="18"/>
    </row>
    <row r="298">
      <c r="A298" s="8"/>
      <c r="B298" s="16" t="s">
        <v>1359</v>
      </c>
      <c r="C298" s="10" t="s">
        <v>1360</v>
      </c>
      <c r="D298" s="9" t="s">
        <v>87</v>
      </c>
      <c r="E298" s="11" t="s">
        <v>1377</v>
      </c>
      <c r="F298" s="25"/>
      <c r="G298" s="14" t="s">
        <v>1378</v>
      </c>
      <c r="H298" s="13" t="s">
        <v>90</v>
      </c>
      <c r="I298" s="13" t="s">
        <v>1379</v>
      </c>
      <c r="J298" s="13" t="s">
        <v>92</v>
      </c>
      <c r="K298" s="14" t="s">
        <v>92</v>
      </c>
      <c r="L298" s="14" t="s">
        <v>92</v>
      </c>
      <c r="M298" s="14" t="s">
        <v>93</v>
      </c>
      <c r="N298" s="14" t="s">
        <v>92</v>
      </c>
      <c r="O298" s="13" t="s">
        <v>92</v>
      </c>
      <c r="P298" s="13" t="s">
        <v>92</v>
      </c>
      <c r="Q298" s="13" t="s">
        <v>92</v>
      </c>
      <c r="R298" s="13" t="s">
        <v>92</v>
      </c>
      <c r="S298" s="13" t="s">
        <v>92</v>
      </c>
      <c r="T298" s="13" t="s">
        <v>92</v>
      </c>
      <c r="U298" s="13" t="s">
        <v>93</v>
      </c>
      <c r="V298" s="13" t="s">
        <v>92</v>
      </c>
      <c r="W298" s="13" t="s">
        <v>92</v>
      </c>
      <c r="X298" s="13" t="s">
        <v>92</v>
      </c>
      <c r="Y298" s="13" t="s">
        <v>92</v>
      </c>
      <c r="Z298" s="13" t="s">
        <v>92</v>
      </c>
      <c r="AA298" s="14" t="s">
        <v>92</v>
      </c>
      <c r="AB298" s="15" t="s">
        <v>93</v>
      </c>
      <c r="AC298" s="15" t="s">
        <v>92</v>
      </c>
      <c r="AD298" s="15" t="s">
        <v>92</v>
      </c>
      <c r="AE298" s="13" t="s">
        <v>94</v>
      </c>
      <c r="AF298" s="13" t="s">
        <v>92</v>
      </c>
      <c r="AG298" s="13" t="s">
        <v>95</v>
      </c>
      <c r="AH298" s="15">
        <v>2021.0</v>
      </c>
      <c r="AI298" s="13" t="s">
        <v>92</v>
      </c>
      <c r="AJ298" s="13" t="s">
        <v>93</v>
      </c>
      <c r="AK298" s="13" t="s">
        <v>92</v>
      </c>
      <c r="AL298" s="14" t="s">
        <v>92</v>
      </c>
      <c r="AM298" s="15">
        <v>2021.0</v>
      </c>
      <c r="AN298" s="13" t="s">
        <v>96</v>
      </c>
      <c r="AO298" s="15" t="s">
        <v>92</v>
      </c>
      <c r="AP298" s="15" t="s">
        <v>92</v>
      </c>
      <c r="AQ298" s="13" t="s">
        <v>92</v>
      </c>
      <c r="AR298" s="13" t="s">
        <v>93</v>
      </c>
      <c r="AS298" s="13" t="s">
        <v>92</v>
      </c>
      <c r="AT298" s="13" t="s">
        <v>93</v>
      </c>
      <c r="AU298" s="13" t="s">
        <v>92</v>
      </c>
      <c r="AV298" s="13" t="s">
        <v>93</v>
      </c>
      <c r="AW298" s="13" t="s">
        <v>93</v>
      </c>
      <c r="AX298" s="13" t="s">
        <v>92</v>
      </c>
      <c r="AY298" s="15" t="s">
        <v>441</v>
      </c>
      <c r="AZ298" s="15" t="s">
        <v>95</v>
      </c>
      <c r="BA298" s="16" t="s">
        <v>1380</v>
      </c>
      <c r="BB298" s="8" t="s">
        <v>105</v>
      </c>
      <c r="BC298" s="8" t="s">
        <v>105</v>
      </c>
      <c r="BD298" s="13" t="s">
        <v>92</v>
      </c>
      <c r="BE298" s="13" t="s">
        <v>92</v>
      </c>
      <c r="BF298" s="13" t="s">
        <v>92</v>
      </c>
      <c r="BG298" s="13" t="s">
        <v>92</v>
      </c>
      <c r="BH298" s="13" t="s">
        <v>92</v>
      </c>
      <c r="BI298" s="13" t="s">
        <v>93</v>
      </c>
      <c r="BJ298" s="13" t="s">
        <v>92</v>
      </c>
      <c r="BK298" s="14" t="s">
        <v>1381</v>
      </c>
      <c r="BL298" s="13" t="s">
        <v>93</v>
      </c>
      <c r="BM298" s="13" t="s">
        <v>92</v>
      </c>
      <c r="BN298" s="13" t="s">
        <v>93</v>
      </c>
      <c r="BO298" s="13" t="s">
        <v>92</v>
      </c>
      <c r="BP298" s="13" t="s">
        <v>92</v>
      </c>
      <c r="BQ298" s="15" t="s">
        <v>93</v>
      </c>
      <c r="BR298" s="15" t="s">
        <v>92</v>
      </c>
      <c r="BS298" s="15" t="s">
        <v>92</v>
      </c>
      <c r="BT298" s="15" t="s">
        <v>92</v>
      </c>
      <c r="BU298" s="15" t="s">
        <v>92</v>
      </c>
      <c r="BV298" s="15" t="s">
        <v>92</v>
      </c>
      <c r="BW298" s="15" t="s">
        <v>92</v>
      </c>
      <c r="BX298" s="15" t="s">
        <v>92</v>
      </c>
      <c r="BY298" s="15" t="s">
        <v>92</v>
      </c>
      <c r="BZ298" s="15" t="s">
        <v>92</v>
      </c>
      <c r="CA298" s="15" t="s">
        <v>92</v>
      </c>
      <c r="CB298" s="17" t="s">
        <v>170</v>
      </c>
      <c r="CC298" s="17"/>
      <c r="CD298" s="18"/>
      <c r="CE298" s="18"/>
      <c r="CF298" s="18"/>
      <c r="CG298" s="18"/>
      <c r="CH298" s="18"/>
    </row>
    <row r="299">
      <c r="A299" s="8"/>
      <c r="B299" s="16" t="s">
        <v>1359</v>
      </c>
      <c r="C299" s="10" t="s">
        <v>1360</v>
      </c>
      <c r="D299" s="9" t="s">
        <v>87</v>
      </c>
      <c r="E299" s="11" t="s">
        <v>1382</v>
      </c>
      <c r="F299" s="12"/>
      <c r="G299" s="13" t="s">
        <v>1383</v>
      </c>
      <c r="H299" s="13" t="s">
        <v>90</v>
      </c>
      <c r="I299" s="13" t="s">
        <v>1384</v>
      </c>
      <c r="J299" s="13" t="s">
        <v>92</v>
      </c>
      <c r="K299" s="14" t="s">
        <v>92</v>
      </c>
      <c r="L299" s="14" t="s">
        <v>92</v>
      </c>
      <c r="M299" s="14" t="s">
        <v>92</v>
      </c>
      <c r="N299" s="14" t="s">
        <v>93</v>
      </c>
      <c r="O299" s="13" t="s">
        <v>92</v>
      </c>
      <c r="P299" s="13" t="s">
        <v>92</v>
      </c>
      <c r="Q299" s="13" t="s">
        <v>92</v>
      </c>
      <c r="R299" s="13" t="s">
        <v>92</v>
      </c>
      <c r="S299" s="13" t="s">
        <v>92</v>
      </c>
      <c r="T299" s="13" t="s">
        <v>93</v>
      </c>
      <c r="U299" s="13" t="s">
        <v>92</v>
      </c>
      <c r="V299" s="13" t="s">
        <v>92</v>
      </c>
      <c r="W299" s="13" t="s">
        <v>92</v>
      </c>
      <c r="X299" s="13" t="s">
        <v>92</v>
      </c>
      <c r="Y299" s="13" t="s">
        <v>92</v>
      </c>
      <c r="Z299" s="13" t="s">
        <v>92</v>
      </c>
      <c r="AA299" s="14" t="s">
        <v>92</v>
      </c>
      <c r="AB299" s="15" t="s">
        <v>93</v>
      </c>
      <c r="AC299" s="15" t="s">
        <v>92</v>
      </c>
      <c r="AD299" s="15" t="s">
        <v>92</v>
      </c>
      <c r="AE299" s="14" t="s">
        <v>103</v>
      </c>
      <c r="AF299" s="13" t="s">
        <v>92</v>
      </c>
      <c r="AG299" s="13" t="s">
        <v>95</v>
      </c>
      <c r="AH299" s="8" t="s">
        <v>105</v>
      </c>
      <c r="AI299" s="13" t="s">
        <v>92</v>
      </c>
      <c r="AJ299" s="13" t="s">
        <v>93</v>
      </c>
      <c r="AK299" s="13" t="s">
        <v>92</v>
      </c>
      <c r="AL299" s="14" t="s">
        <v>92</v>
      </c>
      <c r="AM299" s="8" t="s">
        <v>105</v>
      </c>
      <c r="AN299" s="14" t="s">
        <v>105</v>
      </c>
      <c r="AO299" s="8" t="s">
        <v>105</v>
      </c>
      <c r="AP299" s="15" t="s">
        <v>92</v>
      </c>
      <c r="AQ299" s="13" t="s">
        <v>92</v>
      </c>
      <c r="AR299" s="13" t="s">
        <v>93</v>
      </c>
      <c r="AS299" s="13" t="s">
        <v>92</v>
      </c>
      <c r="AT299" s="13" t="s">
        <v>93</v>
      </c>
      <c r="AU299" s="13" t="s">
        <v>92</v>
      </c>
      <c r="AV299" s="13" t="s">
        <v>93</v>
      </c>
      <c r="AW299" s="13" t="s">
        <v>93</v>
      </c>
      <c r="AX299" s="13" t="s">
        <v>92</v>
      </c>
      <c r="AY299" s="15" t="s">
        <v>441</v>
      </c>
      <c r="AZ299" s="15" t="s">
        <v>95</v>
      </c>
      <c r="BA299" s="16" t="s">
        <v>1359</v>
      </c>
      <c r="BB299" s="8" t="s">
        <v>261</v>
      </c>
      <c r="BC299" s="15" t="s">
        <v>92</v>
      </c>
      <c r="BD299" s="13" t="s">
        <v>92</v>
      </c>
      <c r="BE299" s="13" t="s">
        <v>92</v>
      </c>
      <c r="BF299" s="13" t="s">
        <v>92</v>
      </c>
      <c r="BG299" s="13" t="s">
        <v>92</v>
      </c>
      <c r="BH299" s="13" t="s">
        <v>92</v>
      </c>
      <c r="BI299" s="13" t="s">
        <v>93</v>
      </c>
      <c r="BJ299" s="13" t="s">
        <v>92</v>
      </c>
      <c r="BK299" s="14" t="s">
        <v>1385</v>
      </c>
      <c r="BL299" s="13" t="s">
        <v>93</v>
      </c>
      <c r="BM299" s="13" t="s">
        <v>92</v>
      </c>
      <c r="BN299" s="13" t="s">
        <v>93</v>
      </c>
      <c r="BO299" s="13" t="s">
        <v>92</v>
      </c>
      <c r="BP299" s="13" t="s">
        <v>93</v>
      </c>
      <c r="BQ299" s="15" t="s">
        <v>92</v>
      </c>
      <c r="BR299" s="15" t="s">
        <v>93</v>
      </c>
      <c r="BS299" s="15" t="s">
        <v>92</v>
      </c>
      <c r="BT299" s="15" t="s">
        <v>92</v>
      </c>
      <c r="BU299" s="15" t="s">
        <v>92</v>
      </c>
      <c r="BV299" s="15" t="s">
        <v>92</v>
      </c>
      <c r="BW299" s="15" t="s">
        <v>92</v>
      </c>
      <c r="BX299" s="15" t="s">
        <v>92</v>
      </c>
      <c r="BY299" s="15" t="s">
        <v>92</v>
      </c>
      <c r="BZ299" s="15" t="s">
        <v>92</v>
      </c>
      <c r="CA299" s="15" t="s">
        <v>92</v>
      </c>
      <c r="CB299" s="17" t="s">
        <v>170</v>
      </c>
      <c r="CC299" s="17"/>
      <c r="CD299" s="18"/>
      <c r="CE299" s="18"/>
      <c r="CF299" s="18"/>
      <c r="CG299" s="18"/>
      <c r="CH299" s="18"/>
    </row>
    <row r="300">
      <c r="A300" s="8"/>
      <c r="B300" s="16" t="s">
        <v>1359</v>
      </c>
      <c r="C300" s="10" t="s">
        <v>1360</v>
      </c>
      <c r="D300" s="9" t="s">
        <v>87</v>
      </c>
      <c r="E300" s="11" t="s">
        <v>1386</v>
      </c>
      <c r="F300" s="12"/>
      <c r="G300" s="13" t="s">
        <v>1387</v>
      </c>
      <c r="H300" s="13" t="s">
        <v>90</v>
      </c>
      <c r="I300" s="14" t="s">
        <v>1388</v>
      </c>
      <c r="J300" s="13" t="s">
        <v>92</v>
      </c>
      <c r="K300" s="14" t="s">
        <v>92</v>
      </c>
      <c r="L300" s="14" t="s">
        <v>92</v>
      </c>
      <c r="M300" s="14" t="s">
        <v>92</v>
      </c>
      <c r="N300" s="14" t="s">
        <v>93</v>
      </c>
      <c r="O300" s="13" t="s">
        <v>92</v>
      </c>
      <c r="P300" s="13" t="s">
        <v>92</v>
      </c>
      <c r="Q300" s="13" t="s">
        <v>92</v>
      </c>
      <c r="R300" s="13" t="s">
        <v>92</v>
      </c>
      <c r="S300" s="13" t="s">
        <v>92</v>
      </c>
      <c r="T300" s="13" t="s">
        <v>93</v>
      </c>
      <c r="U300" s="13" t="s">
        <v>92</v>
      </c>
      <c r="V300" s="13" t="s">
        <v>92</v>
      </c>
      <c r="W300" s="13" t="s">
        <v>92</v>
      </c>
      <c r="X300" s="13" t="s">
        <v>92</v>
      </c>
      <c r="Y300" s="13" t="s">
        <v>92</v>
      </c>
      <c r="Z300" s="13" t="s">
        <v>92</v>
      </c>
      <c r="AA300" s="14" t="s">
        <v>92</v>
      </c>
      <c r="AB300" s="15" t="s">
        <v>93</v>
      </c>
      <c r="AC300" s="15" t="s">
        <v>92</v>
      </c>
      <c r="AD300" s="15" t="s">
        <v>92</v>
      </c>
      <c r="AE300" s="14" t="s">
        <v>103</v>
      </c>
      <c r="AF300" s="13" t="s">
        <v>92</v>
      </c>
      <c r="AG300" s="13" t="s">
        <v>95</v>
      </c>
      <c r="AH300" s="8">
        <v>2020.0</v>
      </c>
      <c r="AI300" s="14" t="s">
        <v>93</v>
      </c>
      <c r="AJ300" s="13" t="s">
        <v>93</v>
      </c>
      <c r="AK300" s="13" t="s">
        <v>92</v>
      </c>
      <c r="AL300" s="14" t="s">
        <v>92</v>
      </c>
      <c r="AM300" s="8" t="s">
        <v>105</v>
      </c>
      <c r="AN300" s="14" t="s">
        <v>105</v>
      </c>
      <c r="AO300" s="8" t="s">
        <v>105</v>
      </c>
      <c r="AP300" s="15" t="s">
        <v>92</v>
      </c>
      <c r="AQ300" s="13" t="s">
        <v>92</v>
      </c>
      <c r="AR300" s="13" t="s">
        <v>93</v>
      </c>
      <c r="AS300" s="13" t="s">
        <v>92</v>
      </c>
      <c r="AT300" s="13" t="s">
        <v>93</v>
      </c>
      <c r="AU300" s="13" t="s">
        <v>92</v>
      </c>
      <c r="AV300" s="13" t="s">
        <v>93</v>
      </c>
      <c r="AW300" s="13" t="s">
        <v>93</v>
      </c>
      <c r="AX300" s="13" t="s">
        <v>92</v>
      </c>
      <c r="AY300" s="15" t="s">
        <v>441</v>
      </c>
      <c r="AZ300" s="15" t="s">
        <v>95</v>
      </c>
      <c r="BA300" s="16" t="s">
        <v>1359</v>
      </c>
      <c r="BB300" s="8" t="s">
        <v>261</v>
      </c>
      <c r="BC300" s="15" t="s">
        <v>92</v>
      </c>
      <c r="BD300" s="13" t="s">
        <v>92</v>
      </c>
      <c r="BE300" s="13" t="s">
        <v>92</v>
      </c>
      <c r="BF300" s="13" t="s">
        <v>92</v>
      </c>
      <c r="BG300" s="13" t="s">
        <v>92</v>
      </c>
      <c r="BH300" s="13" t="s">
        <v>92</v>
      </c>
      <c r="BI300" s="13" t="s">
        <v>93</v>
      </c>
      <c r="BJ300" s="13" t="s">
        <v>92</v>
      </c>
      <c r="BK300" s="14" t="s">
        <v>1385</v>
      </c>
      <c r="BL300" s="13" t="s">
        <v>93</v>
      </c>
      <c r="BM300" s="13" t="s">
        <v>92</v>
      </c>
      <c r="BN300" s="13" t="s">
        <v>93</v>
      </c>
      <c r="BO300" s="13" t="s">
        <v>92</v>
      </c>
      <c r="BP300" s="13" t="s">
        <v>93</v>
      </c>
      <c r="BQ300" s="15" t="s">
        <v>92</v>
      </c>
      <c r="BR300" s="15" t="s">
        <v>93</v>
      </c>
      <c r="BS300" s="15" t="s">
        <v>92</v>
      </c>
      <c r="BT300" s="15" t="s">
        <v>92</v>
      </c>
      <c r="BU300" s="15" t="s">
        <v>92</v>
      </c>
      <c r="BV300" s="15" t="s">
        <v>92</v>
      </c>
      <c r="BW300" s="15" t="s">
        <v>92</v>
      </c>
      <c r="BX300" s="15" t="s">
        <v>92</v>
      </c>
      <c r="BY300" s="15" t="s">
        <v>92</v>
      </c>
      <c r="BZ300" s="15" t="s">
        <v>92</v>
      </c>
      <c r="CA300" s="15" t="s">
        <v>92</v>
      </c>
      <c r="CB300" s="17" t="s">
        <v>170</v>
      </c>
      <c r="CC300" s="17"/>
      <c r="CD300" s="18"/>
      <c r="CE300" s="18"/>
      <c r="CF300" s="18"/>
      <c r="CG300" s="18"/>
      <c r="CH300" s="18"/>
    </row>
    <row r="301">
      <c r="A301" s="8"/>
      <c r="B301" s="16" t="s">
        <v>1359</v>
      </c>
      <c r="C301" s="10" t="s">
        <v>1360</v>
      </c>
      <c r="D301" s="9" t="s">
        <v>87</v>
      </c>
      <c r="E301" s="11" t="s">
        <v>1389</v>
      </c>
      <c r="F301" s="12"/>
      <c r="G301" s="13" t="s">
        <v>1390</v>
      </c>
      <c r="H301" s="13" t="s">
        <v>90</v>
      </c>
      <c r="I301" s="13" t="s">
        <v>1391</v>
      </c>
      <c r="J301" s="14" t="s">
        <v>92</v>
      </c>
      <c r="K301" s="14" t="s">
        <v>92</v>
      </c>
      <c r="L301" s="14" t="s">
        <v>93</v>
      </c>
      <c r="M301" s="14" t="s">
        <v>92</v>
      </c>
      <c r="N301" s="14" t="s">
        <v>92</v>
      </c>
      <c r="O301" s="14" t="s">
        <v>93</v>
      </c>
      <c r="P301" s="14" t="s">
        <v>92</v>
      </c>
      <c r="Q301" s="14" t="s">
        <v>92</v>
      </c>
      <c r="R301" s="14" t="s">
        <v>92</v>
      </c>
      <c r="S301" s="14" t="s">
        <v>93</v>
      </c>
      <c r="T301" s="14" t="s">
        <v>92</v>
      </c>
      <c r="U301" s="14" t="s">
        <v>92</v>
      </c>
      <c r="V301" s="14" t="s">
        <v>92</v>
      </c>
      <c r="W301" s="14" t="s">
        <v>92</v>
      </c>
      <c r="X301" s="14" t="s">
        <v>92</v>
      </c>
      <c r="Y301" s="14" t="s">
        <v>92</v>
      </c>
      <c r="Z301" s="14" t="s">
        <v>92</v>
      </c>
      <c r="AA301" s="14" t="s">
        <v>93</v>
      </c>
      <c r="AB301" s="8" t="s">
        <v>93</v>
      </c>
      <c r="AC301" s="8" t="s">
        <v>92</v>
      </c>
      <c r="AD301" s="8" t="s">
        <v>92</v>
      </c>
      <c r="AE301" s="14" t="s">
        <v>103</v>
      </c>
      <c r="AF301" s="14" t="s">
        <v>92</v>
      </c>
      <c r="AG301" s="13" t="s">
        <v>95</v>
      </c>
      <c r="AH301" s="8" t="s">
        <v>105</v>
      </c>
      <c r="AI301" s="13" t="s">
        <v>92</v>
      </c>
      <c r="AJ301" s="13" t="s">
        <v>93</v>
      </c>
      <c r="AK301" s="14" t="s">
        <v>92</v>
      </c>
      <c r="AL301" s="14" t="s">
        <v>92</v>
      </c>
      <c r="AM301" s="8" t="s">
        <v>105</v>
      </c>
      <c r="AN301" s="14" t="s">
        <v>105</v>
      </c>
      <c r="AO301" s="8" t="s">
        <v>105</v>
      </c>
      <c r="AP301" s="15" t="s">
        <v>92</v>
      </c>
      <c r="AQ301" s="13" t="s">
        <v>92</v>
      </c>
      <c r="AR301" s="13" t="s">
        <v>93</v>
      </c>
      <c r="AS301" s="13" t="s">
        <v>92</v>
      </c>
      <c r="AT301" s="13" t="s">
        <v>93</v>
      </c>
      <c r="AU301" s="13" t="s">
        <v>92</v>
      </c>
      <c r="AV301" s="13" t="s">
        <v>93</v>
      </c>
      <c r="AW301" s="13" t="s">
        <v>93</v>
      </c>
      <c r="AX301" s="13" t="s">
        <v>92</v>
      </c>
      <c r="AY301" s="15" t="s">
        <v>441</v>
      </c>
      <c r="AZ301" s="15" t="s">
        <v>95</v>
      </c>
      <c r="BA301" s="16" t="s">
        <v>1359</v>
      </c>
      <c r="BB301" s="8" t="s">
        <v>261</v>
      </c>
      <c r="BC301" s="8" t="s">
        <v>92</v>
      </c>
      <c r="BD301" s="14" t="s">
        <v>93</v>
      </c>
      <c r="BE301" s="13" t="s">
        <v>92</v>
      </c>
      <c r="BF301" s="13" t="s">
        <v>92</v>
      </c>
      <c r="BG301" s="13" t="s">
        <v>92</v>
      </c>
      <c r="BH301" s="13" t="s">
        <v>92</v>
      </c>
      <c r="BI301" s="14" t="s">
        <v>92</v>
      </c>
      <c r="BJ301" s="13" t="s">
        <v>92</v>
      </c>
      <c r="BK301" s="14" t="s">
        <v>1392</v>
      </c>
      <c r="BL301" s="14" t="s">
        <v>92</v>
      </c>
      <c r="BM301" s="14" t="s">
        <v>93</v>
      </c>
      <c r="BN301" s="14" t="s">
        <v>92</v>
      </c>
      <c r="BO301" s="14" t="s">
        <v>92</v>
      </c>
      <c r="BP301" s="14" t="s">
        <v>92</v>
      </c>
      <c r="BQ301" s="8" t="s">
        <v>92</v>
      </c>
      <c r="BR301" s="8" t="s">
        <v>92</v>
      </c>
      <c r="BS301" s="8" t="s">
        <v>93</v>
      </c>
      <c r="BT301" s="8" t="s">
        <v>92</v>
      </c>
      <c r="BU301" s="8" t="s">
        <v>92</v>
      </c>
      <c r="BV301" s="8" t="s">
        <v>92</v>
      </c>
      <c r="BW301" s="8" t="s">
        <v>92</v>
      </c>
      <c r="BX301" s="8" t="s">
        <v>92</v>
      </c>
      <c r="BY301" s="8" t="s">
        <v>92</v>
      </c>
      <c r="BZ301" s="8" t="s">
        <v>92</v>
      </c>
      <c r="CA301" s="8" t="s">
        <v>92</v>
      </c>
      <c r="CB301" s="17" t="s">
        <v>170</v>
      </c>
      <c r="CC301" s="17"/>
      <c r="CD301" s="18"/>
      <c r="CE301" s="18"/>
      <c r="CF301" s="18"/>
      <c r="CG301" s="18"/>
      <c r="CH301" s="18"/>
    </row>
    <row r="302">
      <c r="A302" s="8"/>
      <c r="B302" s="16" t="s">
        <v>1359</v>
      </c>
      <c r="C302" s="10" t="s">
        <v>1360</v>
      </c>
      <c r="D302" s="9" t="s">
        <v>87</v>
      </c>
      <c r="E302" s="11" t="s">
        <v>1393</v>
      </c>
      <c r="F302" s="12"/>
      <c r="G302" s="13" t="s">
        <v>1394</v>
      </c>
      <c r="H302" s="13" t="s">
        <v>90</v>
      </c>
      <c r="I302" s="13" t="s">
        <v>1395</v>
      </c>
      <c r="J302" s="13" t="s">
        <v>92</v>
      </c>
      <c r="K302" s="14" t="s">
        <v>92</v>
      </c>
      <c r="L302" s="14" t="s">
        <v>93</v>
      </c>
      <c r="M302" s="14" t="s">
        <v>93</v>
      </c>
      <c r="N302" s="14" t="s">
        <v>92</v>
      </c>
      <c r="O302" s="13" t="s">
        <v>92</v>
      </c>
      <c r="P302" s="13" t="s">
        <v>92</v>
      </c>
      <c r="Q302" s="13" t="s">
        <v>93</v>
      </c>
      <c r="R302" s="14" t="s">
        <v>93</v>
      </c>
      <c r="S302" s="13" t="s">
        <v>92</v>
      </c>
      <c r="T302" s="13" t="s">
        <v>92</v>
      </c>
      <c r="U302" s="13" t="s">
        <v>93</v>
      </c>
      <c r="V302" s="13" t="s">
        <v>92</v>
      </c>
      <c r="W302" s="13" t="s">
        <v>92</v>
      </c>
      <c r="X302" s="13" t="s">
        <v>92</v>
      </c>
      <c r="Y302" s="13" t="s">
        <v>92</v>
      </c>
      <c r="Z302" s="13" t="s">
        <v>92</v>
      </c>
      <c r="AA302" s="14" t="s">
        <v>92</v>
      </c>
      <c r="AB302" s="15" t="s">
        <v>93</v>
      </c>
      <c r="AC302" s="15" t="s">
        <v>92</v>
      </c>
      <c r="AD302" s="15" t="s">
        <v>92</v>
      </c>
      <c r="AE302" s="13" t="s">
        <v>94</v>
      </c>
      <c r="AF302" s="13" t="s">
        <v>92</v>
      </c>
      <c r="AG302" s="13" t="s">
        <v>95</v>
      </c>
      <c r="AH302" s="8" t="s">
        <v>105</v>
      </c>
      <c r="AI302" s="13" t="s">
        <v>92</v>
      </c>
      <c r="AJ302" s="13" t="s">
        <v>92</v>
      </c>
      <c r="AK302" s="13" t="s">
        <v>93</v>
      </c>
      <c r="AL302" s="14" t="s">
        <v>92</v>
      </c>
      <c r="AM302" s="8" t="s">
        <v>105</v>
      </c>
      <c r="AN302" s="14" t="s">
        <v>105</v>
      </c>
      <c r="AO302" s="8" t="s">
        <v>105</v>
      </c>
      <c r="AP302" s="15" t="s">
        <v>92</v>
      </c>
      <c r="AQ302" s="13" t="s">
        <v>92</v>
      </c>
      <c r="AR302" s="13" t="s">
        <v>93</v>
      </c>
      <c r="AS302" s="13" t="s">
        <v>92</v>
      </c>
      <c r="AT302" s="13" t="s">
        <v>93</v>
      </c>
      <c r="AU302" s="13" t="s">
        <v>92</v>
      </c>
      <c r="AV302" s="13" t="s">
        <v>93</v>
      </c>
      <c r="AW302" s="13" t="s">
        <v>93</v>
      </c>
      <c r="AX302" s="13" t="s">
        <v>92</v>
      </c>
      <c r="AY302" s="15" t="s">
        <v>1396</v>
      </c>
      <c r="AZ302" s="15" t="s">
        <v>92</v>
      </c>
      <c r="BA302" s="16" t="s">
        <v>1359</v>
      </c>
      <c r="BB302" s="8" t="s">
        <v>261</v>
      </c>
      <c r="BC302" s="15" t="s">
        <v>92</v>
      </c>
      <c r="BD302" s="13" t="s">
        <v>92</v>
      </c>
      <c r="BE302" s="13" t="s">
        <v>92</v>
      </c>
      <c r="BF302" s="13" t="s">
        <v>92</v>
      </c>
      <c r="BG302" s="13" t="s">
        <v>92</v>
      </c>
      <c r="BH302" s="13" t="s">
        <v>92</v>
      </c>
      <c r="BI302" s="13" t="s">
        <v>93</v>
      </c>
      <c r="BJ302" s="13" t="s">
        <v>92</v>
      </c>
      <c r="BK302" s="14" t="s">
        <v>274</v>
      </c>
      <c r="BL302" s="13" t="s">
        <v>93</v>
      </c>
      <c r="BM302" s="13" t="s">
        <v>92</v>
      </c>
      <c r="BN302" s="13" t="s">
        <v>92</v>
      </c>
      <c r="BO302" s="13" t="s">
        <v>92</v>
      </c>
      <c r="BP302" s="13" t="s">
        <v>92</v>
      </c>
      <c r="BQ302" s="15" t="s">
        <v>93</v>
      </c>
      <c r="BR302" s="15" t="s">
        <v>92</v>
      </c>
      <c r="BS302" s="15" t="s">
        <v>92</v>
      </c>
      <c r="BT302" s="15" t="s">
        <v>92</v>
      </c>
      <c r="BU302" s="15" t="s">
        <v>92</v>
      </c>
      <c r="BV302" s="15" t="s">
        <v>92</v>
      </c>
      <c r="BW302" s="15" t="s">
        <v>92</v>
      </c>
      <c r="BX302" s="15" t="s">
        <v>92</v>
      </c>
      <c r="BY302" s="15" t="s">
        <v>92</v>
      </c>
      <c r="BZ302" s="15" t="s">
        <v>92</v>
      </c>
      <c r="CA302" s="15" t="s">
        <v>92</v>
      </c>
      <c r="CB302" s="17" t="s">
        <v>1307</v>
      </c>
      <c r="CC302" s="17"/>
      <c r="CD302" s="17" t="s">
        <v>1397</v>
      </c>
      <c r="CE302" s="18"/>
      <c r="CF302" s="18"/>
      <c r="CG302" s="18"/>
      <c r="CH302" s="18"/>
    </row>
    <row r="303">
      <c r="A303" s="8"/>
      <c r="B303" s="16" t="s">
        <v>1359</v>
      </c>
      <c r="C303" s="10" t="s">
        <v>1360</v>
      </c>
      <c r="D303" s="9" t="s">
        <v>87</v>
      </c>
      <c r="E303" s="11" t="s">
        <v>1398</v>
      </c>
      <c r="F303" s="12"/>
      <c r="G303" s="14" t="s">
        <v>1142</v>
      </c>
      <c r="H303" s="13" t="s">
        <v>90</v>
      </c>
      <c r="I303" s="13" t="s">
        <v>1399</v>
      </c>
      <c r="J303" s="13" t="s">
        <v>92</v>
      </c>
      <c r="K303" s="14" t="s">
        <v>93</v>
      </c>
      <c r="L303" s="14" t="s">
        <v>93</v>
      </c>
      <c r="M303" s="14" t="s">
        <v>92</v>
      </c>
      <c r="N303" s="14" t="s">
        <v>92</v>
      </c>
      <c r="O303" s="13" t="s">
        <v>92</v>
      </c>
      <c r="P303" s="13" t="s">
        <v>92</v>
      </c>
      <c r="Q303" s="13" t="s">
        <v>92</v>
      </c>
      <c r="R303" s="13" t="s">
        <v>92</v>
      </c>
      <c r="S303" s="14" t="s">
        <v>93</v>
      </c>
      <c r="T303" s="13" t="s">
        <v>92</v>
      </c>
      <c r="U303" s="13" t="s">
        <v>92</v>
      </c>
      <c r="V303" s="13" t="s">
        <v>92</v>
      </c>
      <c r="W303" s="13" t="s">
        <v>92</v>
      </c>
      <c r="X303" s="13" t="s">
        <v>92</v>
      </c>
      <c r="Y303" s="13" t="s">
        <v>92</v>
      </c>
      <c r="Z303" s="13" t="s">
        <v>93</v>
      </c>
      <c r="AA303" s="14" t="s">
        <v>92</v>
      </c>
      <c r="AB303" s="8" t="s">
        <v>93</v>
      </c>
      <c r="AC303" s="8" t="s">
        <v>93</v>
      </c>
      <c r="AD303" s="8" t="s">
        <v>92</v>
      </c>
      <c r="AE303" s="14" t="s">
        <v>112</v>
      </c>
      <c r="AF303" s="13" t="s">
        <v>92</v>
      </c>
      <c r="AG303" s="13" t="s">
        <v>95</v>
      </c>
      <c r="AH303" s="8" t="s">
        <v>105</v>
      </c>
      <c r="AI303" s="14" t="s">
        <v>93</v>
      </c>
      <c r="AJ303" s="14" t="s">
        <v>93</v>
      </c>
      <c r="AK303" s="13" t="s">
        <v>93</v>
      </c>
      <c r="AL303" s="14" t="s">
        <v>93</v>
      </c>
      <c r="AM303" s="15" t="s">
        <v>95</v>
      </c>
      <c r="AN303" s="13" t="s">
        <v>114</v>
      </c>
      <c r="AO303" s="8" t="s">
        <v>93</v>
      </c>
      <c r="AP303" s="15" t="s">
        <v>92</v>
      </c>
      <c r="AQ303" s="13" t="s">
        <v>92</v>
      </c>
      <c r="AR303" s="13" t="s">
        <v>93</v>
      </c>
      <c r="AS303" s="13" t="s">
        <v>92</v>
      </c>
      <c r="AT303" s="13" t="s">
        <v>93</v>
      </c>
      <c r="AU303" s="13" t="s">
        <v>92</v>
      </c>
      <c r="AV303" s="13" t="s">
        <v>93</v>
      </c>
      <c r="AW303" s="13" t="s">
        <v>93</v>
      </c>
      <c r="AX303" s="13" t="s">
        <v>92</v>
      </c>
      <c r="AY303" s="15" t="s">
        <v>441</v>
      </c>
      <c r="AZ303" s="15" t="s">
        <v>95</v>
      </c>
      <c r="BA303" s="16" t="s">
        <v>1359</v>
      </c>
      <c r="BB303" s="8" t="s">
        <v>261</v>
      </c>
      <c r="BC303" s="15" t="s">
        <v>92</v>
      </c>
      <c r="BD303" s="14" t="s">
        <v>93</v>
      </c>
      <c r="BE303" s="13" t="s">
        <v>92</v>
      </c>
      <c r="BF303" s="13" t="s">
        <v>92</v>
      </c>
      <c r="BG303" s="13" t="s">
        <v>92</v>
      </c>
      <c r="BH303" s="13" t="s">
        <v>92</v>
      </c>
      <c r="BI303" s="14" t="s">
        <v>92</v>
      </c>
      <c r="BJ303" s="13" t="s">
        <v>92</v>
      </c>
      <c r="BK303" s="14" t="s">
        <v>105</v>
      </c>
      <c r="BL303" s="14" t="s">
        <v>105</v>
      </c>
      <c r="BM303" s="14" t="s">
        <v>105</v>
      </c>
      <c r="BN303" s="14" t="s">
        <v>105</v>
      </c>
      <c r="BO303" s="14" t="s">
        <v>105</v>
      </c>
      <c r="BP303" s="14" t="s">
        <v>105</v>
      </c>
      <c r="BQ303" s="15" t="s">
        <v>92</v>
      </c>
      <c r="BR303" s="15" t="s">
        <v>92</v>
      </c>
      <c r="BS303" s="8" t="s">
        <v>92</v>
      </c>
      <c r="BT303" s="15" t="s">
        <v>93</v>
      </c>
      <c r="BU303" s="15" t="s">
        <v>92</v>
      </c>
      <c r="BV303" s="15" t="s">
        <v>93</v>
      </c>
      <c r="BW303" s="15" t="s">
        <v>92</v>
      </c>
      <c r="BX303" s="15" t="s">
        <v>92</v>
      </c>
      <c r="BY303" s="15" t="s">
        <v>92</v>
      </c>
      <c r="BZ303" s="15" t="s">
        <v>93</v>
      </c>
      <c r="CA303" s="15" t="s">
        <v>92</v>
      </c>
      <c r="CB303" s="20" t="s">
        <v>1189</v>
      </c>
      <c r="CC303" s="20" t="s">
        <v>129</v>
      </c>
      <c r="CD303" s="20" t="s">
        <v>1307</v>
      </c>
      <c r="CE303" s="20" t="s">
        <v>660</v>
      </c>
      <c r="CF303" s="18"/>
      <c r="CG303" s="18"/>
      <c r="CH303" s="18"/>
    </row>
    <row r="304">
      <c r="A304" s="8"/>
      <c r="B304" s="62" t="s">
        <v>1400</v>
      </c>
      <c r="C304" s="10" t="s">
        <v>1401</v>
      </c>
      <c r="D304" s="9" t="s">
        <v>87</v>
      </c>
      <c r="E304" s="11" t="s">
        <v>1402</v>
      </c>
      <c r="F304" s="12"/>
      <c r="G304" s="14" t="s">
        <v>1403</v>
      </c>
      <c r="H304" s="13" t="s">
        <v>110</v>
      </c>
      <c r="I304" s="14" t="s">
        <v>1404</v>
      </c>
      <c r="J304" s="13" t="s">
        <v>92</v>
      </c>
      <c r="K304" s="14" t="s">
        <v>92</v>
      </c>
      <c r="L304" s="14" t="s">
        <v>92</v>
      </c>
      <c r="M304" s="14" t="s">
        <v>92</v>
      </c>
      <c r="N304" s="14" t="s">
        <v>93</v>
      </c>
      <c r="O304" s="13" t="s">
        <v>92</v>
      </c>
      <c r="P304" s="13" t="s">
        <v>92</v>
      </c>
      <c r="Q304" s="13" t="s">
        <v>92</v>
      </c>
      <c r="R304" s="13" t="s">
        <v>92</v>
      </c>
      <c r="S304" s="13" t="s">
        <v>92</v>
      </c>
      <c r="T304" s="13" t="s">
        <v>93</v>
      </c>
      <c r="U304" s="13" t="s">
        <v>92</v>
      </c>
      <c r="V304" s="13" t="s">
        <v>92</v>
      </c>
      <c r="W304" s="13" t="s">
        <v>92</v>
      </c>
      <c r="X304" s="13" t="s">
        <v>92</v>
      </c>
      <c r="Y304" s="13" t="s">
        <v>92</v>
      </c>
      <c r="Z304" s="13" t="s">
        <v>92</v>
      </c>
      <c r="AA304" s="14" t="s">
        <v>92</v>
      </c>
      <c r="AB304" s="15" t="s">
        <v>93</v>
      </c>
      <c r="AC304" s="15" t="s">
        <v>92</v>
      </c>
      <c r="AD304" s="15" t="s">
        <v>92</v>
      </c>
      <c r="AE304" s="14" t="s">
        <v>103</v>
      </c>
      <c r="AF304" s="13" t="s">
        <v>92</v>
      </c>
      <c r="AG304" s="13" t="s">
        <v>95</v>
      </c>
      <c r="AH304" s="8" t="s">
        <v>105</v>
      </c>
      <c r="AI304" s="13" t="s">
        <v>93</v>
      </c>
      <c r="AJ304" s="13" t="s">
        <v>92</v>
      </c>
      <c r="AK304" s="14" t="s">
        <v>93</v>
      </c>
      <c r="AL304" s="13" t="s">
        <v>92</v>
      </c>
      <c r="AM304" s="8" t="s">
        <v>105</v>
      </c>
      <c r="AN304" s="14" t="s">
        <v>105</v>
      </c>
      <c r="AO304" s="15" t="s">
        <v>92</v>
      </c>
      <c r="AP304" s="15" t="s">
        <v>92</v>
      </c>
      <c r="AQ304" s="13" t="s">
        <v>93</v>
      </c>
      <c r="AR304" s="13" t="s">
        <v>93</v>
      </c>
      <c r="AS304" s="13" t="s">
        <v>93</v>
      </c>
      <c r="AT304" s="13" t="s">
        <v>93</v>
      </c>
      <c r="AU304" s="13" t="s">
        <v>93</v>
      </c>
      <c r="AV304" s="13" t="s">
        <v>93</v>
      </c>
      <c r="AW304" s="13" t="s">
        <v>93</v>
      </c>
      <c r="AX304" s="13" t="s">
        <v>92</v>
      </c>
      <c r="AY304" s="15" t="s">
        <v>441</v>
      </c>
      <c r="AZ304" s="15" t="s">
        <v>95</v>
      </c>
      <c r="BA304" s="16" t="s">
        <v>1400</v>
      </c>
      <c r="BB304" s="8" t="s">
        <v>155</v>
      </c>
      <c r="BC304" s="15" t="s">
        <v>92</v>
      </c>
      <c r="BD304" s="13" t="s">
        <v>92</v>
      </c>
      <c r="BE304" s="13" t="s">
        <v>92</v>
      </c>
      <c r="BF304" s="13" t="s">
        <v>92</v>
      </c>
      <c r="BG304" s="13" t="s">
        <v>92</v>
      </c>
      <c r="BH304" s="13" t="s">
        <v>92</v>
      </c>
      <c r="BI304" s="13" t="s">
        <v>93</v>
      </c>
      <c r="BJ304" s="13" t="s">
        <v>92</v>
      </c>
      <c r="BK304" s="14" t="s">
        <v>1405</v>
      </c>
      <c r="BL304" s="13" t="s">
        <v>92</v>
      </c>
      <c r="BM304" s="13" t="s">
        <v>92</v>
      </c>
      <c r="BN304" s="13" t="s">
        <v>93</v>
      </c>
      <c r="BO304" s="13" t="s">
        <v>92</v>
      </c>
      <c r="BP304" s="13" t="s">
        <v>93</v>
      </c>
      <c r="BQ304" s="15" t="s">
        <v>92</v>
      </c>
      <c r="BR304" s="15" t="s">
        <v>93</v>
      </c>
      <c r="BS304" s="15" t="s">
        <v>92</v>
      </c>
      <c r="BT304" s="15" t="s">
        <v>92</v>
      </c>
      <c r="BU304" s="15" t="s">
        <v>92</v>
      </c>
      <c r="BV304" s="15" t="s">
        <v>92</v>
      </c>
      <c r="BW304" s="15" t="s">
        <v>92</v>
      </c>
      <c r="BX304" s="15" t="s">
        <v>92</v>
      </c>
      <c r="BY304" s="15" t="s">
        <v>92</v>
      </c>
      <c r="BZ304" s="15" t="s">
        <v>92</v>
      </c>
      <c r="CA304" s="15" t="s">
        <v>92</v>
      </c>
      <c r="CB304" s="17" t="s">
        <v>454</v>
      </c>
      <c r="CC304" s="17"/>
      <c r="CD304" s="18"/>
      <c r="CE304" s="18"/>
      <c r="CF304" s="18"/>
      <c r="CG304" s="18"/>
      <c r="CH304" s="18"/>
    </row>
    <row r="305">
      <c r="A305" s="8"/>
      <c r="B305" s="62" t="s">
        <v>1400</v>
      </c>
      <c r="C305" s="10" t="s">
        <v>1401</v>
      </c>
      <c r="D305" s="9" t="s">
        <v>87</v>
      </c>
      <c r="E305" s="11" t="s">
        <v>474</v>
      </c>
      <c r="F305" s="25"/>
      <c r="G305" s="14" t="s">
        <v>475</v>
      </c>
      <c r="H305" s="14" t="s">
        <v>90</v>
      </c>
      <c r="I305" s="14" t="s">
        <v>661</v>
      </c>
      <c r="J305" s="14" t="s">
        <v>92</v>
      </c>
      <c r="K305" s="14" t="s">
        <v>92</v>
      </c>
      <c r="L305" s="14" t="s">
        <v>92</v>
      </c>
      <c r="M305" s="14" t="s">
        <v>92</v>
      </c>
      <c r="N305" s="14" t="s">
        <v>92</v>
      </c>
      <c r="O305" s="14" t="s">
        <v>92</v>
      </c>
      <c r="P305" s="14" t="s">
        <v>92</v>
      </c>
      <c r="Q305" s="14" t="s">
        <v>92</v>
      </c>
      <c r="R305" s="14" t="s">
        <v>92</v>
      </c>
      <c r="S305" s="14" t="s">
        <v>92</v>
      </c>
      <c r="T305" s="14" t="s">
        <v>92</v>
      </c>
      <c r="U305" s="14" t="s">
        <v>92</v>
      </c>
      <c r="V305" s="14" t="s">
        <v>92</v>
      </c>
      <c r="W305" s="14" t="s">
        <v>92</v>
      </c>
      <c r="X305" s="14" t="s">
        <v>92</v>
      </c>
      <c r="Y305" s="14" t="s">
        <v>92</v>
      </c>
      <c r="Z305" s="14" t="s">
        <v>93</v>
      </c>
      <c r="AA305" s="14" t="s">
        <v>92</v>
      </c>
      <c r="AB305" s="8" t="s">
        <v>92</v>
      </c>
      <c r="AC305" s="8" t="s">
        <v>93</v>
      </c>
      <c r="AD305" s="8" t="s">
        <v>92</v>
      </c>
      <c r="AE305" s="14" t="s">
        <v>112</v>
      </c>
      <c r="AF305" s="14" t="s">
        <v>92</v>
      </c>
      <c r="AG305" s="14" t="s">
        <v>95</v>
      </c>
      <c r="AH305" s="8">
        <v>2020.0</v>
      </c>
      <c r="AI305" s="14" t="s">
        <v>93</v>
      </c>
      <c r="AJ305" s="14" t="s">
        <v>92</v>
      </c>
      <c r="AK305" s="14" t="s">
        <v>92</v>
      </c>
      <c r="AL305" s="14" t="s">
        <v>92</v>
      </c>
      <c r="AM305" s="8" t="s">
        <v>105</v>
      </c>
      <c r="AN305" s="14" t="s">
        <v>105</v>
      </c>
      <c r="AO305" s="8" t="s">
        <v>105</v>
      </c>
      <c r="AP305" s="8" t="s">
        <v>92</v>
      </c>
      <c r="AQ305" s="13" t="s">
        <v>93</v>
      </c>
      <c r="AR305" s="14" t="s">
        <v>93</v>
      </c>
      <c r="AS305" s="13" t="s">
        <v>93</v>
      </c>
      <c r="AT305" s="13" t="s">
        <v>93</v>
      </c>
      <c r="AU305" s="14" t="s">
        <v>93</v>
      </c>
      <c r="AV305" s="13" t="s">
        <v>93</v>
      </c>
      <c r="AW305" s="13" t="s">
        <v>93</v>
      </c>
      <c r="AX305" s="14" t="s">
        <v>92</v>
      </c>
      <c r="AY305" s="15" t="s">
        <v>95</v>
      </c>
      <c r="AZ305" s="8" t="s">
        <v>95</v>
      </c>
      <c r="BA305" s="9" t="s">
        <v>477</v>
      </c>
      <c r="BB305" s="8" t="s">
        <v>155</v>
      </c>
      <c r="BC305" s="8" t="s">
        <v>92</v>
      </c>
      <c r="BD305" s="14" t="s">
        <v>92</v>
      </c>
      <c r="BE305" s="14" t="s">
        <v>92</v>
      </c>
      <c r="BF305" s="14" t="s">
        <v>92</v>
      </c>
      <c r="BG305" s="14" t="s">
        <v>93</v>
      </c>
      <c r="BH305" s="14" t="s">
        <v>92</v>
      </c>
      <c r="BI305" s="14" t="s">
        <v>92</v>
      </c>
      <c r="BJ305" s="14" t="s">
        <v>92</v>
      </c>
      <c r="BK305" s="14" t="s">
        <v>105</v>
      </c>
      <c r="BL305" s="14" t="s">
        <v>105</v>
      </c>
      <c r="BM305" s="14" t="s">
        <v>105</v>
      </c>
      <c r="BN305" s="14" t="s">
        <v>105</v>
      </c>
      <c r="BO305" s="14" t="s">
        <v>105</v>
      </c>
      <c r="BP305" s="14" t="s">
        <v>105</v>
      </c>
      <c r="BQ305" s="8" t="s">
        <v>92</v>
      </c>
      <c r="BR305" s="8" t="s">
        <v>92</v>
      </c>
      <c r="BS305" s="8" t="s">
        <v>92</v>
      </c>
      <c r="BT305" s="8" t="s">
        <v>93</v>
      </c>
      <c r="BU305" s="8" t="s">
        <v>92</v>
      </c>
      <c r="BV305" s="8" t="s">
        <v>92</v>
      </c>
      <c r="BW305" s="8" t="s">
        <v>92</v>
      </c>
      <c r="BX305" s="8" t="s">
        <v>92</v>
      </c>
      <c r="BY305" s="8" t="s">
        <v>93</v>
      </c>
      <c r="BZ305" s="8" t="s">
        <v>92</v>
      </c>
      <c r="CA305" s="8" t="s">
        <v>92</v>
      </c>
      <c r="CB305" s="17" t="s">
        <v>454</v>
      </c>
      <c r="CC305" s="18"/>
      <c r="CD305" s="18"/>
      <c r="CE305" s="18"/>
      <c r="CF305" s="18"/>
      <c r="CG305" s="18"/>
      <c r="CH305" s="18"/>
    </row>
    <row r="306">
      <c r="A306" s="8"/>
      <c r="B306" s="62" t="s">
        <v>1400</v>
      </c>
      <c r="C306" s="10" t="s">
        <v>1401</v>
      </c>
      <c r="D306" s="9" t="s">
        <v>87</v>
      </c>
      <c r="E306" s="11" t="s">
        <v>1406</v>
      </c>
      <c r="F306" s="12"/>
      <c r="G306" s="14" t="s">
        <v>1407</v>
      </c>
      <c r="H306" s="14" t="s">
        <v>110</v>
      </c>
      <c r="I306" s="14" t="s">
        <v>1408</v>
      </c>
      <c r="J306" s="14" t="s">
        <v>92</v>
      </c>
      <c r="K306" s="14" t="s">
        <v>92</v>
      </c>
      <c r="L306" s="14" t="s">
        <v>93</v>
      </c>
      <c r="M306" s="14" t="s">
        <v>92</v>
      </c>
      <c r="N306" s="14" t="s">
        <v>92</v>
      </c>
      <c r="O306" s="14" t="s">
        <v>92</v>
      </c>
      <c r="P306" s="14" t="s">
        <v>92</v>
      </c>
      <c r="Q306" s="14" t="s">
        <v>92</v>
      </c>
      <c r="R306" s="14" t="s">
        <v>92</v>
      </c>
      <c r="S306" s="14" t="s">
        <v>92</v>
      </c>
      <c r="T306" s="14" t="s">
        <v>92</v>
      </c>
      <c r="U306" s="14" t="s">
        <v>92</v>
      </c>
      <c r="V306" s="14" t="s">
        <v>92</v>
      </c>
      <c r="W306" s="14" t="s">
        <v>92</v>
      </c>
      <c r="X306" s="14" t="s">
        <v>92</v>
      </c>
      <c r="Y306" s="14" t="s">
        <v>92</v>
      </c>
      <c r="Z306" s="14" t="s">
        <v>93</v>
      </c>
      <c r="AA306" s="14" t="s">
        <v>92</v>
      </c>
      <c r="AB306" s="8" t="s">
        <v>92</v>
      </c>
      <c r="AC306" s="8" t="s">
        <v>93</v>
      </c>
      <c r="AD306" s="8" t="s">
        <v>92</v>
      </c>
      <c r="AE306" s="14" t="s">
        <v>112</v>
      </c>
      <c r="AF306" s="14" t="s">
        <v>92</v>
      </c>
      <c r="AG306" s="14" t="s">
        <v>95</v>
      </c>
      <c r="AH306" s="8">
        <v>2021.0</v>
      </c>
      <c r="AI306" s="14" t="s">
        <v>92</v>
      </c>
      <c r="AJ306" s="14" t="s">
        <v>93</v>
      </c>
      <c r="AK306" s="14" t="s">
        <v>93</v>
      </c>
      <c r="AL306" s="14" t="s">
        <v>93</v>
      </c>
      <c r="AM306" s="8" t="s">
        <v>95</v>
      </c>
      <c r="AN306" s="14" t="s">
        <v>114</v>
      </c>
      <c r="AO306" s="15" t="s">
        <v>93</v>
      </c>
      <c r="AP306" s="15" t="s">
        <v>92</v>
      </c>
      <c r="AQ306" s="13" t="s">
        <v>93</v>
      </c>
      <c r="AR306" s="14" t="s">
        <v>93</v>
      </c>
      <c r="AS306" s="13" t="s">
        <v>93</v>
      </c>
      <c r="AT306" s="13" t="s">
        <v>93</v>
      </c>
      <c r="AU306" s="14" t="s">
        <v>93</v>
      </c>
      <c r="AV306" s="13" t="s">
        <v>93</v>
      </c>
      <c r="AW306" s="13" t="s">
        <v>93</v>
      </c>
      <c r="AX306" s="14" t="s">
        <v>92</v>
      </c>
      <c r="AY306" s="15" t="s">
        <v>95</v>
      </c>
      <c r="AZ306" s="8" t="s">
        <v>95</v>
      </c>
      <c r="BA306" s="16" t="s">
        <v>1400</v>
      </c>
      <c r="BB306" s="8" t="s">
        <v>155</v>
      </c>
      <c r="BC306" s="15" t="s">
        <v>92</v>
      </c>
      <c r="BD306" s="14" t="s">
        <v>93</v>
      </c>
      <c r="BE306" s="14" t="s">
        <v>92</v>
      </c>
      <c r="BF306" s="14" t="s">
        <v>92</v>
      </c>
      <c r="BG306" s="14" t="s">
        <v>92</v>
      </c>
      <c r="BH306" s="14" t="s">
        <v>92</v>
      </c>
      <c r="BI306" s="14" t="s">
        <v>92</v>
      </c>
      <c r="BJ306" s="14" t="s">
        <v>92</v>
      </c>
      <c r="BK306" s="14" t="s">
        <v>1405</v>
      </c>
      <c r="BL306" s="13" t="s">
        <v>92</v>
      </c>
      <c r="BM306" s="13" t="s">
        <v>92</v>
      </c>
      <c r="BN306" s="13" t="s">
        <v>93</v>
      </c>
      <c r="BO306" s="13" t="s">
        <v>92</v>
      </c>
      <c r="BP306" s="13" t="s">
        <v>93</v>
      </c>
      <c r="BQ306" s="8" t="s">
        <v>92</v>
      </c>
      <c r="BR306" s="8" t="s">
        <v>92</v>
      </c>
      <c r="BS306" s="8" t="s">
        <v>92</v>
      </c>
      <c r="BT306" s="8" t="s">
        <v>93</v>
      </c>
      <c r="BU306" s="8" t="s">
        <v>92</v>
      </c>
      <c r="BV306" s="8" t="s">
        <v>92</v>
      </c>
      <c r="BW306" s="8" t="s">
        <v>92</v>
      </c>
      <c r="BX306" s="8" t="s">
        <v>92</v>
      </c>
      <c r="BY306" s="8" t="s">
        <v>92</v>
      </c>
      <c r="BZ306" s="8" t="s">
        <v>93</v>
      </c>
      <c r="CA306" s="8" t="s">
        <v>92</v>
      </c>
      <c r="CB306" s="17" t="s">
        <v>455</v>
      </c>
      <c r="CC306" s="18"/>
      <c r="CD306" s="18"/>
      <c r="CE306" s="18"/>
      <c r="CF306" s="18"/>
      <c r="CG306" s="18"/>
      <c r="CH306" s="18"/>
    </row>
    <row r="307">
      <c r="A307" s="8"/>
      <c r="B307" s="62" t="s">
        <v>1400</v>
      </c>
      <c r="C307" s="10" t="s">
        <v>1401</v>
      </c>
      <c r="D307" s="9" t="s">
        <v>87</v>
      </c>
      <c r="E307" s="11" t="s">
        <v>1409</v>
      </c>
      <c r="F307" s="12"/>
      <c r="G307" s="13" t="s">
        <v>1410</v>
      </c>
      <c r="H307" s="13" t="s">
        <v>90</v>
      </c>
      <c r="I307" s="13" t="s">
        <v>1411</v>
      </c>
      <c r="J307" s="13" t="s">
        <v>92</v>
      </c>
      <c r="K307" s="14" t="s">
        <v>92</v>
      </c>
      <c r="L307" s="14" t="s">
        <v>92</v>
      </c>
      <c r="M307" s="14" t="s">
        <v>93</v>
      </c>
      <c r="N307" s="14" t="s">
        <v>92</v>
      </c>
      <c r="O307" s="13" t="s">
        <v>92</v>
      </c>
      <c r="P307" s="13" t="s">
        <v>92</v>
      </c>
      <c r="Q307" s="13" t="s">
        <v>92</v>
      </c>
      <c r="R307" s="13" t="s">
        <v>92</v>
      </c>
      <c r="S307" s="13" t="s">
        <v>92</v>
      </c>
      <c r="T307" s="13" t="s">
        <v>93</v>
      </c>
      <c r="U307" s="13" t="s">
        <v>93</v>
      </c>
      <c r="V307" s="13" t="s">
        <v>92</v>
      </c>
      <c r="W307" s="13" t="s">
        <v>92</v>
      </c>
      <c r="X307" s="13" t="s">
        <v>92</v>
      </c>
      <c r="Y307" s="13" t="s">
        <v>92</v>
      </c>
      <c r="Z307" s="13" t="s">
        <v>92</v>
      </c>
      <c r="AA307" s="14" t="s">
        <v>92</v>
      </c>
      <c r="AB307" s="15" t="s">
        <v>93</v>
      </c>
      <c r="AC307" s="15" t="s">
        <v>92</v>
      </c>
      <c r="AD307" s="15" t="s">
        <v>92</v>
      </c>
      <c r="AE307" s="13" t="s">
        <v>94</v>
      </c>
      <c r="AF307" s="13" t="s">
        <v>92</v>
      </c>
      <c r="AG307" s="13" t="s">
        <v>95</v>
      </c>
      <c r="AH307" s="8" t="s">
        <v>105</v>
      </c>
      <c r="AI307" s="13" t="s">
        <v>93</v>
      </c>
      <c r="AJ307" s="13" t="s">
        <v>93</v>
      </c>
      <c r="AK307" s="13" t="s">
        <v>92</v>
      </c>
      <c r="AL307" s="13" t="s">
        <v>92</v>
      </c>
      <c r="AM307" s="8" t="s">
        <v>105</v>
      </c>
      <c r="AN307" s="14" t="s">
        <v>105</v>
      </c>
      <c r="AO307" s="15" t="s">
        <v>93</v>
      </c>
      <c r="AP307" s="15" t="s">
        <v>92</v>
      </c>
      <c r="AQ307" s="13" t="s">
        <v>93</v>
      </c>
      <c r="AR307" s="13" t="s">
        <v>93</v>
      </c>
      <c r="AS307" s="13" t="s">
        <v>93</v>
      </c>
      <c r="AT307" s="13" t="s">
        <v>93</v>
      </c>
      <c r="AU307" s="13" t="s">
        <v>93</v>
      </c>
      <c r="AV307" s="13" t="s">
        <v>93</v>
      </c>
      <c r="AW307" s="13" t="s">
        <v>93</v>
      </c>
      <c r="AX307" s="13" t="s">
        <v>92</v>
      </c>
      <c r="AY307" s="15" t="s">
        <v>441</v>
      </c>
      <c r="AZ307" s="15" t="s">
        <v>95</v>
      </c>
      <c r="BA307" s="16" t="s">
        <v>1412</v>
      </c>
      <c r="BB307" s="8" t="s">
        <v>143</v>
      </c>
      <c r="BC307" s="15" t="s">
        <v>92</v>
      </c>
      <c r="BD307" s="13" t="s">
        <v>92</v>
      </c>
      <c r="BE307" s="13" t="s">
        <v>92</v>
      </c>
      <c r="BF307" s="13" t="s">
        <v>92</v>
      </c>
      <c r="BG307" s="13" t="s">
        <v>92</v>
      </c>
      <c r="BH307" s="13" t="s">
        <v>92</v>
      </c>
      <c r="BI307" s="13" t="s">
        <v>93</v>
      </c>
      <c r="BJ307" s="13" t="s">
        <v>92</v>
      </c>
      <c r="BK307" s="14" t="s">
        <v>156</v>
      </c>
      <c r="BL307" s="13" t="s">
        <v>92</v>
      </c>
      <c r="BM307" s="13" t="s">
        <v>92</v>
      </c>
      <c r="BN307" s="13" t="s">
        <v>92</v>
      </c>
      <c r="BO307" s="13" t="s">
        <v>92</v>
      </c>
      <c r="BP307" s="13" t="s">
        <v>93</v>
      </c>
      <c r="BQ307" s="15" t="s">
        <v>93</v>
      </c>
      <c r="BR307" s="15" t="s">
        <v>93</v>
      </c>
      <c r="BS307" s="15" t="s">
        <v>92</v>
      </c>
      <c r="BT307" s="15" t="s">
        <v>92</v>
      </c>
      <c r="BU307" s="15" t="s">
        <v>92</v>
      </c>
      <c r="BV307" s="15" t="s">
        <v>92</v>
      </c>
      <c r="BW307" s="15" t="s">
        <v>92</v>
      </c>
      <c r="BX307" s="15" t="s">
        <v>92</v>
      </c>
      <c r="BY307" s="15" t="s">
        <v>92</v>
      </c>
      <c r="BZ307" s="15" t="s">
        <v>92</v>
      </c>
      <c r="CA307" s="15" t="s">
        <v>92</v>
      </c>
      <c r="CB307" s="17" t="s">
        <v>454</v>
      </c>
      <c r="CC307" s="17" t="s">
        <v>455</v>
      </c>
      <c r="CD307" s="18"/>
      <c r="CE307" s="18"/>
      <c r="CF307" s="18"/>
      <c r="CG307" s="18"/>
      <c r="CH307" s="18"/>
    </row>
    <row r="308">
      <c r="A308" s="8"/>
      <c r="B308" s="62" t="s">
        <v>1400</v>
      </c>
      <c r="C308" s="10" t="s">
        <v>1401</v>
      </c>
      <c r="D308" s="9" t="s">
        <v>87</v>
      </c>
      <c r="E308" s="11" t="s">
        <v>1413</v>
      </c>
      <c r="F308" s="12"/>
      <c r="G308" s="13" t="s">
        <v>1414</v>
      </c>
      <c r="H308" s="13" t="s">
        <v>90</v>
      </c>
      <c r="I308" s="13" t="s">
        <v>1415</v>
      </c>
      <c r="J308" s="13" t="s">
        <v>92</v>
      </c>
      <c r="K308" s="14" t="s">
        <v>92</v>
      </c>
      <c r="L308" s="14" t="s">
        <v>93</v>
      </c>
      <c r="M308" s="14" t="s">
        <v>93</v>
      </c>
      <c r="N308" s="14" t="s">
        <v>92</v>
      </c>
      <c r="O308" s="13" t="s">
        <v>92</v>
      </c>
      <c r="P308" s="13" t="s">
        <v>92</v>
      </c>
      <c r="Q308" s="14" t="s">
        <v>92</v>
      </c>
      <c r="R308" s="13" t="s">
        <v>92</v>
      </c>
      <c r="S308" s="13" t="s">
        <v>92</v>
      </c>
      <c r="T308" s="13" t="s">
        <v>92</v>
      </c>
      <c r="U308" s="13" t="s">
        <v>93</v>
      </c>
      <c r="V308" s="13" t="s">
        <v>92</v>
      </c>
      <c r="W308" s="13" t="s">
        <v>92</v>
      </c>
      <c r="X308" s="13" t="s">
        <v>92</v>
      </c>
      <c r="Y308" s="13" t="s">
        <v>92</v>
      </c>
      <c r="Z308" s="13" t="s">
        <v>92</v>
      </c>
      <c r="AA308" s="14" t="s">
        <v>92</v>
      </c>
      <c r="AB308" s="15" t="s">
        <v>93</v>
      </c>
      <c r="AC308" s="15" t="s">
        <v>92</v>
      </c>
      <c r="AD308" s="15" t="s">
        <v>92</v>
      </c>
      <c r="AE308" s="13" t="s">
        <v>94</v>
      </c>
      <c r="AF308" s="13" t="s">
        <v>92</v>
      </c>
      <c r="AG308" s="13" t="s">
        <v>95</v>
      </c>
      <c r="AH308" s="15">
        <v>2020.0</v>
      </c>
      <c r="AI308" s="13" t="s">
        <v>93</v>
      </c>
      <c r="AJ308" s="13" t="s">
        <v>92</v>
      </c>
      <c r="AK308" s="13" t="s">
        <v>92</v>
      </c>
      <c r="AL308" s="13" t="s">
        <v>92</v>
      </c>
      <c r="AM308" s="15">
        <v>2020.0</v>
      </c>
      <c r="AN308" s="13" t="s">
        <v>96</v>
      </c>
      <c r="AO308" s="15" t="s">
        <v>92</v>
      </c>
      <c r="AP308" s="15" t="s">
        <v>93</v>
      </c>
      <c r="AQ308" s="13" t="s">
        <v>93</v>
      </c>
      <c r="AR308" s="13" t="s">
        <v>93</v>
      </c>
      <c r="AS308" s="13" t="s">
        <v>93</v>
      </c>
      <c r="AT308" s="13" t="s">
        <v>93</v>
      </c>
      <c r="AU308" s="13" t="s">
        <v>93</v>
      </c>
      <c r="AV308" s="13" t="s">
        <v>93</v>
      </c>
      <c r="AW308" s="13" t="s">
        <v>93</v>
      </c>
      <c r="AX308" s="13" t="s">
        <v>92</v>
      </c>
      <c r="AY308" s="15" t="s">
        <v>441</v>
      </c>
      <c r="AZ308" s="15" t="s">
        <v>95</v>
      </c>
      <c r="BA308" s="16" t="s">
        <v>1416</v>
      </c>
      <c r="BB308" s="8" t="s">
        <v>105</v>
      </c>
      <c r="BC308" s="8" t="s">
        <v>93</v>
      </c>
      <c r="BD308" s="13" t="s">
        <v>92</v>
      </c>
      <c r="BE308" s="13" t="s">
        <v>92</v>
      </c>
      <c r="BF308" s="13" t="s">
        <v>92</v>
      </c>
      <c r="BG308" s="13" t="s">
        <v>92</v>
      </c>
      <c r="BH308" s="13" t="s">
        <v>92</v>
      </c>
      <c r="BI308" s="13" t="s">
        <v>93</v>
      </c>
      <c r="BJ308" s="13" t="s">
        <v>92</v>
      </c>
      <c r="BK308" s="14" t="s">
        <v>1405</v>
      </c>
      <c r="BL308" s="13" t="s">
        <v>92</v>
      </c>
      <c r="BM308" s="13" t="s">
        <v>92</v>
      </c>
      <c r="BN308" s="13" t="s">
        <v>93</v>
      </c>
      <c r="BO308" s="13" t="s">
        <v>92</v>
      </c>
      <c r="BP308" s="13" t="s">
        <v>93</v>
      </c>
      <c r="BQ308" s="15" t="s">
        <v>93</v>
      </c>
      <c r="BR308" s="15" t="s">
        <v>92</v>
      </c>
      <c r="BS308" s="15" t="s">
        <v>92</v>
      </c>
      <c r="BT308" s="15" t="s">
        <v>92</v>
      </c>
      <c r="BU308" s="15" t="s">
        <v>92</v>
      </c>
      <c r="BV308" s="15" t="s">
        <v>92</v>
      </c>
      <c r="BW308" s="15" t="s">
        <v>92</v>
      </c>
      <c r="BX308" s="15" t="s">
        <v>92</v>
      </c>
      <c r="BY308" s="15" t="s">
        <v>92</v>
      </c>
      <c r="BZ308" s="15" t="s">
        <v>92</v>
      </c>
      <c r="CA308" s="15" t="s">
        <v>92</v>
      </c>
      <c r="CB308" s="17" t="s">
        <v>454</v>
      </c>
      <c r="CC308" s="17"/>
      <c r="CD308" s="18"/>
      <c r="CE308" s="18"/>
      <c r="CF308" s="18"/>
      <c r="CG308" s="18"/>
      <c r="CH308" s="18"/>
    </row>
    <row r="309">
      <c r="A309" s="8"/>
      <c r="B309" s="62" t="s">
        <v>1400</v>
      </c>
      <c r="C309" s="10" t="s">
        <v>1401</v>
      </c>
      <c r="D309" s="9" t="s">
        <v>87</v>
      </c>
      <c r="E309" s="11" t="s">
        <v>1417</v>
      </c>
      <c r="F309" s="12"/>
      <c r="G309" s="13" t="s">
        <v>1418</v>
      </c>
      <c r="H309" s="13" t="s">
        <v>90</v>
      </c>
      <c r="I309" s="13" t="s">
        <v>1419</v>
      </c>
      <c r="J309" s="13" t="s">
        <v>92</v>
      </c>
      <c r="K309" s="14" t="s">
        <v>92</v>
      </c>
      <c r="L309" s="14" t="s">
        <v>92</v>
      </c>
      <c r="M309" s="14" t="s">
        <v>92</v>
      </c>
      <c r="N309" s="14" t="s">
        <v>92</v>
      </c>
      <c r="O309" s="13" t="s">
        <v>92</v>
      </c>
      <c r="P309" s="14" t="s">
        <v>92</v>
      </c>
      <c r="Q309" s="13" t="s">
        <v>93</v>
      </c>
      <c r="R309" s="13" t="s">
        <v>92</v>
      </c>
      <c r="S309" s="13" t="s">
        <v>92</v>
      </c>
      <c r="T309" s="13" t="s">
        <v>92</v>
      </c>
      <c r="U309" s="13" t="s">
        <v>93</v>
      </c>
      <c r="V309" s="13" t="s">
        <v>92</v>
      </c>
      <c r="W309" s="13" t="s">
        <v>92</v>
      </c>
      <c r="X309" s="13" t="s">
        <v>92</v>
      </c>
      <c r="Y309" s="13" t="s">
        <v>92</v>
      </c>
      <c r="Z309" s="13" t="s">
        <v>92</v>
      </c>
      <c r="AA309" s="14" t="s">
        <v>92</v>
      </c>
      <c r="AB309" s="15" t="s">
        <v>93</v>
      </c>
      <c r="AC309" s="15" t="s">
        <v>92</v>
      </c>
      <c r="AD309" s="15" t="s">
        <v>92</v>
      </c>
      <c r="AE309" s="13" t="s">
        <v>94</v>
      </c>
      <c r="AF309" s="13" t="s">
        <v>92</v>
      </c>
      <c r="AG309" s="13" t="s">
        <v>95</v>
      </c>
      <c r="AH309" s="15">
        <v>2020.0</v>
      </c>
      <c r="AI309" s="13" t="s">
        <v>93</v>
      </c>
      <c r="AJ309" s="13" t="s">
        <v>92</v>
      </c>
      <c r="AK309" s="13" t="s">
        <v>92</v>
      </c>
      <c r="AL309" s="13" t="s">
        <v>92</v>
      </c>
      <c r="AM309" s="15">
        <v>2020.0</v>
      </c>
      <c r="AN309" s="13" t="s">
        <v>96</v>
      </c>
      <c r="AO309" s="15" t="s">
        <v>92</v>
      </c>
      <c r="AP309" s="15" t="s">
        <v>93</v>
      </c>
      <c r="AQ309" s="13" t="s">
        <v>93</v>
      </c>
      <c r="AR309" s="13" t="s">
        <v>93</v>
      </c>
      <c r="AS309" s="13" t="s">
        <v>93</v>
      </c>
      <c r="AT309" s="13" t="s">
        <v>93</v>
      </c>
      <c r="AU309" s="13" t="s">
        <v>93</v>
      </c>
      <c r="AV309" s="13" t="s">
        <v>93</v>
      </c>
      <c r="AW309" s="13" t="s">
        <v>93</v>
      </c>
      <c r="AX309" s="13" t="s">
        <v>92</v>
      </c>
      <c r="AY309" s="15" t="s">
        <v>1420</v>
      </c>
      <c r="AZ309" s="15" t="s">
        <v>92</v>
      </c>
      <c r="BA309" s="16" t="s">
        <v>1400</v>
      </c>
      <c r="BB309" s="8" t="s">
        <v>155</v>
      </c>
      <c r="BC309" s="15" t="s">
        <v>92</v>
      </c>
      <c r="BD309" s="13" t="s">
        <v>92</v>
      </c>
      <c r="BE309" s="13" t="s">
        <v>92</v>
      </c>
      <c r="BF309" s="13" t="s">
        <v>92</v>
      </c>
      <c r="BG309" s="13" t="s">
        <v>92</v>
      </c>
      <c r="BH309" s="13" t="s">
        <v>92</v>
      </c>
      <c r="BI309" s="13" t="s">
        <v>93</v>
      </c>
      <c r="BJ309" s="13" t="s">
        <v>92</v>
      </c>
      <c r="BK309" s="14" t="s">
        <v>1405</v>
      </c>
      <c r="BL309" s="13" t="s">
        <v>92</v>
      </c>
      <c r="BM309" s="13" t="s">
        <v>92</v>
      </c>
      <c r="BN309" s="13" t="s">
        <v>93</v>
      </c>
      <c r="BO309" s="13" t="s">
        <v>92</v>
      </c>
      <c r="BP309" s="13" t="s">
        <v>93</v>
      </c>
      <c r="BQ309" s="15" t="s">
        <v>93</v>
      </c>
      <c r="BR309" s="15" t="s">
        <v>92</v>
      </c>
      <c r="BS309" s="15" t="s">
        <v>92</v>
      </c>
      <c r="BT309" s="15" t="s">
        <v>92</v>
      </c>
      <c r="BU309" s="15" t="s">
        <v>92</v>
      </c>
      <c r="BV309" s="15" t="s">
        <v>92</v>
      </c>
      <c r="BW309" s="15" t="s">
        <v>92</v>
      </c>
      <c r="BX309" s="15" t="s">
        <v>92</v>
      </c>
      <c r="BY309" s="15" t="s">
        <v>92</v>
      </c>
      <c r="BZ309" s="15" t="s">
        <v>92</v>
      </c>
      <c r="CA309" s="15" t="s">
        <v>92</v>
      </c>
      <c r="CB309" s="17" t="s">
        <v>454</v>
      </c>
      <c r="CC309" s="17"/>
      <c r="CD309" s="18"/>
      <c r="CE309" s="18"/>
      <c r="CF309" s="18"/>
      <c r="CG309" s="18"/>
      <c r="CH309" s="18"/>
    </row>
    <row r="310">
      <c r="A310" s="8"/>
      <c r="B310" s="62" t="s">
        <v>1400</v>
      </c>
      <c r="C310" s="10" t="s">
        <v>1401</v>
      </c>
      <c r="D310" s="9" t="s">
        <v>87</v>
      </c>
      <c r="E310" s="11" t="s">
        <v>1421</v>
      </c>
      <c r="F310" s="12"/>
      <c r="G310" s="13" t="s">
        <v>1422</v>
      </c>
      <c r="H310" s="14" t="s">
        <v>189</v>
      </c>
      <c r="I310" s="13" t="s">
        <v>1423</v>
      </c>
      <c r="J310" s="13" t="s">
        <v>92</v>
      </c>
      <c r="K310" s="14" t="s">
        <v>92</v>
      </c>
      <c r="L310" s="14" t="s">
        <v>92</v>
      </c>
      <c r="M310" s="14" t="s">
        <v>93</v>
      </c>
      <c r="N310" s="14" t="s">
        <v>92</v>
      </c>
      <c r="O310" s="13" t="s">
        <v>92</v>
      </c>
      <c r="P310" s="13" t="s">
        <v>92</v>
      </c>
      <c r="Q310" s="13" t="s">
        <v>93</v>
      </c>
      <c r="R310" s="13" t="s">
        <v>92</v>
      </c>
      <c r="S310" s="13" t="s">
        <v>92</v>
      </c>
      <c r="T310" s="13" t="s">
        <v>92</v>
      </c>
      <c r="U310" s="13" t="s">
        <v>93</v>
      </c>
      <c r="V310" s="13" t="s">
        <v>92</v>
      </c>
      <c r="W310" s="13" t="s">
        <v>92</v>
      </c>
      <c r="X310" s="13" t="s">
        <v>92</v>
      </c>
      <c r="Y310" s="13" t="s">
        <v>92</v>
      </c>
      <c r="Z310" s="13" t="s">
        <v>92</v>
      </c>
      <c r="AA310" s="14" t="s">
        <v>92</v>
      </c>
      <c r="AB310" s="15" t="s">
        <v>93</v>
      </c>
      <c r="AC310" s="15" t="s">
        <v>92</v>
      </c>
      <c r="AD310" s="15" t="s">
        <v>92</v>
      </c>
      <c r="AE310" s="13" t="s">
        <v>94</v>
      </c>
      <c r="AF310" s="13" t="s">
        <v>92</v>
      </c>
      <c r="AG310" s="13" t="s">
        <v>95</v>
      </c>
      <c r="AH310" s="8" t="s">
        <v>105</v>
      </c>
      <c r="AI310" s="13" t="s">
        <v>93</v>
      </c>
      <c r="AJ310" s="13" t="s">
        <v>92</v>
      </c>
      <c r="AK310" s="13" t="s">
        <v>92</v>
      </c>
      <c r="AL310" s="13" t="s">
        <v>92</v>
      </c>
      <c r="AM310" s="8" t="s">
        <v>105</v>
      </c>
      <c r="AN310" s="14" t="s">
        <v>105</v>
      </c>
      <c r="AO310" s="8" t="s">
        <v>105</v>
      </c>
      <c r="AP310" s="15" t="s">
        <v>92</v>
      </c>
      <c r="AQ310" s="13" t="s">
        <v>93</v>
      </c>
      <c r="AR310" s="13" t="s">
        <v>93</v>
      </c>
      <c r="AS310" s="13" t="s">
        <v>93</v>
      </c>
      <c r="AT310" s="13" t="s">
        <v>93</v>
      </c>
      <c r="AU310" s="13" t="s">
        <v>93</v>
      </c>
      <c r="AV310" s="13" t="s">
        <v>93</v>
      </c>
      <c r="AW310" s="13" t="s">
        <v>93</v>
      </c>
      <c r="AX310" s="13" t="s">
        <v>92</v>
      </c>
      <c r="AY310" s="15" t="s">
        <v>441</v>
      </c>
      <c r="AZ310" s="15" t="s">
        <v>95</v>
      </c>
      <c r="BA310" s="16" t="s">
        <v>1400</v>
      </c>
      <c r="BB310" s="8" t="s">
        <v>155</v>
      </c>
      <c r="BC310" s="15" t="s">
        <v>92</v>
      </c>
      <c r="BD310" s="13" t="s">
        <v>92</v>
      </c>
      <c r="BE310" s="13" t="s">
        <v>92</v>
      </c>
      <c r="BF310" s="13" t="s">
        <v>92</v>
      </c>
      <c r="BG310" s="13" t="s">
        <v>92</v>
      </c>
      <c r="BH310" s="13" t="s">
        <v>92</v>
      </c>
      <c r="BI310" s="13" t="s">
        <v>93</v>
      </c>
      <c r="BJ310" s="13" t="s">
        <v>92</v>
      </c>
      <c r="BK310" s="14" t="s">
        <v>1405</v>
      </c>
      <c r="BL310" s="13" t="s">
        <v>92</v>
      </c>
      <c r="BM310" s="13" t="s">
        <v>92</v>
      </c>
      <c r="BN310" s="13" t="s">
        <v>93</v>
      </c>
      <c r="BO310" s="13" t="s">
        <v>92</v>
      </c>
      <c r="BP310" s="13" t="s">
        <v>93</v>
      </c>
      <c r="BQ310" s="15" t="s">
        <v>93</v>
      </c>
      <c r="BR310" s="15" t="s">
        <v>92</v>
      </c>
      <c r="BS310" s="15" t="s">
        <v>92</v>
      </c>
      <c r="BT310" s="15" t="s">
        <v>92</v>
      </c>
      <c r="BU310" s="15" t="s">
        <v>92</v>
      </c>
      <c r="BV310" s="15" t="s">
        <v>92</v>
      </c>
      <c r="BW310" s="15" t="s">
        <v>92</v>
      </c>
      <c r="BX310" s="15" t="s">
        <v>92</v>
      </c>
      <c r="BY310" s="15" t="s">
        <v>92</v>
      </c>
      <c r="BZ310" s="15" t="s">
        <v>92</v>
      </c>
      <c r="CA310" s="15" t="s">
        <v>92</v>
      </c>
      <c r="CB310" s="17" t="s">
        <v>454</v>
      </c>
      <c r="CC310" s="17"/>
      <c r="CD310" s="18"/>
      <c r="CE310" s="18"/>
      <c r="CF310" s="18"/>
      <c r="CG310" s="18"/>
      <c r="CH310" s="18"/>
    </row>
    <row r="311">
      <c r="A311" s="8"/>
      <c r="B311" s="62" t="s">
        <v>1400</v>
      </c>
      <c r="C311" s="10" t="s">
        <v>1401</v>
      </c>
      <c r="D311" s="9" t="s">
        <v>87</v>
      </c>
      <c r="E311" s="11" t="s">
        <v>1424</v>
      </c>
      <c r="F311" s="12"/>
      <c r="G311" s="13" t="s">
        <v>1425</v>
      </c>
      <c r="H311" s="13" t="s">
        <v>90</v>
      </c>
      <c r="I311" s="13" t="s">
        <v>1426</v>
      </c>
      <c r="J311" s="13" t="s">
        <v>92</v>
      </c>
      <c r="K311" s="14" t="s">
        <v>92</v>
      </c>
      <c r="L311" s="14" t="s">
        <v>92</v>
      </c>
      <c r="M311" s="14" t="s">
        <v>93</v>
      </c>
      <c r="N311" s="14" t="s">
        <v>92</v>
      </c>
      <c r="O311" s="13" t="s">
        <v>92</v>
      </c>
      <c r="P311" s="13" t="s">
        <v>92</v>
      </c>
      <c r="Q311" s="13" t="s">
        <v>92</v>
      </c>
      <c r="R311" s="13" t="s">
        <v>92</v>
      </c>
      <c r="S311" s="13" t="s">
        <v>92</v>
      </c>
      <c r="T311" s="13" t="s">
        <v>92</v>
      </c>
      <c r="U311" s="13" t="s">
        <v>93</v>
      </c>
      <c r="V311" s="13" t="s">
        <v>92</v>
      </c>
      <c r="W311" s="13" t="s">
        <v>92</v>
      </c>
      <c r="X311" s="13" t="s">
        <v>92</v>
      </c>
      <c r="Y311" s="13" t="s">
        <v>92</v>
      </c>
      <c r="Z311" s="13" t="s">
        <v>92</v>
      </c>
      <c r="AA311" s="14" t="s">
        <v>92</v>
      </c>
      <c r="AB311" s="15" t="s">
        <v>93</v>
      </c>
      <c r="AC311" s="15" t="s">
        <v>92</v>
      </c>
      <c r="AD311" s="15" t="s">
        <v>92</v>
      </c>
      <c r="AE311" s="13" t="s">
        <v>94</v>
      </c>
      <c r="AF311" s="13" t="s">
        <v>92</v>
      </c>
      <c r="AG311" s="13" t="s">
        <v>95</v>
      </c>
      <c r="AH311" s="15">
        <v>2021.0</v>
      </c>
      <c r="AI311" s="13" t="s">
        <v>92</v>
      </c>
      <c r="AJ311" s="13" t="s">
        <v>93</v>
      </c>
      <c r="AK311" s="13" t="s">
        <v>92</v>
      </c>
      <c r="AL311" s="13" t="s">
        <v>92</v>
      </c>
      <c r="AM311" s="15">
        <v>2021.0</v>
      </c>
      <c r="AN311" s="13" t="s">
        <v>96</v>
      </c>
      <c r="AO311" s="15" t="s">
        <v>92</v>
      </c>
      <c r="AP311" s="15" t="s">
        <v>93</v>
      </c>
      <c r="AQ311" s="13" t="s">
        <v>93</v>
      </c>
      <c r="AR311" s="13" t="s">
        <v>93</v>
      </c>
      <c r="AS311" s="13" t="s">
        <v>93</v>
      </c>
      <c r="AT311" s="13" t="s">
        <v>93</v>
      </c>
      <c r="AU311" s="13" t="s">
        <v>93</v>
      </c>
      <c r="AV311" s="13" t="s">
        <v>93</v>
      </c>
      <c r="AW311" s="13" t="s">
        <v>93</v>
      </c>
      <c r="AX311" s="13" t="s">
        <v>92</v>
      </c>
      <c r="AY311" s="15" t="s">
        <v>441</v>
      </c>
      <c r="AZ311" s="15" t="s">
        <v>95</v>
      </c>
      <c r="BA311" s="16" t="s">
        <v>1427</v>
      </c>
      <c r="BB311" s="8" t="s">
        <v>185</v>
      </c>
      <c r="BC311" s="15" t="s">
        <v>92</v>
      </c>
      <c r="BD311" s="13" t="s">
        <v>92</v>
      </c>
      <c r="BE311" s="13" t="s">
        <v>92</v>
      </c>
      <c r="BF311" s="13" t="s">
        <v>92</v>
      </c>
      <c r="BG311" s="13" t="s">
        <v>92</v>
      </c>
      <c r="BH311" s="13" t="s">
        <v>92</v>
      </c>
      <c r="BI311" s="13" t="s">
        <v>93</v>
      </c>
      <c r="BJ311" s="13" t="s">
        <v>92</v>
      </c>
      <c r="BK311" s="14" t="s">
        <v>1405</v>
      </c>
      <c r="BL311" s="13" t="s">
        <v>92</v>
      </c>
      <c r="BM311" s="13" t="s">
        <v>92</v>
      </c>
      <c r="BN311" s="13" t="s">
        <v>93</v>
      </c>
      <c r="BO311" s="13" t="s">
        <v>92</v>
      </c>
      <c r="BP311" s="13" t="s">
        <v>93</v>
      </c>
      <c r="BQ311" s="15" t="s">
        <v>93</v>
      </c>
      <c r="BR311" s="15" t="s">
        <v>92</v>
      </c>
      <c r="BS311" s="15" t="s">
        <v>92</v>
      </c>
      <c r="BT311" s="15" t="s">
        <v>92</v>
      </c>
      <c r="BU311" s="15" t="s">
        <v>92</v>
      </c>
      <c r="BV311" s="15" t="s">
        <v>92</v>
      </c>
      <c r="BW311" s="15" t="s">
        <v>92</v>
      </c>
      <c r="BX311" s="15" t="s">
        <v>92</v>
      </c>
      <c r="BY311" s="15" t="s">
        <v>92</v>
      </c>
      <c r="BZ311" s="15" t="s">
        <v>92</v>
      </c>
      <c r="CA311" s="15" t="s">
        <v>92</v>
      </c>
      <c r="CB311" s="17" t="s">
        <v>455</v>
      </c>
      <c r="CC311" s="17"/>
      <c r="CD311" s="18"/>
      <c r="CE311" s="18"/>
      <c r="CF311" s="18"/>
      <c r="CG311" s="18"/>
      <c r="CH311" s="18"/>
    </row>
    <row r="312">
      <c r="A312" s="8"/>
      <c r="B312" s="62" t="s">
        <v>1400</v>
      </c>
      <c r="C312" s="10" t="s">
        <v>1401</v>
      </c>
      <c r="D312" s="9" t="s">
        <v>87</v>
      </c>
      <c r="E312" s="11" t="s">
        <v>1428</v>
      </c>
      <c r="F312" s="25"/>
      <c r="G312" s="13" t="s">
        <v>1429</v>
      </c>
      <c r="H312" s="13" t="s">
        <v>110</v>
      </c>
      <c r="I312" s="13" t="s">
        <v>1430</v>
      </c>
      <c r="J312" s="14" t="s">
        <v>92</v>
      </c>
      <c r="K312" s="14" t="s">
        <v>92</v>
      </c>
      <c r="L312" s="14" t="s">
        <v>93</v>
      </c>
      <c r="M312" s="14" t="s">
        <v>93</v>
      </c>
      <c r="N312" s="14" t="s">
        <v>92</v>
      </c>
      <c r="O312" s="13" t="s">
        <v>92</v>
      </c>
      <c r="P312" s="13" t="s">
        <v>92</v>
      </c>
      <c r="Q312" s="13" t="s">
        <v>92</v>
      </c>
      <c r="R312" s="13" t="s">
        <v>92</v>
      </c>
      <c r="S312" s="14" t="s">
        <v>93</v>
      </c>
      <c r="T312" s="14" t="s">
        <v>92</v>
      </c>
      <c r="U312" s="13" t="s">
        <v>92</v>
      </c>
      <c r="V312" s="13" t="s">
        <v>92</v>
      </c>
      <c r="W312" s="13" t="s">
        <v>92</v>
      </c>
      <c r="X312" s="13" t="s">
        <v>92</v>
      </c>
      <c r="Y312" s="14" t="s">
        <v>93</v>
      </c>
      <c r="Z312" s="13" t="s">
        <v>93</v>
      </c>
      <c r="AA312" s="14" t="s">
        <v>92</v>
      </c>
      <c r="AB312" s="8" t="s">
        <v>93</v>
      </c>
      <c r="AC312" s="15" t="s">
        <v>93</v>
      </c>
      <c r="AD312" s="15" t="s">
        <v>92</v>
      </c>
      <c r="AE312" s="14" t="s">
        <v>112</v>
      </c>
      <c r="AF312" s="13" t="s">
        <v>92</v>
      </c>
      <c r="AG312" s="13" t="s">
        <v>95</v>
      </c>
      <c r="AH312" s="8">
        <v>2018.0</v>
      </c>
      <c r="AI312" s="14" t="s">
        <v>93</v>
      </c>
      <c r="AJ312" s="13" t="s">
        <v>93</v>
      </c>
      <c r="AK312" s="13" t="s">
        <v>93</v>
      </c>
      <c r="AL312" s="13" t="s">
        <v>93</v>
      </c>
      <c r="AM312" s="8" t="s">
        <v>95</v>
      </c>
      <c r="AN312" s="14" t="s">
        <v>114</v>
      </c>
      <c r="AO312" s="15" t="s">
        <v>93</v>
      </c>
      <c r="AP312" s="15" t="s">
        <v>92</v>
      </c>
      <c r="AQ312" s="13" t="s">
        <v>93</v>
      </c>
      <c r="AR312" s="13" t="s">
        <v>93</v>
      </c>
      <c r="AS312" s="13" t="s">
        <v>93</v>
      </c>
      <c r="AT312" s="13" t="s">
        <v>93</v>
      </c>
      <c r="AU312" s="13" t="s">
        <v>93</v>
      </c>
      <c r="AV312" s="13" t="s">
        <v>93</v>
      </c>
      <c r="AW312" s="13" t="s">
        <v>93</v>
      </c>
      <c r="AX312" s="13" t="s">
        <v>92</v>
      </c>
      <c r="AY312" s="15" t="s">
        <v>1431</v>
      </c>
      <c r="AZ312" s="15" t="s">
        <v>92</v>
      </c>
      <c r="BA312" s="16" t="s">
        <v>1400</v>
      </c>
      <c r="BB312" s="8" t="s">
        <v>155</v>
      </c>
      <c r="BC312" s="15" t="s">
        <v>92</v>
      </c>
      <c r="BD312" s="14" t="s">
        <v>93</v>
      </c>
      <c r="BE312" s="13" t="s">
        <v>92</v>
      </c>
      <c r="BF312" s="13" t="s">
        <v>92</v>
      </c>
      <c r="BG312" s="13" t="s">
        <v>92</v>
      </c>
      <c r="BH312" s="13" t="s">
        <v>92</v>
      </c>
      <c r="BI312" s="14" t="s">
        <v>92</v>
      </c>
      <c r="BJ312" s="13" t="s">
        <v>92</v>
      </c>
      <c r="BK312" s="14" t="s">
        <v>156</v>
      </c>
      <c r="BL312" s="13" t="s">
        <v>92</v>
      </c>
      <c r="BM312" s="13" t="s">
        <v>92</v>
      </c>
      <c r="BN312" s="13" t="s">
        <v>92</v>
      </c>
      <c r="BO312" s="13" t="s">
        <v>92</v>
      </c>
      <c r="BP312" s="13" t="s">
        <v>93</v>
      </c>
      <c r="BQ312" s="15" t="s">
        <v>92</v>
      </c>
      <c r="BR312" s="8" t="s">
        <v>92</v>
      </c>
      <c r="BS312" s="8" t="s">
        <v>93</v>
      </c>
      <c r="BT312" s="15" t="s">
        <v>93</v>
      </c>
      <c r="BU312" s="8" t="s">
        <v>93</v>
      </c>
      <c r="BV312" s="15" t="s">
        <v>93</v>
      </c>
      <c r="BW312" s="15" t="s">
        <v>92</v>
      </c>
      <c r="BX312" s="15" t="s">
        <v>93</v>
      </c>
      <c r="BY312" s="8" t="s">
        <v>93</v>
      </c>
      <c r="BZ312" s="8" t="s">
        <v>93</v>
      </c>
      <c r="CA312" s="8" t="s">
        <v>92</v>
      </c>
      <c r="CB312" s="17" t="s">
        <v>455</v>
      </c>
      <c r="CC312" s="17" t="s">
        <v>1307</v>
      </c>
      <c r="CD312" s="17" t="s">
        <v>1371</v>
      </c>
      <c r="CE312" s="18"/>
      <c r="CF312" s="18"/>
      <c r="CG312" s="18"/>
      <c r="CH312" s="18"/>
    </row>
    <row r="313">
      <c r="A313" s="8"/>
      <c r="B313" s="62" t="s">
        <v>1400</v>
      </c>
      <c r="C313" s="10" t="s">
        <v>1401</v>
      </c>
      <c r="D313" s="9" t="s">
        <v>87</v>
      </c>
      <c r="E313" s="11" t="s">
        <v>1432</v>
      </c>
      <c r="F313" s="12"/>
      <c r="G313" s="13" t="s">
        <v>1433</v>
      </c>
      <c r="H313" s="13" t="s">
        <v>90</v>
      </c>
      <c r="I313" s="13" t="s">
        <v>1434</v>
      </c>
      <c r="J313" s="13" t="s">
        <v>92</v>
      </c>
      <c r="K313" s="14" t="s">
        <v>92</v>
      </c>
      <c r="L313" s="14" t="s">
        <v>93</v>
      </c>
      <c r="M313" s="14" t="s">
        <v>92</v>
      </c>
      <c r="N313" s="14" t="s">
        <v>92</v>
      </c>
      <c r="O313" s="13" t="s">
        <v>92</v>
      </c>
      <c r="P313" s="13" t="s">
        <v>92</v>
      </c>
      <c r="Q313" s="13" t="s">
        <v>92</v>
      </c>
      <c r="R313" s="13" t="s">
        <v>92</v>
      </c>
      <c r="S313" s="13" t="s">
        <v>92</v>
      </c>
      <c r="T313" s="13" t="s">
        <v>92</v>
      </c>
      <c r="U313" s="13" t="s">
        <v>93</v>
      </c>
      <c r="V313" s="13" t="s">
        <v>92</v>
      </c>
      <c r="W313" s="13" t="s">
        <v>92</v>
      </c>
      <c r="X313" s="13" t="s">
        <v>92</v>
      </c>
      <c r="Y313" s="13" t="s">
        <v>92</v>
      </c>
      <c r="Z313" s="13" t="s">
        <v>92</v>
      </c>
      <c r="AA313" s="14" t="s">
        <v>92</v>
      </c>
      <c r="AB313" s="15" t="s">
        <v>93</v>
      </c>
      <c r="AC313" s="15" t="s">
        <v>92</v>
      </c>
      <c r="AD313" s="15" t="s">
        <v>92</v>
      </c>
      <c r="AE313" s="13" t="s">
        <v>94</v>
      </c>
      <c r="AF313" s="13" t="s">
        <v>92</v>
      </c>
      <c r="AG313" s="13" t="s">
        <v>95</v>
      </c>
      <c r="AH313" s="15">
        <v>2022.0</v>
      </c>
      <c r="AI313" s="13" t="s">
        <v>92</v>
      </c>
      <c r="AJ313" s="13" t="s">
        <v>92</v>
      </c>
      <c r="AK313" s="13" t="s">
        <v>93</v>
      </c>
      <c r="AL313" s="13" t="s">
        <v>93</v>
      </c>
      <c r="AM313" s="15">
        <v>2023.0</v>
      </c>
      <c r="AN313" s="13" t="s">
        <v>96</v>
      </c>
      <c r="AO313" s="15" t="s">
        <v>93</v>
      </c>
      <c r="AP313" s="15" t="s">
        <v>92</v>
      </c>
      <c r="AQ313" s="13" t="s">
        <v>93</v>
      </c>
      <c r="AR313" s="13" t="s">
        <v>93</v>
      </c>
      <c r="AS313" s="13" t="s">
        <v>93</v>
      </c>
      <c r="AT313" s="13" t="s">
        <v>93</v>
      </c>
      <c r="AU313" s="13" t="s">
        <v>93</v>
      </c>
      <c r="AV313" s="13" t="s">
        <v>93</v>
      </c>
      <c r="AW313" s="13" t="s">
        <v>93</v>
      </c>
      <c r="AX313" s="13" t="s">
        <v>92</v>
      </c>
      <c r="AY313" s="15" t="s">
        <v>441</v>
      </c>
      <c r="AZ313" s="15" t="s">
        <v>95</v>
      </c>
      <c r="BA313" s="16" t="s">
        <v>1400</v>
      </c>
      <c r="BB313" s="8" t="s">
        <v>155</v>
      </c>
      <c r="BC313" s="15" t="s">
        <v>92</v>
      </c>
      <c r="BD313" s="13" t="s">
        <v>92</v>
      </c>
      <c r="BE313" s="13" t="s">
        <v>92</v>
      </c>
      <c r="BF313" s="13" t="s">
        <v>92</v>
      </c>
      <c r="BG313" s="13" t="s">
        <v>92</v>
      </c>
      <c r="BH313" s="13" t="s">
        <v>92</v>
      </c>
      <c r="BI313" s="13" t="s">
        <v>93</v>
      </c>
      <c r="BJ313" s="13" t="s">
        <v>92</v>
      </c>
      <c r="BK313" s="14" t="s">
        <v>105</v>
      </c>
      <c r="BL313" s="14" t="s">
        <v>105</v>
      </c>
      <c r="BM313" s="14" t="s">
        <v>105</v>
      </c>
      <c r="BN313" s="14" t="s">
        <v>105</v>
      </c>
      <c r="BO313" s="14" t="s">
        <v>105</v>
      </c>
      <c r="BP313" s="14" t="s">
        <v>105</v>
      </c>
      <c r="BQ313" s="15" t="s">
        <v>93</v>
      </c>
      <c r="BR313" s="15" t="s">
        <v>92</v>
      </c>
      <c r="BS313" s="15" t="s">
        <v>92</v>
      </c>
      <c r="BT313" s="15" t="s">
        <v>92</v>
      </c>
      <c r="BU313" s="15" t="s">
        <v>92</v>
      </c>
      <c r="BV313" s="15" t="s">
        <v>92</v>
      </c>
      <c r="BW313" s="15" t="s">
        <v>92</v>
      </c>
      <c r="BX313" s="15" t="s">
        <v>92</v>
      </c>
      <c r="BY313" s="15" t="s">
        <v>92</v>
      </c>
      <c r="BZ313" s="15" t="s">
        <v>92</v>
      </c>
      <c r="CA313" s="15" t="s">
        <v>92</v>
      </c>
      <c r="CB313" s="17" t="s">
        <v>1307</v>
      </c>
      <c r="CC313" s="17" t="s">
        <v>1307</v>
      </c>
      <c r="CD313" s="18"/>
      <c r="CE313" s="18"/>
      <c r="CF313" s="18"/>
      <c r="CG313" s="18"/>
      <c r="CH313" s="18"/>
    </row>
    <row r="314">
      <c r="A314" s="8"/>
      <c r="B314" s="62" t="s">
        <v>1400</v>
      </c>
      <c r="C314" s="10" t="s">
        <v>1401</v>
      </c>
      <c r="D314" s="9" t="s">
        <v>87</v>
      </c>
      <c r="E314" s="11" t="s">
        <v>1435</v>
      </c>
      <c r="F314" s="12"/>
      <c r="G314" s="57" t="s">
        <v>1436</v>
      </c>
      <c r="H314" s="13" t="s">
        <v>90</v>
      </c>
      <c r="I314" s="13" t="s">
        <v>1437</v>
      </c>
      <c r="J314" s="13" t="s">
        <v>92</v>
      </c>
      <c r="K314" s="14" t="s">
        <v>92</v>
      </c>
      <c r="L314" s="14" t="s">
        <v>92</v>
      </c>
      <c r="M314" s="14" t="s">
        <v>92</v>
      </c>
      <c r="N314" s="14" t="s">
        <v>93</v>
      </c>
      <c r="O314" s="13" t="s">
        <v>92</v>
      </c>
      <c r="P314" s="13" t="s">
        <v>92</v>
      </c>
      <c r="Q314" s="13" t="s">
        <v>92</v>
      </c>
      <c r="R314" s="13" t="s">
        <v>92</v>
      </c>
      <c r="S314" s="13" t="s">
        <v>92</v>
      </c>
      <c r="T314" s="13" t="s">
        <v>93</v>
      </c>
      <c r="U314" s="13" t="s">
        <v>92</v>
      </c>
      <c r="V314" s="13" t="s">
        <v>92</v>
      </c>
      <c r="W314" s="13" t="s">
        <v>92</v>
      </c>
      <c r="X314" s="13" t="s">
        <v>92</v>
      </c>
      <c r="Y314" s="13" t="s">
        <v>92</v>
      </c>
      <c r="Z314" s="13" t="s">
        <v>92</v>
      </c>
      <c r="AA314" s="14" t="s">
        <v>92</v>
      </c>
      <c r="AB314" s="15" t="s">
        <v>93</v>
      </c>
      <c r="AC314" s="15" t="s">
        <v>92</v>
      </c>
      <c r="AD314" s="15" t="s">
        <v>92</v>
      </c>
      <c r="AE314" s="14" t="s">
        <v>148</v>
      </c>
      <c r="AF314" s="13" t="s">
        <v>93</v>
      </c>
      <c r="AG314" s="13" t="s">
        <v>1438</v>
      </c>
      <c r="AH314" s="8" t="s">
        <v>105</v>
      </c>
      <c r="AI314" s="13" t="s">
        <v>92</v>
      </c>
      <c r="AJ314" s="13" t="s">
        <v>92</v>
      </c>
      <c r="AK314" s="13" t="s">
        <v>93</v>
      </c>
      <c r="AL314" s="13" t="s">
        <v>93</v>
      </c>
      <c r="AM314" s="15" t="s">
        <v>95</v>
      </c>
      <c r="AN314" s="13" t="s">
        <v>114</v>
      </c>
      <c r="AO314" s="15" t="s">
        <v>93</v>
      </c>
      <c r="AP314" s="15" t="s">
        <v>92</v>
      </c>
      <c r="AQ314" s="13" t="s">
        <v>93</v>
      </c>
      <c r="AR314" s="13" t="s">
        <v>93</v>
      </c>
      <c r="AS314" s="13" t="s">
        <v>93</v>
      </c>
      <c r="AT314" s="13" t="s">
        <v>93</v>
      </c>
      <c r="AU314" s="13" t="s">
        <v>93</v>
      </c>
      <c r="AV314" s="13" t="s">
        <v>93</v>
      </c>
      <c r="AW314" s="13" t="s">
        <v>93</v>
      </c>
      <c r="AX314" s="13" t="s">
        <v>92</v>
      </c>
      <c r="AY314" s="15" t="s">
        <v>441</v>
      </c>
      <c r="AZ314" s="15" t="s">
        <v>95</v>
      </c>
      <c r="BA314" s="16" t="s">
        <v>1400</v>
      </c>
      <c r="BB314" s="8" t="s">
        <v>155</v>
      </c>
      <c r="BC314" s="15" t="s">
        <v>92</v>
      </c>
      <c r="BD314" s="13" t="s">
        <v>92</v>
      </c>
      <c r="BE314" s="13" t="s">
        <v>92</v>
      </c>
      <c r="BF314" s="13" t="s">
        <v>92</v>
      </c>
      <c r="BG314" s="13" t="s">
        <v>92</v>
      </c>
      <c r="BH314" s="13" t="s">
        <v>92</v>
      </c>
      <c r="BI314" s="13" t="s">
        <v>93</v>
      </c>
      <c r="BJ314" s="13" t="s">
        <v>92</v>
      </c>
      <c r="BK314" s="14" t="s">
        <v>1405</v>
      </c>
      <c r="BL314" s="13" t="s">
        <v>92</v>
      </c>
      <c r="BM314" s="13" t="s">
        <v>92</v>
      </c>
      <c r="BN314" s="13" t="s">
        <v>93</v>
      </c>
      <c r="BO314" s="13" t="s">
        <v>92</v>
      </c>
      <c r="BP314" s="13" t="s">
        <v>93</v>
      </c>
      <c r="BQ314" s="15" t="s">
        <v>92</v>
      </c>
      <c r="BR314" s="15" t="s">
        <v>93</v>
      </c>
      <c r="BS314" s="15" t="s">
        <v>92</v>
      </c>
      <c r="BT314" s="15" t="s">
        <v>92</v>
      </c>
      <c r="BU314" s="15" t="s">
        <v>92</v>
      </c>
      <c r="BV314" s="15" t="s">
        <v>92</v>
      </c>
      <c r="BW314" s="15" t="s">
        <v>92</v>
      </c>
      <c r="BX314" s="15" t="s">
        <v>92</v>
      </c>
      <c r="BY314" s="15" t="s">
        <v>92</v>
      </c>
      <c r="BZ314" s="15" t="s">
        <v>92</v>
      </c>
      <c r="CA314" s="15" t="s">
        <v>92</v>
      </c>
      <c r="CB314" s="17" t="s">
        <v>1371</v>
      </c>
      <c r="CC314" s="17" t="s">
        <v>1307</v>
      </c>
      <c r="CD314" s="18"/>
      <c r="CE314" s="18"/>
      <c r="CF314" s="18"/>
      <c r="CG314" s="18"/>
      <c r="CH314" s="18"/>
    </row>
    <row r="315">
      <c r="A315" s="8"/>
      <c r="B315" s="62" t="s">
        <v>1400</v>
      </c>
      <c r="C315" s="10" t="s">
        <v>1401</v>
      </c>
      <c r="D315" s="9" t="s">
        <v>87</v>
      </c>
      <c r="E315" s="11" t="s">
        <v>1439</v>
      </c>
      <c r="F315" s="12"/>
      <c r="G315" s="13" t="s">
        <v>1440</v>
      </c>
      <c r="H315" s="13" t="s">
        <v>110</v>
      </c>
      <c r="I315" s="13" t="s">
        <v>1441</v>
      </c>
      <c r="J315" s="14" t="s">
        <v>92</v>
      </c>
      <c r="K315" s="14" t="s">
        <v>92</v>
      </c>
      <c r="L315" s="14" t="s">
        <v>93</v>
      </c>
      <c r="M315" s="14" t="s">
        <v>92</v>
      </c>
      <c r="N315" s="14" t="s">
        <v>93</v>
      </c>
      <c r="O315" s="13" t="s">
        <v>92</v>
      </c>
      <c r="P315" s="13" t="s">
        <v>92</v>
      </c>
      <c r="Q315" s="13" t="s">
        <v>92</v>
      </c>
      <c r="R315" s="13" t="s">
        <v>92</v>
      </c>
      <c r="S315" s="14" t="s">
        <v>93</v>
      </c>
      <c r="T315" s="13" t="s">
        <v>92</v>
      </c>
      <c r="U315" s="13" t="s">
        <v>92</v>
      </c>
      <c r="V315" s="13" t="s">
        <v>92</v>
      </c>
      <c r="W315" s="13" t="s">
        <v>92</v>
      </c>
      <c r="X315" s="13" t="s">
        <v>92</v>
      </c>
      <c r="Y315" s="13" t="s">
        <v>92</v>
      </c>
      <c r="Z315" s="13" t="s">
        <v>93</v>
      </c>
      <c r="AA315" s="14" t="s">
        <v>92</v>
      </c>
      <c r="AB315" s="8" t="s">
        <v>93</v>
      </c>
      <c r="AC315" s="15" t="s">
        <v>93</v>
      </c>
      <c r="AD315" s="15" t="s">
        <v>92</v>
      </c>
      <c r="AE315" s="14" t="s">
        <v>112</v>
      </c>
      <c r="AF315" s="13" t="s">
        <v>93</v>
      </c>
      <c r="AG315" s="13" t="s">
        <v>1442</v>
      </c>
      <c r="AH315" s="15">
        <v>2023.0</v>
      </c>
      <c r="AI315" s="13" t="s">
        <v>92</v>
      </c>
      <c r="AJ315" s="13" t="s">
        <v>92</v>
      </c>
      <c r="AK315" s="13" t="s">
        <v>92</v>
      </c>
      <c r="AL315" s="13" t="s">
        <v>93</v>
      </c>
      <c r="AM315" s="15" t="s">
        <v>95</v>
      </c>
      <c r="AN315" s="13" t="s">
        <v>114</v>
      </c>
      <c r="AO315" s="15" t="s">
        <v>92</v>
      </c>
      <c r="AP315" s="15" t="s">
        <v>92</v>
      </c>
      <c r="AQ315" s="13" t="s">
        <v>93</v>
      </c>
      <c r="AR315" s="13" t="s">
        <v>93</v>
      </c>
      <c r="AS315" s="13" t="s">
        <v>93</v>
      </c>
      <c r="AT315" s="13" t="s">
        <v>93</v>
      </c>
      <c r="AU315" s="13" t="s">
        <v>93</v>
      </c>
      <c r="AV315" s="13" t="s">
        <v>93</v>
      </c>
      <c r="AW315" s="13" t="s">
        <v>93</v>
      </c>
      <c r="AX315" s="13" t="s">
        <v>92</v>
      </c>
      <c r="AY315" s="15" t="s">
        <v>441</v>
      </c>
      <c r="AZ315" s="15" t="s">
        <v>95</v>
      </c>
      <c r="BA315" s="16" t="s">
        <v>1400</v>
      </c>
      <c r="BB315" s="8" t="s">
        <v>155</v>
      </c>
      <c r="BC315" s="15" t="s">
        <v>92</v>
      </c>
      <c r="BD315" s="13" t="s">
        <v>93</v>
      </c>
      <c r="BE315" s="13" t="s">
        <v>92</v>
      </c>
      <c r="BF315" s="13" t="s">
        <v>92</v>
      </c>
      <c r="BG315" s="13" t="s">
        <v>92</v>
      </c>
      <c r="BH315" s="13" t="s">
        <v>92</v>
      </c>
      <c r="BI315" s="13" t="s">
        <v>92</v>
      </c>
      <c r="BJ315" s="13" t="s">
        <v>92</v>
      </c>
      <c r="BK315" s="14" t="s">
        <v>1405</v>
      </c>
      <c r="BL315" s="13" t="s">
        <v>92</v>
      </c>
      <c r="BM315" s="13" t="s">
        <v>92</v>
      </c>
      <c r="BN315" s="13" t="s">
        <v>93</v>
      </c>
      <c r="BO315" s="13" t="s">
        <v>92</v>
      </c>
      <c r="BP315" s="13" t="s">
        <v>93</v>
      </c>
      <c r="BQ315" s="15" t="s">
        <v>92</v>
      </c>
      <c r="BR315" s="15" t="s">
        <v>92</v>
      </c>
      <c r="BS315" s="8" t="s">
        <v>93</v>
      </c>
      <c r="BT315" s="15" t="s">
        <v>93</v>
      </c>
      <c r="BU315" s="15" t="s">
        <v>92</v>
      </c>
      <c r="BV315" s="15" t="s">
        <v>93</v>
      </c>
      <c r="BW315" s="15" t="s">
        <v>92</v>
      </c>
      <c r="BX315" s="15" t="s">
        <v>92</v>
      </c>
      <c r="BY315" s="15" t="s">
        <v>92</v>
      </c>
      <c r="BZ315" s="8" t="s">
        <v>93</v>
      </c>
      <c r="CA315" s="15" t="s">
        <v>92</v>
      </c>
      <c r="CB315" s="17" t="s">
        <v>1371</v>
      </c>
      <c r="CC315" s="17"/>
      <c r="CD315" s="18"/>
      <c r="CE315" s="18"/>
      <c r="CF315" s="18"/>
      <c r="CG315" s="18"/>
      <c r="CH315" s="18"/>
    </row>
    <row r="316">
      <c r="A316" s="8"/>
      <c r="B316" s="62" t="s">
        <v>1400</v>
      </c>
      <c r="C316" s="10" t="s">
        <v>1401</v>
      </c>
      <c r="D316" s="9" t="s">
        <v>87</v>
      </c>
      <c r="E316" s="11" t="s">
        <v>1443</v>
      </c>
      <c r="F316" s="12"/>
      <c r="G316" s="13" t="s">
        <v>1444</v>
      </c>
      <c r="H316" s="13" t="s">
        <v>110</v>
      </c>
      <c r="I316" s="13" t="s">
        <v>1445</v>
      </c>
      <c r="J316" s="13" t="s">
        <v>92</v>
      </c>
      <c r="K316" s="14" t="s">
        <v>92</v>
      </c>
      <c r="L316" s="14" t="s">
        <v>92</v>
      </c>
      <c r="M316" s="14" t="s">
        <v>92</v>
      </c>
      <c r="N316" s="14" t="s">
        <v>93</v>
      </c>
      <c r="O316" s="13" t="s">
        <v>92</v>
      </c>
      <c r="P316" s="13" t="s">
        <v>92</v>
      </c>
      <c r="Q316" s="13" t="s">
        <v>92</v>
      </c>
      <c r="R316" s="13" t="s">
        <v>92</v>
      </c>
      <c r="S316" s="13" t="s">
        <v>92</v>
      </c>
      <c r="T316" s="13" t="s">
        <v>93</v>
      </c>
      <c r="U316" s="13" t="s">
        <v>92</v>
      </c>
      <c r="V316" s="13" t="s">
        <v>92</v>
      </c>
      <c r="W316" s="13" t="s">
        <v>92</v>
      </c>
      <c r="X316" s="13" t="s">
        <v>92</v>
      </c>
      <c r="Y316" s="13" t="s">
        <v>92</v>
      </c>
      <c r="Z316" s="13" t="s">
        <v>92</v>
      </c>
      <c r="AA316" s="14" t="s">
        <v>92</v>
      </c>
      <c r="AB316" s="15" t="s">
        <v>93</v>
      </c>
      <c r="AC316" s="15" t="s">
        <v>92</v>
      </c>
      <c r="AD316" s="15" t="s">
        <v>92</v>
      </c>
      <c r="AE316" s="14" t="s">
        <v>103</v>
      </c>
      <c r="AF316" s="13" t="s">
        <v>92</v>
      </c>
      <c r="AG316" s="13" t="s">
        <v>95</v>
      </c>
      <c r="AH316" s="8" t="s">
        <v>105</v>
      </c>
      <c r="AI316" s="13" t="s">
        <v>92</v>
      </c>
      <c r="AJ316" s="13" t="s">
        <v>92</v>
      </c>
      <c r="AK316" s="13" t="s">
        <v>92</v>
      </c>
      <c r="AL316" s="13" t="s">
        <v>93</v>
      </c>
      <c r="AM316" s="15" t="s">
        <v>95</v>
      </c>
      <c r="AN316" s="13" t="s">
        <v>114</v>
      </c>
      <c r="AO316" s="15" t="s">
        <v>92</v>
      </c>
      <c r="AP316" s="15" t="s">
        <v>92</v>
      </c>
      <c r="AQ316" s="13" t="s">
        <v>93</v>
      </c>
      <c r="AR316" s="13" t="s">
        <v>93</v>
      </c>
      <c r="AS316" s="13" t="s">
        <v>93</v>
      </c>
      <c r="AT316" s="13" t="s">
        <v>93</v>
      </c>
      <c r="AU316" s="13" t="s">
        <v>93</v>
      </c>
      <c r="AV316" s="13" t="s">
        <v>93</v>
      </c>
      <c r="AW316" s="13" t="s">
        <v>93</v>
      </c>
      <c r="AX316" s="13" t="s">
        <v>92</v>
      </c>
      <c r="AY316" s="15" t="s">
        <v>441</v>
      </c>
      <c r="AZ316" s="15" t="s">
        <v>95</v>
      </c>
      <c r="BA316" s="16" t="s">
        <v>1400</v>
      </c>
      <c r="BB316" s="8" t="s">
        <v>155</v>
      </c>
      <c r="BC316" s="15" t="s">
        <v>92</v>
      </c>
      <c r="BD316" s="13" t="s">
        <v>92</v>
      </c>
      <c r="BE316" s="13" t="s">
        <v>92</v>
      </c>
      <c r="BF316" s="13" t="s">
        <v>92</v>
      </c>
      <c r="BG316" s="13" t="s">
        <v>92</v>
      </c>
      <c r="BH316" s="13" t="s">
        <v>92</v>
      </c>
      <c r="BI316" s="13" t="s">
        <v>93</v>
      </c>
      <c r="BJ316" s="13" t="s">
        <v>92</v>
      </c>
      <c r="BK316" s="14" t="s">
        <v>1405</v>
      </c>
      <c r="BL316" s="13" t="s">
        <v>92</v>
      </c>
      <c r="BM316" s="13" t="s">
        <v>92</v>
      </c>
      <c r="BN316" s="13" t="s">
        <v>93</v>
      </c>
      <c r="BO316" s="13" t="s">
        <v>92</v>
      </c>
      <c r="BP316" s="13" t="s">
        <v>93</v>
      </c>
      <c r="BQ316" s="15" t="s">
        <v>92</v>
      </c>
      <c r="BR316" s="15" t="s">
        <v>93</v>
      </c>
      <c r="BS316" s="15" t="s">
        <v>92</v>
      </c>
      <c r="BT316" s="15" t="s">
        <v>92</v>
      </c>
      <c r="BU316" s="15" t="s">
        <v>92</v>
      </c>
      <c r="BV316" s="15" t="s">
        <v>92</v>
      </c>
      <c r="BW316" s="15" t="s">
        <v>92</v>
      </c>
      <c r="BX316" s="15" t="s">
        <v>92</v>
      </c>
      <c r="BY316" s="15" t="s">
        <v>92</v>
      </c>
      <c r="BZ316" s="15" t="s">
        <v>92</v>
      </c>
      <c r="CA316" s="15" t="s">
        <v>92</v>
      </c>
      <c r="CB316" s="17" t="s">
        <v>1371</v>
      </c>
      <c r="CC316" s="17"/>
      <c r="CD316" s="18"/>
      <c r="CE316" s="18"/>
      <c r="CF316" s="18"/>
      <c r="CG316" s="18"/>
      <c r="CH316" s="18"/>
    </row>
    <row r="317">
      <c r="A317" s="8"/>
      <c r="B317" s="62" t="s">
        <v>1400</v>
      </c>
      <c r="C317" s="10" t="s">
        <v>1401</v>
      </c>
      <c r="D317" s="9" t="s">
        <v>87</v>
      </c>
      <c r="E317" s="11" t="s">
        <v>1446</v>
      </c>
      <c r="F317" s="10" t="s">
        <v>187</v>
      </c>
      <c r="G317" s="9" t="s">
        <v>188</v>
      </c>
      <c r="H317" s="14" t="s">
        <v>189</v>
      </c>
      <c r="I317" s="13" t="s">
        <v>1447</v>
      </c>
      <c r="J317" s="13" t="s">
        <v>92</v>
      </c>
      <c r="K317" s="14" t="s">
        <v>92</v>
      </c>
      <c r="L317" s="14" t="s">
        <v>93</v>
      </c>
      <c r="M317" s="14" t="s">
        <v>93</v>
      </c>
      <c r="N317" s="14" t="s">
        <v>92</v>
      </c>
      <c r="O317" s="13" t="s">
        <v>92</v>
      </c>
      <c r="P317" s="13" t="s">
        <v>93</v>
      </c>
      <c r="Q317" s="13" t="s">
        <v>93</v>
      </c>
      <c r="R317" s="13" t="s">
        <v>92</v>
      </c>
      <c r="S317" s="13" t="s">
        <v>92</v>
      </c>
      <c r="T317" s="13" t="s">
        <v>92</v>
      </c>
      <c r="U317" s="13" t="s">
        <v>93</v>
      </c>
      <c r="V317" s="13" t="s">
        <v>92</v>
      </c>
      <c r="W317" s="13" t="s">
        <v>92</v>
      </c>
      <c r="X317" s="13" t="s">
        <v>92</v>
      </c>
      <c r="Y317" s="13" t="s">
        <v>92</v>
      </c>
      <c r="Z317" s="13" t="s">
        <v>92</v>
      </c>
      <c r="AA317" s="14" t="s">
        <v>92</v>
      </c>
      <c r="AB317" s="15" t="s">
        <v>93</v>
      </c>
      <c r="AC317" s="15" t="s">
        <v>92</v>
      </c>
      <c r="AD317" s="15" t="s">
        <v>92</v>
      </c>
      <c r="AE317" s="13" t="s">
        <v>94</v>
      </c>
      <c r="AF317" s="13" t="s">
        <v>92</v>
      </c>
      <c r="AG317" s="13" t="s">
        <v>95</v>
      </c>
      <c r="AH317" s="8" t="s">
        <v>105</v>
      </c>
      <c r="AI317" s="13" t="s">
        <v>92</v>
      </c>
      <c r="AJ317" s="13" t="s">
        <v>92</v>
      </c>
      <c r="AK317" s="13" t="s">
        <v>92</v>
      </c>
      <c r="AL317" s="13" t="s">
        <v>93</v>
      </c>
      <c r="AM317" s="8" t="s">
        <v>95</v>
      </c>
      <c r="AN317" s="14" t="s">
        <v>114</v>
      </c>
      <c r="AO317" s="15" t="s">
        <v>92</v>
      </c>
      <c r="AP317" s="15" t="s">
        <v>92</v>
      </c>
      <c r="AQ317" s="13" t="s">
        <v>93</v>
      </c>
      <c r="AR317" s="13" t="s">
        <v>93</v>
      </c>
      <c r="AS317" s="13" t="s">
        <v>93</v>
      </c>
      <c r="AT317" s="13" t="s">
        <v>93</v>
      </c>
      <c r="AU317" s="13" t="s">
        <v>93</v>
      </c>
      <c r="AV317" s="13" t="s">
        <v>93</v>
      </c>
      <c r="AW317" s="13" t="s">
        <v>93</v>
      </c>
      <c r="AX317" s="13" t="s">
        <v>92</v>
      </c>
      <c r="AY317" s="15" t="s">
        <v>1448</v>
      </c>
      <c r="AZ317" s="15" t="s">
        <v>92</v>
      </c>
      <c r="BA317" s="16" t="s">
        <v>1449</v>
      </c>
      <c r="BB317" s="8" t="s">
        <v>95</v>
      </c>
      <c r="BC317" s="15" t="s">
        <v>93</v>
      </c>
      <c r="BD317" s="13" t="s">
        <v>92</v>
      </c>
      <c r="BE317" s="13" t="s">
        <v>92</v>
      </c>
      <c r="BF317" s="13" t="s">
        <v>92</v>
      </c>
      <c r="BG317" s="13" t="s">
        <v>92</v>
      </c>
      <c r="BH317" s="14" t="s">
        <v>92</v>
      </c>
      <c r="BI317" s="13" t="s">
        <v>93</v>
      </c>
      <c r="BJ317" s="13" t="s">
        <v>92</v>
      </c>
      <c r="BK317" s="14" t="s">
        <v>1405</v>
      </c>
      <c r="BL317" s="13" t="s">
        <v>92</v>
      </c>
      <c r="BM317" s="13" t="s">
        <v>92</v>
      </c>
      <c r="BN317" s="13" t="s">
        <v>93</v>
      </c>
      <c r="BO317" s="13" t="s">
        <v>92</v>
      </c>
      <c r="BP317" s="13" t="s">
        <v>93</v>
      </c>
      <c r="BQ317" s="15" t="s">
        <v>93</v>
      </c>
      <c r="BR317" s="15" t="s">
        <v>92</v>
      </c>
      <c r="BS317" s="15" t="s">
        <v>92</v>
      </c>
      <c r="BT317" s="15" t="s">
        <v>92</v>
      </c>
      <c r="BU317" s="15" t="s">
        <v>92</v>
      </c>
      <c r="BV317" s="15" t="s">
        <v>92</v>
      </c>
      <c r="BW317" s="15" t="s">
        <v>92</v>
      </c>
      <c r="BX317" s="15" t="s">
        <v>92</v>
      </c>
      <c r="BY317" s="15" t="s">
        <v>92</v>
      </c>
      <c r="BZ317" s="15" t="s">
        <v>92</v>
      </c>
      <c r="CA317" s="15" t="s">
        <v>92</v>
      </c>
      <c r="CB317" s="17" t="s">
        <v>1371</v>
      </c>
      <c r="CC317" s="17"/>
      <c r="CD317" s="18"/>
      <c r="CE317" s="18"/>
      <c r="CF317" s="18"/>
      <c r="CG317" s="18"/>
      <c r="CH317" s="18"/>
    </row>
    <row r="318">
      <c r="A318" s="8"/>
      <c r="B318" s="62" t="s">
        <v>1400</v>
      </c>
      <c r="C318" s="10" t="s">
        <v>1401</v>
      </c>
      <c r="D318" s="9" t="s">
        <v>87</v>
      </c>
      <c r="E318" s="11" t="s">
        <v>1450</v>
      </c>
      <c r="F318" s="12"/>
      <c r="G318" s="14" t="s">
        <v>1451</v>
      </c>
      <c r="H318" s="14" t="s">
        <v>90</v>
      </c>
      <c r="I318" s="14" t="s">
        <v>1452</v>
      </c>
      <c r="J318" s="14" t="s">
        <v>92</v>
      </c>
      <c r="K318" s="14" t="s">
        <v>92</v>
      </c>
      <c r="L318" s="14" t="s">
        <v>92</v>
      </c>
      <c r="M318" s="14" t="s">
        <v>92</v>
      </c>
      <c r="N318" s="14" t="s">
        <v>92</v>
      </c>
      <c r="O318" s="14" t="s">
        <v>92</v>
      </c>
      <c r="P318" s="14" t="s">
        <v>92</v>
      </c>
      <c r="Q318" s="14" t="s">
        <v>92</v>
      </c>
      <c r="R318" s="14" t="s">
        <v>92</v>
      </c>
      <c r="S318" s="14" t="s">
        <v>93</v>
      </c>
      <c r="T318" s="14" t="s">
        <v>92</v>
      </c>
      <c r="U318" s="14" t="s">
        <v>92</v>
      </c>
      <c r="V318" s="14" t="s">
        <v>92</v>
      </c>
      <c r="W318" s="14" t="s">
        <v>92</v>
      </c>
      <c r="X318" s="14" t="s">
        <v>92</v>
      </c>
      <c r="Y318" s="14" t="s">
        <v>92</v>
      </c>
      <c r="Z318" s="14" t="s">
        <v>93</v>
      </c>
      <c r="AA318" s="14" t="s">
        <v>92</v>
      </c>
      <c r="AB318" s="8" t="s">
        <v>92</v>
      </c>
      <c r="AC318" s="8" t="s">
        <v>93</v>
      </c>
      <c r="AD318" s="8" t="s">
        <v>92</v>
      </c>
      <c r="AE318" s="14" t="s">
        <v>112</v>
      </c>
      <c r="AF318" s="14" t="s">
        <v>92</v>
      </c>
      <c r="AG318" s="14" t="s">
        <v>95</v>
      </c>
      <c r="AH318" s="8" t="s">
        <v>105</v>
      </c>
      <c r="AI318" s="14" t="s">
        <v>93</v>
      </c>
      <c r="AJ318" s="14" t="s">
        <v>92</v>
      </c>
      <c r="AK318" s="14" t="s">
        <v>93</v>
      </c>
      <c r="AL318" s="14" t="s">
        <v>92</v>
      </c>
      <c r="AM318" s="8" t="s">
        <v>105</v>
      </c>
      <c r="AN318" s="14" t="s">
        <v>105</v>
      </c>
      <c r="AO318" s="8" t="s">
        <v>92</v>
      </c>
      <c r="AP318" s="8" t="s">
        <v>92</v>
      </c>
      <c r="AQ318" s="14" t="s">
        <v>93</v>
      </c>
      <c r="AR318" s="14" t="s">
        <v>93</v>
      </c>
      <c r="AS318" s="14" t="s">
        <v>93</v>
      </c>
      <c r="AT318" s="14" t="s">
        <v>93</v>
      </c>
      <c r="AU318" s="14" t="s">
        <v>93</v>
      </c>
      <c r="AV318" s="14" t="s">
        <v>93</v>
      </c>
      <c r="AW318" s="14" t="s">
        <v>93</v>
      </c>
      <c r="AX318" s="14" t="s">
        <v>92</v>
      </c>
      <c r="AY318" s="8" t="s">
        <v>95</v>
      </c>
      <c r="AZ318" s="8" t="s">
        <v>95</v>
      </c>
      <c r="BA318" s="9" t="s">
        <v>1400</v>
      </c>
      <c r="BB318" s="8" t="s">
        <v>155</v>
      </c>
      <c r="BC318" s="8" t="s">
        <v>92</v>
      </c>
      <c r="BD318" s="14" t="s">
        <v>93</v>
      </c>
      <c r="BE318" s="14" t="s">
        <v>92</v>
      </c>
      <c r="BF318" s="14" t="s">
        <v>92</v>
      </c>
      <c r="BG318" s="14" t="s">
        <v>92</v>
      </c>
      <c r="BH318" s="14" t="s">
        <v>92</v>
      </c>
      <c r="BI318" s="14" t="s">
        <v>92</v>
      </c>
      <c r="BJ318" s="14" t="s">
        <v>92</v>
      </c>
      <c r="BK318" s="14" t="s">
        <v>105</v>
      </c>
      <c r="BL318" s="14" t="s">
        <v>105</v>
      </c>
      <c r="BM318" s="14" t="s">
        <v>105</v>
      </c>
      <c r="BN318" s="14" t="s">
        <v>105</v>
      </c>
      <c r="BO318" s="14" t="s">
        <v>105</v>
      </c>
      <c r="BP318" s="14" t="s">
        <v>105</v>
      </c>
      <c r="BQ318" s="8" t="s">
        <v>92</v>
      </c>
      <c r="BR318" s="8" t="s">
        <v>92</v>
      </c>
      <c r="BS318" s="8" t="s">
        <v>92</v>
      </c>
      <c r="BT318" s="8" t="s">
        <v>93</v>
      </c>
      <c r="BU318" s="8" t="s">
        <v>92</v>
      </c>
      <c r="BV318" s="8" t="s">
        <v>92</v>
      </c>
      <c r="BW318" s="8" t="s">
        <v>92</v>
      </c>
      <c r="BX318" s="8" t="s">
        <v>92</v>
      </c>
      <c r="BY318" s="8" t="s">
        <v>92</v>
      </c>
      <c r="BZ318" s="8" t="s">
        <v>93</v>
      </c>
      <c r="CA318" s="8" t="s">
        <v>93</v>
      </c>
      <c r="CB318" s="17" t="s">
        <v>454</v>
      </c>
      <c r="CC318" s="17"/>
      <c r="CD318" s="18"/>
      <c r="CE318" s="18"/>
      <c r="CF318" s="18"/>
      <c r="CG318" s="18"/>
      <c r="CH318" s="18"/>
    </row>
    <row r="319">
      <c r="A319" s="8"/>
      <c r="B319" s="62" t="s">
        <v>1400</v>
      </c>
      <c r="C319" s="10" t="s">
        <v>1401</v>
      </c>
      <c r="D319" s="9" t="s">
        <v>87</v>
      </c>
      <c r="E319" s="11" t="s">
        <v>483</v>
      </c>
      <c r="F319" s="25"/>
      <c r="G319" s="50" t="s">
        <v>484</v>
      </c>
      <c r="H319" s="50" t="s">
        <v>110</v>
      </c>
      <c r="I319" s="50" t="s">
        <v>485</v>
      </c>
      <c r="J319" s="50" t="s">
        <v>92</v>
      </c>
      <c r="K319" s="50" t="s">
        <v>92</v>
      </c>
      <c r="L319" s="50" t="s">
        <v>93</v>
      </c>
      <c r="M319" s="50" t="s">
        <v>92</v>
      </c>
      <c r="N319" s="58" t="s">
        <v>92</v>
      </c>
      <c r="O319" s="50" t="s">
        <v>92</v>
      </c>
      <c r="P319" s="50" t="s">
        <v>93</v>
      </c>
      <c r="Q319" s="50" t="s">
        <v>92</v>
      </c>
      <c r="R319" s="50" t="s">
        <v>92</v>
      </c>
      <c r="S319" s="50" t="s">
        <v>93</v>
      </c>
      <c r="T319" s="50" t="s">
        <v>92</v>
      </c>
      <c r="U319" s="50" t="s">
        <v>92</v>
      </c>
      <c r="V319" s="50" t="s">
        <v>92</v>
      </c>
      <c r="W319" s="50" t="s">
        <v>92</v>
      </c>
      <c r="X319" s="50" t="s">
        <v>92</v>
      </c>
      <c r="Y319" s="50" t="s">
        <v>92</v>
      </c>
      <c r="Z319" s="50" t="s">
        <v>92</v>
      </c>
      <c r="AA319" s="50" t="s">
        <v>92</v>
      </c>
      <c r="AB319" s="49" t="s">
        <v>93</v>
      </c>
      <c r="AC319" s="49" t="s">
        <v>92</v>
      </c>
      <c r="AD319" s="49" t="s">
        <v>92</v>
      </c>
      <c r="AE319" s="50" t="s">
        <v>103</v>
      </c>
      <c r="AF319" s="50" t="s">
        <v>93</v>
      </c>
      <c r="AG319" s="50" t="s">
        <v>486</v>
      </c>
      <c r="AH319" s="49">
        <v>2021.0</v>
      </c>
      <c r="AI319" s="50" t="s">
        <v>92</v>
      </c>
      <c r="AJ319" s="50" t="s">
        <v>93</v>
      </c>
      <c r="AK319" s="50" t="s">
        <v>92</v>
      </c>
      <c r="AL319" s="58" t="s">
        <v>92</v>
      </c>
      <c r="AM319" s="15">
        <v>2021.0</v>
      </c>
      <c r="AN319" s="13" t="s">
        <v>96</v>
      </c>
      <c r="AO319" s="49" t="s">
        <v>93</v>
      </c>
      <c r="AP319" s="49" t="s">
        <v>92</v>
      </c>
      <c r="AQ319" s="50" t="s">
        <v>93</v>
      </c>
      <c r="AR319" s="50" t="s">
        <v>93</v>
      </c>
      <c r="AS319" s="50" t="s">
        <v>93</v>
      </c>
      <c r="AT319" s="50" t="s">
        <v>93</v>
      </c>
      <c r="AU319" s="58" t="s">
        <v>93</v>
      </c>
      <c r="AV319" s="50" t="s">
        <v>93</v>
      </c>
      <c r="AW319" s="50" t="s">
        <v>93</v>
      </c>
      <c r="AX319" s="50" t="s">
        <v>92</v>
      </c>
      <c r="AY319" s="49" t="s">
        <v>95</v>
      </c>
      <c r="AZ319" s="49" t="s">
        <v>95</v>
      </c>
      <c r="BA319" s="50" t="s">
        <v>487</v>
      </c>
      <c r="BB319" s="49" t="s">
        <v>155</v>
      </c>
      <c r="BC319" s="49" t="s">
        <v>92</v>
      </c>
      <c r="BD319" s="50" t="s">
        <v>93</v>
      </c>
      <c r="BE319" s="50" t="s">
        <v>92</v>
      </c>
      <c r="BF319" s="50" t="s">
        <v>92</v>
      </c>
      <c r="BG319" s="50" t="s">
        <v>92</v>
      </c>
      <c r="BH319" s="50" t="s">
        <v>92</v>
      </c>
      <c r="BI319" s="50" t="s">
        <v>92</v>
      </c>
      <c r="BJ319" s="50" t="s">
        <v>92</v>
      </c>
      <c r="BK319" s="50" t="s">
        <v>95</v>
      </c>
      <c r="BL319" s="52" t="s">
        <v>93</v>
      </c>
      <c r="BM319" s="52" t="s">
        <v>93</v>
      </c>
      <c r="BN319" s="52" t="s">
        <v>93</v>
      </c>
      <c r="BO319" s="52" t="s">
        <v>93</v>
      </c>
      <c r="BP319" s="52" t="s">
        <v>93</v>
      </c>
      <c r="BQ319" s="49" t="s">
        <v>92</v>
      </c>
      <c r="BR319" s="49" t="s">
        <v>92</v>
      </c>
      <c r="BS319" s="49" t="s">
        <v>93</v>
      </c>
      <c r="BT319" s="49" t="s">
        <v>92</v>
      </c>
      <c r="BU319" s="49" t="s">
        <v>92</v>
      </c>
      <c r="BV319" s="49" t="s">
        <v>92</v>
      </c>
      <c r="BW319" s="49" t="s">
        <v>92</v>
      </c>
      <c r="BX319" s="49" t="s">
        <v>92</v>
      </c>
      <c r="BY319" s="49" t="s">
        <v>92</v>
      </c>
      <c r="BZ319" s="49" t="s">
        <v>92</v>
      </c>
      <c r="CA319" s="49" t="s">
        <v>92</v>
      </c>
      <c r="CB319" s="60" t="s">
        <v>115</v>
      </c>
      <c r="CC319" s="60"/>
      <c r="CD319" s="63"/>
      <c r="CE319" s="18"/>
      <c r="CF319" s="18"/>
      <c r="CG319" s="18"/>
      <c r="CH319" s="18"/>
    </row>
    <row r="320">
      <c r="A320" s="8"/>
      <c r="B320" s="62" t="s">
        <v>1400</v>
      </c>
      <c r="C320" s="10" t="s">
        <v>1401</v>
      </c>
      <c r="D320" s="9" t="s">
        <v>87</v>
      </c>
      <c r="E320" s="11" t="s">
        <v>1453</v>
      </c>
      <c r="F320" s="12"/>
      <c r="G320" s="14" t="s">
        <v>1454</v>
      </c>
      <c r="H320" s="14" t="s">
        <v>110</v>
      </c>
      <c r="I320" s="14" t="s">
        <v>1455</v>
      </c>
      <c r="J320" s="14" t="s">
        <v>92</v>
      </c>
      <c r="K320" s="14" t="s">
        <v>92</v>
      </c>
      <c r="L320" s="14" t="s">
        <v>93</v>
      </c>
      <c r="M320" s="14" t="s">
        <v>92</v>
      </c>
      <c r="N320" s="14" t="s">
        <v>92</v>
      </c>
      <c r="O320" s="14" t="s">
        <v>92</v>
      </c>
      <c r="P320" s="14" t="s">
        <v>92</v>
      </c>
      <c r="Q320" s="14" t="s">
        <v>92</v>
      </c>
      <c r="R320" s="14" t="s">
        <v>92</v>
      </c>
      <c r="S320" s="14" t="s">
        <v>92</v>
      </c>
      <c r="T320" s="14" t="s">
        <v>92</v>
      </c>
      <c r="U320" s="14" t="s">
        <v>92</v>
      </c>
      <c r="V320" s="14" t="s">
        <v>92</v>
      </c>
      <c r="W320" s="14" t="s">
        <v>92</v>
      </c>
      <c r="X320" s="14" t="s">
        <v>92</v>
      </c>
      <c r="Y320" s="14" t="s">
        <v>93</v>
      </c>
      <c r="Z320" s="14" t="s">
        <v>93</v>
      </c>
      <c r="AA320" s="14" t="s">
        <v>92</v>
      </c>
      <c r="AB320" s="8" t="s">
        <v>92</v>
      </c>
      <c r="AC320" s="8" t="s">
        <v>93</v>
      </c>
      <c r="AD320" s="8" t="s">
        <v>92</v>
      </c>
      <c r="AE320" s="14" t="s">
        <v>112</v>
      </c>
      <c r="AF320" s="14" t="s">
        <v>92</v>
      </c>
      <c r="AG320" s="14" t="s">
        <v>95</v>
      </c>
      <c r="AH320" s="8" t="s">
        <v>105</v>
      </c>
      <c r="AI320" s="14" t="s">
        <v>92</v>
      </c>
      <c r="AJ320" s="14" t="s">
        <v>93</v>
      </c>
      <c r="AK320" s="14" t="s">
        <v>93</v>
      </c>
      <c r="AL320" s="14" t="s">
        <v>93</v>
      </c>
      <c r="AM320" s="8" t="s">
        <v>95</v>
      </c>
      <c r="AN320" s="14" t="s">
        <v>114</v>
      </c>
      <c r="AO320" s="8" t="s">
        <v>93</v>
      </c>
      <c r="AP320" s="8" t="s">
        <v>92</v>
      </c>
      <c r="AQ320" s="14" t="s">
        <v>93</v>
      </c>
      <c r="AR320" s="14" t="s">
        <v>93</v>
      </c>
      <c r="AS320" s="14" t="s">
        <v>93</v>
      </c>
      <c r="AT320" s="14" t="s">
        <v>93</v>
      </c>
      <c r="AU320" s="14" t="s">
        <v>93</v>
      </c>
      <c r="AV320" s="14" t="s">
        <v>93</v>
      </c>
      <c r="AW320" s="14" t="s">
        <v>93</v>
      </c>
      <c r="AX320" s="14" t="s">
        <v>92</v>
      </c>
      <c r="AY320" s="8" t="s">
        <v>441</v>
      </c>
      <c r="AZ320" s="8" t="s">
        <v>95</v>
      </c>
      <c r="BA320" s="9" t="s">
        <v>1400</v>
      </c>
      <c r="BB320" s="8" t="s">
        <v>155</v>
      </c>
      <c r="BC320" s="8" t="s">
        <v>92</v>
      </c>
      <c r="BD320" s="14" t="s">
        <v>93</v>
      </c>
      <c r="BE320" s="14" t="s">
        <v>92</v>
      </c>
      <c r="BF320" s="14" t="s">
        <v>92</v>
      </c>
      <c r="BG320" s="14" t="s">
        <v>92</v>
      </c>
      <c r="BH320" s="14" t="s">
        <v>92</v>
      </c>
      <c r="BI320" s="14" t="s">
        <v>92</v>
      </c>
      <c r="BJ320" s="14" t="s">
        <v>92</v>
      </c>
      <c r="BK320" s="14" t="s">
        <v>105</v>
      </c>
      <c r="BL320" s="14" t="s">
        <v>105</v>
      </c>
      <c r="BM320" s="14" t="s">
        <v>105</v>
      </c>
      <c r="BN320" s="14" t="s">
        <v>105</v>
      </c>
      <c r="BO320" s="14" t="s">
        <v>105</v>
      </c>
      <c r="BP320" s="14" t="s">
        <v>105</v>
      </c>
      <c r="BQ320" s="8" t="s">
        <v>92</v>
      </c>
      <c r="BR320" s="8" t="s">
        <v>92</v>
      </c>
      <c r="BS320" s="8" t="s">
        <v>92</v>
      </c>
      <c r="BT320" s="8" t="s">
        <v>93</v>
      </c>
      <c r="BU320" s="8" t="s">
        <v>93</v>
      </c>
      <c r="BV320" s="8" t="s">
        <v>93</v>
      </c>
      <c r="BW320" s="8" t="s">
        <v>92</v>
      </c>
      <c r="BX320" s="8" t="s">
        <v>92</v>
      </c>
      <c r="BY320" s="8" t="s">
        <v>92</v>
      </c>
      <c r="BZ320" s="8" t="s">
        <v>93</v>
      </c>
      <c r="CA320" s="8" t="s">
        <v>92</v>
      </c>
      <c r="CB320" s="17" t="s">
        <v>1371</v>
      </c>
      <c r="CC320" s="17" t="s">
        <v>1307</v>
      </c>
      <c r="CD320" s="18"/>
      <c r="CE320" s="18"/>
      <c r="CF320" s="18"/>
      <c r="CG320" s="18"/>
      <c r="CH320" s="18"/>
    </row>
    <row r="321">
      <c r="A321" s="8"/>
      <c r="B321" s="16" t="s">
        <v>1456</v>
      </c>
      <c r="C321" s="10" t="s">
        <v>1457</v>
      </c>
      <c r="D321" s="9" t="s">
        <v>87</v>
      </c>
      <c r="E321" s="11" t="s">
        <v>1458</v>
      </c>
      <c r="F321" s="12"/>
      <c r="G321" s="9" t="s">
        <v>1459</v>
      </c>
      <c r="H321" s="13" t="s">
        <v>90</v>
      </c>
      <c r="I321" s="13" t="s">
        <v>1460</v>
      </c>
      <c r="J321" s="13" t="s">
        <v>92</v>
      </c>
      <c r="K321" s="13" t="s">
        <v>92</v>
      </c>
      <c r="L321" s="13" t="s">
        <v>92</v>
      </c>
      <c r="M321" s="13" t="s">
        <v>92</v>
      </c>
      <c r="N321" s="14" t="s">
        <v>92</v>
      </c>
      <c r="O321" s="13" t="s">
        <v>92</v>
      </c>
      <c r="P321" s="14" t="s">
        <v>92</v>
      </c>
      <c r="Q321" s="14" t="s">
        <v>93</v>
      </c>
      <c r="R321" s="13" t="s">
        <v>92</v>
      </c>
      <c r="S321" s="13" t="s">
        <v>92</v>
      </c>
      <c r="T321" s="13" t="s">
        <v>92</v>
      </c>
      <c r="U321" s="13" t="s">
        <v>93</v>
      </c>
      <c r="V321" s="13" t="s">
        <v>92</v>
      </c>
      <c r="W321" s="13" t="s">
        <v>92</v>
      </c>
      <c r="X321" s="13" t="s">
        <v>92</v>
      </c>
      <c r="Y321" s="13" t="s">
        <v>92</v>
      </c>
      <c r="Z321" s="13" t="s">
        <v>92</v>
      </c>
      <c r="AA321" s="14" t="s">
        <v>92</v>
      </c>
      <c r="AB321" s="15" t="s">
        <v>93</v>
      </c>
      <c r="AC321" s="15" t="s">
        <v>92</v>
      </c>
      <c r="AD321" s="15" t="s">
        <v>92</v>
      </c>
      <c r="AE321" s="13" t="s">
        <v>94</v>
      </c>
      <c r="AF321" s="13" t="s">
        <v>92</v>
      </c>
      <c r="AG321" s="13" t="s">
        <v>95</v>
      </c>
      <c r="AH321" s="15">
        <v>2020.0</v>
      </c>
      <c r="AI321" s="13" t="s">
        <v>93</v>
      </c>
      <c r="AJ321" s="13" t="s">
        <v>92</v>
      </c>
      <c r="AK321" s="13" t="s">
        <v>92</v>
      </c>
      <c r="AL321" s="13" t="s">
        <v>92</v>
      </c>
      <c r="AM321" s="15">
        <v>2020.0</v>
      </c>
      <c r="AN321" s="13" t="s">
        <v>96</v>
      </c>
      <c r="AO321" s="15" t="s">
        <v>92</v>
      </c>
      <c r="AP321" s="15" t="s">
        <v>93</v>
      </c>
      <c r="AQ321" s="13" t="s">
        <v>92</v>
      </c>
      <c r="AR321" s="13" t="s">
        <v>92</v>
      </c>
      <c r="AS321" s="13" t="s">
        <v>93</v>
      </c>
      <c r="AT321" s="13" t="s">
        <v>92</v>
      </c>
      <c r="AU321" s="13" t="s">
        <v>92</v>
      </c>
      <c r="AV321" s="13" t="s">
        <v>92</v>
      </c>
      <c r="AW321" s="13" t="s">
        <v>92</v>
      </c>
      <c r="AX321" s="13" t="s">
        <v>93</v>
      </c>
      <c r="AY321" s="15" t="s">
        <v>95</v>
      </c>
      <c r="AZ321" s="15" t="s">
        <v>95</v>
      </c>
      <c r="BA321" s="16" t="s">
        <v>1456</v>
      </c>
      <c r="BB321" s="8" t="s">
        <v>213</v>
      </c>
      <c r="BC321" s="15" t="s">
        <v>92</v>
      </c>
      <c r="BD321" s="13" t="s">
        <v>92</v>
      </c>
      <c r="BE321" s="13" t="s">
        <v>92</v>
      </c>
      <c r="BF321" s="13" t="s">
        <v>92</v>
      </c>
      <c r="BG321" s="13" t="s">
        <v>92</v>
      </c>
      <c r="BH321" s="13" t="s">
        <v>92</v>
      </c>
      <c r="BI321" s="13" t="s">
        <v>93</v>
      </c>
      <c r="BJ321" s="13" t="s">
        <v>92</v>
      </c>
      <c r="BK321" s="13" t="s">
        <v>105</v>
      </c>
      <c r="BL321" s="13" t="s">
        <v>105</v>
      </c>
      <c r="BM321" s="13" t="s">
        <v>105</v>
      </c>
      <c r="BN321" s="13" t="s">
        <v>105</v>
      </c>
      <c r="BO321" s="13" t="s">
        <v>105</v>
      </c>
      <c r="BP321" s="13" t="s">
        <v>105</v>
      </c>
      <c r="BQ321" s="15" t="s">
        <v>93</v>
      </c>
      <c r="BR321" s="15" t="s">
        <v>92</v>
      </c>
      <c r="BS321" s="15" t="s">
        <v>92</v>
      </c>
      <c r="BT321" s="15" t="s">
        <v>92</v>
      </c>
      <c r="BU321" s="15" t="s">
        <v>92</v>
      </c>
      <c r="BV321" s="15" t="s">
        <v>92</v>
      </c>
      <c r="BW321" s="15" t="s">
        <v>92</v>
      </c>
      <c r="BX321" s="15" t="s">
        <v>92</v>
      </c>
      <c r="BY321" s="15" t="s">
        <v>92</v>
      </c>
      <c r="BZ321" s="15" t="s">
        <v>92</v>
      </c>
      <c r="CA321" s="15" t="s">
        <v>92</v>
      </c>
      <c r="CB321" s="17" t="s">
        <v>1456</v>
      </c>
      <c r="CC321" s="17"/>
      <c r="CD321" s="18"/>
      <c r="CE321" s="18"/>
      <c r="CF321" s="18"/>
      <c r="CG321" s="18"/>
      <c r="CH321" s="14"/>
    </row>
    <row r="322">
      <c r="A322" s="8"/>
      <c r="B322" s="9" t="s">
        <v>1461</v>
      </c>
      <c r="C322" s="10" t="s">
        <v>1462</v>
      </c>
      <c r="D322" s="9" t="s">
        <v>87</v>
      </c>
      <c r="E322" s="11" t="s">
        <v>1463</v>
      </c>
      <c r="F322" s="12"/>
      <c r="G322" s="14" t="s">
        <v>1464</v>
      </c>
      <c r="H322" s="14" t="s">
        <v>253</v>
      </c>
      <c r="I322" s="14" t="s">
        <v>1465</v>
      </c>
      <c r="J322" s="14" t="s">
        <v>92</v>
      </c>
      <c r="K322" s="14" t="s">
        <v>92</v>
      </c>
      <c r="L322" s="14" t="s">
        <v>93</v>
      </c>
      <c r="M322" s="14" t="s">
        <v>92</v>
      </c>
      <c r="N322" s="14" t="s">
        <v>92</v>
      </c>
      <c r="O322" s="14" t="s">
        <v>92</v>
      </c>
      <c r="P322" s="14" t="s">
        <v>92</v>
      </c>
      <c r="Q322" s="14" t="s">
        <v>92</v>
      </c>
      <c r="R322" s="14" t="s">
        <v>92</v>
      </c>
      <c r="S322" s="14" t="s">
        <v>92</v>
      </c>
      <c r="T322" s="14" t="s">
        <v>92</v>
      </c>
      <c r="U322" s="14" t="s">
        <v>92</v>
      </c>
      <c r="V322" s="14" t="s">
        <v>92</v>
      </c>
      <c r="W322" s="14" t="s">
        <v>92</v>
      </c>
      <c r="X322" s="14" t="s">
        <v>92</v>
      </c>
      <c r="Y322" s="14" t="s">
        <v>92</v>
      </c>
      <c r="Z322" s="14" t="s">
        <v>93</v>
      </c>
      <c r="AA322" s="14" t="s">
        <v>92</v>
      </c>
      <c r="AB322" s="8" t="s">
        <v>93</v>
      </c>
      <c r="AC322" s="8" t="s">
        <v>93</v>
      </c>
      <c r="AD322" s="8" t="s">
        <v>92</v>
      </c>
      <c r="AE322" s="14" t="s">
        <v>148</v>
      </c>
      <c r="AF322" s="14" t="s">
        <v>92</v>
      </c>
      <c r="AG322" s="14" t="s">
        <v>95</v>
      </c>
      <c r="AH322" s="8" t="s">
        <v>95</v>
      </c>
      <c r="AI322" s="14" t="s">
        <v>93</v>
      </c>
      <c r="AJ322" s="14" t="s">
        <v>92</v>
      </c>
      <c r="AK322" s="14" t="s">
        <v>92</v>
      </c>
      <c r="AL322" s="14" t="s">
        <v>105</v>
      </c>
      <c r="AM322" s="15" t="s">
        <v>95</v>
      </c>
      <c r="AN322" s="14" t="s">
        <v>95</v>
      </c>
      <c r="AO322" s="8" t="s">
        <v>95</v>
      </c>
      <c r="AP322" s="8" t="s">
        <v>92</v>
      </c>
      <c r="AQ322" s="14" t="s">
        <v>92</v>
      </c>
      <c r="AR322" s="14" t="s">
        <v>92</v>
      </c>
      <c r="AS322" s="14" t="s">
        <v>93</v>
      </c>
      <c r="AT322" s="14" t="s">
        <v>93</v>
      </c>
      <c r="AU322" s="14" t="s">
        <v>93</v>
      </c>
      <c r="AV322" s="14" t="s">
        <v>93</v>
      </c>
      <c r="AW322" s="14" t="s">
        <v>93</v>
      </c>
      <c r="AX322" s="14" t="s">
        <v>92</v>
      </c>
      <c r="AY322" s="8" t="s">
        <v>95</v>
      </c>
      <c r="AZ322" s="8" t="s">
        <v>95</v>
      </c>
      <c r="BA322" s="9" t="s">
        <v>1466</v>
      </c>
      <c r="BB322" s="8" t="s">
        <v>95</v>
      </c>
      <c r="BC322" s="8" t="s">
        <v>93</v>
      </c>
      <c r="BD322" s="14" t="s">
        <v>93</v>
      </c>
      <c r="BE322" s="14" t="s">
        <v>92</v>
      </c>
      <c r="BF322" s="14" t="s">
        <v>92</v>
      </c>
      <c r="BG322" s="14" t="s">
        <v>93</v>
      </c>
      <c r="BH322" s="14" t="s">
        <v>92</v>
      </c>
      <c r="BI322" s="14" t="s">
        <v>92</v>
      </c>
      <c r="BJ322" s="14" t="s">
        <v>93</v>
      </c>
      <c r="BK322" s="14" t="s">
        <v>105</v>
      </c>
      <c r="BL322" s="14" t="s">
        <v>105</v>
      </c>
      <c r="BM322" s="14" t="s">
        <v>105</v>
      </c>
      <c r="BN322" s="14" t="s">
        <v>105</v>
      </c>
      <c r="BO322" s="14" t="s">
        <v>105</v>
      </c>
      <c r="BP322" s="14" t="s">
        <v>105</v>
      </c>
      <c r="BQ322" s="8" t="s">
        <v>92</v>
      </c>
      <c r="BR322" s="8" t="s">
        <v>92</v>
      </c>
      <c r="BS322" s="8" t="s">
        <v>93</v>
      </c>
      <c r="BT322" s="8" t="s">
        <v>93</v>
      </c>
      <c r="BU322" s="8" t="s">
        <v>92</v>
      </c>
      <c r="BV322" s="8" t="s">
        <v>92</v>
      </c>
      <c r="BW322" s="8" t="s">
        <v>92</v>
      </c>
      <c r="BX322" s="8" t="s">
        <v>93</v>
      </c>
      <c r="BY322" s="8" t="s">
        <v>92</v>
      </c>
      <c r="BZ322" s="8" t="s">
        <v>93</v>
      </c>
      <c r="CA322" s="8" t="s">
        <v>93</v>
      </c>
      <c r="CB322" s="20" t="s">
        <v>178</v>
      </c>
      <c r="CC322" s="17"/>
      <c r="CD322" s="18"/>
      <c r="CE322" s="18"/>
      <c r="CF322" s="18"/>
      <c r="CG322" s="18"/>
      <c r="CH322" s="18"/>
    </row>
    <row r="323">
      <c r="A323" s="8"/>
      <c r="B323" s="9" t="s">
        <v>1461</v>
      </c>
      <c r="C323" s="10" t="s">
        <v>1462</v>
      </c>
      <c r="D323" s="9" t="s">
        <v>87</v>
      </c>
      <c r="E323" s="11" t="s">
        <v>1467</v>
      </c>
      <c r="F323" s="12"/>
      <c r="G323" s="14" t="s">
        <v>1468</v>
      </c>
      <c r="H323" s="14" t="s">
        <v>253</v>
      </c>
      <c r="I323" s="14" t="s">
        <v>1469</v>
      </c>
      <c r="J323" s="14" t="s">
        <v>92</v>
      </c>
      <c r="K323" s="14" t="s">
        <v>92</v>
      </c>
      <c r="L323" s="14" t="s">
        <v>92</v>
      </c>
      <c r="M323" s="14" t="s">
        <v>93</v>
      </c>
      <c r="N323" s="14" t="s">
        <v>92</v>
      </c>
      <c r="O323" s="14" t="s">
        <v>92</v>
      </c>
      <c r="P323" s="14" t="s">
        <v>92</v>
      </c>
      <c r="Q323" s="14" t="s">
        <v>92</v>
      </c>
      <c r="R323" s="14" t="s">
        <v>93</v>
      </c>
      <c r="S323" s="14" t="s">
        <v>93</v>
      </c>
      <c r="T323" s="14" t="s">
        <v>93</v>
      </c>
      <c r="U323" s="14" t="s">
        <v>93</v>
      </c>
      <c r="V323" s="14" t="s">
        <v>92</v>
      </c>
      <c r="W323" s="14" t="s">
        <v>92</v>
      </c>
      <c r="X323" s="14" t="s">
        <v>92</v>
      </c>
      <c r="Y323" s="14" t="s">
        <v>92</v>
      </c>
      <c r="Z323" s="14" t="s">
        <v>92</v>
      </c>
      <c r="AA323" s="14" t="s">
        <v>92</v>
      </c>
      <c r="AB323" s="8" t="s">
        <v>93</v>
      </c>
      <c r="AC323" s="8" t="s">
        <v>92</v>
      </c>
      <c r="AD323" s="8" t="s">
        <v>92</v>
      </c>
      <c r="AE323" s="14" t="s">
        <v>148</v>
      </c>
      <c r="AF323" s="14" t="s">
        <v>92</v>
      </c>
      <c r="AG323" s="14" t="s">
        <v>95</v>
      </c>
      <c r="AH323" s="8" t="s">
        <v>95</v>
      </c>
      <c r="AI323" s="14" t="s">
        <v>93</v>
      </c>
      <c r="AJ323" s="14" t="s">
        <v>92</v>
      </c>
      <c r="AK323" s="14" t="s">
        <v>92</v>
      </c>
      <c r="AL323" s="14" t="s">
        <v>105</v>
      </c>
      <c r="AM323" s="15" t="s">
        <v>95</v>
      </c>
      <c r="AN323" s="14" t="s">
        <v>95</v>
      </c>
      <c r="AO323" s="8" t="s">
        <v>95</v>
      </c>
      <c r="AP323" s="8" t="s">
        <v>92</v>
      </c>
      <c r="AQ323" s="14" t="s">
        <v>92</v>
      </c>
      <c r="AR323" s="14" t="s">
        <v>92</v>
      </c>
      <c r="AS323" s="14" t="s">
        <v>93</v>
      </c>
      <c r="AT323" s="14" t="s">
        <v>93</v>
      </c>
      <c r="AU323" s="14" t="s">
        <v>93</v>
      </c>
      <c r="AV323" s="14" t="s">
        <v>93</v>
      </c>
      <c r="AW323" s="14" t="s">
        <v>93</v>
      </c>
      <c r="AX323" s="14" t="s">
        <v>92</v>
      </c>
      <c r="AY323" s="8" t="s">
        <v>1470</v>
      </c>
      <c r="AZ323" s="8" t="s">
        <v>93</v>
      </c>
      <c r="BA323" s="9" t="s">
        <v>1468</v>
      </c>
      <c r="BB323" s="8" t="s">
        <v>143</v>
      </c>
      <c r="BC323" s="8" t="s">
        <v>92</v>
      </c>
      <c r="BD323" s="14" t="s">
        <v>93</v>
      </c>
      <c r="BE323" s="14" t="s">
        <v>92</v>
      </c>
      <c r="BF323" s="14" t="s">
        <v>92</v>
      </c>
      <c r="BG323" s="14" t="s">
        <v>92</v>
      </c>
      <c r="BH323" s="14" t="s">
        <v>92</v>
      </c>
      <c r="BI323" s="14" t="s">
        <v>93</v>
      </c>
      <c r="BJ323" s="14" t="s">
        <v>93</v>
      </c>
      <c r="BK323" s="14" t="s">
        <v>332</v>
      </c>
      <c r="BL323" s="14" t="s">
        <v>92</v>
      </c>
      <c r="BM323" s="14" t="s">
        <v>92</v>
      </c>
      <c r="BN323" s="14" t="s">
        <v>92</v>
      </c>
      <c r="BO323" s="14" t="s">
        <v>93</v>
      </c>
      <c r="BP323" s="14" t="s">
        <v>92</v>
      </c>
      <c r="BQ323" s="8" t="s">
        <v>93</v>
      </c>
      <c r="BR323" s="8" t="s">
        <v>93</v>
      </c>
      <c r="BS323" s="8" t="s">
        <v>92</v>
      </c>
      <c r="BT323" s="8" t="s">
        <v>92</v>
      </c>
      <c r="BU323" s="8" t="s">
        <v>92</v>
      </c>
      <c r="BV323" s="8" t="s">
        <v>92</v>
      </c>
      <c r="BW323" s="8" t="s">
        <v>92</v>
      </c>
      <c r="BX323" s="8" t="s">
        <v>92</v>
      </c>
      <c r="BY323" s="8" t="s">
        <v>92</v>
      </c>
      <c r="BZ323" s="8" t="s">
        <v>92</v>
      </c>
      <c r="CA323" s="8" t="s">
        <v>93</v>
      </c>
      <c r="CB323" s="20" t="s">
        <v>178</v>
      </c>
      <c r="CC323" s="17"/>
      <c r="CD323" s="18"/>
      <c r="CE323" s="18"/>
      <c r="CF323" s="18"/>
      <c r="CG323" s="18"/>
      <c r="CH323" s="18"/>
    </row>
    <row r="324">
      <c r="A324" s="8"/>
      <c r="B324" s="9" t="s">
        <v>1461</v>
      </c>
      <c r="C324" s="10" t="s">
        <v>1462</v>
      </c>
      <c r="D324" s="9" t="s">
        <v>87</v>
      </c>
      <c r="E324" s="11" t="s">
        <v>1471</v>
      </c>
      <c r="F324" s="12"/>
      <c r="G324" s="29" t="s">
        <v>1472</v>
      </c>
      <c r="H324" s="14" t="s">
        <v>90</v>
      </c>
      <c r="I324" s="14" t="s">
        <v>1473</v>
      </c>
      <c r="J324" s="14" t="s">
        <v>92</v>
      </c>
      <c r="K324" s="14" t="s">
        <v>92</v>
      </c>
      <c r="L324" s="14" t="s">
        <v>92</v>
      </c>
      <c r="M324" s="14" t="s">
        <v>92</v>
      </c>
      <c r="N324" s="14" t="s">
        <v>92</v>
      </c>
      <c r="O324" s="14" t="s">
        <v>92</v>
      </c>
      <c r="P324" s="14" t="s">
        <v>92</v>
      </c>
      <c r="Q324" s="14" t="s">
        <v>92</v>
      </c>
      <c r="R324" s="14" t="s">
        <v>92</v>
      </c>
      <c r="S324" s="14" t="s">
        <v>92</v>
      </c>
      <c r="T324" s="14" t="s">
        <v>92</v>
      </c>
      <c r="U324" s="14" t="s">
        <v>92</v>
      </c>
      <c r="V324" s="14" t="s">
        <v>92</v>
      </c>
      <c r="W324" s="14" t="s">
        <v>92</v>
      </c>
      <c r="X324" s="14" t="s">
        <v>92</v>
      </c>
      <c r="Y324" s="14" t="s">
        <v>92</v>
      </c>
      <c r="Z324" s="14" t="s">
        <v>93</v>
      </c>
      <c r="AA324" s="14" t="s">
        <v>92</v>
      </c>
      <c r="AB324" s="8" t="s">
        <v>92</v>
      </c>
      <c r="AC324" s="8" t="s">
        <v>93</v>
      </c>
      <c r="AD324" s="8" t="s">
        <v>92</v>
      </c>
      <c r="AE324" s="14" t="s">
        <v>112</v>
      </c>
      <c r="AF324" s="14" t="s">
        <v>92</v>
      </c>
      <c r="AG324" s="14" t="s">
        <v>95</v>
      </c>
      <c r="AH324" s="8" t="s">
        <v>105</v>
      </c>
      <c r="AI324" s="14" t="s">
        <v>93</v>
      </c>
      <c r="AJ324" s="14" t="s">
        <v>93</v>
      </c>
      <c r="AK324" s="14" t="s">
        <v>93</v>
      </c>
      <c r="AL324" s="14" t="s">
        <v>105</v>
      </c>
      <c r="AM324" s="8" t="s">
        <v>105</v>
      </c>
      <c r="AN324" s="14" t="s">
        <v>105</v>
      </c>
      <c r="AO324" s="8" t="s">
        <v>93</v>
      </c>
      <c r="AP324" s="8" t="s">
        <v>92</v>
      </c>
      <c r="AQ324" s="14" t="s">
        <v>92</v>
      </c>
      <c r="AR324" s="14" t="s">
        <v>92</v>
      </c>
      <c r="AS324" s="14" t="s">
        <v>93</v>
      </c>
      <c r="AT324" s="14" t="s">
        <v>93</v>
      </c>
      <c r="AU324" s="14" t="s">
        <v>93</v>
      </c>
      <c r="AV324" s="14" t="s">
        <v>93</v>
      </c>
      <c r="AW324" s="14" t="s">
        <v>93</v>
      </c>
      <c r="AX324" s="14" t="s">
        <v>92</v>
      </c>
      <c r="AY324" s="8" t="s">
        <v>95</v>
      </c>
      <c r="AZ324" s="8" t="s">
        <v>95</v>
      </c>
      <c r="BA324" s="9" t="s">
        <v>1461</v>
      </c>
      <c r="BB324" s="8" t="s">
        <v>213</v>
      </c>
      <c r="BC324" s="8" t="s">
        <v>92</v>
      </c>
      <c r="BD324" s="14" t="s">
        <v>92</v>
      </c>
      <c r="BE324" s="14" t="s">
        <v>93</v>
      </c>
      <c r="BF324" s="14" t="s">
        <v>92</v>
      </c>
      <c r="BG324" s="14" t="s">
        <v>93</v>
      </c>
      <c r="BH324" s="14" t="s">
        <v>92</v>
      </c>
      <c r="BI324" s="14" t="s">
        <v>92</v>
      </c>
      <c r="BJ324" s="14" t="s">
        <v>92</v>
      </c>
      <c r="BK324" s="14" t="s">
        <v>332</v>
      </c>
      <c r="BL324" s="14" t="s">
        <v>92</v>
      </c>
      <c r="BM324" s="14" t="s">
        <v>92</v>
      </c>
      <c r="BN324" s="14" t="s">
        <v>92</v>
      </c>
      <c r="BO324" s="14" t="s">
        <v>93</v>
      </c>
      <c r="BP324" s="14" t="s">
        <v>92</v>
      </c>
      <c r="BQ324" s="8" t="s">
        <v>92</v>
      </c>
      <c r="BR324" s="8" t="s">
        <v>92</v>
      </c>
      <c r="BS324" s="8" t="s">
        <v>92</v>
      </c>
      <c r="BT324" s="8" t="s">
        <v>93</v>
      </c>
      <c r="BU324" s="8" t="s">
        <v>92</v>
      </c>
      <c r="BV324" s="8" t="s">
        <v>92</v>
      </c>
      <c r="BW324" s="8" t="s">
        <v>92</v>
      </c>
      <c r="BX324" s="8" t="s">
        <v>92</v>
      </c>
      <c r="BY324" s="8" t="s">
        <v>92</v>
      </c>
      <c r="BZ324" s="8" t="s">
        <v>92</v>
      </c>
      <c r="CA324" s="8" t="s">
        <v>92</v>
      </c>
      <c r="CB324" s="20" t="s">
        <v>178</v>
      </c>
      <c r="CC324" s="20" t="s">
        <v>106</v>
      </c>
      <c r="CD324" s="18"/>
      <c r="CE324" s="18"/>
      <c r="CF324" s="18"/>
      <c r="CG324" s="18"/>
      <c r="CH324" s="18"/>
    </row>
    <row r="325">
      <c r="A325" s="8"/>
      <c r="B325" s="9" t="s">
        <v>1461</v>
      </c>
      <c r="C325" s="10" t="s">
        <v>1462</v>
      </c>
      <c r="D325" s="9" t="s">
        <v>87</v>
      </c>
      <c r="E325" s="11" t="s">
        <v>1474</v>
      </c>
      <c r="F325" s="25"/>
      <c r="G325" s="9" t="s">
        <v>1475</v>
      </c>
      <c r="H325" s="14" t="s">
        <v>90</v>
      </c>
      <c r="I325" s="14" t="s">
        <v>1476</v>
      </c>
      <c r="J325" s="14" t="s">
        <v>93</v>
      </c>
      <c r="K325" s="14" t="s">
        <v>92</v>
      </c>
      <c r="L325" s="14" t="s">
        <v>93</v>
      </c>
      <c r="M325" s="14" t="s">
        <v>92</v>
      </c>
      <c r="N325" s="14" t="s">
        <v>92</v>
      </c>
      <c r="O325" s="14" t="s">
        <v>93</v>
      </c>
      <c r="P325" s="14" t="s">
        <v>92</v>
      </c>
      <c r="Q325" s="14" t="s">
        <v>92</v>
      </c>
      <c r="R325" s="14" t="s">
        <v>92</v>
      </c>
      <c r="S325" s="14" t="s">
        <v>93</v>
      </c>
      <c r="T325" s="14" t="s">
        <v>92</v>
      </c>
      <c r="U325" s="14" t="s">
        <v>92</v>
      </c>
      <c r="V325" s="14" t="s">
        <v>92</v>
      </c>
      <c r="W325" s="14" t="s">
        <v>92</v>
      </c>
      <c r="X325" s="14" t="s">
        <v>92</v>
      </c>
      <c r="Y325" s="14" t="s">
        <v>93</v>
      </c>
      <c r="Z325" s="14" t="s">
        <v>93</v>
      </c>
      <c r="AA325" s="14" t="s">
        <v>93</v>
      </c>
      <c r="AB325" s="8" t="s">
        <v>93</v>
      </c>
      <c r="AC325" s="8" t="s">
        <v>93</v>
      </c>
      <c r="AD325" s="8" t="s">
        <v>92</v>
      </c>
      <c r="AE325" s="14" t="s">
        <v>148</v>
      </c>
      <c r="AF325" s="14" t="s">
        <v>92</v>
      </c>
      <c r="AG325" s="14" t="s">
        <v>95</v>
      </c>
      <c r="AH325" s="8">
        <v>2021.0</v>
      </c>
      <c r="AI325" s="14" t="s">
        <v>92</v>
      </c>
      <c r="AJ325" s="14" t="s">
        <v>93</v>
      </c>
      <c r="AK325" s="14" t="s">
        <v>93</v>
      </c>
      <c r="AL325" s="14" t="s">
        <v>105</v>
      </c>
      <c r="AM325" s="8" t="s">
        <v>95</v>
      </c>
      <c r="AN325" s="14" t="s">
        <v>114</v>
      </c>
      <c r="AO325" s="8" t="s">
        <v>93</v>
      </c>
      <c r="AP325" s="8" t="s">
        <v>92</v>
      </c>
      <c r="AQ325" s="14" t="s">
        <v>92</v>
      </c>
      <c r="AR325" s="14" t="s">
        <v>92</v>
      </c>
      <c r="AS325" s="14" t="s">
        <v>93</v>
      </c>
      <c r="AT325" s="14" t="s">
        <v>93</v>
      </c>
      <c r="AU325" s="14" t="s">
        <v>93</v>
      </c>
      <c r="AV325" s="14" t="s">
        <v>93</v>
      </c>
      <c r="AW325" s="14" t="s">
        <v>93</v>
      </c>
      <c r="AX325" s="14" t="s">
        <v>92</v>
      </c>
      <c r="AY325" s="8" t="s">
        <v>1477</v>
      </c>
      <c r="AZ325" s="8" t="s">
        <v>92</v>
      </c>
      <c r="BA325" s="9" t="s">
        <v>1461</v>
      </c>
      <c r="BB325" s="8" t="s">
        <v>213</v>
      </c>
      <c r="BC325" s="8" t="s">
        <v>92</v>
      </c>
      <c r="BD325" s="14" t="s">
        <v>93</v>
      </c>
      <c r="BE325" s="14" t="s">
        <v>92</v>
      </c>
      <c r="BF325" s="14" t="s">
        <v>92</v>
      </c>
      <c r="BG325" s="14" t="s">
        <v>92</v>
      </c>
      <c r="BH325" s="14" t="s">
        <v>92</v>
      </c>
      <c r="BI325" s="14" t="s">
        <v>92</v>
      </c>
      <c r="BJ325" s="14" t="s">
        <v>92</v>
      </c>
      <c r="BK325" s="14" t="s">
        <v>332</v>
      </c>
      <c r="BL325" s="14" t="s">
        <v>92</v>
      </c>
      <c r="BM325" s="14" t="s">
        <v>92</v>
      </c>
      <c r="BN325" s="14" t="s">
        <v>92</v>
      </c>
      <c r="BO325" s="14" t="s">
        <v>93</v>
      </c>
      <c r="BP325" s="14" t="s">
        <v>92</v>
      </c>
      <c r="BQ325" s="8" t="s">
        <v>92</v>
      </c>
      <c r="BR325" s="8" t="s">
        <v>92</v>
      </c>
      <c r="BS325" s="8" t="s">
        <v>93</v>
      </c>
      <c r="BT325" s="8" t="s">
        <v>93</v>
      </c>
      <c r="BU325" s="8" t="s">
        <v>93</v>
      </c>
      <c r="BV325" s="8" t="s">
        <v>93</v>
      </c>
      <c r="BW325" s="8" t="s">
        <v>92</v>
      </c>
      <c r="BX325" s="8" t="s">
        <v>93</v>
      </c>
      <c r="BY325" s="8" t="s">
        <v>93</v>
      </c>
      <c r="BZ325" s="8" t="s">
        <v>93</v>
      </c>
      <c r="CA325" s="8" t="s">
        <v>92</v>
      </c>
      <c r="CB325" s="20" t="s">
        <v>115</v>
      </c>
      <c r="CC325" s="20" t="s">
        <v>106</v>
      </c>
      <c r="CD325" s="18"/>
      <c r="CE325" s="18"/>
      <c r="CF325" s="18"/>
      <c r="CG325" s="18"/>
      <c r="CH325" s="18"/>
    </row>
    <row r="326">
      <c r="A326" s="8"/>
      <c r="B326" s="9" t="s">
        <v>1461</v>
      </c>
      <c r="C326" s="10" t="s">
        <v>1462</v>
      </c>
      <c r="D326" s="9" t="s">
        <v>87</v>
      </c>
      <c r="E326" s="11" t="s">
        <v>1478</v>
      </c>
      <c r="F326" s="12"/>
      <c r="G326" s="14" t="s">
        <v>1479</v>
      </c>
      <c r="H326" s="14" t="s">
        <v>90</v>
      </c>
      <c r="I326" s="14" t="s">
        <v>1480</v>
      </c>
      <c r="J326" s="14" t="s">
        <v>92</v>
      </c>
      <c r="K326" s="14" t="s">
        <v>92</v>
      </c>
      <c r="L326" s="14" t="s">
        <v>93</v>
      </c>
      <c r="M326" s="14" t="s">
        <v>92</v>
      </c>
      <c r="N326" s="14" t="s">
        <v>93</v>
      </c>
      <c r="O326" s="14" t="s">
        <v>92</v>
      </c>
      <c r="P326" s="14" t="s">
        <v>92</v>
      </c>
      <c r="Q326" s="14" t="s">
        <v>92</v>
      </c>
      <c r="R326" s="14" t="s">
        <v>92</v>
      </c>
      <c r="S326" s="14" t="s">
        <v>93</v>
      </c>
      <c r="T326" s="14" t="s">
        <v>92</v>
      </c>
      <c r="U326" s="14" t="s">
        <v>92</v>
      </c>
      <c r="V326" s="14" t="s">
        <v>92</v>
      </c>
      <c r="W326" s="14" t="s">
        <v>92</v>
      </c>
      <c r="X326" s="14" t="s">
        <v>92</v>
      </c>
      <c r="Y326" s="14" t="s">
        <v>92</v>
      </c>
      <c r="Z326" s="14" t="s">
        <v>93</v>
      </c>
      <c r="AA326" s="14" t="s">
        <v>92</v>
      </c>
      <c r="AB326" s="8" t="s">
        <v>92</v>
      </c>
      <c r="AC326" s="8" t="s">
        <v>93</v>
      </c>
      <c r="AD326" s="8" t="s">
        <v>92</v>
      </c>
      <c r="AE326" s="14" t="s">
        <v>112</v>
      </c>
      <c r="AF326" s="14" t="s">
        <v>92</v>
      </c>
      <c r="AG326" s="14" t="s">
        <v>95</v>
      </c>
      <c r="AH326" s="8">
        <v>2022.0</v>
      </c>
      <c r="AI326" s="14" t="s">
        <v>92</v>
      </c>
      <c r="AJ326" s="14" t="s">
        <v>92</v>
      </c>
      <c r="AK326" s="14" t="s">
        <v>93</v>
      </c>
      <c r="AL326" s="14" t="s">
        <v>105</v>
      </c>
      <c r="AM326" s="8">
        <v>2022.0</v>
      </c>
      <c r="AN326" s="14" t="s">
        <v>96</v>
      </c>
      <c r="AO326" s="8" t="s">
        <v>92</v>
      </c>
      <c r="AP326" s="8" t="s">
        <v>92</v>
      </c>
      <c r="AQ326" s="14" t="s">
        <v>92</v>
      </c>
      <c r="AR326" s="14" t="s">
        <v>92</v>
      </c>
      <c r="AS326" s="14" t="s">
        <v>93</v>
      </c>
      <c r="AT326" s="14" t="s">
        <v>93</v>
      </c>
      <c r="AU326" s="14" t="s">
        <v>93</v>
      </c>
      <c r="AV326" s="14" t="s">
        <v>93</v>
      </c>
      <c r="AW326" s="14" t="s">
        <v>93</v>
      </c>
      <c r="AX326" s="14" t="s">
        <v>92</v>
      </c>
      <c r="AY326" s="8" t="s">
        <v>1481</v>
      </c>
      <c r="AZ326" s="8" t="s">
        <v>92</v>
      </c>
      <c r="BA326" s="9" t="s">
        <v>1482</v>
      </c>
      <c r="BB326" s="8" t="s">
        <v>95</v>
      </c>
      <c r="BC326" s="8" t="s">
        <v>93</v>
      </c>
      <c r="BD326" s="14" t="s">
        <v>93</v>
      </c>
      <c r="BE326" s="14" t="s">
        <v>92</v>
      </c>
      <c r="BF326" s="14" t="s">
        <v>92</v>
      </c>
      <c r="BG326" s="14" t="s">
        <v>92</v>
      </c>
      <c r="BH326" s="14" t="s">
        <v>92</v>
      </c>
      <c r="BI326" s="14" t="s">
        <v>92</v>
      </c>
      <c r="BJ326" s="14" t="s">
        <v>92</v>
      </c>
      <c r="BK326" s="14" t="s">
        <v>332</v>
      </c>
      <c r="BL326" s="14" t="s">
        <v>92</v>
      </c>
      <c r="BM326" s="14" t="s">
        <v>92</v>
      </c>
      <c r="BN326" s="14" t="s">
        <v>92</v>
      </c>
      <c r="BO326" s="14" t="s">
        <v>93</v>
      </c>
      <c r="BP326" s="14" t="s">
        <v>92</v>
      </c>
      <c r="BQ326" s="8" t="s">
        <v>92</v>
      </c>
      <c r="BR326" s="8" t="s">
        <v>92</v>
      </c>
      <c r="BS326" s="8" t="s">
        <v>92</v>
      </c>
      <c r="BT326" s="8" t="s">
        <v>93</v>
      </c>
      <c r="BU326" s="8" t="s">
        <v>92</v>
      </c>
      <c r="BV326" s="8" t="s">
        <v>92</v>
      </c>
      <c r="BW326" s="8" t="s">
        <v>92</v>
      </c>
      <c r="BX326" s="8" t="s">
        <v>92</v>
      </c>
      <c r="BY326" s="8" t="s">
        <v>92</v>
      </c>
      <c r="BZ326" s="8" t="s">
        <v>93</v>
      </c>
      <c r="CA326" s="8" t="s">
        <v>92</v>
      </c>
      <c r="CB326" s="20" t="s">
        <v>106</v>
      </c>
      <c r="CC326" s="17"/>
      <c r="CD326" s="18"/>
      <c r="CE326" s="18"/>
      <c r="CF326" s="18"/>
      <c r="CG326" s="18"/>
      <c r="CH326" s="18"/>
    </row>
    <row r="327">
      <c r="A327" s="8"/>
      <c r="B327" s="9" t="s">
        <v>1461</v>
      </c>
      <c r="C327" s="10" t="s">
        <v>1462</v>
      </c>
      <c r="D327" s="9" t="s">
        <v>87</v>
      </c>
      <c r="E327" s="11" t="s">
        <v>1483</v>
      </c>
      <c r="F327" s="12"/>
      <c r="G327" s="14" t="s">
        <v>1484</v>
      </c>
      <c r="H327" s="14" t="s">
        <v>90</v>
      </c>
      <c r="I327" s="14" t="s">
        <v>1485</v>
      </c>
      <c r="J327" s="14" t="s">
        <v>93</v>
      </c>
      <c r="K327" s="14" t="s">
        <v>92</v>
      </c>
      <c r="L327" s="14" t="s">
        <v>93</v>
      </c>
      <c r="M327" s="14" t="s">
        <v>92</v>
      </c>
      <c r="N327" s="14" t="s">
        <v>92</v>
      </c>
      <c r="O327" s="14" t="s">
        <v>92</v>
      </c>
      <c r="P327" s="14" t="s">
        <v>92</v>
      </c>
      <c r="Q327" s="14" t="s">
        <v>92</v>
      </c>
      <c r="R327" s="14" t="s">
        <v>92</v>
      </c>
      <c r="S327" s="14" t="s">
        <v>93</v>
      </c>
      <c r="T327" s="14" t="s">
        <v>92</v>
      </c>
      <c r="U327" s="14" t="s">
        <v>92</v>
      </c>
      <c r="V327" s="14" t="s">
        <v>92</v>
      </c>
      <c r="W327" s="14" t="s">
        <v>92</v>
      </c>
      <c r="X327" s="14" t="s">
        <v>92</v>
      </c>
      <c r="Y327" s="14" t="s">
        <v>92</v>
      </c>
      <c r="Z327" s="14" t="s">
        <v>93</v>
      </c>
      <c r="AA327" s="14" t="s">
        <v>92</v>
      </c>
      <c r="AB327" s="8" t="s">
        <v>93</v>
      </c>
      <c r="AC327" s="8" t="s">
        <v>93</v>
      </c>
      <c r="AD327" s="8" t="s">
        <v>93</v>
      </c>
      <c r="AE327" s="14" t="s">
        <v>112</v>
      </c>
      <c r="AF327" s="14" t="s">
        <v>92</v>
      </c>
      <c r="AG327" s="14" t="s">
        <v>95</v>
      </c>
      <c r="AH327" s="8" t="s">
        <v>105</v>
      </c>
      <c r="AI327" s="14" t="s">
        <v>92</v>
      </c>
      <c r="AJ327" s="14" t="s">
        <v>92</v>
      </c>
      <c r="AK327" s="14" t="s">
        <v>93</v>
      </c>
      <c r="AL327" s="14" t="s">
        <v>105</v>
      </c>
      <c r="AM327" s="8" t="s">
        <v>95</v>
      </c>
      <c r="AN327" s="14" t="s">
        <v>114</v>
      </c>
      <c r="AO327" s="8" t="s">
        <v>92</v>
      </c>
      <c r="AP327" s="8" t="s">
        <v>92</v>
      </c>
      <c r="AQ327" s="14" t="s">
        <v>92</v>
      </c>
      <c r="AR327" s="14" t="s">
        <v>92</v>
      </c>
      <c r="AS327" s="14" t="s">
        <v>93</v>
      </c>
      <c r="AT327" s="14" t="s">
        <v>93</v>
      </c>
      <c r="AU327" s="14" t="s">
        <v>93</v>
      </c>
      <c r="AV327" s="14" t="s">
        <v>93</v>
      </c>
      <c r="AW327" s="14" t="s">
        <v>93</v>
      </c>
      <c r="AX327" s="14" t="s">
        <v>92</v>
      </c>
      <c r="AY327" s="8" t="s">
        <v>1486</v>
      </c>
      <c r="AZ327" s="8" t="s">
        <v>92</v>
      </c>
      <c r="BA327" s="9" t="s">
        <v>1461</v>
      </c>
      <c r="BB327" s="8" t="s">
        <v>213</v>
      </c>
      <c r="BC327" s="8" t="s">
        <v>92</v>
      </c>
      <c r="BD327" s="14" t="s">
        <v>93</v>
      </c>
      <c r="BE327" s="14" t="s">
        <v>92</v>
      </c>
      <c r="BF327" s="14" t="s">
        <v>92</v>
      </c>
      <c r="BG327" s="14" t="s">
        <v>92</v>
      </c>
      <c r="BH327" s="14" t="s">
        <v>92</v>
      </c>
      <c r="BI327" s="14" t="s">
        <v>92</v>
      </c>
      <c r="BJ327" s="14" t="s">
        <v>92</v>
      </c>
      <c r="BK327" s="14" t="s">
        <v>105</v>
      </c>
      <c r="BL327" s="14" t="s">
        <v>105</v>
      </c>
      <c r="BM327" s="14" t="s">
        <v>105</v>
      </c>
      <c r="BN327" s="14" t="s">
        <v>105</v>
      </c>
      <c r="BO327" s="14" t="s">
        <v>105</v>
      </c>
      <c r="BP327" s="14" t="s">
        <v>105</v>
      </c>
      <c r="BQ327" s="8" t="s">
        <v>92</v>
      </c>
      <c r="BR327" s="8" t="s">
        <v>92</v>
      </c>
      <c r="BS327" s="8" t="s">
        <v>93</v>
      </c>
      <c r="BT327" s="8" t="s">
        <v>93</v>
      </c>
      <c r="BU327" s="8" t="s">
        <v>92</v>
      </c>
      <c r="BV327" s="8" t="s">
        <v>92</v>
      </c>
      <c r="BW327" s="8" t="s">
        <v>92</v>
      </c>
      <c r="BX327" s="8" t="s">
        <v>92</v>
      </c>
      <c r="BY327" s="8" t="s">
        <v>92</v>
      </c>
      <c r="BZ327" s="8" t="s">
        <v>93</v>
      </c>
      <c r="CA327" s="8" t="s">
        <v>92</v>
      </c>
      <c r="CB327" s="20" t="s">
        <v>106</v>
      </c>
      <c r="CC327" s="17"/>
      <c r="CD327" s="18"/>
      <c r="CE327" s="18"/>
      <c r="CF327" s="18"/>
      <c r="CG327" s="18"/>
      <c r="CH327" s="18"/>
    </row>
    <row r="328">
      <c r="A328" s="8"/>
      <c r="B328" s="9" t="s">
        <v>1461</v>
      </c>
      <c r="C328" s="10" t="s">
        <v>1462</v>
      </c>
      <c r="D328" s="9" t="s">
        <v>87</v>
      </c>
      <c r="E328" s="11" t="s">
        <v>1487</v>
      </c>
      <c r="F328" s="12"/>
      <c r="G328" s="14" t="s">
        <v>1488</v>
      </c>
      <c r="H328" s="14" t="s">
        <v>90</v>
      </c>
      <c r="I328" s="14" t="s">
        <v>1489</v>
      </c>
      <c r="J328" s="14" t="s">
        <v>92</v>
      </c>
      <c r="K328" s="14" t="s">
        <v>93</v>
      </c>
      <c r="L328" s="14" t="s">
        <v>93</v>
      </c>
      <c r="M328" s="14" t="s">
        <v>92</v>
      </c>
      <c r="N328" s="14" t="s">
        <v>92</v>
      </c>
      <c r="O328" s="14" t="s">
        <v>92</v>
      </c>
      <c r="P328" s="14" t="s">
        <v>92</v>
      </c>
      <c r="Q328" s="14" t="s">
        <v>92</v>
      </c>
      <c r="R328" s="14" t="s">
        <v>92</v>
      </c>
      <c r="S328" s="14" t="s">
        <v>93</v>
      </c>
      <c r="T328" s="14" t="s">
        <v>92</v>
      </c>
      <c r="U328" s="14" t="s">
        <v>92</v>
      </c>
      <c r="V328" s="14" t="s">
        <v>92</v>
      </c>
      <c r="W328" s="14" t="s">
        <v>92</v>
      </c>
      <c r="X328" s="14" t="s">
        <v>92</v>
      </c>
      <c r="Y328" s="14" t="s">
        <v>92</v>
      </c>
      <c r="Z328" s="14" t="s">
        <v>93</v>
      </c>
      <c r="AA328" s="14" t="s">
        <v>92</v>
      </c>
      <c r="AB328" s="8" t="s">
        <v>93</v>
      </c>
      <c r="AC328" s="8" t="s">
        <v>93</v>
      </c>
      <c r="AD328" s="8" t="s">
        <v>92</v>
      </c>
      <c r="AE328" s="14" t="s">
        <v>231</v>
      </c>
      <c r="AF328" s="14" t="s">
        <v>93</v>
      </c>
      <c r="AG328" s="14" t="s">
        <v>1490</v>
      </c>
      <c r="AH328" s="8" t="s">
        <v>105</v>
      </c>
      <c r="AI328" s="14" t="s">
        <v>92</v>
      </c>
      <c r="AJ328" s="14" t="s">
        <v>92</v>
      </c>
      <c r="AK328" s="14" t="s">
        <v>93</v>
      </c>
      <c r="AL328" s="14" t="s">
        <v>105</v>
      </c>
      <c r="AM328" s="8" t="s">
        <v>95</v>
      </c>
      <c r="AN328" s="14" t="s">
        <v>114</v>
      </c>
      <c r="AO328" s="8" t="s">
        <v>92</v>
      </c>
      <c r="AP328" s="8" t="s">
        <v>92</v>
      </c>
      <c r="AQ328" s="14" t="s">
        <v>92</v>
      </c>
      <c r="AR328" s="14" t="s">
        <v>92</v>
      </c>
      <c r="AS328" s="14" t="s">
        <v>93</v>
      </c>
      <c r="AT328" s="14" t="s">
        <v>93</v>
      </c>
      <c r="AU328" s="14" t="s">
        <v>93</v>
      </c>
      <c r="AV328" s="14" t="s">
        <v>93</v>
      </c>
      <c r="AW328" s="14" t="s">
        <v>93</v>
      </c>
      <c r="AX328" s="14" t="s">
        <v>92</v>
      </c>
      <c r="AY328" s="8" t="s">
        <v>95</v>
      </c>
      <c r="AZ328" s="8" t="s">
        <v>95</v>
      </c>
      <c r="BA328" s="9" t="s">
        <v>1461</v>
      </c>
      <c r="BB328" s="8" t="s">
        <v>213</v>
      </c>
      <c r="BC328" s="8" t="s">
        <v>92</v>
      </c>
      <c r="BD328" s="14" t="s">
        <v>93</v>
      </c>
      <c r="BE328" s="14" t="s">
        <v>92</v>
      </c>
      <c r="BF328" s="14" t="s">
        <v>92</v>
      </c>
      <c r="BG328" s="14" t="s">
        <v>92</v>
      </c>
      <c r="BH328" s="14" t="s">
        <v>92</v>
      </c>
      <c r="BI328" s="14" t="s">
        <v>92</v>
      </c>
      <c r="BJ328" s="14" t="s">
        <v>92</v>
      </c>
      <c r="BK328" s="14" t="s">
        <v>332</v>
      </c>
      <c r="BL328" s="14" t="s">
        <v>92</v>
      </c>
      <c r="BM328" s="14" t="s">
        <v>92</v>
      </c>
      <c r="BN328" s="14" t="s">
        <v>92</v>
      </c>
      <c r="BO328" s="14" t="s">
        <v>93</v>
      </c>
      <c r="BP328" s="14" t="s">
        <v>92</v>
      </c>
      <c r="BQ328" s="8" t="s">
        <v>92</v>
      </c>
      <c r="BR328" s="8" t="s">
        <v>92</v>
      </c>
      <c r="BS328" s="8" t="s">
        <v>93</v>
      </c>
      <c r="BT328" s="8" t="s">
        <v>93</v>
      </c>
      <c r="BU328" s="8" t="s">
        <v>92</v>
      </c>
      <c r="BV328" s="8" t="s">
        <v>92</v>
      </c>
      <c r="BW328" s="8" t="s">
        <v>92</v>
      </c>
      <c r="BX328" s="8" t="s">
        <v>92</v>
      </c>
      <c r="BY328" s="8" t="s">
        <v>92</v>
      </c>
      <c r="BZ328" s="8" t="s">
        <v>93</v>
      </c>
      <c r="CA328" s="8" t="s">
        <v>92</v>
      </c>
      <c r="CB328" s="20" t="s">
        <v>106</v>
      </c>
      <c r="CC328" s="17"/>
      <c r="CD328" s="18"/>
      <c r="CE328" s="18"/>
      <c r="CF328" s="18"/>
      <c r="CG328" s="18"/>
      <c r="CH328" s="18"/>
    </row>
    <row r="329">
      <c r="A329" s="8"/>
      <c r="B329" s="28" t="s">
        <v>1491</v>
      </c>
      <c r="C329" s="10" t="s">
        <v>1492</v>
      </c>
      <c r="D329" s="9" t="s">
        <v>87</v>
      </c>
      <c r="E329" s="11" t="s">
        <v>1493</v>
      </c>
      <c r="F329" s="10" t="s">
        <v>187</v>
      </c>
      <c r="G329" s="9" t="s">
        <v>188</v>
      </c>
      <c r="H329" s="14" t="s">
        <v>189</v>
      </c>
      <c r="I329" s="13" t="s">
        <v>1494</v>
      </c>
      <c r="J329" s="13" t="s">
        <v>92</v>
      </c>
      <c r="K329" s="14" t="s">
        <v>92</v>
      </c>
      <c r="L329" s="14" t="s">
        <v>92</v>
      </c>
      <c r="M329" s="14" t="s">
        <v>93</v>
      </c>
      <c r="N329" s="14" t="s">
        <v>92</v>
      </c>
      <c r="O329" s="14" t="s">
        <v>92</v>
      </c>
      <c r="P329" s="14" t="s">
        <v>92</v>
      </c>
      <c r="Q329" s="14" t="s">
        <v>93</v>
      </c>
      <c r="R329" s="14" t="s">
        <v>92</v>
      </c>
      <c r="S329" s="13" t="s">
        <v>92</v>
      </c>
      <c r="T329" s="13" t="s">
        <v>92</v>
      </c>
      <c r="U329" s="13" t="s">
        <v>93</v>
      </c>
      <c r="V329" s="13" t="s">
        <v>92</v>
      </c>
      <c r="W329" s="13" t="s">
        <v>92</v>
      </c>
      <c r="X329" s="13" t="s">
        <v>92</v>
      </c>
      <c r="Y329" s="13" t="s">
        <v>92</v>
      </c>
      <c r="Z329" s="14" t="s">
        <v>92</v>
      </c>
      <c r="AA329" s="14" t="s">
        <v>92</v>
      </c>
      <c r="AB329" s="15" t="s">
        <v>93</v>
      </c>
      <c r="AC329" s="15" t="s">
        <v>92</v>
      </c>
      <c r="AD329" s="15" t="s">
        <v>92</v>
      </c>
      <c r="AE329" s="13" t="s">
        <v>94</v>
      </c>
      <c r="AF329" s="13" t="s">
        <v>93</v>
      </c>
      <c r="AG329" s="13" t="s">
        <v>1495</v>
      </c>
      <c r="AH329" s="8" t="s">
        <v>105</v>
      </c>
      <c r="AI329" s="13" t="s">
        <v>92</v>
      </c>
      <c r="AJ329" s="13" t="s">
        <v>93</v>
      </c>
      <c r="AK329" s="13" t="s">
        <v>93</v>
      </c>
      <c r="AL329" s="14" t="s">
        <v>93</v>
      </c>
      <c r="AM329" s="8" t="s">
        <v>95</v>
      </c>
      <c r="AN329" s="14" t="s">
        <v>114</v>
      </c>
      <c r="AO329" s="15" t="s">
        <v>93</v>
      </c>
      <c r="AP329" s="15" t="s">
        <v>93</v>
      </c>
      <c r="AQ329" s="14" t="s">
        <v>93</v>
      </c>
      <c r="AR329" s="13" t="s">
        <v>93</v>
      </c>
      <c r="AS329" s="13" t="s">
        <v>93</v>
      </c>
      <c r="AT329" s="13" t="s">
        <v>93</v>
      </c>
      <c r="AU329" s="13" t="s">
        <v>93</v>
      </c>
      <c r="AV329" s="13" t="s">
        <v>93</v>
      </c>
      <c r="AW329" s="13" t="s">
        <v>93</v>
      </c>
      <c r="AX329" s="13" t="s">
        <v>92</v>
      </c>
      <c r="AY329" s="15" t="s">
        <v>95</v>
      </c>
      <c r="AZ329" s="15" t="s">
        <v>95</v>
      </c>
      <c r="BA329" s="9" t="s">
        <v>1496</v>
      </c>
      <c r="BB329" s="8" t="s">
        <v>533</v>
      </c>
      <c r="BC329" s="15" t="s">
        <v>92</v>
      </c>
      <c r="BD329" s="13" t="s">
        <v>92</v>
      </c>
      <c r="BE329" s="13" t="s">
        <v>92</v>
      </c>
      <c r="BF329" s="13" t="s">
        <v>92</v>
      </c>
      <c r="BG329" s="13" t="s">
        <v>92</v>
      </c>
      <c r="BH329" s="13" t="s">
        <v>92</v>
      </c>
      <c r="BI329" s="13" t="s">
        <v>93</v>
      </c>
      <c r="BJ329" s="13" t="s">
        <v>92</v>
      </c>
      <c r="BK329" s="14" t="s">
        <v>105</v>
      </c>
      <c r="BL329" s="14" t="s">
        <v>105</v>
      </c>
      <c r="BM329" s="14" t="s">
        <v>105</v>
      </c>
      <c r="BN329" s="14" t="s">
        <v>105</v>
      </c>
      <c r="BO329" s="14" t="s">
        <v>105</v>
      </c>
      <c r="BP329" s="14" t="s">
        <v>105</v>
      </c>
      <c r="BQ329" s="15" t="s">
        <v>93</v>
      </c>
      <c r="BR329" s="15" t="s">
        <v>92</v>
      </c>
      <c r="BS329" s="15" t="s">
        <v>92</v>
      </c>
      <c r="BT329" s="15" t="s">
        <v>92</v>
      </c>
      <c r="BU329" s="15" t="s">
        <v>92</v>
      </c>
      <c r="BV329" s="15" t="s">
        <v>92</v>
      </c>
      <c r="BW329" s="15" t="s">
        <v>92</v>
      </c>
      <c r="BX329" s="15" t="s">
        <v>92</v>
      </c>
      <c r="BY329" s="15" t="s">
        <v>92</v>
      </c>
      <c r="BZ329" s="15" t="s">
        <v>92</v>
      </c>
      <c r="CA329" s="15" t="s">
        <v>92</v>
      </c>
      <c r="CB329" s="17" t="s">
        <v>1497</v>
      </c>
      <c r="CC329" s="17" t="s">
        <v>1195</v>
      </c>
      <c r="CD329" s="18"/>
      <c r="CE329" s="18"/>
      <c r="CF329" s="18"/>
      <c r="CG329" s="18"/>
      <c r="CH329" s="14"/>
    </row>
    <row r="330">
      <c r="A330" s="8"/>
      <c r="B330" s="16" t="s">
        <v>1491</v>
      </c>
      <c r="C330" s="10" t="s">
        <v>1492</v>
      </c>
      <c r="D330" s="9" t="s">
        <v>87</v>
      </c>
      <c r="E330" s="11" t="s">
        <v>1498</v>
      </c>
      <c r="F330" s="12"/>
      <c r="G330" s="13" t="s">
        <v>1499</v>
      </c>
      <c r="H330" s="13" t="s">
        <v>90</v>
      </c>
      <c r="I330" s="13" t="s">
        <v>1500</v>
      </c>
      <c r="J330" s="14" t="s">
        <v>92</v>
      </c>
      <c r="K330" s="14" t="s">
        <v>92</v>
      </c>
      <c r="L330" s="14" t="s">
        <v>93</v>
      </c>
      <c r="M330" s="14" t="s">
        <v>92</v>
      </c>
      <c r="N330" s="14" t="s">
        <v>92</v>
      </c>
      <c r="O330" s="14" t="s">
        <v>92</v>
      </c>
      <c r="P330" s="14" t="s">
        <v>92</v>
      </c>
      <c r="Q330" s="14" t="s">
        <v>92</v>
      </c>
      <c r="R330" s="14" t="s">
        <v>92</v>
      </c>
      <c r="S330" s="13" t="s">
        <v>93</v>
      </c>
      <c r="T330" s="13" t="s">
        <v>92</v>
      </c>
      <c r="U330" s="13" t="s">
        <v>92</v>
      </c>
      <c r="V330" s="13" t="s">
        <v>92</v>
      </c>
      <c r="W330" s="13" t="s">
        <v>92</v>
      </c>
      <c r="X330" s="13" t="s">
        <v>92</v>
      </c>
      <c r="Y330" s="13" t="s">
        <v>92</v>
      </c>
      <c r="Z330" s="14" t="s">
        <v>93</v>
      </c>
      <c r="AA330" s="14" t="s">
        <v>92</v>
      </c>
      <c r="AB330" s="15" t="s">
        <v>92</v>
      </c>
      <c r="AC330" s="15" t="s">
        <v>93</v>
      </c>
      <c r="AD330" s="15" t="s">
        <v>92</v>
      </c>
      <c r="AE330" s="14" t="s">
        <v>112</v>
      </c>
      <c r="AF330" s="13" t="s">
        <v>92</v>
      </c>
      <c r="AG330" s="13" t="s">
        <v>95</v>
      </c>
      <c r="AH330" s="8" t="s">
        <v>105</v>
      </c>
      <c r="AI330" s="13" t="s">
        <v>93</v>
      </c>
      <c r="AJ330" s="13" t="s">
        <v>92</v>
      </c>
      <c r="AK330" s="13" t="s">
        <v>93</v>
      </c>
      <c r="AL330" s="13" t="s">
        <v>92</v>
      </c>
      <c r="AM330" s="8" t="s">
        <v>105</v>
      </c>
      <c r="AN330" s="14" t="s">
        <v>105</v>
      </c>
      <c r="AO330" s="8" t="s">
        <v>92</v>
      </c>
      <c r="AP330" s="15" t="s">
        <v>92</v>
      </c>
      <c r="AQ330" s="14" t="s">
        <v>93</v>
      </c>
      <c r="AR330" s="13" t="s">
        <v>93</v>
      </c>
      <c r="AS330" s="13" t="s">
        <v>93</v>
      </c>
      <c r="AT330" s="13" t="s">
        <v>93</v>
      </c>
      <c r="AU330" s="13" t="s">
        <v>93</v>
      </c>
      <c r="AV330" s="13" t="s">
        <v>93</v>
      </c>
      <c r="AW330" s="13" t="s">
        <v>93</v>
      </c>
      <c r="AX330" s="13" t="s">
        <v>92</v>
      </c>
      <c r="AY330" s="15" t="s">
        <v>95</v>
      </c>
      <c r="AZ330" s="15" t="s">
        <v>95</v>
      </c>
      <c r="BA330" s="16" t="s">
        <v>1491</v>
      </c>
      <c r="BB330" s="8" t="s">
        <v>155</v>
      </c>
      <c r="BC330" s="15" t="s">
        <v>92</v>
      </c>
      <c r="BD330" s="13" t="s">
        <v>93</v>
      </c>
      <c r="BE330" s="13" t="s">
        <v>92</v>
      </c>
      <c r="BF330" s="13" t="s">
        <v>92</v>
      </c>
      <c r="BG330" s="13" t="s">
        <v>92</v>
      </c>
      <c r="BH330" s="13" t="s">
        <v>92</v>
      </c>
      <c r="BI330" s="13" t="s">
        <v>92</v>
      </c>
      <c r="BJ330" s="13" t="s">
        <v>92</v>
      </c>
      <c r="BK330" s="14" t="s">
        <v>1501</v>
      </c>
      <c r="BL330" s="13" t="s">
        <v>92</v>
      </c>
      <c r="BM330" s="13" t="s">
        <v>92</v>
      </c>
      <c r="BN330" s="13" t="s">
        <v>92</v>
      </c>
      <c r="BO330" s="13" t="s">
        <v>93</v>
      </c>
      <c r="BP330" s="13" t="s">
        <v>93</v>
      </c>
      <c r="BQ330" s="15" t="s">
        <v>92</v>
      </c>
      <c r="BR330" s="15" t="s">
        <v>92</v>
      </c>
      <c r="BS330" s="15" t="s">
        <v>92</v>
      </c>
      <c r="BT330" s="15" t="s">
        <v>93</v>
      </c>
      <c r="BU330" s="15" t="s">
        <v>92</v>
      </c>
      <c r="BV330" s="15" t="s">
        <v>93</v>
      </c>
      <c r="BW330" s="15" t="s">
        <v>92</v>
      </c>
      <c r="BX330" s="8" t="s">
        <v>92</v>
      </c>
      <c r="BY330" s="15" t="s">
        <v>92</v>
      </c>
      <c r="BZ330" s="8" t="s">
        <v>93</v>
      </c>
      <c r="CA330" s="15" t="s">
        <v>92</v>
      </c>
      <c r="CB330" s="17" t="s">
        <v>1195</v>
      </c>
      <c r="CC330" s="17"/>
      <c r="CD330" s="18"/>
      <c r="CE330" s="18"/>
      <c r="CF330" s="18"/>
      <c r="CG330" s="18"/>
      <c r="CH330" s="14"/>
    </row>
    <row r="331">
      <c r="A331" s="8"/>
      <c r="B331" s="16" t="s">
        <v>1491</v>
      </c>
      <c r="C331" s="10" t="s">
        <v>1492</v>
      </c>
      <c r="D331" s="9" t="s">
        <v>87</v>
      </c>
      <c r="E331" s="11" t="s">
        <v>1502</v>
      </c>
      <c r="F331" s="25"/>
      <c r="G331" s="16" t="s">
        <v>1503</v>
      </c>
      <c r="H331" s="13" t="s">
        <v>90</v>
      </c>
      <c r="I331" s="13" t="s">
        <v>1504</v>
      </c>
      <c r="J331" s="13" t="s">
        <v>92</v>
      </c>
      <c r="K331" s="14" t="s">
        <v>92</v>
      </c>
      <c r="L331" s="14" t="s">
        <v>93</v>
      </c>
      <c r="M331" s="14" t="s">
        <v>93</v>
      </c>
      <c r="N331" s="14" t="s">
        <v>92</v>
      </c>
      <c r="O331" s="14" t="s">
        <v>92</v>
      </c>
      <c r="P331" s="14" t="s">
        <v>93</v>
      </c>
      <c r="Q331" s="14" t="s">
        <v>92</v>
      </c>
      <c r="R331" s="14" t="s">
        <v>93</v>
      </c>
      <c r="S331" s="13" t="s">
        <v>92</v>
      </c>
      <c r="T331" s="14" t="s">
        <v>92</v>
      </c>
      <c r="U331" s="13" t="s">
        <v>92</v>
      </c>
      <c r="V331" s="13" t="s">
        <v>92</v>
      </c>
      <c r="W331" s="13" t="s">
        <v>92</v>
      </c>
      <c r="X331" s="13" t="s">
        <v>92</v>
      </c>
      <c r="Y331" s="13" t="s">
        <v>93</v>
      </c>
      <c r="Z331" s="14" t="s">
        <v>93</v>
      </c>
      <c r="AA331" s="14" t="s">
        <v>92</v>
      </c>
      <c r="AB331" s="15" t="s">
        <v>93</v>
      </c>
      <c r="AC331" s="15" t="s">
        <v>93</v>
      </c>
      <c r="AD331" s="15" t="s">
        <v>92</v>
      </c>
      <c r="AE331" s="14" t="s">
        <v>112</v>
      </c>
      <c r="AF331" s="13" t="s">
        <v>92</v>
      </c>
      <c r="AG331" s="13" t="s">
        <v>95</v>
      </c>
      <c r="AH331" s="8">
        <v>2006.0</v>
      </c>
      <c r="AI331" s="14" t="s">
        <v>93</v>
      </c>
      <c r="AJ331" s="13" t="s">
        <v>93</v>
      </c>
      <c r="AK331" s="13" t="s">
        <v>93</v>
      </c>
      <c r="AL331" s="13" t="s">
        <v>92</v>
      </c>
      <c r="AM331" s="8" t="s">
        <v>105</v>
      </c>
      <c r="AN331" s="14" t="s">
        <v>105</v>
      </c>
      <c r="AO331" s="15" t="s">
        <v>93</v>
      </c>
      <c r="AP331" s="15" t="s">
        <v>92</v>
      </c>
      <c r="AQ331" s="14" t="s">
        <v>93</v>
      </c>
      <c r="AR331" s="13" t="s">
        <v>93</v>
      </c>
      <c r="AS331" s="13" t="s">
        <v>93</v>
      </c>
      <c r="AT331" s="13" t="s">
        <v>93</v>
      </c>
      <c r="AU331" s="13" t="s">
        <v>93</v>
      </c>
      <c r="AV331" s="13" t="s">
        <v>93</v>
      </c>
      <c r="AW331" s="13" t="s">
        <v>93</v>
      </c>
      <c r="AX331" s="13" t="s">
        <v>92</v>
      </c>
      <c r="AY331" s="15" t="s">
        <v>1505</v>
      </c>
      <c r="AZ331" s="15" t="s">
        <v>93</v>
      </c>
      <c r="BA331" s="16" t="s">
        <v>1506</v>
      </c>
      <c r="BB331" s="8" t="s">
        <v>95</v>
      </c>
      <c r="BC331" s="15" t="s">
        <v>93</v>
      </c>
      <c r="BD331" s="14" t="s">
        <v>93</v>
      </c>
      <c r="BE331" s="13" t="s">
        <v>92</v>
      </c>
      <c r="BF331" s="13" t="s">
        <v>92</v>
      </c>
      <c r="BG331" s="13" t="s">
        <v>92</v>
      </c>
      <c r="BH331" s="13" t="s">
        <v>92</v>
      </c>
      <c r="BI331" s="13" t="s">
        <v>93</v>
      </c>
      <c r="BJ331" s="13" t="s">
        <v>92</v>
      </c>
      <c r="BK331" s="14" t="s">
        <v>1501</v>
      </c>
      <c r="BL331" s="13" t="s">
        <v>92</v>
      </c>
      <c r="BM331" s="13" t="s">
        <v>92</v>
      </c>
      <c r="BN331" s="13" t="s">
        <v>92</v>
      </c>
      <c r="BO331" s="13" t="s">
        <v>93</v>
      </c>
      <c r="BP331" s="13" t="s">
        <v>93</v>
      </c>
      <c r="BQ331" s="8" t="s">
        <v>92</v>
      </c>
      <c r="BR331" s="8" t="s">
        <v>92</v>
      </c>
      <c r="BS331" s="15" t="s">
        <v>93</v>
      </c>
      <c r="BT331" s="8" t="s">
        <v>93</v>
      </c>
      <c r="BU331" s="8" t="s">
        <v>93</v>
      </c>
      <c r="BV331" s="8" t="s">
        <v>93</v>
      </c>
      <c r="BW331" s="15" t="s">
        <v>92</v>
      </c>
      <c r="BX331" s="15" t="s">
        <v>92</v>
      </c>
      <c r="BY331" s="15" t="s">
        <v>92</v>
      </c>
      <c r="BZ331" s="8" t="s">
        <v>93</v>
      </c>
      <c r="CA331" s="8" t="s">
        <v>93</v>
      </c>
      <c r="CB331" s="17" t="s">
        <v>1195</v>
      </c>
      <c r="CC331" s="17" t="s">
        <v>1507</v>
      </c>
      <c r="CD331" s="18"/>
      <c r="CE331" s="18"/>
      <c r="CF331" s="18"/>
      <c r="CG331" s="18"/>
      <c r="CH331" s="14"/>
    </row>
    <row r="332">
      <c r="A332" s="8"/>
      <c r="B332" s="16" t="s">
        <v>1491</v>
      </c>
      <c r="C332" s="10" t="s">
        <v>1492</v>
      </c>
      <c r="D332" s="9" t="s">
        <v>87</v>
      </c>
      <c r="E332" s="11" t="s">
        <v>1508</v>
      </c>
      <c r="F332" s="12"/>
      <c r="G332" s="14" t="s">
        <v>1509</v>
      </c>
      <c r="H332" s="14" t="s">
        <v>90</v>
      </c>
      <c r="I332" s="14" t="s">
        <v>1510</v>
      </c>
      <c r="J332" s="14" t="s">
        <v>92</v>
      </c>
      <c r="K332" s="14" t="s">
        <v>92</v>
      </c>
      <c r="L332" s="14" t="s">
        <v>92</v>
      </c>
      <c r="M332" s="14" t="s">
        <v>92</v>
      </c>
      <c r="N332" s="14" t="s">
        <v>92</v>
      </c>
      <c r="O332" s="14" t="s">
        <v>92</v>
      </c>
      <c r="P332" s="14" t="s">
        <v>92</v>
      </c>
      <c r="Q332" s="14" t="s">
        <v>92</v>
      </c>
      <c r="R332" s="14" t="s">
        <v>92</v>
      </c>
      <c r="S332" s="14" t="s">
        <v>92</v>
      </c>
      <c r="T332" s="14" t="s">
        <v>92</v>
      </c>
      <c r="U332" s="14" t="s">
        <v>92</v>
      </c>
      <c r="V332" s="14" t="s">
        <v>92</v>
      </c>
      <c r="W332" s="14" t="s">
        <v>92</v>
      </c>
      <c r="X332" s="14" t="s">
        <v>92</v>
      </c>
      <c r="Y332" s="14" t="s">
        <v>92</v>
      </c>
      <c r="Z332" s="14" t="s">
        <v>93</v>
      </c>
      <c r="AA332" s="14" t="s">
        <v>92</v>
      </c>
      <c r="AB332" s="8" t="s">
        <v>92</v>
      </c>
      <c r="AC332" s="8" t="s">
        <v>93</v>
      </c>
      <c r="AD332" s="8" t="s">
        <v>92</v>
      </c>
      <c r="AE332" s="14" t="s">
        <v>112</v>
      </c>
      <c r="AF332" s="14" t="s">
        <v>92</v>
      </c>
      <c r="AG332" s="14" t="s">
        <v>95</v>
      </c>
      <c r="AH332" s="15">
        <v>2022.0</v>
      </c>
      <c r="AI332" s="14" t="s">
        <v>92</v>
      </c>
      <c r="AJ332" s="14" t="s">
        <v>92</v>
      </c>
      <c r="AK332" s="14" t="s">
        <v>93</v>
      </c>
      <c r="AL332" s="14" t="s">
        <v>93</v>
      </c>
      <c r="AM332" s="8" t="s">
        <v>95</v>
      </c>
      <c r="AN332" s="14" t="s">
        <v>114</v>
      </c>
      <c r="AO332" s="8" t="s">
        <v>93</v>
      </c>
      <c r="AP332" s="8" t="s">
        <v>92</v>
      </c>
      <c r="AQ332" s="14" t="s">
        <v>93</v>
      </c>
      <c r="AR332" s="13" t="s">
        <v>93</v>
      </c>
      <c r="AS332" s="13" t="s">
        <v>93</v>
      </c>
      <c r="AT332" s="13" t="s">
        <v>93</v>
      </c>
      <c r="AU332" s="13" t="s">
        <v>93</v>
      </c>
      <c r="AV332" s="13" t="s">
        <v>93</v>
      </c>
      <c r="AW332" s="13" t="s">
        <v>93</v>
      </c>
      <c r="AX332" s="13" t="s">
        <v>92</v>
      </c>
      <c r="AY332" s="15" t="s">
        <v>95</v>
      </c>
      <c r="AZ332" s="15" t="s">
        <v>95</v>
      </c>
      <c r="BA332" s="16" t="s">
        <v>1491</v>
      </c>
      <c r="BB332" s="8" t="s">
        <v>155</v>
      </c>
      <c r="BC332" s="15" t="s">
        <v>92</v>
      </c>
      <c r="BD332" s="14" t="s">
        <v>93</v>
      </c>
      <c r="BE332" s="14" t="s">
        <v>92</v>
      </c>
      <c r="BF332" s="14" t="s">
        <v>92</v>
      </c>
      <c r="BG332" s="14" t="s">
        <v>92</v>
      </c>
      <c r="BH332" s="14" t="s">
        <v>92</v>
      </c>
      <c r="BI332" s="14" t="s">
        <v>92</v>
      </c>
      <c r="BJ332" s="14" t="s">
        <v>92</v>
      </c>
      <c r="BK332" s="14" t="s">
        <v>1501</v>
      </c>
      <c r="BL332" s="13" t="s">
        <v>92</v>
      </c>
      <c r="BM332" s="13" t="s">
        <v>92</v>
      </c>
      <c r="BN332" s="13" t="s">
        <v>92</v>
      </c>
      <c r="BO332" s="13" t="s">
        <v>93</v>
      </c>
      <c r="BP332" s="13" t="s">
        <v>93</v>
      </c>
      <c r="BQ332" s="8" t="s">
        <v>92</v>
      </c>
      <c r="BR332" s="8" t="s">
        <v>92</v>
      </c>
      <c r="BS332" s="8" t="s">
        <v>92</v>
      </c>
      <c r="BT332" s="8" t="s">
        <v>93</v>
      </c>
      <c r="BU332" s="8" t="s">
        <v>92</v>
      </c>
      <c r="BV332" s="8" t="s">
        <v>92</v>
      </c>
      <c r="BW332" s="8" t="s">
        <v>92</v>
      </c>
      <c r="BX332" s="8" t="s">
        <v>92</v>
      </c>
      <c r="BY332" s="8" t="s">
        <v>92</v>
      </c>
      <c r="BZ332" s="8" t="s">
        <v>92</v>
      </c>
      <c r="CA332" s="8" t="s">
        <v>92</v>
      </c>
      <c r="CB332" s="39" t="s">
        <v>321</v>
      </c>
      <c r="CC332" s="18"/>
      <c r="CD332" s="18"/>
      <c r="CE332" s="18"/>
      <c r="CF332" s="18"/>
      <c r="CG332" s="18"/>
      <c r="CH332" s="14"/>
    </row>
    <row r="333">
      <c r="A333" s="8"/>
      <c r="B333" s="16" t="s">
        <v>1491</v>
      </c>
      <c r="C333" s="10" t="s">
        <v>1492</v>
      </c>
      <c r="D333" s="9" t="s">
        <v>87</v>
      </c>
      <c r="E333" s="11" t="s">
        <v>1511</v>
      </c>
      <c r="F333" s="12"/>
      <c r="G333" s="14" t="s">
        <v>1512</v>
      </c>
      <c r="H333" s="13" t="s">
        <v>90</v>
      </c>
      <c r="I333" s="13" t="s">
        <v>1513</v>
      </c>
      <c r="J333" s="13" t="s">
        <v>92</v>
      </c>
      <c r="K333" s="14" t="s">
        <v>92</v>
      </c>
      <c r="L333" s="14" t="s">
        <v>93</v>
      </c>
      <c r="M333" s="14" t="s">
        <v>92</v>
      </c>
      <c r="N333" s="14" t="s">
        <v>92</v>
      </c>
      <c r="O333" s="14" t="s">
        <v>92</v>
      </c>
      <c r="P333" s="14" t="s">
        <v>92</v>
      </c>
      <c r="Q333" s="14" t="s">
        <v>92</v>
      </c>
      <c r="R333" s="14" t="s">
        <v>92</v>
      </c>
      <c r="S333" s="13" t="s">
        <v>93</v>
      </c>
      <c r="T333" s="13" t="s">
        <v>92</v>
      </c>
      <c r="U333" s="13" t="s">
        <v>92</v>
      </c>
      <c r="V333" s="13" t="s">
        <v>92</v>
      </c>
      <c r="W333" s="13" t="s">
        <v>92</v>
      </c>
      <c r="X333" s="13" t="s">
        <v>92</v>
      </c>
      <c r="Y333" s="13" t="s">
        <v>92</v>
      </c>
      <c r="Z333" s="14" t="s">
        <v>93</v>
      </c>
      <c r="AA333" s="14" t="s">
        <v>92</v>
      </c>
      <c r="AB333" s="15" t="s">
        <v>92</v>
      </c>
      <c r="AC333" s="15" t="s">
        <v>93</v>
      </c>
      <c r="AD333" s="15" t="s">
        <v>92</v>
      </c>
      <c r="AE333" s="14" t="s">
        <v>112</v>
      </c>
      <c r="AF333" s="13" t="s">
        <v>92</v>
      </c>
      <c r="AG333" s="13" t="s">
        <v>95</v>
      </c>
      <c r="AH333" s="15">
        <v>2022.0</v>
      </c>
      <c r="AI333" s="13" t="s">
        <v>92</v>
      </c>
      <c r="AJ333" s="13" t="s">
        <v>92</v>
      </c>
      <c r="AK333" s="13" t="s">
        <v>93</v>
      </c>
      <c r="AL333" s="14" t="s">
        <v>93</v>
      </c>
      <c r="AM333" s="8" t="s">
        <v>95</v>
      </c>
      <c r="AN333" s="14" t="s">
        <v>114</v>
      </c>
      <c r="AO333" s="8" t="s">
        <v>93</v>
      </c>
      <c r="AP333" s="15" t="s">
        <v>92</v>
      </c>
      <c r="AQ333" s="14" t="s">
        <v>93</v>
      </c>
      <c r="AR333" s="13" t="s">
        <v>93</v>
      </c>
      <c r="AS333" s="13" t="s">
        <v>93</v>
      </c>
      <c r="AT333" s="13" t="s">
        <v>93</v>
      </c>
      <c r="AU333" s="13" t="s">
        <v>93</v>
      </c>
      <c r="AV333" s="13" t="s">
        <v>93</v>
      </c>
      <c r="AW333" s="13" t="s">
        <v>93</v>
      </c>
      <c r="AX333" s="13" t="s">
        <v>92</v>
      </c>
      <c r="AY333" s="15" t="s">
        <v>95</v>
      </c>
      <c r="AZ333" s="15" t="s">
        <v>95</v>
      </c>
      <c r="BA333" s="16" t="s">
        <v>1491</v>
      </c>
      <c r="BB333" s="8" t="s">
        <v>155</v>
      </c>
      <c r="BC333" s="15" t="s">
        <v>92</v>
      </c>
      <c r="BD333" s="13" t="s">
        <v>93</v>
      </c>
      <c r="BE333" s="13" t="s">
        <v>92</v>
      </c>
      <c r="BF333" s="13" t="s">
        <v>92</v>
      </c>
      <c r="BG333" s="13" t="s">
        <v>92</v>
      </c>
      <c r="BH333" s="13" t="s">
        <v>92</v>
      </c>
      <c r="BI333" s="13" t="s">
        <v>92</v>
      </c>
      <c r="BJ333" s="13" t="s">
        <v>92</v>
      </c>
      <c r="BK333" s="14" t="s">
        <v>1501</v>
      </c>
      <c r="BL333" s="13" t="s">
        <v>92</v>
      </c>
      <c r="BM333" s="13" t="s">
        <v>92</v>
      </c>
      <c r="BN333" s="13" t="s">
        <v>92</v>
      </c>
      <c r="BO333" s="13" t="s">
        <v>93</v>
      </c>
      <c r="BP333" s="13" t="s">
        <v>93</v>
      </c>
      <c r="BQ333" s="15" t="s">
        <v>92</v>
      </c>
      <c r="BR333" s="15" t="s">
        <v>92</v>
      </c>
      <c r="BS333" s="15" t="s">
        <v>92</v>
      </c>
      <c r="BT333" s="15" t="s">
        <v>93</v>
      </c>
      <c r="BU333" s="15" t="s">
        <v>92</v>
      </c>
      <c r="BV333" s="8" t="s">
        <v>92</v>
      </c>
      <c r="BW333" s="15" t="s">
        <v>92</v>
      </c>
      <c r="BX333" s="15" t="s">
        <v>92</v>
      </c>
      <c r="BY333" s="15" t="s">
        <v>92</v>
      </c>
      <c r="BZ333" s="8" t="s">
        <v>93</v>
      </c>
      <c r="CA333" s="15" t="s">
        <v>92</v>
      </c>
      <c r="CB333" s="17" t="s">
        <v>1195</v>
      </c>
      <c r="CC333" s="17" t="s">
        <v>1497</v>
      </c>
      <c r="CD333" s="18"/>
      <c r="CE333" s="18"/>
      <c r="CF333" s="18"/>
      <c r="CG333" s="18"/>
      <c r="CH333" s="14"/>
    </row>
    <row r="334">
      <c r="A334" s="8"/>
      <c r="B334" s="16" t="s">
        <v>1514</v>
      </c>
      <c r="C334" s="10" t="s">
        <v>1515</v>
      </c>
      <c r="D334" s="9" t="s">
        <v>87</v>
      </c>
      <c r="E334" s="11" t="s">
        <v>1516</v>
      </c>
      <c r="F334" s="10" t="s">
        <v>187</v>
      </c>
      <c r="G334" s="9" t="s">
        <v>188</v>
      </c>
      <c r="H334" s="14" t="s">
        <v>189</v>
      </c>
      <c r="I334" s="14" t="s">
        <v>1517</v>
      </c>
      <c r="J334" s="13" t="s">
        <v>92</v>
      </c>
      <c r="K334" s="13" t="s">
        <v>92</v>
      </c>
      <c r="L334" s="13" t="s">
        <v>93</v>
      </c>
      <c r="M334" s="13" t="s">
        <v>93</v>
      </c>
      <c r="N334" s="14" t="s">
        <v>92</v>
      </c>
      <c r="O334" s="13" t="s">
        <v>92</v>
      </c>
      <c r="P334" s="14" t="s">
        <v>92</v>
      </c>
      <c r="Q334" s="13" t="s">
        <v>92</v>
      </c>
      <c r="R334" s="13" t="s">
        <v>92</v>
      </c>
      <c r="S334" s="13" t="s">
        <v>92</v>
      </c>
      <c r="T334" s="13" t="s">
        <v>92</v>
      </c>
      <c r="U334" s="13" t="s">
        <v>93</v>
      </c>
      <c r="V334" s="13" t="s">
        <v>92</v>
      </c>
      <c r="W334" s="13" t="s">
        <v>92</v>
      </c>
      <c r="X334" s="13" t="s">
        <v>92</v>
      </c>
      <c r="Y334" s="13" t="s">
        <v>92</v>
      </c>
      <c r="Z334" s="13" t="s">
        <v>92</v>
      </c>
      <c r="AA334" s="14" t="s">
        <v>92</v>
      </c>
      <c r="AB334" s="15" t="s">
        <v>93</v>
      </c>
      <c r="AC334" s="8" t="s">
        <v>92</v>
      </c>
      <c r="AD334" s="15" t="s">
        <v>92</v>
      </c>
      <c r="AE334" s="13" t="s">
        <v>94</v>
      </c>
      <c r="AF334" s="13" t="s">
        <v>92</v>
      </c>
      <c r="AG334" s="13" t="s">
        <v>95</v>
      </c>
      <c r="AH334" s="8">
        <v>2021.0</v>
      </c>
      <c r="AI334" s="13" t="s">
        <v>92</v>
      </c>
      <c r="AJ334" s="13" t="s">
        <v>93</v>
      </c>
      <c r="AK334" s="14" t="s">
        <v>92</v>
      </c>
      <c r="AL334" s="14" t="s">
        <v>92</v>
      </c>
      <c r="AM334" s="8">
        <v>2021.0</v>
      </c>
      <c r="AN334" s="14" t="s">
        <v>96</v>
      </c>
      <c r="AO334" s="8" t="s">
        <v>92</v>
      </c>
      <c r="AP334" s="15" t="s">
        <v>92</v>
      </c>
      <c r="AQ334" s="13" t="s">
        <v>93</v>
      </c>
      <c r="AR334" s="13" t="s">
        <v>93</v>
      </c>
      <c r="AS334" s="13" t="s">
        <v>93</v>
      </c>
      <c r="AT334" s="13" t="s">
        <v>93</v>
      </c>
      <c r="AU334" s="13" t="s">
        <v>93</v>
      </c>
      <c r="AV334" s="13" t="s">
        <v>93</v>
      </c>
      <c r="AW334" s="13" t="s">
        <v>93</v>
      </c>
      <c r="AX334" s="13" t="s">
        <v>93</v>
      </c>
      <c r="AY334" s="15" t="s">
        <v>95</v>
      </c>
      <c r="AZ334" s="15" t="s">
        <v>93</v>
      </c>
      <c r="BA334" s="9" t="s">
        <v>1518</v>
      </c>
      <c r="BB334" s="8" t="s">
        <v>155</v>
      </c>
      <c r="BC334" s="15" t="s">
        <v>92</v>
      </c>
      <c r="BD334" s="13" t="s">
        <v>92</v>
      </c>
      <c r="BE334" s="13" t="s">
        <v>92</v>
      </c>
      <c r="BF334" s="13" t="s">
        <v>92</v>
      </c>
      <c r="BG334" s="13" t="s">
        <v>92</v>
      </c>
      <c r="BH334" s="13" t="s">
        <v>92</v>
      </c>
      <c r="BI334" s="13" t="s">
        <v>93</v>
      </c>
      <c r="BJ334" s="13" t="s">
        <v>92</v>
      </c>
      <c r="BK334" s="14" t="s">
        <v>156</v>
      </c>
      <c r="BL334" s="13" t="s">
        <v>92</v>
      </c>
      <c r="BM334" s="13" t="s">
        <v>92</v>
      </c>
      <c r="BN334" s="13" t="s">
        <v>92</v>
      </c>
      <c r="BO334" s="13" t="s">
        <v>92</v>
      </c>
      <c r="BP334" s="13" t="s">
        <v>93</v>
      </c>
      <c r="BQ334" s="15" t="s">
        <v>93</v>
      </c>
      <c r="BR334" s="15" t="s">
        <v>92</v>
      </c>
      <c r="BS334" s="15" t="s">
        <v>92</v>
      </c>
      <c r="BT334" s="15" t="s">
        <v>92</v>
      </c>
      <c r="BU334" s="15" t="s">
        <v>92</v>
      </c>
      <c r="BV334" s="15" t="s">
        <v>92</v>
      </c>
      <c r="BW334" s="15" t="s">
        <v>92</v>
      </c>
      <c r="BX334" s="15" t="s">
        <v>92</v>
      </c>
      <c r="BY334" s="15" t="s">
        <v>92</v>
      </c>
      <c r="BZ334" s="15" t="s">
        <v>92</v>
      </c>
      <c r="CA334" s="15" t="s">
        <v>92</v>
      </c>
      <c r="CB334" s="17" t="s">
        <v>115</v>
      </c>
      <c r="CC334" s="18"/>
      <c r="CE334" s="18"/>
      <c r="CF334" s="18"/>
      <c r="CG334" s="18"/>
      <c r="CH334" s="14"/>
    </row>
    <row r="335">
      <c r="A335" s="8"/>
      <c r="B335" s="16" t="s">
        <v>1514</v>
      </c>
      <c r="C335" s="10" t="s">
        <v>1515</v>
      </c>
      <c r="D335" s="9" t="s">
        <v>87</v>
      </c>
      <c r="E335" s="11" t="s">
        <v>1519</v>
      </c>
      <c r="F335" s="10" t="s">
        <v>187</v>
      </c>
      <c r="G335" s="9" t="s">
        <v>188</v>
      </c>
      <c r="H335" s="14" t="s">
        <v>189</v>
      </c>
      <c r="I335" s="14" t="s">
        <v>1520</v>
      </c>
      <c r="J335" s="14" t="s">
        <v>92</v>
      </c>
      <c r="K335" s="14" t="s">
        <v>92</v>
      </c>
      <c r="L335" s="14" t="s">
        <v>92</v>
      </c>
      <c r="M335" s="14" t="s">
        <v>92</v>
      </c>
      <c r="N335" s="14" t="s">
        <v>92</v>
      </c>
      <c r="O335" s="14" t="s">
        <v>92</v>
      </c>
      <c r="P335" s="14" t="s">
        <v>92</v>
      </c>
      <c r="Q335" s="14" t="s">
        <v>92</v>
      </c>
      <c r="R335" s="14" t="s">
        <v>92</v>
      </c>
      <c r="S335" s="13" t="s">
        <v>92</v>
      </c>
      <c r="T335" s="13" t="s">
        <v>92</v>
      </c>
      <c r="U335" s="13" t="s">
        <v>93</v>
      </c>
      <c r="V335" s="13" t="s">
        <v>92</v>
      </c>
      <c r="W335" s="13" t="s">
        <v>92</v>
      </c>
      <c r="X335" s="13" t="s">
        <v>92</v>
      </c>
      <c r="Y335" s="13" t="s">
        <v>92</v>
      </c>
      <c r="Z335" s="13" t="s">
        <v>92</v>
      </c>
      <c r="AA335" s="14" t="s">
        <v>92</v>
      </c>
      <c r="AB335" s="8" t="s">
        <v>93</v>
      </c>
      <c r="AC335" s="8" t="s">
        <v>92</v>
      </c>
      <c r="AD335" s="8" t="s">
        <v>92</v>
      </c>
      <c r="AE335" s="14" t="s">
        <v>94</v>
      </c>
      <c r="AF335" s="14" t="s">
        <v>92</v>
      </c>
      <c r="AG335" s="13" t="s">
        <v>95</v>
      </c>
      <c r="AH335" s="8">
        <v>2023.0</v>
      </c>
      <c r="AI335" s="14" t="s">
        <v>92</v>
      </c>
      <c r="AJ335" s="14" t="s">
        <v>92</v>
      </c>
      <c r="AK335" s="14" t="s">
        <v>92</v>
      </c>
      <c r="AL335" s="14" t="s">
        <v>93</v>
      </c>
      <c r="AM335" s="8">
        <v>2023.0</v>
      </c>
      <c r="AN335" s="14" t="s">
        <v>96</v>
      </c>
      <c r="AO335" s="8" t="s">
        <v>92</v>
      </c>
      <c r="AP335" s="15" t="s">
        <v>92</v>
      </c>
      <c r="AQ335" s="13" t="s">
        <v>93</v>
      </c>
      <c r="AR335" s="13" t="s">
        <v>93</v>
      </c>
      <c r="AS335" s="13" t="s">
        <v>93</v>
      </c>
      <c r="AT335" s="13" t="s">
        <v>93</v>
      </c>
      <c r="AU335" s="13" t="s">
        <v>93</v>
      </c>
      <c r="AV335" s="13" t="s">
        <v>93</v>
      </c>
      <c r="AW335" s="13" t="s">
        <v>93</v>
      </c>
      <c r="AX335" s="13" t="s">
        <v>93</v>
      </c>
      <c r="AY335" s="15" t="s">
        <v>95</v>
      </c>
      <c r="AZ335" s="15" t="s">
        <v>93</v>
      </c>
      <c r="BA335" s="9" t="s">
        <v>1518</v>
      </c>
      <c r="BB335" s="8" t="s">
        <v>155</v>
      </c>
      <c r="BC335" s="15" t="s">
        <v>92</v>
      </c>
      <c r="BD335" s="13" t="s">
        <v>92</v>
      </c>
      <c r="BE335" s="13" t="s">
        <v>92</v>
      </c>
      <c r="BF335" s="13" t="s">
        <v>92</v>
      </c>
      <c r="BG335" s="13" t="s">
        <v>92</v>
      </c>
      <c r="BH335" s="13" t="s">
        <v>92</v>
      </c>
      <c r="BI335" s="13" t="s">
        <v>93</v>
      </c>
      <c r="BJ335" s="13" t="s">
        <v>92</v>
      </c>
      <c r="BK335" s="14" t="s">
        <v>156</v>
      </c>
      <c r="BL335" s="13" t="s">
        <v>92</v>
      </c>
      <c r="BM335" s="13" t="s">
        <v>92</v>
      </c>
      <c r="BN335" s="13" t="s">
        <v>92</v>
      </c>
      <c r="BO335" s="13" t="s">
        <v>92</v>
      </c>
      <c r="BP335" s="13" t="s">
        <v>93</v>
      </c>
      <c r="BQ335" s="15" t="s">
        <v>93</v>
      </c>
      <c r="BR335" s="15" t="s">
        <v>92</v>
      </c>
      <c r="BS335" s="15" t="s">
        <v>92</v>
      </c>
      <c r="BT335" s="15" t="s">
        <v>92</v>
      </c>
      <c r="BU335" s="15" t="s">
        <v>92</v>
      </c>
      <c r="BV335" s="15" t="s">
        <v>92</v>
      </c>
      <c r="BW335" s="15" t="s">
        <v>92</v>
      </c>
      <c r="BX335" s="15" t="s">
        <v>92</v>
      </c>
      <c r="BY335" s="15" t="s">
        <v>92</v>
      </c>
      <c r="BZ335" s="15" t="s">
        <v>92</v>
      </c>
      <c r="CA335" s="15" t="s">
        <v>92</v>
      </c>
      <c r="CB335" s="17" t="s">
        <v>116</v>
      </c>
      <c r="CC335" s="18"/>
      <c r="CD335" s="18"/>
      <c r="CE335" s="18"/>
      <c r="CF335" s="18"/>
      <c r="CG335" s="18"/>
      <c r="CH335" s="14"/>
    </row>
    <row r="336">
      <c r="A336" s="8"/>
      <c r="B336" s="16" t="s">
        <v>1514</v>
      </c>
      <c r="C336" s="10" t="s">
        <v>1515</v>
      </c>
      <c r="D336" s="9" t="s">
        <v>87</v>
      </c>
      <c r="E336" s="11" t="s">
        <v>1521</v>
      </c>
      <c r="F336" s="12"/>
      <c r="G336" s="14" t="s">
        <v>1362</v>
      </c>
      <c r="H336" s="13" t="s">
        <v>90</v>
      </c>
      <c r="I336" s="14" t="s">
        <v>1522</v>
      </c>
      <c r="J336" s="13" t="s">
        <v>92</v>
      </c>
      <c r="K336" s="13" t="s">
        <v>92</v>
      </c>
      <c r="L336" s="14" t="s">
        <v>92</v>
      </c>
      <c r="M336" s="13" t="s">
        <v>93</v>
      </c>
      <c r="N336" s="14" t="s">
        <v>92</v>
      </c>
      <c r="O336" s="13" t="s">
        <v>92</v>
      </c>
      <c r="P336" s="14" t="s">
        <v>92</v>
      </c>
      <c r="Q336" s="13" t="s">
        <v>92</v>
      </c>
      <c r="R336" s="13" t="s">
        <v>92</v>
      </c>
      <c r="S336" s="13" t="s">
        <v>92</v>
      </c>
      <c r="T336" s="13" t="s">
        <v>92</v>
      </c>
      <c r="U336" s="13" t="s">
        <v>93</v>
      </c>
      <c r="V336" s="13" t="s">
        <v>92</v>
      </c>
      <c r="W336" s="13" t="s">
        <v>92</v>
      </c>
      <c r="X336" s="13" t="s">
        <v>92</v>
      </c>
      <c r="Y336" s="13" t="s">
        <v>92</v>
      </c>
      <c r="Z336" s="13" t="s">
        <v>92</v>
      </c>
      <c r="AA336" s="14" t="s">
        <v>92</v>
      </c>
      <c r="AB336" s="15" t="s">
        <v>93</v>
      </c>
      <c r="AC336" s="15" t="s">
        <v>92</v>
      </c>
      <c r="AD336" s="15" t="s">
        <v>92</v>
      </c>
      <c r="AE336" s="13" t="s">
        <v>94</v>
      </c>
      <c r="AF336" s="13" t="s">
        <v>92</v>
      </c>
      <c r="AG336" s="13" t="s">
        <v>95</v>
      </c>
      <c r="AH336" s="8"/>
      <c r="AI336" s="13" t="s">
        <v>92</v>
      </c>
      <c r="AJ336" s="13" t="s">
        <v>92</v>
      </c>
      <c r="AK336" s="13" t="s">
        <v>93</v>
      </c>
      <c r="AL336" s="13" t="s">
        <v>93</v>
      </c>
      <c r="AM336" s="8" t="s">
        <v>105</v>
      </c>
      <c r="AN336" s="14" t="s">
        <v>105</v>
      </c>
      <c r="AO336" s="8" t="s">
        <v>93</v>
      </c>
      <c r="AP336" s="15" t="s">
        <v>92</v>
      </c>
      <c r="AQ336" s="13" t="s">
        <v>93</v>
      </c>
      <c r="AR336" s="13" t="s">
        <v>93</v>
      </c>
      <c r="AS336" s="13" t="s">
        <v>93</v>
      </c>
      <c r="AT336" s="13" t="s">
        <v>93</v>
      </c>
      <c r="AU336" s="13" t="s">
        <v>93</v>
      </c>
      <c r="AV336" s="13" t="s">
        <v>93</v>
      </c>
      <c r="AW336" s="13" t="s">
        <v>93</v>
      </c>
      <c r="AX336" s="13" t="s">
        <v>93</v>
      </c>
      <c r="AY336" s="8" t="s">
        <v>95</v>
      </c>
      <c r="AZ336" s="8" t="s">
        <v>95</v>
      </c>
      <c r="BA336" s="16" t="s">
        <v>1523</v>
      </c>
      <c r="BB336" s="8" t="s">
        <v>105</v>
      </c>
      <c r="BC336" s="8" t="s">
        <v>105</v>
      </c>
      <c r="BD336" s="13" t="s">
        <v>92</v>
      </c>
      <c r="BE336" s="13" t="s">
        <v>92</v>
      </c>
      <c r="BF336" s="13" t="s">
        <v>92</v>
      </c>
      <c r="BG336" s="13" t="s">
        <v>92</v>
      </c>
      <c r="BH336" s="13" t="s">
        <v>92</v>
      </c>
      <c r="BI336" s="13" t="s">
        <v>93</v>
      </c>
      <c r="BJ336" s="13" t="s">
        <v>92</v>
      </c>
      <c r="BK336" s="14" t="s">
        <v>156</v>
      </c>
      <c r="BL336" s="13" t="s">
        <v>92</v>
      </c>
      <c r="BM336" s="13" t="s">
        <v>92</v>
      </c>
      <c r="BN336" s="13" t="s">
        <v>92</v>
      </c>
      <c r="BO336" s="13" t="s">
        <v>92</v>
      </c>
      <c r="BP336" s="13" t="s">
        <v>93</v>
      </c>
      <c r="BQ336" s="15" t="s">
        <v>93</v>
      </c>
      <c r="BR336" s="15" t="s">
        <v>92</v>
      </c>
      <c r="BS336" s="15" t="s">
        <v>92</v>
      </c>
      <c r="BT336" s="15" t="s">
        <v>92</v>
      </c>
      <c r="BU336" s="15" t="s">
        <v>92</v>
      </c>
      <c r="BV336" s="15" t="s">
        <v>92</v>
      </c>
      <c r="BW336" s="15" t="s">
        <v>92</v>
      </c>
      <c r="BX336" s="15" t="s">
        <v>92</v>
      </c>
      <c r="BY336" s="15" t="s">
        <v>92</v>
      </c>
      <c r="BZ336" s="15" t="s">
        <v>92</v>
      </c>
      <c r="CA336" s="15" t="s">
        <v>92</v>
      </c>
      <c r="CB336" s="17" t="s">
        <v>106</v>
      </c>
      <c r="CC336" s="17" t="s">
        <v>116</v>
      </c>
      <c r="CD336" s="18"/>
      <c r="CE336" s="18"/>
      <c r="CF336" s="18"/>
      <c r="CG336" s="18"/>
      <c r="CH336" s="14"/>
    </row>
    <row r="337">
      <c r="A337" s="8"/>
      <c r="B337" s="28" t="s">
        <v>1514</v>
      </c>
      <c r="C337" s="10" t="s">
        <v>1515</v>
      </c>
      <c r="D337" s="9" t="s">
        <v>87</v>
      </c>
      <c r="E337" s="11" t="s">
        <v>1524</v>
      </c>
      <c r="F337" s="12"/>
      <c r="G337" s="13" t="s">
        <v>1525</v>
      </c>
      <c r="H337" s="13" t="s">
        <v>90</v>
      </c>
      <c r="I337" s="13" t="s">
        <v>1526</v>
      </c>
      <c r="J337" s="13" t="s">
        <v>92</v>
      </c>
      <c r="K337" s="13" t="s">
        <v>92</v>
      </c>
      <c r="L337" s="14" t="s">
        <v>92</v>
      </c>
      <c r="M337" s="14" t="s">
        <v>92</v>
      </c>
      <c r="N337" s="14" t="s">
        <v>92</v>
      </c>
      <c r="O337" s="13" t="s">
        <v>92</v>
      </c>
      <c r="P337" s="14" t="s">
        <v>92</v>
      </c>
      <c r="Q337" s="13" t="s">
        <v>92</v>
      </c>
      <c r="R337" s="13" t="s">
        <v>92</v>
      </c>
      <c r="S337" s="13" t="s">
        <v>92</v>
      </c>
      <c r="T337" s="13" t="s">
        <v>92</v>
      </c>
      <c r="U337" s="13" t="s">
        <v>93</v>
      </c>
      <c r="V337" s="13" t="s">
        <v>92</v>
      </c>
      <c r="W337" s="13" t="s">
        <v>92</v>
      </c>
      <c r="X337" s="13" t="s">
        <v>92</v>
      </c>
      <c r="Y337" s="13" t="s">
        <v>92</v>
      </c>
      <c r="Z337" s="13" t="s">
        <v>92</v>
      </c>
      <c r="AA337" s="14" t="s">
        <v>92</v>
      </c>
      <c r="AB337" s="15" t="s">
        <v>93</v>
      </c>
      <c r="AC337" s="15" t="s">
        <v>92</v>
      </c>
      <c r="AD337" s="15" t="s">
        <v>92</v>
      </c>
      <c r="AE337" s="13" t="s">
        <v>94</v>
      </c>
      <c r="AF337" s="13" t="s">
        <v>92</v>
      </c>
      <c r="AG337" s="13" t="s">
        <v>95</v>
      </c>
      <c r="AH337" s="8" t="s">
        <v>105</v>
      </c>
      <c r="AI337" s="13" t="s">
        <v>92</v>
      </c>
      <c r="AJ337" s="13" t="s">
        <v>92</v>
      </c>
      <c r="AK337" s="13" t="s">
        <v>93</v>
      </c>
      <c r="AL337" s="13" t="s">
        <v>92</v>
      </c>
      <c r="AM337" s="8" t="s">
        <v>105</v>
      </c>
      <c r="AN337" s="14" t="s">
        <v>105</v>
      </c>
      <c r="AO337" s="8" t="s">
        <v>105</v>
      </c>
      <c r="AP337" s="15" t="s">
        <v>92</v>
      </c>
      <c r="AQ337" s="13" t="s">
        <v>93</v>
      </c>
      <c r="AR337" s="13" t="s">
        <v>93</v>
      </c>
      <c r="AS337" s="13" t="s">
        <v>93</v>
      </c>
      <c r="AT337" s="13" t="s">
        <v>93</v>
      </c>
      <c r="AU337" s="13" t="s">
        <v>93</v>
      </c>
      <c r="AV337" s="13" t="s">
        <v>93</v>
      </c>
      <c r="AW337" s="13" t="s">
        <v>93</v>
      </c>
      <c r="AX337" s="13" t="s">
        <v>93</v>
      </c>
      <c r="AY337" s="15" t="s">
        <v>1527</v>
      </c>
      <c r="AZ337" s="15" t="s">
        <v>92</v>
      </c>
      <c r="BA337" s="16" t="s">
        <v>1528</v>
      </c>
      <c r="BB337" s="8" t="s">
        <v>95</v>
      </c>
      <c r="BC337" s="8" t="s">
        <v>93</v>
      </c>
      <c r="BD337" s="13" t="s">
        <v>92</v>
      </c>
      <c r="BE337" s="13" t="s">
        <v>92</v>
      </c>
      <c r="BF337" s="13" t="s">
        <v>92</v>
      </c>
      <c r="BG337" s="13" t="s">
        <v>92</v>
      </c>
      <c r="BH337" s="13" t="s">
        <v>92</v>
      </c>
      <c r="BI337" s="13" t="s">
        <v>93</v>
      </c>
      <c r="BJ337" s="13" t="s">
        <v>92</v>
      </c>
      <c r="BK337" s="16" t="s">
        <v>776</v>
      </c>
      <c r="BL337" s="13" t="s">
        <v>105</v>
      </c>
      <c r="BM337" s="13" t="s">
        <v>105</v>
      </c>
      <c r="BN337" s="13" t="s">
        <v>105</v>
      </c>
      <c r="BO337" s="13" t="s">
        <v>105</v>
      </c>
      <c r="BP337" s="13" t="s">
        <v>105</v>
      </c>
      <c r="BQ337" s="15" t="s">
        <v>93</v>
      </c>
      <c r="BR337" s="15" t="s">
        <v>92</v>
      </c>
      <c r="BS337" s="15" t="s">
        <v>92</v>
      </c>
      <c r="BT337" s="15" t="s">
        <v>92</v>
      </c>
      <c r="BU337" s="15" t="s">
        <v>92</v>
      </c>
      <c r="BV337" s="15" t="s">
        <v>92</v>
      </c>
      <c r="BW337" s="15" t="s">
        <v>92</v>
      </c>
      <c r="BX337" s="15" t="s">
        <v>92</v>
      </c>
      <c r="BY337" s="15" t="s">
        <v>92</v>
      </c>
      <c r="BZ337" s="15" t="s">
        <v>92</v>
      </c>
      <c r="CA337" s="15" t="s">
        <v>92</v>
      </c>
      <c r="CB337" s="17" t="s">
        <v>106</v>
      </c>
      <c r="CC337" s="18"/>
      <c r="CD337" s="18"/>
      <c r="CE337" s="18"/>
      <c r="CF337" s="18"/>
      <c r="CG337" s="18"/>
      <c r="CH337" s="14"/>
    </row>
    <row r="338">
      <c r="A338" s="8"/>
      <c r="B338" s="27" t="s">
        <v>1514</v>
      </c>
      <c r="C338" s="10" t="s">
        <v>1515</v>
      </c>
      <c r="D338" s="9" t="s">
        <v>87</v>
      </c>
      <c r="E338" s="11" t="s">
        <v>1529</v>
      </c>
      <c r="F338" s="12"/>
      <c r="G338" s="44" t="s">
        <v>1530</v>
      </c>
      <c r="H338" s="13" t="s">
        <v>90</v>
      </c>
      <c r="I338" s="13" t="s">
        <v>1531</v>
      </c>
      <c r="J338" s="13" t="s">
        <v>92</v>
      </c>
      <c r="K338" s="13" t="s">
        <v>92</v>
      </c>
      <c r="L338" s="13" t="s">
        <v>92</v>
      </c>
      <c r="M338" s="13" t="s">
        <v>92</v>
      </c>
      <c r="N338" s="14" t="s">
        <v>93</v>
      </c>
      <c r="O338" s="13" t="s">
        <v>92</v>
      </c>
      <c r="P338" s="13" t="s">
        <v>92</v>
      </c>
      <c r="Q338" s="13" t="s">
        <v>92</v>
      </c>
      <c r="R338" s="13" t="s">
        <v>92</v>
      </c>
      <c r="S338" s="13" t="s">
        <v>92</v>
      </c>
      <c r="T338" s="13" t="s">
        <v>93</v>
      </c>
      <c r="U338" s="13" t="s">
        <v>92</v>
      </c>
      <c r="V338" s="13" t="s">
        <v>92</v>
      </c>
      <c r="W338" s="13" t="s">
        <v>92</v>
      </c>
      <c r="X338" s="13" t="s">
        <v>92</v>
      </c>
      <c r="Y338" s="13" t="s">
        <v>92</v>
      </c>
      <c r="Z338" s="13" t="s">
        <v>92</v>
      </c>
      <c r="AA338" s="14" t="s">
        <v>92</v>
      </c>
      <c r="AB338" s="15" t="s">
        <v>93</v>
      </c>
      <c r="AC338" s="15" t="s">
        <v>92</v>
      </c>
      <c r="AD338" s="15" t="s">
        <v>92</v>
      </c>
      <c r="AE338" s="14" t="s">
        <v>103</v>
      </c>
      <c r="AF338" s="13" t="s">
        <v>92</v>
      </c>
      <c r="AG338" s="13" t="s">
        <v>95</v>
      </c>
      <c r="AH338" s="8" t="s">
        <v>105</v>
      </c>
      <c r="AI338" s="13" t="s">
        <v>92</v>
      </c>
      <c r="AJ338" s="13" t="s">
        <v>92</v>
      </c>
      <c r="AK338" s="13" t="s">
        <v>93</v>
      </c>
      <c r="AL338" s="13" t="s">
        <v>93</v>
      </c>
      <c r="AM338" s="8" t="s">
        <v>95</v>
      </c>
      <c r="AN338" s="14" t="s">
        <v>114</v>
      </c>
      <c r="AO338" s="15" t="s">
        <v>93</v>
      </c>
      <c r="AP338" s="15" t="s">
        <v>92</v>
      </c>
      <c r="AQ338" s="13" t="s">
        <v>93</v>
      </c>
      <c r="AR338" s="13" t="s">
        <v>93</v>
      </c>
      <c r="AS338" s="13" t="s">
        <v>93</v>
      </c>
      <c r="AT338" s="13" t="s">
        <v>93</v>
      </c>
      <c r="AU338" s="13" t="s">
        <v>93</v>
      </c>
      <c r="AV338" s="13" t="s">
        <v>93</v>
      </c>
      <c r="AW338" s="13" t="s">
        <v>93</v>
      </c>
      <c r="AX338" s="13" t="s">
        <v>93</v>
      </c>
      <c r="AY338" s="15" t="s">
        <v>95</v>
      </c>
      <c r="AZ338" s="15" t="s">
        <v>95</v>
      </c>
      <c r="BA338" s="16" t="s">
        <v>1532</v>
      </c>
      <c r="BB338" s="8" t="s">
        <v>155</v>
      </c>
      <c r="BC338" s="15" t="s">
        <v>92</v>
      </c>
      <c r="BD338" s="13" t="s">
        <v>92</v>
      </c>
      <c r="BE338" s="13" t="s">
        <v>92</v>
      </c>
      <c r="BF338" s="13" t="s">
        <v>92</v>
      </c>
      <c r="BG338" s="13" t="s">
        <v>92</v>
      </c>
      <c r="BH338" s="13" t="s">
        <v>92</v>
      </c>
      <c r="BI338" s="13" t="s">
        <v>93</v>
      </c>
      <c r="BJ338" s="13" t="s">
        <v>92</v>
      </c>
      <c r="BK338" s="14" t="s">
        <v>1533</v>
      </c>
      <c r="BL338" s="13" t="s">
        <v>93</v>
      </c>
      <c r="BM338" s="13" t="s">
        <v>92</v>
      </c>
      <c r="BN338" s="13" t="s">
        <v>92</v>
      </c>
      <c r="BO338" s="13" t="s">
        <v>92</v>
      </c>
      <c r="BP338" s="13" t="s">
        <v>93</v>
      </c>
      <c r="BQ338" s="15" t="s">
        <v>92</v>
      </c>
      <c r="BR338" s="15" t="s">
        <v>93</v>
      </c>
      <c r="BS338" s="15" t="s">
        <v>92</v>
      </c>
      <c r="BT338" s="15" t="s">
        <v>92</v>
      </c>
      <c r="BU338" s="15" t="s">
        <v>92</v>
      </c>
      <c r="BV338" s="15" t="s">
        <v>92</v>
      </c>
      <c r="BW338" s="15" t="s">
        <v>92</v>
      </c>
      <c r="BX338" s="15" t="s">
        <v>92</v>
      </c>
      <c r="BY338" s="15" t="s">
        <v>92</v>
      </c>
      <c r="BZ338" s="15" t="s">
        <v>92</v>
      </c>
      <c r="CA338" s="15" t="s">
        <v>92</v>
      </c>
      <c r="CB338" s="17" t="s">
        <v>106</v>
      </c>
      <c r="CC338" s="17" t="s">
        <v>116</v>
      </c>
      <c r="CD338" s="18"/>
      <c r="CE338" s="18"/>
      <c r="CF338" s="18"/>
      <c r="CG338" s="18"/>
      <c r="CH338" s="14"/>
    </row>
    <row r="339">
      <c r="A339" s="8"/>
      <c r="B339" s="16" t="s">
        <v>1514</v>
      </c>
      <c r="C339" s="10" t="s">
        <v>1515</v>
      </c>
      <c r="D339" s="9" t="s">
        <v>87</v>
      </c>
      <c r="E339" s="11" t="s">
        <v>1534</v>
      </c>
      <c r="F339" s="25"/>
      <c r="G339" s="9" t="s">
        <v>1535</v>
      </c>
      <c r="H339" s="14" t="s">
        <v>110</v>
      </c>
      <c r="I339" s="14" t="s">
        <v>1536</v>
      </c>
      <c r="J339" s="14" t="s">
        <v>92</v>
      </c>
      <c r="K339" s="14" t="s">
        <v>92</v>
      </c>
      <c r="L339" s="14" t="s">
        <v>93</v>
      </c>
      <c r="M339" s="14" t="s">
        <v>92</v>
      </c>
      <c r="N339" s="14" t="s">
        <v>92</v>
      </c>
      <c r="O339" s="14" t="s">
        <v>92</v>
      </c>
      <c r="P339" s="14" t="s">
        <v>92</v>
      </c>
      <c r="Q339" s="14" t="s">
        <v>92</v>
      </c>
      <c r="R339" s="14" t="s">
        <v>92</v>
      </c>
      <c r="S339" s="14" t="s">
        <v>93</v>
      </c>
      <c r="T339" s="14" t="s">
        <v>92</v>
      </c>
      <c r="U339" s="14" t="s">
        <v>92</v>
      </c>
      <c r="V339" s="14" t="s">
        <v>92</v>
      </c>
      <c r="W339" s="14" t="s">
        <v>92</v>
      </c>
      <c r="X339" s="14" t="s">
        <v>92</v>
      </c>
      <c r="Y339" s="14" t="s">
        <v>93</v>
      </c>
      <c r="Z339" s="14" t="s">
        <v>93</v>
      </c>
      <c r="AA339" s="14" t="s">
        <v>92</v>
      </c>
      <c r="AB339" s="8" t="s">
        <v>93</v>
      </c>
      <c r="AC339" s="8" t="s">
        <v>93</v>
      </c>
      <c r="AD339" s="8" t="s">
        <v>92</v>
      </c>
      <c r="AE339" s="14" t="s">
        <v>112</v>
      </c>
      <c r="AF339" s="13" t="s">
        <v>92</v>
      </c>
      <c r="AG339" s="13" t="s">
        <v>95</v>
      </c>
      <c r="AH339" s="8" t="s">
        <v>105</v>
      </c>
      <c r="AI339" s="13" t="s">
        <v>92</v>
      </c>
      <c r="AJ339" s="13" t="s">
        <v>92</v>
      </c>
      <c r="AK339" s="13" t="s">
        <v>93</v>
      </c>
      <c r="AL339" s="14" t="s">
        <v>92</v>
      </c>
      <c r="AM339" s="8" t="s">
        <v>105</v>
      </c>
      <c r="AN339" s="14" t="s">
        <v>105</v>
      </c>
      <c r="AO339" s="8" t="s">
        <v>105</v>
      </c>
      <c r="AP339" s="8" t="s">
        <v>92</v>
      </c>
      <c r="AQ339" s="13" t="s">
        <v>93</v>
      </c>
      <c r="AR339" s="13" t="s">
        <v>93</v>
      </c>
      <c r="AS339" s="13" t="s">
        <v>93</v>
      </c>
      <c r="AT339" s="13" t="s">
        <v>93</v>
      </c>
      <c r="AU339" s="13" t="s">
        <v>93</v>
      </c>
      <c r="AV339" s="13" t="s">
        <v>93</v>
      </c>
      <c r="AW339" s="13" t="s">
        <v>93</v>
      </c>
      <c r="AX339" s="13" t="s">
        <v>93</v>
      </c>
      <c r="AY339" s="15" t="s">
        <v>95</v>
      </c>
      <c r="AZ339" s="15" t="s">
        <v>95</v>
      </c>
      <c r="BA339" s="16" t="s">
        <v>1532</v>
      </c>
      <c r="BB339" s="8" t="s">
        <v>155</v>
      </c>
      <c r="BC339" s="15" t="s">
        <v>92</v>
      </c>
      <c r="BD339" s="14" t="s">
        <v>93</v>
      </c>
      <c r="BE339" s="14" t="s">
        <v>92</v>
      </c>
      <c r="BF339" s="14" t="s">
        <v>92</v>
      </c>
      <c r="BG339" s="14" t="s">
        <v>92</v>
      </c>
      <c r="BH339" s="14" t="s">
        <v>92</v>
      </c>
      <c r="BI339" s="14" t="s">
        <v>92</v>
      </c>
      <c r="BJ339" s="14" t="s">
        <v>92</v>
      </c>
      <c r="BK339" s="14" t="s">
        <v>1533</v>
      </c>
      <c r="BL339" s="13" t="s">
        <v>93</v>
      </c>
      <c r="BM339" s="13" t="s">
        <v>92</v>
      </c>
      <c r="BN339" s="13" t="s">
        <v>92</v>
      </c>
      <c r="BO339" s="13" t="s">
        <v>92</v>
      </c>
      <c r="BP339" s="13" t="s">
        <v>93</v>
      </c>
      <c r="BQ339" s="8" t="s">
        <v>92</v>
      </c>
      <c r="BR339" s="8" t="s">
        <v>92</v>
      </c>
      <c r="BS339" s="8" t="s">
        <v>93</v>
      </c>
      <c r="BT339" s="8" t="s">
        <v>93</v>
      </c>
      <c r="BU339" s="8" t="s">
        <v>92</v>
      </c>
      <c r="BV339" s="8" t="s">
        <v>93</v>
      </c>
      <c r="BW339" s="8" t="s">
        <v>92</v>
      </c>
      <c r="BX339" s="8" t="s">
        <v>92</v>
      </c>
      <c r="BY339" s="8" t="s">
        <v>92</v>
      </c>
      <c r="BZ339" s="8" t="s">
        <v>93</v>
      </c>
      <c r="CA339" s="8" t="s">
        <v>92</v>
      </c>
      <c r="CB339" s="17" t="s">
        <v>106</v>
      </c>
      <c r="CC339" s="31"/>
      <c r="CD339" s="18"/>
      <c r="CE339" s="18"/>
      <c r="CF339" s="18"/>
      <c r="CG339" s="18"/>
      <c r="CH339" s="14"/>
    </row>
    <row r="340" ht="15.0" customHeight="1">
      <c r="A340" s="8"/>
      <c r="B340" s="16" t="s">
        <v>1514</v>
      </c>
      <c r="C340" s="10" t="s">
        <v>1515</v>
      </c>
      <c r="D340" s="9" t="s">
        <v>87</v>
      </c>
      <c r="E340" s="11" t="s">
        <v>1537</v>
      </c>
      <c r="F340" s="12"/>
      <c r="G340" s="14" t="s">
        <v>1538</v>
      </c>
      <c r="H340" s="14" t="s">
        <v>90</v>
      </c>
      <c r="I340" s="14" t="s">
        <v>1539</v>
      </c>
      <c r="J340" s="14" t="s">
        <v>92</v>
      </c>
      <c r="K340" s="14" t="s">
        <v>92</v>
      </c>
      <c r="L340" s="14" t="s">
        <v>93</v>
      </c>
      <c r="M340" s="14" t="s">
        <v>92</v>
      </c>
      <c r="N340" s="14" t="s">
        <v>92</v>
      </c>
      <c r="O340" s="14" t="s">
        <v>92</v>
      </c>
      <c r="P340" s="14" t="s">
        <v>92</v>
      </c>
      <c r="Q340" s="14" t="s">
        <v>92</v>
      </c>
      <c r="R340" s="14" t="s">
        <v>92</v>
      </c>
      <c r="S340" s="14" t="s">
        <v>93</v>
      </c>
      <c r="T340" s="14" t="s">
        <v>92</v>
      </c>
      <c r="U340" s="14" t="s">
        <v>92</v>
      </c>
      <c r="V340" s="14" t="s">
        <v>92</v>
      </c>
      <c r="W340" s="14" t="s">
        <v>92</v>
      </c>
      <c r="X340" s="14" t="s">
        <v>92</v>
      </c>
      <c r="Y340" s="14" t="s">
        <v>92</v>
      </c>
      <c r="Z340" s="14" t="s">
        <v>93</v>
      </c>
      <c r="AA340" s="14" t="s">
        <v>92</v>
      </c>
      <c r="AB340" s="8" t="s">
        <v>93</v>
      </c>
      <c r="AC340" s="8" t="s">
        <v>93</v>
      </c>
      <c r="AD340" s="8" t="s">
        <v>92</v>
      </c>
      <c r="AE340" s="14" t="s">
        <v>112</v>
      </c>
      <c r="AF340" s="14" t="s">
        <v>92</v>
      </c>
      <c r="AG340" s="13" t="s">
        <v>95</v>
      </c>
      <c r="AH340" s="8">
        <v>2014.0</v>
      </c>
      <c r="AI340" s="13" t="s">
        <v>92</v>
      </c>
      <c r="AJ340" s="13" t="s">
        <v>92</v>
      </c>
      <c r="AK340" s="13" t="s">
        <v>93</v>
      </c>
      <c r="AL340" s="14" t="s">
        <v>93</v>
      </c>
      <c r="AM340" s="8" t="s">
        <v>95</v>
      </c>
      <c r="AN340" s="14" t="s">
        <v>114</v>
      </c>
      <c r="AO340" s="8" t="s">
        <v>93</v>
      </c>
      <c r="AP340" s="8" t="s">
        <v>92</v>
      </c>
      <c r="AQ340" s="13" t="s">
        <v>93</v>
      </c>
      <c r="AR340" s="13" t="s">
        <v>93</v>
      </c>
      <c r="AS340" s="13" t="s">
        <v>93</v>
      </c>
      <c r="AT340" s="13" t="s">
        <v>93</v>
      </c>
      <c r="AU340" s="13" t="s">
        <v>93</v>
      </c>
      <c r="AV340" s="13" t="s">
        <v>93</v>
      </c>
      <c r="AW340" s="13" t="s">
        <v>93</v>
      </c>
      <c r="AX340" s="13" t="s">
        <v>93</v>
      </c>
      <c r="AY340" s="15" t="s">
        <v>95</v>
      </c>
      <c r="AZ340" s="15" t="s">
        <v>95</v>
      </c>
      <c r="BA340" s="16" t="s">
        <v>1532</v>
      </c>
      <c r="BB340" s="8" t="s">
        <v>155</v>
      </c>
      <c r="BC340" s="15" t="s">
        <v>92</v>
      </c>
      <c r="BD340" s="14" t="s">
        <v>93</v>
      </c>
      <c r="BE340" s="14" t="s">
        <v>92</v>
      </c>
      <c r="BF340" s="14" t="s">
        <v>92</v>
      </c>
      <c r="BG340" s="14" t="s">
        <v>92</v>
      </c>
      <c r="BH340" s="14" t="s">
        <v>92</v>
      </c>
      <c r="BI340" s="14" t="s">
        <v>92</v>
      </c>
      <c r="BJ340" s="14" t="s">
        <v>92</v>
      </c>
      <c r="BK340" s="14" t="s">
        <v>156</v>
      </c>
      <c r="BL340" s="13" t="s">
        <v>93</v>
      </c>
      <c r="BM340" s="13" t="s">
        <v>92</v>
      </c>
      <c r="BN340" s="13" t="s">
        <v>92</v>
      </c>
      <c r="BO340" s="13" t="s">
        <v>92</v>
      </c>
      <c r="BP340" s="13" t="s">
        <v>93</v>
      </c>
      <c r="BQ340" s="8" t="s">
        <v>92</v>
      </c>
      <c r="BR340" s="8" t="s">
        <v>92</v>
      </c>
      <c r="BS340" s="8" t="s">
        <v>92</v>
      </c>
      <c r="BT340" s="8" t="s">
        <v>93</v>
      </c>
      <c r="BU340" s="8" t="s">
        <v>92</v>
      </c>
      <c r="BV340" s="8" t="s">
        <v>93</v>
      </c>
      <c r="BW340" s="8" t="s">
        <v>92</v>
      </c>
      <c r="BX340" s="8" t="s">
        <v>92</v>
      </c>
      <c r="BY340" s="8" t="s">
        <v>92</v>
      </c>
      <c r="BZ340" s="8" t="s">
        <v>93</v>
      </c>
      <c r="CA340" s="8" t="s">
        <v>92</v>
      </c>
      <c r="CB340" s="17" t="s">
        <v>106</v>
      </c>
      <c r="CC340" s="17"/>
      <c r="CD340" s="18"/>
      <c r="CE340" s="18"/>
      <c r="CF340" s="18"/>
      <c r="CG340" s="18"/>
      <c r="CH340" s="14"/>
    </row>
    <row r="341" ht="14.25" customHeight="1">
      <c r="A341" s="8"/>
      <c r="B341" s="16" t="s">
        <v>1514</v>
      </c>
      <c r="C341" s="10" t="s">
        <v>1515</v>
      </c>
      <c r="D341" s="9" t="s">
        <v>87</v>
      </c>
      <c r="E341" s="11" t="s">
        <v>1540</v>
      </c>
      <c r="F341" s="12"/>
      <c r="G341" s="14" t="s">
        <v>705</v>
      </c>
      <c r="H341" s="14" t="s">
        <v>90</v>
      </c>
      <c r="I341" s="14" t="s">
        <v>1541</v>
      </c>
      <c r="J341" s="14" t="s">
        <v>92</v>
      </c>
      <c r="K341" s="14" t="s">
        <v>92</v>
      </c>
      <c r="L341" s="14" t="s">
        <v>92</v>
      </c>
      <c r="M341" s="14" t="s">
        <v>92</v>
      </c>
      <c r="N341" s="14" t="s">
        <v>92</v>
      </c>
      <c r="O341" s="14" t="s">
        <v>92</v>
      </c>
      <c r="P341" s="14" t="s">
        <v>92</v>
      </c>
      <c r="Q341" s="14" t="s">
        <v>92</v>
      </c>
      <c r="R341" s="14" t="s">
        <v>92</v>
      </c>
      <c r="S341" s="14" t="s">
        <v>92</v>
      </c>
      <c r="T341" s="14" t="s">
        <v>92</v>
      </c>
      <c r="U341" s="14" t="s">
        <v>92</v>
      </c>
      <c r="V341" s="14" t="s">
        <v>92</v>
      </c>
      <c r="W341" s="14" t="s">
        <v>92</v>
      </c>
      <c r="X341" s="14" t="s">
        <v>92</v>
      </c>
      <c r="Y341" s="14" t="s">
        <v>92</v>
      </c>
      <c r="Z341" s="14" t="s">
        <v>93</v>
      </c>
      <c r="AA341" s="14" t="s">
        <v>92</v>
      </c>
      <c r="AB341" s="8" t="s">
        <v>92</v>
      </c>
      <c r="AC341" s="8" t="s">
        <v>93</v>
      </c>
      <c r="AD341" s="8" t="s">
        <v>92</v>
      </c>
      <c r="AE341" s="14" t="s">
        <v>112</v>
      </c>
      <c r="AF341" s="14" t="s">
        <v>92</v>
      </c>
      <c r="AG341" s="13" t="s">
        <v>95</v>
      </c>
      <c r="AH341" s="8" t="s">
        <v>105</v>
      </c>
      <c r="AI341" s="14" t="s">
        <v>92</v>
      </c>
      <c r="AJ341" s="14" t="s">
        <v>93</v>
      </c>
      <c r="AK341" s="14" t="s">
        <v>93</v>
      </c>
      <c r="AL341" s="14" t="s">
        <v>93</v>
      </c>
      <c r="AM341" s="8" t="s">
        <v>95</v>
      </c>
      <c r="AN341" s="14" t="s">
        <v>114</v>
      </c>
      <c r="AO341" s="8" t="s">
        <v>93</v>
      </c>
      <c r="AP341" s="8" t="s">
        <v>92</v>
      </c>
      <c r="AQ341" s="13" t="s">
        <v>93</v>
      </c>
      <c r="AR341" s="13" t="s">
        <v>93</v>
      </c>
      <c r="AS341" s="13" t="s">
        <v>93</v>
      </c>
      <c r="AT341" s="13" t="s">
        <v>93</v>
      </c>
      <c r="AU341" s="13" t="s">
        <v>93</v>
      </c>
      <c r="AV341" s="13" t="s">
        <v>93</v>
      </c>
      <c r="AW341" s="13" t="s">
        <v>93</v>
      </c>
      <c r="AX341" s="13" t="s">
        <v>93</v>
      </c>
      <c r="AY341" s="15" t="s">
        <v>95</v>
      </c>
      <c r="AZ341" s="15" t="s">
        <v>95</v>
      </c>
      <c r="BA341" s="16" t="s">
        <v>1532</v>
      </c>
      <c r="BB341" s="8" t="s">
        <v>155</v>
      </c>
      <c r="BC341" s="8" t="s">
        <v>92</v>
      </c>
      <c r="BD341" s="14" t="s">
        <v>93</v>
      </c>
      <c r="BE341" s="14" t="s">
        <v>92</v>
      </c>
      <c r="BF341" s="14" t="s">
        <v>92</v>
      </c>
      <c r="BG341" s="14" t="s">
        <v>92</v>
      </c>
      <c r="BH341" s="14" t="s">
        <v>92</v>
      </c>
      <c r="BI341" s="14" t="s">
        <v>92</v>
      </c>
      <c r="BJ341" s="14" t="s">
        <v>92</v>
      </c>
      <c r="BK341" s="14" t="s">
        <v>156</v>
      </c>
      <c r="BL341" s="13" t="s">
        <v>92</v>
      </c>
      <c r="BM341" s="13" t="s">
        <v>92</v>
      </c>
      <c r="BN341" s="13" t="s">
        <v>92</v>
      </c>
      <c r="BO341" s="13" t="s">
        <v>92</v>
      </c>
      <c r="BP341" s="13" t="s">
        <v>93</v>
      </c>
      <c r="BQ341" s="8" t="s">
        <v>92</v>
      </c>
      <c r="BR341" s="8" t="s">
        <v>92</v>
      </c>
      <c r="BS341" s="8" t="s">
        <v>92</v>
      </c>
      <c r="BT341" s="8" t="s">
        <v>93</v>
      </c>
      <c r="BU341" s="8" t="s">
        <v>92</v>
      </c>
      <c r="BV341" s="8" t="s">
        <v>93</v>
      </c>
      <c r="BW341" s="8" t="s">
        <v>92</v>
      </c>
      <c r="BX341" s="8" t="s">
        <v>93</v>
      </c>
      <c r="BY341" s="8" t="s">
        <v>93</v>
      </c>
      <c r="BZ341" s="8" t="s">
        <v>92</v>
      </c>
      <c r="CA341" s="8" t="s">
        <v>92</v>
      </c>
      <c r="CB341" s="17" t="s">
        <v>115</v>
      </c>
      <c r="CC341" s="17" t="s">
        <v>106</v>
      </c>
      <c r="CD341" s="17" t="s">
        <v>116</v>
      </c>
      <c r="CE341" s="34"/>
      <c r="CF341" s="18"/>
      <c r="CG341" s="18"/>
      <c r="CH341" s="14"/>
    </row>
    <row r="342">
      <c r="A342" s="8"/>
      <c r="B342" s="16" t="s">
        <v>1514</v>
      </c>
      <c r="C342" s="10" t="s">
        <v>1515</v>
      </c>
      <c r="D342" s="9" t="s">
        <v>87</v>
      </c>
      <c r="E342" s="11" t="s">
        <v>1542</v>
      </c>
      <c r="F342" s="25"/>
      <c r="G342" s="9" t="s">
        <v>1543</v>
      </c>
      <c r="H342" s="14" t="s">
        <v>90</v>
      </c>
      <c r="I342" s="14" t="s">
        <v>1544</v>
      </c>
      <c r="J342" s="14" t="s">
        <v>92</v>
      </c>
      <c r="K342" s="14" t="s">
        <v>92</v>
      </c>
      <c r="L342" s="14" t="s">
        <v>93</v>
      </c>
      <c r="M342" s="14" t="s">
        <v>92</v>
      </c>
      <c r="N342" s="14" t="s">
        <v>92</v>
      </c>
      <c r="O342" s="14" t="s">
        <v>92</v>
      </c>
      <c r="P342" s="14" t="s">
        <v>92</v>
      </c>
      <c r="Q342" s="14" t="s">
        <v>92</v>
      </c>
      <c r="R342" s="14" t="s">
        <v>92</v>
      </c>
      <c r="S342" s="14" t="s">
        <v>92</v>
      </c>
      <c r="T342" s="14" t="s">
        <v>92</v>
      </c>
      <c r="U342" s="14" t="s">
        <v>92</v>
      </c>
      <c r="V342" s="14" t="s">
        <v>92</v>
      </c>
      <c r="W342" s="14" t="s">
        <v>92</v>
      </c>
      <c r="X342" s="14" t="s">
        <v>92</v>
      </c>
      <c r="Y342" s="14" t="s">
        <v>93</v>
      </c>
      <c r="Z342" s="14" t="s">
        <v>93</v>
      </c>
      <c r="AA342" s="14" t="s">
        <v>92</v>
      </c>
      <c r="AB342" s="8" t="s">
        <v>93</v>
      </c>
      <c r="AC342" s="8" t="s">
        <v>93</v>
      </c>
      <c r="AD342" s="8" t="s">
        <v>92</v>
      </c>
      <c r="AE342" s="14" t="s">
        <v>112</v>
      </c>
      <c r="AF342" s="14" t="s">
        <v>92</v>
      </c>
      <c r="AG342" s="13" t="s">
        <v>95</v>
      </c>
      <c r="AH342" s="8">
        <v>2016.0</v>
      </c>
      <c r="AI342" s="14" t="s">
        <v>93</v>
      </c>
      <c r="AJ342" s="14" t="s">
        <v>93</v>
      </c>
      <c r="AK342" s="14" t="s">
        <v>93</v>
      </c>
      <c r="AL342" s="14" t="s">
        <v>93</v>
      </c>
      <c r="AM342" s="8" t="s">
        <v>95</v>
      </c>
      <c r="AN342" s="14" t="s">
        <v>114</v>
      </c>
      <c r="AO342" s="8" t="s">
        <v>93</v>
      </c>
      <c r="AP342" s="8" t="s">
        <v>92</v>
      </c>
      <c r="AQ342" s="13" t="s">
        <v>93</v>
      </c>
      <c r="AR342" s="13" t="s">
        <v>93</v>
      </c>
      <c r="AS342" s="13" t="s">
        <v>93</v>
      </c>
      <c r="AT342" s="13" t="s">
        <v>93</v>
      </c>
      <c r="AU342" s="13" t="s">
        <v>93</v>
      </c>
      <c r="AV342" s="13" t="s">
        <v>93</v>
      </c>
      <c r="AW342" s="13" t="s">
        <v>93</v>
      </c>
      <c r="AX342" s="13" t="s">
        <v>93</v>
      </c>
      <c r="AY342" s="15" t="s">
        <v>95</v>
      </c>
      <c r="AZ342" s="15" t="s">
        <v>95</v>
      </c>
      <c r="BA342" s="16" t="s">
        <v>1532</v>
      </c>
      <c r="BB342" s="8" t="s">
        <v>155</v>
      </c>
      <c r="BC342" s="8" t="s">
        <v>92</v>
      </c>
      <c r="BD342" s="14" t="s">
        <v>93</v>
      </c>
      <c r="BE342" s="14" t="s">
        <v>92</v>
      </c>
      <c r="BF342" s="14" t="s">
        <v>92</v>
      </c>
      <c r="BG342" s="14" t="s">
        <v>92</v>
      </c>
      <c r="BH342" s="14" t="s">
        <v>92</v>
      </c>
      <c r="BI342" s="14" t="s">
        <v>92</v>
      </c>
      <c r="BJ342" s="14" t="s">
        <v>92</v>
      </c>
      <c r="BK342" s="14" t="s">
        <v>453</v>
      </c>
      <c r="BL342" s="14" t="s">
        <v>92</v>
      </c>
      <c r="BM342" s="13" t="s">
        <v>92</v>
      </c>
      <c r="BN342" s="13" t="s">
        <v>92</v>
      </c>
      <c r="BO342" s="14" t="s">
        <v>93</v>
      </c>
      <c r="BP342" s="13" t="s">
        <v>93</v>
      </c>
      <c r="BQ342" s="8" t="s">
        <v>92</v>
      </c>
      <c r="BR342" s="8" t="s">
        <v>92</v>
      </c>
      <c r="BS342" s="8" t="s">
        <v>93</v>
      </c>
      <c r="BT342" s="8" t="s">
        <v>93</v>
      </c>
      <c r="BU342" s="8" t="s">
        <v>92</v>
      </c>
      <c r="BV342" s="8" t="s">
        <v>93</v>
      </c>
      <c r="BW342" s="8" t="s">
        <v>92</v>
      </c>
      <c r="BX342" s="8" t="s">
        <v>92</v>
      </c>
      <c r="BY342" s="8" t="s">
        <v>92</v>
      </c>
      <c r="BZ342" s="8" t="s">
        <v>93</v>
      </c>
      <c r="CA342" s="8" t="s">
        <v>92</v>
      </c>
      <c r="CB342" s="17" t="s">
        <v>178</v>
      </c>
      <c r="CC342" s="17" t="s">
        <v>115</v>
      </c>
      <c r="CD342" s="17" t="s">
        <v>106</v>
      </c>
      <c r="CE342" s="17" t="s">
        <v>116</v>
      </c>
      <c r="CF342" s="18"/>
      <c r="CG342" s="18"/>
      <c r="CH342" s="14"/>
    </row>
    <row r="343">
      <c r="A343" s="8"/>
      <c r="B343" s="16" t="s">
        <v>1545</v>
      </c>
      <c r="C343" s="10" t="s">
        <v>1546</v>
      </c>
      <c r="D343" s="9" t="s">
        <v>87</v>
      </c>
      <c r="E343" s="11" t="s">
        <v>1547</v>
      </c>
      <c r="F343" s="12"/>
      <c r="G343" s="14" t="s">
        <v>1378</v>
      </c>
      <c r="H343" s="13" t="s">
        <v>90</v>
      </c>
      <c r="I343" s="13" t="s">
        <v>1548</v>
      </c>
      <c r="J343" s="13" t="s">
        <v>92</v>
      </c>
      <c r="K343" s="14" t="s">
        <v>92</v>
      </c>
      <c r="L343" s="14" t="s">
        <v>92</v>
      </c>
      <c r="M343" s="14" t="s">
        <v>92</v>
      </c>
      <c r="N343" s="14" t="s">
        <v>92</v>
      </c>
      <c r="O343" s="13" t="s">
        <v>92</v>
      </c>
      <c r="P343" s="13" t="s">
        <v>92</v>
      </c>
      <c r="Q343" s="13" t="s">
        <v>93</v>
      </c>
      <c r="R343" s="13" t="s">
        <v>92</v>
      </c>
      <c r="S343" s="13" t="s">
        <v>92</v>
      </c>
      <c r="T343" s="13" t="s">
        <v>92</v>
      </c>
      <c r="U343" s="13" t="s">
        <v>93</v>
      </c>
      <c r="V343" s="13" t="s">
        <v>92</v>
      </c>
      <c r="W343" s="13" t="s">
        <v>92</v>
      </c>
      <c r="X343" s="13" t="s">
        <v>92</v>
      </c>
      <c r="Y343" s="13" t="s">
        <v>92</v>
      </c>
      <c r="Z343" s="14" t="s">
        <v>92</v>
      </c>
      <c r="AA343" s="14" t="s">
        <v>92</v>
      </c>
      <c r="AB343" s="15" t="s">
        <v>93</v>
      </c>
      <c r="AC343" s="15" t="s">
        <v>92</v>
      </c>
      <c r="AD343" s="15" t="s">
        <v>92</v>
      </c>
      <c r="AE343" s="13" t="s">
        <v>94</v>
      </c>
      <c r="AF343" s="13" t="s">
        <v>92</v>
      </c>
      <c r="AG343" s="13" t="s">
        <v>95</v>
      </c>
      <c r="AH343" s="15">
        <v>2020.0</v>
      </c>
      <c r="AI343" s="13" t="s">
        <v>93</v>
      </c>
      <c r="AJ343" s="14" t="s">
        <v>93</v>
      </c>
      <c r="AK343" s="13" t="s">
        <v>92</v>
      </c>
      <c r="AL343" s="13" t="s">
        <v>92</v>
      </c>
      <c r="AM343" s="8" t="s">
        <v>105</v>
      </c>
      <c r="AN343" s="14" t="s">
        <v>105</v>
      </c>
      <c r="AO343" s="15" t="s">
        <v>93</v>
      </c>
      <c r="AP343" s="15" t="s">
        <v>92</v>
      </c>
      <c r="AQ343" s="14" t="s">
        <v>92</v>
      </c>
      <c r="AR343" s="14" t="s">
        <v>93</v>
      </c>
      <c r="AS343" s="13" t="s">
        <v>92</v>
      </c>
      <c r="AT343" s="13" t="s">
        <v>93</v>
      </c>
      <c r="AU343" s="14" t="s">
        <v>93</v>
      </c>
      <c r="AV343" s="13" t="s">
        <v>92</v>
      </c>
      <c r="AW343" s="13" t="s">
        <v>92</v>
      </c>
      <c r="AX343" s="13" t="s">
        <v>92</v>
      </c>
      <c r="AY343" s="15" t="s">
        <v>95</v>
      </c>
      <c r="AZ343" s="15" t="s">
        <v>95</v>
      </c>
      <c r="BA343" s="16" t="s">
        <v>1549</v>
      </c>
      <c r="BB343" s="8" t="s">
        <v>143</v>
      </c>
      <c r="BC343" s="15" t="s">
        <v>92</v>
      </c>
      <c r="BD343" s="13" t="s">
        <v>92</v>
      </c>
      <c r="BE343" s="13" t="s">
        <v>92</v>
      </c>
      <c r="BF343" s="13" t="s">
        <v>92</v>
      </c>
      <c r="BG343" s="13" t="s">
        <v>92</v>
      </c>
      <c r="BH343" s="13" t="s">
        <v>92</v>
      </c>
      <c r="BI343" s="13" t="s">
        <v>93</v>
      </c>
      <c r="BJ343" s="13" t="s">
        <v>92</v>
      </c>
      <c r="BK343" s="14" t="s">
        <v>274</v>
      </c>
      <c r="BL343" s="13" t="s">
        <v>93</v>
      </c>
      <c r="BM343" s="13" t="s">
        <v>92</v>
      </c>
      <c r="BN343" s="13" t="s">
        <v>92</v>
      </c>
      <c r="BO343" s="13" t="s">
        <v>92</v>
      </c>
      <c r="BP343" s="13" t="s">
        <v>92</v>
      </c>
      <c r="BQ343" s="15" t="s">
        <v>93</v>
      </c>
      <c r="BR343" s="15" t="s">
        <v>92</v>
      </c>
      <c r="BS343" s="15" t="s">
        <v>92</v>
      </c>
      <c r="BT343" s="15" t="s">
        <v>92</v>
      </c>
      <c r="BU343" s="15" t="s">
        <v>92</v>
      </c>
      <c r="BV343" s="15" t="s">
        <v>92</v>
      </c>
      <c r="BW343" s="15" t="s">
        <v>92</v>
      </c>
      <c r="BX343" s="15" t="s">
        <v>92</v>
      </c>
      <c r="BY343" s="15" t="s">
        <v>92</v>
      </c>
      <c r="BZ343" s="15" t="s">
        <v>92</v>
      </c>
      <c r="CA343" s="15" t="s">
        <v>92</v>
      </c>
      <c r="CB343" s="17" t="s">
        <v>1550</v>
      </c>
      <c r="CC343" s="17"/>
      <c r="CD343" s="18"/>
      <c r="CE343" s="18"/>
      <c r="CF343" s="18"/>
      <c r="CG343" s="18"/>
      <c r="CH343" s="14"/>
    </row>
    <row r="344">
      <c r="A344" s="8"/>
      <c r="B344" s="16" t="s">
        <v>1545</v>
      </c>
      <c r="C344" s="10" t="s">
        <v>1546</v>
      </c>
      <c r="D344" s="9" t="s">
        <v>87</v>
      </c>
      <c r="E344" s="11" t="s">
        <v>1551</v>
      </c>
      <c r="F344" s="12"/>
      <c r="G344" s="13" t="s">
        <v>1552</v>
      </c>
      <c r="H344" s="13" t="s">
        <v>90</v>
      </c>
      <c r="I344" s="13" t="s">
        <v>1553</v>
      </c>
      <c r="J344" s="13" t="s">
        <v>92</v>
      </c>
      <c r="K344" s="14" t="s">
        <v>93</v>
      </c>
      <c r="L344" s="14" t="s">
        <v>92</v>
      </c>
      <c r="M344" s="14" t="s">
        <v>93</v>
      </c>
      <c r="N344" s="14" t="s">
        <v>92</v>
      </c>
      <c r="O344" s="13" t="s">
        <v>92</v>
      </c>
      <c r="P344" s="14" t="s">
        <v>92</v>
      </c>
      <c r="Q344" s="13" t="s">
        <v>93</v>
      </c>
      <c r="R344" s="13" t="s">
        <v>92</v>
      </c>
      <c r="S344" s="13" t="s">
        <v>92</v>
      </c>
      <c r="T344" s="13" t="s">
        <v>92</v>
      </c>
      <c r="U344" s="13" t="s">
        <v>93</v>
      </c>
      <c r="V344" s="13" t="s">
        <v>92</v>
      </c>
      <c r="W344" s="13" t="s">
        <v>92</v>
      </c>
      <c r="X344" s="13" t="s">
        <v>92</v>
      </c>
      <c r="Y344" s="13" t="s">
        <v>92</v>
      </c>
      <c r="Z344" s="14" t="s">
        <v>92</v>
      </c>
      <c r="AA344" s="14" t="s">
        <v>92</v>
      </c>
      <c r="AB344" s="15" t="s">
        <v>93</v>
      </c>
      <c r="AC344" s="15" t="s">
        <v>92</v>
      </c>
      <c r="AD344" s="15" t="s">
        <v>92</v>
      </c>
      <c r="AE344" s="13" t="s">
        <v>94</v>
      </c>
      <c r="AF344" s="13" t="s">
        <v>92</v>
      </c>
      <c r="AG344" s="13" t="s">
        <v>95</v>
      </c>
      <c r="AH344" s="15">
        <v>2001.0</v>
      </c>
      <c r="AI344" s="13" t="s">
        <v>93</v>
      </c>
      <c r="AJ344" s="13" t="s">
        <v>93</v>
      </c>
      <c r="AK344" s="13" t="s">
        <v>93</v>
      </c>
      <c r="AL344" s="13" t="s">
        <v>92</v>
      </c>
      <c r="AM344" s="8" t="s">
        <v>105</v>
      </c>
      <c r="AN344" s="14" t="s">
        <v>105</v>
      </c>
      <c r="AO344" s="15" t="s">
        <v>93</v>
      </c>
      <c r="AP344" s="15" t="s">
        <v>92</v>
      </c>
      <c r="AQ344" s="14" t="s">
        <v>92</v>
      </c>
      <c r="AR344" s="14" t="s">
        <v>93</v>
      </c>
      <c r="AS344" s="13" t="s">
        <v>92</v>
      </c>
      <c r="AT344" s="13" t="s">
        <v>93</v>
      </c>
      <c r="AU344" s="14" t="s">
        <v>93</v>
      </c>
      <c r="AV344" s="13" t="s">
        <v>92</v>
      </c>
      <c r="AW344" s="13" t="s">
        <v>92</v>
      </c>
      <c r="AX344" s="13" t="s">
        <v>92</v>
      </c>
      <c r="AY344" s="15" t="s">
        <v>95</v>
      </c>
      <c r="AZ344" s="15" t="s">
        <v>95</v>
      </c>
      <c r="BA344" s="16" t="s">
        <v>1554</v>
      </c>
      <c r="BB344" s="8" t="s">
        <v>261</v>
      </c>
      <c r="BC344" s="15" t="s">
        <v>92</v>
      </c>
      <c r="BD344" s="13" t="s">
        <v>92</v>
      </c>
      <c r="BE344" s="13" t="s">
        <v>92</v>
      </c>
      <c r="BF344" s="13" t="s">
        <v>92</v>
      </c>
      <c r="BG344" s="13" t="s">
        <v>92</v>
      </c>
      <c r="BH344" s="13" t="s">
        <v>92</v>
      </c>
      <c r="BI344" s="13" t="s">
        <v>93</v>
      </c>
      <c r="BJ344" s="13" t="s">
        <v>92</v>
      </c>
      <c r="BK344" s="14" t="s">
        <v>482</v>
      </c>
      <c r="BL344" s="13" t="s">
        <v>92</v>
      </c>
      <c r="BM344" s="13" t="s">
        <v>92</v>
      </c>
      <c r="BN344" s="13" t="s">
        <v>92</v>
      </c>
      <c r="BO344" s="13" t="s">
        <v>93</v>
      </c>
      <c r="BP344" s="13" t="s">
        <v>92</v>
      </c>
      <c r="BQ344" s="15" t="s">
        <v>93</v>
      </c>
      <c r="BR344" s="15" t="s">
        <v>92</v>
      </c>
      <c r="BS344" s="15" t="s">
        <v>92</v>
      </c>
      <c r="BT344" s="15" t="s">
        <v>92</v>
      </c>
      <c r="BU344" s="15" t="s">
        <v>92</v>
      </c>
      <c r="BV344" s="15" t="s">
        <v>92</v>
      </c>
      <c r="BW344" s="15" t="s">
        <v>92</v>
      </c>
      <c r="BX344" s="15" t="s">
        <v>92</v>
      </c>
      <c r="BY344" s="15" t="s">
        <v>92</v>
      </c>
      <c r="BZ344" s="15" t="s">
        <v>92</v>
      </c>
      <c r="CA344" s="15" t="s">
        <v>92</v>
      </c>
      <c r="CB344" s="17" t="s">
        <v>1550</v>
      </c>
      <c r="CC344" s="17" t="s">
        <v>333</v>
      </c>
      <c r="CD344" s="18"/>
      <c r="CE344" s="18"/>
      <c r="CF344" s="18"/>
      <c r="CG344" s="18"/>
      <c r="CH344" s="14"/>
    </row>
    <row r="345">
      <c r="A345" s="8"/>
      <c r="B345" s="16" t="s">
        <v>1545</v>
      </c>
      <c r="C345" s="10" t="s">
        <v>1546</v>
      </c>
      <c r="D345" s="9" t="s">
        <v>87</v>
      </c>
      <c r="E345" s="11" t="s">
        <v>1555</v>
      </c>
      <c r="F345" s="12"/>
      <c r="G345" s="13" t="s">
        <v>1556</v>
      </c>
      <c r="H345" s="13" t="s">
        <v>189</v>
      </c>
      <c r="I345" s="13" t="s">
        <v>1557</v>
      </c>
      <c r="J345" s="13" t="s">
        <v>92</v>
      </c>
      <c r="K345" s="14" t="s">
        <v>92</v>
      </c>
      <c r="L345" s="14" t="s">
        <v>92</v>
      </c>
      <c r="M345" s="14" t="s">
        <v>93</v>
      </c>
      <c r="N345" s="14" t="s">
        <v>92</v>
      </c>
      <c r="O345" s="13" t="s">
        <v>92</v>
      </c>
      <c r="P345" s="14" t="s">
        <v>92</v>
      </c>
      <c r="Q345" s="13" t="s">
        <v>93</v>
      </c>
      <c r="R345" s="13" t="s">
        <v>92</v>
      </c>
      <c r="S345" s="13" t="s">
        <v>92</v>
      </c>
      <c r="T345" s="13" t="s">
        <v>92</v>
      </c>
      <c r="U345" s="13" t="s">
        <v>93</v>
      </c>
      <c r="V345" s="13" t="s">
        <v>92</v>
      </c>
      <c r="W345" s="13" t="s">
        <v>92</v>
      </c>
      <c r="X345" s="13" t="s">
        <v>92</v>
      </c>
      <c r="Y345" s="13" t="s">
        <v>92</v>
      </c>
      <c r="Z345" s="14" t="s">
        <v>92</v>
      </c>
      <c r="AA345" s="14" t="s">
        <v>92</v>
      </c>
      <c r="AB345" s="15" t="s">
        <v>93</v>
      </c>
      <c r="AC345" s="15" t="s">
        <v>92</v>
      </c>
      <c r="AD345" s="15" t="s">
        <v>92</v>
      </c>
      <c r="AE345" s="13" t="s">
        <v>94</v>
      </c>
      <c r="AF345" s="13" t="s">
        <v>92</v>
      </c>
      <c r="AG345" s="13" t="s">
        <v>95</v>
      </c>
      <c r="AH345" s="15">
        <v>2020.0</v>
      </c>
      <c r="AI345" s="13" t="s">
        <v>93</v>
      </c>
      <c r="AJ345" s="13" t="s">
        <v>93</v>
      </c>
      <c r="AK345" s="13" t="s">
        <v>92</v>
      </c>
      <c r="AL345" s="13" t="s">
        <v>92</v>
      </c>
      <c r="AM345" s="15">
        <v>2021.0</v>
      </c>
      <c r="AN345" s="13" t="s">
        <v>96</v>
      </c>
      <c r="AO345" s="15" t="s">
        <v>93</v>
      </c>
      <c r="AP345" s="15" t="s">
        <v>93</v>
      </c>
      <c r="AQ345" s="14" t="s">
        <v>92</v>
      </c>
      <c r="AR345" s="14" t="s">
        <v>93</v>
      </c>
      <c r="AS345" s="13" t="s">
        <v>92</v>
      </c>
      <c r="AT345" s="13" t="s">
        <v>93</v>
      </c>
      <c r="AU345" s="14" t="s">
        <v>93</v>
      </c>
      <c r="AV345" s="13" t="s">
        <v>92</v>
      </c>
      <c r="AW345" s="13" t="s">
        <v>92</v>
      </c>
      <c r="AX345" s="13" t="s">
        <v>92</v>
      </c>
      <c r="AY345" s="15" t="s">
        <v>95</v>
      </c>
      <c r="AZ345" s="15" t="s">
        <v>95</v>
      </c>
      <c r="BA345" s="16" t="s">
        <v>1558</v>
      </c>
      <c r="BB345" s="8" t="s">
        <v>95</v>
      </c>
      <c r="BC345" s="8" t="s">
        <v>93</v>
      </c>
      <c r="BD345" s="13" t="s">
        <v>92</v>
      </c>
      <c r="BE345" s="13" t="s">
        <v>92</v>
      </c>
      <c r="BF345" s="13" t="s">
        <v>92</v>
      </c>
      <c r="BG345" s="13" t="s">
        <v>92</v>
      </c>
      <c r="BH345" s="13" t="s">
        <v>92</v>
      </c>
      <c r="BI345" s="13" t="s">
        <v>93</v>
      </c>
      <c r="BJ345" s="13" t="s">
        <v>92</v>
      </c>
      <c r="BK345" s="14" t="s">
        <v>1559</v>
      </c>
      <c r="BL345" s="13" t="s">
        <v>93</v>
      </c>
      <c r="BM345" s="13" t="s">
        <v>93</v>
      </c>
      <c r="BN345" s="13" t="s">
        <v>93</v>
      </c>
      <c r="BO345" s="13" t="s">
        <v>92</v>
      </c>
      <c r="BP345" s="13" t="s">
        <v>93</v>
      </c>
      <c r="BQ345" s="15" t="s">
        <v>93</v>
      </c>
      <c r="BR345" s="15" t="s">
        <v>92</v>
      </c>
      <c r="BS345" s="15" t="s">
        <v>92</v>
      </c>
      <c r="BT345" s="15" t="s">
        <v>92</v>
      </c>
      <c r="BU345" s="15" t="s">
        <v>92</v>
      </c>
      <c r="BV345" s="15" t="s">
        <v>92</v>
      </c>
      <c r="BW345" s="15" t="s">
        <v>92</v>
      </c>
      <c r="BX345" s="15" t="s">
        <v>92</v>
      </c>
      <c r="BY345" s="15" t="s">
        <v>92</v>
      </c>
      <c r="BZ345" s="15" t="s">
        <v>92</v>
      </c>
      <c r="CA345" s="15" t="s">
        <v>92</v>
      </c>
      <c r="CB345" s="17" t="s">
        <v>1550</v>
      </c>
      <c r="CC345" s="17"/>
      <c r="CD345" s="18"/>
      <c r="CE345" s="18"/>
      <c r="CF345" s="18"/>
      <c r="CG345" s="18"/>
      <c r="CH345" s="14"/>
    </row>
    <row r="346">
      <c r="A346" s="8"/>
      <c r="B346" s="16" t="s">
        <v>1545</v>
      </c>
      <c r="C346" s="10" t="s">
        <v>1546</v>
      </c>
      <c r="D346" s="9" t="s">
        <v>87</v>
      </c>
      <c r="E346" s="11" t="s">
        <v>1560</v>
      </c>
      <c r="F346" s="25"/>
      <c r="G346" s="13" t="s">
        <v>1561</v>
      </c>
      <c r="H346" s="13" t="s">
        <v>189</v>
      </c>
      <c r="I346" s="13" t="s">
        <v>1562</v>
      </c>
      <c r="J346" s="13" t="s">
        <v>92</v>
      </c>
      <c r="K346" s="14" t="s">
        <v>93</v>
      </c>
      <c r="L346" s="14" t="s">
        <v>93</v>
      </c>
      <c r="M346" s="14" t="s">
        <v>93</v>
      </c>
      <c r="N346" s="14" t="s">
        <v>92</v>
      </c>
      <c r="O346" s="13" t="s">
        <v>92</v>
      </c>
      <c r="P346" s="13" t="s">
        <v>93</v>
      </c>
      <c r="Q346" s="13" t="s">
        <v>93</v>
      </c>
      <c r="R346" s="13" t="s">
        <v>92</v>
      </c>
      <c r="S346" s="13" t="s">
        <v>92</v>
      </c>
      <c r="T346" s="13" t="s">
        <v>92</v>
      </c>
      <c r="U346" s="13" t="s">
        <v>93</v>
      </c>
      <c r="V346" s="13" t="s">
        <v>92</v>
      </c>
      <c r="W346" s="13" t="s">
        <v>92</v>
      </c>
      <c r="X346" s="13" t="s">
        <v>92</v>
      </c>
      <c r="Y346" s="13" t="s">
        <v>92</v>
      </c>
      <c r="Z346" s="14" t="s">
        <v>92</v>
      </c>
      <c r="AA346" s="14" t="s">
        <v>92</v>
      </c>
      <c r="AB346" s="15" t="s">
        <v>93</v>
      </c>
      <c r="AC346" s="15" t="s">
        <v>92</v>
      </c>
      <c r="AD346" s="15" t="s">
        <v>92</v>
      </c>
      <c r="AE346" s="13" t="s">
        <v>94</v>
      </c>
      <c r="AF346" s="13" t="s">
        <v>92</v>
      </c>
      <c r="AG346" s="13" t="s">
        <v>95</v>
      </c>
      <c r="AH346" s="8">
        <v>2021.0</v>
      </c>
      <c r="AI346" s="13" t="s">
        <v>92</v>
      </c>
      <c r="AJ346" s="14" t="s">
        <v>93</v>
      </c>
      <c r="AK346" s="13" t="s">
        <v>93</v>
      </c>
      <c r="AL346" s="13" t="s">
        <v>93</v>
      </c>
      <c r="AM346" s="8" t="s">
        <v>95</v>
      </c>
      <c r="AN346" s="14" t="s">
        <v>114</v>
      </c>
      <c r="AO346" s="15" t="s">
        <v>93</v>
      </c>
      <c r="AP346" s="15" t="s">
        <v>92</v>
      </c>
      <c r="AQ346" s="14" t="s">
        <v>92</v>
      </c>
      <c r="AR346" s="14" t="s">
        <v>93</v>
      </c>
      <c r="AS346" s="13" t="s">
        <v>92</v>
      </c>
      <c r="AT346" s="13" t="s">
        <v>93</v>
      </c>
      <c r="AU346" s="14" t="s">
        <v>93</v>
      </c>
      <c r="AV346" s="13" t="s">
        <v>92</v>
      </c>
      <c r="AW346" s="13" t="s">
        <v>92</v>
      </c>
      <c r="AX346" s="13" t="s">
        <v>92</v>
      </c>
      <c r="AY346" s="15" t="s">
        <v>1563</v>
      </c>
      <c r="AZ346" s="15" t="s">
        <v>92</v>
      </c>
      <c r="BA346" s="9" t="s">
        <v>1564</v>
      </c>
      <c r="BB346" s="8" t="s">
        <v>95</v>
      </c>
      <c r="BC346" s="15" t="s">
        <v>93</v>
      </c>
      <c r="BD346" s="13" t="s">
        <v>92</v>
      </c>
      <c r="BE346" s="13" t="s">
        <v>92</v>
      </c>
      <c r="BF346" s="13" t="s">
        <v>92</v>
      </c>
      <c r="BG346" s="13" t="s">
        <v>92</v>
      </c>
      <c r="BH346" s="13" t="s">
        <v>92</v>
      </c>
      <c r="BI346" s="13" t="s">
        <v>93</v>
      </c>
      <c r="BJ346" s="13" t="s">
        <v>92</v>
      </c>
      <c r="BK346" s="44" t="s">
        <v>1559</v>
      </c>
      <c r="BL346" s="13" t="s">
        <v>93</v>
      </c>
      <c r="BM346" s="13" t="s">
        <v>93</v>
      </c>
      <c r="BN346" s="13" t="s">
        <v>93</v>
      </c>
      <c r="BO346" s="13" t="s">
        <v>92</v>
      </c>
      <c r="BP346" s="13" t="s">
        <v>93</v>
      </c>
      <c r="BQ346" s="15" t="s">
        <v>93</v>
      </c>
      <c r="BR346" s="15" t="s">
        <v>92</v>
      </c>
      <c r="BS346" s="15" t="s">
        <v>92</v>
      </c>
      <c r="BT346" s="15" t="s">
        <v>92</v>
      </c>
      <c r="BU346" s="15" t="s">
        <v>92</v>
      </c>
      <c r="BV346" s="15" t="s">
        <v>92</v>
      </c>
      <c r="BW346" s="15" t="s">
        <v>92</v>
      </c>
      <c r="BX346" s="15" t="s">
        <v>92</v>
      </c>
      <c r="BY346" s="15" t="s">
        <v>92</v>
      </c>
      <c r="BZ346" s="15" t="s">
        <v>92</v>
      </c>
      <c r="CA346" s="15" t="s">
        <v>92</v>
      </c>
      <c r="CB346" s="17" t="s">
        <v>1565</v>
      </c>
      <c r="CC346" s="17"/>
      <c r="CD346" s="18"/>
      <c r="CE346" s="18"/>
      <c r="CF346" s="18"/>
      <c r="CG346" s="18"/>
      <c r="CH346" s="14"/>
    </row>
    <row r="347">
      <c r="A347" s="8"/>
      <c r="B347" s="16" t="s">
        <v>1545</v>
      </c>
      <c r="C347" s="10" t="s">
        <v>1546</v>
      </c>
      <c r="D347" s="9" t="s">
        <v>87</v>
      </c>
      <c r="E347" s="11" t="s">
        <v>1566</v>
      </c>
      <c r="F347" s="12"/>
      <c r="G347" s="13" t="s">
        <v>1567</v>
      </c>
      <c r="H347" s="13" t="s">
        <v>90</v>
      </c>
      <c r="I347" s="14" t="s">
        <v>1568</v>
      </c>
      <c r="J347" s="13" t="s">
        <v>92</v>
      </c>
      <c r="K347" s="14" t="s">
        <v>92</v>
      </c>
      <c r="L347" s="14" t="s">
        <v>92</v>
      </c>
      <c r="M347" s="14" t="s">
        <v>92</v>
      </c>
      <c r="N347" s="14" t="s">
        <v>92</v>
      </c>
      <c r="O347" s="13" t="s">
        <v>92</v>
      </c>
      <c r="P347" s="13" t="s">
        <v>93</v>
      </c>
      <c r="Q347" s="14" t="s">
        <v>93</v>
      </c>
      <c r="R347" s="13" t="s">
        <v>93</v>
      </c>
      <c r="S347" s="13" t="s">
        <v>92</v>
      </c>
      <c r="T347" s="13" t="s">
        <v>93</v>
      </c>
      <c r="U347" s="13" t="s">
        <v>93</v>
      </c>
      <c r="V347" s="13" t="s">
        <v>92</v>
      </c>
      <c r="W347" s="13" t="s">
        <v>92</v>
      </c>
      <c r="X347" s="13" t="s">
        <v>92</v>
      </c>
      <c r="Y347" s="13" t="s">
        <v>92</v>
      </c>
      <c r="Z347" s="14" t="s">
        <v>92</v>
      </c>
      <c r="AA347" s="14" t="s">
        <v>92</v>
      </c>
      <c r="AB347" s="15" t="s">
        <v>93</v>
      </c>
      <c r="AC347" s="15" t="s">
        <v>92</v>
      </c>
      <c r="AD347" s="15" t="s">
        <v>92</v>
      </c>
      <c r="AE347" s="13" t="s">
        <v>148</v>
      </c>
      <c r="AF347" s="13" t="s">
        <v>92</v>
      </c>
      <c r="AG347" s="13" t="s">
        <v>95</v>
      </c>
      <c r="AH347" s="8">
        <v>2022.0</v>
      </c>
      <c r="AI347" s="13" t="s">
        <v>92</v>
      </c>
      <c r="AJ347" s="13" t="s">
        <v>92</v>
      </c>
      <c r="AK347" s="13" t="s">
        <v>93</v>
      </c>
      <c r="AL347" s="13" t="s">
        <v>93</v>
      </c>
      <c r="AM347" s="8">
        <v>2023.0</v>
      </c>
      <c r="AN347" s="14" t="s">
        <v>96</v>
      </c>
      <c r="AO347" s="15" t="s">
        <v>93</v>
      </c>
      <c r="AP347" s="15" t="s">
        <v>92</v>
      </c>
      <c r="AQ347" s="14" t="s">
        <v>92</v>
      </c>
      <c r="AR347" s="14" t="s">
        <v>93</v>
      </c>
      <c r="AS347" s="13" t="s">
        <v>92</v>
      </c>
      <c r="AT347" s="13" t="s">
        <v>93</v>
      </c>
      <c r="AU347" s="14" t="s">
        <v>93</v>
      </c>
      <c r="AV347" s="13" t="s">
        <v>92</v>
      </c>
      <c r="AW347" s="13" t="s">
        <v>92</v>
      </c>
      <c r="AX347" s="13" t="s">
        <v>92</v>
      </c>
      <c r="AY347" s="15" t="s">
        <v>95</v>
      </c>
      <c r="AZ347" s="15" t="s">
        <v>95</v>
      </c>
      <c r="BA347" s="16" t="s">
        <v>1569</v>
      </c>
      <c r="BB347" s="8" t="s">
        <v>95</v>
      </c>
      <c r="BC347" s="15" t="s">
        <v>93</v>
      </c>
      <c r="BD347" s="13" t="s">
        <v>92</v>
      </c>
      <c r="BE347" s="13" t="s">
        <v>92</v>
      </c>
      <c r="BF347" s="13" t="s">
        <v>92</v>
      </c>
      <c r="BG347" s="13" t="s">
        <v>92</v>
      </c>
      <c r="BH347" s="13" t="s">
        <v>92</v>
      </c>
      <c r="BI347" s="13" t="s">
        <v>93</v>
      </c>
      <c r="BJ347" s="13" t="s">
        <v>92</v>
      </c>
      <c r="BK347" s="14" t="s">
        <v>105</v>
      </c>
      <c r="BL347" s="14" t="s">
        <v>105</v>
      </c>
      <c r="BM347" s="14" t="s">
        <v>105</v>
      </c>
      <c r="BN347" s="14" t="s">
        <v>105</v>
      </c>
      <c r="BO347" s="14" t="s">
        <v>105</v>
      </c>
      <c r="BP347" s="14" t="s">
        <v>105</v>
      </c>
      <c r="BQ347" s="15" t="s">
        <v>93</v>
      </c>
      <c r="BR347" s="8" t="s">
        <v>93</v>
      </c>
      <c r="BS347" s="15" t="s">
        <v>92</v>
      </c>
      <c r="BT347" s="15" t="s">
        <v>92</v>
      </c>
      <c r="BU347" s="15" t="s">
        <v>92</v>
      </c>
      <c r="BV347" s="15" t="s">
        <v>92</v>
      </c>
      <c r="BW347" s="15" t="s">
        <v>92</v>
      </c>
      <c r="BX347" s="15" t="s">
        <v>92</v>
      </c>
      <c r="BY347" s="15" t="s">
        <v>92</v>
      </c>
      <c r="BZ347" s="15" t="s">
        <v>92</v>
      </c>
      <c r="CA347" s="15" t="s">
        <v>92</v>
      </c>
      <c r="CB347" s="17" t="s">
        <v>1565</v>
      </c>
      <c r="CC347" s="18"/>
      <c r="CD347" s="18"/>
      <c r="CE347" s="18"/>
      <c r="CF347" s="18"/>
      <c r="CG347" s="18"/>
      <c r="CH347" s="14"/>
    </row>
    <row r="348">
      <c r="A348" s="8"/>
      <c r="B348" s="16" t="s">
        <v>1545</v>
      </c>
      <c r="C348" s="10" t="s">
        <v>1546</v>
      </c>
      <c r="D348" s="9" t="s">
        <v>87</v>
      </c>
      <c r="E348" s="11" t="s">
        <v>1570</v>
      </c>
      <c r="F348" s="12"/>
      <c r="G348" s="14" t="s">
        <v>1571</v>
      </c>
      <c r="H348" s="14" t="s">
        <v>110</v>
      </c>
      <c r="I348" s="14" t="s">
        <v>1572</v>
      </c>
      <c r="J348" s="14" t="s">
        <v>92</v>
      </c>
      <c r="K348" s="14" t="s">
        <v>93</v>
      </c>
      <c r="L348" s="14" t="s">
        <v>93</v>
      </c>
      <c r="M348" s="14" t="s">
        <v>92</v>
      </c>
      <c r="N348" s="14" t="s">
        <v>92</v>
      </c>
      <c r="O348" s="14" t="s">
        <v>92</v>
      </c>
      <c r="P348" s="14" t="s">
        <v>92</v>
      </c>
      <c r="Q348" s="14" t="s">
        <v>92</v>
      </c>
      <c r="R348" s="14" t="s">
        <v>92</v>
      </c>
      <c r="S348" s="14" t="s">
        <v>92</v>
      </c>
      <c r="T348" s="14" t="s">
        <v>92</v>
      </c>
      <c r="U348" s="14" t="s">
        <v>92</v>
      </c>
      <c r="V348" s="14" t="s">
        <v>92</v>
      </c>
      <c r="W348" s="14" t="s">
        <v>92</v>
      </c>
      <c r="X348" s="14" t="s">
        <v>92</v>
      </c>
      <c r="Y348" s="14" t="s">
        <v>92</v>
      </c>
      <c r="Z348" s="14" t="s">
        <v>93</v>
      </c>
      <c r="AA348" s="14" t="s">
        <v>92</v>
      </c>
      <c r="AB348" s="8" t="s">
        <v>93</v>
      </c>
      <c r="AC348" s="8" t="s">
        <v>93</v>
      </c>
      <c r="AD348" s="8" t="s">
        <v>93</v>
      </c>
      <c r="AE348" s="14" t="s">
        <v>112</v>
      </c>
      <c r="AF348" s="14" t="s">
        <v>93</v>
      </c>
      <c r="AG348" s="14" t="s">
        <v>1573</v>
      </c>
      <c r="AH348" s="15">
        <v>2022.0</v>
      </c>
      <c r="AI348" s="13" t="s">
        <v>92</v>
      </c>
      <c r="AJ348" s="13" t="s">
        <v>92</v>
      </c>
      <c r="AK348" s="13" t="s">
        <v>93</v>
      </c>
      <c r="AL348" s="13" t="s">
        <v>93</v>
      </c>
      <c r="AM348" s="15" t="s">
        <v>95</v>
      </c>
      <c r="AN348" s="13" t="s">
        <v>114</v>
      </c>
      <c r="AO348" s="15" t="s">
        <v>93</v>
      </c>
      <c r="AP348" s="15" t="s">
        <v>92</v>
      </c>
      <c r="AQ348" s="14" t="s">
        <v>92</v>
      </c>
      <c r="AR348" s="14" t="s">
        <v>93</v>
      </c>
      <c r="AS348" s="13" t="s">
        <v>92</v>
      </c>
      <c r="AT348" s="13" t="s">
        <v>93</v>
      </c>
      <c r="AU348" s="14" t="s">
        <v>93</v>
      </c>
      <c r="AV348" s="13" t="s">
        <v>92</v>
      </c>
      <c r="AW348" s="13" t="s">
        <v>92</v>
      </c>
      <c r="AX348" s="13" t="s">
        <v>92</v>
      </c>
      <c r="AY348" s="15" t="s">
        <v>95</v>
      </c>
      <c r="AZ348" s="15" t="s">
        <v>95</v>
      </c>
      <c r="BA348" s="9" t="s">
        <v>1574</v>
      </c>
      <c r="BB348" s="8" t="s">
        <v>213</v>
      </c>
      <c r="BC348" s="8" t="s">
        <v>92</v>
      </c>
      <c r="BD348" s="14" t="s">
        <v>93</v>
      </c>
      <c r="BE348" s="14" t="s">
        <v>92</v>
      </c>
      <c r="BF348" s="14" t="s">
        <v>92</v>
      </c>
      <c r="BG348" s="14" t="s">
        <v>92</v>
      </c>
      <c r="BH348" s="14" t="s">
        <v>92</v>
      </c>
      <c r="BI348" s="14" t="s">
        <v>92</v>
      </c>
      <c r="BJ348" s="14" t="s">
        <v>92</v>
      </c>
      <c r="BK348" s="14" t="s">
        <v>105</v>
      </c>
      <c r="BL348" s="14" t="s">
        <v>105</v>
      </c>
      <c r="BM348" s="14" t="s">
        <v>105</v>
      </c>
      <c r="BN348" s="14" t="s">
        <v>105</v>
      </c>
      <c r="BO348" s="14" t="s">
        <v>105</v>
      </c>
      <c r="BP348" s="14" t="s">
        <v>105</v>
      </c>
      <c r="BQ348" s="8" t="s">
        <v>92</v>
      </c>
      <c r="BR348" s="8" t="s">
        <v>92</v>
      </c>
      <c r="BS348" s="8" t="s">
        <v>92</v>
      </c>
      <c r="BT348" s="8" t="s">
        <v>93</v>
      </c>
      <c r="BU348" s="8" t="s">
        <v>92</v>
      </c>
      <c r="BV348" s="8" t="s">
        <v>93</v>
      </c>
      <c r="BW348" s="8" t="s">
        <v>92</v>
      </c>
      <c r="BX348" s="8" t="s">
        <v>92</v>
      </c>
      <c r="BY348" s="8" t="s">
        <v>92</v>
      </c>
      <c r="BZ348" s="8" t="s">
        <v>93</v>
      </c>
      <c r="CA348" s="8" t="s">
        <v>92</v>
      </c>
      <c r="CB348" s="17" t="s">
        <v>1565</v>
      </c>
      <c r="CC348" s="17"/>
      <c r="CD348" s="18"/>
      <c r="CE348" s="18"/>
      <c r="CF348" s="18"/>
      <c r="CG348" s="18"/>
      <c r="CH348" s="14"/>
    </row>
    <row r="349">
      <c r="A349" s="8"/>
      <c r="B349" s="16" t="s">
        <v>1545</v>
      </c>
      <c r="C349" s="10" t="s">
        <v>1546</v>
      </c>
      <c r="D349" s="9" t="s">
        <v>87</v>
      </c>
      <c r="E349" s="11" t="s">
        <v>1575</v>
      </c>
      <c r="F349" s="12"/>
      <c r="G349" s="14" t="s">
        <v>328</v>
      </c>
      <c r="H349" s="14" t="s">
        <v>90</v>
      </c>
      <c r="I349" s="14" t="s">
        <v>329</v>
      </c>
      <c r="J349" s="14" t="s">
        <v>92</v>
      </c>
      <c r="K349" s="14" t="s">
        <v>92</v>
      </c>
      <c r="L349" s="14" t="s">
        <v>92</v>
      </c>
      <c r="M349" s="14" t="s">
        <v>92</v>
      </c>
      <c r="N349" s="14" t="s">
        <v>92</v>
      </c>
      <c r="O349" s="14" t="s">
        <v>92</v>
      </c>
      <c r="P349" s="14" t="s">
        <v>92</v>
      </c>
      <c r="Q349" s="14" t="s">
        <v>92</v>
      </c>
      <c r="R349" s="14" t="s">
        <v>92</v>
      </c>
      <c r="S349" s="14" t="s">
        <v>92</v>
      </c>
      <c r="T349" s="14" t="s">
        <v>92</v>
      </c>
      <c r="U349" s="14" t="s">
        <v>92</v>
      </c>
      <c r="V349" s="14" t="s">
        <v>92</v>
      </c>
      <c r="W349" s="14" t="s">
        <v>92</v>
      </c>
      <c r="X349" s="14" t="s">
        <v>92</v>
      </c>
      <c r="Y349" s="14" t="s">
        <v>92</v>
      </c>
      <c r="Z349" s="14" t="s">
        <v>93</v>
      </c>
      <c r="AA349" s="14" t="s">
        <v>92</v>
      </c>
      <c r="AB349" s="8" t="s">
        <v>92</v>
      </c>
      <c r="AC349" s="8" t="s">
        <v>93</v>
      </c>
      <c r="AD349" s="8" t="s">
        <v>92</v>
      </c>
      <c r="AE349" s="14" t="s">
        <v>112</v>
      </c>
      <c r="AF349" s="14" t="s">
        <v>92</v>
      </c>
      <c r="AG349" s="13" t="s">
        <v>95</v>
      </c>
      <c r="AH349" s="8">
        <v>2022.0</v>
      </c>
      <c r="AI349" s="14" t="s">
        <v>92</v>
      </c>
      <c r="AJ349" s="14" t="s">
        <v>92</v>
      </c>
      <c r="AK349" s="14" t="s">
        <v>93</v>
      </c>
      <c r="AL349" s="14" t="s">
        <v>92</v>
      </c>
      <c r="AM349" s="8" t="s">
        <v>105</v>
      </c>
      <c r="AN349" s="14" t="s">
        <v>105</v>
      </c>
      <c r="AO349" s="8" t="s">
        <v>105</v>
      </c>
      <c r="AP349" s="15" t="s">
        <v>92</v>
      </c>
      <c r="AQ349" s="14" t="s">
        <v>92</v>
      </c>
      <c r="AR349" s="14" t="s">
        <v>93</v>
      </c>
      <c r="AS349" s="13" t="s">
        <v>92</v>
      </c>
      <c r="AT349" s="13" t="s">
        <v>93</v>
      </c>
      <c r="AU349" s="14" t="s">
        <v>93</v>
      </c>
      <c r="AV349" s="13" t="s">
        <v>92</v>
      </c>
      <c r="AW349" s="13" t="s">
        <v>92</v>
      </c>
      <c r="AX349" s="13" t="s">
        <v>92</v>
      </c>
      <c r="AY349" s="8" t="s">
        <v>330</v>
      </c>
      <c r="AZ349" s="8" t="s">
        <v>92</v>
      </c>
      <c r="BA349" s="9" t="s">
        <v>331</v>
      </c>
      <c r="BB349" s="8" t="s">
        <v>95</v>
      </c>
      <c r="BC349" s="8" t="s">
        <v>93</v>
      </c>
      <c r="BD349" s="14" t="s">
        <v>92</v>
      </c>
      <c r="BE349" s="14" t="s">
        <v>93</v>
      </c>
      <c r="BF349" s="14" t="s">
        <v>92</v>
      </c>
      <c r="BG349" s="14" t="s">
        <v>92</v>
      </c>
      <c r="BH349" s="14" t="s">
        <v>92</v>
      </c>
      <c r="BI349" s="14" t="s">
        <v>92</v>
      </c>
      <c r="BJ349" s="14" t="s">
        <v>92</v>
      </c>
      <c r="BK349" s="32" t="s">
        <v>332</v>
      </c>
      <c r="BL349" s="14" t="s">
        <v>92</v>
      </c>
      <c r="BM349" s="14" t="s">
        <v>92</v>
      </c>
      <c r="BN349" s="14" t="s">
        <v>92</v>
      </c>
      <c r="BO349" s="14" t="s">
        <v>93</v>
      </c>
      <c r="BP349" s="14" t="s">
        <v>92</v>
      </c>
      <c r="BQ349" s="8" t="s">
        <v>92</v>
      </c>
      <c r="BR349" s="8" t="s">
        <v>92</v>
      </c>
      <c r="BS349" s="8" t="s">
        <v>92</v>
      </c>
      <c r="BT349" s="8" t="s">
        <v>93</v>
      </c>
      <c r="BU349" s="8" t="s">
        <v>92</v>
      </c>
      <c r="BV349" s="8" t="s">
        <v>92</v>
      </c>
      <c r="BW349" s="8" t="s">
        <v>92</v>
      </c>
      <c r="BX349" s="8" t="s">
        <v>92</v>
      </c>
      <c r="BY349" s="8" t="s">
        <v>92</v>
      </c>
      <c r="BZ349" s="8" t="s">
        <v>92</v>
      </c>
      <c r="CA349" s="8" t="s">
        <v>92</v>
      </c>
      <c r="CB349" s="17" t="s">
        <v>333</v>
      </c>
      <c r="CC349" s="17"/>
      <c r="CD349" s="18"/>
      <c r="CE349" s="18"/>
      <c r="CF349" s="18"/>
      <c r="CG349" s="18"/>
      <c r="CH349" s="14"/>
    </row>
    <row r="350">
      <c r="A350" s="8"/>
      <c r="B350" s="16" t="s">
        <v>1576</v>
      </c>
      <c r="C350" s="10" t="s">
        <v>1577</v>
      </c>
      <c r="D350" s="9" t="s">
        <v>87</v>
      </c>
      <c r="E350" s="11" t="s">
        <v>1578</v>
      </c>
      <c r="F350" s="12"/>
      <c r="G350" s="13" t="s">
        <v>1579</v>
      </c>
      <c r="H350" s="13" t="s">
        <v>90</v>
      </c>
      <c r="I350" s="13" t="s">
        <v>1580</v>
      </c>
      <c r="J350" s="13" t="s">
        <v>92</v>
      </c>
      <c r="K350" s="13" t="s">
        <v>92</v>
      </c>
      <c r="L350" s="13" t="s">
        <v>92</v>
      </c>
      <c r="M350" s="13" t="s">
        <v>93</v>
      </c>
      <c r="N350" s="14" t="s">
        <v>92</v>
      </c>
      <c r="O350" s="13" t="s">
        <v>92</v>
      </c>
      <c r="P350" s="13" t="s">
        <v>93</v>
      </c>
      <c r="Q350" s="13" t="s">
        <v>92</v>
      </c>
      <c r="R350" s="13" t="s">
        <v>92</v>
      </c>
      <c r="S350" s="13" t="s">
        <v>92</v>
      </c>
      <c r="T350" s="13" t="s">
        <v>93</v>
      </c>
      <c r="U350" s="13" t="s">
        <v>92</v>
      </c>
      <c r="V350" s="13" t="s">
        <v>92</v>
      </c>
      <c r="W350" s="13" t="s">
        <v>92</v>
      </c>
      <c r="X350" s="13" t="s">
        <v>92</v>
      </c>
      <c r="Y350" s="13" t="s">
        <v>92</v>
      </c>
      <c r="Z350" s="13" t="s">
        <v>92</v>
      </c>
      <c r="AA350" s="14" t="s">
        <v>92</v>
      </c>
      <c r="AB350" s="15" t="s">
        <v>93</v>
      </c>
      <c r="AC350" s="15" t="s">
        <v>92</v>
      </c>
      <c r="AD350" s="15" t="s">
        <v>92</v>
      </c>
      <c r="AE350" s="13" t="s">
        <v>94</v>
      </c>
      <c r="AF350" s="13" t="s">
        <v>92</v>
      </c>
      <c r="AG350" s="13" t="s">
        <v>95</v>
      </c>
      <c r="AH350" s="15">
        <v>2020.0</v>
      </c>
      <c r="AI350" s="13" t="s">
        <v>93</v>
      </c>
      <c r="AJ350" s="13" t="s">
        <v>92</v>
      </c>
      <c r="AK350" s="13" t="s">
        <v>92</v>
      </c>
      <c r="AL350" s="13" t="s">
        <v>92</v>
      </c>
      <c r="AM350" s="15">
        <v>2020.0</v>
      </c>
      <c r="AN350" s="13" t="s">
        <v>96</v>
      </c>
      <c r="AO350" s="15" t="s">
        <v>92</v>
      </c>
      <c r="AP350" s="15" t="s">
        <v>93</v>
      </c>
      <c r="AQ350" s="13" t="s">
        <v>92</v>
      </c>
      <c r="AR350" s="14" t="s">
        <v>92</v>
      </c>
      <c r="AS350" s="13" t="s">
        <v>93</v>
      </c>
      <c r="AT350" s="13" t="s">
        <v>93</v>
      </c>
      <c r="AU350" s="13" t="s">
        <v>93</v>
      </c>
      <c r="AV350" s="13" t="s">
        <v>93</v>
      </c>
      <c r="AW350" s="13" t="s">
        <v>92</v>
      </c>
      <c r="AX350" s="13" t="s">
        <v>92</v>
      </c>
      <c r="AY350" s="15" t="s">
        <v>95</v>
      </c>
      <c r="AZ350" s="15" t="s">
        <v>95</v>
      </c>
      <c r="BA350" s="16" t="s">
        <v>1576</v>
      </c>
      <c r="BB350" s="8" t="s">
        <v>213</v>
      </c>
      <c r="BC350" s="15" t="s">
        <v>92</v>
      </c>
      <c r="BD350" s="13" t="s">
        <v>92</v>
      </c>
      <c r="BE350" s="13" t="s">
        <v>92</v>
      </c>
      <c r="BF350" s="13" t="s">
        <v>92</v>
      </c>
      <c r="BG350" s="13" t="s">
        <v>92</v>
      </c>
      <c r="BH350" s="13" t="s">
        <v>92</v>
      </c>
      <c r="BI350" s="13" t="s">
        <v>93</v>
      </c>
      <c r="BJ350" s="13" t="s">
        <v>92</v>
      </c>
      <c r="BK350" s="14" t="s">
        <v>1581</v>
      </c>
      <c r="BL350" s="13" t="s">
        <v>92</v>
      </c>
      <c r="BM350" s="13" t="s">
        <v>92</v>
      </c>
      <c r="BN350" s="13" t="s">
        <v>92</v>
      </c>
      <c r="BO350" s="13" t="s">
        <v>93</v>
      </c>
      <c r="BP350" s="13" t="s">
        <v>93</v>
      </c>
      <c r="BQ350" s="8" t="s">
        <v>92</v>
      </c>
      <c r="BR350" s="15" t="s">
        <v>93</v>
      </c>
      <c r="BS350" s="15" t="s">
        <v>92</v>
      </c>
      <c r="BT350" s="15" t="s">
        <v>92</v>
      </c>
      <c r="BU350" s="15" t="s">
        <v>92</v>
      </c>
      <c r="BV350" s="15" t="s">
        <v>92</v>
      </c>
      <c r="BW350" s="15" t="s">
        <v>92</v>
      </c>
      <c r="BX350" s="15" t="s">
        <v>92</v>
      </c>
      <c r="BY350" s="15" t="s">
        <v>92</v>
      </c>
      <c r="BZ350" s="15" t="s">
        <v>92</v>
      </c>
      <c r="CA350" s="15" t="s">
        <v>92</v>
      </c>
      <c r="CB350" s="17" t="s">
        <v>1582</v>
      </c>
      <c r="CC350" s="17" t="s">
        <v>1583</v>
      </c>
      <c r="CD350" s="18"/>
      <c r="CE350" s="18"/>
      <c r="CF350" s="18"/>
      <c r="CG350" s="18"/>
      <c r="CH350" s="14"/>
    </row>
    <row r="351">
      <c r="A351" s="8"/>
      <c r="B351" s="16" t="s">
        <v>1576</v>
      </c>
      <c r="C351" s="10" t="s">
        <v>1577</v>
      </c>
      <c r="D351" s="9" t="s">
        <v>87</v>
      </c>
      <c r="E351" s="11" t="s">
        <v>1584</v>
      </c>
      <c r="F351" s="12"/>
      <c r="G351" s="14" t="s">
        <v>1585</v>
      </c>
      <c r="H351" s="14" t="s">
        <v>110</v>
      </c>
      <c r="I351" s="14" t="s">
        <v>1586</v>
      </c>
      <c r="J351" s="14" t="s">
        <v>93</v>
      </c>
      <c r="K351" s="14" t="s">
        <v>92</v>
      </c>
      <c r="L351" s="14" t="s">
        <v>93</v>
      </c>
      <c r="M351" s="14" t="s">
        <v>92</v>
      </c>
      <c r="N351" s="14" t="s">
        <v>92</v>
      </c>
      <c r="O351" s="14" t="s">
        <v>92</v>
      </c>
      <c r="P351" s="14" t="s">
        <v>92</v>
      </c>
      <c r="Q351" s="14" t="s">
        <v>92</v>
      </c>
      <c r="R351" s="14" t="s">
        <v>92</v>
      </c>
      <c r="S351" s="14" t="s">
        <v>93</v>
      </c>
      <c r="T351" s="14" t="s">
        <v>92</v>
      </c>
      <c r="U351" s="14" t="s">
        <v>92</v>
      </c>
      <c r="V351" s="14" t="s">
        <v>92</v>
      </c>
      <c r="W351" s="14" t="s">
        <v>92</v>
      </c>
      <c r="X351" s="14" t="s">
        <v>92</v>
      </c>
      <c r="Y351" s="14" t="s">
        <v>92</v>
      </c>
      <c r="Z351" s="14" t="s">
        <v>93</v>
      </c>
      <c r="AA351" s="14" t="s">
        <v>92</v>
      </c>
      <c r="AB351" s="8" t="s">
        <v>92</v>
      </c>
      <c r="AC351" s="8" t="s">
        <v>93</v>
      </c>
      <c r="AD351" s="8" t="s">
        <v>92</v>
      </c>
      <c r="AE351" s="14" t="s">
        <v>112</v>
      </c>
      <c r="AF351" s="13" t="s">
        <v>92</v>
      </c>
      <c r="AG351" s="13" t="s">
        <v>95</v>
      </c>
      <c r="AH351" s="8">
        <v>2019.0</v>
      </c>
      <c r="AI351" s="14" t="s">
        <v>93</v>
      </c>
      <c r="AJ351" s="13" t="s">
        <v>93</v>
      </c>
      <c r="AK351" s="13" t="s">
        <v>92</v>
      </c>
      <c r="AL351" s="13" t="s">
        <v>92</v>
      </c>
      <c r="AM351" s="8" t="s">
        <v>105</v>
      </c>
      <c r="AN351" s="14" t="s">
        <v>105</v>
      </c>
      <c r="AO351" s="8" t="s">
        <v>93</v>
      </c>
      <c r="AP351" s="8" t="s">
        <v>92</v>
      </c>
      <c r="AQ351" s="13" t="s">
        <v>92</v>
      </c>
      <c r="AR351" s="14" t="s">
        <v>92</v>
      </c>
      <c r="AS351" s="13" t="s">
        <v>93</v>
      </c>
      <c r="AT351" s="13" t="s">
        <v>93</v>
      </c>
      <c r="AU351" s="13" t="s">
        <v>93</v>
      </c>
      <c r="AV351" s="13" t="s">
        <v>93</v>
      </c>
      <c r="AW351" s="13" t="s">
        <v>92</v>
      </c>
      <c r="AX351" s="13" t="s">
        <v>92</v>
      </c>
      <c r="AY351" s="8" t="s">
        <v>1587</v>
      </c>
      <c r="AZ351" s="8" t="s">
        <v>92</v>
      </c>
      <c r="BA351" s="9" t="s">
        <v>1588</v>
      </c>
      <c r="BB351" s="8" t="s">
        <v>95</v>
      </c>
      <c r="BC351" s="8" t="s">
        <v>93</v>
      </c>
      <c r="BD351" s="14" t="s">
        <v>93</v>
      </c>
      <c r="BE351" s="14" t="s">
        <v>92</v>
      </c>
      <c r="BF351" s="14" t="s">
        <v>92</v>
      </c>
      <c r="BG351" s="14" t="s">
        <v>92</v>
      </c>
      <c r="BH351" s="14" t="s">
        <v>92</v>
      </c>
      <c r="BI351" s="14" t="s">
        <v>92</v>
      </c>
      <c r="BJ351" s="14" t="s">
        <v>92</v>
      </c>
      <c r="BK351" s="14" t="s">
        <v>105</v>
      </c>
      <c r="BL351" s="14" t="s">
        <v>105</v>
      </c>
      <c r="BM351" s="14" t="s">
        <v>105</v>
      </c>
      <c r="BN351" s="14" t="s">
        <v>105</v>
      </c>
      <c r="BO351" s="14" t="s">
        <v>105</v>
      </c>
      <c r="BP351" s="14" t="s">
        <v>105</v>
      </c>
      <c r="BQ351" s="8" t="s">
        <v>92</v>
      </c>
      <c r="BR351" s="8" t="s">
        <v>92</v>
      </c>
      <c r="BS351" s="8" t="s">
        <v>92</v>
      </c>
      <c r="BT351" s="8" t="s">
        <v>93</v>
      </c>
      <c r="BU351" s="8" t="s">
        <v>92</v>
      </c>
      <c r="BV351" s="8" t="s">
        <v>92</v>
      </c>
      <c r="BW351" s="8" t="s">
        <v>92</v>
      </c>
      <c r="BX351" s="8" t="s">
        <v>92</v>
      </c>
      <c r="BY351" s="8" t="s">
        <v>92</v>
      </c>
      <c r="BZ351" s="8" t="s">
        <v>93</v>
      </c>
      <c r="CA351" s="8" t="s">
        <v>92</v>
      </c>
      <c r="CB351" s="17" t="s">
        <v>1108</v>
      </c>
      <c r="CC351" s="18"/>
      <c r="CD351" s="18"/>
      <c r="CE351" s="18"/>
      <c r="CF351" s="18"/>
      <c r="CG351" s="18"/>
      <c r="CH351" s="14"/>
    </row>
    <row r="352">
      <c r="A352" s="8"/>
      <c r="B352" s="16" t="s">
        <v>1576</v>
      </c>
      <c r="C352" s="10" t="s">
        <v>1577</v>
      </c>
      <c r="D352" s="9" t="s">
        <v>87</v>
      </c>
      <c r="E352" s="11" t="s">
        <v>1589</v>
      </c>
      <c r="F352" s="12"/>
      <c r="G352" s="13" t="s">
        <v>1590</v>
      </c>
      <c r="H352" s="13" t="s">
        <v>110</v>
      </c>
      <c r="I352" s="14" t="s">
        <v>1591</v>
      </c>
      <c r="J352" s="13" t="s">
        <v>93</v>
      </c>
      <c r="K352" s="13" t="s">
        <v>92</v>
      </c>
      <c r="L352" s="14" t="s">
        <v>93</v>
      </c>
      <c r="M352" s="13" t="s">
        <v>93</v>
      </c>
      <c r="N352" s="14" t="s">
        <v>92</v>
      </c>
      <c r="O352" s="14" t="s">
        <v>92</v>
      </c>
      <c r="P352" s="13" t="s">
        <v>92</v>
      </c>
      <c r="Q352" s="13" t="s">
        <v>92</v>
      </c>
      <c r="R352" s="13" t="s">
        <v>93</v>
      </c>
      <c r="S352" s="13" t="s">
        <v>93</v>
      </c>
      <c r="T352" s="13" t="s">
        <v>92</v>
      </c>
      <c r="U352" s="13" t="s">
        <v>92</v>
      </c>
      <c r="V352" s="13" t="s">
        <v>92</v>
      </c>
      <c r="W352" s="13" t="s">
        <v>92</v>
      </c>
      <c r="X352" s="13" t="s">
        <v>92</v>
      </c>
      <c r="Y352" s="13" t="s">
        <v>92</v>
      </c>
      <c r="Z352" s="14" t="s">
        <v>93</v>
      </c>
      <c r="AA352" s="14" t="s">
        <v>92</v>
      </c>
      <c r="AB352" s="15" t="s">
        <v>93</v>
      </c>
      <c r="AC352" s="15" t="s">
        <v>93</v>
      </c>
      <c r="AD352" s="15" t="s">
        <v>92</v>
      </c>
      <c r="AE352" s="14" t="s">
        <v>112</v>
      </c>
      <c r="AF352" s="13" t="s">
        <v>92</v>
      </c>
      <c r="AG352" s="13" t="s">
        <v>95</v>
      </c>
      <c r="AH352" s="15">
        <v>2021.0</v>
      </c>
      <c r="AI352" s="13" t="s">
        <v>92</v>
      </c>
      <c r="AJ352" s="13" t="s">
        <v>93</v>
      </c>
      <c r="AK352" s="13" t="s">
        <v>92</v>
      </c>
      <c r="AL352" s="13" t="s">
        <v>92</v>
      </c>
      <c r="AM352" s="8" t="s">
        <v>105</v>
      </c>
      <c r="AN352" s="14" t="s">
        <v>105</v>
      </c>
      <c r="AO352" s="8" t="s">
        <v>105</v>
      </c>
      <c r="AP352" s="15" t="s">
        <v>92</v>
      </c>
      <c r="AQ352" s="13" t="s">
        <v>92</v>
      </c>
      <c r="AR352" s="14" t="s">
        <v>92</v>
      </c>
      <c r="AS352" s="13" t="s">
        <v>93</v>
      </c>
      <c r="AT352" s="13" t="s">
        <v>93</v>
      </c>
      <c r="AU352" s="13" t="s">
        <v>93</v>
      </c>
      <c r="AV352" s="13" t="s">
        <v>93</v>
      </c>
      <c r="AW352" s="13" t="s">
        <v>92</v>
      </c>
      <c r="AX352" s="13" t="s">
        <v>92</v>
      </c>
      <c r="AY352" s="15" t="s">
        <v>1592</v>
      </c>
      <c r="AZ352" s="15" t="s">
        <v>93</v>
      </c>
      <c r="BA352" s="57" t="s">
        <v>1593</v>
      </c>
      <c r="BB352" s="8" t="s">
        <v>95</v>
      </c>
      <c r="BC352" s="15" t="s">
        <v>93</v>
      </c>
      <c r="BD352" s="14" t="s">
        <v>93</v>
      </c>
      <c r="BE352" s="13" t="s">
        <v>92</v>
      </c>
      <c r="BF352" s="13" t="s">
        <v>92</v>
      </c>
      <c r="BG352" s="13" t="s">
        <v>92</v>
      </c>
      <c r="BH352" s="13" t="s">
        <v>92</v>
      </c>
      <c r="BI352" s="14" t="s">
        <v>92</v>
      </c>
      <c r="BJ352" s="13" t="s">
        <v>92</v>
      </c>
      <c r="BK352" s="14" t="s">
        <v>105</v>
      </c>
      <c r="BL352" s="14" t="s">
        <v>105</v>
      </c>
      <c r="BM352" s="14" t="s">
        <v>105</v>
      </c>
      <c r="BN352" s="14" t="s">
        <v>105</v>
      </c>
      <c r="BO352" s="14" t="s">
        <v>105</v>
      </c>
      <c r="BP352" s="14" t="s">
        <v>105</v>
      </c>
      <c r="BQ352" s="15" t="s">
        <v>92</v>
      </c>
      <c r="BR352" s="15" t="s">
        <v>92</v>
      </c>
      <c r="BS352" s="15" t="s">
        <v>93</v>
      </c>
      <c r="BT352" s="15" t="s">
        <v>93</v>
      </c>
      <c r="BU352" s="15" t="s">
        <v>92</v>
      </c>
      <c r="BV352" s="8" t="s">
        <v>92</v>
      </c>
      <c r="BW352" s="15" t="s">
        <v>92</v>
      </c>
      <c r="BX352" s="15" t="s">
        <v>92</v>
      </c>
      <c r="BY352" s="15" t="s">
        <v>92</v>
      </c>
      <c r="BZ352" s="15" t="s">
        <v>92</v>
      </c>
      <c r="CA352" s="8" t="s">
        <v>93</v>
      </c>
      <c r="CB352" s="17" t="s">
        <v>1108</v>
      </c>
      <c r="CC352" s="17" t="s">
        <v>1594</v>
      </c>
      <c r="CD352" s="18"/>
      <c r="CE352" s="18"/>
      <c r="CF352" s="18"/>
      <c r="CG352" s="18"/>
      <c r="CH352" s="14"/>
    </row>
    <row r="353">
      <c r="A353" s="8"/>
      <c r="B353" s="16" t="s">
        <v>1576</v>
      </c>
      <c r="C353" s="10" t="s">
        <v>1577</v>
      </c>
      <c r="D353" s="9" t="s">
        <v>87</v>
      </c>
      <c r="E353" s="11" t="s">
        <v>1595</v>
      </c>
      <c r="F353" s="12"/>
      <c r="G353" s="14" t="s">
        <v>1596</v>
      </c>
      <c r="H353" s="14" t="s">
        <v>90</v>
      </c>
      <c r="I353" s="14" t="s">
        <v>1597</v>
      </c>
      <c r="J353" s="14" t="s">
        <v>93</v>
      </c>
      <c r="K353" s="14" t="s">
        <v>92</v>
      </c>
      <c r="L353" s="14" t="s">
        <v>93</v>
      </c>
      <c r="M353" s="14" t="s">
        <v>92</v>
      </c>
      <c r="N353" s="14" t="s">
        <v>92</v>
      </c>
      <c r="O353" s="14" t="s">
        <v>92</v>
      </c>
      <c r="P353" s="14" t="s">
        <v>92</v>
      </c>
      <c r="Q353" s="14" t="s">
        <v>92</v>
      </c>
      <c r="R353" s="14" t="s">
        <v>92</v>
      </c>
      <c r="S353" s="14" t="s">
        <v>92</v>
      </c>
      <c r="T353" s="14" t="s">
        <v>92</v>
      </c>
      <c r="U353" s="14" t="s">
        <v>92</v>
      </c>
      <c r="V353" s="14" t="s">
        <v>92</v>
      </c>
      <c r="W353" s="14" t="s">
        <v>92</v>
      </c>
      <c r="X353" s="14" t="s">
        <v>92</v>
      </c>
      <c r="Y353" s="14" t="s">
        <v>92</v>
      </c>
      <c r="Z353" s="14" t="s">
        <v>93</v>
      </c>
      <c r="AA353" s="14" t="s">
        <v>92</v>
      </c>
      <c r="AB353" s="8" t="s">
        <v>92</v>
      </c>
      <c r="AC353" s="8" t="s">
        <v>93</v>
      </c>
      <c r="AD353" s="8" t="s">
        <v>92</v>
      </c>
      <c r="AE353" s="14" t="s">
        <v>112</v>
      </c>
      <c r="AF353" s="13" t="s">
        <v>92</v>
      </c>
      <c r="AG353" s="13" t="s">
        <v>95</v>
      </c>
      <c r="AH353" s="15">
        <v>2021.0</v>
      </c>
      <c r="AI353" s="13" t="s">
        <v>92</v>
      </c>
      <c r="AJ353" s="13" t="s">
        <v>93</v>
      </c>
      <c r="AK353" s="13" t="s">
        <v>92</v>
      </c>
      <c r="AL353" s="13" t="s">
        <v>92</v>
      </c>
      <c r="AM353" s="8" t="s">
        <v>105</v>
      </c>
      <c r="AN353" s="14" t="s">
        <v>105</v>
      </c>
      <c r="AO353" s="8" t="s">
        <v>105</v>
      </c>
      <c r="AP353" s="8" t="s">
        <v>92</v>
      </c>
      <c r="AQ353" s="13" t="s">
        <v>92</v>
      </c>
      <c r="AR353" s="14" t="s">
        <v>92</v>
      </c>
      <c r="AS353" s="13" t="s">
        <v>93</v>
      </c>
      <c r="AT353" s="13" t="s">
        <v>93</v>
      </c>
      <c r="AU353" s="13" t="s">
        <v>93</v>
      </c>
      <c r="AV353" s="13" t="s">
        <v>93</v>
      </c>
      <c r="AW353" s="13" t="s">
        <v>92</v>
      </c>
      <c r="AX353" s="13" t="s">
        <v>92</v>
      </c>
      <c r="AY353" s="15" t="s">
        <v>95</v>
      </c>
      <c r="AZ353" s="15" t="s">
        <v>95</v>
      </c>
      <c r="BA353" s="16" t="s">
        <v>1576</v>
      </c>
      <c r="BB353" s="8" t="s">
        <v>213</v>
      </c>
      <c r="BC353" s="8" t="s">
        <v>92</v>
      </c>
      <c r="BD353" s="14" t="s">
        <v>93</v>
      </c>
      <c r="BE353" s="14" t="s">
        <v>92</v>
      </c>
      <c r="BF353" s="14" t="s">
        <v>92</v>
      </c>
      <c r="BG353" s="14" t="s">
        <v>92</v>
      </c>
      <c r="BH353" s="14" t="s">
        <v>92</v>
      </c>
      <c r="BI353" s="14" t="s">
        <v>92</v>
      </c>
      <c r="BJ353" s="14" t="s">
        <v>92</v>
      </c>
      <c r="BK353" s="14" t="s">
        <v>105</v>
      </c>
      <c r="BL353" s="14" t="s">
        <v>105</v>
      </c>
      <c r="BM353" s="14" t="s">
        <v>105</v>
      </c>
      <c r="BN353" s="14" t="s">
        <v>105</v>
      </c>
      <c r="BO353" s="14" t="s">
        <v>105</v>
      </c>
      <c r="BP353" s="14" t="s">
        <v>105</v>
      </c>
      <c r="BQ353" s="8" t="s">
        <v>92</v>
      </c>
      <c r="BR353" s="8" t="s">
        <v>92</v>
      </c>
      <c r="BS353" s="8" t="s">
        <v>92</v>
      </c>
      <c r="BT353" s="8" t="s">
        <v>93</v>
      </c>
      <c r="BU353" s="8" t="s">
        <v>92</v>
      </c>
      <c r="BV353" s="8" t="s">
        <v>92</v>
      </c>
      <c r="BW353" s="8" t="s">
        <v>92</v>
      </c>
      <c r="BX353" s="8" t="s">
        <v>92</v>
      </c>
      <c r="BY353" s="8" t="s">
        <v>92</v>
      </c>
      <c r="BZ353" s="8" t="s">
        <v>93</v>
      </c>
      <c r="CA353" s="8" t="s">
        <v>92</v>
      </c>
      <c r="CB353" s="17" t="s">
        <v>1108</v>
      </c>
      <c r="CC353" s="18"/>
      <c r="CD353" s="18"/>
      <c r="CE353" s="18"/>
      <c r="CF353" s="18"/>
      <c r="CG353" s="18"/>
      <c r="CH353" s="14"/>
    </row>
    <row r="354">
      <c r="A354" s="8"/>
      <c r="B354" s="16" t="s">
        <v>1576</v>
      </c>
      <c r="C354" s="10" t="s">
        <v>1577</v>
      </c>
      <c r="D354" s="9" t="s">
        <v>87</v>
      </c>
      <c r="E354" s="11" t="s">
        <v>1598</v>
      </c>
      <c r="F354" s="12"/>
      <c r="G354" s="64" t="s">
        <v>1599</v>
      </c>
      <c r="H354" s="64" t="s">
        <v>90</v>
      </c>
      <c r="I354" s="26" t="s">
        <v>1600</v>
      </c>
      <c r="J354" s="13" t="s">
        <v>92</v>
      </c>
      <c r="K354" s="13" t="s">
        <v>92</v>
      </c>
      <c r="L354" s="14" t="s">
        <v>92</v>
      </c>
      <c r="M354" s="13" t="s">
        <v>93</v>
      </c>
      <c r="N354" s="14" t="s">
        <v>92</v>
      </c>
      <c r="O354" s="13" t="s">
        <v>93</v>
      </c>
      <c r="P354" s="13" t="s">
        <v>93</v>
      </c>
      <c r="Q354" s="13" t="s">
        <v>92</v>
      </c>
      <c r="R354" s="13" t="s">
        <v>92</v>
      </c>
      <c r="S354" s="13" t="s">
        <v>93</v>
      </c>
      <c r="T354" s="13" t="s">
        <v>93</v>
      </c>
      <c r="U354" s="13" t="s">
        <v>92</v>
      </c>
      <c r="V354" s="13" t="s">
        <v>92</v>
      </c>
      <c r="W354" s="13" t="s">
        <v>92</v>
      </c>
      <c r="X354" s="13" t="s">
        <v>92</v>
      </c>
      <c r="Y354" s="13" t="s">
        <v>92</v>
      </c>
      <c r="Z354" s="14" t="s">
        <v>93</v>
      </c>
      <c r="AA354" s="14" t="s">
        <v>93</v>
      </c>
      <c r="AB354" s="15" t="s">
        <v>93</v>
      </c>
      <c r="AC354" s="15" t="s">
        <v>93</v>
      </c>
      <c r="AD354" s="15" t="s">
        <v>92</v>
      </c>
      <c r="AE354" s="14" t="s">
        <v>112</v>
      </c>
      <c r="AF354" s="13" t="s">
        <v>92</v>
      </c>
      <c r="AG354" s="13" t="s">
        <v>95</v>
      </c>
      <c r="AH354" s="15">
        <v>2022.0</v>
      </c>
      <c r="AI354" s="13" t="s">
        <v>92</v>
      </c>
      <c r="AJ354" s="13" t="s">
        <v>92</v>
      </c>
      <c r="AK354" s="13" t="s">
        <v>93</v>
      </c>
      <c r="AL354" s="13" t="s">
        <v>93</v>
      </c>
      <c r="AM354" s="15" t="s">
        <v>95</v>
      </c>
      <c r="AN354" s="13" t="s">
        <v>114</v>
      </c>
      <c r="AO354" s="15" t="s">
        <v>93</v>
      </c>
      <c r="AP354" s="15" t="s">
        <v>92</v>
      </c>
      <c r="AQ354" s="13" t="s">
        <v>92</v>
      </c>
      <c r="AR354" s="14" t="s">
        <v>92</v>
      </c>
      <c r="AS354" s="13" t="s">
        <v>93</v>
      </c>
      <c r="AT354" s="13" t="s">
        <v>93</v>
      </c>
      <c r="AU354" s="13" t="s">
        <v>93</v>
      </c>
      <c r="AV354" s="13" t="s">
        <v>93</v>
      </c>
      <c r="AW354" s="13" t="s">
        <v>92</v>
      </c>
      <c r="AX354" s="13" t="s">
        <v>92</v>
      </c>
      <c r="AY354" s="15" t="s">
        <v>1601</v>
      </c>
      <c r="AZ354" s="15" t="s">
        <v>93</v>
      </c>
      <c r="BA354" s="9" t="s">
        <v>1602</v>
      </c>
      <c r="BB354" s="8" t="s">
        <v>95</v>
      </c>
      <c r="BC354" s="15" t="s">
        <v>93</v>
      </c>
      <c r="BD354" s="13" t="s">
        <v>93</v>
      </c>
      <c r="BE354" s="13" t="s">
        <v>93</v>
      </c>
      <c r="BF354" s="13" t="s">
        <v>93</v>
      </c>
      <c r="BG354" s="13" t="s">
        <v>92</v>
      </c>
      <c r="BH354" s="13" t="s">
        <v>93</v>
      </c>
      <c r="BI354" s="14" t="s">
        <v>92</v>
      </c>
      <c r="BJ354" s="13" t="s">
        <v>92</v>
      </c>
      <c r="BK354" s="14" t="s">
        <v>1603</v>
      </c>
      <c r="BL354" s="13" t="s">
        <v>93</v>
      </c>
      <c r="BM354" s="13" t="s">
        <v>93</v>
      </c>
      <c r="BN354" s="13" t="s">
        <v>92</v>
      </c>
      <c r="BO354" s="13" t="s">
        <v>93</v>
      </c>
      <c r="BP354" s="13" t="s">
        <v>92</v>
      </c>
      <c r="BQ354" s="15" t="s">
        <v>92</v>
      </c>
      <c r="BR354" s="15" t="s">
        <v>93</v>
      </c>
      <c r="BS354" s="15" t="s">
        <v>93</v>
      </c>
      <c r="BT354" s="15" t="s">
        <v>93</v>
      </c>
      <c r="BU354" s="15" t="s">
        <v>93</v>
      </c>
      <c r="BV354" s="15" t="s">
        <v>93</v>
      </c>
      <c r="BW354" s="15" t="s">
        <v>92</v>
      </c>
      <c r="BX354" s="15" t="s">
        <v>93</v>
      </c>
      <c r="BY354" s="15" t="s">
        <v>92</v>
      </c>
      <c r="BZ354" s="8" t="s">
        <v>93</v>
      </c>
      <c r="CA354" s="15" t="s">
        <v>92</v>
      </c>
      <c r="CB354" s="17" t="s">
        <v>766</v>
      </c>
      <c r="CC354" s="17" t="s">
        <v>1604</v>
      </c>
      <c r="CD354" s="17" t="s">
        <v>1605</v>
      </c>
      <c r="CE354" s="18"/>
      <c r="CF354" s="18"/>
      <c r="CG354" s="18"/>
      <c r="CH354" s="14"/>
    </row>
    <row r="355">
      <c r="A355" s="8"/>
      <c r="B355" s="28" t="s">
        <v>1576</v>
      </c>
      <c r="C355" s="10" t="s">
        <v>1577</v>
      </c>
      <c r="D355" s="9" t="s">
        <v>87</v>
      </c>
      <c r="E355" s="11" t="s">
        <v>1606</v>
      </c>
      <c r="F355" s="12"/>
      <c r="G355" s="13" t="s">
        <v>1607</v>
      </c>
      <c r="H355" s="13" t="s">
        <v>90</v>
      </c>
      <c r="I355" s="13" t="s">
        <v>1608</v>
      </c>
      <c r="J355" s="13" t="s">
        <v>92</v>
      </c>
      <c r="K355" s="13" t="s">
        <v>92</v>
      </c>
      <c r="L355" s="13" t="s">
        <v>92</v>
      </c>
      <c r="M355" s="13" t="s">
        <v>93</v>
      </c>
      <c r="N355" s="14" t="s">
        <v>92</v>
      </c>
      <c r="O355" s="13" t="s">
        <v>92</v>
      </c>
      <c r="P355" s="13" t="s">
        <v>92</v>
      </c>
      <c r="Q355" s="13" t="s">
        <v>92</v>
      </c>
      <c r="R355" s="13" t="s">
        <v>93</v>
      </c>
      <c r="S355" s="13" t="s">
        <v>93</v>
      </c>
      <c r="T355" s="13" t="s">
        <v>93</v>
      </c>
      <c r="U355" s="13" t="s">
        <v>92</v>
      </c>
      <c r="V355" s="13" t="s">
        <v>92</v>
      </c>
      <c r="W355" s="13" t="s">
        <v>92</v>
      </c>
      <c r="X355" s="13" t="s">
        <v>92</v>
      </c>
      <c r="Y355" s="13" t="s">
        <v>92</v>
      </c>
      <c r="Z355" s="13" t="s">
        <v>92</v>
      </c>
      <c r="AA355" s="14" t="s">
        <v>92</v>
      </c>
      <c r="AB355" s="15" t="s">
        <v>93</v>
      </c>
      <c r="AC355" s="15" t="s">
        <v>92</v>
      </c>
      <c r="AD355" s="15" t="s">
        <v>92</v>
      </c>
      <c r="AE355" s="13" t="s">
        <v>287</v>
      </c>
      <c r="AF355" s="13" t="s">
        <v>92</v>
      </c>
      <c r="AG355" s="13" t="s">
        <v>95</v>
      </c>
      <c r="AH355" s="15">
        <v>2022.0</v>
      </c>
      <c r="AI355" s="13" t="s">
        <v>92</v>
      </c>
      <c r="AJ355" s="13" t="s">
        <v>92</v>
      </c>
      <c r="AK355" s="13" t="s">
        <v>93</v>
      </c>
      <c r="AL355" s="13" t="s">
        <v>93</v>
      </c>
      <c r="AM355" s="15" t="s">
        <v>95</v>
      </c>
      <c r="AN355" s="13" t="s">
        <v>114</v>
      </c>
      <c r="AO355" s="15" t="s">
        <v>93</v>
      </c>
      <c r="AP355" s="15" t="s">
        <v>92</v>
      </c>
      <c r="AQ355" s="13" t="s">
        <v>92</v>
      </c>
      <c r="AR355" s="14" t="s">
        <v>92</v>
      </c>
      <c r="AS355" s="13" t="s">
        <v>93</v>
      </c>
      <c r="AT355" s="13" t="s">
        <v>93</v>
      </c>
      <c r="AU355" s="13" t="s">
        <v>93</v>
      </c>
      <c r="AV355" s="13" t="s">
        <v>93</v>
      </c>
      <c r="AW355" s="13" t="s">
        <v>92</v>
      </c>
      <c r="AX355" s="13" t="s">
        <v>92</v>
      </c>
      <c r="AY355" s="15" t="s">
        <v>95</v>
      </c>
      <c r="AZ355" s="15" t="s">
        <v>95</v>
      </c>
      <c r="BA355" s="16" t="s">
        <v>1609</v>
      </c>
      <c r="BB355" s="8" t="s">
        <v>95</v>
      </c>
      <c r="BC355" s="8" t="s">
        <v>93</v>
      </c>
      <c r="BD355" s="13" t="s">
        <v>93</v>
      </c>
      <c r="BE355" s="13" t="s">
        <v>92</v>
      </c>
      <c r="BF355" s="13" t="s">
        <v>92</v>
      </c>
      <c r="BG355" s="13" t="s">
        <v>92</v>
      </c>
      <c r="BH355" s="13" t="s">
        <v>92</v>
      </c>
      <c r="BI355" s="13" t="s">
        <v>93</v>
      </c>
      <c r="BJ355" s="13" t="s">
        <v>92</v>
      </c>
      <c r="BK355" s="14" t="s">
        <v>156</v>
      </c>
      <c r="BL355" s="13" t="s">
        <v>92</v>
      </c>
      <c r="BM355" s="13" t="s">
        <v>92</v>
      </c>
      <c r="BN355" s="13" t="s">
        <v>92</v>
      </c>
      <c r="BO355" s="13" t="s">
        <v>92</v>
      </c>
      <c r="BP355" s="13" t="s">
        <v>93</v>
      </c>
      <c r="BQ355" s="15" t="s">
        <v>93</v>
      </c>
      <c r="BR355" s="15" t="s">
        <v>93</v>
      </c>
      <c r="BS355" s="15" t="s">
        <v>92</v>
      </c>
      <c r="BT355" s="15" t="s">
        <v>92</v>
      </c>
      <c r="BU355" s="15" t="s">
        <v>92</v>
      </c>
      <c r="BV355" s="15" t="s">
        <v>92</v>
      </c>
      <c r="BW355" s="15" t="s">
        <v>92</v>
      </c>
      <c r="BX355" s="15" t="s">
        <v>92</v>
      </c>
      <c r="BY355" s="15" t="s">
        <v>92</v>
      </c>
      <c r="BZ355" s="15" t="s">
        <v>92</v>
      </c>
      <c r="CA355" s="8" t="s">
        <v>93</v>
      </c>
      <c r="CB355" s="17" t="s">
        <v>1604</v>
      </c>
      <c r="CC355" s="17"/>
      <c r="CD355" s="18"/>
      <c r="CE355" s="18"/>
      <c r="CF355" s="18"/>
      <c r="CG355" s="18"/>
      <c r="CH355" s="14"/>
    </row>
    <row r="356">
      <c r="A356" s="8"/>
      <c r="B356" s="16" t="s">
        <v>1576</v>
      </c>
      <c r="C356" s="10" t="s">
        <v>1577</v>
      </c>
      <c r="D356" s="9" t="s">
        <v>87</v>
      </c>
      <c r="E356" s="11" t="s">
        <v>1610</v>
      </c>
      <c r="F356" s="12"/>
      <c r="G356" s="14" t="s">
        <v>1611</v>
      </c>
      <c r="H356" s="14" t="s">
        <v>90</v>
      </c>
      <c r="I356" s="14" t="s">
        <v>1612</v>
      </c>
      <c r="J356" s="14" t="s">
        <v>92</v>
      </c>
      <c r="K356" s="14" t="s">
        <v>92</v>
      </c>
      <c r="L356" s="14" t="s">
        <v>93</v>
      </c>
      <c r="M356" s="14" t="s">
        <v>92</v>
      </c>
      <c r="N356" s="14" t="s">
        <v>92</v>
      </c>
      <c r="O356" s="14" t="s">
        <v>92</v>
      </c>
      <c r="P356" s="14" t="s">
        <v>92</v>
      </c>
      <c r="Q356" s="14" t="s">
        <v>92</v>
      </c>
      <c r="R356" s="14" t="s">
        <v>92</v>
      </c>
      <c r="S356" s="14" t="s">
        <v>93</v>
      </c>
      <c r="T356" s="14" t="s">
        <v>92</v>
      </c>
      <c r="U356" s="14" t="s">
        <v>92</v>
      </c>
      <c r="V356" s="14" t="s">
        <v>92</v>
      </c>
      <c r="W356" s="14" t="s">
        <v>92</v>
      </c>
      <c r="X356" s="14" t="s">
        <v>92</v>
      </c>
      <c r="Y356" s="14" t="s">
        <v>92</v>
      </c>
      <c r="Z356" s="14" t="s">
        <v>93</v>
      </c>
      <c r="AA356" s="14" t="s">
        <v>92</v>
      </c>
      <c r="AB356" s="8" t="s">
        <v>92</v>
      </c>
      <c r="AC356" s="8" t="s">
        <v>93</v>
      </c>
      <c r="AD356" s="8" t="s">
        <v>92</v>
      </c>
      <c r="AE356" s="14" t="s">
        <v>112</v>
      </c>
      <c r="AF356" s="14" t="s">
        <v>92</v>
      </c>
      <c r="AG356" s="13" t="s">
        <v>95</v>
      </c>
      <c r="AH356" s="15">
        <v>2022.0</v>
      </c>
      <c r="AI356" s="13" t="s">
        <v>92</v>
      </c>
      <c r="AJ356" s="13" t="s">
        <v>92</v>
      </c>
      <c r="AK356" s="13" t="s">
        <v>93</v>
      </c>
      <c r="AL356" s="14" t="s">
        <v>93</v>
      </c>
      <c r="AM356" s="8" t="s">
        <v>95</v>
      </c>
      <c r="AN356" s="14" t="s">
        <v>114</v>
      </c>
      <c r="AO356" s="8" t="s">
        <v>93</v>
      </c>
      <c r="AP356" s="8" t="s">
        <v>92</v>
      </c>
      <c r="AQ356" s="13" t="s">
        <v>92</v>
      </c>
      <c r="AR356" s="14" t="s">
        <v>92</v>
      </c>
      <c r="AS356" s="13" t="s">
        <v>93</v>
      </c>
      <c r="AT356" s="13" t="s">
        <v>93</v>
      </c>
      <c r="AU356" s="13" t="s">
        <v>93</v>
      </c>
      <c r="AV356" s="13" t="s">
        <v>93</v>
      </c>
      <c r="AW356" s="13" t="s">
        <v>92</v>
      </c>
      <c r="AX356" s="13" t="s">
        <v>92</v>
      </c>
      <c r="AY356" s="15" t="s">
        <v>95</v>
      </c>
      <c r="AZ356" s="15" t="s">
        <v>95</v>
      </c>
      <c r="BA356" s="9" t="s">
        <v>1613</v>
      </c>
      <c r="BB356" s="8" t="s">
        <v>143</v>
      </c>
      <c r="BC356" s="8" t="s">
        <v>92</v>
      </c>
      <c r="BD356" s="13" t="s">
        <v>93</v>
      </c>
      <c r="BE356" s="13" t="s">
        <v>92</v>
      </c>
      <c r="BF356" s="13" t="s">
        <v>92</v>
      </c>
      <c r="BG356" s="13" t="s">
        <v>92</v>
      </c>
      <c r="BH356" s="13" t="s">
        <v>92</v>
      </c>
      <c r="BI356" s="13" t="s">
        <v>93</v>
      </c>
      <c r="BJ356" s="13" t="s">
        <v>92</v>
      </c>
      <c r="BK356" s="14" t="s">
        <v>105</v>
      </c>
      <c r="BL356" s="14" t="s">
        <v>105</v>
      </c>
      <c r="BM356" s="14" t="s">
        <v>105</v>
      </c>
      <c r="BN356" s="14" t="s">
        <v>105</v>
      </c>
      <c r="BO356" s="14" t="s">
        <v>105</v>
      </c>
      <c r="BP356" s="14" t="s">
        <v>105</v>
      </c>
      <c r="BQ356" s="8" t="s">
        <v>92</v>
      </c>
      <c r="BR356" s="8" t="s">
        <v>92</v>
      </c>
      <c r="BS356" s="8" t="s">
        <v>92</v>
      </c>
      <c r="BT356" s="8" t="s">
        <v>93</v>
      </c>
      <c r="BU356" s="8" t="s">
        <v>92</v>
      </c>
      <c r="BV356" s="8" t="s">
        <v>92</v>
      </c>
      <c r="BW356" s="8" t="s">
        <v>92</v>
      </c>
      <c r="BX356" s="8" t="s">
        <v>92</v>
      </c>
      <c r="BY356" s="8" t="s">
        <v>92</v>
      </c>
      <c r="BZ356" s="8" t="s">
        <v>93</v>
      </c>
      <c r="CA356" s="8" t="s">
        <v>92</v>
      </c>
      <c r="CB356" s="17" t="s">
        <v>766</v>
      </c>
      <c r="CC356" s="18"/>
      <c r="CD356" s="18"/>
      <c r="CE356" s="18"/>
      <c r="CF356" s="18"/>
      <c r="CG356" s="18"/>
      <c r="CH356" s="14"/>
    </row>
    <row r="357">
      <c r="A357" s="8"/>
      <c r="B357" s="16" t="s">
        <v>1576</v>
      </c>
      <c r="C357" s="10" t="s">
        <v>1577</v>
      </c>
      <c r="D357" s="9" t="s">
        <v>87</v>
      </c>
      <c r="E357" s="11" t="s">
        <v>1614</v>
      </c>
      <c r="F357" s="12"/>
      <c r="G357" s="13" t="s">
        <v>1615</v>
      </c>
      <c r="H357" s="13" t="s">
        <v>110</v>
      </c>
      <c r="I357" s="14" t="s">
        <v>1616</v>
      </c>
      <c r="J357" s="13" t="s">
        <v>93</v>
      </c>
      <c r="K357" s="13" t="s">
        <v>92</v>
      </c>
      <c r="L357" s="13" t="s">
        <v>93</v>
      </c>
      <c r="M357" s="14" t="s">
        <v>92</v>
      </c>
      <c r="N357" s="14" t="s">
        <v>92</v>
      </c>
      <c r="O357" s="14" t="s">
        <v>92</v>
      </c>
      <c r="P357" s="13" t="s">
        <v>92</v>
      </c>
      <c r="Q357" s="13" t="s">
        <v>92</v>
      </c>
      <c r="R357" s="13" t="s">
        <v>92</v>
      </c>
      <c r="S357" s="13" t="s">
        <v>93</v>
      </c>
      <c r="T357" s="13" t="s">
        <v>92</v>
      </c>
      <c r="U357" s="13" t="s">
        <v>92</v>
      </c>
      <c r="V357" s="13" t="s">
        <v>92</v>
      </c>
      <c r="W357" s="13" t="s">
        <v>92</v>
      </c>
      <c r="X357" s="13" t="s">
        <v>92</v>
      </c>
      <c r="Y357" s="13" t="s">
        <v>92</v>
      </c>
      <c r="Z357" s="13" t="s">
        <v>93</v>
      </c>
      <c r="AA357" s="14" t="s">
        <v>92</v>
      </c>
      <c r="AB357" s="15" t="s">
        <v>93</v>
      </c>
      <c r="AC357" s="15" t="s">
        <v>93</v>
      </c>
      <c r="AD357" s="8" t="s">
        <v>93</v>
      </c>
      <c r="AE357" s="14" t="s">
        <v>112</v>
      </c>
      <c r="AF357" s="13" t="s">
        <v>92</v>
      </c>
      <c r="AG357" s="13" t="s">
        <v>95</v>
      </c>
      <c r="AH357" s="15">
        <v>2015.0</v>
      </c>
      <c r="AI357" s="13" t="s">
        <v>93</v>
      </c>
      <c r="AJ357" s="13" t="s">
        <v>93</v>
      </c>
      <c r="AK357" s="13" t="s">
        <v>93</v>
      </c>
      <c r="AL357" s="13" t="s">
        <v>93</v>
      </c>
      <c r="AM357" s="15" t="s">
        <v>95</v>
      </c>
      <c r="AN357" s="13" t="s">
        <v>114</v>
      </c>
      <c r="AO357" s="15" t="s">
        <v>93</v>
      </c>
      <c r="AP357" s="15" t="s">
        <v>92</v>
      </c>
      <c r="AQ357" s="13" t="s">
        <v>92</v>
      </c>
      <c r="AR357" s="14" t="s">
        <v>92</v>
      </c>
      <c r="AS357" s="13" t="s">
        <v>93</v>
      </c>
      <c r="AT357" s="13" t="s">
        <v>93</v>
      </c>
      <c r="AU357" s="13" t="s">
        <v>93</v>
      </c>
      <c r="AV357" s="13" t="s">
        <v>93</v>
      </c>
      <c r="AW357" s="13" t="s">
        <v>92</v>
      </c>
      <c r="AX357" s="13" t="s">
        <v>92</v>
      </c>
      <c r="AY357" s="15" t="s">
        <v>95</v>
      </c>
      <c r="AZ357" s="15" t="s">
        <v>95</v>
      </c>
      <c r="BA357" s="16" t="s">
        <v>1576</v>
      </c>
      <c r="BB357" s="8" t="s">
        <v>213</v>
      </c>
      <c r="BC357" s="15" t="s">
        <v>92</v>
      </c>
      <c r="BD357" s="13" t="s">
        <v>93</v>
      </c>
      <c r="BE357" s="13" t="s">
        <v>92</v>
      </c>
      <c r="BF357" s="13" t="s">
        <v>92</v>
      </c>
      <c r="BG357" s="13" t="s">
        <v>92</v>
      </c>
      <c r="BH357" s="13" t="s">
        <v>92</v>
      </c>
      <c r="BI357" s="14" t="s">
        <v>92</v>
      </c>
      <c r="BJ357" s="13" t="s">
        <v>92</v>
      </c>
      <c r="BK357" s="9" t="s">
        <v>95</v>
      </c>
      <c r="BL357" s="14" t="s">
        <v>93</v>
      </c>
      <c r="BM357" s="14" t="s">
        <v>93</v>
      </c>
      <c r="BN357" s="14" t="s">
        <v>93</v>
      </c>
      <c r="BO357" s="14" t="s">
        <v>93</v>
      </c>
      <c r="BP357" s="14" t="s">
        <v>93</v>
      </c>
      <c r="BQ357" s="15" t="s">
        <v>92</v>
      </c>
      <c r="BR357" s="15" t="s">
        <v>92</v>
      </c>
      <c r="BS357" s="15" t="s">
        <v>92</v>
      </c>
      <c r="BT357" s="15" t="s">
        <v>93</v>
      </c>
      <c r="BU357" s="15" t="s">
        <v>92</v>
      </c>
      <c r="BV357" s="8" t="s">
        <v>92</v>
      </c>
      <c r="BW357" s="15" t="s">
        <v>92</v>
      </c>
      <c r="BX357" s="15" t="s">
        <v>92</v>
      </c>
      <c r="BY357" s="15" t="s">
        <v>92</v>
      </c>
      <c r="BZ357" s="8" t="s">
        <v>93</v>
      </c>
      <c r="CA357" s="15" t="s">
        <v>92</v>
      </c>
      <c r="CB357" s="17" t="s">
        <v>1617</v>
      </c>
      <c r="CC357" s="17" t="s">
        <v>1618</v>
      </c>
      <c r="CD357" s="18"/>
      <c r="CE357" s="18"/>
      <c r="CF357" s="18"/>
      <c r="CG357" s="18"/>
      <c r="CH357" s="14"/>
    </row>
    <row r="358">
      <c r="A358" s="8"/>
      <c r="B358" s="16" t="s">
        <v>1576</v>
      </c>
      <c r="C358" s="10" t="s">
        <v>1577</v>
      </c>
      <c r="D358" s="9" t="s">
        <v>87</v>
      </c>
      <c r="E358" s="11" t="s">
        <v>1619</v>
      </c>
      <c r="F358" s="12"/>
      <c r="G358" s="13" t="s">
        <v>1620</v>
      </c>
      <c r="H358" s="13" t="s">
        <v>90</v>
      </c>
      <c r="I358" s="13" t="s">
        <v>1621</v>
      </c>
      <c r="J358" s="13" t="s">
        <v>93</v>
      </c>
      <c r="K358" s="13" t="s">
        <v>92</v>
      </c>
      <c r="L358" s="13" t="s">
        <v>93</v>
      </c>
      <c r="M358" s="13" t="s">
        <v>92</v>
      </c>
      <c r="N358" s="14" t="s">
        <v>92</v>
      </c>
      <c r="O358" s="14" t="s">
        <v>92</v>
      </c>
      <c r="P358" s="13" t="s">
        <v>92</v>
      </c>
      <c r="Q358" s="13" t="s">
        <v>92</v>
      </c>
      <c r="R358" s="13" t="s">
        <v>92</v>
      </c>
      <c r="S358" s="13" t="s">
        <v>93</v>
      </c>
      <c r="T358" s="13" t="s">
        <v>92</v>
      </c>
      <c r="U358" s="13" t="s">
        <v>92</v>
      </c>
      <c r="V358" s="13" t="s">
        <v>92</v>
      </c>
      <c r="W358" s="13" t="s">
        <v>92</v>
      </c>
      <c r="X358" s="13" t="s">
        <v>92</v>
      </c>
      <c r="Y358" s="13" t="s">
        <v>92</v>
      </c>
      <c r="Z358" s="13" t="s">
        <v>93</v>
      </c>
      <c r="AA358" s="14" t="s">
        <v>92</v>
      </c>
      <c r="AB358" s="15" t="s">
        <v>92</v>
      </c>
      <c r="AC358" s="15" t="s">
        <v>93</v>
      </c>
      <c r="AD358" s="8" t="s">
        <v>93</v>
      </c>
      <c r="AE358" s="14" t="s">
        <v>112</v>
      </c>
      <c r="AF358" s="13" t="s">
        <v>92</v>
      </c>
      <c r="AG358" s="13" t="s">
        <v>95</v>
      </c>
      <c r="AH358" s="15">
        <v>2022.0</v>
      </c>
      <c r="AI358" s="13" t="s">
        <v>92</v>
      </c>
      <c r="AJ358" s="13" t="s">
        <v>92</v>
      </c>
      <c r="AK358" s="13" t="s">
        <v>93</v>
      </c>
      <c r="AL358" s="13" t="s">
        <v>93</v>
      </c>
      <c r="AM358" s="15" t="s">
        <v>95</v>
      </c>
      <c r="AN358" s="13" t="s">
        <v>114</v>
      </c>
      <c r="AO358" s="15" t="s">
        <v>93</v>
      </c>
      <c r="AP358" s="15" t="s">
        <v>92</v>
      </c>
      <c r="AQ358" s="13" t="s">
        <v>92</v>
      </c>
      <c r="AR358" s="14" t="s">
        <v>92</v>
      </c>
      <c r="AS358" s="13" t="s">
        <v>93</v>
      </c>
      <c r="AT358" s="13" t="s">
        <v>93</v>
      </c>
      <c r="AU358" s="13" t="s">
        <v>93</v>
      </c>
      <c r="AV358" s="13" t="s">
        <v>93</v>
      </c>
      <c r="AW358" s="13" t="s">
        <v>92</v>
      </c>
      <c r="AX358" s="13" t="s">
        <v>92</v>
      </c>
      <c r="AY358" s="15" t="s">
        <v>95</v>
      </c>
      <c r="AZ358" s="15" t="s">
        <v>95</v>
      </c>
      <c r="BA358" s="16" t="s">
        <v>1576</v>
      </c>
      <c r="BB358" s="8" t="s">
        <v>213</v>
      </c>
      <c r="BC358" s="15" t="s">
        <v>92</v>
      </c>
      <c r="BD358" s="13" t="s">
        <v>93</v>
      </c>
      <c r="BE358" s="13" t="s">
        <v>92</v>
      </c>
      <c r="BF358" s="13" t="s">
        <v>92</v>
      </c>
      <c r="BG358" s="13" t="s">
        <v>92</v>
      </c>
      <c r="BH358" s="13" t="s">
        <v>92</v>
      </c>
      <c r="BI358" s="13" t="s">
        <v>92</v>
      </c>
      <c r="BJ358" s="13" t="s">
        <v>92</v>
      </c>
      <c r="BK358" s="14" t="s">
        <v>453</v>
      </c>
      <c r="BL358" s="13" t="s">
        <v>92</v>
      </c>
      <c r="BM358" s="13" t="s">
        <v>92</v>
      </c>
      <c r="BN358" s="13" t="s">
        <v>92</v>
      </c>
      <c r="BO358" s="13" t="s">
        <v>93</v>
      </c>
      <c r="BP358" s="13" t="s">
        <v>93</v>
      </c>
      <c r="BQ358" s="15" t="s">
        <v>92</v>
      </c>
      <c r="BR358" s="15" t="s">
        <v>92</v>
      </c>
      <c r="BS358" s="15" t="s">
        <v>92</v>
      </c>
      <c r="BT358" s="15" t="s">
        <v>93</v>
      </c>
      <c r="BU358" s="15" t="s">
        <v>92</v>
      </c>
      <c r="BV358" s="8" t="s">
        <v>92</v>
      </c>
      <c r="BW358" s="15" t="s">
        <v>92</v>
      </c>
      <c r="BX358" s="15" t="s">
        <v>92</v>
      </c>
      <c r="BY358" s="15" t="s">
        <v>92</v>
      </c>
      <c r="BZ358" s="15" t="s">
        <v>93</v>
      </c>
      <c r="CA358" s="15" t="s">
        <v>92</v>
      </c>
      <c r="CB358" s="17" t="s">
        <v>1622</v>
      </c>
      <c r="CC358" s="18"/>
      <c r="CD358" s="18"/>
      <c r="CE358" s="18"/>
      <c r="CF358" s="18"/>
      <c r="CG358" s="18"/>
      <c r="CH358" s="14"/>
    </row>
    <row r="359">
      <c r="A359" s="8"/>
      <c r="B359" s="16" t="s">
        <v>1576</v>
      </c>
      <c r="C359" s="10" t="s">
        <v>1577</v>
      </c>
      <c r="D359" s="9" t="s">
        <v>87</v>
      </c>
      <c r="E359" s="11" t="s">
        <v>1623</v>
      </c>
      <c r="F359" s="12"/>
      <c r="G359" s="13" t="s">
        <v>1624</v>
      </c>
      <c r="H359" s="13" t="s">
        <v>90</v>
      </c>
      <c r="I359" s="13" t="s">
        <v>1625</v>
      </c>
      <c r="J359" s="13" t="s">
        <v>93</v>
      </c>
      <c r="K359" s="13" t="s">
        <v>92</v>
      </c>
      <c r="L359" s="13" t="s">
        <v>93</v>
      </c>
      <c r="M359" s="14" t="s">
        <v>92</v>
      </c>
      <c r="N359" s="14" t="s">
        <v>92</v>
      </c>
      <c r="O359" s="14" t="s">
        <v>92</v>
      </c>
      <c r="P359" s="13" t="s">
        <v>92</v>
      </c>
      <c r="Q359" s="13" t="s">
        <v>92</v>
      </c>
      <c r="R359" s="13" t="s">
        <v>92</v>
      </c>
      <c r="S359" s="13" t="s">
        <v>93</v>
      </c>
      <c r="T359" s="13" t="s">
        <v>92</v>
      </c>
      <c r="U359" s="13" t="s">
        <v>92</v>
      </c>
      <c r="V359" s="13" t="s">
        <v>92</v>
      </c>
      <c r="W359" s="13" t="s">
        <v>92</v>
      </c>
      <c r="X359" s="13" t="s">
        <v>92</v>
      </c>
      <c r="Y359" s="13" t="s">
        <v>92</v>
      </c>
      <c r="Z359" s="13" t="s">
        <v>93</v>
      </c>
      <c r="AA359" s="14" t="s">
        <v>92</v>
      </c>
      <c r="AB359" s="15" t="s">
        <v>93</v>
      </c>
      <c r="AC359" s="15" t="s">
        <v>93</v>
      </c>
      <c r="AD359" s="15" t="s">
        <v>92</v>
      </c>
      <c r="AE359" s="14" t="s">
        <v>112</v>
      </c>
      <c r="AF359" s="13" t="s">
        <v>92</v>
      </c>
      <c r="AG359" s="13" t="s">
        <v>95</v>
      </c>
      <c r="AH359" s="15">
        <v>2023.0</v>
      </c>
      <c r="AI359" s="13" t="s">
        <v>92</v>
      </c>
      <c r="AJ359" s="13" t="s">
        <v>92</v>
      </c>
      <c r="AK359" s="13" t="s">
        <v>92</v>
      </c>
      <c r="AL359" s="13" t="s">
        <v>93</v>
      </c>
      <c r="AM359" s="15" t="s">
        <v>95</v>
      </c>
      <c r="AN359" s="13" t="s">
        <v>114</v>
      </c>
      <c r="AO359" s="15" t="s">
        <v>92</v>
      </c>
      <c r="AP359" s="15" t="s">
        <v>92</v>
      </c>
      <c r="AQ359" s="13" t="s">
        <v>92</v>
      </c>
      <c r="AR359" s="14" t="s">
        <v>92</v>
      </c>
      <c r="AS359" s="13" t="s">
        <v>93</v>
      </c>
      <c r="AT359" s="13" t="s">
        <v>93</v>
      </c>
      <c r="AU359" s="13" t="s">
        <v>93</v>
      </c>
      <c r="AV359" s="13" t="s">
        <v>93</v>
      </c>
      <c r="AW359" s="13" t="s">
        <v>92</v>
      </c>
      <c r="AX359" s="13" t="s">
        <v>92</v>
      </c>
      <c r="AY359" s="15" t="s">
        <v>95</v>
      </c>
      <c r="AZ359" s="15" t="s">
        <v>95</v>
      </c>
      <c r="BA359" s="16" t="s">
        <v>1576</v>
      </c>
      <c r="BB359" s="8" t="s">
        <v>213</v>
      </c>
      <c r="BC359" s="15" t="s">
        <v>92</v>
      </c>
      <c r="BD359" s="13" t="s">
        <v>93</v>
      </c>
      <c r="BE359" s="13" t="s">
        <v>92</v>
      </c>
      <c r="BF359" s="13" t="s">
        <v>92</v>
      </c>
      <c r="BG359" s="13" t="s">
        <v>92</v>
      </c>
      <c r="BH359" s="13" t="s">
        <v>92</v>
      </c>
      <c r="BI359" s="14" t="s">
        <v>92</v>
      </c>
      <c r="BJ359" s="13" t="s">
        <v>92</v>
      </c>
      <c r="BK359" s="16" t="s">
        <v>776</v>
      </c>
      <c r="BL359" s="13" t="s">
        <v>105</v>
      </c>
      <c r="BM359" s="13" t="s">
        <v>105</v>
      </c>
      <c r="BN359" s="13" t="s">
        <v>105</v>
      </c>
      <c r="BO359" s="13" t="s">
        <v>105</v>
      </c>
      <c r="BP359" s="13" t="s">
        <v>105</v>
      </c>
      <c r="BQ359" s="15" t="s">
        <v>92</v>
      </c>
      <c r="BR359" s="15" t="s">
        <v>92</v>
      </c>
      <c r="BS359" s="8" t="s">
        <v>92</v>
      </c>
      <c r="BT359" s="15" t="s">
        <v>93</v>
      </c>
      <c r="BU359" s="15" t="s">
        <v>92</v>
      </c>
      <c r="BV359" s="8" t="s">
        <v>92</v>
      </c>
      <c r="BW359" s="15" t="s">
        <v>92</v>
      </c>
      <c r="BX359" s="15" t="s">
        <v>92</v>
      </c>
      <c r="BY359" s="15" t="s">
        <v>92</v>
      </c>
      <c r="BZ359" s="8" t="s">
        <v>93</v>
      </c>
      <c r="CA359" s="8" t="s">
        <v>92</v>
      </c>
      <c r="CB359" s="17" t="s">
        <v>1626</v>
      </c>
      <c r="CC359" s="17" t="s">
        <v>1627</v>
      </c>
      <c r="CD359" s="18"/>
      <c r="CE359" s="18"/>
      <c r="CF359" s="18"/>
      <c r="CG359" s="18"/>
      <c r="CH359" s="14"/>
    </row>
    <row r="360">
      <c r="A360" s="8"/>
      <c r="B360" s="16" t="s">
        <v>1576</v>
      </c>
      <c r="C360" s="10" t="s">
        <v>1577</v>
      </c>
      <c r="D360" s="9" t="s">
        <v>87</v>
      </c>
      <c r="E360" s="11" t="s">
        <v>1628</v>
      </c>
      <c r="F360" s="12"/>
      <c r="G360" s="14" t="s">
        <v>1629</v>
      </c>
      <c r="H360" s="14" t="s">
        <v>90</v>
      </c>
      <c r="I360" s="14" t="s">
        <v>1630</v>
      </c>
      <c r="J360" s="14" t="s">
        <v>93</v>
      </c>
      <c r="K360" s="14" t="s">
        <v>92</v>
      </c>
      <c r="L360" s="14" t="s">
        <v>92</v>
      </c>
      <c r="M360" s="14" t="s">
        <v>92</v>
      </c>
      <c r="N360" s="14" t="s">
        <v>92</v>
      </c>
      <c r="O360" s="14" t="s">
        <v>92</v>
      </c>
      <c r="P360" s="14" t="s">
        <v>92</v>
      </c>
      <c r="Q360" s="14" t="s">
        <v>92</v>
      </c>
      <c r="R360" s="14" t="s">
        <v>92</v>
      </c>
      <c r="S360" s="14" t="s">
        <v>93</v>
      </c>
      <c r="T360" s="14" t="s">
        <v>92</v>
      </c>
      <c r="U360" s="14" t="s">
        <v>92</v>
      </c>
      <c r="V360" s="14" t="s">
        <v>92</v>
      </c>
      <c r="W360" s="14" t="s">
        <v>92</v>
      </c>
      <c r="X360" s="14" t="s">
        <v>92</v>
      </c>
      <c r="Y360" s="14" t="s">
        <v>92</v>
      </c>
      <c r="Z360" s="14" t="s">
        <v>93</v>
      </c>
      <c r="AA360" s="14" t="s">
        <v>92</v>
      </c>
      <c r="AB360" s="8" t="s">
        <v>92</v>
      </c>
      <c r="AC360" s="8" t="s">
        <v>93</v>
      </c>
      <c r="AD360" s="8" t="s">
        <v>92</v>
      </c>
      <c r="AE360" s="14" t="s">
        <v>112</v>
      </c>
      <c r="AF360" s="14" t="s">
        <v>92</v>
      </c>
      <c r="AG360" s="14" t="s">
        <v>95</v>
      </c>
      <c r="AH360" s="8" t="s">
        <v>105</v>
      </c>
      <c r="AI360" s="14" t="s">
        <v>92</v>
      </c>
      <c r="AJ360" s="14" t="s">
        <v>92</v>
      </c>
      <c r="AK360" s="14" t="s">
        <v>92</v>
      </c>
      <c r="AL360" s="14" t="s">
        <v>93</v>
      </c>
      <c r="AM360" s="8" t="s">
        <v>95</v>
      </c>
      <c r="AN360" s="14" t="s">
        <v>114</v>
      </c>
      <c r="AO360" s="8" t="s">
        <v>92</v>
      </c>
      <c r="AP360" s="8" t="s">
        <v>92</v>
      </c>
      <c r="AQ360" s="13" t="s">
        <v>92</v>
      </c>
      <c r="AR360" s="14" t="s">
        <v>92</v>
      </c>
      <c r="AS360" s="13" t="s">
        <v>93</v>
      </c>
      <c r="AT360" s="13" t="s">
        <v>93</v>
      </c>
      <c r="AU360" s="13" t="s">
        <v>93</v>
      </c>
      <c r="AV360" s="13" t="s">
        <v>93</v>
      </c>
      <c r="AW360" s="13" t="s">
        <v>92</v>
      </c>
      <c r="AX360" s="13" t="s">
        <v>92</v>
      </c>
      <c r="AY360" s="8" t="s">
        <v>95</v>
      </c>
      <c r="AZ360" s="8" t="s">
        <v>95</v>
      </c>
      <c r="BA360" s="16" t="s">
        <v>1576</v>
      </c>
      <c r="BB360" s="8" t="s">
        <v>213</v>
      </c>
      <c r="BC360" s="8" t="s">
        <v>92</v>
      </c>
      <c r="BD360" s="14" t="s">
        <v>93</v>
      </c>
      <c r="BE360" s="14" t="s">
        <v>92</v>
      </c>
      <c r="BF360" s="14" t="s">
        <v>92</v>
      </c>
      <c r="BG360" s="14" t="s">
        <v>92</v>
      </c>
      <c r="BH360" s="14" t="s">
        <v>92</v>
      </c>
      <c r="BI360" s="14" t="s">
        <v>92</v>
      </c>
      <c r="BJ360" s="14" t="s">
        <v>92</v>
      </c>
      <c r="BK360" s="9" t="s">
        <v>453</v>
      </c>
      <c r="BL360" s="14" t="s">
        <v>92</v>
      </c>
      <c r="BM360" s="14" t="s">
        <v>92</v>
      </c>
      <c r="BN360" s="14" t="s">
        <v>92</v>
      </c>
      <c r="BO360" s="14" t="s">
        <v>93</v>
      </c>
      <c r="BP360" s="14" t="s">
        <v>93</v>
      </c>
      <c r="BQ360" s="8" t="s">
        <v>92</v>
      </c>
      <c r="BR360" s="8" t="s">
        <v>92</v>
      </c>
      <c r="BS360" s="8" t="s">
        <v>92</v>
      </c>
      <c r="BT360" s="8" t="s">
        <v>93</v>
      </c>
      <c r="BU360" s="8" t="s">
        <v>93</v>
      </c>
      <c r="BV360" s="8" t="s">
        <v>92</v>
      </c>
      <c r="BW360" s="8" t="s">
        <v>92</v>
      </c>
      <c r="BX360" s="8" t="s">
        <v>92</v>
      </c>
      <c r="BY360" s="8" t="s">
        <v>92</v>
      </c>
      <c r="BZ360" s="8" t="s">
        <v>92</v>
      </c>
      <c r="CA360" s="8" t="s">
        <v>92</v>
      </c>
      <c r="CB360" s="17" t="s">
        <v>1618</v>
      </c>
      <c r="CC360" s="18"/>
      <c r="CD360" s="18"/>
      <c r="CE360" s="18"/>
      <c r="CF360" s="18"/>
      <c r="CG360" s="18"/>
      <c r="CH360" s="14"/>
    </row>
    <row r="361">
      <c r="A361" s="8"/>
      <c r="B361" s="16" t="s">
        <v>1576</v>
      </c>
      <c r="C361" s="10" t="s">
        <v>1577</v>
      </c>
      <c r="D361" s="9" t="s">
        <v>87</v>
      </c>
      <c r="E361" s="11" t="s">
        <v>1631</v>
      </c>
      <c r="F361" s="12"/>
      <c r="G361" s="14" t="s">
        <v>1632</v>
      </c>
      <c r="H361" s="14" t="s">
        <v>90</v>
      </c>
      <c r="I361" s="14" t="s">
        <v>1633</v>
      </c>
      <c r="J361" s="14" t="s">
        <v>92</v>
      </c>
      <c r="K361" s="14" t="s">
        <v>92</v>
      </c>
      <c r="L361" s="14" t="s">
        <v>92</v>
      </c>
      <c r="M361" s="14" t="s">
        <v>92</v>
      </c>
      <c r="N361" s="14" t="s">
        <v>92</v>
      </c>
      <c r="O361" s="14" t="s">
        <v>92</v>
      </c>
      <c r="P361" s="14" t="s">
        <v>92</v>
      </c>
      <c r="Q361" s="14" t="s">
        <v>92</v>
      </c>
      <c r="R361" s="14" t="s">
        <v>92</v>
      </c>
      <c r="S361" s="14" t="s">
        <v>92</v>
      </c>
      <c r="T361" s="14" t="s">
        <v>92</v>
      </c>
      <c r="U361" s="14" t="s">
        <v>92</v>
      </c>
      <c r="V361" s="14" t="s">
        <v>92</v>
      </c>
      <c r="W361" s="14" t="s">
        <v>92</v>
      </c>
      <c r="X361" s="14" t="s">
        <v>92</v>
      </c>
      <c r="Y361" s="14" t="s">
        <v>92</v>
      </c>
      <c r="Z361" s="14" t="s">
        <v>93</v>
      </c>
      <c r="AA361" s="14" t="s">
        <v>92</v>
      </c>
      <c r="AB361" s="8" t="s">
        <v>92</v>
      </c>
      <c r="AC361" s="8" t="s">
        <v>93</v>
      </c>
      <c r="AD361" s="8" t="s">
        <v>92</v>
      </c>
      <c r="AE361" s="14" t="s">
        <v>112</v>
      </c>
      <c r="AF361" s="13" t="s">
        <v>92</v>
      </c>
      <c r="AG361" s="13" t="s">
        <v>95</v>
      </c>
      <c r="AH361" s="8" t="s">
        <v>105</v>
      </c>
      <c r="AI361" s="14" t="s">
        <v>92</v>
      </c>
      <c r="AJ361" s="14" t="s">
        <v>92</v>
      </c>
      <c r="AK361" s="14" t="s">
        <v>92</v>
      </c>
      <c r="AL361" s="14" t="s">
        <v>93</v>
      </c>
      <c r="AM361" s="15" t="s">
        <v>95</v>
      </c>
      <c r="AN361" s="13" t="s">
        <v>114</v>
      </c>
      <c r="AO361" s="8" t="s">
        <v>92</v>
      </c>
      <c r="AP361" s="15" t="s">
        <v>92</v>
      </c>
      <c r="AQ361" s="13" t="s">
        <v>92</v>
      </c>
      <c r="AR361" s="14" t="s">
        <v>92</v>
      </c>
      <c r="AS361" s="13" t="s">
        <v>93</v>
      </c>
      <c r="AT361" s="13" t="s">
        <v>93</v>
      </c>
      <c r="AU361" s="13" t="s">
        <v>93</v>
      </c>
      <c r="AV361" s="13" t="s">
        <v>93</v>
      </c>
      <c r="AW361" s="13" t="s">
        <v>92</v>
      </c>
      <c r="AX361" s="13" t="s">
        <v>92</v>
      </c>
      <c r="AY361" s="15" t="s">
        <v>95</v>
      </c>
      <c r="AZ361" s="15" t="s">
        <v>95</v>
      </c>
      <c r="BA361" s="16" t="s">
        <v>1576</v>
      </c>
      <c r="BB361" s="8" t="s">
        <v>213</v>
      </c>
      <c r="BC361" s="8" t="s">
        <v>92</v>
      </c>
      <c r="BD361" s="14" t="s">
        <v>93</v>
      </c>
      <c r="BE361" s="14" t="s">
        <v>92</v>
      </c>
      <c r="BF361" s="14" t="s">
        <v>92</v>
      </c>
      <c r="BG361" s="14" t="s">
        <v>92</v>
      </c>
      <c r="BH361" s="14" t="s">
        <v>92</v>
      </c>
      <c r="BI361" s="14" t="s">
        <v>92</v>
      </c>
      <c r="BJ361" s="14" t="s">
        <v>92</v>
      </c>
      <c r="BK361" s="14" t="s">
        <v>1634</v>
      </c>
      <c r="BL361" s="14" t="s">
        <v>93</v>
      </c>
      <c r="BM361" s="14" t="s">
        <v>93</v>
      </c>
      <c r="BN361" s="14" t="s">
        <v>93</v>
      </c>
      <c r="BO361" s="14" t="s">
        <v>93</v>
      </c>
      <c r="BP361" s="14" t="s">
        <v>93</v>
      </c>
      <c r="BQ361" s="8" t="s">
        <v>92</v>
      </c>
      <c r="BR361" s="8" t="s">
        <v>92</v>
      </c>
      <c r="BS361" s="8" t="s">
        <v>92</v>
      </c>
      <c r="BT361" s="8" t="s">
        <v>93</v>
      </c>
      <c r="BU361" s="8" t="s">
        <v>92</v>
      </c>
      <c r="BV361" s="8" t="s">
        <v>92</v>
      </c>
      <c r="BW361" s="8" t="s">
        <v>92</v>
      </c>
      <c r="BX361" s="8" t="s">
        <v>92</v>
      </c>
      <c r="BY361" s="8" t="s">
        <v>92</v>
      </c>
      <c r="BZ361" s="8" t="s">
        <v>92</v>
      </c>
      <c r="CA361" s="8" t="s">
        <v>92</v>
      </c>
      <c r="CB361" s="17" t="s">
        <v>1618</v>
      </c>
      <c r="CC361" s="18"/>
      <c r="CD361" s="18"/>
      <c r="CE361" s="18"/>
      <c r="CF361" s="18"/>
      <c r="CG361" s="18"/>
      <c r="CH361" s="14"/>
    </row>
    <row r="362">
      <c r="A362" s="8"/>
      <c r="B362" s="9" t="s">
        <v>1635</v>
      </c>
      <c r="C362" s="10" t="s">
        <v>1636</v>
      </c>
      <c r="D362" s="9" t="s">
        <v>87</v>
      </c>
      <c r="E362" s="11" t="s">
        <v>1637</v>
      </c>
      <c r="F362" s="12"/>
      <c r="G362" s="14" t="s">
        <v>1638</v>
      </c>
      <c r="H362" s="14" t="s">
        <v>110</v>
      </c>
      <c r="I362" s="14" t="s">
        <v>1639</v>
      </c>
      <c r="J362" s="14" t="s">
        <v>92</v>
      </c>
      <c r="K362" s="14" t="s">
        <v>92</v>
      </c>
      <c r="L362" s="14" t="s">
        <v>92</v>
      </c>
      <c r="M362" s="14" t="s">
        <v>92</v>
      </c>
      <c r="N362" s="14" t="s">
        <v>92</v>
      </c>
      <c r="O362" s="14" t="s">
        <v>92</v>
      </c>
      <c r="P362" s="14" t="s">
        <v>92</v>
      </c>
      <c r="Q362" s="14" t="s">
        <v>92</v>
      </c>
      <c r="R362" s="14" t="s">
        <v>92</v>
      </c>
      <c r="S362" s="14" t="s">
        <v>92</v>
      </c>
      <c r="T362" s="14" t="s">
        <v>92</v>
      </c>
      <c r="U362" s="14" t="s">
        <v>92</v>
      </c>
      <c r="V362" s="14" t="s">
        <v>92</v>
      </c>
      <c r="W362" s="14" t="s">
        <v>92</v>
      </c>
      <c r="X362" s="14" t="s">
        <v>92</v>
      </c>
      <c r="Y362" s="14" t="s">
        <v>92</v>
      </c>
      <c r="Z362" s="14" t="s">
        <v>93</v>
      </c>
      <c r="AA362" s="14" t="s">
        <v>92</v>
      </c>
      <c r="AB362" s="8" t="s">
        <v>92</v>
      </c>
      <c r="AC362" s="8" t="s">
        <v>93</v>
      </c>
      <c r="AD362" s="8" t="s">
        <v>92</v>
      </c>
      <c r="AE362" s="14" t="s">
        <v>231</v>
      </c>
      <c r="AF362" s="14" t="s">
        <v>93</v>
      </c>
      <c r="AG362" s="14" t="s">
        <v>1640</v>
      </c>
      <c r="AH362" s="8" t="s">
        <v>105</v>
      </c>
      <c r="AI362" s="14" t="s">
        <v>93</v>
      </c>
      <c r="AJ362" s="14" t="s">
        <v>93</v>
      </c>
      <c r="AK362" s="14" t="s">
        <v>93</v>
      </c>
      <c r="AL362" s="14" t="s">
        <v>93</v>
      </c>
      <c r="AM362" s="8" t="s">
        <v>95</v>
      </c>
      <c r="AN362" s="14" t="s">
        <v>114</v>
      </c>
      <c r="AO362" s="8" t="s">
        <v>93</v>
      </c>
      <c r="AP362" s="8" t="s">
        <v>92</v>
      </c>
      <c r="AQ362" s="14" t="s">
        <v>92</v>
      </c>
      <c r="AR362" s="14" t="s">
        <v>93</v>
      </c>
      <c r="AS362" s="14" t="s">
        <v>93</v>
      </c>
      <c r="AT362" s="14" t="s">
        <v>92</v>
      </c>
      <c r="AU362" s="14" t="s">
        <v>92</v>
      </c>
      <c r="AV362" s="14" t="s">
        <v>92</v>
      </c>
      <c r="AW362" s="14" t="s">
        <v>92</v>
      </c>
      <c r="AX362" s="14" t="s">
        <v>92</v>
      </c>
      <c r="AY362" s="8" t="s">
        <v>95</v>
      </c>
      <c r="AZ362" s="8" t="s">
        <v>95</v>
      </c>
      <c r="BA362" s="9" t="s">
        <v>1641</v>
      </c>
      <c r="BB362" s="8" t="s">
        <v>97</v>
      </c>
      <c r="BC362" s="8" t="s">
        <v>92</v>
      </c>
      <c r="BD362" s="14" t="s">
        <v>93</v>
      </c>
      <c r="BE362" s="14" t="s">
        <v>92</v>
      </c>
      <c r="BF362" s="14" t="s">
        <v>92</v>
      </c>
      <c r="BG362" s="14" t="s">
        <v>92</v>
      </c>
      <c r="BH362" s="14" t="s">
        <v>92</v>
      </c>
      <c r="BI362" s="14" t="s">
        <v>92</v>
      </c>
      <c r="BJ362" s="14" t="s">
        <v>93</v>
      </c>
      <c r="BK362" s="14" t="s">
        <v>105</v>
      </c>
      <c r="BL362" s="14" t="s">
        <v>105</v>
      </c>
      <c r="BM362" s="14" t="s">
        <v>105</v>
      </c>
      <c r="BN362" s="14" t="s">
        <v>105</v>
      </c>
      <c r="BO362" s="14" t="s">
        <v>105</v>
      </c>
      <c r="BP362" s="14" t="s">
        <v>105</v>
      </c>
      <c r="BQ362" s="8" t="s">
        <v>92</v>
      </c>
      <c r="BR362" s="8" t="s">
        <v>92</v>
      </c>
      <c r="BS362" s="8" t="s">
        <v>92</v>
      </c>
      <c r="BT362" s="8" t="s">
        <v>93</v>
      </c>
      <c r="BU362" s="8" t="s">
        <v>92</v>
      </c>
      <c r="BV362" s="8" t="s">
        <v>92</v>
      </c>
      <c r="BW362" s="8" t="s">
        <v>92</v>
      </c>
      <c r="BX362" s="8" t="s">
        <v>92</v>
      </c>
      <c r="BY362" s="8" t="s">
        <v>92</v>
      </c>
      <c r="BZ362" s="8" t="s">
        <v>93</v>
      </c>
      <c r="CA362" s="8" t="s">
        <v>92</v>
      </c>
      <c r="CB362" s="20" t="s">
        <v>116</v>
      </c>
      <c r="CC362" s="17" t="s">
        <v>178</v>
      </c>
      <c r="CD362" s="17" t="s">
        <v>115</v>
      </c>
      <c r="CE362" s="17" t="s">
        <v>106</v>
      </c>
      <c r="CF362" s="18"/>
      <c r="CG362" s="18"/>
      <c r="CH362" s="18"/>
    </row>
    <row r="363">
      <c r="A363" s="8"/>
      <c r="B363" s="9" t="s">
        <v>1635</v>
      </c>
      <c r="C363" s="10" t="s">
        <v>1636</v>
      </c>
      <c r="D363" s="9" t="s">
        <v>87</v>
      </c>
      <c r="E363" s="11" t="s">
        <v>1642</v>
      </c>
      <c r="F363" s="25"/>
      <c r="G363" s="14" t="s">
        <v>1643</v>
      </c>
      <c r="H363" s="14" t="s">
        <v>189</v>
      </c>
      <c r="I363" s="14" t="s">
        <v>1644</v>
      </c>
      <c r="J363" s="14" t="s">
        <v>92</v>
      </c>
      <c r="K363" s="14" t="s">
        <v>92</v>
      </c>
      <c r="L363" s="14" t="s">
        <v>92</v>
      </c>
      <c r="M363" s="14" t="s">
        <v>93</v>
      </c>
      <c r="N363" s="14" t="s">
        <v>92</v>
      </c>
      <c r="O363" s="14" t="s">
        <v>92</v>
      </c>
      <c r="P363" s="14" t="s">
        <v>93</v>
      </c>
      <c r="Q363" s="14" t="s">
        <v>92</v>
      </c>
      <c r="R363" s="14" t="s">
        <v>93</v>
      </c>
      <c r="S363" s="14" t="s">
        <v>92</v>
      </c>
      <c r="T363" s="14" t="s">
        <v>92</v>
      </c>
      <c r="U363" s="14" t="s">
        <v>93</v>
      </c>
      <c r="V363" s="14" t="s">
        <v>92</v>
      </c>
      <c r="W363" s="14" t="s">
        <v>92</v>
      </c>
      <c r="X363" s="14" t="s">
        <v>92</v>
      </c>
      <c r="Y363" s="14" t="s">
        <v>92</v>
      </c>
      <c r="Z363" s="14" t="s">
        <v>92</v>
      </c>
      <c r="AA363" s="14" t="s">
        <v>92</v>
      </c>
      <c r="AB363" s="8" t="s">
        <v>93</v>
      </c>
      <c r="AC363" s="8" t="s">
        <v>92</v>
      </c>
      <c r="AD363" s="8" t="s">
        <v>92</v>
      </c>
      <c r="AE363" s="14" t="s">
        <v>94</v>
      </c>
      <c r="AF363" s="14" t="s">
        <v>92</v>
      </c>
      <c r="AG363" s="14" t="s">
        <v>95</v>
      </c>
      <c r="AH363" s="8" t="s">
        <v>105</v>
      </c>
      <c r="AI363" s="14" t="s">
        <v>92</v>
      </c>
      <c r="AJ363" s="14" t="s">
        <v>93</v>
      </c>
      <c r="AK363" s="14" t="s">
        <v>93</v>
      </c>
      <c r="AL363" s="14" t="s">
        <v>93</v>
      </c>
      <c r="AM363" s="8" t="s">
        <v>95</v>
      </c>
      <c r="AN363" s="14" t="s">
        <v>114</v>
      </c>
      <c r="AO363" s="8" t="s">
        <v>93</v>
      </c>
      <c r="AP363" s="8" t="s">
        <v>93</v>
      </c>
      <c r="AQ363" s="14" t="s">
        <v>92</v>
      </c>
      <c r="AR363" s="14" t="s">
        <v>93</v>
      </c>
      <c r="AS363" s="14" t="s">
        <v>93</v>
      </c>
      <c r="AT363" s="14" t="s">
        <v>92</v>
      </c>
      <c r="AU363" s="14" t="s">
        <v>92</v>
      </c>
      <c r="AV363" s="14" t="s">
        <v>92</v>
      </c>
      <c r="AW363" s="14" t="s">
        <v>92</v>
      </c>
      <c r="AX363" s="14" t="s">
        <v>92</v>
      </c>
      <c r="AY363" s="8" t="s">
        <v>95</v>
      </c>
      <c r="AZ363" s="8" t="s">
        <v>95</v>
      </c>
      <c r="BA363" s="9" t="s">
        <v>1645</v>
      </c>
      <c r="BB363" s="8" t="s">
        <v>105</v>
      </c>
      <c r="BC363" s="8" t="s">
        <v>105</v>
      </c>
      <c r="BD363" s="14" t="s">
        <v>92</v>
      </c>
      <c r="BE363" s="14" t="s">
        <v>92</v>
      </c>
      <c r="BF363" s="14" t="s">
        <v>92</v>
      </c>
      <c r="BG363" s="14" t="s">
        <v>92</v>
      </c>
      <c r="BH363" s="14" t="s">
        <v>92</v>
      </c>
      <c r="BI363" s="14" t="s">
        <v>93</v>
      </c>
      <c r="BJ363" s="14" t="s">
        <v>92</v>
      </c>
      <c r="BK363" s="14" t="s">
        <v>1137</v>
      </c>
      <c r="BL363" s="14" t="s">
        <v>92</v>
      </c>
      <c r="BM363" s="14" t="s">
        <v>92</v>
      </c>
      <c r="BN363" s="14" t="s">
        <v>92</v>
      </c>
      <c r="BO363" s="14" t="s">
        <v>92</v>
      </c>
      <c r="BP363" s="14" t="s">
        <v>93</v>
      </c>
      <c r="BQ363" s="8" t="s">
        <v>93</v>
      </c>
      <c r="BR363" s="8" t="s">
        <v>92</v>
      </c>
      <c r="BS363" s="8" t="s">
        <v>92</v>
      </c>
      <c r="BT363" s="8" t="s">
        <v>92</v>
      </c>
      <c r="BU363" s="8" t="s">
        <v>92</v>
      </c>
      <c r="BV363" s="8" t="s">
        <v>92</v>
      </c>
      <c r="BW363" s="8" t="s">
        <v>92</v>
      </c>
      <c r="BX363" s="8" t="s">
        <v>92</v>
      </c>
      <c r="BY363" s="8" t="s">
        <v>92</v>
      </c>
      <c r="BZ363" s="8" t="s">
        <v>92</v>
      </c>
      <c r="CA363" s="8" t="s">
        <v>92</v>
      </c>
      <c r="CB363" s="20" t="s">
        <v>116</v>
      </c>
      <c r="CC363" s="17" t="s">
        <v>115</v>
      </c>
      <c r="CD363" s="17" t="s">
        <v>106</v>
      </c>
      <c r="CE363" s="18"/>
      <c r="CF363" s="18"/>
      <c r="CG363" s="18"/>
      <c r="CH363" s="18"/>
    </row>
    <row r="364">
      <c r="A364" s="8"/>
      <c r="B364" s="9" t="s">
        <v>1635</v>
      </c>
      <c r="C364" s="10" t="s">
        <v>1636</v>
      </c>
      <c r="D364" s="9" t="s">
        <v>87</v>
      </c>
      <c r="E364" s="11" t="s">
        <v>1646</v>
      </c>
      <c r="F364" s="12"/>
      <c r="G364" s="14" t="s">
        <v>1647</v>
      </c>
      <c r="H364" s="14" t="s">
        <v>90</v>
      </c>
      <c r="I364" s="14" t="s">
        <v>1648</v>
      </c>
      <c r="J364" s="14" t="s">
        <v>92</v>
      </c>
      <c r="K364" s="14" t="s">
        <v>92</v>
      </c>
      <c r="L364" s="14" t="s">
        <v>92</v>
      </c>
      <c r="M364" s="14" t="s">
        <v>92</v>
      </c>
      <c r="N364" s="14" t="s">
        <v>92</v>
      </c>
      <c r="O364" s="14" t="s">
        <v>92</v>
      </c>
      <c r="P364" s="14" t="s">
        <v>92</v>
      </c>
      <c r="Q364" s="14" t="s">
        <v>92</v>
      </c>
      <c r="R364" s="14" t="s">
        <v>92</v>
      </c>
      <c r="S364" s="14" t="s">
        <v>92</v>
      </c>
      <c r="T364" s="14" t="s">
        <v>92</v>
      </c>
      <c r="U364" s="14" t="s">
        <v>92</v>
      </c>
      <c r="V364" s="14" t="s">
        <v>92</v>
      </c>
      <c r="W364" s="14" t="s">
        <v>92</v>
      </c>
      <c r="X364" s="14" t="s">
        <v>92</v>
      </c>
      <c r="Y364" s="14" t="s">
        <v>92</v>
      </c>
      <c r="Z364" s="14" t="s">
        <v>93</v>
      </c>
      <c r="AA364" s="14" t="s">
        <v>92</v>
      </c>
      <c r="AB364" s="8" t="s">
        <v>92</v>
      </c>
      <c r="AC364" s="8" t="s">
        <v>93</v>
      </c>
      <c r="AD364" s="8" t="s">
        <v>92</v>
      </c>
      <c r="AE364" s="14" t="s">
        <v>112</v>
      </c>
      <c r="AF364" s="14" t="s">
        <v>92</v>
      </c>
      <c r="AG364" s="14" t="s">
        <v>95</v>
      </c>
      <c r="AH364" s="8" t="s">
        <v>105</v>
      </c>
      <c r="AI364" s="14" t="s">
        <v>93</v>
      </c>
      <c r="AJ364" s="14" t="s">
        <v>92</v>
      </c>
      <c r="AK364" s="14" t="s">
        <v>92</v>
      </c>
      <c r="AL364" s="14" t="s">
        <v>92</v>
      </c>
      <c r="AM364" s="8" t="s">
        <v>105</v>
      </c>
      <c r="AN364" s="14" t="s">
        <v>105</v>
      </c>
      <c r="AO364" s="8" t="s">
        <v>105</v>
      </c>
      <c r="AP364" s="8" t="s">
        <v>92</v>
      </c>
      <c r="AQ364" s="14" t="s">
        <v>92</v>
      </c>
      <c r="AR364" s="14" t="s">
        <v>93</v>
      </c>
      <c r="AS364" s="14" t="s">
        <v>93</v>
      </c>
      <c r="AT364" s="14" t="s">
        <v>92</v>
      </c>
      <c r="AU364" s="14" t="s">
        <v>92</v>
      </c>
      <c r="AV364" s="14" t="s">
        <v>92</v>
      </c>
      <c r="AW364" s="14" t="s">
        <v>92</v>
      </c>
      <c r="AX364" s="14" t="s">
        <v>92</v>
      </c>
      <c r="AY364" s="8" t="s">
        <v>95</v>
      </c>
      <c r="AZ364" s="8" t="s">
        <v>95</v>
      </c>
      <c r="BA364" s="9" t="s">
        <v>1641</v>
      </c>
      <c r="BB364" s="8" t="s">
        <v>97</v>
      </c>
      <c r="BC364" s="8" t="s">
        <v>92</v>
      </c>
      <c r="BD364" s="14" t="s">
        <v>93</v>
      </c>
      <c r="BE364" s="14" t="s">
        <v>92</v>
      </c>
      <c r="BF364" s="14" t="s">
        <v>92</v>
      </c>
      <c r="BG364" s="14" t="s">
        <v>92</v>
      </c>
      <c r="BH364" s="14" t="s">
        <v>92</v>
      </c>
      <c r="BI364" s="14" t="s">
        <v>92</v>
      </c>
      <c r="BJ364" s="14" t="s">
        <v>92</v>
      </c>
      <c r="BK364" s="14" t="s">
        <v>105</v>
      </c>
      <c r="BL364" s="14" t="s">
        <v>105</v>
      </c>
      <c r="BM364" s="14" t="s">
        <v>105</v>
      </c>
      <c r="BN364" s="14" t="s">
        <v>105</v>
      </c>
      <c r="BO364" s="14" t="s">
        <v>105</v>
      </c>
      <c r="BP364" s="14" t="s">
        <v>105</v>
      </c>
      <c r="BQ364" s="8" t="s">
        <v>92</v>
      </c>
      <c r="BR364" s="8" t="s">
        <v>92</v>
      </c>
      <c r="BS364" s="8" t="s">
        <v>92</v>
      </c>
      <c r="BT364" s="8" t="s">
        <v>93</v>
      </c>
      <c r="BU364" s="8" t="s">
        <v>92</v>
      </c>
      <c r="BV364" s="8" t="s">
        <v>92</v>
      </c>
      <c r="BW364" s="8" t="s">
        <v>92</v>
      </c>
      <c r="BX364" s="8" t="s">
        <v>92</v>
      </c>
      <c r="BY364" s="8" t="s">
        <v>92</v>
      </c>
      <c r="BZ364" s="8" t="s">
        <v>92</v>
      </c>
      <c r="CA364" s="8" t="s">
        <v>92</v>
      </c>
      <c r="CB364" s="17" t="s">
        <v>178</v>
      </c>
      <c r="CC364" s="31"/>
      <c r="CD364" s="31"/>
      <c r="CE364" s="18"/>
      <c r="CF364" s="18"/>
      <c r="CG364" s="18"/>
      <c r="CH364" s="18"/>
    </row>
    <row r="365" ht="14.25" customHeight="1">
      <c r="A365" s="8"/>
      <c r="B365" s="9" t="s">
        <v>1635</v>
      </c>
      <c r="C365" s="10" t="s">
        <v>1636</v>
      </c>
      <c r="D365" s="9" t="s">
        <v>87</v>
      </c>
      <c r="E365" s="11" t="s">
        <v>1649</v>
      </c>
      <c r="F365" s="12"/>
      <c r="G365" s="14" t="s">
        <v>1650</v>
      </c>
      <c r="H365" s="14" t="s">
        <v>90</v>
      </c>
      <c r="I365" s="14" t="s">
        <v>1651</v>
      </c>
      <c r="J365" s="14" t="s">
        <v>92</v>
      </c>
      <c r="K365" s="14" t="s">
        <v>92</v>
      </c>
      <c r="L365" s="14" t="s">
        <v>92</v>
      </c>
      <c r="M365" s="14" t="s">
        <v>92</v>
      </c>
      <c r="N365" s="14" t="s">
        <v>92</v>
      </c>
      <c r="O365" s="14" t="s">
        <v>92</v>
      </c>
      <c r="P365" s="14" t="s">
        <v>92</v>
      </c>
      <c r="Q365" s="14" t="s">
        <v>92</v>
      </c>
      <c r="R365" s="14" t="s">
        <v>92</v>
      </c>
      <c r="S365" s="14" t="s">
        <v>92</v>
      </c>
      <c r="T365" s="14" t="s">
        <v>92</v>
      </c>
      <c r="U365" s="14" t="s">
        <v>92</v>
      </c>
      <c r="V365" s="14" t="s">
        <v>92</v>
      </c>
      <c r="W365" s="14" t="s">
        <v>92</v>
      </c>
      <c r="X365" s="14" t="s">
        <v>92</v>
      </c>
      <c r="Y365" s="14" t="s">
        <v>92</v>
      </c>
      <c r="Z365" s="14" t="s">
        <v>93</v>
      </c>
      <c r="AA365" s="14" t="s">
        <v>92</v>
      </c>
      <c r="AB365" s="8" t="s">
        <v>92</v>
      </c>
      <c r="AC365" s="8" t="s">
        <v>93</v>
      </c>
      <c r="AD365" s="8" t="s">
        <v>92</v>
      </c>
      <c r="AE365" s="14" t="s">
        <v>112</v>
      </c>
      <c r="AF365" s="14" t="s">
        <v>92</v>
      </c>
      <c r="AG365" s="14" t="s">
        <v>95</v>
      </c>
      <c r="AH365" s="8">
        <v>2020.0</v>
      </c>
      <c r="AI365" s="14" t="s">
        <v>93</v>
      </c>
      <c r="AJ365" s="14" t="s">
        <v>93</v>
      </c>
      <c r="AK365" s="14" t="s">
        <v>93</v>
      </c>
      <c r="AL365" s="14" t="s">
        <v>93</v>
      </c>
      <c r="AM365" s="8" t="s">
        <v>95</v>
      </c>
      <c r="AN365" s="14" t="s">
        <v>114</v>
      </c>
      <c r="AO365" s="8" t="s">
        <v>93</v>
      </c>
      <c r="AP365" s="8" t="s">
        <v>92</v>
      </c>
      <c r="AQ365" s="14" t="s">
        <v>92</v>
      </c>
      <c r="AR365" s="14" t="s">
        <v>93</v>
      </c>
      <c r="AS365" s="14" t="s">
        <v>93</v>
      </c>
      <c r="AT365" s="14" t="s">
        <v>92</v>
      </c>
      <c r="AU365" s="14" t="s">
        <v>92</v>
      </c>
      <c r="AV365" s="14" t="s">
        <v>92</v>
      </c>
      <c r="AW365" s="14" t="s">
        <v>92</v>
      </c>
      <c r="AX365" s="14" t="s">
        <v>92</v>
      </c>
      <c r="AY365" s="8" t="s">
        <v>95</v>
      </c>
      <c r="AZ365" s="8" t="s">
        <v>95</v>
      </c>
      <c r="BA365" s="9" t="s">
        <v>1641</v>
      </c>
      <c r="BB365" s="8" t="s">
        <v>97</v>
      </c>
      <c r="BC365" s="8" t="s">
        <v>92</v>
      </c>
      <c r="BD365" s="14" t="s">
        <v>93</v>
      </c>
      <c r="BE365" s="14" t="s">
        <v>92</v>
      </c>
      <c r="BF365" s="14" t="s">
        <v>92</v>
      </c>
      <c r="BG365" s="14" t="s">
        <v>92</v>
      </c>
      <c r="BH365" s="14" t="s">
        <v>92</v>
      </c>
      <c r="BI365" s="14" t="s">
        <v>92</v>
      </c>
      <c r="BJ365" s="14" t="s">
        <v>92</v>
      </c>
      <c r="BK365" s="14" t="s">
        <v>105</v>
      </c>
      <c r="BL365" s="14" t="s">
        <v>105</v>
      </c>
      <c r="BM365" s="14" t="s">
        <v>105</v>
      </c>
      <c r="BN365" s="14" t="s">
        <v>105</v>
      </c>
      <c r="BO365" s="14" t="s">
        <v>105</v>
      </c>
      <c r="BP365" s="14" t="s">
        <v>105</v>
      </c>
      <c r="BQ365" s="8" t="s">
        <v>92</v>
      </c>
      <c r="BR365" s="8" t="s">
        <v>92</v>
      </c>
      <c r="BS365" s="8" t="s">
        <v>92</v>
      </c>
      <c r="BT365" s="8" t="s">
        <v>93</v>
      </c>
      <c r="BU365" s="8" t="s">
        <v>92</v>
      </c>
      <c r="BV365" s="8" t="s">
        <v>92</v>
      </c>
      <c r="BW365" s="8" t="s">
        <v>92</v>
      </c>
      <c r="BX365" s="8" t="s">
        <v>92</v>
      </c>
      <c r="BY365" s="8" t="s">
        <v>92</v>
      </c>
      <c r="BZ365" s="8" t="s">
        <v>92</v>
      </c>
      <c r="CA365" s="8" t="s">
        <v>92</v>
      </c>
      <c r="CB365" s="17" t="s">
        <v>115</v>
      </c>
      <c r="CC365" s="17" t="s">
        <v>115</v>
      </c>
      <c r="CD365" s="31"/>
      <c r="CE365" s="18"/>
      <c r="CF365" s="18"/>
      <c r="CG365" s="18"/>
      <c r="CH365" s="18"/>
    </row>
    <row r="366">
      <c r="A366" s="8"/>
      <c r="B366" s="9" t="s">
        <v>1635</v>
      </c>
      <c r="C366" s="10" t="s">
        <v>1636</v>
      </c>
      <c r="D366" s="9" t="s">
        <v>87</v>
      </c>
      <c r="E366" s="11" t="s">
        <v>1652</v>
      </c>
      <c r="F366" s="12"/>
      <c r="G366" s="14" t="s">
        <v>1653</v>
      </c>
      <c r="H366" s="14" t="s">
        <v>110</v>
      </c>
      <c r="I366" s="14" t="s">
        <v>1654</v>
      </c>
      <c r="J366" s="14" t="s">
        <v>92</v>
      </c>
      <c r="K366" s="14" t="s">
        <v>92</v>
      </c>
      <c r="L366" s="14" t="s">
        <v>92</v>
      </c>
      <c r="M366" s="14" t="s">
        <v>92</v>
      </c>
      <c r="N366" s="14" t="s">
        <v>92</v>
      </c>
      <c r="O366" s="14" t="s">
        <v>92</v>
      </c>
      <c r="P366" s="14" t="s">
        <v>92</v>
      </c>
      <c r="Q366" s="14" t="s">
        <v>92</v>
      </c>
      <c r="R366" s="14" t="s">
        <v>92</v>
      </c>
      <c r="S366" s="14" t="s">
        <v>92</v>
      </c>
      <c r="T366" s="14" t="s">
        <v>92</v>
      </c>
      <c r="U366" s="14" t="s">
        <v>92</v>
      </c>
      <c r="V366" s="14" t="s">
        <v>92</v>
      </c>
      <c r="W366" s="14" t="s">
        <v>92</v>
      </c>
      <c r="X366" s="14" t="s">
        <v>92</v>
      </c>
      <c r="Y366" s="14" t="s">
        <v>92</v>
      </c>
      <c r="Z366" s="14" t="s">
        <v>93</v>
      </c>
      <c r="AA366" s="14" t="s">
        <v>92</v>
      </c>
      <c r="AB366" s="8" t="s">
        <v>92</v>
      </c>
      <c r="AC366" s="8" t="s">
        <v>93</v>
      </c>
      <c r="AD366" s="8" t="s">
        <v>92</v>
      </c>
      <c r="AE366" s="14" t="s">
        <v>112</v>
      </c>
      <c r="AF366" s="14" t="s">
        <v>92</v>
      </c>
      <c r="AG366" s="14" t="s">
        <v>95</v>
      </c>
      <c r="AH366" s="8" t="s">
        <v>105</v>
      </c>
      <c r="AI366" s="14" t="s">
        <v>93</v>
      </c>
      <c r="AJ366" s="14" t="s">
        <v>93</v>
      </c>
      <c r="AK366" s="14" t="s">
        <v>93</v>
      </c>
      <c r="AL366" s="14" t="s">
        <v>93</v>
      </c>
      <c r="AM366" s="8" t="s">
        <v>95</v>
      </c>
      <c r="AN366" s="14" t="s">
        <v>114</v>
      </c>
      <c r="AO366" s="8" t="s">
        <v>93</v>
      </c>
      <c r="AP366" s="8" t="s">
        <v>92</v>
      </c>
      <c r="AQ366" s="14" t="s">
        <v>92</v>
      </c>
      <c r="AR366" s="14" t="s">
        <v>93</v>
      </c>
      <c r="AS366" s="14" t="s">
        <v>93</v>
      </c>
      <c r="AT366" s="14" t="s">
        <v>92</v>
      </c>
      <c r="AU366" s="14" t="s">
        <v>92</v>
      </c>
      <c r="AV366" s="14" t="s">
        <v>92</v>
      </c>
      <c r="AW366" s="14" t="s">
        <v>92</v>
      </c>
      <c r="AX366" s="14" t="s">
        <v>92</v>
      </c>
      <c r="AY366" s="8" t="s">
        <v>95</v>
      </c>
      <c r="AZ366" s="8" t="s">
        <v>95</v>
      </c>
      <c r="BA366" s="9" t="s">
        <v>1641</v>
      </c>
      <c r="BB366" s="8" t="s">
        <v>97</v>
      </c>
      <c r="BC366" s="8" t="s">
        <v>92</v>
      </c>
      <c r="BD366" s="14" t="s">
        <v>93</v>
      </c>
      <c r="BE366" s="14" t="s">
        <v>92</v>
      </c>
      <c r="BF366" s="14" t="s">
        <v>92</v>
      </c>
      <c r="BG366" s="14" t="s">
        <v>92</v>
      </c>
      <c r="BH366" s="14" t="s">
        <v>92</v>
      </c>
      <c r="BI366" s="14" t="s">
        <v>92</v>
      </c>
      <c r="BJ366" s="14" t="s">
        <v>92</v>
      </c>
      <c r="BK366" s="14" t="s">
        <v>105</v>
      </c>
      <c r="BL366" s="14" t="s">
        <v>105</v>
      </c>
      <c r="BM366" s="14" t="s">
        <v>105</v>
      </c>
      <c r="BN366" s="14" t="s">
        <v>105</v>
      </c>
      <c r="BO366" s="14" t="s">
        <v>105</v>
      </c>
      <c r="BP366" s="14" t="s">
        <v>105</v>
      </c>
      <c r="BQ366" s="8" t="s">
        <v>92</v>
      </c>
      <c r="BR366" s="8" t="s">
        <v>92</v>
      </c>
      <c r="BS366" s="8" t="s">
        <v>92</v>
      </c>
      <c r="BT366" s="8" t="s">
        <v>93</v>
      </c>
      <c r="BU366" s="8" t="s">
        <v>92</v>
      </c>
      <c r="BV366" s="8" t="s">
        <v>92</v>
      </c>
      <c r="BW366" s="8" t="s">
        <v>92</v>
      </c>
      <c r="BX366" s="8" t="s">
        <v>92</v>
      </c>
      <c r="BY366" s="8" t="s">
        <v>92</v>
      </c>
      <c r="BZ366" s="8" t="s">
        <v>92</v>
      </c>
      <c r="CA366" s="8" t="s">
        <v>92</v>
      </c>
      <c r="CB366" s="17" t="s">
        <v>115</v>
      </c>
      <c r="CC366" s="31"/>
      <c r="CD366" s="31"/>
      <c r="CE366" s="18"/>
      <c r="CF366" s="18"/>
      <c r="CG366" s="18"/>
      <c r="CH366" s="18"/>
    </row>
    <row r="367">
      <c r="A367" s="8"/>
      <c r="B367" s="9" t="s">
        <v>1635</v>
      </c>
      <c r="C367" s="10" t="s">
        <v>1636</v>
      </c>
      <c r="D367" s="9" t="s">
        <v>87</v>
      </c>
      <c r="E367" s="11" t="s">
        <v>1655</v>
      </c>
      <c r="F367" s="12"/>
      <c r="G367" s="14" t="s">
        <v>1656</v>
      </c>
      <c r="H367" s="14" t="s">
        <v>90</v>
      </c>
      <c r="I367" s="14" t="s">
        <v>1657</v>
      </c>
      <c r="J367" s="14" t="s">
        <v>92</v>
      </c>
      <c r="K367" s="14" t="s">
        <v>92</v>
      </c>
      <c r="L367" s="14" t="s">
        <v>92</v>
      </c>
      <c r="M367" s="14" t="s">
        <v>93</v>
      </c>
      <c r="N367" s="14" t="s">
        <v>92</v>
      </c>
      <c r="O367" s="14" t="s">
        <v>92</v>
      </c>
      <c r="P367" s="14" t="s">
        <v>92</v>
      </c>
      <c r="Q367" s="14" t="s">
        <v>92</v>
      </c>
      <c r="R367" s="14" t="s">
        <v>93</v>
      </c>
      <c r="S367" s="14" t="s">
        <v>93</v>
      </c>
      <c r="T367" s="14" t="s">
        <v>93</v>
      </c>
      <c r="U367" s="14" t="s">
        <v>92</v>
      </c>
      <c r="V367" s="14" t="s">
        <v>92</v>
      </c>
      <c r="W367" s="14" t="s">
        <v>92</v>
      </c>
      <c r="X367" s="14" t="s">
        <v>92</v>
      </c>
      <c r="Y367" s="14" t="s">
        <v>92</v>
      </c>
      <c r="Z367" s="14" t="s">
        <v>92</v>
      </c>
      <c r="AA367" s="14" t="s">
        <v>92</v>
      </c>
      <c r="AB367" s="8" t="s">
        <v>93</v>
      </c>
      <c r="AC367" s="8" t="s">
        <v>92</v>
      </c>
      <c r="AD367" s="8" t="s">
        <v>92</v>
      </c>
      <c r="AE367" s="14" t="s">
        <v>287</v>
      </c>
      <c r="AF367" s="14" t="s">
        <v>92</v>
      </c>
      <c r="AG367" s="14" t="s">
        <v>95</v>
      </c>
      <c r="AH367" s="8" t="s">
        <v>105</v>
      </c>
      <c r="AI367" s="14" t="s">
        <v>92</v>
      </c>
      <c r="AJ367" s="14" t="s">
        <v>92</v>
      </c>
      <c r="AK367" s="14" t="s">
        <v>93</v>
      </c>
      <c r="AL367" s="14" t="s">
        <v>92</v>
      </c>
      <c r="AM367" s="8" t="s">
        <v>105</v>
      </c>
      <c r="AN367" s="14" t="s">
        <v>105</v>
      </c>
      <c r="AO367" s="8" t="s">
        <v>105</v>
      </c>
      <c r="AP367" s="8" t="s">
        <v>92</v>
      </c>
      <c r="AQ367" s="14" t="s">
        <v>92</v>
      </c>
      <c r="AR367" s="14" t="s">
        <v>93</v>
      </c>
      <c r="AS367" s="14" t="s">
        <v>93</v>
      </c>
      <c r="AT367" s="14" t="s">
        <v>92</v>
      </c>
      <c r="AU367" s="14" t="s">
        <v>92</v>
      </c>
      <c r="AV367" s="14" t="s">
        <v>92</v>
      </c>
      <c r="AW367" s="14" t="s">
        <v>92</v>
      </c>
      <c r="AX367" s="14" t="s">
        <v>92</v>
      </c>
      <c r="AY367" s="8" t="s">
        <v>1658</v>
      </c>
      <c r="AZ367" s="8" t="s">
        <v>95</v>
      </c>
      <c r="BA367" s="9" t="s">
        <v>1659</v>
      </c>
      <c r="BB367" s="8" t="s">
        <v>95</v>
      </c>
      <c r="BC367" s="8" t="s">
        <v>93</v>
      </c>
      <c r="BD367" s="14" t="s">
        <v>93</v>
      </c>
      <c r="BE367" s="14" t="s">
        <v>92</v>
      </c>
      <c r="BF367" s="14" t="s">
        <v>92</v>
      </c>
      <c r="BG367" s="14" t="s">
        <v>92</v>
      </c>
      <c r="BH367" s="14" t="s">
        <v>92</v>
      </c>
      <c r="BI367" s="14" t="s">
        <v>93</v>
      </c>
      <c r="BJ367" s="14" t="s">
        <v>93</v>
      </c>
      <c r="BK367" s="14" t="s">
        <v>1137</v>
      </c>
      <c r="BL367" s="14" t="s">
        <v>92</v>
      </c>
      <c r="BM367" s="14" t="s">
        <v>92</v>
      </c>
      <c r="BN367" s="14" t="s">
        <v>92</v>
      </c>
      <c r="BO367" s="14" t="s">
        <v>92</v>
      </c>
      <c r="BP367" s="14" t="s">
        <v>93</v>
      </c>
      <c r="BQ367" s="8" t="s">
        <v>93</v>
      </c>
      <c r="BR367" s="8" t="s">
        <v>93</v>
      </c>
      <c r="BS367" s="8" t="s">
        <v>92</v>
      </c>
      <c r="BT367" s="8" t="s">
        <v>92</v>
      </c>
      <c r="BU367" s="8" t="s">
        <v>92</v>
      </c>
      <c r="BV367" s="8" t="s">
        <v>92</v>
      </c>
      <c r="BW367" s="8" t="s">
        <v>92</v>
      </c>
      <c r="BX367" s="8" t="s">
        <v>92</v>
      </c>
      <c r="BY367" s="8" t="s">
        <v>92</v>
      </c>
      <c r="BZ367" s="8" t="s">
        <v>92</v>
      </c>
      <c r="CA367" s="8" t="s">
        <v>93</v>
      </c>
      <c r="CB367" s="17" t="s">
        <v>106</v>
      </c>
      <c r="CC367" s="31"/>
      <c r="CD367" s="31"/>
      <c r="CE367" s="18"/>
      <c r="CF367" s="18"/>
      <c r="CG367" s="18"/>
      <c r="CH367" s="18"/>
    </row>
    <row r="368">
      <c r="A368" s="8"/>
      <c r="B368" s="9" t="s">
        <v>1635</v>
      </c>
      <c r="C368" s="10" t="s">
        <v>1636</v>
      </c>
      <c r="D368" s="9" t="s">
        <v>87</v>
      </c>
      <c r="E368" s="11" t="s">
        <v>1660</v>
      </c>
      <c r="F368" s="12"/>
      <c r="G368" s="14" t="s">
        <v>1661</v>
      </c>
      <c r="H368" s="14" t="s">
        <v>90</v>
      </c>
      <c r="I368" s="14" t="s">
        <v>1662</v>
      </c>
      <c r="J368" s="14" t="s">
        <v>92</v>
      </c>
      <c r="K368" s="14" t="s">
        <v>92</v>
      </c>
      <c r="L368" s="14" t="s">
        <v>92</v>
      </c>
      <c r="M368" s="14" t="s">
        <v>92</v>
      </c>
      <c r="N368" s="14" t="s">
        <v>92</v>
      </c>
      <c r="O368" s="14" t="s">
        <v>92</v>
      </c>
      <c r="P368" s="14" t="s">
        <v>92</v>
      </c>
      <c r="Q368" s="14" t="s">
        <v>92</v>
      </c>
      <c r="R368" s="14" t="s">
        <v>92</v>
      </c>
      <c r="S368" s="14" t="s">
        <v>92</v>
      </c>
      <c r="T368" s="14" t="s">
        <v>92</v>
      </c>
      <c r="U368" s="14" t="s">
        <v>92</v>
      </c>
      <c r="V368" s="14" t="s">
        <v>92</v>
      </c>
      <c r="W368" s="14" t="s">
        <v>92</v>
      </c>
      <c r="X368" s="14" t="s">
        <v>92</v>
      </c>
      <c r="Y368" s="14" t="s">
        <v>92</v>
      </c>
      <c r="Z368" s="14" t="s">
        <v>93</v>
      </c>
      <c r="AA368" s="14" t="s">
        <v>92</v>
      </c>
      <c r="AB368" s="8" t="s">
        <v>93</v>
      </c>
      <c r="AC368" s="8" t="s">
        <v>93</v>
      </c>
      <c r="AD368" s="8" t="s">
        <v>92</v>
      </c>
      <c r="AE368" s="14" t="s">
        <v>287</v>
      </c>
      <c r="AF368" s="14" t="s">
        <v>92</v>
      </c>
      <c r="AG368" s="14" t="s">
        <v>95</v>
      </c>
      <c r="AH368" s="8">
        <v>2020.0</v>
      </c>
      <c r="AI368" s="14" t="s">
        <v>92</v>
      </c>
      <c r="AJ368" s="14" t="s">
        <v>92</v>
      </c>
      <c r="AK368" s="14" t="s">
        <v>93</v>
      </c>
      <c r="AL368" s="14" t="s">
        <v>92</v>
      </c>
      <c r="AM368" s="8" t="s">
        <v>95</v>
      </c>
      <c r="AN368" s="14" t="s">
        <v>114</v>
      </c>
      <c r="AO368" s="8" t="s">
        <v>93</v>
      </c>
      <c r="AP368" s="8" t="s">
        <v>92</v>
      </c>
      <c r="AQ368" s="14" t="s">
        <v>92</v>
      </c>
      <c r="AR368" s="14" t="s">
        <v>93</v>
      </c>
      <c r="AS368" s="14" t="s">
        <v>93</v>
      </c>
      <c r="AT368" s="14" t="s">
        <v>92</v>
      </c>
      <c r="AU368" s="14" t="s">
        <v>92</v>
      </c>
      <c r="AV368" s="14" t="s">
        <v>92</v>
      </c>
      <c r="AW368" s="14" t="s">
        <v>92</v>
      </c>
      <c r="AX368" s="14" t="s">
        <v>92</v>
      </c>
      <c r="AY368" s="8" t="s">
        <v>1663</v>
      </c>
      <c r="AZ368" s="8" t="s">
        <v>92</v>
      </c>
      <c r="BA368" s="9" t="s">
        <v>1664</v>
      </c>
      <c r="BB368" s="8" t="s">
        <v>143</v>
      </c>
      <c r="BC368" s="8" t="s">
        <v>92</v>
      </c>
      <c r="BD368" s="14" t="s">
        <v>93</v>
      </c>
      <c r="BE368" s="14" t="s">
        <v>92</v>
      </c>
      <c r="BF368" s="14" t="s">
        <v>92</v>
      </c>
      <c r="BG368" s="14" t="s">
        <v>92</v>
      </c>
      <c r="BH368" s="14" t="s">
        <v>92</v>
      </c>
      <c r="BI368" s="14" t="s">
        <v>92</v>
      </c>
      <c r="BJ368" s="14" t="s">
        <v>93</v>
      </c>
      <c r="BK368" s="14" t="s">
        <v>274</v>
      </c>
      <c r="BL368" s="14" t="s">
        <v>93</v>
      </c>
      <c r="BM368" s="14" t="s">
        <v>92</v>
      </c>
      <c r="BN368" s="14" t="s">
        <v>92</v>
      </c>
      <c r="BO368" s="14" t="s">
        <v>92</v>
      </c>
      <c r="BP368" s="14" t="s">
        <v>92</v>
      </c>
      <c r="BQ368" s="8" t="s">
        <v>92</v>
      </c>
      <c r="BR368" s="8" t="s">
        <v>92</v>
      </c>
      <c r="BS368" s="8" t="s">
        <v>92</v>
      </c>
      <c r="BT368" s="8" t="s">
        <v>93</v>
      </c>
      <c r="BU368" s="8" t="s">
        <v>93</v>
      </c>
      <c r="BV368" s="8" t="s">
        <v>93</v>
      </c>
      <c r="BW368" s="8" t="s">
        <v>92</v>
      </c>
      <c r="BX368" s="8" t="s">
        <v>92</v>
      </c>
      <c r="BY368" s="8" t="s">
        <v>92</v>
      </c>
      <c r="BZ368" s="8" t="s">
        <v>93</v>
      </c>
      <c r="CA368" s="8" t="s">
        <v>92</v>
      </c>
      <c r="CB368" s="17" t="s">
        <v>106</v>
      </c>
      <c r="CC368" s="31"/>
      <c r="CD368" s="31"/>
      <c r="CE368" s="18"/>
      <c r="CF368" s="18"/>
      <c r="CG368" s="18"/>
      <c r="CH368" s="18"/>
    </row>
    <row r="369">
      <c r="A369" s="8"/>
      <c r="B369" s="9" t="s">
        <v>1635</v>
      </c>
      <c r="C369" s="10" t="s">
        <v>1636</v>
      </c>
      <c r="D369" s="9" t="s">
        <v>87</v>
      </c>
      <c r="E369" s="11" t="s">
        <v>1665</v>
      </c>
      <c r="F369" s="12"/>
      <c r="G369" s="29" t="s">
        <v>1666</v>
      </c>
      <c r="H369" s="14" t="s">
        <v>90</v>
      </c>
      <c r="I369" s="14" t="s">
        <v>1667</v>
      </c>
      <c r="J369" s="14" t="s">
        <v>92</v>
      </c>
      <c r="K369" s="14" t="s">
        <v>93</v>
      </c>
      <c r="L369" s="14" t="s">
        <v>93</v>
      </c>
      <c r="M369" s="14" t="s">
        <v>92</v>
      </c>
      <c r="N369" s="14" t="s">
        <v>92</v>
      </c>
      <c r="O369" s="14" t="s">
        <v>92</v>
      </c>
      <c r="P369" s="14" t="s">
        <v>92</v>
      </c>
      <c r="Q369" s="14" t="s">
        <v>92</v>
      </c>
      <c r="R369" s="14" t="s">
        <v>92</v>
      </c>
      <c r="S369" s="14" t="s">
        <v>92</v>
      </c>
      <c r="T369" s="14" t="s">
        <v>92</v>
      </c>
      <c r="U369" s="14" t="s">
        <v>92</v>
      </c>
      <c r="V369" s="14" t="s">
        <v>92</v>
      </c>
      <c r="W369" s="14" t="s">
        <v>92</v>
      </c>
      <c r="X369" s="14" t="s">
        <v>92</v>
      </c>
      <c r="Y369" s="14" t="s">
        <v>92</v>
      </c>
      <c r="Z369" s="14" t="s">
        <v>93</v>
      </c>
      <c r="AA369" s="14" t="s">
        <v>92</v>
      </c>
      <c r="AB369" s="8" t="s">
        <v>92</v>
      </c>
      <c r="AC369" s="8" t="s">
        <v>93</v>
      </c>
      <c r="AD369" s="8" t="s">
        <v>92</v>
      </c>
      <c r="AE369" s="14" t="s">
        <v>112</v>
      </c>
      <c r="AF369" s="14" t="s">
        <v>92</v>
      </c>
      <c r="AG369" s="14" t="s">
        <v>95</v>
      </c>
      <c r="AH369" s="8">
        <v>2021.0</v>
      </c>
      <c r="AI369" s="14" t="s">
        <v>92</v>
      </c>
      <c r="AJ369" s="14" t="s">
        <v>93</v>
      </c>
      <c r="AK369" s="14" t="s">
        <v>93</v>
      </c>
      <c r="AL369" s="14" t="s">
        <v>93</v>
      </c>
      <c r="AM369" s="8" t="s">
        <v>95</v>
      </c>
      <c r="AN369" s="14" t="s">
        <v>114</v>
      </c>
      <c r="AO369" s="8" t="s">
        <v>93</v>
      </c>
      <c r="AP369" s="8" t="s">
        <v>92</v>
      </c>
      <c r="AQ369" s="14" t="s">
        <v>92</v>
      </c>
      <c r="AR369" s="14" t="s">
        <v>93</v>
      </c>
      <c r="AS369" s="14" t="s">
        <v>93</v>
      </c>
      <c r="AT369" s="14" t="s">
        <v>92</v>
      </c>
      <c r="AU369" s="14" t="s">
        <v>92</v>
      </c>
      <c r="AV369" s="14" t="s">
        <v>92</v>
      </c>
      <c r="AW369" s="14" t="s">
        <v>92</v>
      </c>
      <c r="AX369" s="14" t="s">
        <v>92</v>
      </c>
      <c r="AY369" s="8" t="s">
        <v>95</v>
      </c>
      <c r="AZ369" s="8" t="s">
        <v>95</v>
      </c>
      <c r="BA369" s="9" t="s">
        <v>1641</v>
      </c>
      <c r="BB369" s="8" t="s">
        <v>97</v>
      </c>
      <c r="BC369" s="8" t="s">
        <v>92</v>
      </c>
      <c r="BD369" s="14" t="s">
        <v>93</v>
      </c>
      <c r="BE369" s="14" t="s">
        <v>92</v>
      </c>
      <c r="BF369" s="14" t="s">
        <v>92</v>
      </c>
      <c r="BG369" s="14" t="s">
        <v>92</v>
      </c>
      <c r="BH369" s="14" t="s">
        <v>92</v>
      </c>
      <c r="BI369" s="14" t="s">
        <v>92</v>
      </c>
      <c r="BJ369" s="14" t="s">
        <v>92</v>
      </c>
      <c r="BK369" s="14" t="s">
        <v>105</v>
      </c>
      <c r="BL369" s="14" t="s">
        <v>105</v>
      </c>
      <c r="BM369" s="14" t="s">
        <v>105</v>
      </c>
      <c r="BN369" s="14" t="s">
        <v>105</v>
      </c>
      <c r="BO369" s="14" t="s">
        <v>105</v>
      </c>
      <c r="BP369" s="14" t="s">
        <v>105</v>
      </c>
      <c r="BQ369" s="8" t="s">
        <v>92</v>
      </c>
      <c r="BR369" s="8" t="s">
        <v>92</v>
      </c>
      <c r="BS369" s="8" t="s">
        <v>92</v>
      </c>
      <c r="BT369" s="8" t="s">
        <v>93</v>
      </c>
      <c r="BU369" s="8" t="s">
        <v>93</v>
      </c>
      <c r="BV369" s="8" t="s">
        <v>92</v>
      </c>
      <c r="BW369" s="8" t="s">
        <v>92</v>
      </c>
      <c r="BX369" s="8" t="s">
        <v>92</v>
      </c>
      <c r="BY369" s="8" t="s">
        <v>92</v>
      </c>
      <c r="BZ369" s="8" t="s">
        <v>92</v>
      </c>
      <c r="CA369" s="8" t="s">
        <v>92</v>
      </c>
      <c r="CB369" s="20" t="s">
        <v>116</v>
      </c>
      <c r="CC369" s="17" t="s">
        <v>115</v>
      </c>
      <c r="CD369" s="17" t="s">
        <v>106</v>
      </c>
      <c r="CE369" s="18"/>
      <c r="CF369" s="18"/>
      <c r="CG369" s="18"/>
      <c r="CH369" s="18"/>
    </row>
    <row r="370">
      <c r="A370" s="8"/>
      <c r="B370" s="9" t="s">
        <v>1668</v>
      </c>
      <c r="C370" s="10" t="s">
        <v>1669</v>
      </c>
      <c r="D370" s="9" t="s">
        <v>1670</v>
      </c>
      <c r="E370" s="11" t="s">
        <v>1671</v>
      </c>
      <c r="F370" s="12"/>
      <c r="G370" s="14" t="s">
        <v>1672</v>
      </c>
      <c r="H370" s="14" t="s">
        <v>90</v>
      </c>
      <c r="I370" s="14" t="s">
        <v>1673</v>
      </c>
      <c r="J370" s="14" t="s">
        <v>92</v>
      </c>
      <c r="K370" s="14" t="s">
        <v>92</v>
      </c>
      <c r="L370" s="14" t="s">
        <v>92</v>
      </c>
      <c r="M370" s="14" t="s">
        <v>93</v>
      </c>
      <c r="N370" s="14" t="s">
        <v>92</v>
      </c>
      <c r="O370" s="14" t="s">
        <v>92</v>
      </c>
      <c r="P370" s="14" t="s">
        <v>92</v>
      </c>
      <c r="Q370" s="14" t="s">
        <v>92</v>
      </c>
      <c r="R370" s="14" t="s">
        <v>92</v>
      </c>
      <c r="S370" s="14" t="s">
        <v>92</v>
      </c>
      <c r="T370" s="14" t="s">
        <v>92</v>
      </c>
      <c r="U370" s="14" t="s">
        <v>93</v>
      </c>
      <c r="V370" s="14" t="s">
        <v>92</v>
      </c>
      <c r="W370" s="14" t="s">
        <v>92</v>
      </c>
      <c r="X370" s="14" t="s">
        <v>92</v>
      </c>
      <c r="Y370" s="14" t="s">
        <v>92</v>
      </c>
      <c r="Z370" s="14" t="s">
        <v>92</v>
      </c>
      <c r="AA370" s="14" t="s">
        <v>92</v>
      </c>
      <c r="AB370" s="8" t="s">
        <v>93</v>
      </c>
      <c r="AC370" s="8" t="s">
        <v>92</v>
      </c>
      <c r="AD370" s="8" t="s">
        <v>92</v>
      </c>
      <c r="AE370" s="14" t="s">
        <v>94</v>
      </c>
      <c r="AF370" s="14" t="s">
        <v>92</v>
      </c>
      <c r="AG370" s="14" t="s">
        <v>95</v>
      </c>
      <c r="AH370" s="8">
        <v>2022.0</v>
      </c>
      <c r="AI370" s="14" t="s">
        <v>105</v>
      </c>
      <c r="AJ370" s="14" t="s">
        <v>105</v>
      </c>
      <c r="AK370" s="14" t="s">
        <v>93</v>
      </c>
      <c r="AL370" s="14" t="s">
        <v>93</v>
      </c>
      <c r="AM370" s="8" t="s">
        <v>95</v>
      </c>
      <c r="AN370" s="14" t="s">
        <v>114</v>
      </c>
      <c r="AO370" s="8" t="s">
        <v>93</v>
      </c>
      <c r="AP370" s="8" t="s">
        <v>92</v>
      </c>
      <c r="AQ370" s="14" t="s">
        <v>92</v>
      </c>
      <c r="AR370" s="14" t="s">
        <v>92</v>
      </c>
      <c r="AS370" s="14" t="s">
        <v>92</v>
      </c>
      <c r="AT370" s="14" t="s">
        <v>93</v>
      </c>
      <c r="AU370" s="14" t="s">
        <v>93</v>
      </c>
      <c r="AV370" s="14" t="s">
        <v>93</v>
      </c>
      <c r="AW370" s="14" t="s">
        <v>93</v>
      </c>
      <c r="AX370" s="14" t="s">
        <v>92</v>
      </c>
      <c r="AY370" s="8" t="s">
        <v>95</v>
      </c>
      <c r="AZ370" s="8" t="s">
        <v>95</v>
      </c>
      <c r="BA370" s="9" t="s">
        <v>1674</v>
      </c>
      <c r="BB370" s="8" t="s">
        <v>105</v>
      </c>
      <c r="BC370" s="8" t="s">
        <v>105</v>
      </c>
      <c r="BD370" s="14" t="s">
        <v>92</v>
      </c>
      <c r="BE370" s="14" t="s">
        <v>92</v>
      </c>
      <c r="BF370" s="14" t="s">
        <v>92</v>
      </c>
      <c r="BG370" s="14" t="s">
        <v>92</v>
      </c>
      <c r="BH370" s="14" t="s">
        <v>92</v>
      </c>
      <c r="BI370" s="14" t="s">
        <v>93</v>
      </c>
      <c r="BJ370" s="14" t="s">
        <v>92</v>
      </c>
      <c r="BK370" s="14" t="s">
        <v>1675</v>
      </c>
      <c r="BL370" s="14" t="s">
        <v>92</v>
      </c>
      <c r="BM370" s="14" t="s">
        <v>93</v>
      </c>
      <c r="BN370" s="14" t="s">
        <v>92</v>
      </c>
      <c r="BO370" s="14" t="s">
        <v>93</v>
      </c>
      <c r="BP370" s="14" t="s">
        <v>92</v>
      </c>
      <c r="BQ370" s="8" t="s">
        <v>93</v>
      </c>
      <c r="BR370" s="8" t="s">
        <v>92</v>
      </c>
      <c r="BS370" s="8" t="s">
        <v>92</v>
      </c>
      <c r="BT370" s="8" t="s">
        <v>92</v>
      </c>
      <c r="BU370" s="8" t="s">
        <v>92</v>
      </c>
      <c r="BV370" s="8" t="s">
        <v>92</v>
      </c>
      <c r="BW370" s="8" t="s">
        <v>92</v>
      </c>
      <c r="BX370" s="8" t="s">
        <v>92</v>
      </c>
      <c r="BY370" s="8" t="s">
        <v>92</v>
      </c>
      <c r="BZ370" s="8" t="s">
        <v>92</v>
      </c>
      <c r="CA370" s="8" t="s">
        <v>92</v>
      </c>
      <c r="CB370" s="20" t="s">
        <v>1195</v>
      </c>
      <c r="CC370" s="20" t="s">
        <v>660</v>
      </c>
      <c r="CD370" s="18"/>
      <c r="CE370" s="18"/>
      <c r="CF370" s="18"/>
      <c r="CG370" s="18"/>
      <c r="CH370" s="18"/>
    </row>
    <row r="371">
      <c r="A371" s="8"/>
      <c r="B371" s="9" t="s">
        <v>1668</v>
      </c>
      <c r="C371" s="10" t="s">
        <v>1669</v>
      </c>
      <c r="D371" s="9" t="s">
        <v>1670</v>
      </c>
      <c r="E371" s="11" t="s">
        <v>1676</v>
      </c>
      <c r="F371" s="12"/>
      <c r="G371" s="14" t="s">
        <v>1677</v>
      </c>
      <c r="H371" s="14" t="s">
        <v>90</v>
      </c>
      <c r="I371" s="14" t="s">
        <v>1678</v>
      </c>
      <c r="J371" s="14" t="s">
        <v>92</v>
      </c>
      <c r="K371" s="14" t="s">
        <v>92</v>
      </c>
      <c r="L371" s="14" t="s">
        <v>92</v>
      </c>
      <c r="M371" s="14" t="s">
        <v>93</v>
      </c>
      <c r="N371" s="14" t="s">
        <v>92</v>
      </c>
      <c r="O371" s="14" t="s">
        <v>92</v>
      </c>
      <c r="P371" s="14" t="s">
        <v>92</v>
      </c>
      <c r="Q371" s="14" t="s">
        <v>92</v>
      </c>
      <c r="R371" s="14" t="s">
        <v>92</v>
      </c>
      <c r="S371" s="14" t="s">
        <v>92</v>
      </c>
      <c r="T371" s="14" t="s">
        <v>92</v>
      </c>
      <c r="U371" s="14" t="s">
        <v>93</v>
      </c>
      <c r="V371" s="14" t="s">
        <v>92</v>
      </c>
      <c r="W371" s="14" t="s">
        <v>92</v>
      </c>
      <c r="X371" s="14" t="s">
        <v>92</v>
      </c>
      <c r="Y371" s="14" t="s">
        <v>92</v>
      </c>
      <c r="Z371" s="14" t="s">
        <v>92</v>
      </c>
      <c r="AA371" s="14" t="s">
        <v>92</v>
      </c>
      <c r="AB371" s="8" t="s">
        <v>93</v>
      </c>
      <c r="AC371" s="8" t="s">
        <v>92</v>
      </c>
      <c r="AD371" s="8" t="s">
        <v>92</v>
      </c>
      <c r="AE371" s="14" t="s">
        <v>94</v>
      </c>
      <c r="AF371" s="14" t="s">
        <v>92</v>
      </c>
      <c r="AG371" s="14" t="s">
        <v>95</v>
      </c>
      <c r="AH371" s="8">
        <v>2023.0</v>
      </c>
      <c r="AI371" s="14" t="s">
        <v>105</v>
      </c>
      <c r="AJ371" s="14" t="s">
        <v>105</v>
      </c>
      <c r="AK371" s="14" t="s">
        <v>92</v>
      </c>
      <c r="AL371" s="14" t="s">
        <v>93</v>
      </c>
      <c r="AM371" s="8">
        <v>2024.0</v>
      </c>
      <c r="AN371" s="14" t="s">
        <v>96</v>
      </c>
      <c r="AO371" s="8" t="s">
        <v>92</v>
      </c>
      <c r="AP371" s="8" t="s">
        <v>92</v>
      </c>
      <c r="AQ371" s="14" t="s">
        <v>92</v>
      </c>
      <c r="AR371" s="14" t="s">
        <v>92</v>
      </c>
      <c r="AS371" s="14" t="s">
        <v>92</v>
      </c>
      <c r="AT371" s="14" t="s">
        <v>93</v>
      </c>
      <c r="AU371" s="14" t="s">
        <v>93</v>
      </c>
      <c r="AV371" s="14" t="s">
        <v>93</v>
      </c>
      <c r="AW371" s="14" t="s">
        <v>93</v>
      </c>
      <c r="AX371" s="14" t="s">
        <v>92</v>
      </c>
      <c r="AY371" s="8" t="s">
        <v>95</v>
      </c>
      <c r="AZ371" s="8" t="s">
        <v>95</v>
      </c>
      <c r="BA371" s="9" t="s">
        <v>1668</v>
      </c>
      <c r="BB371" s="8" t="s">
        <v>213</v>
      </c>
      <c r="BC371" s="8" t="s">
        <v>92</v>
      </c>
      <c r="BD371" s="14" t="s">
        <v>92</v>
      </c>
      <c r="BE371" s="14" t="s">
        <v>92</v>
      </c>
      <c r="BF371" s="14" t="s">
        <v>92</v>
      </c>
      <c r="BG371" s="14" t="s">
        <v>92</v>
      </c>
      <c r="BH371" s="14" t="s">
        <v>92</v>
      </c>
      <c r="BI371" s="14" t="s">
        <v>93</v>
      </c>
      <c r="BJ371" s="14" t="s">
        <v>92</v>
      </c>
      <c r="BK371" s="14" t="s">
        <v>1675</v>
      </c>
      <c r="BL371" s="14" t="s">
        <v>92</v>
      </c>
      <c r="BM371" s="14" t="s">
        <v>93</v>
      </c>
      <c r="BN371" s="14" t="s">
        <v>92</v>
      </c>
      <c r="BO371" s="14" t="s">
        <v>93</v>
      </c>
      <c r="BP371" s="14" t="s">
        <v>92</v>
      </c>
      <c r="BQ371" s="8" t="s">
        <v>93</v>
      </c>
      <c r="BR371" s="8" t="s">
        <v>92</v>
      </c>
      <c r="BS371" s="8" t="s">
        <v>92</v>
      </c>
      <c r="BT371" s="8" t="s">
        <v>92</v>
      </c>
      <c r="BU371" s="8" t="s">
        <v>92</v>
      </c>
      <c r="BV371" s="8" t="s">
        <v>92</v>
      </c>
      <c r="BW371" s="8" t="s">
        <v>92</v>
      </c>
      <c r="BX371" s="8" t="s">
        <v>92</v>
      </c>
      <c r="BY371" s="8" t="s">
        <v>92</v>
      </c>
      <c r="BZ371" s="8" t="s">
        <v>92</v>
      </c>
      <c r="CA371" s="8" t="s">
        <v>92</v>
      </c>
      <c r="CB371" s="20" t="s">
        <v>660</v>
      </c>
      <c r="CC371" s="17"/>
      <c r="CD371" s="18"/>
      <c r="CE371" s="18"/>
      <c r="CF371" s="18"/>
      <c r="CG371" s="18"/>
      <c r="CH371" s="18"/>
    </row>
    <row r="372">
      <c r="A372" s="8"/>
      <c r="B372" s="43" t="s">
        <v>1668</v>
      </c>
      <c r="C372" s="10" t="s">
        <v>1669</v>
      </c>
      <c r="D372" s="9" t="s">
        <v>1670</v>
      </c>
      <c r="E372" s="11" t="s">
        <v>1679</v>
      </c>
      <c r="F372" s="12"/>
      <c r="G372" s="14" t="s">
        <v>1680</v>
      </c>
      <c r="H372" s="14" t="s">
        <v>90</v>
      </c>
      <c r="I372" s="14" t="s">
        <v>1681</v>
      </c>
      <c r="J372" s="14" t="s">
        <v>92</v>
      </c>
      <c r="K372" s="14" t="s">
        <v>92</v>
      </c>
      <c r="L372" s="14" t="s">
        <v>92</v>
      </c>
      <c r="M372" s="14" t="s">
        <v>92</v>
      </c>
      <c r="N372" s="14" t="s">
        <v>92</v>
      </c>
      <c r="O372" s="14" t="s">
        <v>92</v>
      </c>
      <c r="P372" s="14" t="s">
        <v>92</v>
      </c>
      <c r="Q372" s="14" t="s">
        <v>92</v>
      </c>
      <c r="R372" s="14" t="s">
        <v>92</v>
      </c>
      <c r="S372" s="14" t="s">
        <v>92</v>
      </c>
      <c r="T372" s="14" t="s">
        <v>92</v>
      </c>
      <c r="U372" s="14" t="s">
        <v>92</v>
      </c>
      <c r="V372" s="14" t="s">
        <v>92</v>
      </c>
      <c r="W372" s="14" t="s">
        <v>92</v>
      </c>
      <c r="X372" s="14" t="s">
        <v>93</v>
      </c>
      <c r="Y372" s="14" t="s">
        <v>92</v>
      </c>
      <c r="Z372" s="14" t="s">
        <v>93</v>
      </c>
      <c r="AA372" s="14" t="s">
        <v>92</v>
      </c>
      <c r="AB372" s="8" t="s">
        <v>92</v>
      </c>
      <c r="AC372" s="8" t="s">
        <v>93</v>
      </c>
      <c r="AD372" s="8" t="s">
        <v>92</v>
      </c>
      <c r="AE372" s="14" t="s">
        <v>112</v>
      </c>
      <c r="AF372" s="14" t="s">
        <v>92</v>
      </c>
      <c r="AG372" s="14" t="s">
        <v>95</v>
      </c>
      <c r="AH372" s="8">
        <v>2014.0</v>
      </c>
      <c r="AI372" s="14" t="s">
        <v>105</v>
      </c>
      <c r="AJ372" s="14" t="s">
        <v>105</v>
      </c>
      <c r="AK372" s="14" t="s">
        <v>93</v>
      </c>
      <c r="AL372" s="14" t="s">
        <v>93</v>
      </c>
      <c r="AM372" s="8" t="s">
        <v>95</v>
      </c>
      <c r="AN372" s="14" t="s">
        <v>114</v>
      </c>
      <c r="AO372" s="8" t="s">
        <v>93</v>
      </c>
      <c r="AP372" s="8" t="s">
        <v>92</v>
      </c>
      <c r="AQ372" s="14" t="s">
        <v>92</v>
      </c>
      <c r="AR372" s="14" t="s">
        <v>92</v>
      </c>
      <c r="AS372" s="14" t="s">
        <v>92</v>
      </c>
      <c r="AT372" s="14" t="s">
        <v>93</v>
      </c>
      <c r="AU372" s="14" t="s">
        <v>93</v>
      </c>
      <c r="AV372" s="14" t="s">
        <v>93</v>
      </c>
      <c r="AW372" s="14" t="s">
        <v>93</v>
      </c>
      <c r="AX372" s="14" t="s">
        <v>92</v>
      </c>
      <c r="AY372" s="8" t="s">
        <v>95</v>
      </c>
      <c r="AZ372" s="8" t="s">
        <v>95</v>
      </c>
      <c r="BA372" s="9" t="s">
        <v>1668</v>
      </c>
      <c r="BB372" s="8" t="s">
        <v>213</v>
      </c>
      <c r="BC372" s="8" t="s">
        <v>92</v>
      </c>
      <c r="BD372" s="14" t="s">
        <v>93</v>
      </c>
      <c r="BE372" s="14" t="s">
        <v>92</v>
      </c>
      <c r="BF372" s="14" t="s">
        <v>92</v>
      </c>
      <c r="BG372" s="14" t="s">
        <v>92</v>
      </c>
      <c r="BH372" s="14" t="s">
        <v>92</v>
      </c>
      <c r="BI372" s="14" t="s">
        <v>92</v>
      </c>
      <c r="BJ372" s="14" t="s">
        <v>92</v>
      </c>
      <c r="BK372" s="14" t="s">
        <v>1682</v>
      </c>
      <c r="BL372" s="14" t="s">
        <v>92</v>
      </c>
      <c r="BM372" s="14" t="s">
        <v>93</v>
      </c>
      <c r="BN372" s="14" t="s">
        <v>92</v>
      </c>
      <c r="BO372" s="14" t="s">
        <v>93</v>
      </c>
      <c r="BP372" s="14" t="s">
        <v>92</v>
      </c>
      <c r="BQ372" s="8" t="s">
        <v>92</v>
      </c>
      <c r="BR372" s="8" t="s">
        <v>92</v>
      </c>
      <c r="BS372" s="8" t="s">
        <v>92</v>
      </c>
      <c r="BT372" s="8" t="s">
        <v>93</v>
      </c>
      <c r="BU372" s="8" t="s">
        <v>92</v>
      </c>
      <c r="BV372" s="8" t="s">
        <v>92</v>
      </c>
      <c r="BW372" s="8" t="s">
        <v>92</v>
      </c>
      <c r="BX372" s="8" t="s">
        <v>93</v>
      </c>
      <c r="BY372" s="8" t="s">
        <v>93</v>
      </c>
      <c r="BZ372" s="8" t="s">
        <v>92</v>
      </c>
      <c r="CA372" s="8" t="s">
        <v>92</v>
      </c>
      <c r="CB372" s="20" t="s">
        <v>1195</v>
      </c>
      <c r="CC372" s="20" t="s">
        <v>660</v>
      </c>
      <c r="CD372" s="18"/>
      <c r="CE372" s="18"/>
      <c r="CF372" s="18"/>
      <c r="CG372" s="18"/>
      <c r="CH372" s="18"/>
    </row>
    <row r="373">
      <c r="A373" s="8"/>
      <c r="B373" s="9" t="s">
        <v>1668</v>
      </c>
      <c r="C373" s="10" t="s">
        <v>1669</v>
      </c>
      <c r="D373" s="9" t="s">
        <v>1670</v>
      </c>
      <c r="E373" s="11" t="s">
        <v>1683</v>
      </c>
      <c r="F373" s="12"/>
      <c r="G373" s="14" t="s">
        <v>1684</v>
      </c>
      <c r="H373" s="14" t="s">
        <v>90</v>
      </c>
      <c r="I373" s="14" t="s">
        <v>1685</v>
      </c>
      <c r="J373" s="14" t="s">
        <v>92</v>
      </c>
      <c r="K373" s="14" t="s">
        <v>92</v>
      </c>
      <c r="L373" s="14" t="s">
        <v>92</v>
      </c>
      <c r="M373" s="14" t="s">
        <v>92</v>
      </c>
      <c r="N373" s="14" t="s">
        <v>92</v>
      </c>
      <c r="O373" s="14" t="s">
        <v>92</v>
      </c>
      <c r="P373" s="14" t="s">
        <v>92</v>
      </c>
      <c r="Q373" s="14" t="s">
        <v>92</v>
      </c>
      <c r="R373" s="14" t="s">
        <v>92</v>
      </c>
      <c r="S373" s="14" t="s">
        <v>92</v>
      </c>
      <c r="T373" s="14" t="s">
        <v>92</v>
      </c>
      <c r="U373" s="14" t="s">
        <v>92</v>
      </c>
      <c r="V373" s="14" t="s">
        <v>92</v>
      </c>
      <c r="W373" s="14" t="s">
        <v>92</v>
      </c>
      <c r="X373" s="14" t="s">
        <v>93</v>
      </c>
      <c r="Y373" s="14" t="s">
        <v>92</v>
      </c>
      <c r="Z373" s="14" t="s">
        <v>93</v>
      </c>
      <c r="AA373" s="14" t="s">
        <v>92</v>
      </c>
      <c r="AB373" s="8" t="s">
        <v>92</v>
      </c>
      <c r="AC373" s="8" t="s">
        <v>93</v>
      </c>
      <c r="AD373" s="8" t="s">
        <v>92</v>
      </c>
      <c r="AE373" s="14" t="s">
        <v>112</v>
      </c>
      <c r="AF373" s="14" t="s">
        <v>92</v>
      </c>
      <c r="AG373" s="14" t="s">
        <v>95</v>
      </c>
      <c r="AH373" s="8" t="s">
        <v>105</v>
      </c>
      <c r="AI373" s="14" t="s">
        <v>105</v>
      </c>
      <c r="AJ373" s="14" t="s">
        <v>105</v>
      </c>
      <c r="AK373" s="14" t="s">
        <v>93</v>
      </c>
      <c r="AL373" s="14" t="s">
        <v>92</v>
      </c>
      <c r="AM373" s="8" t="s">
        <v>105</v>
      </c>
      <c r="AN373" s="14" t="s">
        <v>105</v>
      </c>
      <c r="AO373" s="8" t="s">
        <v>105</v>
      </c>
      <c r="AP373" s="8" t="s">
        <v>92</v>
      </c>
      <c r="AQ373" s="14" t="s">
        <v>92</v>
      </c>
      <c r="AR373" s="14" t="s">
        <v>92</v>
      </c>
      <c r="AS373" s="14" t="s">
        <v>92</v>
      </c>
      <c r="AT373" s="14" t="s">
        <v>93</v>
      </c>
      <c r="AU373" s="14" t="s">
        <v>93</v>
      </c>
      <c r="AV373" s="14" t="s">
        <v>93</v>
      </c>
      <c r="AW373" s="14" t="s">
        <v>93</v>
      </c>
      <c r="AX373" s="14" t="s">
        <v>92</v>
      </c>
      <c r="AY373" s="8" t="s">
        <v>95</v>
      </c>
      <c r="AZ373" s="8" t="s">
        <v>95</v>
      </c>
      <c r="BA373" s="9" t="s">
        <v>1668</v>
      </c>
      <c r="BB373" s="8" t="s">
        <v>213</v>
      </c>
      <c r="BC373" s="8" t="s">
        <v>92</v>
      </c>
      <c r="BD373" s="14" t="s">
        <v>93</v>
      </c>
      <c r="BE373" s="14" t="s">
        <v>92</v>
      </c>
      <c r="BF373" s="14" t="s">
        <v>92</v>
      </c>
      <c r="BG373" s="14" t="s">
        <v>92</v>
      </c>
      <c r="BH373" s="14" t="s">
        <v>92</v>
      </c>
      <c r="BI373" s="14" t="s">
        <v>92</v>
      </c>
      <c r="BJ373" s="14" t="s">
        <v>92</v>
      </c>
      <c r="BK373" s="14" t="s">
        <v>1682</v>
      </c>
      <c r="BL373" s="14" t="s">
        <v>92</v>
      </c>
      <c r="BM373" s="14" t="s">
        <v>93</v>
      </c>
      <c r="BN373" s="14" t="s">
        <v>92</v>
      </c>
      <c r="BO373" s="14" t="s">
        <v>93</v>
      </c>
      <c r="BP373" s="14" t="s">
        <v>92</v>
      </c>
      <c r="BQ373" s="8" t="s">
        <v>92</v>
      </c>
      <c r="BR373" s="8" t="s">
        <v>92</v>
      </c>
      <c r="BS373" s="8" t="s">
        <v>92</v>
      </c>
      <c r="BT373" s="8" t="s">
        <v>93</v>
      </c>
      <c r="BU373" s="8" t="s">
        <v>92</v>
      </c>
      <c r="BV373" s="8" t="s">
        <v>92</v>
      </c>
      <c r="BW373" s="8" t="s">
        <v>92</v>
      </c>
      <c r="BX373" s="8" t="s">
        <v>93</v>
      </c>
      <c r="BY373" s="8" t="s">
        <v>93</v>
      </c>
      <c r="BZ373" s="8" t="s">
        <v>92</v>
      </c>
      <c r="CA373" s="8" t="s">
        <v>92</v>
      </c>
      <c r="CB373" s="20" t="s">
        <v>1195</v>
      </c>
      <c r="CC373" s="17"/>
      <c r="CD373" s="18"/>
      <c r="CE373" s="18"/>
      <c r="CF373" s="18"/>
      <c r="CG373" s="18"/>
      <c r="CH373" s="18"/>
    </row>
    <row r="374">
      <c r="A374" s="8"/>
      <c r="B374" s="9" t="s">
        <v>1686</v>
      </c>
      <c r="C374" s="10" t="s">
        <v>1687</v>
      </c>
      <c r="D374" s="9" t="s">
        <v>1670</v>
      </c>
      <c r="E374" s="11" t="s">
        <v>1688</v>
      </c>
      <c r="F374" s="12"/>
      <c r="G374" s="14" t="s">
        <v>1689</v>
      </c>
      <c r="H374" s="14" t="s">
        <v>90</v>
      </c>
      <c r="I374" s="14" t="s">
        <v>1690</v>
      </c>
      <c r="J374" s="14" t="s">
        <v>92</v>
      </c>
      <c r="K374" s="14" t="s">
        <v>92</v>
      </c>
      <c r="L374" s="14" t="s">
        <v>92</v>
      </c>
      <c r="M374" s="14" t="s">
        <v>92</v>
      </c>
      <c r="N374" s="14" t="s">
        <v>92</v>
      </c>
      <c r="O374" s="14" t="s">
        <v>92</v>
      </c>
      <c r="P374" s="14" t="s">
        <v>92</v>
      </c>
      <c r="Q374" s="14" t="s">
        <v>92</v>
      </c>
      <c r="R374" s="14" t="s">
        <v>92</v>
      </c>
      <c r="S374" s="14" t="s">
        <v>93</v>
      </c>
      <c r="T374" s="14" t="s">
        <v>92</v>
      </c>
      <c r="U374" s="14" t="s">
        <v>92</v>
      </c>
      <c r="V374" s="14" t="s">
        <v>92</v>
      </c>
      <c r="W374" s="14" t="s">
        <v>92</v>
      </c>
      <c r="X374" s="14" t="s">
        <v>92</v>
      </c>
      <c r="Y374" s="14" t="s">
        <v>92</v>
      </c>
      <c r="Z374" s="14" t="s">
        <v>93</v>
      </c>
      <c r="AA374" s="14" t="s">
        <v>92</v>
      </c>
      <c r="AB374" s="8" t="s">
        <v>92</v>
      </c>
      <c r="AC374" s="8" t="s">
        <v>93</v>
      </c>
      <c r="AD374" s="8" t="s">
        <v>92</v>
      </c>
      <c r="AE374" s="14" t="s">
        <v>112</v>
      </c>
      <c r="AF374" s="14" t="s">
        <v>92</v>
      </c>
      <c r="AG374" s="14" t="s">
        <v>95</v>
      </c>
      <c r="AH374" s="8" t="s">
        <v>105</v>
      </c>
      <c r="AI374" s="14" t="s">
        <v>93</v>
      </c>
      <c r="AJ374" s="14" t="s">
        <v>92</v>
      </c>
      <c r="AK374" s="14" t="s">
        <v>92</v>
      </c>
      <c r="AL374" s="14" t="s">
        <v>92</v>
      </c>
      <c r="AM374" s="8" t="s">
        <v>105</v>
      </c>
      <c r="AN374" s="14" t="s">
        <v>105</v>
      </c>
      <c r="AO374" s="8" t="s">
        <v>105</v>
      </c>
      <c r="AP374" s="8" t="s">
        <v>92</v>
      </c>
      <c r="AQ374" s="14" t="s">
        <v>92</v>
      </c>
      <c r="AR374" s="14" t="s">
        <v>92</v>
      </c>
      <c r="AS374" s="14" t="s">
        <v>93</v>
      </c>
      <c r="AT374" s="14" t="s">
        <v>93</v>
      </c>
      <c r="AU374" s="14" t="s">
        <v>93</v>
      </c>
      <c r="AV374" s="14" t="s">
        <v>93</v>
      </c>
      <c r="AW374" s="14" t="s">
        <v>93</v>
      </c>
      <c r="AX374" s="14" t="s">
        <v>93</v>
      </c>
      <c r="AY374" s="8" t="s">
        <v>95</v>
      </c>
      <c r="AZ374" s="8" t="s">
        <v>95</v>
      </c>
      <c r="BA374" s="9" t="s">
        <v>1686</v>
      </c>
      <c r="BB374" s="8" t="s">
        <v>97</v>
      </c>
      <c r="BC374" s="8" t="s">
        <v>92</v>
      </c>
      <c r="BD374" s="14" t="s">
        <v>93</v>
      </c>
      <c r="BE374" s="14" t="s">
        <v>92</v>
      </c>
      <c r="BF374" s="14" t="s">
        <v>92</v>
      </c>
      <c r="BG374" s="14" t="s">
        <v>92</v>
      </c>
      <c r="BH374" s="14" t="s">
        <v>92</v>
      </c>
      <c r="BI374" s="14" t="s">
        <v>92</v>
      </c>
      <c r="BJ374" s="14" t="s">
        <v>92</v>
      </c>
      <c r="BK374" s="14" t="s">
        <v>349</v>
      </c>
      <c r="BL374" s="14" t="s">
        <v>92</v>
      </c>
      <c r="BM374" s="14" t="s">
        <v>93</v>
      </c>
      <c r="BN374" s="14" t="s">
        <v>92</v>
      </c>
      <c r="BO374" s="14" t="s">
        <v>92</v>
      </c>
      <c r="BP374" s="14" t="s">
        <v>92</v>
      </c>
      <c r="BQ374" s="8" t="s">
        <v>92</v>
      </c>
      <c r="BR374" s="8" t="s">
        <v>92</v>
      </c>
      <c r="BS374" s="8" t="s">
        <v>92</v>
      </c>
      <c r="BT374" s="8" t="s">
        <v>93</v>
      </c>
      <c r="BU374" s="8" t="s">
        <v>92</v>
      </c>
      <c r="BV374" s="8" t="s">
        <v>92</v>
      </c>
      <c r="BW374" s="8" t="s">
        <v>92</v>
      </c>
      <c r="BX374" s="8" t="s">
        <v>92</v>
      </c>
      <c r="BY374" s="8" t="s">
        <v>92</v>
      </c>
      <c r="BZ374" s="8" t="s">
        <v>92</v>
      </c>
      <c r="CA374" s="8" t="s">
        <v>92</v>
      </c>
      <c r="CB374" s="20" t="s">
        <v>1691</v>
      </c>
      <c r="CC374" s="17"/>
      <c r="CD374" s="18"/>
      <c r="CE374" s="18"/>
      <c r="CF374" s="18"/>
      <c r="CG374" s="18"/>
      <c r="CH374" s="18"/>
    </row>
    <row r="375">
      <c r="A375" s="8"/>
      <c r="B375" s="9" t="s">
        <v>1686</v>
      </c>
      <c r="C375" s="10" t="s">
        <v>1687</v>
      </c>
      <c r="D375" s="9" t="s">
        <v>1670</v>
      </c>
      <c r="E375" s="11" t="s">
        <v>1692</v>
      </c>
      <c r="F375" s="12"/>
      <c r="G375" s="14" t="s">
        <v>1693</v>
      </c>
      <c r="H375" s="14" t="s">
        <v>90</v>
      </c>
      <c r="I375" s="14" t="s">
        <v>1694</v>
      </c>
      <c r="J375" s="14" t="s">
        <v>92</v>
      </c>
      <c r="K375" s="14" t="s">
        <v>92</v>
      </c>
      <c r="L375" s="14" t="s">
        <v>92</v>
      </c>
      <c r="M375" s="14" t="s">
        <v>92</v>
      </c>
      <c r="N375" s="14" t="s">
        <v>92</v>
      </c>
      <c r="O375" s="14" t="s">
        <v>92</v>
      </c>
      <c r="P375" s="14" t="s">
        <v>92</v>
      </c>
      <c r="Q375" s="14" t="s">
        <v>92</v>
      </c>
      <c r="R375" s="14" t="s">
        <v>92</v>
      </c>
      <c r="S375" s="14" t="s">
        <v>93</v>
      </c>
      <c r="T375" s="14" t="s">
        <v>92</v>
      </c>
      <c r="U375" s="14" t="s">
        <v>92</v>
      </c>
      <c r="V375" s="14" t="s">
        <v>92</v>
      </c>
      <c r="W375" s="14" t="s">
        <v>92</v>
      </c>
      <c r="X375" s="14" t="s">
        <v>92</v>
      </c>
      <c r="Y375" s="14" t="s">
        <v>92</v>
      </c>
      <c r="Z375" s="14" t="s">
        <v>93</v>
      </c>
      <c r="AA375" s="14" t="s">
        <v>92</v>
      </c>
      <c r="AB375" s="8" t="s">
        <v>92</v>
      </c>
      <c r="AC375" s="8" t="s">
        <v>93</v>
      </c>
      <c r="AD375" s="8" t="s">
        <v>92</v>
      </c>
      <c r="AE375" s="14" t="s">
        <v>112</v>
      </c>
      <c r="AF375" s="14" t="s">
        <v>92</v>
      </c>
      <c r="AG375" s="14" t="s">
        <v>95</v>
      </c>
      <c r="AH375" s="8" t="s">
        <v>105</v>
      </c>
      <c r="AI375" s="14" t="s">
        <v>93</v>
      </c>
      <c r="AJ375" s="14" t="s">
        <v>93</v>
      </c>
      <c r="AK375" s="14" t="s">
        <v>93</v>
      </c>
      <c r="AL375" s="14" t="s">
        <v>93</v>
      </c>
      <c r="AM375" s="8" t="s">
        <v>95</v>
      </c>
      <c r="AN375" s="14" t="s">
        <v>114</v>
      </c>
      <c r="AO375" s="8" t="s">
        <v>93</v>
      </c>
      <c r="AP375" s="8" t="s">
        <v>92</v>
      </c>
      <c r="AQ375" s="14" t="s">
        <v>92</v>
      </c>
      <c r="AR375" s="14" t="s">
        <v>92</v>
      </c>
      <c r="AS375" s="14" t="s">
        <v>93</v>
      </c>
      <c r="AT375" s="14" t="s">
        <v>93</v>
      </c>
      <c r="AU375" s="14" t="s">
        <v>93</v>
      </c>
      <c r="AV375" s="14" t="s">
        <v>93</v>
      </c>
      <c r="AW375" s="14" t="s">
        <v>93</v>
      </c>
      <c r="AX375" s="14" t="s">
        <v>93</v>
      </c>
      <c r="AY375" s="8" t="s">
        <v>95</v>
      </c>
      <c r="AZ375" s="8" t="s">
        <v>95</v>
      </c>
      <c r="BA375" s="9" t="s">
        <v>1686</v>
      </c>
      <c r="BB375" s="8" t="s">
        <v>97</v>
      </c>
      <c r="BC375" s="8" t="s">
        <v>92</v>
      </c>
      <c r="BD375" s="14" t="s">
        <v>93</v>
      </c>
      <c r="BE375" s="14" t="s">
        <v>92</v>
      </c>
      <c r="BF375" s="14" t="s">
        <v>92</v>
      </c>
      <c r="BG375" s="14" t="s">
        <v>92</v>
      </c>
      <c r="BH375" s="14" t="s">
        <v>92</v>
      </c>
      <c r="BI375" s="14" t="s">
        <v>92</v>
      </c>
      <c r="BJ375" s="14" t="s">
        <v>92</v>
      </c>
      <c r="BK375" s="14" t="s">
        <v>105</v>
      </c>
      <c r="BL375" s="14" t="s">
        <v>105</v>
      </c>
      <c r="BM375" s="14" t="s">
        <v>105</v>
      </c>
      <c r="BN375" s="14" t="s">
        <v>105</v>
      </c>
      <c r="BO375" s="14" t="s">
        <v>105</v>
      </c>
      <c r="BP375" s="14" t="s">
        <v>105</v>
      </c>
      <c r="BQ375" s="8" t="s">
        <v>92</v>
      </c>
      <c r="BR375" s="8" t="s">
        <v>92</v>
      </c>
      <c r="BS375" s="8" t="s">
        <v>92</v>
      </c>
      <c r="BT375" s="8" t="s">
        <v>93</v>
      </c>
      <c r="BU375" s="8" t="s">
        <v>92</v>
      </c>
      <c r="BV375" s="8" t="s">
        <v>92</v>
      </c>
      <c r="BW375" s="8" t="s">
        <v>92</v>
      </c>
      <c r="BX375" s="8" t="s">
        <v>92</v>
      </c>
      <c r="BY375" s="8" t="s">
        <v>92</v>
      </c>
      <c r="BZ375" s="8" t="s">
        <v>92</v>
      </c>
      <c r="CA375" s="8" t="s">
        <v>92</v>
      </c>
      <c r="CB375" s="20" t="s">
        <v>1691</v>
      </c>
      <c r="CC375" s="20" t="s">
        <v>1695</v>
      </c>
      <c r="CD375" s="20" t="s">
        <v>1696</v>
      </c>
      <c r="CE375" s="20" t="s">
        <v>1697</v>
      </c>
      <c r="CF375" s="18"/>
      <c r="CG375" s="18"/>
      <c r="CH375" s="18"/>
    </row>
    <row r="376">
      <c r="A376" s="8"/>
      <c r="B376" s="9" t="s">
        <v>1686</v>
      </c>
      <c r="C376" s="10" t="s">
        <v>1687</v>
      </c>
      <c r="D376" s="9" t="s">
        <v>1670</v>
      </c>
      <c r="E376" s="11" t="s">
        <v>1698</v>
      </c>
      <c r="F376" s="25"/>
      <c r="G376" s="14" t="s">
        <v>1699</v>
      </c>
      <c r="H376" s="14" t="s">
        <v>110</v>
      </c>
      <c r="I376" s="14" t="s">
        <v>1700</v>
      </c>
      <c r="J376" s="14" t="s">
        <v>92</v>
      </c>
      <c r="K376" s="14" t="s">
        <v>92</v>
      </c>
      <c r="L376" s="14" t="s">
        <v>92</v>
      </c>
      <c r="M376" s="14" t="s">
        <v>93</v>
      </c>
      <c r="N376" s="14" t="s">
        <v>92</v>
      </c>
      <c r="O376" s="14" t="s">
        <v>92</v>
      </c>
      <c r="P376" s="14" t="s">
        <v>92</v>
      </c>
      <c r="Q376" s="14" t="s">
        <v>92</v>
      </c>
      <c r="R376" s="14" t="s">
        <v>92</v>
      </c>
      <c r="S376" s="14" t="s">
        <v>92</v>
      </c>
      <c r="T376" s="14" t="s">
        <v>92</v>
      </c>
      <c r="U376" s="14" t="s">
        <v>92</v>
      </c>
      <c r="V376" s="14" t="s">
        <v>92</v>
      </c>
      <c r="W376" s="14" t="s">
        <v>92</v>
      </c>
      <c r="X376" s="14" t="s">
        <v>92</v>
      </c>
      <c r="Y376" s="14" t="s">
        <v>93</v>
      </c>
      <c r="Z376" s="14" t="s">
        <v>93</v>
      </c>
      <c r="AA376" s="14" t="s">
        <v>92</v>
      </c>
      <c r="AB376" s="8" t="s">
        <v>93</v>
      </c>
      <c r="AC376" s="8" t="s">
        <v>93</v>
      </c>
      <c r="AD376" s="8" t="s">
        <v>92</v>
      </c>
      <c r="AE376" s="14" t="s">
        <v>112</v>
      </c>
      <c r="AF376" s="14" t="s">
        <v>92</v>
      </c>
      <c r="AG376" s="14" t="s">
        <v>95</v>
      </c>
      <c r="AH376" s="8">
        <v>2010.0</v>
      </c>
      <c r="AI376" s="14" t="s">
        <v>93</v>
      </c>
      <c r="AJ376" s="14" t="s">
        <v>93</v>
      </c>
      <c r="AK376" s="14" t="s">
        <v>93</v>
      </c>
      <c r="AL376" s="14" t="s">
        <v>93</v>
      </c>
      <c r="AM376" s="8" t="s">
        <v>95</v>
      </c>
      <c r="AN376" s="14" t="s">
        <v>114</v>
      </c>
      <c r="AO376" s="8" t="s">
        <v>93</v>
      </c>
      <c r="AP376" s="8" t="s">
        <v>92</v>
      </c>
      <c r="AQ376" s="14" t="s">
        <v>92</v>
      </c>
      <c r="AR376" s="14" t="s">
        <v>92</v>
      </c>
      <c r="AS376" s="14" t="s">
        <v>93</v>
      </c>
      <c r="AT376" s="14" t="s">
        <v>93</v>
      </c>
      <c r="AU376" s="14" t="s">
        <v>93</v>
      </c>
      <c r="AV376" s="14" t="s">
        <v>93</v>
      </c>
      <c r="AW376" s="14" t="s">
        <v>93</v>
      </c>
      <c r="AX376" s="14" t="s">
        <v>93</v>
      </c>
      <c r="AY376" s="8" t="s">
        <v>1701</v>
      </c>
      <c r="AZ376" s="8" t="s">
        <v>93</v>
      </c>
      <c r="BA376" s="9" t="s">
        <v>1702</v>
      </c>
      <c r="BB376" s="8" t="s">
        <v>95</v>
      </c>
      <c r="BC376" s="8" t="s">
        <v>93</v>
      </c>
      <c r="BD376" s="14" t="s">
        <v>93</v>
      </c>
      <c r="BE376" s="14" t="s">
        <v>92</v>
      </c>
      <c r="BF376" s="14" t="s">
        <v>92</v>
      </c>
      <c r="BG376" s="14" t="s">
        <v>92</v>
      </c>
      <c r="BH376" s="14" t="s">
        <v>92</v>
      </c>
      <c r="BI376" s="14" t="s">
        <v>93</v>
      </c>
      <c r="BJ376" s="14" t="s">
        <v>92</v>
      </c>
      <c r="BK376" s="14" t="s">
        <v>1703</v>
      </c>
      <c r="BL376" s="14" t="s">
        <v>93</v>
      </c>
      <c r="BM376" s="14" t="s">
        <v>92</v>
      </c>
      <c r="BN376" s="14" t="s">
        <v>93</v>
      </c>
      <c r="BO376" s="14" t="s">
        <v>92</v>
      </c>
      <c r="BP376" s="14" t="s">
        <v>93</v>
      </c>
      <c r="BQ376" s="8" t="s">
        <v>92</v>
      </c>
      <c r="BR376" s="8" t="s">
        <v>92</v>
      </c>
      <c r="BS376" s="8" t="s">
        <v>93</v>
      </c>
      <c r="BT376" s="8" t="s">
        <v>93</v>
      </c>
      <c r="BU376" s="8" t="s">
        <v>93</v>
      </c>
      <c r="BV376" s="8" t="s">
        <v>93</v>
      </c>
      <c r="BW376" s="8" t="s">
        <v>92</v>
      </c>
      <c r="BX376" s="8" t="s">
        <v>92</v>
      </c>
      <c r="BY376" s="8" t="s">
        <v>92</v>
      </c>
      <c r="BZ376" s="8" t="s">
        <v>93</v>
      </c>
      <c r="CA376" s="8" t="s">
        <v>93</v>
      </c>
      <c r="CB376" s="20" t="s">
        <v>1691</v>
      </c>
      <c r="CC376" s="20" t="s">
        <v>1695</v>
      </c>
      <c r="CD376" s="20" t="s">
        <v>1696</v>
      </c>
      <c r="CE376" s="20" t="s">
        <v>1697</v>
      </c>
      <c r="CF376" s="18"/>
      <c r="CG376" s="18"/>
      <c r="CH376" s="18"/>
    </row>
    <row r="377">
      <c r="A377" s="8"/>
      <c r="B377" s="9" t="s">
        <v>1686</v>
      </c>
      <c r="C377" s="10" t="s">
        <v>1687</v>
      </c>
      <c r="D377" s="9" t="s">
        <v>1670</v>
      </c>
      <c r="E377" s="11" t="s">
        <v>1704</v>
      </c>
      <c r="F377" s="12"/>
      <c r="G377" s="14" t="s">
        <v>1705</v>
      </c>
      <c r="H377" s="14" t="s">
        <v>90</v>
      </c>
      <c r="I377" s="14" t="s">
        <v>1706</v>
      </c>
      <c r="J377" s="14" t="s">
        <v>92</v>
      </c>
      <c r="K377" s="14" t="s">
        <v>92</v>
      </c>
      <c r="L377" s="14" t="s">
        <v>93</v>
      </c>
      <c r="M377" s="14" t="s">
        <v>93</v>
      </c>
      <c r="N377" s="14" t="s">
        <v>92</v>
      </c>
      <c r="O377" s="14" t="s">
        <v>93</v>
      </c>
      <c r="P377" s="14" t="s">
        <v>92</v>
      </c>
      <c r="Q377" s="14" t="s">
        <v>92</v>
      </c>
      <c r="R377" s="14" t="s">
        <v>92</v>
      </c>
      <c r="S377" s="14" t="s">
        <v>93</v>
      </c>
      <c r="T377" s="14" t="s">
        <v>92</v>
      </c>
      <c r="U377" s="14" t="s">
        <v>92</v>
      </c>
      <c r="V377" s="14" t="s">
        <v>92</v>
      </c>
      <c r="W377" s="14" t="s">
        <v>92</v>
      </c>
      <c r="X377" s="14" t="s">
        <v>92</v>
      </c>
      <c r="Y377" s="14" t="s">
        <v>92</v>
      </c>
      <c r="Z377" s="14" t="s">
        <v>93</v>
      </c>
      <c r="AA377" s="14" t="s">
        <v>93</v>
      </c>
      <c r="AB377" s="8" t="s">
        <v>93</v>
      </c>
      <c r="AC377" s="8" t="s">
        <v>93</v>
      </c>
      <c r="AD377" s="8" t="s">
        <v>92</v>
      </c>
      <c r="AE377" s="14" t="s">
        <v>112</v>
      </c>
      <c r="AF377" s="14" t="s">
        <v>93</v>
      </c>
      <c r="AG377" s="14" t="s">
        <v>105</v>
      </c>
      <c r="AH377" s="8">
        <v>1971.0</v>
      </c>
      <c r="AI377" s="14" t="s">
        <v>93</v>
      </c>
      <c r="AJ377" s="14" t="s">
        <v>93</v>
      </c>
      <c r="AK377" s="14" t="s">
        <v>93</v>
      </c>
      <c r="AL377" s="14" t="s">
        <v>93</v>
      </c>
      <c r="AM377" s="8" t="s">
        <v>95</v>
      </c>
      <c r="AN377" s="14" t="s">
        <v>114</v>
      </c>
      <c r="AO377" s="8" t="s">
        <v>93</v>
      </c>
      <c r="AP377" s="8" t="s">
        <v>92</v>
      </c>
      <c r="AQ377" s="14" t="s">
        <v>92</v>
      </c>
      <c r="AR377" s="14" t="s">
        <v>92</v>
      </c>
      <c r="AS377" s="14" t="s">
        <v>93</v>
      </c>
      <c r="AT377" s="14" t="s">
        <v>93</v>
      </c>
      <c r="AU377" s="14" t="s">
        <v>93</v>
      </c>
      <c r="AV377" s="14" t="s">
        <v>93</v>
      </c>
      <c r="AW377" s="14" t="s">
        <v>93</v>
      </c>
      <c r="AX377" s="14" t="s">
        <v>93</v>
      </c>
      <c r="AY377" s="8" t="s">
        <v>1707</v>
      </c>
      <c r="AZ377" s="8" t="s">
        <v>95</v>
      </c>
      <c r="BA377" s="9" t="s">
        <v>1686</v>
      </c>
      <c r="BB377" s="8" t="s">
        <v>97</v>
      </c>
      <c r="BC377" s="8" t="s">
        <v>92</v>
      </c>
      <c r="BD377" s="14" t="s">
        <v>93</v>
      </c>
      <c r="BE377" s="14" t="s">
        <v>92</v>
      </c>
      <c r="BF377" s="14" t="s">
        <v>92</v>
      </c>
      <c r="BG377" s="14" t="s">
        <v>92</v>
      </c>
      <c r="BH377" s="14" t="s">
        <v>92</v>
      </c>
      <c r="BI377" s="14" t="s">
        <v>92</v>
      </c>
      <c r="BJ377" s="14" t="s">
        <v>92</v>
      </c>
      <c r="BK377" s="14" t="s">
        <v>1708</v>
      </c>
      <c r="BL377" s="14" t="s">
        <v>92</v>
      </c>
      <c r="BM377" s="14" t="s">
        <v>92</v>
      </c>
      <c r="BN377" s="14" t="s">
        <v>93</v>
      </c>
      <c r="BO377" s="14" t="s">
        <v>92</v>
      </c>
      <c r="BP377" s="14" t="s">
        <v>92</v>
      </c>
      <c r="BQ377" s="8" t="s">
        <v>92</v>
      </c>
      <c r="BR377" s="8" t="s">
        <v>92</v>
      </c>
      <c r="BS377" s="8" t="s">
        <v>93</v>
      </c>
      <c r="BT377" s="8" t="s">
        <v>93</v>
      </c>
      <c r="BU377" s="8" t="s">
        <v>92</v>
      </c>
      <c r="BV377" s="8" t="s">
        <v>92</v>
      </c>
      <c r="BW377" s="8" t="s">
        <v>92</v>
      </c>
      <c r="BX377" s="8" t="s">
        <v>92</v>
      </c>
      <c r="BY377" s="8" t="s">
        <v>92</v>
      </c>
      <c r="BZ377" s="8" t="s">
        <v>93</v>
      </c>
      <c r="CA377" s="8" t="s">
        <v>92</v>
      </c>
      <c r="CB377" s="20" t="s">
        <v>1691</v>
      </c>
      <c r="CC377" s="20" t="s">
        <v>1695</v>
      </c>
      <c r="CD377" s="20" t="s">
        <v>1696</v>
      </c>
      <c r="CE377" s="20" t="s">
        <v>1697</v>
      </c>
      <c r="CF377" s="18"/>
      <c r="CG377" s="18"/>
      <c r="CH377" s="18"/>
    </row>
    <row r="378">
      <c r="A378" s="8"/>
      <c r="B378" s="9" t="s">
        <v>1686</v>
      </c>
      <c r="C378" s="10" t="s">
        <v>1687</v>
      </c>
      <c r="D378" s="9" t="s">
        <v>1670</v>
      </c>
      <c r="E378" s="11" t="s">
        <v>1709</v>
      </c>
      <c r="F378" s="12"/>
      <c r="G378" s="14" t="s">
        <v>1710</v>
      </c>
      <c r="H378" s="14" t="s">
        <v>90</v>
      </c>
      <c r="I378" s="14" t="s">
        <v>1711</v>
      </c>
      <c r="J378" s="14" t="s">
        <v>93</v>
      </c>
      <c r="K378" s="14" t="s">
        <v>92</v>
      </c>
      <c r="L378" s="14" t="s">
        <v>93</v>
      </c>
      <c r="M378" s="14" t="s">
        <v>92</v>
      </c>
      <c r="N378" s="14" t="s">
        <v>92</v>
      </c>
      <c r="O378" s="14" t="s">
        <v>92</v>
      </c>
      <c r="P378" s="14" t="s">
        <v>92</v>
      </c>
      <c r="Q378" s="14" t="s">
        <v>92</v>
      </c>
      <c r="R378" s="14" t="s">
        <v>92</v>
      </c>
      <c r="S378" s="14" t="s">
        <v>93</v>
      </c>
      <c r="T378" s="14" t="s">
        <v>92</v>
      </c>
      <c r="U378" s="14" t="s">
        <v>92</v>
      </c>
      <c r="V378" s="14" t="s">
        <v>92</v>
      </c>
      <c r="W378" s="14" t="s">
        <v>92</v>
      </c>
      <c r="X378" s="14" t="s">
        <v>92</v>
      </c>
      <c r="Y378" s="14" t="s">
        <v>92</v>
      </c>
      <c r="Z378" s="14" t="s">
        <v>93</v>
      </c>
      <c r="AA378" s="14" t="s">
        <v>92</v>
      </c>
      <c r="AB378" s="8" t="s">
        <v>93</v>
      </c>
      <c r="AC378" s="8" t="s">
        <v>93</v>
      </c>
      <c r="AD378" s="8" t="s">
        <v>92</v>
      </c>
      <c r="AE378" s="14" t="s">
        <v>112</v>
      </c>
      <c r="AF378" s="14" t="s">
        <v>92</v>
      </c>
      <c r="AG378" s="14" t="s">
        <v>95</v>
      </c>
      <c r="AH378" s="8" t="s">
        <v>105</v>
      </c>
      <c r="AI378" s="14" t="s">
        <v>93</v>
      </c>
      <c r="AJ378" s="14" t="s">
        <v>93</v>
      </c>
      <c r="AK378" s="14" t="s">
        <v>93</v>
      </c>
      <c r="AL378" s="14" t="s">
        <v>93</v>
      </c>
      <c r="AM378" s="8" t="s">
        <v>95</v>
      </c>
      <c r="AN378" s="14" t="s">
        <v>114</v>
      </c>
      <c r="AO378" s="8" t="s">
        <v>93</v>
      </c>
      <c r="AP378" s="8" t="s">
        <v>92</v>
      </c>
      <c r="AQ378" s="14" t="s">
        <v>92</v>
      </c>
      <c r="AR378" s="14" t="s">
        <v>92</v>
      </c>
      <c r="AS378" s="14" t="s">
        <v>93</v>
      </c>
      <c r="AT378" s="14" t="s">
        <v>93</v>
      </c>
      <c r="AU378" s="14" t="s">
        <v>93</v>
      </c>
      <c r="AV378" s="14" t="s">
        <v>93</v>
      </c>
      <c r="AW378" s="14" t="s">
        <v>93</v>
      </c>
      <c r="AX378" s="14" t="s">
        <v>93</v>
      </c>
      <c r="AY378" s="8" t="s">
        <v>95</v>
      </c>
      <c r="AZ378" s="8" t="s">
        <v>95</v>
      </c>
      <c r="BA378" s="9" t="s">
        <v>1686</v>
      </c>
      <c r="BB378" s="8" t="s">
        <v>97</v>
      </c>
      <c r="BC378" s="8" t="s">
        <v>92</v>
      </c>
      <c r="BD378" s="14" t="s">
        <v>93</v>
      </c>
      <c r="BE378" s="14" t="s">
        <v>92</v>
      </c>
      <c r="BF378" s="14" t="s">
        <v>92</v>
      </c>
      <c r="BG378" s="14" t="s">
        <v>92</v>
      </c>
      <c r="BH378" s="14" t="s">
        <v>92</v>
      </c>
      <c r="BI378" s="14" t="s">
        <v>92</v>
      </c>
      <c r="BJ378" s="14" t="s">
        <v>92</v>
      </c>
      <c r="BK378" s="14" t="s">
        <v>105</v>
      </c>
      <c r="BL378" s="14" t="s">
        <v>92</v>
      </c>
      <c r="BM378" s="14" t="s">
        <v>93</v>
      </c>
      <c r="BN378" s="14" t="s">
        <v>93</v>
      </c>
      <c r="BO378" s="14" t="s">
        <v>92</v>
      </c>
      <c r="BP378" s="14" t="s">
        <v>93</v>
      </c>
      <c r="BQ378" s="8" t="s">
        <v>92</v>
      </c>
      <c r="BR378" s="8" t="s">
        <v>92</v>
      </c>
      <c r="BS378" s="8" t="s">
        <v>93</v>
      </c>
      <c r="BT378" s="8" t="s">
        <v>93</v>
      </c>
      <c r="BU378" s="8" t="s">
        <v>93</v>
      </c>
      <c r="BV378" s="8" t="s">
        <v>93</v>
      </c>
      <c r="BW378" s="8" t="s">
        <v>92</v>
      </c>
      <c r="BX378" s="8" t="s">
        <v>92</v>
      </c>
      <c r="BY378" s="8" t="s">
        <v>92</v>
      </c>
      <c r="BZ378" s="8" t="s">
        <v>93</v>
      </c>
      <c r="CA378" s="8" t="s">
        <v>92</v>
      </c>
      <c r="CB378" s="20" t="s">
        <v>1691</v>
      </c>
      <c r="CC378" s="20" t="s">
        <v>1695</v>
      </c>
      <c r="CD378" s="20" t="s">
        <v>1696</v>
      </c>
      <c r="CE378" s="20" t="s">
        <v>1697</v>
      </c>
      <c r="CF378" s="18"/>
      <c r="CG378" s="18"/>
      <c r="CH378" s="18"/>
    </row>
    <row r="379">
      <c r="A379" s="8"/>
      <c r="B379" s="9" t="s">
        <v>1686</v>
      </c>
      <c r="C379" s="10" t="s">
        <v>1687</v>
      </c>
      <c r="D379" s="9" t="s">
        <v>1670</v>
      </c>
      <c r="E379" s="11" t="s">
        <v>1712</v>
      </c>
      <c r="F379" s="12"/>
      <c r="G379" s="14" t="s">
        <v>1713</v>
      </c>
      <c r="H379" s="14" t="s">
        <v>90</v>
      </c>
      <c r="I379" s="14" t="s">
        <v>1714</v>
      </c>
      <c r="J379" s="14" t="s">
        <v>92</v>
      </c>
      <c r="K379" s="14" t="s">
        <v>92</v>
      </c>
      <c r="L379" s="14" t="s">
        <v>92</v>
      </c>
      <c r="M379" s="14" t="s">
        <v>93</v>
      </c>
      <c r="N379" s="14" t="s">
        <v>92</v>
      </c>
      <c r="O379" s="14" t="s">
        <v>92</v>
      </c>
      <c r="P379" s="14" t="s">
        <v>92</v>
      </c>
      <c r="Q379" s="14" t="s">
        <v>92</v>
      </c>
      <c r="R379" s="14" t="s">
        <v>92</v>
      </c>
      <c r="S379" s="14" t="s">
        <v>92</v>
      </c>
      <c r="T379" s="14" t="s">
        <v>92</v>
      </c>
      <c r="U379" s="14" t="s">
        <v>93</v>
      </c>
      <c r="V379" s="14" t="s">
        <v>92</v>
      </c>
      <c r="W379" s="14" t="s">
        <v>92</v>
      </c>
      <c r="X379" s="14" t="s">
        <v>92</v>
      </c>
      <c r="Y379" s="14" t="s">
        <v>92</v>
      </c>
      <c r="Z379" s="14" t="s">
        <v>92</v>
      </c>
      <c r="AA379" s="14" t="s">
        <v>92</v>
      </c>
      <c r="AB379" s="8" t="s">
        <v>93</v>
      </c>
      <c r="AC379" s="8" t="s">
        <v>92</v>
      </c>
      <c r="AD379" s="8" t="s">
        <v>92</v>
      </c>
      <c r="AE379" s="14" t="s">
        <v>94</v>
      </c>
      <c r="AF379" s="14" t="s">
        <v>92</v>
      </c>
      <c r="AG379" s="14" t="s">
        <v>95</v>
      </c>
      <c r="AH379" s="8">
        <v>2020.0</v>
      </c>
      <c r="AI379" s="14" t="s">
        <v>93</v>
      </c>
      <c r="AJ379" s="14" t="s">
        <v>92</v>
      </c>
      <c r="AK379" s="14" t="s">
        <v>92</v>
      </c>
      <c r="AL379" s="14" t="s">
        <v>92</v>
      </c>
      <c r="AM379" s="8">
        <v>2020.0</v>
      </c>
      <c r="AN379" s="14" t="s">
        <v>96</v>
      </c>
      <c r="AO379" s="8" t="s">
        <v>92</v>
      </c>
      <c r="AP379" s="8" t="s">
        <v>93</v>
      </c>
      <c r="AQ379" s="14" t="s">
        <v>92</v>
      </c>
      <c r="AR379" s="14" t="s">
        <v>92</v>
      </c>
      <c r="AS379" s="14" t="s">
        <v>93</v>
      </c>
      <c r="AT379" s="14" t="s">
        <v>93</v>
      </c>
      <c r="AU379" s="14" t="s">
        <v>93</v>
      </c>
      <c r="AV379" s="14" t="s">
        <v>93</v>
      </c>
      <c r="AW379" s="14" t="s">
        <v>93</v>
      </c>
      <c r="AX379" s="14" t="s">
        <v>93</v>
      </c>
      <c r="AY379" s="8" t="s">
        <v>1715</v>
      </c>
      <c r="AZ379" s="8" t="s">
        <v>95</v>
      </c>
      <c r="BA379" s="9" t="s">
        <v>1686</v>
      </c>
      <c r="BB379" s="8" t="s">
        <v>97</v>
      </c>
      <c r="BC379" s="8" t="s">
        <v>92</v>
      </c>
      <c r="BD379" s="14" t="s">
        <v>93</v>
      </c>
      <c r="BE379" s="14" t="s">
        <v>92</v>
      </c>
      <c r="BF379" s="14" t="s">
        <v>92</v>
      </c>
      <c r="BG379" s="14" t="s">
        <v>93</v>
      </c>
      <c r="BH379" s="14" t="s">
        <v>92</v>
      </c>
      <c r="BI379" s="14" t="s">
        <v>93</v>
      </c>
      <c r="BJ379" s="14" t="s">
        <v>92</v>
      </c>
      <c r="BK379" s="14" t="s">
        <v>1716</v>
      </c>
      <c r="BL379" s="14" t="s">
        <v>92</v>
      </c>
      <c r="BM379" s="14" t="s">
        <v>93</v>
      </c>
      <c r="BN379" s="14" t="s">
        <v>92</v>
      </c>
      <c r="BO379" s="14" t="s">
        <v>92</v>
      </c>
      <c r="BP379" s="14" t="s">
        <v>92</v>
      </c>
      <c r="BQ379" s="8" t="s">
        <v>93</v>
      </c>
      <c r="BR379" s="8" t="s">
        <v>92</v>
      </c>
      <c r="BS379" s="8" t="s">
        <v>92</v>
      </c>
      <c r="BT379" s="8" t="s">
        <v>92</v>
      </c>
      <c r="BU379" s="8" t="s">
        <v>92</v>
      </c>
      <c r="BV379" s="8" t="s">
        <v>92</v>
      </c>
      <c r="BW379" s="8" t="s">
        <v>92</v>
      </c>
      <c r="BX379" s="8" t="s">
        <v>92</v>
      </c>
      <c r="BY379" s="8" t="s">
        <v>92</v>
      </c>
      <c r="BZ379" s="8" t="s">
        <v>92</v>
      </c>
      <c r="CA379" s="8" t="s">
        <v>92</v>
      </c>
      <c r="CB379" s="20" t="s">
        <v>1691</v>
      </c>
      <c r="CC379" s="17"/>
      <c r="CD379" s="18"/>
      <c r="CE379" s="18"/>
      <c r="CF379" s="18"/>
      <c r="CG379" s="18"/>
      <c r="CH379" s="18"/>
    </row>
    <row r="380">
      <c r="A380" s="8"/>
      <c r="B380" s="9" t="s">
        <v>1686</v>
      </c>
      <c r="C380" s="10" t="s">
        <v>1687</v>
      </c>
      <c r="D380" s="9" t="s">
        <v>1670</v>
      </c>
      <c r="E380" s="11" t="s">
        <v>1717</v>
      </c>
      <c r="F380" s="25"/>
      <c r="G380" s="14" t="s">
        <v>1718</v>
      </c>
      <c r="H380" s="14" t="s">
        <v>90</v>
      </c>
      <c r="I380" s="14" t="s">
        <v>1719</v>
      </c>
      <c r="J380" s="14" t="s">
        <v>92</v>
      </c>
      <c r="K380" s="14" t="s">
        <v>92</v>
      </c>
      <c r="L380" s="14" t="s">
        <v>92</v>
      </c>
      <c r="M380" s="14" t="s">
        <v>93</v>
      </c>
      <c r="N380" s="14" t="s">
        <v>92</v>
      </c>
      <c r="O380" s="14" t="s">
        <v>92</v>
      </c>
      <c r="P380" s="14" t="s">
        <v>92</v>
      </c>
      <c r="Q380" s="14" t="s">
        <v>93</v>
      </c>
      <c r="R380" s="14" t="s">
        <v>92</v>
      </c>
      <c r="S380" s="14" t="s">
        <v>92</v>
      </c>
      <c r="T380" s="14" t="s">
        <v>92</v>
      </c>
      <c r="U380" s="14" t="s">
        <v>93</v>
      </c>
      <c r="V380" s="14" t="s">
        <v>92</v>
      </c>
      <c r="W380" s="14" t="s">
        <v>92</v>
      </c>
      <c r="X380" s="14" t="s">
        <v>92</v>
      </c>
      <c r="Y380" s="14" t="s">
        <v>92</v>
      </c>
      <c r="Z380" s="14" t="s">
        <v>92</v>
      </c>
      <c r="AA380" s="14" t="s">
        <v>92</v>
      </c>
      <c r="AB380" s="8" t="s">
        <v>93</v>
      </c>
      <c r="AC380" s="8" t="s">
        <v>92</v>
      </c>
      <c r="AD380" s="8" t="s">
        <v>92</v>
      </c>
      <c r="AE380" s="14" t="s">
        <v>94</v>
      </c>
      <c r="AF380" s="14" t="s">
        <v>92</v>
      </c>
      <c r="AG380" s="14" t="s">
        <v>95</v>
      </c>
      <c r="AH380" s="8">
        <v>2020.0</v>
      </c>
      <c r="AI380" s="14" t="s">
        <v>93</v>
      </c>
      <c r="AJ380" s="14" t="s">
        <v>92</v>
      </c>
      <c r="AK380" s="14" t="s">
        <v>92</v>
      </c>
      <c r="AL380" s="14" t="s">
        <v>92</v>
      </c>
      <c r="AM380" s="8">
        <v>2020.0</v>
      </c>
      <c r="AN380" s="14" t="s">
        <v>96</v>
      </c>
      <c r="AO380" s="8" t="s">
        <v>92</v>
      </c>
      <c r="AP380" s="8" t="s">
        <v>93</v>
      </c>
      <c r="AQ380" s="14" t="s">
        <v>92</v>
      </c>
      <c r="AR380" s="14" t="s">
        <v>92</v>
      </c>
      <c r="AS380" s="14" t="s">
        <v>93</v>
      </c>
      <c r="AT380" s="14" t="s">
        <v>93</v>
      </c>
      <c r="AU380" s="14" t="s">
        <v>93</v>
      </c>
      <c r="AV380" s="14" t="s">
        <v>93</v>
      </c>
      <c r="AW380" s="14" t="s">
        <v>93</v>
      </c>
      <c r="AX380" s="14" t="s">
        <v>93</v>
      </c>
      <c r="AY380" s="8" t="s">
        <v>1720</v>
      </c>
      <c r="AZ380" s="8" t="s">
        <v>92</v>
      </c>
      <c r="BA380" s="9" t="s">
        <v>1721</v>
      </c>
      <c r="BB380" s="8" t="s">
        <v>95</v>
      </c>
      <c r="BC380" s="8" t="s">
        <v>93</v>
      </c>
      <c r="BD380" s="14" t="s">
        <v>92</v>
      </c>
      <c r="BE380" s="14" t="s">
        <v>92</v>
      </c>
      <c r="BF380" s="14" t="s">
        <v>92</v>
      </c>
      <c r="BG380" s="14" t="s">
        <v>92</v>
      </c>
      <c r="BH380" s="14" t="s">
        <v>92</v>
      </c>
      <c r="BI380" s="14" t="s">
        <v>93</v>
      </c>
      <c r="BJ380" s="14" t="s">
        <v>92</v>
      </c>
      <c r="BK380" s="14" t="s">
        <v>1722</v>
      </c>
      <c r="BL380" s="14" t="s">
        <v>93</v>
      </c>
      <c r="BM380" s="14" t="s">
        <v>92</v>
      </c>
      <c r="BN380" s="14" t="s">
        <v>92</v>
      </c>
      <c r="BO380" s="14" t="s">
        <v>93</v>
      </c>
      <c r="BP380" s="14" t="s">
        <v>93</v>
      </c>
      <c r="BQ380" s="8" t="s">
        <v>93</v>
      </c>
      <c r="BR380" s="8" t="s">
        <v>92</v>
      </c>
      <c r="BS380" s="8" t="s">
        <v>92</v>
      </c>
      <c r="BT380" s="8" t="s">
        <v>92</v>
      </c>
      <c r="BU380" s="8" t="s">
        <v>92</v>
      </c>
      <c r="BV380" s="8" t="s">
        <v>92</v>
      </c>
      <c r="BW380" s="8" t="s">
        <v>92</v>
      </c>
      <c r="BX380" s="8" t="s">
        <v>92</v>
      </c>
      <c r="BY380" s="8" t="s">
        <v>92</v>
      </c>
      <c r="BZ380" s="8" t="s">
        <v>92</v>
      </c>
      <c r="CA380" s="8" t="s">
        <v>92</v>
      </c>
      <c r="CB380" s="20" t="s">
        <v>1691</v>
      </c>
      <c r="CC380" s="17"/>
      <c r="CD380" s="18"/>
      <c r="CE380" s="18"/>
      <c r="CF380" s="18"/>
      <c r="CG380" s="18"/>
      <c r="CH380" s="18"/>
    </row>
    <row r="381">
      <c r="A381" s="8"/>
      <c r="B381" s="9" t="s">
        <v>1686</v>
      </c>
      <c r="C381" s="10" t="s">
        <v>1687</v>
      </c>
      <c r="D381" s="9" t="s">
        <v>1670</v>
      </c>
      <c r="E381" s="11" t="s">
        <v>1723</v>
      </c>
      <c r="F381" s="25"/>
      <c r="G381" s="14" t="s">
        <v>1724</v>
      </c>
      <c r="H381" s="14" t="s">
        <v>90</v>
      </c>
      <c r="I381" s="14" t="s">
        <v>1725</v>
      </c>
      <c r="J381" s="14" t="s">
        <v>92</v>
      </c>
      <c r="K381" s="14" t="s">
        <v>92</v>
      </c>
      <c r="L381" s="14" t="s">
        <v>92</v>
      </c>
      <c r="M381" s="14" t="s">
        <v>93</v>
      </c>
      <c r="N381" s="14" t="s">
        <v>92</v>
      </c>
      <c r="O381" s="14" t="s">
        <v>92</v>
      </c>
      <c r="P381" s="14" t="s">
        <v>92</v>
      </c>
      <c r="Q381" s="14" t="s">
        <v>93</v>
      </c>
      <c r="R381" s="14" t="s">
        <v>92</v>
      </c>
      <c r="S381" s="14" t="s">
        <v>92</v>
      </c>
      <c r="T381" s="14" t="s">
        <v>93</v>
      </c>
      <c r="U381" s="14" t="s">
        <v>92</v>
      </c>
      <c r="V381" s="14" t="s">
        <v>92</v>
      </c>
      <c r="W381" s="14" t="s">
        <v>92</v>
      </c>
      <c r="X381" s="14" t="s">
        <v>92</v>
      </c>
      <c r="Y381" s="14" t="s">
        <v>93</v>
      </c>
      <c r="Z381" s="14" t="s">
        <v>92</v>
      </c>
      <c r="AA381" s="14" t="s">
        <v>92</v>
      </c>
      <c r="AB381" s="8" t="s">
        <v>93</v>
      </c>
      <c r="AC381" s="8" t="s">
        <v>92</v>
      </c>
      <c r="AD381" s="8" t="s">
        <v>92</v>
      </c>
      <c r="AE381" s="14" t="s">
        <v>94</v>
      </c>
      <c r="AF381" s="14" t="s">
        <v>92</v>
      </c>
      <c r="AG381" s="14" t="s">
        <v>95</v>
      </c>
      <c r="AH381" s="8">
        <v>2020.0</v>
      </c>
      <c r="AI381" s="14" t="s">
        <v>93</v>
      </c>
      <c r="AJ381" s="14" t="s">
        <v>92</v>
      </c>
      <c r="AK381" s="14" t="s">
        <v>92</v>
      </c>
      <c r="AL381" s="14" t="s">
        <v>92</v>
      </c>
      <c r="AM381" s="8">
        <v>2020.0</v>
      </c>
      <c r="AN381" s="14" t="s">
        <v>96</v>
      </c>
      <c r="AO381" s="8" t="s">
        <v>92</v>
      </c>
      <c r="AP381" s="8" t="s">
        <v>93</v>
      </c>
      <c r="AQ381" s="14" t="s">
        <v>92</v>
      </c>
      <c r="AR381" s="14" t="s">
        <v>92</v>
      </c>
      <c r="AS381" s="14" t="s">
        <v>93</v>
      </c>
      <c r="AT381" s="14" t="s">
        <v>93</v>
      </c>
      <c r="AU381" s="14" t="s">
        <v>93</v>
      </c>
      <c r="AV381" s="14" t="s">
        <v>93</v>
      </c>
      <c r="AW381" s="14" t="s">
        <v>93</v>
      </c>
      <c r="AX381" s="14" t="s">
        <v>93</v>
      </c>
      <c r="AY381" s="8" t="s">
        <v>1726</v>
      </c>
      <c r="AZ381" s="8" t="s">
        <v>92</v>
      </c>
      <c r="BA381" s="9" t="s">
        <v>1727</v>
      </c>
      <c r="BB381" s="8" t="s">
        <v>95</v>
      </c>
      <c r="BC381" s="8" t="s">
        <v>93</v>
      </c>
      <c r="BD381" s="14" t="s">
        <v>92</v>
      </c>
      <c r="BE381" s="14" t="s">
        <v>92</v>
      </c>
      <c r="BF381" s="14" t="s">
        <v>92</v>
      </c>
      <c r="BG381" s="14" t="s">
        <v>92</v>
      </c>
      <c r="BH381" s="14" t="s">
        <v>92</v>
      </c>
      <c r="BI381" s="14" t="s">
        <v>93</v>
      </c>
      <c r="BJ381" s="14" t="s">
        <v>92</v>
      </c>
      <c r="BK381" s="14" t="s">
        <v>1728</v>
      </c>
      <c r="BL381" s="14" t="s">
        <v>92</v>
      </c>
      <c r="BM381" s="14" t="s">
        <v>92</v>
      </c>
      <c r="BN381" s="14" t="s">
        <v>92</v>
      </c>
      <c r="BO381" s="14" t="s">
        <v>93</v>
      </c>
      <c r="BP381" s="14" t="s">
        <v>92</v>
      </c>
      <c r="BQ381" s="8" t="s">
        <v>92</v>
      </c>
      <c r="BR381" s="8" t="s">
        <v>93</v>
      </c>
      <c r="BS381" s="8" t="s">
        <v>92</v>
      </c>
      <c r="BT381" s="8" t="s">
        <v>92</v>
      </c>
      <c r="BU381" s="8" t="s">
        <v>92</v>
      </c>
      <c r="BV381" s="8" t="s">
        <v>92</v>
      </c>
      <c r="BW381" s="8" t="s">
        <v>92</v>
      </c>
      <c r="BX381" s="8" t="s">
        <v>92</v>
      </c>
      <c r="BY381" s="8" t="s">
        <v>92</v>
      </c>
      <c r="BZ381" s="8" t="s">
        <v>92</v>
      </c>
      <c r="CA381" s="8" t="s">
        <v>92</v>
      </c>
      <c r="CB381" s="20" t="s">
        <v>1691</v>
      </c>
      <c r="CC381" s="17"/>
      <c r="CD381" s="18"/>
      <c r="CE381" s="18"/>
      <c r="CF381" s="18"/>
      <c r="CG381" s="18"/>
      <c r="CH381" s="18"/>
    </row>
    <row r="382">
      <c r="A382" s="8"/>
      <c r="B382" s="43" t="s">
        <v>1686</v>
      </c>
      <c r="C382" s="10" t="s">
        <v>1687</v>
      </c>
      <c r="D382" s="9" t="s">
        <v>1670</v>
      </c>
      <c r="E382" s="11" t="s">
        <v>1729</v>
      </c>
      <c r="F382" s="12"/>
      <c r="G382" s="14" t="s">
        <v>1730</v>
      </c>
      <c r="H382" s="14" t="s">
        <v>90</v>
      </c>
      <c r="I382" s="14" t="s">
        <v>1731</v>
      </c>
      <c r="J382" s="14" t="s">
        <v>92</v>
      </c>
      <c r="K382" s="14" t="s">
        <v>92</v>
      </c>
      <c r="L382" s="14" t="s">
        <v>92</v>
      </c>
      <c r="M382" s="14" t="s">
        <v>92</v>
      </c>
      <c r="N382" s="14" t="s">
        <v>92</v>
      </c>
      <c r="O382" s="14" t="s">
        <v>92</v>
      </c>
      <c r="P382" s="14" t="s">
        <v>92</v>
      </c>
      <c r="Q382" s="14" t="s">
        <v>93</v>
      </c>
      <c r="R382" s="14" t="s">
        <v>92</v>
      </c>
      <c r="S382" s="14" t="s">
        <v>92</v>
      </c>
      <c r="T382" s="14" t="s">
        <v>93</v>
      </c>
      <c r="U382" s="14" t="s">
        <v>92</v>
      </c>
      <c r="V382" s="14" t="s">
        <v>92</v>
      </c>
      <c r="W382" s="14" t="s">
        <v>92</v>
      </c>
      <c r="X382" s="14" t="s">
        <v>92</v>
      </c>
      <c r="Y382" s="14" t="s">
        <v>93</v>
      </c>
      <c r="Z382" s="14" t="s">
        <v>92</v>
      </c>
      <c r="AA382" s="14" t="s">
        <v>92</v>
      </c>
      <c r="AB382" s="8" t="s">
        <v>93</v>
      </c>
      <c r="AC382" s="8" t="s">
        <v>92</v>
      </c>
      <c r="AD382" s="8" t="s">
        <v>93</v>
      </c>
      <c r="AE382" s="14" t="s">
        <v>148</v>
      </c>
      <c r="AF382" s="14" t="s">
        <v>92</v>
      </c>
      <c r="AG382" s="14" t="s">
        <v>95</v>
      </c>
      <c r="AH382" s="8">
        <v>2017.0</v>
      </c>
      <c r="AI382" s="14" t="s">
        <v>93</v>
      </c>
      <c r="AJ382" s="14" t="s">
        <v>93</v>
      </c>
      <c r="AK382" s="14" t="s">
        <v>93</v>
      </c>
      <c r="AL382" s="14" t="s">
        <v>93</v>
      </c>
      <c r="AM382" s="8" t="s">
        <v>95</v>
      </c>
      <c r="AN382" s="14" t="s">
        <v>114</v>
      </c>
      <c r="AO382" s="8" t="s">
        <v>93</v>
      </c>
      <c r="AP382" s="8" t="s">
        <v>92</v>
      </c>
      <c r="AQ382" s="14" t="s">
        <v>92</v>
      </c>
      <c r="AR382" s="14" t="s">
        <v>92</v>
      </c>
      <c r="AS382" s="14" t="s">
        <v>93</v>
      </c>
      <c r="AT382" s="14" t="s">
        <v>93</v>
      </c>
      <c r="AU382" s="14" t="s">
        <v>93</v>
      </c>
      <c r="AV382" s="14" t="s">
        <v>93</v>
      </c>
      <c r="AW382" s="14" t="s">
        <v>93</v>
      </c>
      <c r="AX382" s="14" t="s">
        <v>93</v>
      </c>
      <c r="AY382" s="8" t="s">
        <v>95</v>
      </c>
      <c r="AZ382" s="8" t="s">
        <v>95</v>
      </c>
      <c r="BA382" s="9" t="s">
        <v>1732</v>
      </c>
      <c r="BB382" s="8" t="s">
        <v>261</v>
      </c>
      <c r="BC382" s="8" t="s">
        <v>92</v>
      </c>
      <c r="BD382" s="14" t="s">
        <v>92</v>
      </c>
      <c r="BE382" s="14" t="s">
        <v>92</v>
      </c>
      <c r="BF382" s="14" t="s">
        <v>92</v>
      </c>
      <c r="BG382" s="14" t="s">
        <v>92</v>
      </c>
      <c r="BH382" s="14" t="s">
        <v>92</v>
      </c>
      <c r="BI382" s="14" t="s">
        <v>93</v>
      </c>
      <c r="BJ382" s="14" t="s">
        <v>92</v>
      </c>
      <c r="BK382" s="14" t="s">
        <v>95</v>
      </c>
      <c r="BL382" s="14" t="s">
        <v>93</v>
      </c>
      <c r="BM382" s="14" t="s">
        <v>93</v>
      </c>
      <c r="BN382" s="14" t="s">
        <v>93</v>
      </c>
      <c r="BO382" s="14" t="s">
        <v>93</v>
      </c>
      <c r="BP382" s="14" t="s">
        <v>93</v>
      </c>
      <c r="BQ382" s="8" t="s">
        <v>92</v>
      </c>
      <c r="BR382" s="8" t="s">
        <v>93</v>
      </c>
      <c r="BS382" s="8" t="s">
        <v>92</v>
      </c>
      <c r="BT382" s="8" t="s">
        <v>92</v>
      </c>
      <c r="BU382" s="8" t="s">
        <v>92</v>
      </c>
      <c r="BV382" s="8" t="s">
        <v>92</v>
      </c>
      <c r="BW382" s="8" t="s">
        <v>92</v>
      </c>
      <c r="BX382" s="8" t="s">
        <v>92</v>
      </c>
      <c r="BY382" s="8" t="s">
        <v>92</v>
      </c>
      <c r="BZ382" s="8" t="s">
        <v>92</v>
      </c>
      <c r="CA382" s="8" t="s">
        <v>92</v>
      </c>
      <c r="CB382" s="20" t="s">
        <v>1691</v>
      </c>
      <c r="CC382" s="20" t="s">
        <v>1695</v>
      </c>
      <c r="CD382" s="20" t="s">
        <v>1696</v>
      </c>
      <c r="CE382" s="18"/>
      <c r="CF382" s="18"/>
      <c r="CG382" s="18"/>
      <c r="CH382" s="18"/>
    </row>
    <row r="383">
      <c r="A383" s="8"/>
      <c r="B383" s="9" t="s">
        <v>1686</v>
      </c>
      <c r="C383" s="10" t="s">
        <v>1687</v>
      </c>
      <c r="D383" s="9" t="s">
        <v>1670</v>
      </c>
      <c r="E383" s="11" t="s">
        <v>1733</v>
      </c>
      <c r="F383" s="12"/>
      <c r="G383" s="14" t="s">
        <v>1734</v>
      </c>
      <c r="H383" s="14" t="s">
        <v>90</v>
      </c>
      <c r="I383" s="14" t="s">
        <v>1735</v>
      </c>
      <c r="J383" s="14" t="s">
        <v>92</v>
      </c>
      <c r="K383" s="14" t="s">
        <v>92</v>
      </c>
      <c r="L383" s="14" t="s">
        <v>93</v>
      </c>
      <c r="M383" s="14" t="s">
        <v>93</v>
      </c>
      <c r="N383" s="14" t="s">
        <v>92</v>
      </c>
      <c r="O383" s="14" t="s">
        <v>93</v>
      </c>
      <c r="P383" s="14" t="s">
        <v>92</v>
      </c>
      <c r="Q383" s="14" t="s">
        <v>92</v>
      </c>
      <c r="R383" s="14" t="s">
        <v>92</v>
      </c>
      <c r="S383" s="14" t="s">
        <v>93</v>
      </c>
      <c r="T383" s="14" t="s">
        <v>92</v>
      </c>
      <c r="U383" s="14" t="s">
        <v>92</v>
      </c>
      <c r="V383" s="14" t="s">
        <v>92</v>
      </c>
      <c r="W383" s="14" t="s">
        <v>92</v>
      </c>
      <c r="X383" s="14" t="s">
        <v>92</v>
      </c>
      <c r="Y383" s="14" t="s">
        <v>92</v>
      </c>
      <c r="Z383" s="14" t="s">
        <v>92</v>
      </c>
      <c r="AA383" s="14" t="s">
        <v>93</v>
      </c>
      <c r="AB383" s="8" t="s">
        <v>93</v>
      </c>
      <c r="AC383" s="8" t="s">
        <v>92</v>
      </c>
      <c r="AD383" s="8" t="s">
        <v>92</v>
      </c>
      <c r="AE383" s="14" t="s">
        <v>287</v>
      </c>
      <c r="AF383" s="14" t="s">
        <v>92</v>
      </c>
      <c r="AG383" s="14" t="s">
        <v>95</v>
      </c>
      <c r="AH383" s="8">
        <v>2020.0</v>
      </c>
      <c r="AI383" s="14" t="s">
        <v>93</v>
      </c>
      <c r="AJ383" s="14" t="s">
        <v>93</v>
      </c>
      <c r="AK383" s="14" t="s">
        <v>93</v>
      </c>
      <c r="AL383" s="14" t="s">
        <v>93</v>
      </c>
      <c r="AM383" s="8" t="s">
        <v>95</v>
      </c>
      <c r="AN383" s="14" t="s">
        <v>114</v>
      </c>
      <c r="AO383" s="8" t="s">
        <v>93</v>
      </c>
      <c r="AP383" s="8" t="s">
        <v>92</v>
      </c>
      <c r="AQ383" s="14" t="s">
        <v>92</v>
      </c>
      <c r="AR383" s="14" t="s">
        <v>92</v>
      </c>
      <c r="AS383" s="14" t="s">
        <v>93</v>
      </c>
      <c r="AT383" s="14" t="s">
        <v>93</v>
      </c>
      <c r="AU383" s="14" t="s">
        <v>93</v>
      </c>
      <c r="AV383" s="14" t="s">
        <v>93</v>
      </c>
      <c r="AW383" s="14" t="s">
        <v>93</v>
      </c>
      <c r="AX383" s="14" t="s">
        <v>93</v>
      </c>
      <c r="AY383" s="8" t="s">
        <v>95</v>
      </c>
      <c r="AZ383" s="8" t="s">
        <v>95</v>
      </c>
      <c r="BA383" s="9" t="s">
        <v>1686</v>
      </c>
      <c r="BB383" s="8" t="s">
        <v>97</v>
      </c>
      <c r="BC383" s="8" t="s">
        <v>92</v>
      </c>
      <c r="BD383" s="14" t="s">
        <v>93</v>
      </c>
      <c r="BE383" s="14" t="s">
        <v>92</v>
      </c>
      <c r="BF383" s="14" t="s">
        <v>92</v>
      </c>
      <c r="BG383" s="14" t="s">
        <v>92</v>
      </c>
      <c r="BH383" s="14" t="s">
        <v>92</v>
      </c>
      <c r="BI383" s="14" t="s">
        <v>92</v>
      </c>
      <c r="BJ383" s="14" t="s">
        <v>92</v>
      </c>
      <c r="BK383" s="14" t="s">
        <v>1736</v>
      </c>
      <c r="BL383" s="14" t="s">
        <v>92</v>
      </c>
      <c r="BM383" s="14" t="s">
        <v>93</v>
      </c>
      <c r="BN383" s="14" t="s">
        <v>92</v>
      </c>
      <c r="BO383" s="14" t="s">
        <v>92</v>
      </c>
      <c r="BP383" s="14" t="s">
        <v>92</v>
      </c>
      <c r="BQ383" s="8" t="s">
        <v>92</v>
      </c>
      <c r="BR383" s="8" t="s">
        <v>92</v>
      </c>
      <c r="BS383" s="8" t="s">
        <v>93</v>
      </c>
      <c r="BT383" s="8" t="s">
        <v>92</v>
      </c>
      <c r="BU383" s="8" t="s">
        <v>92</v>
      </c>
      <c r="BV383" s="8" t="s">
        <v>92</v>
      </c>
      <c r="BW383" s="8" t="s">
        <v>92</v>
      </c>
      <c r="BX383" s="8" t="s">
        <v>92</v>
      </c>
      <c r="BY383" s="8" t="s">
        <v>92</v>
      </c>
      <c r="BZ383" s="8" t="s">
        <v>92</v>
      </c>
      <c r="CA383" s="8" t="s">
        <v>92</v>
      </c>
      <c r="CB383" s="20" t="s">
        <v>1691</v>
      </c>
      <c r="CC383" s="17"/>
      <c r="CD383" s="18"/>
      <c r="CE383" s="18"/>
      <c r="CF383" s="18"/>
      <c r="CG383" s="18"/>
      <c r="CH383" s="18"/>
    </row>
    <row r="384">
      <c r="A384" s="8"/>
      <c r="B384" s="9" t="s">
        <v>1686</v>
      </c>
      <c r="C384" s="10" t="s">
        <v>1687</v>
      </c>
      <c r="D384" s="9" t="s">
        <v>1670</v>
      </c>
      <c r="E384" s="11" t="s">
        <v>1737</v>
      </c>
      <c r="F384" s="12"/>
      <c r="G384" s="14" t="s">
        <v>1738</v>
      </c>
      <c r="H384" s="14" t="s">
        <v>90</v>
      </c>
      <c r="I384" s="14" t="s">
        <v>1739</v>
      </c>
      <c r="J384" s="14" t="s">
        <v>92</v>
      </c>
      <c r="K384" s="14" t="s">
        <v>92</v>
      </c>
      <c r="L384" s="14" t="s">
        <v>92</v>
      </c>
      <c r="M384" s="14" t="s">
        <v>93</v>
      </c>
      <c r="N384" s="14" t="s">
        <v>92</v>
      </c>
      <c r="O384" s="14" t="s">
        <v>92</v>
      </c>
      <c r="P384" s="14" t="s">
        <v>92</v>
      </c>
      <c r="Q384" s="14" t="s">
        <v>93</v>
      </c>
      <c r="R384" s="14" t="s">
        <v>92</v>
      </c>
      <c r="S384" s="14" t="s">
        <v>92</v>
      </c>
      <c r="T384" s="14" t="s">
        <v>93</v>
      </c>
      <c r="U384" s="14" t="s">
        <v>92</v>
      </c>
      <c r="V384" s="14" t="s">
        <v>92</v>
      </c>
      <c r="W384" s="14" t="s">
        <v>92</v>
      </c>
      <c r="X384" s="14" t="s">
        <v>92</v>
      </c>
      <c r="Y384" s="14" t="s">
        <v>93</v>
      </c>
      <c r="Z384" s="14" t="s">
        <v>92</v>
      </c>
      <c r="AA384" s="14" t="s">
        <v>92</v>
      </c>
      <c r="AB384" s="8" t="s">
        <v>93</v>
      </c>
      <c r="AC384" s="8" t="s">
        <v>92</v>
      </c>
      <c r="AD384" s="8" t="s">
        <v>92</v>
      </c>
      <c r="AE384" s="14" t="s">
        <v>148</v>
      </c>
      <c r="AF384" s="14" t="s">
        <v>92</v>
      </c>
      <c r="AG384" s="14" t="s">
        <v>95</v>
      </c>
      <c r="AH384" s="8" t="s">
        <v>105</v>
      </c>
      <c r="AI384" s="14" t="s">
        <v>92</v>
      </c>
      <c r="AJ384" s="14" t="s">
        <v>93</v>
      </c>
      <c r="AK384" s="14" t="s">
        <v>92</v>
      </c>
      <c r="AL384" s="14" t="s">
        <v>92</v>
      </c>
      <c r="AM384" s="8" t="s">
        <v>105</v>
      </c>
      <c r="AN384" s="14" t="s">
        <v>105</v>
      </c>
      <c r="AO384" s="8" t="s">
        <v>105</v>
      </c>
      <c r="AP384" s="8" t="s">
        <v>92</v>
      </c>
      <c r="AQ384" s="14" t="s">
        <v>92</v>
      </c>
      <c r="AR384" s="14" t="s">
        <v>92</v>
      </c>
      <c r="AS384" s="14" t="s">
        <v>93</v>
      </c>
      <c r="AT384" s="14" t="s">
        <v>93</v>
      </c>
      <c r="AU384" s="14" t="s">
        <v>93</v>
      </c>
      <c r="AV384" s="14" t="s">
        <v>93</v>
      </c>
      <c r="AW384" s="14" t="s">
        <v>93</v>
      </c>
      <c r="AX384" s="14" t="s">
        <v>93</v>
      </c>
      <c r="AY384" s="8" t="s">
        <v>1740</v>
      </c>
      <c r="AZ384" s="8" t="s">
        <v>92</v>
      </c>
      <c r="BA384" s="9" t="s">
        <v>1741</v>
      </c>
      <c r="BB384" s="8" t="s">
        <v>95</v>
      </c>
      <c r="BC384" s="8" t="s">
        <v>93</v>
      </c>
      <c r="BD384" s="14" t="s">
        <v>92</v>
      </c>
      <c r="BE384" s="14" t="s">
        <v>92</v>
      </c>
      <c r="BF384" s="14" t="s">
        <v>92</v>
      </c>
      <c r="BG384" s="14" t="s">
        <v>92</v>
      </c>
      <c r="BH384" s="14" t="s">
        <v>92</v>
      </c>
      <c r="BI384" s="14" t="s">
        <v>93</v>
      </c>
      <c r="BJ384" s="14" t="s">
        <v>92</v>
      </c>
      <c r="BK384" s="14" t="s">
        <v>482</v>
      </c>
      <c r="BL384" s="14" t="s">
        <v>92</v>
      </c>
      <c r="BM384" s="14" t="s">
        <v>92</v>
      </c>
      <c r="BN384" s="14" t="s">
        <v>92</v>
      </c>
      <c r="BO384" s="14" t="s">
        <v>93</v>
      </c>
      <c r="BP384" s="14" t="s">
        <v>92</v>
      </c>
      <c r="BQ384" s="8" t="s">
        <v>92</v>
      </c>
      <c r="BR384" s="8" t="s">
        <v>93</v>
      </c>
      <c r="BS384" s="8" t="s">
        <v>92</v>
      </c>
      <c r="BT384" s="8" t="s">
        <v>92</v>
      </c>
      <c r="BU384" s="8" t="s">
        <v>92</v>
      </c>
      <c r="BV384" s="8" t="s">
        <v>92</v>
      </c>
      <c r="BW384" s="8" t="s">
        <v>92</v>
      </c>
      <c r="BX384" s="8" t="s">
        <v>92</v>
      </c>
      <c r="BY384" s="8" t="s">
        <v>92</v>
      </c>
      <c r="BZ384" s="8" t="s">
        <v>92</v>
      </c>
      <c r="CA384" s="8" t="s">
        <v>92</v>
      </c>
      <c r="CB384" s="20" t="s">
        <v>1742</v>
      </c>
      <c r="CC384" s="31"/>
      <c r="CD384" s="18"/>
      <c r="CE384" s="18"/>
      <c r="CF384" s="18"/>
      <c r="CG384" s="18"/>
      <c r="CH384" s="18"/>
    </row>
    <row r="385">
      <c r="A385" s="8"/>
      <c r="B385" s="9" t="s">
        <v>1686</v>
      </c>
      <c r="C385" s="10" t="s">
        <v>1687</v>
      </c>
      <c r="D385" s="9" t="s">
        <v>1670</v>
      </c>
      <c r="E385" s="11" t="s">
        <v>1743</v>
      </c>
      <c r="F385" s="12"/>
      <c r="G385" s="14" t="s">
        <v>1744</v>
      </c>
      <c r="H385" s="14" t="s">
        <v>90</v>
      </c>
      <c r="I385" s="14" t="s">
        <v>1745</v>
      </c>
      <c r="J385" s="14" t="s">
        <v>92</v>
      </c>
      <c r="K385" s="14" t="s">
        <v>92</v>
      </c>
      <c r="L385" s="14" t="s">
        <v>92</v>
      </c>
      <c r="M385" s="14" t="s">
        <v>92</v>
      </c>
      <c r="N385" s="14" t="s">
        <v>92</v>
      </c>
      <c r="O385" s="14" t="s">
        <v>92</v>
      </c>
      <c r="P385" s="14" t="s">
        <v>92</v>
      </c>
      <c r="Q385" s="14" t="s">
        <v>93</v>
      </c>
      <c r="R385" s="14" t="s">
        <v>92</v>
      </c>
      <c r="S385" s="14" t="s">
        <v>92</v>
      </c>
      <c r="T385" s="14" t="s">
        <v>92</v>
      </c>
      <c r="U385" s="14" t="s">
        <v>93</v>
      </c>
      <c r="V385" s="14" t="s">
        <v>92</v>
      </c>
      <c r="W385" s="14" t="s">
        <v>92</v>
      </c>
      <c r="X385" s="14" t="s">
        <v>92</v>
      </c>
      <c r="Y385" s="14" t="s">
        <v>92</v>
      </c>
      <c r="Z385" s="14" t="s">
        <v>92</v>
      </c>
      <c r="AA385" s="14" t="s">
        <v>92</v>
      </c>
      <c r="AB385" s="8" t="s">
        <v>93</v>
      </c>
      <c r="AC385" s="8" t="s">
        <v>92</v>
      </c>
      <c r="AD385" s="8" t="s">
        <v>92</v>
      </c>
      <c r="AE385" s="14" t="s">
        <v>94</v>
      </c>
      <c r="AF385" s="14" t="s">
        <v>93</v>
      </c>
      <c r="AG385" s="14" t="s">
        <v>105</v>
      </c>
      <c r="AH385" s="8">
        <v>2022.0</v>
      </c>
      <c r="AI385" s="14" t="s">
        <v>92</v>
      </c>
      <c r="AJ385" s="14" t="s">
        <v>92</v>
      </c>
      <c r="AK385" s="14" t="s">
        <v>93</v>
      </c>
      <c r="AL385" s="14" t="s">
        <v>93</v>
      </c>
      <c r="AM385" s="8" t="s">
        <v>95</v>
      </c>
      <c r="AN385" s="14" t="s">
        <v>114</v>
      </c>
      <c r="AO385" s="8" t="s">
        <v>93</v>
      </c>
      <c r="AP385" s="8" t="s">
        <v>92</v>
      </c>
      <c r="AQ385" s="14" t="s">
        <v>92</v>
      </c>
      <c r="AR385" s="14" t="s">
        <v>92</v>
      </c>
      <c r="AS385" s="14" t="s">
        <v>93</v>
      </c>
      <c r="AT385" s="14" t="s">
        <v>93</v>
      </c>
      <c r="AU385" s="14" t="s">
        <v>93</v>
      </c>
      <c r="AV385" s="14" t="s">
        <v>93</v>
      </c>
      <c r="AW385" s="14" t="s">
        <v>93</v>
      </c>
      <c r="AX385" s="14" t="s">
        <v>93</v>
      </c>
      <c r="AY385" s="8" t="s">
        <v>1746</v>
      </c>
      <c r="AZ385" s="8" t="s">
        <v>92</v>
      </c>
      <c r="BA385" s="9" t="s">
        <v>1747</v>
      </c>
      <c r="BB385" s="8" t="s">
        <v>95</v>
      </c>
      <c r="BC385" s="8" t="s">
        <v>93</v>
      </c>
      <c r="BD385" s="14" t="s">
        <v>92</v>
      </c>
      <c r="BE385" s="14" t="s">
        <v>92</v>
      </c>
      <c r="BF385" s="14" t="s">
        <v>92</v>
      </c>
      <c r="BG385" s="14" t="s">
        <v>92</v>
      </c>
      <c r="BH385" s="14" t="s">
        <v>92</v>
      </c>
      <c r="BI385" s="14" t="s">
        <v>93</v>
      </c>
      <c r="BJ385" s="14" t="s">
        <v>92</v>
      </c>
      <c r="BK385" s="14" t="s">
        <v>95</v>
      </c>
      <c r="BL385" s="14" t="s">
        <v>93</v>
      </c>
      <c r="BM385" s="14" t="s">
        <v>93</v>
      </c>
      <c r="BN385" s="14" t="s">
        <v>93</v>
      </c>
      <c r="BO385" s="14" t="s">
        <v>93</v>
      </c>
      <c r="BP385" s="14" t="s">
        <v>93</v>
      </c>
      <c r="BQ385" s="8" t="s">
        <v>93</v>
      </c>
      <c r="BR385" s="8" t="s">
        <v>92</v>
      </c>
      <c r="BS385" s="8" t="s">
        <v>92</v>
      </c>
      <c r="BT385" s="8" t="s">
        <v>92</v>
      </c>
      <c r="BU385" s="8" t="s">
        <v>92</v>
      </c>
      <c r="BV385" s="8" t="s">
        <v>92</v>
      </c>
      <c r="BW385" s="8" t="s">
        <v>92</v>
      </c>
      <c r="BX385" s="8" t="s">
        <v>92</v>
      </c>
      <c r="BY385" s="8" t="s">
        <v>92</v>
      </c>
      <c r="BZ385" s="8" t="s">
        <v>92</v>
      </c>
      <c r="CA385" s="8" t="s">
        <v>92</v>
      </c>
      <c r="CB385" s="20" t="s">
        <v>1696</v>
      </c>
      <c r="CC385" s="17"/>
      <c r="CD385" s="18"/>
      <c r="CE385" s="18"/>
      <c r="CF385" s="18"/>
      <c r="CG385" s="18"/>
      <c r="CH385" s="18"/>
    </row>
    <row r="386">
      <c r="A386" s="8"/>
      <c r="B386" s="9" t="s">
        <v>1686</v>
      </c>
      <c r="C386" s="10" t="s">
        <v>1687</v>
      </c>
      <c r="D386" s="9" t="s">
        <v>1670</v>
      </c>
      <c r="E386" s="11" t="s">
        <v>1748</v>
      </c>
      <c r="F386" s="25"/>
      <c r="G386" s="14" t="s">
        <v>1749</v>
      </c>
      <c r="H386" s="14" t="s">
        <v>90</v>
      </c>
      <c r="I386" s="14" t="s">
        <v>1750</v>
      </c>
      <c r="J386" s="14" t="s">
        <v>92</v>
      </c>
      <c r="K386" s="14" t="s">
        <v>92</v>
      </c>
      <c r="L386" s="14" t="s">
        <v>92</v>
      </c>
      <c r="M386" s="14" t="s">
        <v>93</v>
      </c>
      <c r="N386" s="14" t="s">
        <v>92</v>
      </c>
      <c r="O386" s="14" t="s">
        <v>92</v>
      </c>
      <c r="P386" s="14" t="s">
        <v>93</v>
      </c>
      <c r="Q386" s="14" t="s">
        <v>92</v>
      </c>
      <c r="R386" s="14" t="s">
        <v>92</v>
      </c>
      <c r="S386" s="14" t="s">
        <v>92</v>
      </c>
      <c r="T386" s="14" t="s">
        <v>93</v>
      </c>
      <c r="U386" s="14" t="s">
        <v>93</v>
      </c>
      <c r="V386" s="14" t="s">
        <v>92</v>
      </c>
      <c r="W386" s="14" t="s">
        <v>92</v>
      </c>
      <c r="X386" s="14" t="s">
        <v>92</v>
      </c>
      <c r="Y386" s="14" t="s">
        <v>92</v>
      </c>
      <c r="Z386" s="14" t="s">
        <v>92</v>
      </c>
      <c r="AA386" s="14" t="s">
        <v>92</v>
      </c>
      <c r="AB386" s="8" t="s">
        <v>93</v>
      </c>
      <c r="AC386" s="8" t="s">
        <v>92</v>
      </c>
      <c r="AD386" s="8" t="s">
        <v>92</v>
      </c>
      <c r="AE386" s="14" t="s">
        <v>94</v>
      </c>
      <c r="AF386" s="14" t="s">
        <v>92</v>
      </c>
      <c r="AG386" s="14" t="s">
        <v>95</v>
      </c>
      <c r="AH386" s="8">
        <v>2022.0</v>
      </c>
      <c r="AI386" s="14" t="s">
        <v>92</v>
      </c>
      <c r="AJ386" s="14" t="s">
        <v>92</v>
      </c>
      <c r="AK386" s="14" t="s">
        <v>93</v>
      </c>
      <c r="AL386" s="14" t="s">
        <v>92</v>
      </c>
      <c r="AM386" s="8">
        <v>2022.0</v>
      </c>
      <c r="AN386" s="14" t="s">
        <v>96</v>
      </c>
      <c r="AO386" s="8" t="s">
        <v>92</v>
      </c>
      <c r="AP386" s="8" t="s">
        <v>93</v>
      </c>
      <c r="AQ386" s="14" t="s">
        <v>92</v>
      </c>
      <c r="AR386" s="14" t="s">
        <v>92</v>
      </c>
      <c r="AS386" s="14" t="s">
        <v>93</v>
      </c>
      <c r="AT386" s="14" t="s">
        <v>93</v>
      </c>
      <c r="AU386" s="14" t="s">
        <v>93</v>
      </c>
      <c r="AV386" s="14" t="s">
        <v>93</v>
      </c>
      <c r="AW386" s="14" t="s">
        <v>93</v>
      </c>
      <c r="AX386" s="14" t="s">
        <v>93</v>
      </c>
      <c r="AY386" s="8" t="s">
        <v>95</v>
      </c>
      <c r="AZ386" s="8" t="s">
        <v>95</v>
      </c>
      <c r="BA386" s="9" t="s">
        <v>1686</v>
      </c>
      <c r="BB386" s="8" t="s">
        <v>97</v>
      </c>
      <c r="BC386" s="8" t="s">
        <v>92</v>
      </c>
      <c r="BD386" s="14" t="s">
        <v>92</v>
      </c>
      <c r="BE386" s="14" t="s">
        <v>92</v>
      </c>
      <c r="BF386" s="14" t="s">
        <v>92</v>
      </c>
      <c r="BG386" s="14" t="s">
        <v>92</v>
      </c>
      <c r="BH386" s="14" t="s">
        <v>92</v>
      </c>
      <c r="BI386" s="14" t="s">
        <v>93</v>
      </c>
      <c r="BJ386" s="14" t="s">
        <v>92</v>
      </c>
      <c r="BK386" s="14" t="s">
        <v>1751</v>
      </c>
      <c r="BL386" s="14" t="s">
        <v>92</v>
      </c>
      <c r="BM386" s="14" t="s">
        <v>92</v>
      </c>
      <c r="BN386" s="14" t="s">
        <v>92</v>
      </c>
      <c r="BO386" s="14" t="s">
        <v>93</v>
      </c>
      <c r="BP386" s="14" t="s">
        <v>92</v>
      </c>
      <c r="BQ386" s="8" t="s">
        <v>93</v>
      </c>
      <c r="BR386" s="8" t="s">
        <v>93</v>
      </c>
      <c r="BS386" s="8" t="s">
        <v>92</v>
      </c>
      <c r="BT386" s="8" t="s">
        <v>92</v>
      </c>
      <c r="BU386" s="8" t="s">
        <v>92</v>
      </c>
      <c r="BV386" s="8" t="s">
        <v>92</v>
      </c>
      <c r="BW386" s="8" t="s">
        <v>92</v>
      </c>
      <c r="BX386" s="8" t="s">
        <v>92</v>
      </c>
      <c r="BY386" s="8" t="s">
        <v>92</v>
      </c>
      <c r="BZ386" s="8" t="s">
        <v>92</v>
      </c>
      <c r="CA386" s="8" t="s">
        <v>92</v>
      </c>
      <c r="CB386" s="20" t="s">
        <v>1697</v>
      </c>
      <c r="CC386" s="17"/>
      <c r="CD386" s="18"/>
      <c r="CE386" s="18"/>
      <c r="CF386" s="18"/>
      <c r="CG386" s="18"/>
      <c r="CH386" s="18"/>
    </row>
    <row r="387">
      <c r="A387" s="8"/>
      <c r="B387" s="9" t="s">
        <v>1686</v>
      </c>
      <c r="C387" s="10" t="s">
        <v>1687</v>
      </c>
      <c r="D387" s="9" t="s">
        <v>1670</v>
      </c>
      <c r="E387" s="11" t="s">
        <v>1752</v>
      </c>
      <c r="F387" s="12"/>
      <c r="G387" s="14" t="s">
        <v>1753</v>
      </c>
      <c r="H387" s="14" t="s">
        <v>90</v>
      </c>
      <c r="I387" s="14" t="s">
        <v>1754</v>
      </c>
      <c r="J387" s="14" t="s">
        <v>92</v>
      </c>
      <c r="K387" s="14" t="s">
        <v>92</v>
      </c>
      <c r="L387" s="14" t="s">
        <v>92</v>
      </c>
      <c r="M387" s="14" t="s">
        <v>93</v>
      </c>
      <c r="N387" s="14" t="s">
        <v>92</v>
      </c>
      <c r="O387" s="14" t="s">
        <v>92</v>
      </c>
      <c r="P387" s="14" t="s">
        <v>93</v>
      </c>
      <c r="Q387" s="14" t="s">
        <v>92</v>
      </c>
      <c r="R387" s="14" t="s">
        <v>92</v>
      </c>
      <c r="S387" s="14" t="s">
        <v>92</v>
      </c>
      <c r="T387" s="14" t="s">
        <v>93</v>
      </c>
      <c r="U387" s="14" t="s">
        <v>93</v>
      </c>
      <c r="V387" s="14" t="s">
        <v>92</v>
      </c>
      <c r="W387" s="14" t="s">
        <v>92</v>
      </c>
      <c r="X387" s="14" t="s">
        <v>92</v>
      </c>
      <c r="Y387" s="14" t="s">
        <v>92</v>
      </c>
      <c r="Z387" s="14" t="s">
        <v>92</v>
      </c>
      <c r="AA387" s="14" t="s">
        <v>92</v>
      </c>
      <c r="AB387" s="8" t="s">
        <v>93</v>
      </c>
      <c r="AC387" s="8" t="s">
        <v>92</v>
      </c>
      <c r="AD387" s="8" t="s">
        <v>92</v>
      </c>
      <c r="AE387" s="14" t="s">
        <v>94</v>
      </c>
      <c r="AF387" s="14" t="s">
        <v>92</v>
      </c>
      <c r="AG387" s="14" t="s">
        <v>95</v>
      </c>
      <c r="AH387" s="8">
        <v>2022.0</v>
      </c>
      <c r="AI387" s="14" t="s">
        <v>92</v>
      </c>
      <c r="AJ387" s="14" t="s">
        <v>92</v>
      </c>
      <c r="AK387" s="14" t="s">
        <v>93</v>
      </c>
      <c r="AL387" s="14" t="s">
        <v>92</v>
      </c>
      <c r="AM387" s="8">
        <v>2022.0</v>
      </c>
      <c r="AN387" s="14" t="s">
        <v>96</v>
      </c>
      <c r="AO387" s="8" t="s">
        <v>92</v>
      </c>
      <c r="AP387" s="8" t="s">
        <v>93</v>
      </c>
      <c r="AQ387" s="14" t="s">
        <v>92</v>
      </c>
      <c r="AR387" s="14" t="s">
        <v>92</v>
      </c>
      <c r="AS387" s="14" t="s">
        <v>93</v>
      </c>
      <c r="AT387" s="14" t="s">
        <v>93</v>
      </c>
      <c r="AU387" s="14" t="s">
        <v>93</v>
      </c>
      <c r="AV387" s="14" t="s">
        <v>93</v>
      </c>
      <c r="AW387" s="14" t="s">
        <v>93</v>
      </c>
      <c r="AX387" s="14" t="s">
        <v>93</v>
      </c>
      <c r="AY387" s="8" t="s">
        <v>95</v>
      </c>
      <c r="AZ387" s="8" t="s">
        <v>95</v>
      </c>
      <c r="BA387" s="9" t="s">
        <v>1686</v>
      </c>
      <c r="BB387" s="8" t="s">
        <v>97</v>
      </c>
      <c r="BC387" s="8" t="s">
        <v>92</v>
      </c>
      <c r="BD387" s="14" t="s">
        <v>92</v>
      </c>
      <c r="BE387" s="14" t="s">
        <v>92</v>
      </c>
      <c r="BF387" s="14" t="s">
        <v>92</v>
      </c>
      <c r="BG387" s="14" t="s">
        <v>92</v>
      </c>
      <c r="BH387" s="14" t="s">
        <v>92</v>
      </c>
      <c r="BI387" s="14" t="s">
        <v>93</v>
      </c>
      <c r="BJ387" s="14" t="s">
        <v>92</v>
      </c>
      <c r="BK387" s="14" t="s">
        <v>1755</v>
      </c>
      <c r="BL387" s="14" t="s">
        <v>92</v>
      </c>
      <c r="BM387" s="14" t="s">
        <v>93</v>
      </c>
      <c r="BN387" s="14" t="s">
        <v>92</v>
      </c>
      <c r="BO387" s="14" t="s">
        <v>92</v>
      </c>
      <c r="BP387" s="14" t="s">
        <v>92</v>
      </c>
      <c r="BQ387" s="8" t="s">
        <v>93</v>
      </c>
      <c r="BR387" s="8" t="s">
        <v>93</v>
      </c>
      <c r="BS387" s="8" t="s">
        <v>92</v>
      </c>
      <c r="BT387" s="8" t="s">
        <v>92</v>
      </c>
      <c r="BU387" s="8" t="s">
        <v>92</v>
      </c>
      <c r="BV387" s="8" t="s">
        <v>92</v>
      </c>
      <c r="BW387" s="8" t="s">
        <v>92</v>
      </c>
      <c r="BX387" s="8" t="s">
        <v>92</v>
      </c>
      <c r="BY387" s="8" t="s">
        <v>92</v>
      </c>
      <c r="BZ387" s="8" t="s">
        <v>92</v>
      </c>
      <c r="CA387" s="8" t="s">
        <v>92</v>
      </c>
      <c r="CB387" s="20" t="s">
        <v>1697</v>
      </c>
      <c r="CC387" s="17"/>
      <c r="CD387" s="18"/>
      <c r="CE387" s="18"/>
      <c r="CF387" s="18"/>
      <c r="CG387" s="18"/>
      <c r="CH387" s="18"/>
    </row>
    <row r="388">
      <c r="A388" s="8"/>
      <c r="B388" s="9" t="s">
        <v>1686</v>
      </c>
      <c r="C388" s="10" t="s">
        <v>1687</v>
      </c>
      <c r="D388" s="9" t="s">
        <v>1670</v>
      </c>
      <c r="E388" s="11" t="s">
        <v>1756</v>
      </c>
      <c r="F388" s="12"/>
      <c r="G388" s="14" t="s">
        <v>1757</v>
      </c>
      <c r="H388" s="14" t="s">
        <v>90</v>
      </c>
      <c r="I388" s="14" t="s">
        <v>1758</v>
      </c>
      <c r="J388" s="14" t="s">
        <v>92</v>
      </c>
      <c r="K388" s="14" t="s">
        <v>92</v>
      </c>
      <c r="L388" s="14" t="s">
        <v>92</v>
      </c>
      <c r="M388" s="14" t="s">
        <v>92</v>
      </c>
      <c r="N388" s="14" t="s">
        <v>92</v>
      </c>
      <c r="O388" s="14" t="s">
        <v>92</v>
      </c>
      <c r="P388" s="14" t="s">
        <v>93</v>
      </c>
      <c r="Q388" s="14" t="s">
        <v>92</v>
      </c>
      <c r="R388" s="14" t="s">
        <v>92</v>
      </c>
      <c r="S388" s="14" t="s">
        <v>92</v>
      </c>
      <c r="T388" s="14" t="s">
        <v>93</v>
      </c>
      <c r="U388" s="14" t="s">
        <v>92</v>
      </c>
      <c r="V388" s="14" t="s">
        <v>92</v>
      </c>
      <c r="W388" s="14" t="s">
        <v>92</v>
      </c>
      <c r="X388" s="14" t="s">
        <v>92</v>
      </c>
      <c r="Y388" s="14" t="s">
        <v>93</v>
      </c>
      <c r="Z388" s="14" t="s">
        <v>92</v>
      </c>
      <c r="AA388" s="14" t="s">
        <v>92</v>
      </c>
      <c r="AB388" s="8" t="s">
        <v>93</v>
      </c>
      <c r="AC388" s="8" t="s">
        <v>92</v>
      </c>
      <c r="AD388" s="8" t="s">
        <v>92</v>
      </c>
      <c r="AE388" s="14" t="s">
        <v>148</v>
      </c>
      <c r="AF388" s="14" t="s">
        <v>92</v>
      </c>
      <c r="AG388" s="14" t="s">
        <v>95</v>
      </c>
      <c r="AH388" s="8" t="s">
        <v>105</v>
      </c>
      <c r="AI388" s="14" t="s">
        <v>92</v>
      </c>
      <c r="AJ388" s="14" t="s">
        <v>92</v>
      </c>
      <c r="AK388" s="14" t="s">
        <v>93</v>
      </c>
      <c r="AL388" s="14" t="s">
        <v>92</v>
      </c>
      <c r="AM388" s="8">
        <v>2022.0</v>
      </c>
      <c r="AN388" s="14" t="s">
        <v>96</v>
      </c>
      <c r="AO388" s="8" t="s">
        <v>92</v>
      </c>
      <c r="AP388" s="8" t="s">
        <v>93</v>
      </c>
      <c r="AQ388" s="14" t="s">
        <v>92</v>
      </c>
      <c r="AR388" s="14" t="s">
        <v>92</v>
      </c>
      <c r="AS388" s="14" t="s">
        <v>93</v>
      </c>
      <c r="AT388" s="14" t="s">
        <v>93</v>
      </c>
      <c r="AU388" s="14" t="s">
        <v>93</v>
      </c>
      <c r="AV388" s="14" t="s">
        <v>93</v>
      </c>
      <c r="AW388" s="14" t="s">
        <v>93</v>
      </c>
      <c r="AX388" s="14" t="s">
        <v>93</v>
      </c>
      <c r="AY388" s="8" t="s">
        <v>1759</v>
      </c>
      <c r="AZ388" s="8" t="s">
        <v>93</v>
      </c>
      <c r="BA388" s="9" t="s">
        <v>1760</v>
      </c>
      <c r="BB388" s="8" t="s">
        <v>95</v>
      </c>
      <c r="BC388" s="8" t="s">
        <v>93</v>
      </c>
      <c r="BD388" s="14" t="s">
        <v>92</v>
      </c>
      <c r="BE388" s="14" t="s">
        <v>92</v>
      </c>
      <c r="BF388" s="14" t="s">
        <v>92</v>
      </c>
      <c r="BG388" s="14" t="s">
        <v>92</v>
      </c>
      <c r="BH388" s="14" t="s">
        <v>92</v>
      </c>
      <c r="BI388" s="14" t="s">
        <v>93</v>
      </c>
      <c r="BJ388" s="14" t="s">
        <v>92</v>
      </c>
      <c r="BK388" s="14" t="s">
        <v>1761</v>
      </c>
      <c r="BL388" s="14" t="s">
        <v>92</v>
      </c>
      <c r="BM388" s="14" t="s">
        <v>92</v>
      </c>
      <c r="BN388" s="14" t="s">
        <v>93</v>
      </c>
      <c r="BO388" s="14" t="s">
        <v>92</v>
      </c>
      <c r="BP388" s="14" t="s">
        <v>92</v>
      </c>
      <c r="BQ388" s="8" t="s">
        <v>92</v>
      </c>
      <c r="BR388" s="8" t="s">
        <v>93</v>
      </c>
      <c r="BS388" s="8" t="s">
        <v>92</v>
      </c>
      <c r="BT388" s="8" t="s">
        <v>92</v>
      </c>
      <c r="BU388" s="8" t="s">
        <v>92</v>
      </c>
      <c r="BV388" s="8" t="s">
        <v>92</v>
      </c>
      <c r="BW388" s="8" t="s">
        <v>92</v>
      </c>
      <c r="BX388" s="8" t="s">
        <v>92</v>
      </c>
      <c r="BY388" s="8" t="s">
        <v>92</v>
      </c>
      <c r="BZ388" s="8" t="s">
        <v>92</v>
      </c>
      <c r="CA388" s="8" t="s">
        <v>92</v>
      </c>
      <c r="CB388" s="20" t="s">
        <v>1696</v>
      </c>
      <c r="CC388" s="17"/>
      <c r="CD388" s="18"/>
      <c r="CE388" s="18"/>
      <c r="CF388" s="18"/>
      <c r="CG388" s="18"/>
      <c r="CH388" s="18"/>
    </row>
    <row r="389">
      <c r="A389" s="8"/>
      <c r="B389" s="19" t="s">
        <v>1762</v>
      </c>
      <c r="C389" s="10" t="s">
        <v>1763</v>
      </c>
      <c r="D389" s="9" t="s">
        <v>1670</v>
      </c>
      <c r="E389" s="11" t="s">
        <v>1764</v>
      </c>
      <c r="F389" s="12"/>
      <c r="G389" s="14" t="s">
        <v>1765</v>
      </c>
      <c r="H389" s="14" t="s">
        <v>90</v>
      </c>
      <c r="I389" s="14" t="s">
        <v>1766</v>
      </c>
      <c r="J389" s="14" t="s">
        <v>92</v>
      </c>
      <c r="K389" s="14" t="s">
        <v>92</v>
      </c>
      <c r="L389" s="14" t="s">
        <v>92</v>
      </c>
      <c r="M389" s="14" t="s">
        <v>93</v>
      </c>
      <c r="N389" s="14" t="s">
        <v>92</v>
      </c>
      <c r="O389" s="14" t="s">
        <v>92</v>
      </c>
      <c r="P389" s="14" t="s">
        <v>92</v>
      </c>
      <c r="Q389" s="14" t="s">
        <v>92</v>
      </c>
      <c r="R389" s="14" t="s">
        <v>93</v>
      </c>
      <c r="S389" s="14" t="s">
        <v>92</v>
      </c>
      <c r="T389" s="14" t="s">
        <v>92</v>
      </c>
      <c r="U389" s="14" t="s">
        <v>93</v>
      </c>
      <c r="V389" s="14" t="s">
        <v>92</v>
      </c>
      <c r="W389" s="14" t="s">
        <v>92</v>
      </c>
      <c r="X389" s="14" t="s">
        <v>92</v>
      </c>
      <c r="Y389" s="14" t="s">
        <v>92</v>
      </c>
      <c r="Z389" s="14" t="s">
        <v>92</v>
      </c>
      <c r="AA389" s="14" t="s">
        <v>92</v>
      </c>
      <c r="AB389" s="8" t="s">
        <v>93</v>
      </c>
      <c r="AC389" s="8" t="s">
        <v>92</v>
      </c>
      <c r="AD389" s="8" t="s">
        <v>92</v>
      </c>
      <c r="AE389" s="14" t="s">
        <v>94</v>
      </c>
      <c r="AF389" s="14" t="s">
        <v>92</v>
      </c>
      <c r="AG389" s="14" t="s">
        <v>95</v>
      </c>
      <c r="AH389" s="8" t="s">
        <v>105</v>
      </c>
      <c r="AI389" s="14" t="s">
        <v>105</v>
      </c>
      <c r="AJ389" s="14" t="s">
        <v>105</v>
      </c>
      <c r="AK389" s="14" t="s">
        <v>93</v>
      </c>
      <c r="AL389" s="14" t="s">
        <v>93</v>
      </c>
      <c r="AM389" s="8" t="s">
        <v>95</v>
      </c>
      <c r="AN389" s="14" t="s">
        <v>114</v>
      </c>
      <c r="AO389" s="8" t="s">
        <v>93</v>
      </c>
      <c r="AP389" s="8" t="s">
        <v>92</v>
      </c>
      <c r="AQ389" s="14" t="s">
        <v>92</v>
      </c>
      <c r="AR389" s="14" t="s">
        <v>92</v>
      </c>
      <c r="AS389" s="14" t="s">
        <v>93</v>
      </c>
      <c r="AT389" s="14" t="s">
        <v>92</v>
      </c>
      <c r="AU389" s="14" t="s">
        <v>93</v>
      </c>
      <c r="AV389" s="14" t="s">
        <v>93</v>
      </c>
      <c r="AW389" s="14" t="s">
        <v>93</v>
      </c>
      <c r="AX389" s="14" t="s">
        <v>92</v>
      </c>
      <c r="AY389" s="8" t="s">
        <v>95</v>
      </c>
      <c r="AZ389" s="8" t="s">
        <v>95</v>
      </c>
      <c r="BA389" s="9" t="s">
        <v>1767</v>
      </c>
      <c r="BB389" s="8" t="s">
        <v>185</v>
      </c>
      <c r="BC389" s="8" t="s">
        <v>92</v>
      </c>
      <c r="BD389" s="14" t="s">
        <v>92</v>
      </c>
      <c r="BE389" s="14" t="s">
        <v>92</v>
      </c>
      <c r="BF389" s="14" t="s">
        <v>92</v>
      </c>
      <c r="BG389" s="14" t="s">
        <v>92</v>
      </c>
      <c r="BH389" s="14" t="s">
        <v>92</v>
      </c>
      <c r="BI389" s="14" t="s">
        <v>93</v>
      </c>
      <c r="BJ389" s="14" t="s">
        <v>92</v>
      </c>
      <c r="BK389" s="14" t="s">
        <v>482</v>
      </c>
      <c r="BL389" s="14" t="s">
        <v>92</v>
      </c>
      <c r="BM389" s="14" t="s">
        <v>92</v>
      </c>
      <c r="BN389" s="14" t="s">
        <v>92</v>
      </c>
      <c r="BO389" s="14" t="s">
        <v>93</v>
      </c>
      <c r="BP389" s="14" t="s">
        <v>92</v>
      </c>
      <c r="BQ389" s="8" t="s">
        <v>93</v>
      </c>
      <c r="BR389" s="8" t="s">
        <v>92</v>
      </c>
      <c r="BS389" s="8" t="s">
        <v>92</v>
      </c>
      <c r="BT389" s="8" t="s">
        <v>92</v>
      </c>
      <c r="BU389" s="8" t="s">
        <v>92</v>
      </c>
      <c r="BV389" s="8" t="s">
        <v>92</v>
      </c>
      <c r="BW389" s="8" t="s">
        <v>92</v>
      </c>
      <c r="BX389" s="8" t="s">
        <v>92</v>
      </c>
      <c r="BY389" s="8" t="s">
        <v>92</v>
      </c>
      <c r="BZ389" s="8" t="s">
        <v>92</v>
      </c>
      <c r="CA389" s="8" t="s">
        <v>92</v>
      </c>
      <c r="CB389" s="20" t="s">
        <v>1195</v>
      </c>
      <c r="CC389" s="17"/>
      <c r="CD389" s="18"/>
      <c r="CE389" s="18"/>
      <c r="CF389" s="18"/>
      <c r="CG389" s="18"/>
      <c r="CH389" s="18"/>
    </row>
    <row r="390">
      <c r="A390" s="8"/>
      <c r="B390" s="9" t="s">
        <v>1768</v>
      </c>
      <c r="C390" s="10" t="s">
        <v>1769</v>
      </c>
      <c r="D390" s="9" t="s">
        <v>1670</v>
      </c>
      <c r="E390" s="11" t="s">
        <v>1770</v>
      </c>
      <c r="F390" s="12"/>
      <c r="G390" s="14" t="s">
        <v>1771</v>
      </c>
      <c r="H390" s="14" t="s">
        <v>90</v>
      </c>
      <c r="I390" s="14" t="s">
        <v>1772</v>
      </c>
      <c r="J390" s="14" t="s">
        <v>92</v>
      </c>
      <c r="K390" s="14" t="s">
        <v>92</v>
      </c>
      <c r="L390" s="14" t="s">
        <v>92</v>
      </c>
      <c r="M390" s="14" t="s">
        <v>92</v>
      </c>
      <c r="N390" s="14" t="s">
        <v>92</v>
      </c>
      <c r="O390" s="14" t="s">
        <v>92</v>
      </c>
      <c r="P390" s="14" t="s">
        <v>92</v>
      </c>
      <c r="Q390" s="14" t="s">
        <v>93</v>
      </c>
      <c r="R390" s="14" t="s">
        <v>92</v>
      </c>
      <c r="S390" s="14" t="s">
        <v>92</v>
      </c>
      <c r="T390" s="14" t="s">
        <v>92</v>
      </c>
      <c r="U390" s="14" t="s">
        <v>93</v>
      </c>
      <c r="V390" s="14" t="s">
        <v>92</v>
      </c>
      <c r="W390" s="14" t="s">
        <v>92</v>
      </c>
      <c r="X390" s="14" t="s">
        <v>92</v>
      </c>
      <c r="Y390" s="14" t="s">
        <v>92</v>
      </c>
      <c r="Z390" s="14" t="s">
        <v>92</v>
      </c>
      <c r="AA390" s="14" t="s">
        <v>92</v>
      </c>
      <c r="AB390" s="8" t="s">
        <v>93</v>
      </c>
      <c r="AC390" s="8" t="s">
        <v>92</v>
      </c>
      <c r="AD390" s="8" t="s">
        <v>92</v>
      </c>
      <c r="AE390" s="14" t="s">
        <v>94</v>
      </c>
      <c r="AF390" s="14" t="s">
        <v>92</v>
      </c>
      <c r="AG390" s="14" t="s">
        <v>95</v>
      </c>
      <c r="AH390" s="8" t="s">
        <v>105</v>
      </c>
      <c r="AI390" s="14" t="s">
        <v>105</v>
      </c>
      <c r="AJ390" s="14" t="s">
        <v>93</v>
      </c>
      <c r="AK390" s="14" t="s">
        <v>93</v>
      </c>
      <c r="AL390" s="14" t="s">
        <v>93</v>
      </c>
      <c r="AM390" s="8" t="s">
        <v>95</v>
      </c>
      <c r="AN390" s="14" t="s">
        <v>114</v>
      </c>
      <c r="AO390" s="8" t="s">
        <v>93</v>
      </c>
      <c r="AP390" s="8" t="s">
        <v>92</v>
      </c>
      <c r="AQ390" s="14" t="s">
        <v>92</v>
      </c>
      <c r="AR390" s="14" t="s">
        <v>92</v>
      </c>
      <c r="AS390" s="14" t="s">
        <v>92</v>
      </c>
      <c r="AT390" s="14" t="s">
        <v>93</v>
      </c>
      <c r="AU390" s="14" t="s">
        <v>93</v>
      </c>
      <c r="AV390" s="14" t="s">
        <v>93</v>
      </c>
      <c r="AW390" s="14" t="s">
        <v>93</v>
      </c>
      <c r="AX390" s="14" t="s">
        <v>92</v>
      </c>
      <c r="AY390" s="8" t="s">
        <v>95</v>
      </c>
      <c r="AZ390" s="8" t="s">
        <v>95</v>
      </c>
      <c r="BA390" s="9" t="s">
        <v>532</v>
      </c>
      <c r="BB390" s="8" t="s">
        <v>533</v>
      </c>
      <c r="BC390" s="8" t="s">
        <v>92</v>
      </c>
      <c r="BD390" s="14" t="s">
        <v>92</v>
      </c>
      <c r="BE390" s="14" t="s">
        <v>92</v>
      </c>
      <c r="BF390" s="14" t="s">
        <v>92</v>
      </c>
      <c r="BG390" s="14" t="s">
        <v>92</v>
      </c>
      <c r="BH390" s="14" t="s">
        <v>92</v>
      </c>
      <c r="BI390" s="14" t="s">
        <v>93</v>
      </c>
      <c r="BJ390" s="14" t="s">
        <v>92</v>
      </c>
      <c r="BK390" s="14" t="s">
        <v>105</v>
      </c>
      <c r="BL390" s="14" t="s">
        <v>105</v>
      </c>
      <c r="BM390" s="14" t="s">
        <v>105</v>
      </c>
      <c r="BN390" s="14" t="s">
        <v>105</v>
      </c>
      <c r="BO390" s="14" t="s">
        <v>105</v>
      </c>
      <c r="BP390" s="14" t="s">
        <v>105</v>
      </c>
      <c r="BQ390" s="8" t="s">
        <v>93</v>
      </c>
      <c r="BR390" s="8" t="s">
        <v>92</v>
      </c>
      <c r="BS390" s="8" t="s">
        <v>92</v>
      </c>
      <c r="BT390" s="8" t="s">
        <v>92</v>
      </c>
      <c r="BU390" s="8" t="s">
        <v>92</v>
      </c>
      <c r="BV390" s="8" t="s">
        <v>92</v>
      </c>
      <c r="BW390" s="8" t="s">
        <v>92</v>
      </c>
      <c r="BX390" s="8" t="s">
        <v>92</v>
      </c>
      <c r="BY390" s="8" t="s">
        <v>92</v>
      </c>
      <c r="BZ390" s="8" t="s">
        <v>92</v>
      </c>
      <c r="CA390" s="8" t="s">
        <v>92</v>
      </c>
      <c r="CB390" s="20" t="s">
        <v>129</v>
      </c>
      <c r="CC390" s="20" t="s">
        <v>1195</v>
      </c>
      <c r="CD390" s="20" t="s">
        <v>660</v>
      </c>
      <c r="CE390" s="18"/>
      <c r="CF390" s="18"/>
      <c r="CG390" s="18"/>
      <c r="CH390" s="18"/>
    </row>
    <row r="391">
      <c r="A391" s="8"/>
      <c r="B391" s="9" t="s">
        <v>1768</v>
      </c>
      <c r="C391" s="10" t="s">
        <v>1769</v>
      </c>
      <c r="D391" s="9" t="s">
        <v>1670</v>
      </c>
      <c r="E391" s="11" t="s">
        <v>1773</v>
      </c>
      <c r="F391" s="12"/>
      <c r="G391" s="14" t="s">
        <v>1774</v>
      </c>
      <c r="H391" s="14" t="s">
        <v>110</v>
      </c>
      <c r="I391" s="14" t="s">
        <v>1775</v>
      </c>
      <c r="J391" s="14" t="s">
        <v>92</v>
      </c>
      <c r="K391" s="14" t="s">
        <v>92</v>
      </c>
      <c r="L391" s="14" t="s">
        <v>93</v>
      </c>
      <c r="M391" s="14" t="s">
        <v>92</v>
      </c>
      <c r="N391" s="14" t="s">
        <v>92</v>
      </c>
      <c r="O391" s="14" t="s">
        <v>92</v>
      </c>
      <c r="P391" s="14" t="s">
        <v>92</v>
      </c>
      <c r="Q391" s="14" t="s">
        <v>92</v>
      </c>
      <c r="R391" s="14" t="s">
        <v>92</v>
      </c>
      <c r="S391" s="14" t="s">
        <v>93</v>
      </c>
      <c r="T391" s="14" t="s">
        <v>92</v>
      </c>
      <c r="U391" s="14" t="s">
        <v>92</v>
      </c>
      <c r="V391" s="14" t="s">
        <v>92</v>
      </c>
      <c r="W391" s="14" t="s">
        <v>92</v>
      </c>
      <c r="X391" s="14" t="s">
        <v>92</v>
      </c>
      <c r="Y391" s="14" t="s">
        <v>92</v>
      </c>
      <c r="Z391" s="14" t="s">
        <v>93</v>
      </c>
      <c r="AA391" s="14" t="s">
        <v>92</v>
      </c>
      <c r="AB391" s="8" t="s">
        <v>92</v>
      </c>
      <c r="AC391" s="8" t="s">
        <v>93</v>
      </c>
      <c r="AD391" s="8" t="s">
        <v>92</v>
      </c>
      <c r="AE391" s="14" t="s">
        <v>112</v>
      </c>
      <c r="AF391" s="14" t="s">
        <v>92</v>
      </c>
      <c r="AG391" s="14" t="s">
        <v>95</v>
      </c>
      <c r="AH391" s="8">
        <v>2022.0</v>
      </c>
      <c r="AI391" s="14" t="s">
        <v>105</v>
      </c>
      <c r="AJ391" s="14" t="s">
        <v>92</v>
      </c>
      <c r="AK391" s="14" t="s">
        <v>93</v>
      </c>
      <c r="AL391" s="14" t="s">
        <v>93</v>
      </c>
      <c r="AM391" s="8" t="s">
        <v>95</v>
      </c>
      <c r="AN391" s="14" t="s">
        <v>114</v>
      </c>
      <c r="AO391" s="8" t="s">
        <v>93</v>
      </c>
      <c r="AP391" s="8" t="s">
        <v>92</v>
      </c>
      <c r="AQ391" s="14" t="s">
        <v>92</v>
      </c>
      <c r="AR391" s="14" t="s">
        <v>92</v>
      </c>
      <c r="AS391" s="14" t="s">
        <v>92</v>
      </c>
      <c r="AT391" s="14" t="s">
        <v>93</v>
      </c>
      <c r="AU391" s="14" t="s">
        <v>93</v>
      </c>
      <c r="AV391" s="14" t="s">
        <v>93</v>
      </c>
      <c r="AW391" s="14" t="s">
        <v>93</v>
      </c>
      <c r="AX391" s="14" t="s">
        <v>92</v>
      </c>
      <c r="AY391" s="8" t="s">
        <v>95</v>
      </c>
      <c r="AZ391" s="8" t="s">
        <v>95</v>
      </c>
      <c r="BA391" s="9" t="s">
        <v>1768</v>
      </c>
      <c r="BB391" s="8" t="s">
        <v>261</v>
      </c>
      <c r="BC391" s="8" t="s">
        <v>92</v>
      </c>
      <c r="BD391" s="14" t="s">
        <v>93</v>
      </c>
      <c r="BE391" s="14" t="s">
        <v>92</v>
      </c>
      <c r="BF391" s="14" t="s">
        <v>92</v>
      </c>
      <c r="BG391" s="14" t="s">
        <v>92</v>
      </c>
      <c r="BH391" s="14" t="s">
        <v>92</v>
      </c>
      <c r="BI391" s="14" t="s">
        <v>92</v>
      </c>
      <c r="BJ391" s="14" t="s">
        <v>92</v>
      </c>
      <c r="BK391" s="14" t="s">
        <v>105</v>
      </c>
      <c r="BL391" s="14" t="s">
        <v>105</v>
      </c>
      <c r="BM391" s="14" t="s">
        <v>105</v>
      </c>
      <c r="BN391" s="14" t="s">
        <v>105</v>
      </c>
      <c r="BO391" s="14" t="s">
        <v>105</v>
      </c>
      <c r="BP391" s="14" t="s">
        <v>105</v>
      </c>
      <c r="BQ391" s="8" t="s">
        <v>92</v>
      </c>
      <c r="BR391" s="8" t="s">
        <v>92</v>
      </c>
      <c r="BS391" s="8" t="s">
        <v>92</v>
      </c>
      <c r="BT391" s="8" t="s">
        <v>93</v>
      </c>
      <c r="BU391" s="8" t="s">
        <v>92</v>
      </c>
      <c r="BV391" s="8" t="s">
        <v>92</v>
      </c>
      <c r="BW391" s="8" t="s">
        <v>92</v>
      </c>
      <c r="BX391" s="8" t="s">
        <v>92</v>
      </c>
      <c r="BY391" s="8" t="s">
        <v>92</v>
      </c>
      <c r="BZ391" s="8" t="s">
        <v>93</v>
      </c>
      <c r="CA391" s="8" t="s">
        <v>92</v>
      </c>
      <c r="CB391" s="20" t="s">
        <v>1195</v>
      </c>
      <c r="CC391" s="20" t="s">
        <v>660</v>
      </c>
      <c r="CD391" s="18"/>
      <c r="CE391" s="18"/>
      <c r="CF391" s="18"/>
      <c r="CG391" s="18"/>
      <c r="CH391" s="18"/>
    </row>
    <row r="392">
      <c r="A392" s="8"/>
      <c r="B392" s="9" t="s">
        <v>1768</v>
      </c>
      <c r="C392" s="10" t="s">
        <v>1769</v>
      </c>
      <c r="D392" s="9" t="s">
        <v>1670</v>
      </c>
      <c r="E392" s="11" t="s">
        <v>1776</v>
      </c>
      <c r="F392" s="12"/>
      <c r="G392" s="14" t="s">
        <v>1777</v>
      </c>
      <c r="H392" s="14" t="s">
        <v>90</v>
      </c>
      <c r="I392" s="14" t="s">
        <v>1778</v>
      </c>
      <c r="J392" s="14" t="s">
        <v>92</v>
      </c>
      <c r="K392" s="14" t="s">
        <v>92</v>
      </c>
      <c r="L392" s="14" t="s">
        <v>92</v>
      </c>
      <c r="M392" s="14" t="s">
        <v>92</v>
      </c>
      <c r="N392" s="14" t="s">
        <v>92</v>
      </c>
      <c r="O392" s="14" t="s">
        <v>92</v>
      </c>
      <c r="P392" s="14" t="s">
        <v>92</v>
      </c>
      <c r="Q392" s="14" t="s">
        <v>92</v>
      </c>
      <c r="R392" s="14" t="s">
        <v>92</v>
      </c>
      <c r="S392" s="14" t="s">
        <v>92</v>
      </c>
      <c r="T392" s="14" t="s">
        <v>92</v>
      </c>
      <c r="U392" s="14" t="s">
        <v>92</v>
      </c>
      <c r="V392" s="14" t="s">
        <v>92</v>
      </c>
      <c r="W392" s="14" t="s">
        <v>92</v>
      </c>
      <c r="X392" s="14" t="s">
        <v>92</v>
      </c>
      <c r="Y392" s="14" t="s">
        <v>92</v>
      </c>
      <c r="Z392" s="14" t="s">
        <v>93</v>
      </c>
      <c r="AA392" s="14" t="s">
        <v>92</v>
      </c>
      <c r="AB392" s="8" t="s">
        <v>92</v>
      </c>
      <c r="AC392" s="8" t="s">
        <v>93</v>
      </c>
      <c r="AD392" s="8" t="s">
        <v>92</v>
      </c>
      <c r="AE392" s="14" t="s">
        <v>112</v>
      </c>
      <c r="AF392" s="14" t="s">
        <v>92</v>
      </c>
      <c r="AG392" s="14" t="s">
        <v>95</v>
      </c>
      <c r="AH392" s="8">
        <v>2021.0</v>
      </c>
      <c r="AI392" s="14" t="s">
        <v>105</v>
      </c>
      <c r="AJ392" s="14" t="s">
        <v>93</v>
      </c>
      <c r="AK392" s="14" t="s">
        <v>93</v>
      </c>
      <c r="AL392" s="14" t="s">
        <v>93</v>
      </c>
      <c r="AM392" s="8" t="s">
        <v>95</v>
      </c>
      <c r="AN392" s="14" t="s">
        <v>114</v>
      </c>
      <c r="AO392" s="8" t="s">
        <v>93</v>
      </c>
      <c r="AP392" s="8" t="s">
        <v>92</v>
      </c>
      <c r="AQ392" s="14" t="s">
        <v>92</v>
      </c>
      <c r="AR392" s="14" t="s">
        <v>92</v>
      </c>
      <c r="AS392" s="14" t="s">
        <v>92</v>
      </c>
      <c r="AT392" s="14" t="s">
        <v>93</v>
      </c>
      <c r="AU392" s="14" t="s">
        <v>93</v>
      </c>
      <c r="AV392" s="14" t="s">
        <v>93</v>
      </c>
      <c r="AW392" s="14" t="s">
        <v>93</v>
      </c>
      <c r="AX392" s="14" t="s">
        <v>92</v>
      </c>
      <c r="AY392" s="8" t="s">
        <v>95</v>
      </c>
      <c r="AZ392" s="8" t="s">
        <v>95</v>
      </c>
      <c r="BA392" s="9" t="s">
        <v>1768</v>
      </c>
      <c r="BB392" s="8" t="s">
        <v>261</v>
      </c>
      <c r="BC392" s="8" t="s">
        <v>92</v>
      </c>
      <c r="BD392" s="14" t="s">
        <v>93</v>
      </c>
      <c r="BE392" s="14" t="s">
        <v>92</v>
      </c>
      <c r="BF392" s="14" t="s">
        <v>92</v>
      </c>
      <c r="BG392" s="14" t="s">
        <v>92</v>
      </c>
      <c r="BH392" s="14" t="s">
        <v>92</v>
      </c>
      <c r="BI392" s="14" t="s">
        <v>92</v>
      </c>
      <c r="BJ392" s="14" t="s">
        <v>92</v>
      </c>
      <c r="BK392" s="14" t="s">
        <v>105</v>
      </c>
      <c r="BL392" s="14" t="s">
        <v>105</v>
      </c>
      <c r="BM392" s="14" t="s">
        <v>105</v>
      </c>
      <c r="BN392" s="14" t="s">
        <v>105</v>
      </c>
      <c r="BO392" s="14" t="s">
        <v>105</v>
      </c>
      <c r="BP392" s="14" t="s">
        <v>105</v>
      </c>
      <c r="BQ392" s="8" t="s">
        <v>92</v>
      </c>
      <c r="BR392" s="8" t="s">
        <v>92</v>
      </c>
      <c r="BS392" s="8" t="s">
        <v>92</v>
      </c>
      <c r="BT392" s="8" t="s">
        <v>93</v>
      </c>
      <c r="BU392" s="8" t="s">
        <v>92</v>
      </c>
      <c r="BV392" s="8" t="s">
        <v>92</v>
      </c>
      <c r="BW392" s="8" t="s">
        <v>92</v>
      </c>
      <c r="BX392" s="8" t="s">
        <v>92</v>
      </c>
      <c r="BY392" s="8" t="s">
        <v>92</v>
      </c>
      <c r="BZ392" s="8" t="s">
        <v>92</v>
      </c>
      <c r="CA392" s="8" t="s">
        <v>92</v>
      </c>
      <c r="CB392" s="20" t="s">
        <v>129</v>
      </c>
      <c r="CC392" s="20" t="s">
        <v>1195</v>
      </c>
      <c r="CD392" s="20" t="s">
        <v>660</v>
      </c>
      <c r="CE392" s="18"/>
      <c r="CF392" s="18"/>
      <c r="CG392" s="18"/>
      <c r="CH392" s="18"/>
    </row>
    <row r="393">
      <c r="A393" s="8"/>
      <c r="B393" s="9" t="s">
        <v>1768</v>
      </c>
      <c r="C393" s="10" t="s">
        <v>1769</v>
      </c>
      <c r="D393" s="9" t="s">
        <v>1670</v>
      </c>
      <c r="E393" s="11" t="s">
        <v>1779</v>
      </c>
      <c r="F393" s="12"/>
      <c r="G393" s="14" t="s">
        <v>1780</v>
      </c>
      <c r="H393" s="14" t="s">
        <v>90</v>
      </c>
      <c r="I393" s="14" t="s">
        <v>1781</v>
      </c>
      <c r="J393" s="14" t="s">
        <v>92</v>
      </c>
      <c r="K393" s="14" t="s">
        <v>92</v>
      </c>
      <c r="L393" s="14" t="s">
        <v>93</v>
      </c>
      <c r="M393" s="14" t="s">
        <v>92</v>
      </c>
      <c r="N393" s="14" t="s">
        <v>92</v>
      </c>
      <c r="O393" s="14" t="s">
        <v>92</v>
      </c>
      <c r="P393" s="14" t="s">
        <v>92</v>
      </c>
      <c r="Q393" s="14" t="s">
        <v>92</v>
      </c>
      <c r="R393" s="14" t="s">
        <v>92</v>
      </c>
      <c r="S393" s="14" t="s">
        <v>93</v>
      </c>
      <c r="T393" s="14" t="s">
        <v>92</v>
      </c>
      <c r="U393" s="14" t="s">
        <v>92</v>
      </c>
      <c r="V393" s="14" t="s">
        <v>92</v>
      </c>
      <c r="W393" s="14" t="s">
        <v>92</v>
      </c>
      <c r="X393" s="14" t="s">
        <v>93</v>
      </c>
      <c r="Y393" s="14" t="s">
        <v>92</v>
      </c>
      <c r="Z393" s="14" t="s">
        <v>93</v>
      </c>
      <c r="AA393" s="14" t="s">
        <v>92</v>
      </c>
      <c r="AB393" s="8" t="s">
        <v>92</v>
      </c>
      <c r="AC393" s="8" t="s">
        <v>93</v>
      </c>
      <c r="AD393" s="8" t="s">
        <v>92</v>
      </c>
      <c r="AE393" s="14" t="s">
        <v>112</v>
      </c>
      <c r="AF393" s="14" t="s">
        <v>92</v>
      </c>
      <c r="AG393" s="14" t="s">
        <v>95</v>
      </c>
      <c r="AH393" s="8" t="s">
        <v>105</v>
      </c>
      <c r="AI393" s="14" t="s">
        <v>105</v>
      </c>
      <c r="AJ393" s="14" t="s">
        <v>93</v>
      </c>
      <c r="AK393" s="14" t="s">
        <v>93</v>
      </c>
      <c r="AL393" s="14" t="s">
        <v>93</v>
      </c>
      <c r="AM393" s="8" t="s">
        <v>95</v>
      </c>
      <c r="AN393" s="14" t="s">
        <v>114</v>
      </c>
      <c r="AO393" s="8" t="s">
        <v>93</v>
      </c>
      <c r="AP393" s="8" t="s">
        <v>92</v>
      </c>
      <c r="AQ393" s="14" t="s">
        <v>92</v>
      </c>
      <c r="AR393" s="14" t="s">
        <v>92</v>
      </c>
      <c r="AS393" s="14" t="s">
        <v>92</v>
      </c>
      <c r="AT393" s="14" t="s">
        <v>93</v>
      </c>
      <c r="AU393" s="14" t="s">
        <v>93</v>
      </c>
      <c r="AV393" s="14" t="s">
        <v>93</v>
      </c>
      <c r="AW393" s="14" t="s">
        <v>93</v>
      </c>
      <c r="AX393" s="14" t="s">
        <v>92</v>
      </c>
      <c r="AY393" s="8" t="s">
        <v>95</v>
      </c>
      <c r="AZ393" s="8" t="s">
        <v>95</v>
      </c>
      <c r="BA393" s="9" t="s">
        <v>1768</v>
      </c>
      <c r="BB393" s="8" t="s">
        <v>261</v>
      </c>
      <c r="BC393" s="8" t="s">
        <v>92</v>
      </c>
      <c r="BD393" s="14" t="s">
        <v>93</v>
      </c>
      <c r="BE393" s="14" t="s">
        <v>92</v>
      </c>
      <c r="BF393" s="14" t="s">
        <v>92</v>
      </c>
      <c r="BG393" s="14" t="s">
        <v>92</v>
      </c>
      <c r="BH393" s="14" t="s">
        <v>92</v>
      </c>
      <c r="BI393" s="14" t="s">
        <v>92</v>
      </c>
      <c r="BJ393" s="14" t="s">
        <v>92</v>
      </c>
      <c r="BK393" s="14" t="s">
        <v>105</v>
      </c>
      <c r="BL393" s="14" t="s">
        <v>105</v>
      </c>
      <c r="BM393" s="14" t="s">
        <v>105</v>
      </c>
      <c r="BN393" s="14" t="s">
        <v>105</v>
      </c>
      <c r="BO393" s="14" t="s">
        <v>105</v>
      </c>
      <c r="BP393" s="14" t="s">
        <v>105</v>
      </c>
      <c r="BQ393" s="8" t="s">
        <v>92</v>
      </c>
      <c r="BR393" s="8" t="s">
        <v>92</v>
      </c>
      <c r="BS393" s="8" t="s">
        <v>92</v>
      </c>
      <c r="BT393" s="8" t="s">
        <v>93</v>
      </c>
      <c r="BU393" s="8" t="s">
        <v>92</v>
      </c>
      <c r="BV393" s="8" t="s">
        <v>93</v>
      </c>
      <c r="BW393" s="8" t="s">
        <v>92</v>
      </c>
      <c r="BX393" s="8" t="s">
        <v>93</v>
      </c>
      <c r="BY393" s="8" t="s">
        <v>93</v>
      </c>
      <c r="BZ393" s="8" t="s">
        <v>93</v>
      </c>
      <c r="CA393" s="8" t="s">
        <v>92</v>
      </c>
      <c r="CB393" s="20" t="s">
        <v>129</v>
      </c>
      <c r="CC393" s="20" t="s">
        <v>1195</v>
      </c>
      <c r="CD393" s="20" t="s">
        <v>660</v>
      </c>
      <c r="CE393" s="18"/>
      <c r="CF393" s="18"/>
      <c r="CG393" s="18"/>
      <c r="CH393" s="18"/>
    </row>
    <row r="394">
      <c r="A394" s="8"/>
      <c r="B394" s="9" t="s">
        <v>1782</v>
      </c>
      <c r="C394" s="10" t="s">
        <v>1783</v>
      </c>
      <c r="D394" s="9" t="s">
        <v>1670</v>
      </c>
      <c r="E394" s="11" t="s">
        <v>1784</v>
      </c>
      <c r="F394" s="12"/>
      <c r="G394" s="14" t="s">
        <v>1785</v>
      </c>
      <c r="H394" s="14" t="s">
        <v>90</v>
      </c>
      <c r="I394" s="14" t="s">
        <v>1786</v>
      </c>
      <c r="J394" s="14" t="s">
        <v>92</v>
      </c>
      <c r="K394" s="14" t="s">
        <v>92</v>
      </c>
      <c r="L394" s="14" t="s">
        <v>92</v>
      </c>
      <c r="M394" s="14" t="s">
        <v>92</v>
      </c>
      <c r="N394" s="14" t="s">
        <v>92</v>
      </c>
      <c r="O394" s="14" t="s">
        <v>92</v>
      </c>
      <c r="P394" s="14" t="s">
        <v>92</v>
      </c>
      <c r="Q394" s="14" t="s">
        <v>92</v>
      </c>
      <c r="R394" s="14" t="s">
        <v>92</v>
      </c>
      <c r="S394" s="14" t="s">
        <v>92</v>
      </c>
      <c r="T394" s="14" t="s">
        <v>93</v>
      </c>
      <c r="U394" s="14" t="s">
        <v>92</v>
      </c>
      <c r="V394" s="14" t="s">
        <v>92</v>
      </c>
      <c r="W394" s="14" t="s">
        <v>92</v>
      </c>
      <c r="X394" s="14" t="s">
        <v>92</v>
      </c>
      <c r="Y394" s="14" t="s">
        <v>92</v>
      </c>
      <c r="Z394" s="14" t="s">
        <v>92</v>
      </c>
      <c r="AA394" s="14" t="s">
        <v>92</v>
      </c>
      <c r="AB394" s="8" t="s">
        <v>93</v>
      </c>
      <c r="AC394" s="8" t="s">
        <v>92</v>
      </c>
      <c r="AD394" s="8" t="s">
        <v>92</v>
      </c>
      <c r="AE394" s="14" t="s">
        <v>94</v>
      </c>
      <c r="AF394" s="14" t="s">
        <v>92</v>
      </c>
      <c r="AG394" s="14" t="s">
        <v>95</v>
      </c>
      <c r="AH394" s="8">
        <v>2020.0</v>
      </c>
      <c r="AI394" s="14" t="s">
        <v>93</v>
      </c>
      <c r="AJ394" s="14" t="s">
        <v>93</v>
      </c>
      <c r="AK394" s="14" t="s">
        <v>105</v>
      </c>
      <c r="AL394" s="14" t="s">
        <v>92</v>
      </c>
      <c r="AM394" s="8">
        <v>2021.0</v>
      </c>
      <c r="AN394" s="14" t="s">
        <v>96</v>
      </c>
      <c r="AO394" s="8" t="s">
        <v>93</v>
      </c>
      <c r="AP394" s="8" t="s">
        <v>93</v>
      </c>
      <c r="AQ394" s="14" t="s">
        <v>92</v>
      </c>
      <c r="AR394" s="14" t="s">
        <v>92</v>
      </c>
      <c r="AS394" s="14" t="s">
        <v>92</v>
      </c>
      <c r="AT394" s="14" t="s">
        <v>92</v>
      </c>
      <c r="AU394" s="14" t="s">
        <v>92</v>
      </c>
      <c r="AV394" s="14" t="s">
        <v>93</v>
      </c>
      <c r="AW394" s="14" t="s">
        <v>93</v>
      </c>
      <c r="AX394" s="14" t="s">
        <v>92</v>
      </c>
      <c r="AY394" s="8" t="s">
        <v>95</v>
      </c>
      <c r="AZ394" s="8" t="s">
        <v>95</v>
      </c>
      <c r="BA394" s="9" t="s">
        <v>1787</v>
      </c>
      <c r="BB394" s="8" t="s">
        <v>213</v>
      </c>
      <c r="BC394" s="8" t="s">
        <v>92</v>
      </c>
      <c r="BD394" s="14" t="s">
        <v>92</v>
      </c>
      <c r="BE394" s="14" t="s">
        <v>92</v>
      </c>
      <c r="BF394" s="14" t="s">
        <v>92</v>
      </c>
      <c r="BG394" s="14" t="s">
        <v>92</v>
      </c>
      <c r="BH394" s="14" t="s">
        <v>92</v>
      </c>
      <c r="BI394" s="14" t="s">
        <v>93</v>
      </c>
      <c r="BJ394" s="14" t="s">
        <v>92</v>
      </c>
      <c r="BK394" s="14" t="s">
        <v>105</v>
      </c>
      <c r="BL394" s="14" t="s">
        <v>105</v>
      </c>
      <c r="BM394" s="14" t="s">
        <v>105</v>
      </c>
      <c r="BN394" s="14" t="s">
        <v>105</v>
      </c>
      <c r="BO394" s="14" t="s">
        <v>105</v>
      </c>
      <c r="BP394" s="14" t="s">
        <v>105</v>
      </c>
      <c r="BQ394" s="8" t="s">
        <v>92</v>
      </c>
      <c r="BR394" s="8" t="s">
        <v>93</v>
      </c>
      <c r="BS394" s="8" t="s">
        <v>92</v>
      </c>
      <c r="BT394" s="8" t="s">
        <v>92</v>
      </c>
      <c r="BU394" s="8" t="s">
        <v>92</v>
      </c>
      <c r="BV394" s="8" t="s">
        <v>92</v>
      </c>
      <c r="BW394" s="8" t="s">
        <v>92</v>
      </c>
      <c r="BX394" s="8" t="s">
        <v>92</v>
      </c>
      <c r="BY394" s="8" t="s">
        <v>92</v>
      </c>
      <c r="BZ394" s="8" t="s">
        <v>92</v>
      </c>
      <c r="CA394" s="8" t="s">
        <v>92</v>
      </c>
      <c r="CB394" s="20" t="s">
        <v>1788</v>
      </c>
      <c r="CC394" s="17"/>
      <c r="CD394" s="18"/>
      <c r="CE394" s="18"/>
      <c r="CF394" s="18"/>
      <c r="CG394" s="18"/>
      <c r="CH394" s="18"/>
    </row>
    <row r="395">
      <c r="A395" s="8"/>
      <c r="B395" s="9" t="s">
        <v>1782</v>
      </c>
      <c r="C395" s="10" t="s">
        <v>1783</v>
      </c>
      <c r="D395" s="9" t="s">
        <v>1670</v>
      </c>
      <c r="E395" s="11" t="s">
        <v>1789</v>
      </c>
      <c r="F395" s="12"/>
      <c r="G395" s="14" t="s">
        <v>1790</v>
      </c>
      <c r="H395" s="14" t="s">
        <v>90</v>
      </c>
      <c r="I395" s="14" t="s">
        <v>1791</v>
      </c>
      <c r="J395" s="14" t="s">
        <v>92</v>
      </c>
      <c r="K395" s="14" t="s">
        <v>92</v>
      </c>
      <c r="L395" s="14" t="s">
        <v>92</v>
      </c>
      <c r="M395" s="14" t="s">
        <v>93</v>
      </c>
      <c r="N395" s="14" t="s">
        <v>92</v>
      </c>
      <c r="O395" s="14" t="s">
        <v>92</v>
      </c>
      <c r="P395" s="14" t="s">
        <v>92</v>
      </c>
      <c r="Q395" s="14" t="s">
        <v>93</v>
      </c>
      <c r="R395" s="14" t="s">
        <v>92</v>
      </c>
      <c r="S395" s="14" t="s">
        <v>92</v>
      </c>
      <c r="T395" s="14" t="s">
        <v>93</v>
      </c>
      <c r="U395" s="14" t="s">
        <v>93</v>
      </c>
      <c r="V395" s="14" t="s">
        <v>92</v>
      </c>
      <c r="W395" s="14" t="s">
        <v>92</v>
      </c>
      <c r="X395" s="14" t="s">
        <v>92</v>
      </c>
      <c r="Y395" s="14" t="s">
        <v>92</v>
      </c>
      <c r="Z395" s="14" t="s">
        <v>92</v>
      </c>
      <c r="AA395" s="14" t="s">
        <v>92</v>
      </c>
      <c r="AB395" s="8" t="s">
        <v>93</v>
      </c>
      <c r="AC395" s="8" t="s">
        <v>92</v>
      </c>
      <c r="AD395" s="8" t="s">
        <v>92</v>
      </c>
      <c r="AE395" s="14" t="s">
        <v>94</v>
      </c>
      <c r="AF395" s="14" t="s">
        <v>92</v>
      </c>
      <c r="AG395" s="14" t="s">
        <v>95</v>
      </c>
      <c r="AH395" s="8">
        <v>2020.0</v>
      </c>
      <c r="AI395" s="14" t="s">
        <v>93</v>
      </c>
      <c r="AJ395" s="14" t="s">
        <v>93</v>
      </c>
      <c r="AK395" s="14" t="s">
        <v>105</v>
      </c>
      <c r="AL395" s="14" t="s">
        <v>92</v>
      </c>
      <c r="AM395" s="8">
        <v>2021.0</v>
      </c>
      <c r="AN395" s="14" t="s">
        <v>96</v>
      </c>
      <c r="AO395" s="8" t="s">
        <v>93</v>
      </c>
      <c r="AP395" s="8" t="s">
        <v>93</v>
      </c>
      <c r="AQ395" s="14" t="s">
        <v>92</v>
      </c>
      <c r="AR395" s="14" t="s">
        <v>92</v>
      </c>
      <c r="AS395" s="14" t="s">
        <v>92</v>
      </c>
      <c r="AT395" s="14" t="s">
        <v>92</v>
      </c>
      <c r="AU395" s="14" t="s">
        <v>92</v>
      </c>
      <c r="AV395" s="14" t="s">
        <v>93</v>
      </c>
      <c r="AW395" s="14" t="s">
        <v>93</v>
      </c>
      <c r="AX395" s="14" t="s">
        <v>92</v>
      </c>
      <c r="AY395" s="8" t="s">
        <v>95</v>
      </c>
      <c r="AZ395" s="8" t="s">
        <v>95</v>
      </c>
      <c r="BA395" s="9" t="s">
        <v>1792</v>
      </c>
      <c r="BB395" s="8" t="s">
        <v>95</v>
      </c>
      <c r="BC395" s="8" t="s">
        <v>93</v>
      </c>
      <c r="BD395" s="14" t="s">
        <v>92</v>
      </c>
      <c r="BE395" s="14" t="s">
        <v>92</v>
      </c>
      <c r="BF395" s="14" t="s">
        <v>92</v>
      </c>
      <c r="BG395" s="14" t="s">
        <v>92</v>
      </c>
      <c r="BH395" s="14" t="s">
        <v>92</v>
      </c>
      <c r="BI395" s="14" t="s">
        <v>93</v>
      </c>
      <c r="BJ395" s="14" t="s">
        <v>92</v>
      </c>
      <c r="BK395" s="14" t="s">
        <v>1793</v>
      </c>
      <c r="BL395" s="14" t="s">
        <v>93</v>
      </c>
      <c r="BM395" s="14" t="s">
        <v>92</v>
      </c>
      <c r="BN395" s="14" t="s">
        <v>92</v>
      </c>
      <c r="BO395" s="14" t="s">
        <v>92</v>
      </c>
      <c r="BP395" s="14" t="s">
        <v>92</v>
      </c>
      <c r="BQ395" s="8" t="s">
        <v>93</v>
      </c>
      <c r="BR395" s="8" t="s">
        <v>93</v>
      </c>
      <c r="BS395" s="8" t="s">
        <v>92</v>
      </c>
      <c r="BT395" s="8" t="s">
        <v>92</v>
      </c>
      <c r="BU395" s="8" t="s">
        <v>92</v>
      </c>
      <c r="BV395" s="8" t="s">
        <v>92</v>
      </c>
      <c r="BW395" s="8" t="s">
        <v>92</v>
      </c>
      <c r="BX395" s="8" t="s">
        <v>92</v>
      </c>
      <c r="BY395" s="8" t="s">
        <v>92</v>
      </c>
      <c r="BZ395" s="8" t="s">
        <v>92</v>
      </c>
      <c r="CA395" s="8" t="s">
        <v>92</v>
      </c>
      <c r="CB395" s="20" t="s">
        <v>1788</v>
      </c>
      <c r="CC395" s="17"/>
      <c r="CD395" s="18"/>
      <c r="CE395" s="18"/>
      <c r="CF395" s="18"/>
      <c r="CG395" s="18"/>
      <c r="CH395" s="18"/>
    </row>
    <row r="396">
      <c r="A396" s="8"/>
      <c r="B396" s="9" t="s">
        <v>1782</v>
      </c>
      <c r="C396" s="10" t="s">
        <v>1783</v>
      </c>
      <c r="D396" s="9" t="s">
        <v>1670</v>
      </c>
      <c r="E396" s="11" t="s">
        <v>1794</v>
      </c>
      <c r="F396" s="12"/>
      <c r="G396" s="14" t="s">
        <v>1795</v>
      </c>
      <c r="H396" s="14" t="s">
        <v>90</v>
      </c>
      <c r="I396" s="14" t="s">
        <v>1796</v>
      </c>
      <c r="J396" s="14" t="s">
        <v>92</v>
      </c>
      <c r="K396" s="14" t="s">
        <v>92</v>
      </c>
      <c r="L396" s="14" t="s">
        <v>92</v>
      </c>
      <c r="M396" s="14" t="s">
        <v>92</v>
      </c>
      <c r="N396" s="14" t="s">
        <v>92</v>
      </c>
      <c r="O396" s="14" t="s">
        <v>92</v>
      </c>
      <c r="P396" s="14" t="s">
        <v>93</v>
      </c>
      <c r="Q396" s="14" t="s">
        <v>92</v>
      </c>
      <c r="R396" s="14" t="s">
        <v>92</v>
      </c>
      <c r="S396" s="14" t="s">
        <v>92</v>
      </c>
      <c r="T396" s="14" t="s">
        <v>92</v>
      </c>
      <c r="U396" s="14" t="s">
        <v>93</v>
      </c>
      <c r="V396" s="14" t="s">
        <v>92</v>
      </c>
      <c r="W396" s="14" t="s">
        <v>92</v>
      </c>
      <c r="X396" s="14" t="s">
        <v>92</v>
      </c>
      <c r="Y396" s="14" t="s">
        <v>92</v>
      </c>
      <c r="Z396" s="14" t="s">
        <v>92</v>
      </c>
      <c r="AA396" s="14" t="s">
        <v>92</v>
      </c>
      <c r="AB396" s="8" t="s">
        <v>93</v>
      </c>
      <c r="AC396" s="8" t="s">
        <v>92</v>
      </c>
      <c r="AD396" s="8" t="s">
        <v>92</v>
      </c>
      <c r="AE396" s="14" t="s">
        <v>94</v>
      </c>
      <c r="AF396" s="14" t="s">
        <v>92</v>
      </c>
      <c r="AG396" s="14" t="s">
        <v>95</v>
      </c>
      <c r="AH396" s="8" t="s">
        <v>105</v>
      </c>
      <c r="AI396" s="14" t="s">
        <v>92</v>
      </c>
      <c r="AJ396" s="14" t="s">
        <v>92</v>
      </c>
      <c r="AK396" s="14" t="s">
        <v>105</v>
      </c>
      <c r="AL396" s="14" t="s">
        <v>93</v>
      </c>
      <c r="AM396" s="8" t="s">
        <v>105</v>
      </c>
      <c r="AN396" s="14" t="s">
        <v>105</v>
      </c>
      <c r="AO396" s="8" t="s">
        <v>105</v>
      </c>
      <c r="AP396" s="8" t="s">
        <v>92</v>
      </c>
      <c r="AQ396" s="14" t="s">
        <v>92</v>
      </c>
      <c r="AR396" s="14" t="s">
        <v>92</v>
      </c>
      <c r="AS396" s="14" t="s">
        <v>92</v>
      </c>
      <c r="AT396" s="14" t="s">
        <v>92</v>
      </c>
      <c r="AU396" s="14" t="s">
        <v>92</v>
      </c>
      <c r="AV396" s="14" t="s">
        <v>93</v>
      </c>
      <c r="AW396" s="14" t="s">
        <v>93</v>
      </c>
      <c r="AX396" s="14" t="s">
        <v>92</v>
      </c>
      <c r="AY396" s="8" t="s">
        <v>95</v>
      </c>
      <c r="AZ396" s="8" t="s">
        <v>95</v>
      </c>
      <c r="BA396" s="9" t="s">
        <v>1797</v>
      </c>
      <c r="BB396" s="8" t="s">
        <v>143</v>
      </c>
      <c r="BC396" s="8" t="s">
        <v>92</v>
      </c>
      <c r="BD396" s="14" t="s">
        <v>92</v>
      </c>
      <c r="BE396" s="14" t="s">
        <v>92</v>
      </c>
      <c r="BF396" s="14" t="s">
        <v>92</v>
      </c>
      <c r="BG396" s="14" t="s">
        <v>92</v>
      </c>
      <c r="BH396" s="14" t="s">
        <v>92</v>
      </c>
      <c r="BI396" s="14" t="s">
        <v>93</v>
      </c>
      <c r="BJ396" s="14" t="s">
        <v>92</v>
      </c>
      <c r="BK396" s="14" t="s">
        <v>1793</v>
      </c>
      <c r="BL396" s="14" t="s">
        <v>93</v>
      </c>
      <c r="BM396" s="14" t="s">
        <v>92</v>
      </c>
      <c r="BN396" s="14" t="s">
        <v>92</v>
      </c>
      <c r="BO396" s="14" t="s">
        <v>92</v>
      </c>
      <c r="BP396" s="14" t="s">
        <v>92</v>
      </c>
      <c r="BQ396" s="8" t="s">
        <v>93</v>
      </c>
      <c r="BR396" s="8" t="s">
        <v>92</v>
      </c>
      <c r="BS396" s="8" t="s">
        <v>92</v>
      </c>
      <c r="BT396" s="8" t="s">
        <v>92</v>
      </c>
      <c r="BU396" s="8" t="s">
        <v>92</v>
      </c>
      <c r="BV396" s="8" t="s">
        <v>92</v>
      </c>
      <c r="BW396" s="8" t="s">
        <v>92</v>
      </c>
      <c r="BX396" s="8" t="s">
        <v>92</v>
      </c>
      <c r="BY396" s="8" t="s">
        <v>92</v>
      </c>
      <c r="BZ396" s="8" t="s">
        <v>92</v>
      </c>
      <c r="CA396" s="8" t="s">
        <v>92</v>
      </c>
      <c r="CB396" s="20" t="s">
        <v>442</v>
      </c>
      <c r="CC396" s="17"/>
      <c r="CD396" s="18"/>
      <c r="CE396" s="18"/>
      <c r="CF396" s="18"/>
      <c r="CG396" s="18"/>
      <c r="CH396" s="18"/>
    </row>
    <row r="397">
      <c r="A397" s="8"/>
      <c r="B397" s="9" t="s">
        <v>1798</v>
      </c>
      <c r="C397" s="10" t="s">
        <v>1799</v>
      </c>
      <c r="D397" s="9" t="s">
        <v>1670</v>
      </c>
      <c r="E397" s="11" t="s">
        <v>1800</v>
      </c>
      <c r="F397" s="25"/>
      <c r="G397" s="9" t="s">
        <v>1801</v>
      </c>
      <c r="H397" s="14" t="s">
        <v>90</v>
      </c>
      <c r="I397" s="14" t="s">
        <v>1802</v>
      </c>
      <c r="J397" s="14" t="s">
        <v>92</v>
      </c>
      <c r="K397" s="14" t="s">
        <v>92</v>
      </c>
      <c r="L397" s="14" t="s">
        <v>92</v>
      </c>
      <c r="M397" s="14" t="s">
        <v>92</v>
      </c>
      <c r="N397" s="14" t="s">
        <v>92</v>
      </c>
      <c r="O397" s="14" t="s">
        <v>92</v>
      </c>
      <c r="P397" s="14" t="s">
        <v>92</v>
      </c>
      <c r="Q397" s="14" t="s">
        <v>92</v>
      </c>
      <c r="R397" s="14" t="s">
        <v>92</v>
      </c>
      <c r="S397" s="14" t="s">
        <v>92</v>
      </c>
      <c r="T397" s="14" t="s">
        <v>92</v>
      </c>
      <c r="U397" s="14" t="s">
        <v>92</v>
      </c>
      <c r="V397" s="14" t="s">
        <v>92</v>
      </c>
      <c r="W397" s="14" t="s">
        <v>92</v>
      </c>
      <c r="X397" s="14" t="s">
        <v>92</v>
      </c>
      <c r="Y397" s="14" t="s">
        <v>93</v>
      </c>
      <c r="Z397" s="14" t="s">
        <v>93</v>
      </c>
      <c r="AA397" s="14" t="s">
        <v>92</v>
      </c>
      <c r="AB397" s="8" t="s">
        <v>93</v>
      </c>
      <c r="AC397" s="8" t="s">
        <v>93</v>
      </c>
      <c r="AD397" s="8" t="s">
        <v>92</v>
      </c>
      <c r="AE397" s="14" t="s">
        <v>148</v>
      </c>
      <c r="AF397" s="14" t="s">
        <v>92</v>
      </c>
      <c r="AG397" s="14" t="s">
        <v>95</v>
      </c>
      <c r="AH397" s="8" t="s">
        <v>105</v>
      </c>
      <c r="AI397" s="14" t="s">
        <v>92</v>
      </c>
      <c r="AJ397" s="14" t="s">
        <v>93</v>
      </c>
      <c r="AK397" s="14" t="s">
        <v>93</v>
      </c>
      <c r="AL397" s="14" t="s">
        <v>93</v>
      </c>
      <c r="AM397" s="8" t="s">
        <v>95</v>
      </c>
      <c r="AN397" s="14" t="s">
        <v>114</v>
      </c>
      <c r="AO397" s="8" t="s">
        <v>93</v>
      </c>
      <c r="AP397" s="8" t="s">
        <v>92</v>
      </c>
      <c r="AQ397" s="14" t="s">
        <v>92</v>
      </c>
      <c r="AR397" s="14" t="s">
        <v>92</v>
      </c>
      <c r="AS397" s="14" t="s">
        <v>93</v>
      </c>
      <c r="AT397" s="14" t="s">
        <v>93</v>
      </c>
      <c r="AU397" s="14" t="s">
        <v>93</v>
      </c>
      <c r="AV397" s="14" t="s">
        <v>93</v>
      </c>
      <c r="AW397" s="14" t="s">
        <v>93</v>
      </c>
      <c r="AX397" s="14" t="s">
        <v>93</v>
      </c>
      <c r="AY397" s="8" t="s">
        <v>95</v>
      </c>
      <c r="AZ397" s="8" t="s">
        <v>95</v>
      </c>
      <c r="BA397" s="9" t="s">
        <v>1803</v>
      </c>
      <c r="BB397" s="8" t="s">
        <v>95</v>
      </c>
      <c r="BC397" s="8" t="s">
        <v>93</v>
      </c>
      <c r="BD397" s="14" t="s">
        <v>93</v>
      </c>
      <c r="BE397" s="14" t="s">
        <v>92</v>
      </c>
      <c r="BF397" s="14" t="s">
        <v>92</v>
      </c>
      <c r="BG397" s="14" t="s">
        <v>92</v>
      </c>
      <c r="BH397" s="14" t="s">
        <v>92</v>
      </c>
      <c r="BI397" s="14" t="s">
        <v>93</v>
      </c>
      <c r="BJ397" s="14" t="s">
        <v>92</v>
      </c>
      <c r="BK397" s="14" t="s">
        <v>1751</v>
      </c>
      <c r="BL397" s="14" t="s">
        <v>92</v>
      </c>
      <c r="BM397" s="14" t="s">
        <v>92</v>
      </c>
      <c r="BN397" s="14" t="s">
        <v>92</v>
      </c>
      <c r="BO397" s="14" t="s">
        <v>93</v>
      </c>
      <c r="BP397" s="14" t="s">
        <v>92</v>
      </c>
      <c r="BQ397" s="8" t="s">
        <v>92</v>
      </c>
      <c r="BR397" s="8" t="s">
        <v>92</v>
      </c>
      <c r="BS397" s="8" t="s">
        <v>92</v>
      </c>
      <c r="BT397" s="8" t="s">
        <v>93</v>
      </c>
      <c r="BU397" s="8" t="s">
        <v>92</v>
      </c>
      <c r="BV397" s="8" t="s">
        <v>93</v>
      </c>
      <c r="BW397" s="8" t="s">
        <v>92</v>
      </c>
      <c r="BX397" s="8" t="s">
        <v>92</v>
      </c>
      <c r="BY397" s="8" t="s">
        <v>92</v>
      </c>
      <c r="BZ397" s="8" t="s">
        <v>92</v>
      </c>
      <c r="CA397" s="8" t="s">
        <v>92</v>
      </c>
      <c r="CB397" s="20" t="s">
        <v>1804</v>
      </c>
      <c r="CC397" s="20" t="s">
        <v>1805</v>
      </c>
      <c r="CD397" s="20" t="s">
        <v>1806</v>
      </c>
      <c r="CE397" s="18"/>
      <c r="CF397" s="18"/>
      <c r="CG397" s="18"/>
      <c r="CH397" s="18"/>
    </row>
    <row r="398">
      <c r="A398" s="8"/>
      <c r="B398" s="9" t="s">
        <v>1798</v>
      </c>
      <c r="C398" s="10" t="s">
        <v>1799</v>
      </c>
      <c r="D398" s="9" t="s">
        <v>1670</v>
      </c>
      <c r="E398" s="11" t="s">
        <v>1807</v>
      </c>
      <c r="F398" s="12"/>
      <c r="G398" s="14" t="s">
        <v>1808</v>
      </c>
      <c r="H398" s="14" t="s">
        <v>110</v>
      </c>
      <c r="I398" s="14" t="s">
        <v>1809</v>
      </c>
      <c r="J398" s="14" t="s">
        <v>93</v>
      </c>
      <c r="K398" s="14" t="s">
        <v>92</v>
      </c>
      <c r="L398" s="14" t="s">
        <v>93</v>
      </c>
      <c r="M398" s="14" t="s">
        <v>92</v>
      </c>
      <c r="N398" s="14" t="s">
        <v>92</v>
      </c>
      <c r="O398" s="14" t="s">
        <v>92</v>
      </c>
      <c r="P398" s="14" t="s">
        <v>92</v>
      </c>
      <c r="Q398" s="14" t="s">
        <v>92</v>
      </c>
      <c r="R398" s="14" t="s">
        <v>92</v>
      </c>
      <c r="S398" s="14" t="s">
        <v>92</v>
      </c>
      <c r="T398" s="14" t="s">
        <v>92</v>
      </c>
      <c r="U398" s="14" t="s">
        <v>92</v>
      </c>
      <c r="V398" s="14" t="s">
        <v>92</v>
      </c>
      <c r="W398" s="14" t="s">
        <v>92</v>
      </c>
      <c r="X398" s="14" t="s">
        <v>92</v>
      </c>
      <c r="Y398" s="14" t="s">
        <v>92</v>
      </c>
      <c r="Z398" s="14" t="s">
        <v>93</v>
      </c>
      <c r="AA398" s="14" t="s">
        <v>92</v>
      </c>
      <c r="AB398" s="8" t="s">
        <v>92</v>
      </c>
      <c r="AC398" s="8" t="s">
        <v>93</v>
      </c>
      <c r="AD398" s="8" t="s">
        <v>92</v>
      </c>
      <c r="AE398" s="14" t="s">
        <v>231</v>
      </c>
      <c r="AF398" s="14" t="s">
        <v>92</v>
      </c>
      <c r="AG398" s="14" t="s">
        <v>95</v>
      </c>
      <c r="AH398" s="8">
        <v>2020.0</v>
      </c>
      <c r="AI398" s="14" t="s">
        <v>93</v>
      </c>
      <c r="AJ398" s="14" t="s">
        <v>93</v>
      </c>
      <c r="AK398" s="14" t="s">
        <v>93</v>
      </c>
      <c r="AL398" s="14" t="s">
        <v>93</v>
      </c>
      <c r="AM398" s="8" t="s">
        <v>95</v>
      </c>
      <c r="AN398" s="14" t="s">
        <v>114</v>
      </c>
      <c r="AO398" s="8" t="s">
        <v>93</v>
      </c>
      <c r="AP398" s="8" t="s">
        <v>92</v>
      </c>
      <c r="AQ398" s="14" t="s">
        <v>92</v>
      </c>
      <c r="AR398" s="14" t="s">
        <v>92</v>
      </c>
      <c r="AS398" s="14" t="s">
        <v>93</v>
      </c>
      <c r="AT398" s="14" t="s">
        <v>93</v>
      </c>
      <c r="AU398" s="14" t="s">
        <v>93</v>
      </c>
      <c r="AV398" s="14" t="s">
        <v>93</v>
      </c>
      <c r="AW398" s="14" t="s">
        <v>93</v>
      </c>
      <c r="AX398" s="14" t="s">
        <v>93</v>
      </c>
      <c r="AY398" s="8" t="s">
        <v>95</v>
      </c>
      <c r="AZ398" s="8" t="s">
        <v>95</v>
      </c>
      <c r="BA398" s="9" t="s">
        <v>1810</v>
      </c>
      <c r="BB398" s="8" t="s">
        <v>1811</v>
      </c>
      <c r="BC398" s="8" t="s">
        <v>92</v>
      </c>
      <c r="BD398" s="14" t="s">
        <v>93</v>
      </c>
      <c r="BE398" s="14" t="s">
        <v>92</v>
      </c>
      <c r="BF398" s="14" t="s">
        <v>92</v>
      </c>
      <c r="BG398" s="14" t="s">
        <v>92</v>
      </c>
      <c r="BH398" s="14" t="s">
        <v>92</v>
      </c>
      <c r="BI398" s="14" t="s">
        <v>92</v>
      </c>
      <c r="BJ398" s="14" t="s">
        <v>92</v>
      </c>
      <c r="BK398" s="14" t="s">
        <v>105</v>
      </c>
      <c r="BL398" s="14" t="s">
        <v>105</v>
      </c>
      <c r="BM398" s="14" t="s">
        <v>105</v>
      </c>
      <c r="BN398" s="14" t="s">
        <v>105</v>
      </c>
      <c r="BO398" s="14" t="s">
        <v>105</v>
      </c>
      <c r="BP398" s="14" t="s">
        <v>105</v>
      </c>
      <c r="BQ398" s="8" t="s">
        <v>92</v>
      </c>
      <c r="BR398" s="8" t="s">
        <v>92</v>
      </c>
      <c r="BS398" s="8" t="s">
        <v>92</v>
      </c>
      <c r="BT398" s="8" t="s">
        <v>93</v>
      </c>
      <c r="BU398" s="8" t="s">
        <v>92</v>
      </c>
      <c r="BV398" s="8" t="s">
        <v>92</v>
      </c>
      <c r="BW398" s="8" t="s">
        <v>92</v>
      </c>
      <c r="BX398" s="8" t="s">
        <v>92</v>
      </c>
      <c r="BY398" s="8" t="s">
        <v>92</v>
      </c>
      <c r="BZ398" s="8" t="s">
        <v>93</v>
      </c>
      <c r="CA398" s="8" t="s">
        <v>92</v>
      </c>
      <c r="CB398" s="20" t="s">
        <v>1812</v>
      </c>
      <c r="CC398" s="20" t="s">
        <v>1804</v>
      </c>
      <c r="CD398" s="20" t="s">
        <v>1805</v>
      </c>
      <c r="CE398" s="20" t="s">
        <v>1806</v>
      </c>
      <c r="CF398" s="18"/>
      <c r="CG398" s="18"/>
      <c r="CH398" s="18"/>
    </row>
    <row r="399">
      <c r="A399" s="8"/>
      <c r="B399" s="9" t="s">
        <v>1798</v>
      </c>
      <c r="C399" s="10" t="s">
        <v>1799</v>
      </c>
      <c r="D399" s="9" t="s">
        <v>1670</v>
      </c>
      <c r="E399" s="11" t="s">
        <v>1813</v>
      </c>
      <c r="F399" s="25"/>
      <c r="G399" s="14" t="s">
        <v>1814</v>
      </c>
      <c r="H399" s="14" t="s">
        <v>90</v>
      </c>
      <c r="I399" s="14" t="s">
        <v>1815</v>
      </c>
      <c r="J399" s="14" t="s">
        <v>92</v>
      </c>
      <c r="K399" s="14" t="s">
        <v>92</v>
      </c>
      <c r="L399" s="14" t="s">
        <v>92</v>
      </c>
      <c r="M399" s="14" t="s">
        <v>92</v>
      </c>
      <c r="N399" s="14" t="s">
        <v>92</v>
      </c>
      <c r="O399" s="14" t="s">
        <v>92</v>
      </c>
      <c r="P399" s="14" t="s">
        <v>92</v>
      </c>
      <c r="Q399" s="14" t="s">
        <v>92</v>
      </c>
      <c r="R399" s="14" t="s">
        <v>92</v>
      </c>
      <c r="S399" s="14" t="s">
        <v>93</v>
      </c>
      <c r="T399" s="14" t="s">
        <v>92</v>
      </c>
      <c r="U399" s="14" t="s">
        <v>92</v>
      </c>
      <c r="V399" s="14" t="s">
        <v>92</v>
      </c>
      <c r="W399" s="14" t="s">
        <v>92</v>
      </c>
      <c r="X399" s="14" t="s">
        <v>92</v>
      </c>
      <c r="Y399" s="14" t="s">
        <v>92</v>
      </c>
      <c r="Z399" s="14" t="s">
        <v>93</v>
      </c>
      <c r="AA399" s="14" t="s">
        <v>92</v>
      </c>
      <c r="AB399" s="8" t="s">
        <v>92</v>
      </c>
      <c r="AC399" s="8" t="s">
        <v>93</v>
      </c>
      <c r="AD399" s="8" t="s">
        <v>92</v>
      </c>
      <c r="AE399" s="14" t="s">
        <v>112</v>
      </c>
      <c r="AF399" s="14" t="s">
        <v>92</v>
      </c>
      <c r="AG399" s="14" t="s">
        <v>95</v>
      </c>
      <c r="AH399" s="8">
        <v>2021.0</v>
      </c>
      <c r="AI399" s="14" t="s">
        <v>92</v>
      </c>
      <c r="AJ399" s="14" t="s">
        <v>93</v>
      </c>
      <c r="AK399" s="14" t="s">
        <v>93</v>
      </c>
      <c r="AL399" s="14" t="s">
        <v>93</v>
      </c>
      <c r="AM399" s="8" t="s">
        <v>95</v>
      </c>
      <c r="AN399" s="14" t="s">
        <v>114</v>
      </c>
      <c r="AO399" s="8" t="s">
        <v>93</v>
      </c>
      <c r="AP399" s="8" t="s">
        <v>92</v>
      </c>
      <c r="AQ399" s="14" t="s">
        <v>92</v>
      </c>
      <c r="AR399" s="14" t="s">
        <v>92</v>
      </c>
      <c r="AS399" s="14" t="s">
        <v>93</v>
      </c>
      <c r="AT399" s="14" t="s">
        <v>93</v>
      </c>
      <c r="AU399" s="14" t="s">
        <v>93</v>
      </c>
      <c r="AV399" s="14" t="s">
        <v>93</v>
      </c>
      <c r="AW399" s="14" t="s">
        <v>93</v>
      </c>
      <c r="AX399" s="14" t="s">
        <v>93</v>
      </c>
      <c r="AY399" s="8" t="s">
        <v>95</v>
      </c>
      <c r="AZ399" s="8" t="s">
        <v>95</v>
      </c>
      <c r="BA399" s="9" t="s">
        <v>1816</v>
      </c>
      <c r="BB399" s="8" t="s">
        <v>95</v>
      </c>
      <c r="BC399" s="8" t="s">
        <v>93</v>
      </c>
      <c r="BD399" s="14" t="s">
        <v>93</v>
      </c>
      <c r="BE399" s="14" t="s">
        <v>92</v>
      </c>
      <c r="BF399" s="14" t="s">
        <v>92</v>
      </c>
      <c r="BG399" s="14" t="s">
        <v>92</v>
      </c>
      <c r="BH399" s="14" t="s">
        <v>92</v>
      </c>
      <c r="BI399" s="14" t="s">
        <v>92</v>
      </c>
      <c r="BJ399" s="14" t="s">
        <v>92</v>
      </c>
      <c r="BK399" s="14" t="s">
        <v>1817</v>
      </c>
      <c r="BL399" s="14" t="s">
        <v>92</v>
      </c>
      <c r="BM399" s="14" t="s">
        <v>93</v>
      </c>
      <c r="BN399" s="14" t="s">
        <v>92</v>
      </c>
      <c r="BO399" s="14" t="s">
        <v>92</v>
      </c>
      <c r="BP399" s="14" t="s">
        <v>93</v>
      </c>
      <c r="BQ399" s="8" t="s">
        <v>92</v>
      </c>
      <c r="BR399" s="8" t="s">
        <v>92</v>
      </c>
      <c r="BS399" s="8" t="s">
        <v>92</v>
      </c>
      <c r="BT399" s="8" t="s">
        <v>93</v>
      </c>
      <c r="BU399" s="8" t="s">
        <v>92</v>
      </c>
      <c r="BV399" s="8" t="s">
        <v>92</v>
      </c>
      <c r="BW399" s="8" t="s">
        <v>92</v>
      </c>
      <c r="BX399" s="8" t="s">
        <v>92</v>
      </c>
      <c r="BY399" s="8" t="s">
        <v>92</v>
      </c>
      <c r="BZ399" s="8" t="s">
        <v>92</v>
      </c>
      <c r="CA399" s="8" t="s">
        <v>92</v>
      </c>
      <c r="CB399" s="20" t="s">
        <v>1804</v>
      </c>
      <c r="CC399" s="20" t="s">
        <v>1805</v>
      </c>
      <c r="CD399" s="20" t="s">
        <v>1806</v>
      </c>
      <c r="CE399" s="18"/>
      <c r="CF399" s="18"/>
      <c r="CG399" s="18"/>
      <c r="CH399" s="18"/>
    </row>
    <row r="400">
      <c r="A400" s="8"/>
      <c r="B400" s="9" t="s">
        <v>1798</v>
      </c>
      <c r="C400" s="10" t="s">
        <v>1799</v>
      </c>
      <c r="D400" s="9" t="s">
        <v>1670</v>
      </c>
      <c r="E400" s="11" t="s">
        <v>1818</v>
      </c>
      <c r="F400" s="12"/>
      <c r="G400" s="14" t="s">
        <v>1819</v>
      </c>
      <c r="H400" s="14" t="s">
        <v>90</v>
      </c>
      <c r="I400" s="14" t="s">
        <v>1820</v>
      </c>
      <c r="J400" s="14" t="s">
        <v>93</v>
      </c>
      <c r="K400" s="14" t="s">
        <v>92</v>
      </c>
      <c r="L400" s="14" t="s">
        <v>93</v>
      </c>
      <c r="M400" s="14" t="s">
        <v>92</v>
      </c>
      <c r="N400" s="14" t="s">
        <v>92</v>
      </c>
      <c r="O400" s="14" t="s">
        <v>92</v>
      </c>
      <c r="P400" s="14" t="s">
        <v>92</v>
      </c>
      <c r="Q400" s="14" t="s">
        <v>92</v>
      </c>
      <c r="R400" s="14" t="s">
        <v>92</v>
      </c>
      <c r="S400" s="14" t="s">
        <v>92</v>
      </c>
      <c r="T400" s="14" t="s">
        <v>92</v>
      </c>
      <c r="U400" s="14" t="s">
        <v>92</v>
      </c>
      <c r="V400" s="14" t="s">
        <v>92</v>
      </c>
      <c r="W400" s="14" t="s">
        <v>92</v>
      </c>
      <c r="X400" s="14" t="s">
        <v>92</v>
      </c>
      <c r="Y400" s="14" t="s">
        <v>92</v>
      </c>
      <c r="Z400" s="14" t="s">
        <v>93</v>
      </c>
      <c r="AA400" s="14" t="s">
        <v>92</v>
      </c>
      <c r="AB400" s="8" t="s">
        <v>93</v>
      </c>
      <c r="AC400" s="8" t="s">
        <v>93</v>
      </c>
      <c r="AD400" s="8" t="s">
        <v>93</v>
      </c>
      <c r="AE400" s="14" t="s">
        <v>112</v>
      </c>
      <c r="AF400" s="14" t="s">
        <v>93</v>
      </c>
      <c r="AG400" s="14" t="s">
        <v>1821</v>
      </c>
      <c r="AH400" s="8">
        <v>2020.0</v>
      </c>
      <c r="AI400" s="14" t="s">
        <v>93</v>
      </c>
      <c r="AJ400" s="14" t="s">
        <v>93</v>
      </c>
      <c r="AK400" s="14" t="s">
        <v>93</v>
      </c>
      <c r="AL400" s="14" t="s">
        <v>93</v>
      </c>
      <c r="AM400" s="8" t="s">
        <v>95</v>
      </c>
      <c r="AN400" s="14" t="s">
        <v>114</v>
      </c>
      <c r="AO400" s="8" t="s">
        <v>93</v>
      </c>
      <c r="AP400" s="8" t="s">
        <v>92</v>
      </c>
      <c r="AQ400" s="14" t="s">
        <v>92</v>
      </c>
      <c r="AR400" s="14" t="s">
        <v>92</v>
      </c>
      <c r="AS400" s="14" t="s">
        <v>93</v>
      </c>
      <c r="AT400" s="14" t="s">
        <v>93</v>
      </c>
      <c r="AU400" s="14" t="s">
        <v>93</v>
      </c>
      <c r="AV400" s="14" t="s">
        <v>93</v>
      </c>
      <c r="AW400" s="14" t="s">
        <v>93</v>
      </c>
      <c r="AX400" s="14" t="s">
        <v>93</v>
      </c>
      <c r="AY400" s="8" t="s">
        <v>95</v>
      </c>
      <c r="AZ400" s="8" t="s">
        <v>95</v>
      </c>
      <c r="BA400" s="9" t="s">
        <v>1798</v>
      </c>
      <c r="BB400" s="8" t="s">
        <v>97</v>
      </c>
      <c r="BC400" s="8" t="s">
        <v>92</v>
      </c>
      <c r="BD400" s="14" t="s">
        <v>93</v>
      </c>
      <c r="BE400" s="14" t="s">
        <v>92</v>
      </c>
      <c r="BF400" s="14" t="s">
        <v>92</v>
      </c>
      <c r="BG400" s="14" t="s">
        <v>92</v>
      </c>
      <c r="BH400" s="14" t="s">
        <v>92</v>
      </c>
      <c r="BI400" s="14" t="s">
        <v>92</v>
      </c>
      <c r="BJ400" s="14" t="s">
        <v>92</v>
      </c>
      <c r="BK400" s="14" t="s">
        <v>105</v>
      </c>
      <c r="BL400" s="14" t="s">
        <v>105</v>
      </c>
      <c r="BM400" s="14" t="s">
        <v>105</v>
      </c>
      <c r="BN400" s="14" t="s">
        <v>105</v>
      </c>
      <c r="BO400" s="14" t="s">
        <v>105</v>
      </c>
      <c r="BP400" s="14" t="s">
        <v>105</v>
      </c>
      <c r="BQ400" s="8" t="s">
        <v>92</v>
      </c>
      <c r="BR400" s="8" t="s">
        <v>92</v>
      </c>
      <c r="BS400" s="8" t="s">
        <v>92</v>
      </c>
      <c r="BT400" s="8" t="s">
        <v>93</v>
      </c>
      <c r="BU400" s="8" t="s">
        <v>92</v>
      </c>
      <c r="BV400" s="8" t="s">
        <v>92</v>
      </c>
      <c r="BW400" s="8" t="s">
        <v>92</v>
      </c>
      <c r="BX400" s="8" t="s">
        <v>92</v>
      </c>
      <c r="BY400" s="8" t="s">
        <v>92</v>
      </c>
      <c r="BZ400" s="8" t="s">
        <v>93</v>
      </c>
      <c r="CA400" s="8" t="s">
        <v>92</v>
      </c>
      <c r="CB400" s="20" t="s">
        <v>1812</v>
      </c>
      <c r="CC400" s="20" t="s">
        <v>1804</v>
      </c>
      <c r="CD400" s="20" t="s">
        <v>1805</v>
      </c>
      <c r="CE400" s="20" t="s">
        <v>1806</v>
      </c>
      <c r="CF400" s="18"/>
      <c r="CG400" s="18"/>
      <c r="CH400" s="18"/>
    </row>
    <row r="401" ht="14.25" customHeight="1">
      <c r="A401" s="8"/>
      <c r="B401" s="19" t="s">
        <v>1822</v>
      </c>
      <c r="C401" s="10" t="s">
        <v>1823</v>
      </c>
      <c r="D401" s="9" t="s">
        <v>1670</v>
      </c>
      <c r="E401" s="11" t="s">
        <v>1824</v>
      </c>
      <c r="F401" s="12"/>
      <c r="G401" s="14" t="s">
        <v>1825</v>
      </c>
      <c r="H401" s="14" t="s">
        <v>90</v>
      </c>
      <c r="I401" s="14" t="s">
        <v>1826</v>
      </c>
      <c r="J401" s="14" t="s">
        <v>92</v>
      </c>
      <c r="K401" s="14" t="s">
        <v>92</v>
      </c>
      <c r="L401" s="14" t="s">
        <v>92</v>
      </c>
      <c r="M401" s="14" t="s">
        <v>93</v>
      </c>
      <c r="N401" s="14" t="s">
        <v>92</v>
      </c>
      <c r="O401" s="14" t="s">
        <v>92</v>
      </c>
      <c r="P401" s="14" t="s">
        <v>92</v>
      </c>
      <c r="Q401" s="14" t="s">
        <v>92</v>
      </c>
      <c r="R401" s="14" t="s">
        <v>92</v>
      </c>
      <c r="S401" s="14" t="s">
        <v>92</v>
      </c>
      <c r="T401" s="14" t="s">
        <v>93</v>
      </c>
      <c r="U401" s="14" t="s">
        <v>93</v>
      </c>
      <c r="V401" s="14" t="s">
        <v>92</v>
      </c>
      <c r="W401" s="14" t="s">
        <v>92</v>
      </c>
      <c r="X401" s="14" t="s">
        <v>92</v>
      </c>
      <c r="Y401" s="14" t="s">
        <v>92</v>
      </c>
      <c r="Z401" s="14" t="s">
        <v>92</v>
      </c>
      <c r="AA401" s="14" t="s">
        <v>92</v>
      </c>
      <c r="AB401" s="8" t="s">
        <v>93</v>
      </c>
      <c r="AC401" s="8" t="s">
        <v>92</v>
      </c>
      <c r="AD401" s="8" t="s">
        <v>92</v>
      </c>
      <c r="AE401" s="14" t="s">
        <v>94</v>
      </c>
      <c r="AF401" s="14" t="s">
        <v>92</v>
      </c>
      <c r="AG401" s="14" t="s">
        <v>95</v>
      </c>
      <c r="AH401" s="8" t="s">
        <v>105</v>
      </c>
      <c r="AI401" s="14" t="s">
        <v>105</v>
      </c>
      <c r="AJ401" s="14" t="s">
        <v>105</v>
      </c>
      <c r="AK401" s="14" t="s">
        <v>93</v>
      </c>
      <c r="AL401" s="14" t="s">
        <v>105</v>
      </c>
      <c r="AM401" s="8" t="s">
        <v>105</v>
      </c>
      <c r="AN401" s="14" t="s">
        <v>105</v>
      </c>
      <c r="AO401" s="8" t="s">
        <v>105</v>
      </c>
      <c r="AP401" s="8" t="s">
        <v>92</v>
      </c>
      <c r="AQ401" s="14" t="s">
        <v>92</v>
      </c>
      <c r="AR401" s="14" t="s">
        <v>92</v>
      </c>
      <c r="AS401" s="14" t="s">
        <v>92</v>
      </c>
      <c r="AT401" s="14" t="s">
        <v>93</v>
      </c>
      <c r="AU401" s="14" t="s">
        <v>92</v>
      </c>
      <c r="AV401" s="14" t="s">
        <v>93</v>
      </c>
      <c r="AW401" s="14" t="s">
        <v>92</v>
      </c>
      <c r="AX401" s="14" t="s">
        <v>92</v>
      </c>
      <c r="AY401" s="8" t="s">
        <v>95</v>
      </c>
      <c r="AZ401" s="8" t="s">
        <v>95</v>
      </c>
      <c r="BA401" s="9" t="s">
        <v>1827</v>
      </c>
      <c r="BB401" s="8" t="s">
        <v>143</v>
      </c>
      <c r="BC401" s="8" t="s">
        <v>92</v>
      </c>
      <c r="BD401" s="14" t="s">
        <v>92</v>
      </c>
      <c r="BE401" s="14" t="s">
        <v>92</v>
      </c>
      <c r="BF401" s="14" t="s">
        <v>92</v>
      </c>
      <c r="BG401" s="14" t="s">
        <v>92</v>
      </c>
      <c r="BH401" s="14" t="s">
        <v>92</v>
      </c>
      <c r="BI401" s="14" t="s">
        <v>93</v>
      </c>
      <c r="BJ401" s="14" t="s">
        <v>92</v>
      </c>
      <c r="BK401" s="14" t="s">
        <v>482</v>
      </c>
      <c r="BL401" s="14" t="s">
        <v>92</v>
      </c>
      <c r="BM401" s="14" t="s">
        <v>92</v>
      </c>
      <c r="BN401" s="14" t="s">
        <v>92</v>
      </c>
      <c r="BO401" s="14" t="s">
        <v>93</v>
      </c>
      <c r="BP401" s="14" t="s">
        <v>92</v>
      </c>
      <c r="BQ401" s="8" t="s">
        <v>93</v>
      </c>
      <c r="BR401" s="8" t="s">
        <v>93</v>
      </c>
      <c r="BS401" s="8" t="s">
        <v>92</v>
      </c>
      <c r="BT401" s="8" t="s">
        <v>92</v>
      </c>
      <c r="BU401" s="8" t="s">
        <v>92</v>
      </c>
      <c r="BV401" s="8" t="s">
        <v>92</v>
      </c>
      <c r="BW401" s="8" t="s">
        <v>92</v>
      </c>
      <c r="BX401" s="8" t="s">
        <v>92</v>
      </c>
      <c r="BY401" s="8" t="s">
        <v>92</v>
      </c>
      <c r="BZ401" s="8" t="s">
        <v>92</v>
      </c>
      <c r="CA401" s="8" t="s">
        <v>92</v>
      </c>
      <c r="CB401" s="20" t="s">
        <v>1828</v>
      </c>
      <c r="CC401" s="17"/>
      <c r="CD401" s="18"/>
      <c r="CE401" s="18"/>
      <c r="CF401" s="18"/>
      <c r="CG401" s="18"/>
      <c r="CH401" s="18"/>
    </row>
    <row r="402">
      <c r="A402" s="8"/>
      <c r="B402" s="9" t="s">
        <v>1829</v>
      </c>
      <c r="C402" s="10" t="s">
        <v>1830</v>
      </c>
      <c r="D402" s="9" t="s">
        <v>1670</v>
      </c>
      <c r="E402" s="11" t="s">
        <v>1831</v>
      </c>
      <c r="F402" s="12"/>
      <c r="G402" s="14" t="s">
        <v>1832</v>
      </c>
      <c r="H402" s="14" t="s">
        <v>90</v>
      </c>
      <c r="I402" s="14" t="s">
        <v>1833</v>
      </c>
      <c r="J402" s="14" t="s">
        <v>92</v>
      </c>
      <c r="K402" s="14" t="s">
        <v>92</v>
      </c>
      <c r="L402" s="14" t="s">
        <v>92</v>
      </c>
      <c r="M402" s="14" t="s">
        <v>93</v>
      </c>
      <c r="N402" s="14" t="s">
        <v>92</v>
      </c>
      <c r="O402" s="14" t="s">
        <v>92</v>
      </c>
      <c r="P402" s="14" t="s">
        <v>92</v>
      </c>
      <c r="Q402" s="14" t="s">
        <v>92</v>
      </c>
      <c r="R402" s="14" t="s">
        <v>92</v>
      </c>
      <c r="S402" s="14" t="s">
        <v>92</v>
      </c>
      <c r="T402" s="14" t="s">
        <v>92</v>
      </c>
      <c r="U402" s="14" t="s">
        <v>93</v>
      </c>
      <c r="V402" s="14" t="s">
        <v>92</v>
      </c>
      <c r="W402" s="14" t="s">
        <v>92</v>
      </c>
      <c r="X402" s="14" t="s">
        <v>92</v>
      </c>
      <c r="Y402" s="14" t="s">
        <v>92</v>
      </c>
      <c r="Z402" s="14" t="s">
        <v>92</v>
      </c>
      <c r="AA402" s="14" t="s">
        <v>92</v>
      </c>
      <c r="AB402" s="8" t="s">
        <v>93</v>
      </c>
      <c r="AC402" s="8" t="s">
        <v>92</v>
      </c>
      <c r="AD402" s="8" t="s">
        <v>92</v>
      </c>
      <c r="AE402" s="14" t="s">
        <v>94</v>
      </c>
      <c r="AF402" s="14" t="s">
        <v>92</v>
      </c>
      <c r="AG402" s="14" t="s">
        <v>95</v>
      </c>
      <c r="AH402" s="8">
        <v>2020.0</v>
      </c>
      <c r="AI402" s="14" t="s">
        <v>93</v>
      </c>
      <c r="AJ402" s="14" t="s">
        <v>92</v>
      </c>
      <c r="AK402" s="14" t="s">
        <v>92</v>
      </c>
      <c r="AL402" s="14" t="s">
        <v>105</v>
      </c>
      <c r="AM402" s="8">
        <v>2020.0</v>
      </c>
      <c r="AN402" s="14" t="s">
        <v>96</v>
      </c>
      <c r="AO402" s="8" t="s">
        <v>92</v>
      </c>
      <c r="AP402" s="8" t="s">
        <v>93</v>
      </c>
      <c r="AQ402" s="14" t="s">
        <v>92</v>
      </c>
      <c r="AR402" s="14" t="s">
        <v>92</v>
      </c>
      <c r="AS402" s="14" t="s">
        <v>92</v>
      </c>
      <c r="AT402" s="14" t="s">
        <v>93</v>
      </c>
      <c r="AU402" s="14" t="s">
        <v>93</v>
      </c>
      <c r="AV402" s="14" t="s">
        <v>93</v>
      </c>
      <c r="AW402" s="14" t="s">
        <v>93</v>
      </c>
      <c r="AX402" s="14" t="s">
        <v>92</v>
      </c>
      <c r="AY402" s="8" t="s">
        <v>95</v>
      </c>
      <c r="AZ402" s="8" t="s">
        <v>95</v>
      </c>
      <c r="BA402" s="9" t="s">
        <v>1829</v>
      </c>
      <c r="BB402" s="8" t="s">
        <v>97</v>
      </c>
      <c r="BC402" s="8" t="s">
        <v>92</v>
      </c>
      <c r="BD402" s="14" t="s">
        <v>92</v>
      </c>
      <c r="BE402" s="14" t="s">
        <v>92</v>
      </c>
      <c r="BF402" s="14" t="s">
        <v>92</v>
      </c>
      <c r="BG402" s="14" t="s">
        <v>92</v>
      </c>
      <c r="BH402" s="14" t="s">
        <v>92</v>
      </c>
      <c r="BI402" s="14" t="s">
        <v>93</v>
      </c>
      <c r="BJ402" s="14" t="s">
        <v>92</v>
      </c>
      <c r="BK402" s="14" t="s">
        <v>1834</v>
      </c>
      <c r="BL402" s="14" t="s">
        <v>92</v>
      </c>
      <c r="BM402" s="14" t="s">
        <v>93</v>
      </c>
      <c r="BN402" s="14" t="s">
        <v>92</v>
      </c>
      <c r="BO402" s="14" t="s">
        <v>93</v>
      </c>
      <c r="BP402" s="14" t="s">
        <v>93</v>
      </c>
      <c r="BQ402" s="8" t="s">
        <v>93</v>
      </c>
      <c r="BR402" s="8" t="s">
        <v>92</v>
      </c>
      <c r="BS402" s="8" t="s">
        <v>92</v>
      </c>
      <c r="BT402" s="8" t="s">
        <v>92</v>
      </c>
      <c r="BU402" s="8" t="s">
        <v>92</v>
      </c>
      <c r="BV402" s="8" t="s">
        <v>92</v>
      </c>
      <c r="BW402" s="8" t="s">
        <v>92</v>
      </c>
      <c r="BX402" s="8" t="s">
        <v>92</v>
      </c>
      <c r="BY402" s="8" t="s">
        <v>92</v>
      </c>
      <c r="BZ402" s="8" t="s">
        <v>92</v>
      </c>
      <c r="CA402" s="8" t="s">
        <v>92</v>
      </c>
      <c r="CB402" s="20" t="s">
        <v>1189</v>
      </c>
      <c r="CC402" s="17"/>
      <c r="CD402" s="18"/>
      <c r="CE402" s="18"/>
      <c r="CF402" s="18"/>
      <c r="CG402" s="18"/>
      <c r="CH402" s="18"/>
    </row>
    <row r="403">
      <c r="A403" s="8"/>
      <c r="B403" s="9" t="s">
        <v>1829</v>
      </c>
      <c r="C403" s="10" t="s">
        <v>1830</v>
      </c>
      <c r="D403" s="9" t="s">
        <v>1670</v>
      </c>
      <c r="E403" s="11" t="s">
        <v>1835</v>
      </c>
      <c r="F403" s="12"/>
      <c r="G403" s="14" t="s">
        <v>1836</v>
      </c>
      <c r="H403" s="14" t="s">
        <v>90</v>
      </c>
      <c r="I403" s="14" t="s">
        <v>1837</v>
      </c>
      <c r="J403" s="14" t="s">
        <v>92</v>
      </c>
      <c r="K403" s="14" t="s">
        <v>92</v>
      </c>
      <c r="L403" s="14" t="s">
        <v>92</v>
      </c>
      <c r="M403" s="14" t="s">
        <v>92</v>
      </c>
      <c r="N403" s="14" t="s">
        <v>92</v>
      </c>
      <c r="O403" s="14" t="s">
        <v>92</v>
      </c>
      <c r="P403" s="14" t="s">
        <v>92</v>
      </c>
      <c r="Q403" s="14" t="s">
        <v>92</v>
      </c>
      <c r="R403" s="14" t="s">
        <v>92</v>
      </c>
      <c r="S403" s="14" t="s">
        <v>92</v>
      </c>
      <c r="T403" s="14" t="s">
        <v>92</v>
      </c>
      <c r="U403" s="14" t="s">
        <v>93</v>
      </c>
      <c r="V403" s="14" t="s">
        <v>92</v>
      </c>
      <c r="W403" s="14" t="s">
        <v>92</v>
      </c>
      <c r="X403" s="14" t="s">
        <v>92</v>
      </c>
      <c r="Y403" s="14" t="s">
        <v>92</v>
      </c>
      <c r="Z403" s="14" t="s">
        <v>92</v>
      </c>
      <c r="AA403" s="14" t="s">
        <v>92</v>
      </c>
      <c r="AB403" s="8" t="s">
        <v>93</v>
      </c>
      <c r="AC403" s="8" t="s">
        <v>92</v>
      </c>
      <c r="AD403" s="8" t="s">
        <v>92</v>
      </c>
      <c r="AE403" s="14" t="s">
        <v>94</v>
      </c>
      <c r="AF403" s="14" t="s">
        <v>92</v>
      </c>
      <c r="AG403" s="14" t="s">
        <v>95</v>
      </c>
      <c r="AH403" s="8">
        <v>2020.0</v>
      </c>
      <c r="AI403" s="14" t="s">
        <v>93</v>
      </c>
      <c r="AJ403" s="14" t="s">
        <v>92</v>
      </c>
      <c r="AK403" s="14" t="s">
        <v>92</v>
      </c>
      <c r="AL403" s="14" t="s">
        <v>105</v>
      </c>
      <c r="AM403" s="8">
        <v>2020.0</v>
      </c>
      <c r="AN403" s="14" t="s">
        <v>96</v>
      </c>
      <c r="AO403" s="8" t="s">
        <v>92</v>
      </c>
      <c r="AP403" s="8" t="s">
        <v>93</v>
      </c>
      <c r="AQ403" s="14" t="s">
        <v>92</v>
      </c>
      <c r="AR403" s="14" t="s">
        <v>92</v>
      </c>
      <c r="AS403" s="14" t="s">
        <v>92</v>
      </c>
      <c r="AT403" s="14" t="s">
        <v>93</v>
      </c>
      <c r="AU403" s="14" t="s">
        <v>93</v>
      </c>
      <c r="AV403" s="14" t="s">
        <v>93</v>
      </c>
      <c r="AW403" s="14" t="s">
        <v>93</v>
      </c>
      <c r="AX403" s="14" t="s">
        <v>92</v>
      </c>
      <c r="AY403" s="8" t="s">
        <v>95</v>
      </c>
      <c r="AZ403" s="8" t="s">
        <v>95</v>
      </c>
      <c r="BA403" s="9" t="s">
        <v>1838</v>
      </c>
      <c r="BB403" s="8" t="s">
        <v>143</v>
      </c>
      <c r="BC403" s="8" t="s">
        <v>92</v>
      </c>
      <c r="BD403" s="14" t="s">
        <v>92</v>
      </c>
      <c r="BE403" s="14" t="s">
        <v>92</v>
      </c>
      <c r="BF403" s="14" t="s">
        <v>92</v>
      </c>
      <c r="BG403" s="14" t="s">
        <v>92</v>
      </c>
      <c r="BH403" s="14" t="s">
        <v>92</v>
      </c>
      <c r="BI403" s="14" t="s">
        <v>93</v>
      </c>
      <c r="BJ403" s="14" t="s">
        <v>92</v>
      </c>
      <c r="BK403" s="14" t="s">
        <v>482</v>
      </c>
      <c r="BL403" s="14" t="s">
        <v>92</v>
      </c>
      <c r="BM403" s="14" t="s">
        <v>92</v>
      </c>
      <c r="BN403" s="14" t="s">
        <v>92</v>
      </c>
      <c r="BO403" s="14" t="s">
        <v>93</v>
      </c>
      <c r="BP403" s="14" t="s">
        <v>92</v>
      </c>
      <c r="BQ403" s="8" t="s">
        <v>93</v>
      </c>
      <c r="BR403" s="8" t="s">
        <v>92</v>
      </c>
      <c r="BS403" s="8" t="s">
        <v>92</v>
      </c>
      <c r="BT403" s="8" t="s">
        <v>92</v>
      </c>
      <c r="BU403" s="8" t="s">
        <v>92</v>
      </c>
      <c r="BV403" s="8" t="s">
        <v>92</v>
      </c>
      <c r="BW403" s="8" t="s">
        <v>92</v>
      </c>
      <c r="BX403" s="8" t="s">
        <v>92</v>
      </c>
      <c r="BY403" s="8" t="s">
        <v>92</v>
      </c>
      <c r="BZ403" s="8" t="s">
        <v>92</v>
      </c>
      <c r="CA403" s="8" t="s">
        <v>92</v>
      </c>
      <c r="CB403" s="20" t="s">
        <v>1189</v>
      </c>
      <c r="CC403" s="17"/>
      <c r="CD403" s="18"/>
      <c r="CE403" s="18"/>
      <c r="CF403" s="18"/>
      <c r="CG403" s="18"/>
      <c r="CH403" s="18"/>
    </row>
    <row r="404">
      <c r="A404" s="8"/>
      <c r="B404" s="9" t="s">
        <v>1829</v>
      </c>
      <c r="C404" s="10" t="s">
        <v>1830</v>
      </c>
      <c r="D404" s="9" t="s">
        <v>1670</v>
      </c>
      <c r="E404" s="11" t="s">
        <v>1839</v>
      </c>
      <c r="F404" s="12"/>
      <c r="G404" s="14" t="s">
        <v>1840</v>
      </c>
      <c r="H404" s="14" t="s">
        <v>90</v>
      </c>
      <c r="I404" s="14" t="s">
        <v>1841</v>
      </c>
      <c r="J404" s="14" t="s">
        <v>92</v>
      </c>
      <c r="K404" s="14" t="s">
        <v>92</v>
      </c>
      <c r="L404" s="14" t="s">
        <v>92</v>
      </c>
      <c r="M404" s="14" t="s">
        <v>93</v>
      </c>
      <c r="N404" s="14" t="s">
        <v>92</v>
      </c>
      <c r="O404" s="14" t="s">
        <v>92</v>
      </c>
      <c r="P404" s="14" t="s">
        <v>92</v>
      </c>
      <c r="Q404" s="14" t="s">
        <v>92</v>
      </c>
      <c r="R404" s="14" t="s">
        <v>92</v>
      </c>
      <c r="S404" s="14" t="s">
        <v>92</v>
      </c>
      <c r="T404" s="14" t="s">
        <v>92</v>
      </c>
      <c r="U404" s="14" t="s">
        <v>93</v>
      </c>
      <c r="V404" s="14" t="s">
        <v>92</v>
      </c>
      <c r="W404" s="14" t="s">
        <v>92</v>
      </c>
      <c r="X404" s="14" t="s">
        <v>92</v>
      </c>
      <c r="Y404" s="14" t="s">
        <v>92</v>
      </c>
      <c r="Z404" s="14" t="s">
        <v>92</v>
      </c>
      <c r="AA404" s="14" t="s">
        <v>92</v>
      </c>
      <c r="AB404" s="8" t="s">
        <v>93</v>
      </c>
      <c r="AC404" s="8" t="s">
        <v>92</v>
      </c>
      <c r="AD404" s="8" t="s">
        <v>92</v>
      </c>
      <c r="AE404" s="14" t="s">
        <v>94</v>
      </c>
      <c r="AF404" s="14" t="s">
        <v>92</v>
      </c>
      <c r="AG404" s="14" t="s">
        <v>95</v>
      </c>
      <c r="AH404" s="8">
        <v>2020.0</v>
      </c>
      <c r="AI404" s="14" t="s">
        <v>93</v>
      </c>
      <c r="AJ404" s="14" t="s">
        <v>92</v>
      </c>
      <c r="AK404" s="14" t="s">
        <v>92</v>
      </c>
      <c r="AL404" s="14" t="s">
        <v>105</v>
      </c>
      <c r="AM404" s="8">
        <v>2020.0</v>
      </c>
      <c r="AN404" s="14" t="s">
        <v>96</v>
      </c>
      <c r="AO404" s="8" t="s">
        <v>92</v>
      </c>
      <c r="AP404" s="8" t="s">
        <v>92</v>
      </c>
      <c r="AQ404" s="14" t="s">
        <v>92</v>
      </c>
      <c r="AR404" s="14" t="s">
        <v>92</v>
      </c>
      <c r="AS404" s="14" t="s">
        <v>92</v>
      </c>
      <c r="AT404" s="14" t="s">
        <v>93</v>
      </c>
      <c r="AU404" s="14" t="s">
        <v>93</v>
      </c>
      <c r="AV404" s="14" t="s">
        <v>93</v>
      </c>
      <c r="AW404" s="14" t="s">
        <v>93</v>
      </c>
      <c r="AX404" s="14" t="s">
        <v>92</v>
      </c>
      <c r="AY404" s="8" t="s">
        <v>95</v>
      </c>
      <c r="AZ404" s="8" t="s">
        <v>95</v>
      </c>
      <c r="BA404" s="9" t="s">
        <v>1829</v>
      </c>
      <c r="BB404" s="8" t="s">
        <v>97</v>
      </c>
      <c r="BC404" s="8" t="s">
        <v>92</v>
      </c>
      <c r="BD404" s="14" t="s">
        <v>92</v>
      </c>
      <c r="BE404" s="14" t="s">
        <v>92</v>
      </c>
      <c r="BF404" s="14" t="s">
        <v>92</v>
      </c>
      <c r="BG404" s="14" t="s">
        <v>92</v>
      </c>
      <c r="BH404" s="14" t="s">
        <v>92</v>
      </c>
      <c r="BI404" s="14" t="s">
        <v>93</v>
      </c>
      <c r="BJ404" s="14" t="s">
        <v>92</v>
      </c>
      <c r="BK404" s="14" t="s">
        <v>1755</v>
      </c>
      <c r="BL404" s="14" t="s">
        <v>92</v>
      </c>
      <c r="BM404" s="14" t="s">
        <v>93</v>
      </c>
      <c r="BN404" s="14" t="s">
        <v>92</v>
      </c>
      <c r="BO404" s="14" t="s">
        <v>92</v>
      </c>
      <c r="BP404" s="14" t="s">
        <v>92</v>
      </c>
      <c r="BQ404" s="8" t="s">
        <v>93</v>
      </c>
      <c r="BR404" s="8" t="s">
        <v>92</v>
      </c>
      <c r="BS404" s="8" t="s">
        <v>92</v>
      </c>
      <c r="BT404" s="8" t="s">
        <v>92</v>
      </c>
      <c r="BU404" s="8" t="s">
        <v>92</v>
      </c>
      <c r="BV404" s="8" t="s">
        <v>92</v>
      </c>
      <c r="BW404" s="8" t="s">
        <v>92</v>
      </c>
      <c r="BX404" s="8" t="s">
        <v>92</v>
      </c>
      <c r="BY404" s="8" t="s">
        <v>92</v>
      </c>
      <c r="BZ404" s="8" t="s">
        <v>92</v>
      </c>
      <c r="CA404" s="8" t="s">
        <v>92</v>
      </c>
      <c r="CB404" s="20" t="s">
        <v>1189</v>
      </c>
      <c r="CC404" s="17"/>
      <c r="CD404" s="18"/>
      <c r="CE404" s="18"/>
      <c r="CF404" s="18"/>
      <c r="CG404" s="18"/>
      <c r="CH404" s="18"/>
    </row>
    <row r="405">
      <c r="A405" s="8"/>
      <c r="B405" s="9" t="s">
        <v>1829</v>
      </c>
      <c r="C405" s="10" t="s">
        <v>1830</v>
      </c>
      <c r="D405" s="9" t="s">
        <v>1670</v>
      </c>
      <c r="E405" s="11" t="s">
        <v>1842</v>
      </c>
      <c r="F405" s="12"/>
      <c r="G405" s="14" t="s">
        <v>1843</v>
      </c>
      <c r="H405" s="14" t="s">
        <v>90</v>
      </c>
      <c r="I405" s="14" t="s">
        <v>1844</v>
      </c>
      <c r="J405" s="14" t="s">
        <v>92</v>
      </c>
      <c r="K405" s="14" t="s">
        <v>92</v>
      </c>
      <c r="L405" s="14" t="s">
        <v>92</v>
      </c>
      <c r="M405" s="14" t="s">
        <v>92</v>
      </c>
      <c r="N405" s="14" t="s">
        <v>92</v>
      </c>
      <c r="O405" s="14" t="s">
        <v>92</v>
      </c>
      <c r="P405" s="14" t="s">
        <v>92</v>
      </c>
      <c r="Q405" s="14" t="s">
        <v>93</v>
      </c>
      <c r="R405" s="14" t="s">
        <v>92</v>
      </c>
      <c r="S405" s="14" t="s">
        <v>92</v>
      </c>
      <c r="T405" s="14" t="s">
        <v>92</v>
      </c>
      <c r="U405" s="14" t="s">
        <v>93</v>
      </c>
      <c r="V405" s="14" t="s">
        <v>92</v>
      </c>
      <c r="W405" s="14" t="s">
        <v>92</v>
      </c>
      <c r="X405" s="14" t="s">
        <v>92</v>
      </c>
      <c r="Y405" s="14" t="s">
        <v>92</v>
      </c>
      <c r="Z405" s="14" t="s">
        <v>92</v>
      </c>
      <c r="AA405" s="14" t="s">
        <v>92</v>
      </c>
      <c r="AB405" s="8" t="s">
        <v>93</v>
      </c>
      <c r="AC405" s="8" t="s">
        <v>92</v>
      </c>
      <c r="AD405" s="8" t="s">
        <v>92</v>
      </c>
      <c r="AE405" s="14" t="s">
        <v>94</v>
      </c>
      <c r="AF405" s="14" t="s">
        <v>92</v>
      </c>
      <c r="AG405" s="14" t="s">
        <v>95</v>
      </c>
      <c r="AH405" s="8">
        <v>2020.0</v>
      </c>
      <c r="AI405" s="14" t="s">
        <v>93</v>
      </c>
      <c r="AJ405" s="14" t="s">
        <v>92</v>
      </c>
      <c r="AK405" s="14" t="s">
        <v>92</v>
      </c>
      <c r="AL405" s="14" t="s">
        <v>105</v>
      </c>
      <c r="AM405" s="8">
        <v>2020.0</v>
      </c>
      <c r="AN405" s="14" t="s">
        <v>96</v>
      </c>
      <c r="AO405" s="8" t="s">
        <v>92</v>
      </c>
      <c r="AP405" s="8" t="s">
        <v>92</v>
      </c>
      <c r="AQ405" s="14" t="s">
        <v>92</v>
      </c>
      <c r="AR405" s="14" t="s">
        <v>92</v>
      </c>
      <c r="AS405" s="14" t="s">
        <v>92</v>
      </c>
      <c r="AT405" s="14" t="s">
        <v>93</v>
      </c>
      <c r="AU405" s="14" t="s">
        <v>93</v>
      </c>
      <c r="AV405" s="14" t="s">
        <v>93</v>
      </c>
      <c r="AW405" s="14" t="s">
        <v>93</v>
      </c>
      <c r="AX405" s="14" t="s">
        <v>92</v>
      </c>
      <c r="AY405" s="8" t="s">
        <v>95</v>
      </c>
      <c r="AZ405" s="8" t="s">
        <v>95</v>
      </c>
      <c r="BA405" s="9" t="s">
        <v>1845</v>
      </c>
      <c r="BB405" s="8" t="s">
        <v>1846</v>
      </c>
      <c r="BC405" s="8" t="s">
        <v>92</v>
      </c>
      <c r="BD405" s="14" t="s">
        <v>92</v>
      </c>
      <c r="BE405" s="14" t="s">
        <v>92</v>
      </c>
      <c r="BF405" s="14" t="s">
        <v>92</v>
      </c>
      <c r="BG405" s="14" t="s">
        <v>92</v>
      </c>
      <c r="BH405" s="14" t="s">
        <v>92</v>
      </c>
      <c r="BI405" s="14" t="s">
        <v>93</v>
      </c>
      <c r="BJ405" s="14" t="s">
        <v>92</v>
      </c>
      <c r="BK405" s="14" t="s">
        <v>574</v>
      </c>
      <c r="BL405" s="14" t="s">
        <v>93</v>
      </c>
      <c r="BM405" s="14" t="s">
        <v>92</v>
      </c>
      <c r="BN405" s="14" t="s">
        <v>92</v>
      </c>
      <c r="BO405" s="14" t="s">
        <v>92</v>
      </c>
      <c r="BP405" s="14" t="s">
        <v>92</v>
      </c>
      <c r="BQ405" s="8" t="s">
        <v>93</v>
      </c>
      <c r="BR405" s="8" t="s">
        <v>92</v>
      </c>
      <c r="BS405" s="8" t="s">
        <v>92</v>
      </c>
      <c r="BT405" s="8" t="s">
        <v>92</v>
      </c>
      <c r="BU405" s="8" t="s">
        <v>92</v>
      </c>
      <c r="BV405" s="8" t="s">
        <v>92</v>
      </c>
      <c r="BW405" s="8" t="s">
        <v>92</v>
      </c>
      <c r="BX405" s="8" t="s">
        <v>92</v>
      </c>
      <c r="BY405" s="8" t="s">
        <v>92</v>
      </c>
      <c r="BZ405" s="8" t="s">
        <v>92</v>
      </c>
      <c r="CA405" s="8" t="s">
        <v>92</v>
      </c>
      <c r="CB405" s="20" t="s">
        <v>1189</v>
      </c>
      <c r="CC405" s="17"/>
      <c r="CD405" s="18"/>
      <c r="CE405" s="18"/>
      <c r="CF405" s="18"/>
      <c r="CG405" s="18"/>
      <c r="CH405" s="18"/>
    </row>
    <row r="406">
      <c r="A406" s="8"/>
      <c r="B406" s="9" t="s">
        <v>1829</v>
      </c>
      <c r="C406" s="10" t="s">
        <v>1830</v>
      </c>
      <c r="D406" s="9" t="s">
        <v>1670</v>
      </c>
      <c r="E406" s="11" t="s">
        <v>1847</v>
      </c>
      <c r="F406" s="25"/>
      <c r="G406" s="14" t="s">
        <v>1848</v>
      </c>
      <c r="H406" s="14" t="s">
        <v>189</v>
      </c>
      <c r="I406" s="14" t="s">
        <v>1849</v>
      </c>
      <c r="J406" s="14" t="s">
        <v>92</v>
      </c>
      <c r="K406" s="14" t="s">
        <v>92</v>
      </c>
      <c r="L406" s="14" t="s">
        <v>92</v>
      </c>
      <c r="M406" s="14" t="s">
        <v>93</v>
      </c>
      <c r="N406" s="14" t="s">
        <v>92</v>
      </c>
      <c r="O406" s="14" t="s">
        <v>92</v>
      </c>
      <c r="P406" s="14" t="s">
        <v>92</v>
      </c>
      <c r="Q406" s="14" t="s">
        <v>93</v>
      </c>
      <c r="R406" s="14" t="s">
        <v>92</v>
      </c>
      <c r="S406" s="14" t="s">
        <v>92</v>
      </c>
      <c r="T406" s="14" t="s">
        <v>92</v>
      </c>
      <c r="U406" s="14" t="s">
        <v>93</v>
      </c>
      <c r="V406" s="14" t="s">
        <v>92</v>
      </c>
      <c r="W406" s="14" t="s">
        <v>92</v>
      </c>
      <c r="X406" s="14" t="s">
        <v>92</v>
      </c>
      <c r="Y406" s="14" t="s">
        <v>92</v>
      </c>
      <c r="Z406" s="14" t="s">
        <v>92</v>
      </c>
      <c r="AA406" s="14" t="s">
        <v>92</v>
      </c>
      <c r="AB406" s="8" t="s">
        <v>93</v>
      </c>
      <c r="AC406" s="8" t="s">
        <v>92</v>
      </c>
      <c r="AD406" s="8" t="s">
        <v>92</v>
      </c>
      <c r="AE406" s="14" t="s">
        <v>94</v>
      </c>
      <c r="AF406" s="14" t="s">
        <v>92</v>
      </c>
      <c r="AG406" s="14" t="s">
        <v>95</v>
      </c>
      <c r="AH406" s="8">
        <v>2018.0</v>
      </c>
      <c r="AI406" s="14" t="s">
        <v>93</v>
      </c>
      <c r="AJ406" s="14" t="s">
        <v>92</v>
      </c>
      <c r="AK406" s="14" t="s">
        <v>92</v>
      </c>
      <c r="AL406" s="14" t="s">
        <v>105</v>
      </c>
      <c r="AM406" s="8" t="s">
        <v>105</v>
      </c>
      <c r="AN406" s="14" t="s">
        <v>105</v>
      </c>
      <c r="AO406" s="8" t="s">
        <v>93</v>
      </c>
      <c r="AP406" s="8" t="s">
        <v>93</v>
      </c>
      <c r="AQ406" s="14" t="s">
        <v>92</v>
      </c>
      <c r="AR406" s="14" t="s">
        <v>92</v>
      </c>
      <c r="AS406" s="14" t="s">
        <v>92</v>
      </c>
      <c r="AT406" s="14" t="s">
        <v>93</v>
      </c>
      <c r="AU406" s="14" t="s">
        <v>93</v>
      </c>
      <c r="AV406" s="14" t="s">
        <v>93</v>
      </c>
      <c r="AW406" s="14" t="s">
        <v>93</v>
      </c>
      <c r="AX406" s="14" t="s">
        <v>92</v>
      </c>
      <c r="AY406" s="8" t="s">
        <v>95</v>
      </c>
      <c r="AZ406" s="8" t="s">
        <v>95</v>
      </c>
      <c r="BA406" s="9" t="s">
        <v>1850</v>
      </c>
      <c r="BB406" s="8" t="s">
        <v>143</v>
      </c>
      <c r="BC406" s="8" t="s">
        <v>92</v>
      </c>
      <c r="BD406" s="14" t="s">
        <v>92</v>
      </c>
      <c r="BE406" s="14" t="s">
        <v>92</v>
      </c>
      <c r="BF406" s="14" t="s">
        <v>92</v>
      </c>
      <c r="BG406" s="14" t="s">
        <v>92</v>
      </c>
      <c r="BH406" s="14" t="s">
        <v>92</v>
      </c>
      <c r="BI406" s="14" t="s">
        <v>93</v>
      </c>
      <c r="BJ406" s="14" t="s">
        <v>92</v>
      </c>
      <c r="BK406" s="14" t="s">
        <v>1851</v>
      </c>
      <c r="BL406" s="14" t="s">
        <v>93</v>
      </c>
      <c r="BM406" s="14" t="s">
        <v>93</v>
      </c>
      <c r="BN406" s="14" t="s">
        <v>92</v>
      </c>
      <c r="BO406" s="14" t="s">
        <v>93</v>
      </c>
      <c r="BP406" s="14" t="s">
        <v>92</v>
      </c>
      <c r="BQ406" s="8" t="s">
        <v>93</v>
      </c>
      <c r="BR406" s="8" t="s">
        <v>92</v>
      </c>
      <c r="BS406" s="8" t="s">
        <v>92</v>
      </c>
      <c r="BT406" s="8" t="s">
        <v>92</v>
      </c>
      <c r="BU406" s="8" t="s">
        <v>92</v>
      </c>
      <c r="BV406" s="8" t="s">
        <v>92</v>
      </c>
      <c r="BW406" s="8" t="s">
        <v>92</v>
      </c>
      <c r="BX406" s="8" t="s">
        <v>92</v>
      </c>
      <c r="BY406" s="8" t="s">
        <v>92</v>
      </c>
      <c r="BZ406" s="8" t="s">
        <v>92</v>
      </c>
      <c r="CA406" s="8" t="s">
        <v>92</v>
      </c>
      <c r="CB406" s="20" t="s">
        <v>1189</v>
      </c>
      <c r="CC406" s="24" t="s">
        <v>1852</v>
      </c>
      <c r="CD406" s="18"/>
      <c r="CE406" s="18"/>
      <c r="CF406" s="18"/>
      <c r="CG406" s="18"/>
      <c r="CH406" s="18"/>
    </row>
    <row r="407">
      <c r="A407" s="8"/>
      <c r="B407" s="43" t="s">
        <v>1829</v>
      </c>
      <c r="C407" s="10" t="s">
        <v>1830</v>
      </c>
      <c r="D407" s="9" t="s">
        <v>1670</v>
      </c>
      <c r="E407" s="11" t="s">
        <v>1853</v>
      </c>
      <c r="F407" s="10" t="s">
        <v>1854</v>
      </c>
      <c r="G407" s="14" t="s">
        <v>1855</v>
      </c>
      <c r="H407" s="14" t="s">
        <v>189</v>
      </c>
      <c r="I407" s="14" t="s">
        <v>1856</v>
      </c>
      <c r="J407" s="14" t="s">
        <v>92</v>
      </c>
      <c r="K407" s="14" t="s">
        <v>92</v>
      </c>
      <c r="L407" s="14" t="s">
        <v>92</v>
      </c>
      <c r="M407" s="14" t="s">
        <v>92</v>
      </c>
      <c r="N407" s="14" t="s">
        <v>92</v>
      </c>
      <c r="O407" s="14" t="s">
        <v>92</v>
      </c>
      <c r="P407" s="14" t="s">
        <v>92</v>
      </c>
      <c r="Q407" s="14" t="s">
        <v>92</v>
      </c>
      <c r="R407" s="14" t="s">
        <v>92</v>
      </c>
      <c r="S407" s="14" t="s">
        <v>92</v>
      </c>
      <c r="T407" s="14" t="s">
        <v>92</v>
      </c>
      <c r="U407" s="14" t="s">
        <v>93</v>
      </c>
      <c r="V407" s="14" t="s">
        <v>92</v>
      </c>
      <c r="W407" s="14" t="s">
        <v>92</v>
      </c>
      <c r="X407" s="14" t="s">
        <v>92</v>
      </c>
      <c r="Y407" s="14" t="s">
        <v>92</v>
      </c>
      <c r="Z407" s="14" t="s">
        <v>92</v>
      </c>
      <c r="AA407" s="14" t="s">
        <v>92</v>
      </c>
      <c r="AB407" s="8" t="s">
        <v>93</v>
      </c>
      <c r="AC407" s="8" t="s">
        <v>92</v>
      </c>
      <c r="AD407" s="8" t="s">
        <v>92</v>
      </c>
      <c r="AE407" s="14" t="s">
        <v>94</v>
      </c>
      <c r="AF407" s="14" t="s">
        <v>92</v>
      </c>
      <c r="AG407" s="14" t="s">
        <v>95</v>
      </c>
      <c r="AH407" s="8">
        <v>2017.0</v>
      </c>
      <c r="AI407" s="14" t="s">
        <v>93</v>
      </c>
      <c r="AJ407" s="14" t="s">
        <v>92</v>
      </c>
      <c r="AK407" s="14" t="s">
        <v>92</v>
      </c>
      <c r="AL407" s="14" t="s">
        <v>105</v>
      </c>
      <c r="AM407" s="8" t="s">
        <v>95</v>
      </c>
      <c r="AN407" s="14" t="s">
        <v>114</v>
      </c>
      <c r="AO407" s="8" t="s">
        <v>93</v>
      </c>
      <c r="AP407" s="8" t="s">
        <v>92</v>
      </c>
      <c r="AQ407" s="14" t="s">
        <v>92</v>
      </c>
      <c r="AR407" s="14" t="s">
        <v>92</v>
      </c>
      <c r="AS407" s="14" t="s">
        <v>92</v>
      </c>
      <c r="AT407" s="14" t="s">
        <v>93</v>
      </c>
      <c r="AU407" s="14" t="s">
        <v>93</v>
      </c>
      <c r="AV407" s="14" t="s">
        <v>93</v>
      </c>
      <c r="AW407" s="14" t="s">
        <v>93</v>
      </c>
      <c r="AX407" s="14" t="s">
        <v>92</v>
      </c>
      <c r="AY407" s="8" t="s">
        <v>95</v>
      </c>
      <c r="AZ407" s="8" t="s">
        <v>95</v>
      </c>
      <c r="BA407" s="9" t="s">
        <v>1850</v>
      </c>
      <c r="BB407" s="8" t="s">
        <v>143</v>
      </c>
      <c r="BC407" s="8" t="s">
        <v>92</v>
      </c>
      <c r="BD407" s="14" t="s">
        <v>92</v>
      </c>
      <c r="BE407" s="14" t="s">
        <v>92</v>
      </c>
      <c r="BF407" s="14" t="s">
        <v>92</v>
      </c>
      <c r="BG407" s="14" t="s">
        <v>92</v>
      </c>
      <c r="BH407" s="14" t="s">
        <v>92</v>
      </c>
      <c r="BI407" s="14" t="s">
        <v>93</v>
      </c>
      <c r="BJ407" s="14" t="s">
        <v>92</v>
      </c>
      <c r="BK407" s="14" t="s">
        <v>1851</v>
      </c>
      <c r="BL407" s="14" t="s">
        <v>93</v>
      </c>
      <c r="BM407" s="14" t="s">
        <v>93</v>
      </c>
      <c r="BN407" s="14" t="s">
        <v>92</v>
      </c>
      <c r="BO407" s="14" t="s">
        <v>93</v>
      </c>
      <c r="BP407" s="14" t="s">
        <v>92</v>
      </c>
      <c r="BQ407" s="8" t="s">
        <v>93</v>
      </c>
      <c r="BR407" s="8" t="s">
        <v>92</v>
      </c>
      <c r="BS407" s="8" t="s">
        <v>92</v>
      </c>
      <c r="BT407" s="8" t="s">
        <v>92</v>
      </c>
      <c r="BU407" s="8" t="s">
        <v>92</v>
      </c>
      <c r="BV407" s="8" t="s">
        <v>92</v>
      </c>
      <c r="BW407" s="8" t="s">
        <v>92</v>
      </c>
      <c r="BX407" s="8" t="s">
        <v>92</v>
      </c>
      <c r="BY407" s="8" t="s">
        <v>92</v>
      </c>
      <c r="BZ407" s="8" t="s">
        <v>92</v>
      </c>
      <c r="CA407" s="8" t="s">
        <v>92</v>
      </c>
      <c r="CB407" s="20" t="s">
        <v>1189</v>
      </c>
      <c r="CC407" s="17"/>
      <c r="CD407" s="18"/>
      <c r="CE407" s="18"/>
      <c r="CF407" s="18"/>
      <c r="CG407" s="18"/>
      <c r="CH407" s="18"/>
    </row>
    <row r="408">
      <c r="A408" s="8"/>
      <c r="B408" s="9" t="s">
        <v>1829</v>
      </c>
      <c r="C408" s="10" t="s">
        <v>1830</v>
      </c>
      <c r="D408" s="9" t="s">
        <v>1670</v>
      </c>
      <c r="E408" s="11" t="s">
        <v>1857</v>
      </c>
      <c r="F408" s="25"/>
      <c r="G408" s="14" t="s">
        <v>1858</v>
      </c>
      <c r="H408" s="14" t="s">
        <v>189</v>
      </c>
      <c r="I408" s="14" t="s">
        <v>1859</v>
      </c>
      <c r="J408" s="14" t="s">
        <v>92</v>
      </c>
      <c r="K408" s="14" t="s">
        <v>92</v>
      </c>
      <c r="L408" s="14" t="s">
        <v>92</v>
      </c>
      <c r="M408" s="14" t="s">
        <v>93</v>
      </c>
      <c r="N408" s="14" t="s">
        <v>92</v>
      </c>
      <c r="O408" s="14" t="s">
        <v>92</v>
      </c>
      <c r="P408" s="14" t="s">
        <v>92</v>
      </c>
      <c r="Q408" s="14" t="s">
        <v>92</v>
      </c>
      <c r="R408" s="14" t="s">
        <v>92</v>
      </c>
      <c r="S408" s="14" t="s">
        <v>92</v>
      </c>
      <c r="T408" s="14" t="s">
        <v>92</v>
      </c>
      <c r="U408" s="14" t="s">
        <v>93</v>
      </c>
      <c r="V408" s="14" t="s">
        <v>92</v>
      </c>
      <c r="W408" s="14" t="s">
        <v>92</v>
      </c>
      <c r="X408" s="14" t="s">
        <v>92</v>
      </c>
      <c r="Y408" s="14" t="s">
        <v>92</v>
      </c>
      <c r="Z408" s="14" t="s">
        <v>92</v>
      </c>
      <c r="AA408" s="14" t="s">
        <v>92</v>
      </c>
      <c r="AB408" s="8" t="s">
        <v>93</v>
      </c>
      <c r="AC408" s="8" t="s">
        <v>92</v>
      </c>
      <c r="AD408" s="8" t="s">
        <v>92</v>
      </c>
      <c r="AE408" s="14" t="s">
        <v>94</v>
      </c>
      <c r="AF408" s="14" t="s">
        <v>92</v>
      </c>
      <c r="AG408" s="14" t="s">
        <v>95</v>
      </c>
      <c r="AH408" s="8">
        <v>2020.0</v>
      </c>
      <c r="AI408" s="14" t="s">
        <v>93</v>
      </c>
      <c r="AJ408" s="14" t="s">
        <v>92</v>
      </c>
      <c r="AK408" s="14" t="s">
        <v>92</v>
      </c>
      <c r="AL408" s="14" t="s">
        <v>105</v>
      </c>
      <c r="AM408" s="8">
        <v>2020.0</v>
      </c>
      <c r="AN408" s="14" t="s">
        <v>96</v>
      </c>
      <c r="AO408" s="8" t="s">
        <v>92</v>
      </c>
      <c r="AP408" s="8" t="s">
        <v>92</v>
      </c>
      <c r="AQ408" s="14" t="s">
        <v>92</v>
      </c>
      <c r="AR408" s="14" t="s">
        <v>92</v>
      </c>
      <c r="AS408" s="14" t="s">
        <v>92</v>
      </c>
      <c r="AT408" s="14" t="s">
        <v>93</v>
      </c>
      <c r="AU408" s="14" t="s">
        <v>93</v>
      </c>
      <c r="AV408" s="14" t="s">
        <v>93</v>
      </c>
      <c r="AW408" s="14" t="s">
        <v>93</v>
      </c>
      <c r="AX408" s="14" t="s">
        <v>92</v>
      </c>
      <c r="AY408" s="8" t="s">
        <v>95</v>
      </c>
      <c r="AZ408" s="8" t="s">
        <v>95</v>
      </c>
      <c r="BA408" s="9" t="s">
        <v>1860</v>
      </c>
      <c r="BB408" s="8" t="s">
        <v>143</v>
      </c>
      <c r="BC408" s="8" t="s">
        <v>92</v>
      </c>
      <c r="BD408" s="14" t="s">
        <v>92</v>
      </c>
      <c r="BE408" s="14" t="s">
        <v>92</v>
      </c>
      <c r="BF408" s="14" t="s">
        <v>92</v>
      </c>
      <c r="BG408" s="14" t="s">
        <v>92</v>
      </c>
      <c r="BH408" s="14" t="s">
        <v>92</v>
      </c>
      <c r="BI408" s="14" t="s">
        <v>93</v>
      </c>
      <c r="BJ408" s="14" t="s">
        <v>92</v>
      </c>
      <c r="BK408" s="14" t="s">
        <v>1728</v>
      </c>
      <c r="BL408" s="14" t="s">
        <v>92</v>
      </c>
      <c r="BM408" s="14" t="s">
        <v>92</v>
      </c>
      <c r="BN408" s="14" t="s">
        <v>92</v>
      </c>
      <c r="BO408" s="14" t="s">
        <v>93</v>
      </c>
      <c r="BP408" s="14" t="s">
        <v>92</v>
      </c>
      <c r="BQ408" s="8" t="s">
        <v>93</v>
      </c>
      <c r="BR408" s="8" t="s">
        <v>92</v>
      </c>
      <c r="BS408" s="8" t="s">
        <v>92</v>
      </c>
      <c r="BT408" s="8" t="s">
        <v>92</v>
      </c>
      <c r="BU408" s="8" t="s">
        <v>92</v>
      </c>
      <c r="BV408" s="8" t="s">
        <v>92</v>
      </c>
      <c r="BW408" s="8" t="s">
        <v>92</v>
      </c>
      <c r="BX408" s="8" t="s">
        <v>92</v>
      </c>
      <c r="BY408" s="8" t="s">
        <v>92</v>
      </c>
      <c r="BZ408" s="8" t="s">
        <v>92</v>
      </c>
      <c r="CA408" s="8" t="s">
        <v>92</v>
      </c>
      <c r="CB408" s="20" t="s">
        <v>1189</v>
      </c>
      <c r="CC408" s="17"/>
      <c r="CD408" s="18"/>
      <c r="CE408" s="18"/>
      <c r="CF408" s="18"/>
      <c r="CG408" s="18"/>
      <c r="CH408" s="18"/>
    </row>
    <row r="409">
      <c r="A409" s="8"/>
      <c r="B409" s="9" t="s">
        <v>1829</v>
      </c>
      <c r="C409" s="10" t="s">
        <v>1830</v>
      </c>
      <c r="D409" s="9" t="s">
        <v>1670</v>
      </c>
      <c r="E409" s="11" t="s">
        <v>1861</v>
      </c>
      <c r="F409" s="25"/>
      <c r="G409" s="14" t="s">
        <v>1862</v>
      </c>
      <c r="H409" s="14" t="s">
        <v>90</v>
      </c>
      <c r="I409" s="14" t="s">
        <v>1863</v>
      </c>
      <c r="J409" s="14" t="s">
        <v>92</v>
      </c>
      <c r="K409" s="14" t="s">
        <v>92</v>
      </c>
      <c r="L409" s="14" t="s">
        <v>92</v>
      </c>
      <c r="M409" s="14" t="s">
        <v>93</v>
      </c>
      <c r="N409" s="14" t="s">
        <v>92</v>
      </c>
      <c r="O409" s="14" t="s">
        <v>92</v>
      </c>
      <c r="P409" s="14" t="s">
        <v>92</v>
      </c>
      <c r="Q409" s="14" t="s">
        <v>92</v>
      </c>
      <c r="R409" s="14" t="s">
        <v>92</v>
      </c>
      <c r="S409" s="14" t="s">
        <v>92</v>
      </c>
      <c r="T409" s="14" t="s">
        <v>92</v>
      </c>
      <c r="U409" s="14" t="s">
        <v>93</v>
      </c>
      <c r="V409" s="14" t="s">
        <v>92</v>
      </c>
      <c r="W409" s="14" t="s">
        <v>92</v>
      </c>
      <c r="X409" s="14" t="s">
        <v>92</v>
      </c>
      <c r="Y409" s="14" t="s">
        <v>92</v>
      </c>
      <c r="Z409" s="14" t="s">
        <v>92</v>
      </c>
      <c r="AA409" s="14" t="s">
        <v>92</v>
      </c>
      <c r="AB409" s="8" t="s">
        <v>93</v>
      </c>
      <c r="AC409" s="8" t="s">
        <v>92</v>
      </c>
      <c r="AD409" s="8" t="s">
        <v>92</v>
      </c>
      <c r="AE409" s="14" t="s">
        <v>94</v>
      </c>
      <c r="AF409" s="14" t="s">
        <v>92</v>
      </c>
      <c r="AG409" s="14" t="s">
        <v>95</v>
      </c>
      <c r="AH409" s="8">
        <v>2020.0</v>
      </c>
      <c r="AI409" s="14" t="s">
        <v>93</v>
      </c>
      <c r="AJ409" s="14" t="s">
        <v>92</v>
      </c>
      <c r="AK409" s="14" t="s">
        <v>92</v>
      </c>
      <c r="AL409" s="14" t="s">
        <v>105</v>
      </c>
      <c r="AM409" s="8">
        <v>2020.0</v>
      </c>
      <c r="AN409" s="14" t="s">
        <v>96</v>
      </c>
      <c r="AO409" s="8" t="s">
        <v>92</v>
      </c>
      <c r="AP409" s="8" t="s">
        <v>92</v>
      </c>
      <c r="AQ409" s="14" t="s">
        <v>92</v>
      </c>
      <c r="AR409" s="14" t="s">
        <v>92</v>
      </c>
      <c r="AS409" s="14" t="s">
        <v>92</v>
      </c>
      <c r="AT409" s="14" t="s">
        <v>93</v>
      </c>
      <c r="AU409" s="14" t="s">
        <v>93</v>
      </c>
      <c r="AV409" s="14" t="s">
        <v>93</v>
      </c>
      <c r="AW409" s="14" t="s">
        <v>93</v>
      </c>
      <c r="AX409" s="14" t="s">
        <v>92</v>
      </c>
      <c r="AY409" s="8" t="s">
        <v>95</v>
      </c>
      <c r="AZ409" s="8" t="s">
        <v>95</v>
      </c>
      <c r="BA409" s="9" t="s">
        <v>1864</v>
      </c>
      <c r="BB409" s="8" t="s">
        <v>1865</v>
      </c>
      <c r="BC409" s="8" t="s">
        <v>92</v>
      </c>
      <c r="BD409" s="14" t="s">
        <v>92</v>
      </c>
      <c r="BE409" s="14" t="s">
        <v>92</v>
      </c>
      <c r="BF409" s="14" t="s">
        <v>92</v>
      </c>
      <c r="BG409" s="14" t="s">
        <v>92</v>
      </c>
      <c r="BH409" s="14" t="s">
        <v>92</v>
      </c>
      <c r="BI409" s="14" t="s">
        <v>93</v>
      </c>
      <c r="BJ409" s="14" t="s">
        <v>92</v>
      </c>
      <c r="BK409" s="14" t="s">
        <v>1866</v>
      </c>
      <c r="BL409" s="14" t="s">
        <v>92</v>
      </c>
      <c r="BM409" s="14" t="s">
        <v>93</v>
      </c>
      <c r="BN409" s="14" t="s">
        <v>92</v>
      </c>
      <c r="BO409" s="14" t="s">
        <v>93</v>
      </c>
      <c r="BP409" s="14" t="s">
        <v>92</v>
      </c>
      <c r="BQ409" s="8" t="s">
        <v>93</v>
      </c>
      <c r="BR409" s="8" t="s">
        <v>92</v>
      </c>
      <c r="BS409" s="8" t="s">
        <v>92</v>
      </c>
      <c r="BT409" s="8" t="s">
        <v>92</v>
      </c>
      <c r="BU409" s="8" t="s">
        <v>92</v>
      </c>
      <c r="BV409" s="8" t="s">
        <v>92</v>
      </c>
      <c r="BW409" s="8" t="s">
        <v>92</v>
      </c>
      <c r="BX409" s="8" t="s">
        <v>92</v>
      </c>
      <c r="BY409" s="8" t="s">
        <v>92</v>
      </c>
      <c r="BZ409" s="8" t="s">
        <v>92</v>
      </c>
      <c r="CA409" s="8" t="s">
        <v>92</v>
      </c>
      <c r="CB409" s="20" t="s">
        <v>1189</v>
      </c>
      <c r="CC409" s="17"/>
      <c r="CD409" s="18"/>
      <c r="CE409" s="18"/>
      <c r="CF409" s="18"/>
      <c r="CG409" s="18"/>
      <c r="CH409" s="18"/>
    </row>
    <row r="410">
      <c r="A410" s="8"/>
      <c r="B410" s="9" t="s">
        <v>1829</v>
      </c>
      <c r="C410" s="10" t="s">
        <v>1830</v>
      </c>
      <c r="D410" s="9" t="s">
        <v>1670</v>
      </c>
      <c r="E410" s="11" t="s">
        <v>1867</v>
      </c>
      <c r="F410" s="12"/>
      <c r="G410" s="14" t="s">
        <v>1868</v>
      </c>
      <c r="H410" s="14" t="s">
        <v>90</v>
      </c>
      <c r="I410" s="14" t="s">
        <v>1869</v>
      </c>
      <c r="J410" s="14" t="s">
        <v>92</v>
      </c>
      <c r="K410" s="14" t="s">
        <v>92</v>
      </c>
      <c r="L410" s="14" t="s">
        <v>92</v>
      </c>
      <c r="M410" s="14" t="s">
        <v>93</v>
      </c>
      <c r="N410" s="14" t="s">
        <v>92</v>
      </c>
      <c r="O410" s="14" t="s">
        <v>92</v>
      </c>
      <c r="P410" s="14" t="s">
        <v>92</v>
      </c>
      <c r="Q410" s="14" t="s">
        <v>92</v>
      </c>
      <c r="R410" s="14" t="s">
        <v>92</v>
      </c>
      <c r="S410" s="14" t="s">
        <v>92</v>
      </c>
      <c r="T410" s="14" t="s">
        <v>92</v>
      </c>
      <c r="U410" s="14" t="s">
        <v>93</v>
      </c>
      <c r="V410" s="14" t="s">
        <v>92</v>
      </c>
      <c r="W410" s="14" t="s">
        <v>92</v>
      </c>
      <c r="X410" s="14" t="s">
        <v>92</v>
      </c>
      <c r="Y410" s="14" t="s">
        <v>92</v>
      </c>
      <c r="Z410" s="14" t="s">
        <v>92</v>
      </c>
      <c r="AA410" s="14" t="s">
        <v>92</v>
      </c>
      <c r="AB410" s="8" t="s">
        <v>93</v>
      </c>
      <c r="AC410" s="8" t="s">
        <v>92</v>
      </c>
      <c r="AD410" s="8" t="s">
        <v>92</v>
      </c>
      <c r="AE410" s="14" t="s">
        <v>94</v>
      </c>
      <c r="AF410" s="14" t="s">
        <v>92</v>
      </c>
      <c r="AG410" s="14" t="s">
        <v>95</v>
      </c>
      <c r="AH410" s="8">
        <v>2020.0</v>
      </c>
      <c r="AI410" s="14" t="s">
        <v>93</v>
      </c>
      <c r="AJ410" s="14" t="s">
        <v>92</v>
      </c>
      <c r="AK410" s="14" t="s">
        <v>92</v>
      </c>
      <c r="AL410" s="14" t="s">
        <v>105</v>
      </c>
      <c r="AM410" s="8">
        <v>2020.0</v>
      </c>
      <c r="AN410" s="14" t="s">
        <v>96</v>
      </c>
      <c r="AO410" s="8" t="s">
        <v>92</v>
      </c>
      <c r="AP410" s="8" t="s">
        <v>92</v>
      </c>
      <c r="AQ410" s="14" t="s">
        <v>92</v>
      </c>
      <c r="AR410" s="14" t="s">
        <v>92</v>
      </c>
      <c r="AS410" s="14" t="s">
        <v>92</v>
      </c>
      <c r="AT410" s="14" t="s">
        <v>93</v>
      </c>
      <c r="AU410" s="14" t="s">
        <v>93</v>
      </c>
      <c r="AV410" s="14" t="s">
        <v>93</v>
      </c>
      <c r="AW410" s="14" t="s">
        <v>93</v>
      </c>
      <c r="AX410" s="14" t="s">
        <v>92</v>
      </c>
      <c r="AY410" s="8" t="s">
        <v>95</v>
      </c>
      <c r="AZ410" s="8" t="s">
        <v>95</v>
      </c>
      <c r="BA410" s="9" t="s">
        <v>532</v>
      </c>
      <c r="BB410" s="8" t="s">
        <v>533</v>
      </c>
      <c r="BC410" s="8" t="s">
        <v>92</v>
      </c>
      <c r="BD410" s="14" t="s">
        <v>92</v>
      </c>
      <c r="BE410" s="14" t="s">
        <v>92</v>
      </c>
      <c r="BF410" s="14" t="s">
        <v>92</v>
      </c>
      <c r="BG410" s="14" t="s">
        <v>92</v>
      </c>
      <c r="BH410" s="14" t="s">
        <v>92</v>
      </c>
      <c r="BI410" s="14" t="s">
        <v>93</v>
      </c>
      <c r="BJ410" s="14" t="s">
        <v>92</v>
      </c>
      <c r="BK410" s="14" t="s">
        <v>1870</v>
      </c>
      <c r="BL410" s="14" t="s">
        <v>92</v>
      </c>
      <c r="BM410" s="14" t="s">
        <v>93</v>
      </c>
      <c r="BN410" s="14" t="s">
        <v>92</v>
      </c>
      <c r="BO410" s="14" t="s">
        <v>93</v>
      </c>
      <c r="BP410" s="14" t="s">
        <v>92</v>
      </c>
      <c r="BQ410" s="8" t="s">
        <v>93</v>
      </c>
      <c r="BR410" s="8" t="s">
        <v>92</v>
      </c>
      <c r="BS410" s="8" t="s">
        <v>92</v>
      </c>
      <c r="BT410" s="8" t="s">
        <v>92</v>
      </c>
      <c r="BU410" s="8" t="s">
        <v>92</v>
      </c>
      <c r="BV410" s="8" t="s">
        <v>92</v>
      </c>
      <c r="BW410" s="8" t="s">
        <v>92</v>
      </c>
      <c r="BX410" s="8" t="s">
        <v>92</v>
      </c>
      <c r="BY410" s="8" t="s">
        <v>92</v>
      </c>
      <c r="BZ410" s="8" t="s">
        <v>92</v>
      </c>
      <c r="CA410" s="8" t="s">
        <v>92</v>
      </c>
      <c r="CB410" s="20" t="s">
        <v>1189</v>
      </c>
      <c r="CC410" s="17"/>
      <c r="CD410" s="18"/>
      <c r="CE410" s="18"/>
      <c r="CF410" s="18"/>
      <c r="CG410" s="18"/>
      <c r="CH410" s="18"/>
    </row>
    <row r="411">
      <c r="A411" s="8"/>
      <c r="B411" s="9" t="s">
        <v>1829</v>
      </c>
      <c r="C411" s="10" t="s">
        <v>1830</v>
      </c>
      <c r="D411" s="9" t="s">
        <v>1670</v>
      </c>
      <c r="E411" s="11" t="s">
        <v>1871</v>
      </c>
      <c r="F411" s="25"/>
      <c r="G411" s="14" t="s">
        <v>1872</v>
      </c>
      <c r="H411" s="14" t="s">
        <v>90</v>
      </c>
      <c r="I411" s="14" t="s">
        <v>1873</v>
      </c>
      <c r="J411" s="14" t="s">
        <v>92</v>
      </c>
      <c r="K411" s="14" t="s">
        <v>92</v>
      </c>
      <c r="L411" s="14" t="s">
        <v>92</v>
      </c>
      <c r="M411" s="14" t="s">
        <v>93</v>
      </c>
      <c r="N411" s="14" t="s">
        <v>92</v>
      </c>
      <c r="O411" s="14" t="s">
        <v>92</v>
      </c>
      <c r="P411" s="14" t="s">
        <v>92</v>
      </c>
      <c r="Q411" s="14" t="s">
        <v>92</v>
      </c>
      <c r="R411" s="14" t="s">
        <v>92</v>
      </c>
      <c r="S411" s="14" t="s">
        <v>92</v>
      </c>
      <c r="T411" s="14" t="s">
        <v>92</v>
      </c>
      <c r="U411" s="14" t="s">
        <v>93</v>
      </c>
      <c r="V411" s="14" t="s">
        <v>92</v>
      </c>
      <c r="W411" s="14" t="s">
        <v>92</v>
      </c>
      <c r="X411" s="14" t="s">
        <v>92</v>
      </c>
      <c r="Y411" s="14" t="s">
        <v>92</v>
      </c>
      <c r="Z411" s="14" t="s">
        <v>92</v>
      </c>
      <c r="AA411" s="14" t="s">
        <v>92</v>
      </c>
      <c r="AB411" s="8" t="s">
        <v>93</v>
      </c>
      <c r="AC411" s="8" t="s">
        <v>92</v>
      </c>
      <c r="AD411" s="8" t="s">
        <v>92</v>
      </c>
      <c r="AE411" s="14" t="s">
        <v>94</v>
      </c>
      <c r="AF411" s="14" t="s">
        <v>92</v>
      </c>
      <c r="AG411" s="14" t="s">
        <v>95</v>
      </c>
      <c r="AH411" s="8">
        <v>2020.0</v>
      </c>
      <c r="AI411" s="14" t="s">
        <v>93</v>
      </c>
      <c r="AJ411" s="14" t="s">
        <v>92</v>
      </c>
      <c r="AK411" s="14" t="s">
        <v>92</v>
      </c>
      <c r="AL411" s="14" t="s">
        <v>105</v>
      </c>
      <c r="AM411" s="8">
        <v>2020.0</v>
      </c>
      <c r="AN411" s="14" t="s">
        <v>96</v>
      </c>
      <c r="AO411" s="8" t="s">
        <v>92</v>
      </c>
      <c r="AP411" s="8" t="s">
        <v>92</v>
      </c>
      <c r="AQ411" s="14" t="s">
        <v>92</v>
      </c>
      <c r="AR411" s="14" t="s">
        <v>92</v>
      </c>
      <c r="AS411" s="14" t="s">
        <v>92</v>
      </c>
      <c r="AT411" s="14" t="s">
        <v>93</v>
      </c>
      <c r="AU411" s="14" t="s">
        <v>93</v>
      </c>
      <c r="AV411" s="14" t="s">
        <v>93</v>
      </c>
      <c r="AW411" s="14" t="s">
        <v>93</v>
      </c>
      <c r="AX411" s="14" t="s">
        <v>92</v>
      </c>
      <c r="AY411" s="8" t="s">
        <v>95</v>
      </c>
      <c r="AZ411" s="8" t="s">
        <v>95</v>
      </c>
      <c r="BA411" s="9" t="s">
        <v>1874</v>
      </c>
      <c r="BB411" s="8" t="s">
        <v>143</v>
      </c>
      <c r="BC411" s="8" t="s">
        <v>92</v>
      </c>
      <c r="BD411" s="14" t="s">
        <v>92</v>
      </c>
      <c r="BE411" s="14" t="s">
        <v>92</v>
      </c>
      <c r="BF411" s="14" t="s">
        <v>92</v>
      </c>
      <c r="BG411" s="14" t="s">
        <v>92</v>
      </c>
      <c r="BH411" s="14" t="s">
        <v>92</v>
      </c>
      <c r="BI411" s="14" t="s">
        <v>93</v>
      </c>
      <c r="BJ411" s="14" t="s">
        <v>92</v>
      </c>
      <c r="BK411" s="14" t="s">
        <v>1751</v>
      </c>
      <c r="BL411" s="14" t="s">
        <v>92</v>
      </c>
      <c r="BM411" s="14" t="s">
        <v>92</v>
      </c>
      <c r="BN411" s="14" t="s">
        <v>92</v>
      </c>
      <c r="BO411" s="14" t="s">
        <v>93</v>
      </c>
      <c r="BP411" s="14" t="s">
        <v>92</v>
      </c>
      <c r="BQ411" s="8" t="s">
        <v>93</v>
      </c>
      <c r="BR411" s="8" t="s">
        <v>92</v>
      </c>
      <c r="BS411" s="8" t="s">
        <v>92</v>
      </c>
      <c r="BT411" s="8" t="s">
        <v>92</v>
      </c>
      <c r="BU411" s="8" t="s">
        <v>92</v>
      </c>
      <c r="BV411" s="8" t="s">
        <v>92</v>
      </c>
      <c r="BW411" s="8" t="s">
        <v>92</v>
      </c>
      <c r="BX411" s="8" t="s">
        <v>92</v>
      </c>
      <c r="BY411" s="8" t="s">
        <v>92</v>
      </c>
      <c r="BZ411" s="8" t="s">
        <v>92</v>
      </c>
      <c r="CA411" s="8" t="s">
        <v>92</v>
      </c>
      <c r="CB411" s="20" t="s">
        <v>1189</v>
      </c>
      <c r="CC411" s="17"/>
      <c r="CD411" s="18"/>
      <c r="CE411" s="18"/>
      <c r="CF411" s="18"/>
      <c r="CG411" s="18"/>
      <c r="CH411" s="18"/>
    </row>
    <row r="412">
      <c r="A412" s="8"/>
      <c r="B412" s="9" t="s">
        <v>1829</v>
      </c>
      <c r="C412" s="10" t="s">
        <v>1830</v>
      </c>
      <c r="D412" s="9" t="s">
        <v>1670</v>
      </c>
      <c r="E412" s="11" t="s">
        <v>1875</v>
      </c>
      <c r="F412" s="12"/>
      <c r="G412" s="14" t="s">
        <v>1774</v>
      </c>
      <c r="H412" s="14" t="s">
        <v>110</v>
      </c>
      <c r="I412" s="14" t="s">
        <v>1876</v>
      </c>
      <c r="J412" s="14" t="s">
        <v>93</v>
      </c>
      <c r="K412" s="14" t="s">
        <v>92</v>
      </c>
      <c r="L412" s="14" t="s">
        <v>93</v>
      </c>
      <c r="M412" s="14" t="s">
        <v>93</v>
      </c>
      <c r="N412" s="14" t="s">
        <v>92</v>
      </c>
      <c r="O412" s="14" t="s">
        <v>92</v>
      </c>
      <c r="P412" s="14" t="s">
        <v>92</v>
      </c>
      <c r="Q412" s="14" t="s">
        <v>92</v>
      </c>
      <c r="R412" s="14" t="s">
        <v>92</v>
      </c>
      <c r="S412" s="14" t="s">
        <v>93</v>
      </c>
      <c r="T412" s="14" t="s">
        <v>92</v>
      </c>
      <c r="U412" s="14" t="s">
        <v>92</v>
      </c>
      <c r="V412" s="14" t="s">
        <v>92</v>
      </c>
      <c r="W412" s="14" t="s">
        <v>92</v>
      </c>
      <c r="X412" s="14" t="s">
        <v>92</v>
      </c>
      <c r="Y412" s="14" t="s">
        <v>92</v>
      </c>
      <c r="Z412" s="14" t="s">
        <v>92</v>
      </c>
      <c r="AA412" s="14" t="s">
        <v>92</v>
      </c>
      <c r="AB412" s="8" t="s">
        <v>93</v>
      </c>
      <c r="AC412" s="8" t="s">
        <v>93</v>
      </c>
      <c r="AD412" s="8" t="s">
        <v>92</v>
      </c>
      <c r="AE412" s="14" t="s">
        <v>103</v>
      </c>
      <c r="AF412" s="14" t="s">
        <v>92</v>
      </c>
      <c r="AG412" s="14" t="s">
        <v>95</v>
      </c>
      <c r="AH412" s="8">
        <v>2021.0</v>
      </c>
      <c r="AI412" s="14" t="s">
        <v>93</v>
      </c>
      <c r="AJ412" s="14" t="s">
        <v>93</v>
      </c>
      <c r="AK412" s="14" t="s">
        <v>93</v>
      </c>
      <c r="AL412" s="14" t="s">
        <v>105</v>
      </c>
      <c r="AM412" s="8" t="s">
        <v>105</v>
      </c>
      <c r="AN412" s="14" t="s">
        <v>105</v>
      </c>
      <c r="AO412" s="8" t="s">
        <v>93</v>
      </c>
      <c r="AP412" s="8" t="s">
        <v>92</v>
      </c>
      <c r="AQ412" s="14" t="s">
        <v>92</v>
      </c>
      <c r="AR412" s="14" t="s">
        <v>92</v>
      </c>
      <c r="AS412" s="14" t="s">
        <v>92</v>
      </c>
      <c r="AT412" s="14" t="s">
        <v>93</v>
      </c>
      <c r="AU412" s="14" t="s">
        <v>93</v>
      </c>
      <c r="AV412" s="14" t="s">
        <v>93</v>
      </c>
      <c r="AW412" s="14" t="s">
        <v>93</v>
      </c>
      <c r="AX412" s="14" t="s">
        <v>92</v>
      </c>
      <c r="AY412" s="8" t="s">
        <v>95</v>
      </c>
      <c r="AZ412" s="8" t="s">
        <v>95</v>
      </c>
      <c r="BA412" s="9" t="s">
        <v>1829</v>
      </c>
      <c r="BB412" s="8" t="s">
        <v>97</v>
      </c>
      <c r="BC412" s="8" t="s">
        <v>92</v>
      </c>
      <c r="BD412" s="14" t="s">
        <v>93</v>
      </c>
      <c r="BE412" s="14" t="s">
        <v>92</v>
      </c>
      <c r="BF412" s="14" t="s">
        <v>92</v>
      </c>
      <c r="BG412" s="14" t="s">
        <v>92</v>
      </c>
      <c r="BH412" s="14" t="s">
        <v>92</v>
      </c>
      <c r="BI412" s="14" t="s">
        <v>92</v>
      </c>
      <c r="BJ412" s="14" t="s">
        <v>92</v>
      </c>
      <c r="BK412" s="14" t="s">
        <v>1877</v>
      </c>
      <c r="BL412" s="14" t="s">
        <v>93</v>
      </c>
      <c r="BM412" s="14" t="s">
        <v>93</v>
      </c>
      <c r="BN412" s="14" t="s">
        <v>93</v>
      </c>
      <c r="BO412" s="14" t="s">
        <v>93</v>
      </c>
      <c r="BP412" s="14" t="s">
        <v>93</v>
      </c>
      <c r="BQ412" s="8" t="s">
        <v>92</v>
      </c>
      <c r="BR412" s="8" t="s">
        <v>92</v>
      </c>
      <c r="BS412" s="8" t="s">
        <v>93</v>
      </c>
      <c r="BT412" s="8" t="s">
        <v>92</v>
      </c>
      <c r="BU412" s="8" t="s">
        <v>92</v>
      </c>
      <c r="BV412" s="8" t="s">
        <v>92</v>
      </c>
      <c r="BW412" s="8" t="s">
        <v>92</v>
      </c>
      <c r="BX412" s="8" t="s">
        <v>92</v>
      </c>
      <c r="BY412" s="8" t="s">
        <v>92</v>
      </c>
      <c r="BZ412" s="8" t="s">
        <v>92</v>
      </c>
      <c r="CA412" s="8" t="s">
        <v>92</v>
      </c>
      <c r="CB412" s="20" t="s">
        <v>129</v>
      </c>
      <c r="CC412" s="20" t="s">
        <v>1195</v>
      </c>
      <c r="CD412" s="18"/>
      <c r="CE412" s="18"/>
      <c r="CF412" s="18"/>
      <c r="CG412" s="18"/>
      <c r="CH412" s="18"/>
    </row>
    <row r="413">
      <c r="A413" s="8"/>
      <c r="B413" s="9" t="s">
        <v>1829</v>
      </c>
      <c r="C413" s="10" t="s">
        <v>1830</v>
      </c>
      <c r="D413" s="9" t="s">
        <v>1670</v>
      </c>
      <c r="E413" s="11" t="s">
        <v>1878</v>
      </c>
      <c r="F413" s="12"/>
      <c r="G413" s="14" t="s">
        <v>1204</v>
      </c>
      <c r="H413" s="14" t="s">
        <v>90</v>
      </c>
      <c r="I413" s="14" t="s">
        <v>1879</v>
      </c>
      <c r="J413" s="14" t="s">
        <v>92</v>
      </c>
      <c r="K413" s="14" t="s">
        <v>92</v>
      </c>
      <c r="L413" s="14" t="s">
        <v>92</v>
      </c>
      <c r="M413" s="14" t="s">
        <v>93</v>
      </c>
      <c r="N413" s="14" t="s">
        <v>92</v>
      </c>
      <c r="O413" s="14" t="s">
        <v>92</v>
      </c>
      <c r="P413" s="14" t="s">
        <v>92</v>
      </c>
      <c r="Q413" s="14" t="s">
        <v>92</v>
      </c>
      <c r="R413" s="14" t="s">
        <v>92</v>
      </c>
      <c r="S413" s="14" t="s">
        <v>92</v>
      </c>
      <c r="T413" s="14" t="s">
        <v>92</v>
      </c>
      <c r="U413" s="14" t="s">
        <v>93</v>
      </c>
      <c r="V413" s="14" t="s">
        <v>92</v>
      </c>
      <c r="W413" s="14" t="s">
        <v>92</v>
      </c>
      <c r="X413" s="14" t="s">
        <v>92</v>
      </c>
      <c r="Y413" s="14" t="s">
        <v>92</v>
      </c>
      <c r="Z413" s="14" t="s">
        <v>92</v>
      </c>
      <c r="AA413" s="14" t="s">
        <v>92</v>
      </c>
      <c r="AB413" s="8" t="s">
        <v>93</v>
      </c>
      <c r="AC413" s="8" t="s">
        <v>92</v>
      </c>
      <c r="AD413" s="8" t="s">
        <v>92</v>
      </c>
      <c r="AE413" s="14" t="s">
        <v>94</v>
      </c>
      <c r="AF413" s="14" t="s">
        <v>92</v>
      </c>
      <c r="AG413" s="14" t="s">
        <v>95</v>
      </c>
      <c r="AH413" s="8">
        <v>2020.0</v>
      </c>
      <c r="AI413" s="14" t="s">
        <v>93</v>
      </c>
      <c r="AJ413" s="14" t="s">
        <v>93</v>
      </c>
      <c r="AK413" s="14" t="s">
        <v>93</v>
      </c>
      <c r="AL413" s="14" t="s">
        <v>105</v>
      </c>
      <c r="AM413" s="8" t="s">
        <v>105</v>
      </c>
      <c r="AN413" s="14" t="s">
        <v>105</v>
      </c>
      <c r="AO413" s="8" t="s">
        <v>93</v>
      </c>
      <c r="AP413" s="8" t="s">
        <v>92</v>
      </c>
      <c r="AQ413" s="14" t="s">
        <v>92</v>
      </c>
      <c r="AR413" s="14" t="s">
        <v>92</v>
      </c>
      <c r="AS413" s="14" t="s">
        <v>92</v>
      </c>
      <c r="AT413" s="14" t="s">
        <v>93</v>
      </c>
      <c r="AU413" s="14" t="s">
        <v>93</v>
      </c>
      <c r="AV413" s="14" t="s">
        <v>93</v>
      </c>
      <c r="AW413" s="14" t="s">
        <v>93</v>
      </c>
      <c r="AX413" s="14" t="s">
        <v>92</v>
      </c>
      <c r="AY413" s="8" t="s">
        <v>95</v>
      </c>
      <c r="AZ413" s="8" t="s">
        <v>95</v>
      </c>
      <c r="BA413" s="9" t="s">
        <v>1204</v>
      </c>
      <c r="BB413" s="8" t="s">
        <v>261</v>
      </c>
      <c r="BC413" s="8" t="s">
        <v>92</v>
      </c>
      <c r="BD413" s="14" t="s">
        <v>92</v>
      </c>
      <c r="BE413" s="14" t="s">
        <v>92</v>
      </c>
      <c r="BF413" s="14" t="s">
        <v>92</v>
      </c>
      <c r="BG413" s="14" t="s">
        <v>92</v>
      </c>
      <c r="BH413" s="14" t="s">
        <v>92</v>
      </c>
      <c r="BI413" s="14" t="s">
        <v>93</v>
      </c>
      <c r="BJ413" s="14" t="s">
        <v>92</v>
      </c>
      <c r="BK413" s="14" t="s">
        <v>482</v>
      </c>
      <c r="BL413" s="14" t="s">
        <v>92</v>
      </c>
      <c r="BM413" s="14" t="s">
        <v>92</v>
      </c>
      <c r="BN413" s="14" t="s">
        <v>92</v>
      </c>
      <c r="BO413" s="14" t="s">
        <v>93</v>
      </c>
      <c r="BP413" s="14" t="s">
        <v>92</v>
      </c>
      <c r="BQ413" s="8" t="s">
        <v>93</v>
      </c>
      <c r="BR413" s="8" t="s">
        <v>92</v>
      </c>
      <c r="BS413" s="8" t="s">
        <v>92</v>
      </c>
      <c r="BT413" s="8" t="s">
        <v>92</v>
      </c>
      <c r="BU413" s="8" t="s">
        <v>92</v>
      </c>
      <c r="BV413" s="8" t="s">
        <v>92</v>
      </c>
      <c r="BW413" s="8" t="s">
        <v>92</v>
      </c>
      <c r="BX413" s="8" t="s">
        <v>92</v>
      </c>
      <c r="BY413" s="8" t="s">
        <v>92</v>
      </c>
      <c r="BZ413" s="8" t="s">
        <v>92</v>
      </c>
      <c r="CA413" s="8" t="s">
        <v>92</v>
      </c>
      <c r="CB413" s="20" t="s">
        <v>129</v>
      </c>
      <c r="CC413" s="20" t="s">
        <v>1195</v>
      </c>
      <c r="CD413" s="18"/>
      <c r="CE413" s="18"/>
      <c r="CF413" s="18"/>
      <c r="CG413" s="18"/>
      <c r="CH413" s="18"/>
    </row>
    <row r="414">
      <c r="A414" s="8"/>
      <c r="B414" s="9" t="s">
        <v>1829</v>
      </c>
      <c r="C414" s="10" t="s">
        <v>1830</v>
      </c>
      <c r="D414" s="9" t="s">
        <v>1670</v>
      </c>
      <c r="E414" s="11" t="s">
        <v>1880</v>
      </c>
      <c r="F414" s="12"/>
      <c r="G414" s="14" t="s">
        <v>1850</v>
      </c>
      <c r="H414" s="14" t="s">
        <v>90</v>
      </c>
      <c r="I414" s="14" t="s">
        <v>1881</v>
      </c>
      <c r="J414" s="14" t="s">
        <v>92</v>
      </c>
      <c r="K414" s="14" t="s">
        <v>92</v>
      </c>
      <c r="L414" s="14" t="s">
        <v>92</v>
      </c>
      <c r="M414" s="14" t="s">
        <v>93</v>
      </c>
      <c r="N414" s="14" t="s">
        <v>92</v>
      </c>
      <c r="O414" s="14" t="s">
        <v>92</v>
      </c>
      <c r="P414" s="14" t="s">
        <v>92</v>
      </c>
      <c r="Q414" s="14" t="s">
        <v>93</v>
      </c>
      <c r="R414" s="14" t="s">
        <v>92</v>
      </c>
      <c r="S414" s="14" t="s">
        <v>92</v>
      </c>
      <c r="T414" s="14" t="s">
        <v>92</v>
      </c>
      <c r="U414" s="14" t="s">
        <v>93</v>
      </c>
      <c r="V414" s="14" t="s">
        <v>92</v>
      </c>
      <c r="W414" s="14" t="s">
        <v>92</v>
      </c>
      <c r="X414" s="14" t="s">
        <v>92</v>
      </c>
      <c r="Y414" s="14" t="s">
        <v>92</v>
      </c>
      <c r="Z414" s="14" t="s">
        <v>92</v>
      </c>
      <c r="AA414" s="14" t="s">
        <v>92</v>
      </c>
      <c r="AB414" s="8" t="s">
        <v>93</v>
      </c>
      <c r="AC414" s="8" t="s">
        <v>92</v>
      </c>
      <c r="AD414" s="8" t="s">
        <v>92</v>
      </c>
      <c r="AE414" s="14" t="s">
        <v>94</v>
      </c>
      <c r="AF414" s="14" t="s">
        <v>92</v>
      </c>
      <c r="AG414" s="14" t="s">
        <v>95</v>
      </c>
      <c r="AH414" s="8">
        <v>2022.0</v>
      </c>
      <c r="AI414" s="14" t="s">
        <v>92</v>
      </c>
      <c r="AJ414" s="14" t="s">
        <v>92</v>
      </c>
      <c r="AK414" s="14" t="s">
        <v>93</v>
      </c>
      <c r="AL414" s="14" t="s">
        <v>105</v>
      </c>
      <c r="AM414" s="8" t="s">
        <v>105</v>
      </c>
      <c r="AN414" s="14" t="s">
        <v>105</v>
      </c>
      <c r="AO414" s="8" t="s">
        <v>105</v>
      </c>
      <c r="AP414" s="8" t="s">
        <v>92</v>
      </c>
      <c r="AQ414" s="14" t="s">
        <v>92</v>
      </c>
      <c r="AR414" s="14" t="s">
        <v>92</v>
      </c>
      <c r="AS414" s="14" t="s">
        <v>92</v>
      </c>
      <c r="AT414" s="14" t="s">
        <v>93</v>
      </c>
      <c r="AU414" s="14" t="s">
        <v>93</v>
      </c>
      <c r="AV414" s="14" t="s">
        <v>93</v>
      </c>
      <c r="AW414" s="14" t="s">
        <v>93</v>
      </c>
      <c r="AX414" s="14" t="s">
        <v>92</v>
      </c>
      <c r="AY414" s="8" t="s">
        <v>95</v>
      </c>
      <c r="AZ414" s="8" t="s">
        <v>95</v>
      </c>
      <c r="BA414" s="9" t="s">
        <v>1850</v>
      </c>
      <c r="BB414" s="8" t="s">
        <v>143</v>
      </c>
      <c r="BC414" s="8" t="s">
        <v>92</v>
      </c>
      <c r="BD414" s="14" t="s">
        <v>92</v>
      </c>
      <c r="BE414" s="14" t="s">
        <v>92</v>
      </c>
      <c r="BF414" s="14" t="s">
        <v>92</v>
      </c>
      <c r="BG414" s="14" t="s">
        <v>92</v>
      </c>
      <c r="BH414" s="14" t="s">
        <v>92</v>
      </c>
      <c r="BI414" s="14" t="s">
        <v>93</v>
      </c>
      <c r="BJ414" s="14" t="s">
        <v>92</v>
      </c>
      <c r="BK414" s="14" t="s">
        <v>1882</v>
      </c>
      <c r="BL414" s="14" t="s">
        <v>92</v>
      </c>
      <c r="BM414" s="14" t="s">
        <v>93</v>
      </c>
      <c r="BN414" s="14" t="s">
        <v>92</v>
      </c>
      <c r="BO414" s="14" t="s">
        <v>93</v>
      </c>
      <c r="BP414" s="14" t="s">
        <v>92</v>
      </c>
      <c r="BQ414" s="8" t="s">
        <v>93</v>
      </c>
      <c r="BR414" s="8" t="s">
        <v>92</v>
      </c>
      <c r="BS414" s="8" t="s">
        <v>92</v>
      </c>
      <c r="BT414" s="8" t="s">
        <v>92</v>
      </c>
      <c r="BU414" s="8" t="s">
        <v>92</v>
      </c>
      <c r="BV414" s="8" t="s">
        <v>92</v>
      </c>
      <c r="BW414" s="8" t="s">
        <v>92</v>
      </c>
      <c r="BX414" s="8" t="s">
        <v>92</v>
      </c>
      <c r="BY414" s="8" t="s">
        <v>92</v>
      </c>
      <c r="BZ414" s="8" t="s">
        <v>92</v>
      </c>
      <c r="CA414" s="8" t="s">
        <v>92</v>
      </c>
      <c r="CB414" s="20" t="s">
        <v>1195</v>
      </c>
      <c r="CC414" s="17"/>
      <c r="CD414" s="18"/>
      <c r="CE414" s="18"/>
      <c r="CF414" s="18"/>
      <c r="CG414" s="18"/>
      <c r="CH414" s="18"/>
    </row>
    <row r="415">
      <c r="A415" s="8"/>
      <c r="B415" s="9" t="s">
        <v>1829</v>
      </c>
      <c r="C415" s="10" t="s">
        <v>1830</v>
      </c>
      <c r="D415" s="9" t="s">
        <v>1670</v>
      </c>
      <c r="E415" s="11" t="s">
        <v>1883</v>
      </c>
      <c r="F415" s="12"/>
      <c r="G415" s="14" t="s">
        <v>1884</v>
      </c>
      <c r="H415" s="14" t="s">
        <v>90</v>
      </c>
      <c r="I415" s="14" t="s">
        <v>1885</v>
      </c>
      <c r="J415" s="14" t="s">
        <v>92</v>
      </c>
      <c r="K415" s="14" t="s">
        <v>92</v>
      </c>
      <c r="L415" s="14" t="s">
        <v>92</v>
      </c>
      <c r="M415" s="14" t="s">
        <v>92</v>
      </c>
      <c r="N415" s="14" t="s">
        <v>92</v>
      </c>
      <c r="O415" s="14" t="s">
        <v>92</v>
      </c>
      <c r="P415" s="14" t="s">
        <v>92</v>
      </c>
      <c r="Q415" s="14" t="s">
        <v>93</v>
      </c>
      <c r="R415" s="14" t="s">
        <v>92</v>
      </c>
      <c r="S415" s="14" t="s">
        <v>92</v>
      </c>
      <c r="T415" s="14" t="s">
        <v>92</v>
      </c>
      <c r="U415" s="14" t="s">
        <v>93</v>
      </c>
      <c r="V415" s="14" t="s">
        <v>92</v>
      </c>
      <c r="W415" s="14" t="s">
        <v>92</v>
      </c>
      <c r="X415" s="14" t="s">
        <v>92</v>
      </c>
      <c r="Y415" s="14" t="s">
        <v>92</v>
      </c>
      <c r="Z415" s="14" t="s">
        <v>92</v>
      </c>
      <c r="AA415" s="14" t="s">
        <v>92</v>
      </c>
      <c r="AB415" s="8" t="s">
        <v>93</v>
      </c>
      <c r="AC415" s="8" t="s">
        <v>92</v>
      </c>
      <c r="AD415" s="8" t="s">
        <v>92</v>
      </c>
      <c r="AE415" s="14" t="s">
        <v>94</v>
      </c>
      <c r="AF415" s="14" t="s">
        <v>92</v>
      </c>
      <c r="AG415" s="14" t="s">
        <v>95</v>
      </c>
      <c r="AH415" s="8">
        <v>2022.0</v>
      </c>
      <c r="AI415" s="14" t="s">
        <v>92</v>
      </c>
      <c r="AJ415" s="14" t="s">
        <v>92</v>
      </c>
      <c r="AK415" s="14" t="s">
        <v>93</v>
      </c>
      <c r="AL415" s="14" t="s">
        <v>105</v>
      </c>
      <c r="AM415" s="8" t="s">
        <v>105</v>
      </c>
      <c r="AN415" s="14" t="s">
        <v>105</v>
      </c>
      <c r="AO415" s="8" t="s">
        <v>105</v>
      </c>
      <c r="AP415" s="8" t="s">
        <v>92</v>
      </c>
      <c r="AQ415" s="14" t="s">
        <v>92</v>
      </c>
      <c r="AR415" s="14" t="s">
        <v>92</v>
      </c>
      <c r="AS415" s="14" t="s">
        <v>92</v>
      </c>
      <c r="AT415" s="14" t="s">
        <v>93</v>
      </c>
      <c r="AU415" s="14" t="s">
        <v>93</v>
      </c>
      <c r="AV415" s="14" t="s">
        <v>93</v>
      </c>
      <c r="AW415" s="14" t="s">
        <v>93</v>
      </c>
      <c r="AX415" s="14" t="s">
        <v>92</v>
      </c>
      <c r="AY415" s="8" t="s">
        <v>95</v>
      </c>
      <c r="AZ415" s="8" t="s">
        <v>95</v>
      </c>
      <c r="BA415" s="9" t="s">
        <v>1884</v>
      </c>
      <c r="BB415" s="8" t="s">
        <v>143</v>
      </c>
      <c r="BC415" s="8" t="s">
        <v>92</v>
      </c>
      <c r="BD415" s="14" t="s">
        <v>92</v>
      </c>
      <c r="BE415" s="14" t="s">
        <v>92</v>
      </c>
      <c r="BF415" s="14" t="s">
        <v>92</v>
      </c>
      <c r="BG415" s="14" t="s">
        <v>92</v>
      </c>
      <c r="BH415" s="14" t="s">
        <v>92</v>
      </c>
      <c r="BI415" s="14" t="s">
        <v>93</v>
      </c>
      <c r="BJ415" s="14" t="s">
        <v>92</v>
      </c>
      <c r="BK415" s="14" t="s">
        <v>482</v>
      </c>
      <c r="BL415" s="14" t="s">
        <v>92</v>
      </c>
      <c r="BM415" s="14" t="s">
        <v>92</v>
      </c>
      <c r="BN415" s="14" t="s">
        <v>92</v>
      </c>
      <c r="BO415" s="14" t="s">
        <v>93</v>
      </c>
      <c r="BP415" s="14" t="s">
        <v>92</v>
      </c>
      <c r="BQ415" s="8" t="s">
        <v>93</v>
      </c>
      <c r="BR415" s="8" t="s">
        <v>92</v>
      </c>
      <c r="BS415" s="8" t="s">
        <v>92</v>
      </c>
      <c r="BT415" s="8" t="s">
        <v>92</v>
      </c>
      <c r="BU415" s="8" t="s">
        <v>92</v>
      </c>
      <c r="BV415" s="8" t="s">
        <v>92</v>
      </c>
      <c r="BW415" s="8" t="s">
        <v>92</v>
      </c>
      <c r="BX415" s="8" t="s">
        <v>92</v>
      </c>
      <c r="BY415" s="8" t="s">
        <v>92</v>
      </c>
      <c r="BZ415" s="8" t="s">
        <v>92</v>
      </c>
      <c r="CA415" s="8" t="s">
        <v>92</v>
      </c>
      <c r="CB415" s="20" t="s">
        <v>1195</v>
      </c>
      <c r="CC415" s="17"/>
      <c r="CD415" s="18"/>
      <c r="CE415" s="18"/>
      <c r="CF415" s="18"/>
      <c r="CG415" s="18"/>
      <c r="CH415" s="18"/>
    </row>
    <row r="416" ht="15.0" customHeight="1">
      <c r="A416" s="8"/>
      <c r="B416" s="19" t="s">
        <v>1829</v>
      </c>
      <c r="C416" s="10" t="s">
        <v>1830</v>
      </c>
      <c r="D416" s="9" t="s">
        <v>1670</v>
      </c>
      <c r="E416" s="11" t="s">
        <v>1886</v>
      </c>
      <c r="F416" s="25"/>
      <c r="G416" s="14" t="s">
        <v>1887</v>
      </c>
      <c r="H416" s="14" t="s">
        <v>90</v>
      </c>
      <c r="I416" s="14" t="s">
        <v>1888</v>
      </c>
      <c r="J416" s="14" t="s">
        <v>93</v>
      </c>
      <c r="K416" s="14" t="s">
        <v>92</v>
      </c>
      <c r="L416" s="14" t="s">
        <v>92</v>
      </c>
      <c r="M416" s="14" t="s">
        <v>92</v>
      </c>
      <c r="N416" s="14" t="s">
        <v>92</v>
      </c>
      <c r="O416" s="14" t="s">
        <v>92</v>
      </c>
      <c r="P416" s="14" t="s">
        <v>92</v>
      </c>
      <c r="Q416" s="14" t="s">
        <v>92</v>
      </c>
      <c r="R416" s="14" t="s">
        <v>92</v>
      </c>
      <c r="S416" s="14" t="s">
        <v>92</v>
      </c>
      <c r="T416" s="14" t="s">
        <v>92</v>
      </c>
      <c r="U416" s="14" t="s">
        <v>92</v>
      </c>
      <c r="V416" s="14" t="s">
        <v>92</v>
      </c>
      <c r="W416" s="14" t="s">
        <v>92</v>
      </c>
      <c r="X416" s="14" t="s">
        <v>93</v>
      </c>
      <c r="Y416" s="14" t="s">
        <v>92</v>
      </c>
      <c r="Z416" s="14" t="s">
        <v>93</v>
      </c>
      <c r="AA416" s="14" t="s">
        <v>92</v>
      </c>
      <c r="AB416" s="8" t="s">
        <v>92</v>
      </c>
      <c r="AC416" s="8" t="s">
        <v>93</v>
      </c>
      <c r="AD416" s="8" t="s">
        <v>92</v>
      </c>
      <c r="AE416" s="14" t="s">
        <v>112</v>
      </c>
      <c r="AF416" s="14" t="s">
        <v>92</v>
      </c>
      <c r="AG416" s="14" t="s">
        <v>95</v>
      </c>
      <c r="AH416" s="8" t="s">
        <v>105</v>
      </c>
      <c r="AI416" s="14" t="s">
        <v>93</v>
      </c>
      <c r="AJ416" s="14" t="s">
        <v>93</v>
      </c>
      <c r="AK416" s="14" t="s">
        <v>93</v>
      </c>
      <c r="AL416" s="14" t="s">
        <v>105</v>
      </c>
      <c r="AM416" s="8" t="s">
        <v>95</v>
      </c>
      <c r="AN416" s="14" t="s">
        <v>114</v>
      </c>
      <c r="AO416" s="8" t="s">
        <v>93</v>
      </c>
      <c r="AP416" s="8" t="s">
        <v>92</v>
      </c>
      <c r="AQ416" s="14" t="s">
        <v>92</v>
      </c>
      <c r="AR416" s="14" t="s">
        <v>92</v>
      </c>
      <c r="AS416" s="14" t="s">
        <v>92</v>
      </c>
      <c r="AT416" s="14" t="s">
        <v>93</v>
      </c>
      <c r="AU416" s="14" t="s">
        <v>93</v>
      </c>
      <c r="AV416" s="14" t="s">
        <v>93</v>
      </c>
      <c r="AW416" s="14" t="s">
        <v>93</v>
      </c>
      <c r="AX416" s="14" t="s">
        <v>92</v>
      </c>
      <c r="AY416" s="8" t="s">
        <v>95</v>
      </c>
      <c r="AZ416" s="8" t="s">
        <v>95</v>
      </c>
      <c r="BA416" s="9" t="s">
        <v>1829</v>
      </c>
      <c r="BB416" s="8" t="s">
        <v>97</v>
      </c>
      <c r="BC416" s="8" t="s">
        <v>92</v>
      </c>
      <c r="BD416" s="14" t="s">
        <v>93</v>
      </c>
      <c r="BE416" s="14" t="s">
        <v>92</v>
      </c>
      <c r="BF416" s="14" t="s">
        <v>92</v>
      </c>
      <c r="BG416" s="14" t="s">
        <v>93</v>
      </c>
      <c r="BH416" s="14" t="s">
        <v>92</v>
      </c>
      <c r="BI416" s="14" t="s">
        <v>92</v>
      </c>
      <c r="BJ416" s="14" t="s">
        <v>92</v>
      </c>
      <c r="BK416" s="14" t="s">
        <v>98</v>
      </c>
      <c r="BL416" s="14" t="s">
        <v>92</v>
      </c>
      <c r="BM416" s="14" t="s">
        <v>92</v>
      </c>
      <c r="BN416" s="14" t="s">
        <v>92</v>
      </c>
      <c r="BO416" s="14" t="s">
        <v>92</v>
      </c>
      <c r="BP416" s="14" t="s">
        <v>93</v>
      </c>
      <c r="BQ416" s="8" t="s">
        <v>92</v>
      </c>
      <c r="BR416" s="8" t="s">
        <v>92</v>
      </c>
      <c r="BS416" s="8" t="s">
        <v>92</v>
      </c>
      <c r="BT416" s="8" t="s">
        <v>93</v>
      </c>
      <c r="BU416" s="8" t="s">
        <v>92</v>
      </c>
      <c r="BV416" s="8" t="s">
        <v>92</v>
      </c>
      <c r="BW416" s="8" t="s">
        <v>93</v>
      </c>
      <c r="BX416" s="8" t="s">
        <v>93</v>
      </c>
      <c r="BY416" s="8" t="s">
        <v>93</v>
      </c>
      <c r="BZ416" s="8" t="s">
        <v>92</v>
      </c>
      <c r="CA416" s="8" t="s">
        <v>92</v>
      </c>
      <c r="CB416" s="20" t="s">
        <v>1189</v>
      </c>
      <c r="CC416" s="20" t="s">
        <v>129</v>
      </c>
      <c r="CD416" s="20" t="s">
        <v>1195</v>
      </c>
      <c r="CE416" s="18"/>
      <c r="CF416" s="18"/>
      <c r="CG416" s="18"/>
      <c r="CH416" s="18"/>
    </row>
    <row r="417">
      <c r="A417" s="8"/>
      <c r="B417" s="9" t="s">
        <v>1889</v>
      </c>
      <c r="C417" s="10" t="s">
        <v>1890</v>
      </c>
      <c r="D417" s="9" t="s">
        <v>1670</v>
      </c>
      <c r="E417" s="11" t="s">
        <v>1891</v>
      </c>
      <c r="F417" s="12"/>
      <c r="G417" s="14" t="s">
        <v>1892</v>
      </c>
      <c r="H417" s="14" t="s">
        <v>90</v>
      </c>
      <c r="I417" s="14" t="s">
        <v>1893</v>
      </c>
      <c r="J417" s="14" t="s">
        <v>92</v>
      </c>
      <c r="K417" s="14" t="s">
        <v>92</v>
      </c>
      <c r="L417" s="14" t="s">
        <v>92</v>
      </c>
      <c r="M417" s="14" t="s">
        <v>92</v>
      </c>
      <c r="N417" s="14" t="s">
        <v>92</v>
      </c>
      <c r="O417" s="14" t="s">
        <v>92</v>
      </c>
      <c r="P417" s="14" t="s">
        <v>92</v>
      </c>
      <c r="Q417" s="14" t="s">
        <v>92</v>
      </c>
      <c r="R417" s="14" t="s">
        <v>92</v>
      </c>
      <c r="S417" s="14" t="s">
        <v>92</v>
      </c>
      <c r="T417" s="14" t="s">
        <v>92</v>
      </c>
      <c r="U417" s="14" t="s">
        <v>93</v>
      </c>
      <c r="V417" s="14" t="s">
        <v>92</v>
      </c>
      <c r="W417" s="14" t="s">
        <v>92</v>
      </c>
      <c r="X417" s="14" t="s">
        <v>92</v>
      </c>
      <c r="Y417" s="14" t="s">
        <v>92</v>
      </c>
      <c r="Z417" s="14" t="s">
        <v>92</v>
      </c>
      <c r="AA417" s="14" t="s">
        <v>92</v>
      </c>
      <c r="AB417" s="8" t="s">
        <v>93</v>
      </c>
      <c r="AC417" s="8" t="s">
        <v>92</v>
      </c>
      <c r="AD417" s="8" t="s">
        <v>92</v>
      </c>
      <c r="AE417" s="14" t="s">
        <v>94</v>
      </c>
      <c r="AF417" s="14" t="s">
        <v>92</v>
      </c>
      <c r="AG417" s="14" t="s">
        <v>95</v>
      </c>
      <c r="AH417" s="8">
        <v>2020.0</v>
      </c>
      <c r="AI417" s="14" t="s">
        <v>93</v>
      </c>
      <c r="AJ417" s="14" t="s">
        <v>92</v>
      </c>
      <c r="AK417" s="14" t="s">
        <v>92</v>
      </c>
      <c r="AL417" s="14" t="s">
        <v>92</v>
      </c>
      <c r="AM417" s="8">
        <v>2020.0</v>
      </c>
      <c r="AN417" s="14" t="s">
        <v>96</v>
      </c>
      <c r="AO417" s="8" t="s">
        <v>92</v>
      </c>
      <c r="AP417" s="8" t="s">
        <v>93</v>
      </c>
      <c r="AQ417" s="14" t="s">
        <v>92</v>
      </c>
      <c r="AR417" s="14" t="s">
        <v>92</v>
      </c>
      <c r="AS417" s="14" t="s">
        <v>92</v>
      </c>
      <c r="AT417" s="14" t="s">
        <v>92</v>
      </c>
      <c r="AU417" s="14" t="s">
        <v>93</v>
      </c>
      <c r="AV417" s="14" t="s">
        <v>93</v>
      </c>
      <c r="AW417" s="14" t="s">
        <v>93</v>
      </c>
      <c r="AX417" s="14" t="s">
        <v>93</v>
      </c>
      <c r="AY417" s="8" t="s">
        <v>95</v>
      </c>
      <c r="AZ417" s="8" t="s">
        <v>95</v>
      </c>
      <c r="BA417" s="9" t="s">
        <v>1894</v>
      </c>
      <c r="BB417" s="8" t="s">
        <v>213</v>
      </c>
      <c r="BC417" s="8" t="s">
        <v>92</v>
      </c>
      <c r="BD417" s="14" t="s">
        <v>92</v>
      </c>
      <c r="BE417" s="14" t="s">
        <v>92</v>
      </c>
      <c r="BF417" s="14" t="s">
        <v>92</v>
      </c>
      <c r="BG417" s="14" t="s">
        <v>92</v>
      </c>
      <c r="BH417" s="14" t="s">
        <v>92</v>
      </c>
      <c r="BI417" s="14" t="s">
        <v>93</v>
      </c>
      <c r="BJ417" s="14" t="s">
        <v>92</v>
      </c>
      <c r="BK417" s="14" t="s">
        <v>105</v>
      </c>
      <c r="BL417" s="14" t="s">
        <v>105</v>
      </c>
      <c r="BM417" s="14" t="s">
        <v>105</v>
      </c>
      <c r="BN417" s="14" t="s">
        <v>105</v>
      </c>
      <c r="BO417" s="14" t="s">
        <v>105</v>
      </c>
      <c r="BP417" s="14" t="s">
        <v>105</v>
      </c>
      <c r="BQ417" s="8" t="s">
        <v>93</v>
      </c>
      <c r="BR417" s="8" t="s">
        <v>92</v>
      </c>
      <c r="BS417" s="8" t="s">
        <v>92</v>
      </c>
      <c r="BT417" s="8" t="s">
        <v>92</v>
      </c>
      <c r="BU417" s="8" t="s">
        <v>92</v>
      </c>
      <c r="BV417" s="8" t="s">
        <v>92</v>
      </c>
      <c r="BW417" s="8" t="s">
        <v>92</v>
      </c>
      <c r="BX417" s="8" t="s">
        <v>92</v>
      </c>
      <c r="BY417" s="8" t="s">
        <v>92</v>
      </c>
      <c r="BZ417" s="8" t="s">
        <v>92</v>
      </c>
      <c r="CA417" s="8" t="s">
        <v>92</v>
      </c>
      <c r="CB417" s="20" t="s">
        <v>454</v>
      </c>
      <c r="CC417" s="17"/>
      <c r="CD417" s="18"/>
      <c r="CE417" s="18"/>
      <c r="CF417" s="18"/>
      <c r="CG417" s="18"/>
      <c r="CH417" s="18"/>
    </row>
    <row r="418">
      <c r="A418" s="8"/>
      <c r="B418" s="9" t="s">
        <v>1889</v>
      </c>
      <c r="C418" s="10" t="s">
        <v>1890</v>
      </c>
      <c r="D418" s="9" t="s">
        <v>1670</v>
      </c>
      <c r="E418" s="11" t="s">
        <v>1895</v>
      </c>
      <c r="F418" s="10" t="s">
        <v>1896</v>
      </c>
      <c r="G418" s="14" t="s">
        <v>1897</v>
      </c>
      <c r="H418" s="14" t="s">
        <v>110</v>
      </c>
      <c r="I418" s="14" t="s">
        <v>1898</v>
      </c>
      <c r="J418" s="14" t="s">
        <v>92</v>
      </c>
      <c r="K418" s="14" t="s">
        <v>92</v>
      </c>
      <c r="L418" s="14" t="s">
        <v>92</v>
      </c>
      <c r="M418" s="14" t="s">
        <v>92</v>
      </c>
      <c r="N418" s="14" t="s">
        <v>92</v>
      </c>
      <c r="O418" s="14" t="s">
        <v>92</v>
      </c>
      <c r="P418" s="14" t="s">
        <v>92</v>
      </c>
      <c r="Q418" s="14" t="s">
        <v>92</v>
      </c>
      <c r="R418" s="14" t="s">
        <v>92</v>
      </c>
      <c r="S418" s="14" t="s">
        <v>92</v>
      </c>
      <c r="T418" s="14" t="s">
        <v>93</v>
      </c>
      <c r="U418" s="14" t="s">
        <v>92</v>
      </c>
      <c r="V418" s="14" t="s">
        <v>92</v>
      </c>
      <c r="W418" s="14" t="s">
        <v>92</v>
      </c>
      <c r="X418" s="14" t="s">
        <v>92</v>
      </c>
      <c r="Y418" s="14" t="s">
        <v>92</v>
      </c>
      <c r="Z418" s="14" t="s">
        <v>92</v>
      </c>
      <c r="AA418" s="14" t="s">
        <v>92</v>
      </c>
      <c r="AB418" s="8" t="s">
        <v>93</v>
      </c>
      <c r="AC418" s="8" t="s">
        <v>93</v>
      </c>
      <c r="AD418" s="8" t="s">
        <v>92</v>
      </c>
      <c r="AE418" s="14" t="s">
        <v>148</v>
      </c>
      <c r="AF418" s="14" t="s">
        <v>92</v>
      </c>
      <c r="AG418" s="14" t="s">
        <v>95</v>
      </c>
      <c r="AH418" s="8" t="s">
        <v>105</v>
      </c>
      <c r="AI418" s="14" t="s">
        <v>93</v>
      </c>
      <c r="AJ418" s="14" t="s">
        <v>93</v>
      </c>
      <c r="AK418" s="14" t="s">
        <v>93</v>
      </c>
      <c r="AL418" s="14" t="s">
        <v>93</v>
      </c>
      <c r="AM418" s="8" t="s">
        <v>95</v>
      </c>
      <c r="AN418" s="14" t="s">
        <v>114</v>
      </c>
      <c r="AO418" s="8" t="s">
        <v>93</v>
      </c>
      <c r="AP418" s="8" t="s">
        <v>92</v>
      </c>
      <c r="AQ418" s="14" t="s">
        <v>92</v>
      </c>
      <c r="AR418" s="14" t="s">
        <v>92</v>
      </c>
      <c r="AS418" s="14" t="s">
        <v>92</v>
      </c>
      <c r="AT418" s="14" t="s">
        <v>92</v>
      </c>
      <c r="AU418" s="14" t="s">
        <v>93</v>
      </c>
      <c r="AV418" s="14" t="s">
        <v>93</v>
      </c>
      <c r="AW418" s="14" t="s">
        <v>93</v>
      </c>
      <c r="AX418" s="14" t="s">
        <v>93</v>
      </c>
      <c r="AY418" s="8" t="s">
        <v>95</v>
      </c>
      <c r="AZ418" s="8" t="s">
        <v>95</v>
      </c>
      <c r="BA418" s="9" t="s">
        <v>1899</v>
      </c>
      <c r="BB418" s="8" t="s">
        <v>143</v>
      </c>
      <c r="BC418" s="8" t="s">
        <v>92</v>
      </c>
      <c r="BD418" s="14" t="s">
        <v>92</v>
      </c>
      <c r="BE418" s="14" t="s">
        <v>92</v>
      </c>
      <c r="BF418" s="14" t="s">
        <v>92</v>
      </c>
      <c r="BG418" s="14" t="s">
        <v>92</v>
      </c>
      <c r="BH418" s="14" t="s">
        <v>92</v>
      </c>
      <c r="BI418" s="14" t="s">
        <v>93</v>
      </c>
      <c r="BJ418" s="14" t="s">
        <v>92</v>
      </c>
      <c r="BK418" s="14" t="s">
        <v>105</v>
      </c>
      <c r="BL418" s="14" t="s">
        <v>105</v>
      </c>
      <c r="BM418" s="14" t="s">
        <v>105</v>
      </c>
      <c r="BN418" s="14" t="s">
        <v>105</v>
      </c>
      <c r="BO418" s="14" t="s">
        <v>105</v>
      </c>
      <c r="BP418" s="14" t="s">
        <v>105</v>
      </c>
      <c r="BQ418" s="8" t="s">
        <v>92</v>
      </c>
      <c r="BR418" s="8" t="s">
        <v>93</v>
      </c>
      <c r="BS418" s="8" t="s">
        <v>92</v>
      </c>
      <c r="BT418" s="8" t="s">
        <v>92</v>
      </c>
      <c r="BU418" s="8" t="s">
        <v>92</v>
      </c>
      <c r="BV418" s="8" t="s">
        <v>93</v>
      </c>
      <c r="BW418" s="8" t="s">
        <v>92</v>
      </c>
      <c r="BX418" s="8" t="s">
        <v>92</v>
      </c>
      <c r="BY418" s="8" t="s">
        <v>92</v>
      </c>
      <c r="BZ418" s="8" t="s">
        <v>92</v>
      </c>
      <c r="CA418" s="8" t="s">
        <v>92</v>
      </c>
      <c r="CB418" s="20" t="s">
        <v>455</v>
      </c>
      <c r="CC418" s="20" t="s">
        <v>1900</v>
      </c>
      <c r="CD418" s="18"/>
      <c r="CE418" s="18"/>
      <c r="CF418" s="18"/>
      <c r="CG418" s="18"/>
      <c r="CH418" s="18"/>
    </row>
    <row r="419">
      <c r="A419" s="8"/>
      <c r="B419" s="9" t="s">
        <v>1889</v>
      </c>
      <c r="C419" s="10" t="s">
        <v>1890</v>
      </c>
      <c r="D419" s="9" t="s">
        <v>1670</v>
      </c>
      <c r="E419" s="11" t="s">
        <v>1901</v>
      </c>
      <c r="F419" s="12"/>
      <c r="G419" s="14" t="s">
        <v>1902</v>
      </c>
      <c r="H419" s="14" t="s">
        <v>90</v>
      </c>
      <c r="I419" s="14" t="s">
        <v>1903</v>
      </c>
      <c r="J419" s="14" t="s">
        <v>92</v>
      </c>
      <c r="K419" s="14" t="s">
        <v>92</v>
      </c>
      <c r="L419" s="14" t="s">
        <v>92</v>
      </c>
      <c r="M419" s="14" t="s">
        <v>92</v>
      </c>
      <c r="N419" s="14" t="s">
        <v>92</v>
      </c>
      <c r="O419" s="14" t="s">
        <v>92</v>
      </c>
      <c r="P419" s="14" t="s">
        <v>92</v>
      </c>
      <c r="Q419" s="14" t="s">
        <v>92</v>
      </c>
      <c r="R419" s="14" t="s">
        <v>92</v>
      </c>
      <c r="S419" s="14" t="s">
        <v>92</v>
      </c>
      <c r="T419" s="14" t="s">
        <v>92</v>
      </c>
      <c r="U419" s="14" t="s">
        <v>93</v>
      </c>
      <c r="V419" s="14" t="s">
        <v>92</v>
      </c>
      <c r="W419" s="14" t="s">
        <v>92</v>
      </c>
      <c r="X419" s="14" t="s">
        <v>92</v>
      </c>
      <c r="Y419" s="14" t="s">
        <v>92</v>
      </c>
      <c r="Z419" s="14" t="s">
        <v>92</v>
      </c>
      <c r="AA419" s="14" t="s">
        <v>92</v>
      </c>
      <c r="AB419" s="8" t="s">
        <v>93</v>
      </c>
      <c r="AC419" s="8" t="s">
        <v>92</v>
      </c>
      <c r="AD419" s="8" t="s">
        <v>92</v>
      </c>
      <c r="AE419" s="14" t="s">
        <v>94</v>
      </c>
      <c r="AF419" s="14" t="s">
        <v>92</v>
      </c>
      <c r="AG419" s="14" t="s">
        <v>95</v>
      </c>
      <c r="AH419" s="8">
        <v>2021.0</v>
      </c>
      <c r="AI419" s="14" t="s">
        <v>92</v>
      </c>
      <c r="AJ419" s="14" t="s">
        <v>93</v>
      </c>
      <c r="AK419" s="14" t="s">
        <v>92</v>
      </c>
      <c r="AL419" s="14" t="s">
        <v>92</v>
      </c>
      <c r="AM419" s="8">
        <v>2021.0</v>
      </c>
      <c r="AN419" s="14" t="s">
        <v>96</v>
      </c>
      <c r="AO419" s="8" t="s">
        <v>92</v>
      </c>
      <c r="AP419" s="8" t="s">
        <v>92</v>
      </c>
      <c r="AQ419" s="14" t="s">
        <v>92</v>
      </c>
      <c r="AR419" s="14" t="s">
        <v>92</v>
      </c>
      <c r="AS419" s="14" t="s">
        <v>92</v>
      </c>
      <c r="AT419" s="14" t="s">
        <v>92</v>
      </c>
      <c r="AU419" s="14" t="s">
        <v>93</v>
      </c>
      <c r="AV419" s="14" t="s">
        <v>93</v>
      </c>
      <c r="AW419" s="14" t="s">
        <v>93</v>
      </c>
      <c r="AX419" s="14" t="s">
        <v>93</v>
      </c>
      <c r="AY419" s="8" t="s">
        <v>95</v>
      </c>
      <c r="AZ419" s="8" t="s">
        <v>95</v>
      </c>
      <c r="BA419" s="9" t="s">
        <v>1894</v>
      </c>
      <c r="BB419" s="8" t="s">
        <v>213</v>
      </c>
      <c r="BC419" s="8" t="s">
        <v>92</v>
      </c>
      <c r="BD419" s="14" t="s">
        <v>92</v>
      </c>
      <c r="BE419" s="14" t="s">
        <v>92</v>
      </c>
      <c r="BF419" s="14" t="s">
        <v>92</v>
      </c>
      <c r="BG419" s="14" t="s">
        <v>92</v>
      </c>
      <c r="BH419" s="14" t="s">
        <v>92</v>
      </c>
      <c r="BI419" s="14" t="s">
        <v>93</v>
      </c>
      <c r="BJ419" s="14" t="s">
        <v>92</v>
      </c>
      <c r="BK419" s="14" t="s">
        <v>105</v>
      </c>
      <c r="BL419" s="14" t="s">
        <v>105</v>
      </c>
      <c r="BM419" s="14" t="s">
        <v>105</v>
      </c>
      <c r="BN419" s="14" t="s">
        <v>105</v>
      </c>
      <c r="BO419" s="14" t="s">
        <v>105</v>
      </c>
      <c r="BP419" s="14" t="s">
        <v>105</v>
      </c>
      <c r="BQ419" s="8" t="s">
        <v>93</v>
      </c>
      <c r="BR419" s="8" t="s">
        <v>92</v>
      </c>
      <c r="BS419" s="8" t="s">
        <v>92</v>
      </c>
      <c r="BT419" s="8" t="s">
        <v>92</v>
      </c>
      <c r="BU419" s="8" t="s">
        <v>92</v>
      </c>
      <c r="BV419" s="8" t="s">
        <v>92</v>
      </c>
      <c r="BW419" s="8" t="s">
        <v>92</v>
      </c>
      <c r="BX419" s="8" t="s">
        <v>92</v>
      </c>
      <c r="BY419" s="8" t="s">
        <v>92</v>
      </c>
      <c r="BZ419" s="8" t="s">
        <v>92</v>
      </c>
      <c r="CA419" s="8" t="s">
        <v>92</v>
      </c>
      <c r="CB419" s="20" t="s">
        <v>455</v>
      </c>
      <c r="CC419" s="17"/>
      <c r="CD419" s="18"/>
      <c r="CE419" s="18"/>
      <c r="CF419" s="18"/>
      <c r="CG419" s="18"/>
      <c r="CH419" s="18"/>
    </row>
    <row r="420">
      <c r="A420" s="8"/>
      <c r="B420" s="9" t="s">
        <v>1889</v>
      </c>
      <c r="C420" s="10" t="s">
        <v>1890</v>
      </c>
      <c r="D420" s="9" t="s">
        <v>1670</v>
      </c>
      <c r="E420" s="11" t="s">
        <v>1904</v>
      </c>
      <c r="F420" s="12"/>
      <c r="G420" s="14" t="s">
        <v>1905</v>
      </c>
      <c r="H420" s="14" t="s">
        <v>90</v>
      </c>
      <c r="I420" s="14" t="s">
        <v>1906</v>
      </c>
      <c r="J420" s="14" t="s">
        <v>92</v>
      </c>
      <c r="K420" s="14" t="s">
        <v>92</v>
      </c>
      <c r="L420" s="14" t="s">
        <v>92</v>
      </c>
      <c r="M420" s="14" t="s">
        <v>93</v>
      </c>
      <c r="N420" s="14" t="s">
        <v>92</v>
      </c>
      <c r="O420" s="14" t="s">
        <v>92</v>
      </c>
      <c r="P420" s="14" t="s">
        <v>92</v>
      </c>
      <c r="Q420" s="14" t="s">
        <v>92</v>
      </c>
      <c r="R420" s="14" t="s">
        <v>92</v>
      </c>
      <c r="S420" s="14" t="s">
        <v>92</v>
      </c>
      <c r="T420" s="14" t="s">
        <v>92</v>
      </c>
      <c r="U420" s="14" t="s">
        <v>92</v>
      </c>
      <c r="V420" s="14" t="s">
        <v>92</v>
      </c>
      <c r="W420" s="14" t="s">
        <v>92</v>
      </c>
      <c r="X420" s="14" t="s">
        <v>92</v>
      </c>
      <c r="Y420" s="14" t="s">
        <v>92</v>
      </c>
      <c r="Z420" s="14" t="s">
        <v>93</v>
      </c>
      <c r="AA420" s="14" t="s">
        <v>92</v>
      </c>
      <c r="AB420" s="8" t="s">
        <v>93</v>
      </c>
      <c r="AC420" s="8" t="s">
        <v>93</v>
      </c>
      <c r="AD420" s="8" t="s">
        <v>92</v>
      </c>
      <c r="AE420" s="14" t="s">
        <v>112</v>
      </c>
      <c r="AF420" s="14" t="s">
        <v>92</v>
      </c>
      <c r="AG420" s="14" t="s">
        <v>95</v>
      </c>
      <c r="AH420" s="8" t="s">
        <v>105</v>
      </c>
      <c r="AI420" s="14" t="s">
        <v>92</v>
      </c>
      <c r="AJ420" s="14" t="s">
        <v>92</v>
      </c>
      <c r="AK420" s="14" t="s">
        <v>93</v>
      </c>
      <c r="AL420" s="14" t="s">
        <v>93</v>
      </c>
      <c r="AM420" s="8" t="s">
        <v>95</v>
      </c>
      <c r="AN420" s="14" t="s">
        <v>114</v>
      </c>
      <c r="AO420" s="8" t="s">
        <v>93</v>
      </c>
      <c r="AP420" s="8" t="s">
        <v>92</v>
      </c>
      <c r="AQ420" s="14" t="s">
        <v>92</v>
      </c>
      <c r="AR420" s="14" t="s">
        <v>92</v>
      </c>
      <c r="AS420" s="14" t="s">
        <v>92</v>
      </c>
      <c r="AT420" s="14" t="s">
        <v>92</v>
      </c>
      <c r="AU420" s="14" t="s">
        <v>93</v>
      </c>
      <c r="AV420" s="14" t="s">
        <v>93</v>
      </c>
      <c r="AW420" s="14" t="s">
        <v>93</v>
      </c>
      <c r="AX420" s="14" t="s">
        <v>93</v>
      </c>
      <c r="AY420" s="8" t="s">
        <v>1907</v>
      </c>
      <c r="AZ420" s="8" t="s">
        <v>95</v>
      </c>
      <c r="BA420" s="9" t="s">
        <v>1908</v>
      </c>
      <c r="BB420" s="8" t="s">
        <v>95</v>
      </c>
      <c r="BC420" s="8" t="s">
        <v>93</v>
      </c>
      <c r="BD420" s="14" t="s">
        <v>92</v>
      </c>
      <c r="BE420" s="14" t="s">
        <v>92</v>
      </c>
      <c r="BF420" s="14" t="s">
        <v>92</v>
      </c>
      <c r="BG420" s="14" t="s">
        <v>92</v>
      </c>
      <c r="BH420" s="14" t="s">
        <v>92</v>
      </c>
      <c r="BI420" s="14" t="s">
        <v>93</v>
      </c>
      <c r="BJ420" s="14" t="s">
        <v>92</v>
      </c>
      <c r="BK420" s="14" t="s">
        <v>1909</v>
      </c>
      <c r="BL420" s="14" t="s">
        <v>92</v>
      </c>
      <c r="BM420" s="14" t="s">
        <v>92</v>
      </c>
      <c r="BN420" s="14" t="s">
        <v>92</v>
      </c>
      <c r="BO420" s="14" t="s">
        <v>93</v>
      </c>
      <c r="BP420" s="14" t="s">
        <v>92</v>
      </c>
      <c r="BQ420" s="8" t="s">
        <v>92</v>
      </c>
      <c r="BR420" s="8" t="s">
        <v>93</v>
      </c>
      <c r="BS420" s="8" t="s">
        <v>92</v>
      </c>
      <c r="BT420" s="8" t="s">
        <v>93</v>
      </c>
      <c r="BU420" s="8" t="s">
        <v>92</v>
      </c>
      <c r="BV420" s="8" t="s">
        <v>93</v>
      </c>
      <c r="BW420" s="8" t="s">
        <v>92</v>
      </c>
      <c r="BX420" s="8" t="s">
        <v>92</v>
      </c>
      <c r="BY420" s="8" t="s">
        <v>92</v>
      </c>
      <c r="BZ420" s="8" t="s">
        <v>93</v>
      </c>
      <c r="CA420" s="8" t="s">
        <v>92</v>
      </c>
      <c r="CB420" s="20" t="s">
        <v>456</v>
      </c>
      <c r="CC420" s="20" t="s">
        <v>442</v>
      </c>
      <c r="CD420" s="18"/>
      <c r="CE420" s="18"/>
      <c r="CF420" s="18"/>
      <c r="CG420" s="18"/>
      <c r="CH420" s="18"/>
    </row>
    <row r="421">
      <c r="A421" s="8"/>
      <c r="B421" s="9" t="s">
        <v>1889</v>
      </c>
      <c r="C421" s="10" t="s">
        <v>1890</v>
      </c>
      <c r="D421" s="9" t="s">
        <v>1670</v>
      </c>
      <c r="E421" s="11" t="s">
        <v>1910</v>
      </c>
      <c r="F421" s="12"/>
      <c r="G421" s="14" t="s">
        <v>1911</v>
      </c>
      <c r="H421" s="14" t="s">
        <v>90</v>
      </c>
      <c r="I421" s="14" t="s">
        <v>1912</v>
      </c>
      <c r="J421" s="14" t="s">
        <v>92</v>
      </c>
      <c r="K421" s="14" t="s">
        <v>92</v>
      </c>
      <c r="L421" s="14" t="s">
        <v>92</v>
      </c>
      <c r="M421" s="14" t="s">
        <v>93</v>
      </c>
      <c r="N421" s="14" t="s">
        <v>92</v>
      </c>
      <c r="O421" s="14" t="s">
        <v>92</v>
      </c>
      <c r="P421" s="14" t="s">
        <v>92</v>
      </c>
      <c r="Q421" s="14" t="s">
        <v>92</v>
      </c>
      <c r="R421" s="14" t="s">
        <v>92</v>
      </c>
      <c r="S421" s="14" t="s">
        <v>92</v>
      </c>
      <c r="T421" s="14" t="s">
        <v>92</v>
      </c>
      <c r="U421" s="14" t="s">
        <v>93</v>
      </c>
      <c r="V421" s="14" t="s">
        <v>92</v>
      </c>
      <c r="W421" s="14" t="s">
        <v>92</v>
      </c>
      <c r="X421" s="14" t="s">
        <v>92</v>
      </c>
      <c r="Y421" s="14" t="s">
        <v>92</v>
      </c>
      <c r="Z421" s="14" t="s">
        <v>92</v>
      </c>
      <c r="AA421" s="14" t="s">
        <v>92</v>
      </c>
      <c r="AB421" s="8" t="s">
        <v>93</v>
      </c>
      <c r="AC421" s="8" t="s">
        <v>92</v>
      </c>
      <c r="AD421" s="8" t="s">
        <v>92</v>
      </c>
      <c r="AE421" s="14" t="s">
        <v>94</v>
      </c>
      <c r="AF421" s="14" t="s">
        <v>92</v>
      </c>
      <c r="AG421" s="14" t="s">
        <v>95</v>
      </c>
      <c r="AH421" s="8">
        <v>2022.0</v>
      </c>
      <c r="AI421" s="14" t="s">
        <v>92</v>
      </c>
      <c r="AJ421" s="14" t="s">
        <v>92</v>
      </c>
      <c r="AK421" s="14" t="s">
        <v>93</v>
      </c>
      <c r="AL421" s="14" t="s">
        <v>93</v>
      </c>
      <c r="AM421" s="8" t="s">
        <v>95</v>
      </c>
      <c r="AN421" s="14" t="s">
        <v>114</v>
      </c>
      <c r="AO421" s="8" t="s">
        <v>93</v>
      </c>
      <c r="AP421" s="8" t="s">
        <v>92</v>
      </c>
      <c r="AQ421" s="14" t="s">
        <v>92</v>
      </c>
      <c r="AR421" s="14" t="s">
        <v>92</v>
      </c>
      <c r="AS421" s="14" t="s">
        <v>92</v>
      </c>
      <c r="AT421" s="14" t="s">
        <v>92</v>
      </c>
      <c r="AU421" s="14" t="s">
        <v>93</v>
      </c>
      <c r="AV421" s="14" t="s">
        <v>93</v>
      </c>
      <c r="AW421" s="14" t="s">
        <v>93</v>
      </c>
      <c r="AX421" s="14" t="s">
        <v>93</v>
      </c>
      <c r="AY421" s="8" t="s">
        <v>95</v>
      </c>
      <c r="AZ421" s="8" t="s">
        <v>95</v>
      </c>
      <c r="BA421" s="9" t="s">
        <v>1913</v>
      </c>
      <c r="BB421" s="8" t="s">
        <v>105</v>
      </c>
      <c r="BC421" s="8" t="s">
        <v>105</v>
      </c>
      <c r="BD421" s="14" t="s">
        <v>92</v>
      </c>
      <c r="BE421" s="14" t="s">
        <v>92</v>
      </c>
      <c r="BF421" s="14" t="s">
        <v>92</v>
      </c>
      <c r="BG421" s="14" t="s">
        <v>92</v>
      </c>
      <c r="BH421" s="14" t="s">
        <v>92</v>
      </c>
      <c r="BI421" s="14" t="s">
        <v>93</v>
      </c>
      <c r="BJ421" s="14" t="s">
        <v>92</v>
      </c>
      <c r="BK421" s="14" t="s">
        <v>1909</v>
      </c>
      <c r="BL421" s="14" t="s">
        <v>92</v>
      </c>
      <c r="BM421" s="14" t="s">
        <v>92</v>
      </c>
      <c r="BN421" s="14" t="s">
        <v>92</v>
      </c>
      <c r="BO421" s="14" t="s">
        <v>93</v>
      </c>
      <c r="BP421" s="14" t="s">
        <v>92</v>
      </c>
      <c r="BQ421" s="8" t="s">
        <v>93</v>
      </c>
      <c r="BR421" s="8" t="s">
        <v>92</v>
      </c>
      <c r="BS421" s="8" t="s">
        <v>92</v>
      </c>
      <c r="BT421" s="8" t="s">
        <v>92</v>
      </c>
      <c r="BU421" s="8" t="s">
        <v>92</v>
      </c>
      <c r="BV421" s="8" t="s">
        <v>92</v>
      </c>
      <c r="BW421" s="8" t="s">
        <v>92</v>
      </c>
      <c r="BX421" s="8" t="s">
        <v>92</v>
      </c>
      <c r="BY421" s="8" t="s">
        <v>92</v>
      </c>
      <c r="BZ421" s="8" t="s">
        <v>92</v>
      </c>
      <c r="CA421" s="8" t="s">
        <v>92</v>
      </c>
      <c r="CB421" s="20" t="s">
        <v>456</v>
      </c>
      <c r="CC421" s="20" t="s">
        <v>442</v>
      </c>
      <c r="CD421" s="18"/>
      <c r="CE421" s="18"/>
      <c r="CF421" s="18"/>
      <c r="CG421" s="18"/>
      <c r="CH421" s="18"/>
    </row>
    <row r="422">
      <c r="A422" s="8"/>
      <c r="B422" s="9" t="s">
        <v>1889</v>
      </c>
      <c r="C422" s="10" t="s">
        <v>1890</v>
      </c>
      <c r="D422" s="9" t="s">
        <v>1670</v>
      </c>
      <c r="E422" s="11" t="s">
        <v>1914</v>
      </c>
      <c r="F422" s="12"/>
      <c r="G422" s="14" t="s">
        <v>1915</v>
      </c>
      <c r="H422" s="14" t="s">
        <v>90</v>
      </c>
      <c r="I422" s="14" t="s">
        <v>1916</v>
      </c>
      <c r="J422" s="14" t="s">
        <v>92</v>
      </c>
      <c r="K422" s="14" t="s">
        <v>92</v>
      </c>
      <c r="L422" s="14" t="s">
        <v>92</v>
      </c>
      <c r="M422" s="14" t="s">
        <v>92</v>
      </c>
      <c r="N422" s="14" t="s">
        <v>92</v>
      </c>
      <c r="O422" s="14" t="s">
        <v>92</v>
      </c>
      <c r="P422" s="14" t="s">
        <v>92</v>
      </c>
      <c r="Q422" s="14" t="s">
        <v>92</v>
      </c>
      <c r="R422" s="14" t="s">
        <v>92</v>
      </c>
      <c r="S422" s="14" t="s">
        <v>92</v>
      </c>
      <c r="T422" s="14" t="s">
        <v>92</v>
      </c>
      <c r="U422" s="14" t="s">
        <v>92</v>
      </c>
      <c r="V422" s="14" t="s">
        <v>92</v>
      </c>
      <c r="W422" s="14" t="s">
        <v>92</v>
      </c>
      <c r="X422" s="14" t="s">
        <v>92</v>
      </c>
      <c r="Y422" s="14" t="s">
        <v>93</v>
      </c>
      <c r="Z422" s="14" t="s">
        <v>93</v>
      </c>
      <c r="AA422" s="14" t="s">
        <v>92</v>
      </c>
      <c r="AB422" s="8" t="s">
        <v>92</v>
      </c>
      <c r="AC422" s="8" t="s">
        <v>93</v>
      </c>
      <c r="AD422" s="8" t="s">
        <v>92</v>
      </c>
      <c r="AE422" s="14" t="s">
        <v>112</v>
      </c>
      <c r="AF422" s="14" t="s">
        <v>92</v>
      </c>
      <c r="AG422" s="14" t="s">
        <v>95</v>
      </c>
      <c r="AH422" s="8" t="s">
        <v>105</v>
      </c>
      <c r="AI422" s="14" t="s">
        <v>93</v>
      </c>
      <c r="AJ422" s="14" t="s">
        <v>93</v>
      </c>
      <c r="AK422" s="14" t="s">
        <v>93</v>
      </c>
      <c r="AL422" s="14" t="s">
        <v>93</v>
      </c>
      <c r="AM422" s="8" t="s">
        <v>95</v>
      </c>
      <c r="AN422" s="14" t="s">
        <v>114</v>
      </c>
      <c r="AO422" s="8" t="s">
        <v>93</v>
      </c>
      <c r="AP422" s="8" t="s">
        <v>92</v>
      </c>
      <c r="AQ422" s="14" t="s">
        <v>92</v>
      </c>
      <c r="AR422" s="14" t="s">
        <v>92</v>
      </c>
      <c r="AS422" s="14" t="s">
        <v>92</v>
      </c>
      <c r="AT422" s="14" t="s">
        <v>92</v>
      </c>
      <c r="AU422" s="14" t="s">
        <v>93</v>
      </c>
      <c r="AV422" s="14" t="s">
        <v>93</v>
      </c>
      <c r="AW422" s="14" t="s">
        <v>93</v>
      </c>
      <c r="AX422" s="14" t="s">
        <v>93</v>
      </c>
      <c r="AY422" s="8" t="s">
        <v>95</v>
      </c>
      <c r="AZ422" s="8" t="s">
        <v>95</v>
      </c>
      <c r="BA422" s="9" t="s">
        <v>1894</v>
      </c>
      <c r="BB422" s="8" t="s">
        <v>213</v>
      </c>
      <c r="BC422" s="8" t="s">
        <v>92</v>
      </c>
      <c r="BD422" s="14" t="s">
        <v>93</v>
      </c>
      <c r="BE422" s="14" t="s">
        <v>92</v>
      </c>
      <c r="BF422" s="14" t="s">
        <v>92</v>
      </c>
      <c r="BG422" s="14" t="s">
        <v>92</v>
      </c>
      <c r="BH422" s="14" t="s">
        <v>92</v>
      </c>
      <c r="BI422" s="14" t="s">
        <v>92</v>
      </c>
      <c r="BJ422" s="14" t="s">
        <v>92</v>
      </c>
      <c r="BK422" s="14" t="s">
        <v>1751</v>
      </c>
      <c r="BL422" s="14" t="s">
        <v>92</v>
      </c>
      <c r="BM422" s="14" t="s">
        <v>92</v>
      </c>
      <c r="BN422" s="14" t="s">
        <v>92</v>
      </c>
      <c r="BO422" s="14" t="s">
        <v>93</v>
      </c>
      <c r="BP422" s="14" t="s">
        <v>92</v>
      </c>
      <c r="BQ422" s="8" t="s">
        <v>92</v>
      </c>
      <c r="BR422" s="8" t="s">
        <v>92</v>
      </c>
      <c r="BS422" s="8" t="s">
        <v>92</v>
      </c>
      <c r="BT422" s="8" t="s">
        <v>93</v>
      </c>
      <c r="BU422" s="8" t="s">
        <v>93</v>
      </c>
      <c r="BV422" s="8" t="s">
        <v>92</v>
      </c>
      <c r="BW422" s="8" t="s">
        <v>92</v>
      </c>
      <c r="BX422" s="8" t="s">
        <v>92</v>
      </c>
      <c r="BY422" s="8" t="s">
        <v>92</v>
      </c>
      <c r="BZ422" s="8" t="s">
        <v>92</v>
      </c>
      <c r="CA422" s="8" t="s">
        <v>92</v>
      </c>
      <c r="CB422" s="20" t="s">
        <v>454</v>
      </c>
      <c r="CC422" s="20" t="s">
        <v>455</v>
      </c>
      <c r="CD422" s="20" t="s">
        <v>456</v>
      </c>
      <c r="CE422" s="20" t="s">
        <v>442</v>
      </c>
      <c r="CF422" s="18"/>
      <c r="CG422" s="18"/>
      <c r="CH422" s="18"/>
    </row>
    <row r="423">
      <c r="A423" s="8"/>
      <c r="B423" s="9" t="s">
        <v>1917</v>
      </c>
      <c r="C423" s="10" t="s">
        <v>1918</v>
      </c>
      <c r="D423" s="9" t="s">
        <v>1670</v>
      </c>
      <c r="E423" s="11" t="s">
        <v>1919</v>
      </c>
      <c r="F423" s="25"/>
      <c r="G423" s="14" t="s">
        <v>1920</v>
      </c>
      <c r="H423" s="14" t="s">
        <v>90</v>
      </c>
      <c r="I423" s="14" t="s">
        <v>1921</v>
      </c>
      <c r="J423" s="14" t="s">
        <v>92</v>
      </c>
      <c r="K423" s="14" t="s">
        <v>92</v>
      </c>
      <c r="L423" s="14" t="s">
        <v>92</v>
      </c>
      <c r="M423" s="14" t="s">
        <v>92</v>
      </c>
      <c r="N423" s="14" t="s">
        <v>92</v>
      </c>
      <c r="O423" s="14" t="s">
        <v>92</v>
      </c>
      <c r="P423" s="14" t="s">
        <v>92</v>
      </c>
      <c r="Q423" s="14" t="s">
        <v>92</v>
      </c>
      <c r="R423" s="14" t="s">
        <v>92</v>
      </c>
      <c r="S423" s="14" t="s">
        <v>92</v>
      </c>
      <c r="T423" s="14" t="s">
        <v>92</v>
      </c>
      <c r="U423" s="14" t="s">
        <v>93</v>
      </c>
      <c r="V423" s="14" t="s">
        <v>92</v>
      </c>
      <c r="W423" s="14" t="s">
        <v>92</v>
      </c>
      <c r="X423" s="14" t="s">
        <v>92</v>
      </c>
      <c r="Y423" s="14" t="s">
        <v>92</v>
      </c>
      <c r="Z423" s="14" t="s">
        <v>92</v>
      </c>
      <c r="AA423" s="14" t="s">
        <v>92</v>
      </c>
      <c r="AB423" s="8" t="s">
        <v>93</v>
      </c>
      <c r="AC423" s="8" t="s">
        <v>92</v>
      </c>
      <c r="AD423" s="8" t="s">
        <v>92</v>
      </c>
      <c r="AE423" s="14" t="s">
        <v>94</v>
      </c>
      <c r="AF423" s="14" t="s">
        <v>92</v>
      </c>
      <c r="AG423" s="14" t="s">
        <v>95</v>
      </c>
      <c r="AH423" s="8" t="s">
        <v>105</v>
      </c>
      <c r="AI423" s="14" t="s">
        <v>92</v>
      </c>
      <c r="AJ423" s="14" t="s">
        <v>93</v>
      </c>
      <c r="AK423" s="14" t="s">
        <v>92</v>
      </c>
      <c r="AL423" s="14" t="s">
        <v>92</v>
      </c>
      <c r="AM423" s="8" t="s">
        <v>105</v>
      </c>
      <c r="AN423" s="14" t="s">
        <v>105</v>
      </c>
      <c r="AO423" s="8" t="s">
        <v>105</v>
      </c>
      <c r="AP423" s="8" t="s">
        <v>92</v>
      </c>
      <c r="AQ423" s="14" t="s">
        <v>92</v>
      </c>
      <c r="AR423" s="14" t="s">
        <v>92</v>
      </c>
      <c r="AS423" s="14" t="s">
        <v>93</v>
      </c>
      <c r="AT423" s="14" t="s">
        <v>93</v>
      </c>
      <c r="AU423" s="14" t="s">
        <v>93</v>
      </c>
      <c r="AV423" s="14" t="s">
        <v>93</v>
      </c>
      <c r="AW423" s="14" t="s">
        <v>93</v>
      </c>
      <c r="AX423" s="14" t="s">
        <v>93</v>
      </c>
      <c r="AY423" s="8" t="s">
        <v>95</v>
      </c>
      <c r="AZ423" s="8" t="s">
        <v>95</v>
      </c>
      <c r="BA423" s="9" t="s">
        <v>1917</v>
      </c>
      <c r="BB423" s="8" t="s">
        <v>213</v>
      </c>
      <c r="BC423" s="8" t="s">
        <v>92</v>
      </c>
      <c r="BD423" s="14" t="s">
        <v>92</v>
      </c>
      <c r="BE423" s="14" t="s">
        <v>92</v>
      </c>
      <c r="BF423" s="14" t="s">
        <v>92</v>
      </c>
      <c r="BG423" s="14" t="s">
        <v>92</v>
      </c>
      <c r="BH423" s="14" t="s">
        <v>92</v>
      </c>
      <c r="BI423" s="14" t="s">
        <v>93</v>
      </c>
      <c r="BJ423" s="14" t="s">
        <v>92</v>
      </c>
      <c r="BK423" s="14" t="s">
        <v>105</v>
      </c>
      <c r="BL423" s="14" t="s">
        <v>105</v>
      </c>
      <c r="BM423" s="14" t="s">
        <v>105</v>
      </c>
      <c r="BN423" s="14" t="s">
        <v>105</v>
      </c>
      <c r="BO423" s="14" t="s">
        <v>105</v>
      </c>
      <c r="BP423" s="14" t="s">
        <v>105</v>
      </c>
      <c r="BQ423" s="8" t="s">
        <v>93</v>
      </c>
      <c r="BR423" s="8" t="s">
        <v>92</v>
      </c>
      <c r="BS423" s="8" t="s">
        <v>92</v>
      </c>
      <c r="BT423" s="8" t="s">
        <v>92</v>
      </c>
      <c r="BU423" s="8" t="s">
        <v>92</v>
      </c>
      <c r="BV423" s="8" t="s">
        <v>92</v>
      </c>
      <c r="BW423" s="8" t="s">
        <v>92</v>
      </c>
      <c r="BX423" s="8" t="s">
        <v>92</v>
      </c>
      <c r="BY423" s="8" t="s">
        <v>92</v>
      </c>
      <c r="BZ423" s="8" t="s">
        <v>92</v>
      </c>
      <c r="CA423" s="8" t="s">
        <v>92</v>
      </c>
      <c r="CB423" s="20" t="s">
        <v>1922</v>
      </c>
      <c r="CC423" s="17"/>
      <c r="CD423" s="18"/>
      <c r="CE423" s="18"/>
      <c r="CF423" s="18"/>
      <c r="CG423" s="18"/>
      <c r="CH423" s="18"/>
    </row>
    <row r="424">
      <c r="A424" s="8"/>
      <c r="B424" s="9" t="s">
        <v>1917</v>
      </c>
      <c r="C424" s="10" t="s">
        <v>1918</v>
      </c>
      <c r="D424" s="9" t="s">
        <v>1670</v>
      </c>
      <c r="E424" s="11" t="s">
        <v>1923</v>
      </c>
      <c r="F424" s="10" t="s">
        <v>602</v>
      </c>
      <c r="G424" s="14" t="s">
        <v>1924</v>
      </c>
      <c r="H424" s="14" t="s">
        <v>110</v>
      </c>
      <c r="I424" s="14" t="s">
        <v>1925</v>
      </c>
      <c r="J424" s="14" t="s">
        <v>92</v>
      </c>
      <c r="K424" s="14" t="s">
        <v>92</v>
      </c>
      <c r="L424" s="14" t="s">
        <v>92</v>
      </c>
      <c r="M424" s="14" t="s">
        <v>93</v>
      </c>
      <c r="N424" s="14" t="s">
        <v>92</v>
      </c>
      <c r="O424" s="14" t="s">
        <v>92</v>
      </c>
      <c r="P424" s="14" t="s">
        <v>92</v>
      </c>
      <c r="Q424" s="14" t="s">
        <v>92</v>
      </c>
      <c r="R424" s="14" t="s">
        <v>92</v>
      </c>
      <c r="S424" s="14" t="s">
        <v>92</v>
      </c>
      <c r="T424" s="14" t="s">
        <v>93</v>
      </c>
      <c r="U424" s="14" t="s">
        <v>92</v>
      </c>
      <c r="V424" s="14" t="s">
        <v>92</v>
      </c>
      <c r="W424" s="14" t="s">
        <v>92</v>
      </c>
      <c r="X424" s="14" t="s">
        <v>92</v>
      </c>
      <c r="Y424" s="14" t="s">
        <v>93</v>
      </c>
      <c r="Z424" s="14" t="s">
        <v>92</v>
      </c>
      <c r="AA424" s="14" t="s">
        <v>92</v>
      </c>
      <c r="AB424" s="8" t="s">
        <v>93</v>
      </c>
      <c r="AC424" s="8" t="s">
        <v>92</v>
      </c>
      <c r="AD424" s="8" t="s">
        <v>92</v>
      </c>
      <c r="AE424" s="14" t="s">
        <v>148</v>
      </c>
      <c r="AF424" s="14" t="s">
        <v>92</v>
      </c>
      <c r="AG424" s="14" t="s">
        <v>95</v>
      </c>
      <c r="AH424" s="8" t="s">
        <v>105</v>
      </c>
      <c r="AI424" s="14" t="s">
        <v>93</v>
      </c>
      <c r="AJ424" s="14" t="s">
        <v>93</v>
      </c>
      <c r="AK424" s="14" t="s">
        <v>93</v>
      </c>
      <c r="AL424" s="14" t="s">
        <v>93</v>
      </c>
      <c r="AM424" s="8" t="s">
        <v>95</v>
      </c>
      <c r="AN424" s="14" t="s">
        <v>114</v>
      </c>
      <c r="AO424" s="8" t="s">
        <v>93</v>
      </c>
      <c r="AP424" s="8" t="s">
        <v>92</v>
      </c>
      <c r="AQ424" s="14" t="s">
        <v>92</v>
      </c>
      <c r="AR424" s="14" t="s">
        <v>92</v>
      </c>
      <c r="AS424" s="14" t="s">
        <v>93</v>
      </c>
      <c r="AT424" s="14" t="s">
        <v>93</v>
      </c>
      <c r="AU424" s="14" t="s">
        <v>93</v>
      </c>
      <c r="AV424" s="14" t="s">
        <v>93</v>
      </c>
      <c r="AW424" s="14" t="s">
        <v>93</v>
      </c>
      <c r="AX424" s="14" t="s">
        <v>93</v>
      </c>
      <c r="AY424" s="8" t="s">
        <v>1926</v>
      </c>
      <c r="AZ424" s="8" t="s">
        <v>92</v>
      </c>
      <c r="BA424" s="9" t="s">
        <v>1927</v>
      </c>
      <c r="BB424" s="8" t="s">
        <v>95</v>
      </c>
      <c r="BC424" s="8" t="s">
        <v>93</v>
      </c>
      <c r="BD424" s="14" t="s">
        <v>92</v>
      </c>
      <c r="BE424" s="14" t="s">
        <v>92</v>
      </c>
      <c r="BF424" s="14" t="s">
        <v>92</v>
      </c>
      <c r="BG424" s="14" t="s">
        <v>92</v>
      </c>
      <c r="BH424" s="14" t="s">
        <v>92</v>
      </c>
      <c r="BI424" s="14" t="s">
        <v>93</v>
      </c>
      <c r="BJ424" s="14" t="s">
        <v>92</v>
      </c>
      <c r="BK424" s="14" t="s">
        <v>1928</v>
      </c>
      <c r="BL424" s="14" t="s">
        <v>93</v>
      </c>
      <c r="BM424" s="14" t="s">
        <v>92</v>
      </c>
      <c r="BN424" s="14" t="s">
        <v>92</v>
      </c>
      <c r="BO424" s="14" t="s">
        <v>93</v>
      </c>
      <c r="BP424" s="14" t="s">
        <v>93</v>
      </c>
      <c r="BQ424" s="8" t="s">
        <v>92</v>
      </c>
      <c r="BR424" s="8" t="s">
        <v>93</v>
      </c>
      <c r="BS424" s="8" t="s">
        <v>92</v>
      </c>
      <c r="BT424" s="8" t="s">
        <v>92</v>
      </c>
      <c r="BU424" s="8" t="s">
        <v>92</v>
      </c>
      <c r="BV424" s="8" t="s">
        <v>93</v>
      </c>
      <c r="BW424" s="8" t="s">
        <v>92</v>
      </c>
      <c r="BX424" s="8" t="s">
        <v>92</v>
      </c>
      <c r="BY424" s="8" t="s">
        <v>92</v>
      </c>
      <c r="BZ424" s="8" t="s">
        <v>92</v>
      </c>
      <c r="CA424" s="8" t="s">
        <v>92</v>
      </c>
      <c r="CB424" s="20" t="s">
        <v>1929</v>
      </c>
      <c r="CC424" s="20" t="s">
        <v>1922</v>
      </c>
      <c r="CD424" s="20" t="s">
        <v>1930</v>
      </c>
      <c r="CE424" s="20" t="s">
        <v>1604</v>
      </c>
      <c r="CF424" s="24" t="s">
        <v>1931</v>
      </c>
      <c r="CG424" s="18"/>
      <c r="CH424" s="18"/>
    </row>
    <row r="425">
      <c r="A425" s="8"/>
      <c r="B425" s="9" t="s">
        <v>1932</v>
      </c>
      <c r="C425" s="10" t="s">
        <v>1933</v>
      </c>
      <c r="D425" s="9" t="s">
        <v>1670</v>
      </c>
      <c r="E425" s="11" t="s">
        <v>1934</v>
      </c>
      <c r="F425" s="10" t="s">
        <v>187</v>
      </c>
      <c r="G425" s="9" t="s">
        <v>188</v>
      </c>
      <c r="H425" s="14" t="s">
        <v>189</v>
      </c>
      <c r="I425" s="14" t="s">
        <v>1935</v>
      </c>
      <c r="J425" s="14" t="s">
        <v>92</v>
      </c>
      <c r="K425" s="14" t="s">
        <v>92</v>
      </c>
      <c r="L425" s="14" t="s">
        <v>92</v>
      </c>
      <c r="M425" s="14" t="s">
        <v>93</v>
      </c>
      <c r="N425" s="14" t="s">
        <v>92</v>
      </c>
      <c r="O425" s="14" t="s">
        <v>92</v>
      </c>
      <c r="P425" s="14" t="s">
        <v>93</v>
      </c>
      <c r="Q425" s="14" t="s">
        <v>93</v>
      </c>
      <c r="R425" s="14" t="s">
        <v>92</v>
      </c>
      <c r="S425" s="14" t="s">
        <v>92</v>
      </c>
      <c r="T425" s="14" t="s">
        <v>92</v>
      </c>
      <c r="U425" s="14" t="s">
        <v>93</v>
      </c>
      <c r="V425" s="14" t="s">
        <v>92</v>
      </c>
      <c r="W425" s="14" t="s">
        <v>92</v>
      </c>
      <c r="X425" s="14" t="s">
        <v>92</v>
      </c>
      <c r="Y425" s="14" t="s">
        <v>92</v>
      </c>
      <c r="Z425" s="14" t="s">
        <v>92</v>
      </c>
      <c r="AA425" s="14" t="s">
        <v>92</v>
      </c>
      <c r="AB425" s="8" t="s">
        <v>93</v>
      </c>
      <c r="AC425" s="8" t="s">
        <v>92</v>
      </c>
      <c r="AD425" s="8" t="s">
        <v>92</v>
      </c>
      <c r="AE425" s="14" t="s">
        <v>94</v>
      </c>
      <c r="AF425" s="14" t="s">
        <v>92</v>
      </c>
      <c r="AG425" s="14" t="s">
        <v>95</v>
      </c>
      <c r="AH425" s="8" t="s">
        <v>105</v>
      </c>
      <c r="AI425" s="14" t="s">
        <v>93</v>
      </c>
      <c r="AJ425" s="14" t="s">
        <v>92</v>
      </c>
      <c r="AK425" s="14" t="s">
        <v>92</v>
      </c>
      <c r="AL425" s="14" t="s">
        <v>93</v>
      </c>
      <c r="AM425" s="8" t="s">
        <v>95</v>
      </c>
      <c r="AN425" s="14" t="s">
        <v>114</v>
      </c>
      <c r="AO425" s="8" t="s">
        <v>93</v>
      </c>
      <c r="AP425" s="8" t="s">
        <v>92</v>
      </c>
      <c r="AQ425" s="14" t="s">
        <v>93</v>
      </c>
      <c r="AR425" s="14" t="s">
        <v>93</v>
      </c>
      <c r="AS425" s="14" t="s">
        <v>93</v>
      </c>
      <c r="AT425" s="14" t="s">
        <v>93</v>
      </c>
      <c r="AU425" s="14" t="s">
        <v>93</v>
      </c>
      <c r="AV425" s="14" t="s">
        <v>93</v>
      </c>
      <c r="AW425" s="14" t="s">
        <v>93</v>
      </c>
      <c r="AX425" s="14" t="s">
        <v>93</v>
      </c>
      <c r="AY425" s="8" t="s">
        <v>1527</v>
      </c>
      <c r="AZ425" s="8" t="s">
        <v>92</v>
      </c>
      <c r="BA425" s="9" t="s">
        <v>1936</v>
      </c>
      <c r="BB425" s="8" t="s">
        <v>95</v>
      </c>
      <c r="BC425" s="8" t="s">
        <v>93</v>
      </c>
      <c r="BD425" s="14" t="s">
        <v>92</v>
      </c>
      <c r="BE425" s="14" t="s">
        <v>92</v>
      </c>
      <c r="BF425" s="14" t="s">
        <v>92</v>
      </c>
      <c r="BG425" s="14" t="s">
        <v>92</v>
      </c>
      <c r="BH425" s="14" t="s">
        <v>92</v>
      </c>
      <c r="BI425" s="14" t="s">
        <v>93</v>
      </c>
      <c r="BJ425" s="14" t="s">
        <v>92</v>
      </c>
      <c r="BK425" s="14" t="s">
        <v>1937</v>
      </c>
      <c r="BL425" s="14" t="s">
        <v>93</v>
      </c>
      <c r="BM425" s="14" t="s">
        <v>92</v>
      </c>
      <c r="BN425" s="14" t="s">
        <v>92</v>
      </c>
      <c r="BO425" s="14" t="s">
        <v>93</v>
      </c>
      <c r="BP425" s="14" t="s">
        <v>93</v>
      </c>
      <c r="BQ425" s="8" t="s">
        <v>93</v>
      </c>
      <c r="BR425" s="8" t="s">
        <v>92</v>
      </c>
      <c r="BS425" s="8" t="s">
        <v>92</v>
      </c>
      <c r="BT425" s="8" t="s">
        <v>92</v>
      </c>
      <c r="BU425" s="8" t="s">
        <v>92</v>
      </c>
      <c r="BV425" s="8" t="s">
        <v>92</v>
      </c>
      <c r="BW425" s="8" t="s">
        <v>92</v>
      </c>
      <c r="BX425" s="8" t="s">
        <v>92</v>
      </c>
      <c r="BY425" s="8" t="s">
        <v>92</v>
      </c>
      <c r="BZ425" s="8" t="s">
        <v>92</v>
      </c>
      <c r="CA425" s="8" t="s">
        <v>92</v>
      </c>
      <c r="CB425" s="20" t="s">
        <v>454</v>
      </c>
      <c r="CC425" s="20" t="s">
        <v>442</v>
      </c>
      <c r="CD425" s="18"/>
      <c r="CE425" s="18"/>
      <c r="CF425" s="18"/>
      <c r="CG425" s="18"/>
      <c r="CH425" s="18"/>
    </row>
    <row r="426">
      <c r="A426" s="8"/>
      <c r="B426" s="9" t="s">
        <v>1932</v>
      </c>
      <c r="C426" s="10" t="s">
        <v>1933</v>
      </c>
      <c r="D426" s="9" t="s">
        <v>1670</v>
      </c>
      <c r="E426" s="11" t="s">
        <v>1938</v>
      </c>
      <c r="F426" s="12"/>
      <c r="G426" s="14" t="s">
        <v>1939</v>
      </c>
      <c r="H426" s="14" t="s">
        <v>90</v>
      </c>
      <c r="I426" s="14" t="s">
        <v>1940</v>
      </c>
      <c r="J426" s="14" t="s">
        <v>93</v>
      </c>
      <c r="K426" s="14" t="s">
        <v>92</v>
      </c>
      <c r="L426" s="14" t="s">
        <v>92</v>
      </c>
      <c r="M426" s="14" t="s">
        <v>92</v>
      </c>
      <c r="N426" s="14" t="s">
        <v>92</v>
      </c>
      <c r="O426" s="14" t="s">
        <v>92</v>
      </c>
      <c r="P426" s="14" t="s">
        <v>92</v>
      </c>
      <c r="Q426" s="14" t="s">
        <v>92</v>
      </c>
      <c r="R426" s="14" t="s">
        <v>92</v>
      </c>
      <c r="S426" s="14" t="s">
        <v>92</v>
      </c>
      <c r="T426" s="14" t="s">
        <v>92</v>
      </c>
      <c r="U426" s="14" t="s">
        <v>92</v>
      </c>
      <c r="V426" s="14" t="s">
        <v>92</v>
      </c>
      <c r="W426" s="14" t="s">
        <v>92</v>
      </c>
      <c r="X426" s="14" t="s">
        <v>93</v>
      </c>
      <c r="Y426" s="14" t="s">
        <v>92</v>
      </c>
      <c r="Z426" s="14" t="s">
        <v>93</v>
      </c>
      <c r="AA426" s="14" t="s">
        <v>92</v>
      </c>
      <c r="AB426" s="8" t="s">
        <v>92</v>
      </c>
      <c r="AC426" s="8" t="s">
        <v>93</v>
      </c>
      <c r="AD426" s="8" t="s">
        <v>92</v>
      </c>
      <c r="AE426" s="14" t="s">
        <v>112</v>
      </c>
      <c r="AF426" s="14" t="s">
        <v>92</v>
      </c>
      <c r="AG426" s="14" t="s">
        <v>95</v>
      </c>
      <c r="AH426" s="8" t="s">
        <v>105</v>
      </c>
      <c r="AI426" s="14" t="s">
        <v>93</v>
      </c>
      <c r="AJ426" s="14" t="s">
        <v>93</v>
      </c>
      <c r="AK426" s="14" t="s">
        <v>93</v>
      </c>
      <c r="AL426" s="14" t="s">
        <v>93</v>
      </c>
      <c r="AM426" s="8" t="s">
        <v>95</v>
      </c>
      <c r="AN426" s="14" t="s">
        <v>114</v>
      </c>
      <c r="AO426" s="8" t="s">
        <v>93</v>
      </c>
      <c r="AP426" s="8" t="s">
        <v>92</v>
      </c>
      <c r="AQ426" s="14" t="s">
        <v>93</v>
      </c>
      <c r="AR426" s="14" t="s">
        <v>93</v>
      </c>
      <c r="AS426" s="14" t="s">
        <v>93</v>
      </c>
      <c r="AT426" s="14" t="s">
        <v>93</v>
      </c>
      <c r="AU426" s="14" t="s">
        <v>93</v>
      </c>
      <c r="AV426" s="14" t="s">
        <v>93</v>
      </c>
      <c r="AW426" s="14" t="s">
        <v>93</v>
      </c>
      <c r="AX426" s="14" t="s">
        <v>93</v>
      </c>
      <c r="AY426" s="8" t="s">
        <v>95</v>
      </c>
      <c r="AZ426" s="8" t="s">
        <v>95</v>
      </c>
      <c r="BA426" s="9" t="s">
        <v>1932</v>
      </c>
      <c r="BB426" s="8" t="s">
        <v>155</v>
      </c>
      <c r="BC426" s="8" t="s">
        <v>92</v>
      </c>
      <c r="BD426" s="14" t="s">
        <v>93</v>
      </c>
      <c r="BE426" s="14" t="s">
        <v>92</v>
      </c>
      <c r="BF426" s="14" t="s">
        <v>92</v>
      </c>
      <c r="BG426" s="14" t="s">
        <v>92</v>
      </c>
      <c r="BH426" s="14" t="s">
        <v>92</v>
      </c>
      <c r="BI426" s="14" t="s">
        <v>92</v>
      </c>
      <c r="BJ426" s="14" t="s">
        <v>92</v>
      </c>
      <c r="BK426" s="14" t="s">
        <v>156</v>
      </c>
      <c r="BL426" s="14" t="s">
        <v>92</v>
      </c>
      <c r="BM426" s="14" t="s">
        <v>92</v>
      </c>
      <c r="BN426" s="14" t="s">
        <v>92</v>
      </c>
      <c r="BO426" s="14" t="s">
        <v>92</v>
      </c>
      <c r="BP426" s="14" t="s">
        <v>93</v>
      </c>
      <c r="BQ426" s="8" t="s">
        <v>92</v>
      </c>
      <c r="BR426" s="8" t="s">
        <v>92</v>
      </c>
      <c r="BS426" s="8" t="s">
        <v>92</v>
      </c>
      <c r="BT426" s="8" t="s">
        <v>93</v>
      </c>
      <c r="BU426" s="8" t="s">
        <v>92</v>
      </c>
      <c r="BV426" s="8" t="s">
        <v>92</v>
      </c>
      <c r="BW426" s="8" t="s">
        <v>92</v>
      </c>
      <c r="BX426" s="8" t="s">
        <v>93</v>
      </c>
      <c r="BY426" s="8" t="s">
        <v>93</v>
      </c>
      <c r="BZ426" s="8" t="s">
        <v>92</v>
      </c>
      <c r="CA426" s="8" t="s">
        <v>92</v>
      </c>
      <c r="CB426" s="20" t="s">
        <v>454</v>
      </c>
      <c r="CC426" s="20" t="s">
        <v>455</v>
      </c>
      <c r="CD426" s="20" t="s">
        <v>456</v>
      </c>
      <c r="CE426" s="20" t="s">
        <v>442</v>
      </c>
      <c r="CF426" s="18"/>
      <c r="CG426" s="18"/>
      <c r="CH426" s="18"/>
    </row>
    <row r="427">
      <c r="A427" s="8"/>
      <c r="B427" s="9" t="s">
        <v>1932</v>
      </c>
      <c r="C427" s="10" t="s">
        <v>1933</v>
      </c>
      <c r="D427" s="9" t="s">
        <v>1670</v>
      </c>
      <c r="E427" s="11" t="s">
        <v>1941</v>
      </c>
      <c r="F427" s="12"/>
      <c r="G427" s="14" t="s">
        <v>1942</v>
      </c>
      <c r="H427" s="14" t="s">
        <v>110</v>
      </c>
      <c r="I427" s="14" t="s">
        <v>1943</v>
      </c>
      <c r="J427" s="14" t="s">
        <v>92</v>
      </c>
      <c r="K427" s="14" t="s">
        <v>92</v>
      </c>
      <c r="L427" s="14" t="s">
        <v>92</v>
      </c>
      <c r="M427" s="14" t="s">
        <v>92</v>
      </c>
      <c r="N427" s="14" t="s">
        <v>92</v>
      </c>
      <c r="O427" s="14" t="s">
        <v>92</v>
      </c>
      <c r="P427" s="14" t="s">
        <v>92</v>
      </c>
      <c r="Q427" s="14" t="s">
        <v>92</v>
      </c>
      <c r="R427" s="14" t="s">
        <v>92</v>
      </c>
      <c r="S427" s="14" t="s">
        <v>92</v>
      </c>
      <c r="T427" s="14" t="s">
        <v>92</v>
      </c>
      <c r="U427" s="14" t="s">
        <v>92</v>
      </c>
      <c r="V427" s="14" t="s">
        <v>92</v>
      </c>
      <c r="W427" s="14" t="s">
        <v>92</v>
      </c>
      <c r="X427" s="14" t="s">
        <v>92</v>
      </c>
      <c r="Y427" s="14" t="s">
        <v>92</v>
      </c>
      <c r="Z427" s="14" t="s">
        <v>93</v>
      </c>
      <c r="AA427" s="14" t="s">
        <v>92</v>
      </c>
      <c r="AB427" s="8" t="s">
        <v>92</v>
      </c>
      <c r="AC427" s="8" t="s">
        <v>93</v>
      </c>
      <c r="AD427" s="8" t="s">
        <v>92</v>
      </c>
      <c r="AE427" s="14" t="s">
        <v>112</v>
      </c>
      <c r="AF427" s="14" t="s">
        <v>92</v>
      </c>
      <c r="AG427" s="14" t="s">
        <v>95</v>
      </c>
      <c r="AH427" s="8" t="s">
        <v>105</v>
      </c>
      <c r="AI427" s="14" t="s">
        <v>93</v>
      </c>
      <c r="AJ427" s="14" t="s">
        <v>93</v>
      </c>
      <c r="AK427" s="14" t="s">
        <v>93</v>
      </c>
      <c r="AL427" s="14" t="s">
        <v>93</v>
      </c>
      <c r="AM427" s="8" t="s">
        <v>95</v>
      </c>
      <c r="AN427" s="14" t="s">
        <v>114</v>
      </c>
      <c r="AO427" s="8" t="s">
        <v>93</v>
      </c>
      <c r="AP427" s="8" t="s">
        <v>92</v>
      </c>
      <c r="AQ427" s="14" t="s">
        <v>93</v>
      </c>
      <c r="AR427" s="14" t="s">
        <v>93</v>
      </c>
      <c r="AS427" s="14" t="s">
        <v>93</v>
      </c>
      <c r="AT427" s="14" t="s">
        <v>93</v>
      </c>
      <c r="AU427" s="14" t="s">
        <v>93</v>
      </c>
      <c r="AV427" s="14" t="s">
        <v>93</v>
      </c>
      <c r="AW427" s="14" t="s">
        <v>93</v>
      </c>
      <c r="AX427" s="14" t="s">
        <v>93</v>
      </c>
      <c r="AY427" s="8" t="s">
        <v>95</v>
      </c>
      <c r="AZ427" s="8" t="s">
        <v>95</v>
      </c>
      <c r="BA427" s="9" t="s">
        <v>1932</v>
      </c>
      <c r="BB427" s="8" t="s">
        <v>155</v>
      </c>
      <c r="BC427" s="8" t="s">
        <v>92</v>
      </c>
      <c r="BD427" s="14" t="s">
        <v>92</v>
      </c>
      <c r="BE427" s="14" t="s">
        <v>92</v>
      </c>
      <c r="BF427" s="14" t="s">
        <v>92</v>
      </c>
      <c r="BG427" s="14" t="s">
        <v>92</v>
      </c>
      <c r="BH427" s="14" t="s">
        <v>92</v>
      </c>
      <c r="BI427" s="14" t="s">
        <v>92</v>
      </c>
      <c r="BJ427" s="14" t="s">
        <v>92</v>
      </c>
      <c r="BK427" s="14" t="s">
        <v>105</v>
      </c>
      <c r="BL427" s="14" t="s">
        <v>105</v>
      </c>
      <c r="BM427" s="14" t="s">
        <v>105</v>
      </c>
      <c r="BN427" s="14" t="s">
        <v>105</v>
      </c>
      <c r="BO427" s="14" t="s">
        <v>105</v>
      </c>
      <c r="BP427" s="14" t="s">
        <v>105</v>
      </c>
      <c r="BQ427" s="8" t="s">
        <v>92</v>
      </c>
      <c r="BR427" s="8" t="s">
        <v>92</v>
      </c>
      <c r="BS427" s="8" t="s">
        <v>92</v>
      </c>
      <c r="BT427" s="8" t="s">
        <v>93</v>
      </c>
      <c r="BU427" s="8" t="s">
        <v>92</v>
      </c>
      <c r="BV427" s="8" t="s">
        <v>92</v>
      </c>
      <c r="BW427" s="8" t="s">
        <v>92</v>
      </c>
      <c r="BX427" s="8" t="s">
        <v>92</v>
      </c>
      <c r="BY427" s="8" t="s">
        <v>92</v>
      </c>
      <c r="BZ427" s="8" t="s">
        <v>92</v>
      </c>
      <c r="CA427" s="8" t="s">
        <v>92</v>
      </c>
      <c r="CB427" s="20" t="s">
        <v>454</v>
      </c>
      <c r="CC427" s="20" t="s">
        <v>455</v>
      </c>
      <c r="CD427" s="20" t="s">
        <v>456</v>
      </c>
      <c r="CE427" s="20" t="s">
        <v>442</v>
      </c>
      <c r="CF427" s="18"/>
      <c r="CG427" s="18"/>
      <c r="CH427" s="18"/>
    </row>
    <row r="428">
      <c r="A428" s="8"/>
      <c r="B428" s="9" t="s">
        <v>1944</v>
      </c>
      <c r="C428" s="10" t="s">
        <v>1945</v>
      </c>
      <c r="D428" s="9" t="s">
        <v>1670</v>
      </c>
      <c r="E428" s="11" t="s">
        <v>1946</v>
      </c>
      <c r="F428" s="25"/>
      <c r="G428" s="14" t="s">
        <v>1947</v>
      </c>
      <c r="H428" s="14" t="s">
        <v>189</v>
      </c>
      <c r="I428" s="14" t="s">
        <v>1948</v>
      </c>
      <c r="J428" s="14" t="s">
        <v>92</v>
      </c>
      <c r="K428" s="14" t="s">
        <v>92</v>
      </c>
      <c r="L428" s="14" t="s">
        <v>92</v>
      </c>
      <c r="M428" s="14" t="s">
        <v>93</v>
      </c>
      <c r="N428" s="14" t="s">
        <v>92</v>
      </c>
      <c r="O428" s="14" t="s">
        <v>92</v>
      </c>
      <c r="P428" s="14" t="s">
        <v>93</v>
      </c>
      <c r="Q428" s="14" t="s">
        <v>92</v>
      </c>
      <c r="R428" s="14" t="s">
        <v>92</v>
      </c>
      <c r="S428" s="14" t="s">
        <v>92</v>
      </c>
      <c r="T428" s="14" t="s">
        <v>92</v>
      </c>
      <c r="U428" s="14" t="s">
        <v>93</v>
      </c>
      <c r="V428" s="14" t="s">
        <v>92</v>
      </c>
      <c r="W428" s="14" t="s">
        <v>92</v>
      </c>
      <c r="X428" s="14" t="s">
        <v>92</v>
      </c>
      <c r="Y428" s="14" t="s">
        <v>92</v>
      </c>
      <c r="Z428" s="14" t="s">
        <v>92</v>
      </c>
      <c r="AA428" s="14" t="s">
        <v>92</v>
      </c>
      <c r="AB428" s="8" t="s">
        <v>93</v>
      </c>
      <c r="AC428" s="8" t="s">
        <v>92</v>
      </c>
      <c r="AD428" s="8" t="s">
        <v>92</v>
      </c>
      <c r="AE428" s="14" t="s">
        <v>94</v>
      </c>
      <c r="AF428" s="14" t="s">
        <v>92</v>
      </c>
      <c r="AG428" s="14" t="s">
        <v>95</v>
      </c>
      <c r="AH428" s="8">
        <v>2023.0</v>
      </c>
      <c r="AI428" s="14" t="s">
        <v>105</v>
      </c>
      <c r="AJ428" s="14" t="s">
        <v>105</v>
      </c>
      <c r="AK428" s="14" t="s">
        <v>105</v>
      </c>
      <c r="AL428" s="14" t="s">
        <v>93</v>
      </c>
      <c r="AM428" s="8">
        <v>2023.0</v>
      </c>
      <c r="AN428" s="14" t="s">
        <v>96</v>
      </c>
      <c r="AO428" s="8" t="s">
        <v>92</v>
      </c>
      <c r="AP428" s="8" t="s">
        <v>93</v>
      </c>
      <c r="AQ428" s="14" t="s">
        <v>93</v>
      </c>
      <c r="AR428" s="14" t="s">
        <v>93</v>
      </c>
      <c r="AS428" s="14" t="s">
        <v>93</v>
      </c>
      <c r="AT428" s="14" t="s">
        <v>93</v>
      </c>
      <c r="AU428" s="14" t="s">
        <v>93</v>
      </c>
      <c r="AV428" s="14" t="s">
        <v>93</v>
      </c>
      <c r="AW428" s="14" t="s">
        <v>93</v>
      </c>
      <c r="AX428" s="14" t="s">
        <v>93</v>
      </c>
      <c r="AY428" s="8" t="s">
        <v>95</v>
      </c>
      <c r="AZ428" s="8" t="s">
        <v>95</v>
      </c>
      <c r="BA428" s="9" t="s">
        <v>1949</v>
      </c>
      <c r="BB428" s="8" t="s">
        <v>185</v>
      </c>
      <c r="BC428" s="8" t="s">
        <v>92</v>
      </c>
      <c r="BD428" s="14" t="s">
        <v>92</v>
      </c>
      <c r="BE428" s="14" t="s">
        <v>92</v>
      </c>
      <c r="BF428" s="14" t="s">
        <v>92</v>
      </c>
      <c r="BG428" s="14" t="s">
        <v>92</v>
      </c>
      <c r="BH428" s="14" t="s">
        <v>92</v>
      </c>
      <c r="BI428" s="14" t="s">
        <v>93</v>
      </c>
      <c r="BJ428" s="14" t="s">
        <v>92</v>
      </c>
      <c r="BK428" s="14" t="s">
        <v>98</v>
      </c>
      <c r="BL428" s="14" t="s">
        <v>92</v>
      </c>
      <c r="BM428" s="14" t="s">
        <v>92</v>
      </c>
      <c r="BN428" s="14" t="s">
        <v>92</v>
      </c>
      <c r="BO428" s="14" t="s">
        <v>92</v>
      </c>
      <c r="BP428" s="14" t="s">
        <v>93</v>
      </c>
      <c r="BQ428" s="8" t="s">
        <v>93</v>
      </c>
      <c r="BR428" s="8" t="s">
        <v>92</v>
      </c>
      <c r="BS428" s="8" t="s">
        <v>92</v>
      </c>
      <c r="BT428" s="8" t="s">
        <v>92</v>
      </c>
      <c r="BU428" s="8" t="s">
        <v>92</v>
      </c>
      <c r="BV428" s="8" t="s">
        <v>92</v>
      </c>
      <c r="BW428" s="8" t="s">
        <v>92</v>
      </c>
      <c r="BX428" s="8" t="s">
        <v>92</v>
      </c>
      <c r="BY428" s="8" t="s">
        <v>92</v>
      </c>
      <c r="BZ428" s="8" t="s">
        <v>92</v>
      </c>
      <c r="CA428" s="8" t="s">
        <v>92</v>
      </c>
      <c r="CB428" s="20" t="s">
        <v>116</v>
      </c>
      <c r="CC428" s="17"/>
      <c r="CD428" s="18"/>
      <c r="CE428" s="18"/>
      <c r="CF428" s="18"/>
      <c r="CG428" s="18"/>
      <c r="CH428" s="18"/>
    </row>
    <row r="429">
      <c r="A429" s="8"/>
      <c r="B429" s="9" t="s">
        <v>1944</v>
      </c>
      <c r="C429" s="10" t="s">
        <v>1945</v>
      </c>
      <c r="D429" s="9" t="s">
        <v>1670</v>
      </c>
      <c r="E429" s="11" t="s">
        <v>1950</v>
      </c>
      <c r="F429" s="10" t="s">
        <v>187</v>
      </c>
      <c r="G429" s="9" t="s">
        <v>188</v>
      </c>
      <c r="H429" s="14" t="s">
        <v>189</v>
      </c>
      <c r="I429" s="14" t="s">
        <v>1951</v>
      </c>
      <c r="J429" s="14" t="s">
        <v>92</v>
      </c>
      <c r="K429" s="14" t="s">
        <v>92</v>
      </c>
      <c r="L429" s="14" t="s">
        <v>92</v>
      </c>
      <c r="M429" s="14" t="s">
        <v>93</v>
      </c>
      <c r="N429" s="14" t="s">
        <v>92</v>
      </c>
      <c r="O429" s="14" t="s">
        <v>92</v>
      </c>
      <c r="P429" s="14" t="s">
        <v>93</v>
      </c>
      <c r="Q429" s="14" t="s">
        <v>93</v>
      </c>
      <c r="R429" s="14" t="s">
        <v>92</v>
      </c>
      <c r="S429" s="14" t="s">
        <v>92</v>
      </c>
      <c r="T429" s="14" t="s">
        <v>92</v>
      </c>
      <c r="U429" s="14" t="s">
        <v>93</v>
      </c>
      <c r="V429" s="14" t="s">
        <v>92</v>
      </c>
      <c r="W429" s="14" t="s">
        <v>92</v>
      </c>
      <c r="X429" s="14" t="s">
        <v>92</v>
      </c>
      <c r="Y429" s="14" t="s">
        <v>92</v>
      </c>
      <c r="Z429" s="14" t="s">
        <v>92</v>
      </c>
      <c r="AA429" s="14" t="s">
        <v>92</v>
      </c>
      <c r="AB429" s="8" t="s">
        <v>93</v>
      </c>
      <c r="AC429" s="8" t="s">
        <v>92</v>
      </c>
      <c r="AD429" s="8" t="s">
        <v>92</v>
      </c>
      <c r="AE429" s="14" t="s">
        <v>94</v>
      </c>
      <c r="AF429" s="14" t="s">
        <v>92</v>
      </c>
      <c r="AG429" s="14" t="s">
        <v>95</v>
      </c>
      <c r="AH429" s="8" t="s">
        <v>105</v>
      </c>
      <c r="AI429" s="14" t="s">
        <v>105</v>
      </c>
      <c r="AJ429" s="14" t="s">
        <v>105</v>
      </c>
      <c r="AK429" s="14" t="s">
        <v>105</v>
      </c>
      <c r="AL429" s="14" t="s">
        <v>93</v>
      </c>
      <c r="AM429" s="8" t="s">
        <v>95</v>
      </c>
      <c r="AN429" s="14" t="s">
        <v>114</v>
      </c>
      <c r="AO429" s="8" t="s">
        <v>92</v>
      </c>
      <c r="AP429" s="8" t="s">
        <v>92</v>
      </c>
      <c r="AQ429" s="14" t="s">
        <v>93</v>
      </c>
      <c r="AR429" s="14" t="s">
        <v>93</v>
      </c>
      <c r="AS429" s="14" t="s">
        <v>93</v>
      </c>
      <c r="AT429" s="14" t="s">
        <v>93</v>
      </c>
      <c r="AU429" s="14" t="s">
        <v>93</v>
      </c>
      <c r="AV429" s="14" t="s">
        <v>93</v>
      </c>
      <c r="AW429" s="14" t="s">
        <v>93</v>
      </c>
      <c r="AX429" s="14" t="s">
        <v>93</v>
      </c>
      <c r="AY429" s="8" t="s">
        <v>1952</v>
      </c>
      <c r="AZ429" s="8" t="s">
        <v>93</v>
      </c>
      <c r="BA429" s="9" t="s">
        <v>1953</v>
      </c>
      <c r="BB429" s="8" t="s">
        <v>185</v>
      </c>
      <c r="BC429" s="8" t="s">
        <v>92</v>
      </c>
      <c r="BD429" s="14" t="s">
        <v>92</v>
      </c>
      <c r="BE429" s="14" t="s">
        <v>92</v>
      </c>
      <c r="BF429" s="14" t="s">
        <v>92</v>
      </c>
      <c r="BG429" s="14" t="s">
        <v>92</v>
      </c>
      <c r="BH429" s="14" t="s">
        <v>92</v>
      </c>
      <c r="BI429" s="14" t="s">
        <v>93</v>
      </c>
      <c r="BJ429" s="14" t="s">
        <v>92</v>
      </c>
      <c r="BK429" s="14" t="s">
        <v>98</v>
      </c>
      <c r="BL429" s="14" t="s">
        <v>92</v>
      </c>
      <c r="BM429" s="14" t="s">
        <v>92</v>
      </c>
      <c r="BN429" s="14" t="s">
        <v>92</v>
      </c>
      <c r="BO429" s="14" t="s">
        <v>92</v>
      </c>
      <c r="BP429" s="14" t="s">
        <v>93</v>
      </c>
      <c r="BQ429" s="8" t="s">
        <v>93</v>
      </c>
      <c r="BR429" s="8" t="s">
        <v>92</v>
      </c>
      <c r="BS429" s="8" t="s">
        <v>92</v>
      </c>
      <c r="BT429" s="8" t="s">
        <v>92</v>
      </c>
      <c r="BU429" s="8" t="s">
        <v>92</v>
      </c>
      <c r="BV429" s="8" t="s">
        <v>92</v>
      </c>
      <c r="BW429" s="8" t="s">
        <v>92</v>
      </c>
      <c r="BX429" s="8" t="s">
        <v>92</v>
      </c>
      <c r="BY429" s="8" t="s">
        <v>92</v>
      </c>
      <c r="BZ429" s="8" t="s">
        <v>92</v>
      </c>
      <c r="CA429" s="8" t="s">
        <v>92</v>
      </c>
      <c r="CB429" s="20" t="s">
        <v>116</v>
      </c>
      <c r="CC429" s="17"/>
      <c r="CD429" s="18"/>
      <c r="CE429" s="18"/>
      <c r="CF429" s="18"/>
      <c r="CG429" s="18"/>
      <c r="CH429" s="18"/>
    </row>
    <row r="430">
      <c r="A430" s="8"/>
      <c r="B430" s="9" t="s">
        <v>1944</v>
      </c>
      <c r="C430" s="10" t="s">
        <v>1945</v>
      </c>
      <c r="D430" s="9" t="s">
        <v>1670</v>
      </c>
      <c r="E430" s="11" t="s">
        <v>1954</v>
      </c>
      <c r="F430" s="12"/>
      <c r="G430" s="14" t="s">
        <v>1955</v>
      </c>
      <c r="H430" s="14" t="s">
        <v>90</v>
      </c>
      <c r="I430" s="14" t="s">
        <v>1956</v>
      </c>
      <c r="J430" s="14" t="s">
        <v>92</v>
      </c>
      <c r="K430" s="14" t="s">
        <v>92</v>
      </c>
      <c r="L430" s="14" t="s">
        <v>92</v>
      </c>
      <c r="M430" s="14" t="s">
        <v>93</v>
      </c>
      <c r="N430" s="14" t="s">
        <v>92</v>
      </c>
      <c r="O430" s="14" t="s">
        <v>92</v>
      </c>
      <c r="P430" s="14" t="s">
        <v>92</v>
      </c>
      <c r="Q430" s="14" t="s">
        <v>93</v>
      </c>
      <c r="R430" s="14" t="s">
        <v>92</v>
      </c>
      <c r="S430" s="14" t="s">
        <v>92</v>
      </c>
      <c r="T430" s="14" t="s">
        <v>92</v>
      </c>
      <c r="U430" s="14" t="s">
        <v>93</v>
      </c>
      <c r="V430" s="14" t="s">
        <v>92</v>
      </c>
      <c r="W430" s="14" t="s">
        <v>92</v>
      </c>
      <c r="X430" s="14" t="s">
        <v>92</v>
      </c>
      <c r="Y430" s="14" t="s">
        <v>92</v>
      </c>
      <c r="Z430" s="14" t="s">
        <v>92</v>
      </c>
      <c r="AA430" s="14" t="s">
        <v>92</v>
      </c>
      <c r="AB430" s="8" t="s">
        <v>93</v>
      </c>
      <c r="AC430" s="8" t="s">
        <v>92</v>
      </c>
      <c r="AD430" s="8" t="s">
        <v>92</v>
      </c>
      <c r="AE430" s="14" t="s">
        <v>94</v>
      </c>
      <c r="AF430" s="14" t="s">
        <v>92</v>
      </c>
      <c r="AG430" s="14" t="s">
        <v>95</v>
      </c>
      <c r="AH430" s="8" t="s">
        <v>105</v>
      </c>
      <c r="AI430" s="14" t="s">
        <v>105</v>
      </c>
      <c r="AJ430" s="14" t="s">
        <v>105</v>
      </c>
      <c r="AK430" s="14" t="s">
        <v>105</v>
      </c>
      <c r="AL430" s="14" t="s">
        <v>93</v>
      </c>
      <c r="AM430" s="8" t="s">
        <v>105</v>
      </c>
      <c r="AN430" s="14" t="s">
        <v>105</v>
      </c>
      <c r="AO430" s="8" t="s">
        <v>105</v>
      </c>
      <c r="AP430" s="8" t="s">
        <v>92</v>
      </c>
      <c r="AQ430" s="14" t="s">
        <v>93</v>
      </c>
      <c r="AR430" s="14" t="s">
        <v>93</v>
      </c>
      <c r="AS430" s="14" t="s">
        <v>93</v>
      </c>
      <c r="AT430" s="14" t="s">
        <v>93</v>
      </c>
      <c r="AU430" s="14" t="s">
        <v>93</v>
      </c>
      <c r="AV430" s="14" t="s">
        <v>93</v>
      </c>
      <c r="AW430" s="14" t="s">
        <v>93</v>
      </c>
      <c r="AX430" s="14" t="s">
        <v>93</v>
      </c>
      <c r="AY430" s="8" t="s">
        <v>1957</v>
      </c>
      <c r="AZ430" s="8" t="s">
        <v>92</v>
      </c>
      <c r="BA430" s="9" t="s">
        <v>1958</v>
      </c>
      <c r="BB430" s="8" t="s">
        <v>185</v>
      </c>
      <c r="BC430" s="8" t="s">
        <v>92</v>
      </c>
      <c r="BD430" s="14" t="s">
        <v>92</v>
      </c>
      <c r="BE430" s="14" t="s">
        <v>92</v>
      </c>
      <c r="BF430" s="14" t="s">
        <v>92</v>
      </c>
      <c r="BG430" s="14" t="s">
        <v>92</v>
      </c>
      <c r="BH430" s="14" t="s">
        <v>92</v>
      </c>
      <c r="BI430" s="14" t="s">
        <v>93</v>
      </c>
      <c r="BJ430" s="14" t="s">
        <v>92</v>
      </c>
      <c r="BK430" s="14" t="s">
        <v>98</v>
      </c>
      <c r="BL430" s="14" t="s">
        <v>92</v>
      </c>
      <c r="BM430" s="14" t="s">
        <v>92</v>
      </c>
      <c r="BN430" s="14" t="s">
        <v>92</v>
      </c>
      <c r="BO430" s="14" t="s">
        <v>92</v>
      </c>
      <c r="BP430" s="14" t="s">
        <v>93</v>
      </c>
      <c r="BQ430" s="8" t="s">
        <v>93</v>
      </c>
      <c r="BR430" s="8" t="s">
        <v>92</v>
      </c>
      <c r="BS430" s="8" t="s">
        <v>92</v>
      </c>
      <c r="BT430" s="8" t="s">
        <v>92</v>
      </c>
      <c r="BU430" s="8" t="s">
        <v>92</v>
      </c>
      <c r="BV430" s="8" t="s">
        <v>92</v>
      </c>
      <c r="BW430" s="8" t="s">
        <v>92</v>
      </c>
      <c r="BX430" s="8" t="s">
        <v>92</v>
      </c>
      <c r="BY430" s="8" t="s">
        <v>92</v>
      </c>
      <c r="BZ430" s="8" t="s">
        <v>92</v>
      </c>
      <c r="CA430" s="8" t="s">
        <v>92</v>
      </c>
      <c r="CB430" s="20" t="s">
        <v>116</v>
      </c>
      <c r="CC430" s="17"/>
      <c r="CD430" s="18"/>
      <c r="CE430" s="18"/>
      <c r="CF430" s="18"/>
      <c r="CG430" s="18"/>
      <c r="CH430" s="18"/>
    </row>
    <row r="431">
      <c r="A431" s="8"/>
      <c r="B431" s="9" t="s">
        <v>1944</v>
      </c>
      <c r="C431" s="10" t="s">
        <v>1945</v>
      </c>
      <c r="D431" s="9" t="s">
        <v>1670</v>
      </c>
      <c r="E431" s="11" t="s">
        <v>1959</v>
      </c>
      <c r="F431" s="12"/>
      <c r="G431" s="14" t="s">
        <v>1960</v>
      </c>
      <c r="H431" s="14" t="s">
        <v>90</v>
      </c>
      <c r="I431" s="14" t="s">
        <v>1961</v>
      </c>
      <c r="J431" s="14" t="s">
        <v>92</v>
      </c>
      <c r="K431" s="14" t="s">
        <v>92</v>
      </c>
      <c r="L431" s="14" t="s">
        <v>92</v>
      </c>
      <c r="M431" s="14" t="s">
        <v>93</v>
      </c>
      <c r="N431" s="14" t="s">
        <v>92</v>
      </c>
      <c r="O431" s="14" t="s">
        <v>92</v>
      </c>
      <c r="P431" s="14" t="s">
        <v>92</v>
      </c>
      <c r="Q431" s="14" t="s">
        <v>92</v>
      </c>
      <c r="R431" s="14" t="s">
        <v>93</v>
      </c>
      <c r="S431" s="14" t="s">
        <v>93</v>
      </c>
      <c r="T431" s="14" t="s">
        <v>92</v>
      </c>
      <c r="U431" s="14" t="s">
        <v>92</v>
      </c>
      <c r="V431" s="14" t="s">
        <v>92</v>
      </c>
      <c r="W431" s="14" t="s">
        <v>92</v>
      </c>
      <c r="X431" s="14" t="s">
        <v>92</v>
      </c>
      <c r="Y431" s="14" t="s">
        <v>92</v>
      </c>
      <c r="Z431" s="14" t="s">
        <v>92</v>
      </c>
      <c r="AA431" s="14" t="s">
        <v>92</v>
      </c>
      <c r="AB431" s="8" t="s">
        <v>93</v>
      </c>
      <c r="AC431" s="8" t="s">
        <v>92</v>
      </c>
      <c r="AD431" s="8" t="s">
        <v>92</v>
      </c>
      <c r="AE431" s="14" t="s">
        <v>287</v>
      </c>
      <c r="AF431" s="14" t="s">
        <v>92</v>
      </c>
      <c r="AG431" s="14" t="s">
        <v>95</v>
      </c>
      <c r="AH431" s="8" t="s">
        <v>105</v>
      </c>
      <c r="AI431" s="14" t="s">
        <v>105</v>
      </c>
      <c r="AJ431" s="14" t="s">
        <v>105</v>
      </c>
      <c r="AK431" s="14" t="s">
        <v>105</v>
      </c>
      <c r="AL431" s="14" t="s">
        <v>93</v>
      </c>
      <c r="AM431" s="8" t="s">
        <v>105</v>
      </c>
      <c r="AN431" s="14" t="s">
        <v>105</v>
      </c>
      <c r="AO431" s="8" t="s">
        <v>105</v>
      </c>
      <c r="AP431" s="8" t="s">
        <v>92</v>
      </c>
      <c r="AQ431" s="14" t="s">
        <v>93</v>
      </c>
      <c r="AR431" s="14" t="s">
        <v>93</v>
      </c>
      <c r="AS431" s="14" t="s">
        <v>93</v>
      </c>
      <c r="AT431" s="14" t="s">
        <v>93</v>
      </c>
      <c r="AU431" s="14" t="s">
        <v>93</v>
      </c>
      <c r="AV431" s="14" t="s">
        <v>93</v>
      </c>
      <c r="AW431" s="14" t="s">
        <v>93</v>
      </c>
      <c r="AX431" s="14" t="s">
        <v>93</v>
      </c>
      <c r="AY431" s="8" t="s">
        <v>1962</v>
      </c>
      <c r="AZ431" s="8" t="s">
        <v>93</v>
      </c>
      <c r="BA431" s="9" t="s">
        <v>1963</v>
      </c>
      <c r="BB431" s="8" t="s">
        <v>185</v>
      </c>
      <c r="BC431" s="8" t="s">
        <v>92</v>
      </c>
      <c r="BD431" s="14" t="s">
        <v>93</v>
      </c>
      <c r="BE431" s="14" t="s">
        <v>92</v>
      </c>
      <c r="BF431" s="14" t="s">
        <v>92</v>
      </c>
      <c r="BG431" s="14" t="s">
        <v>92</v>
      </c>
      <c r="BH431" s="14" t="s">
        <v>92</v>
      </c>
      <c r="BI431" s="14" t="s">
        <v>93</v>
      </c>
      <c r="BJ431" s="14" t="s">
        <v>92</v>
      </c>
      <c r="BK431" s="14" t="s">
        <v>98</v>
      </c>
      <c r="BL431" s="14" t="s">
        <v>92</v>
      </c>
      <c r="BM431" s="14" t="s">
        <v>92</v>
      </c>
      <c r="BN431" s="14" t="s">
        <v>92</v>
      </c>
      <c r="BO431" s="14" t="s">
        <v>92</v>
      </c>
      <c r="BP431" s="14" t="s">
        <v>93</v>
      </c>
      <c r="BQ431" s="8" t="s">
        <v>93</v>
      </c>
      <c r="BR431" s="8" t="s">
        <v>92</v>
      </c>
      <c r="BS431" s="8" t="s">
        <v>92</v>
      </c>
      <c r="BT431" s="8" t="s">
        <v>92</v>
      </c>
      <c r="BU431" s="8" t="s">
        <v>92</v>
      </c>
      <c r="BV431" s="8" t="s">
        <v>92</v>
      </c>
      <c r="BW431" s="8" t="s">
        <v>92</v>
      </c>
      <c r="BX431" s="8" t="s">
        <v>92</v>
      </c>
      <c r="BY431" s="8" t="s">
        <v>92</v>
      </c>
      <c r="BZ431" s="8" t="s">
        <v>92</v>
      </c>
      <c r="CA431" s="8" t="s">
        <v>93</v>
      </c>
      <c r="CB431" s="20" t="s">
        <v>116</v>
      </c>
      <c r="CC431" s="17"/>
      <c r="CD431" s="18"/>
      <c r="CE431" s="18"/>
      <c r="CF431" s="18"/>
      <c r="CG431" s="18"/>
      <c r="CH431" s="18"/>
    </row>
    <row r="432">
      <c r="A432" s="8"/>
      <c r="B432" s="9" t="s">
        <v>1944</v>
      </c>
      <c r="C432" s="10" t="s">
        <v>1945</v>
      </c>
      <c r="D432" s="9" t="s">
        <v>1670</v>
      </c>
      <c r="E432" s="11" t="s">
        <v>1964</v>
      </c>
      <c r="F432" s="25"/>
      <c r="G432" s="14" t="s">
        <v>1965</v>
      </c>
      <c r="H432" s="14" t="s">
        <v>90</v>
      </c>
      <c r="I432" s="14" t="s">
        <v>1966</v>
      </c>
      <c r="J432" s="14" t="s">
        <v>92</v>
      </c>
      <c r="K432" s="14" t="s">
        <v>92</v>
      </c>
      <c r="L432" s="14" t="s">
        <v>93</v>
      </c>
      <c r="M432" s="14" t="s">
        <v>92</v>
      </c>
      <c r="N432" s="14" t="s">
        <v>93</v>
      </c>
      <c r="O432" s="14" t="s">
        <v>92</v>
      </c>
      <c r="P432" s="14" t="s">
        <v>92</v>
      </c>
      <c r="Q432" s="14" t="s">
        <v>92</v>
      </c>
      <c r="R432" s="14" t="s">
        <v>92</v>
      </c>
      <c r="S432" s="14" t="s">
        <v>92</v>
      </c>
      <c r="T432" s="14" t="s">
        <v>92</v>
      </c>
      <c r="U432" s="14" t="s">
        <v>92</v>
      </c>
      <c r="V432" s="14" t="s">
        <v>92</v>
      </c>
      <c r="W432" s="14" t="s">
        <v>92</v>
      </c>
      <c r="X432" s="14" t="s">
        <v>92</v>
      </c>
      <c r="Y432" s="14" t="s">
        <v>92</v>
      </c>
      <c r="Z432" s="14" t="s">
        <v>93</v>
      </c>
      <c r="AA432" s="14" t="s">
        <v>92</v>
      </c>
      <c r="AB432" s="8" t="s">
        <v>93</v>
      </c>
      <c r="AC432" s="8" t="s">
        <v>93</v>
      </c>
      <c r="AD432" s="8" t="s">
        <v>92</v>
      </c>
      <c r="AE432" s="14" t="s">
        <v>112</v>
      </c>
      <c r="AF432" s="14" t="s">
        <v>92</v>
      </c>
      <c r="AG432" s="14" t="s">
        <v>95</v>
      </c>
      <c r="AH432" s="8" t="s">
        <v>105</v>
      </c>
      <c r="AI432" s="14" t="s">
        <v>105</v>
      </c>
      <c r="AJ432" s="14" t="s">
        <v>105</v>
      </c>
      <c r="AK432" s="14" t="s">
        <v>105</v>
      </c>
      <c r="AL432" s="14" t="s">
        <v>93</v>
      </c>
      <c r="AM432" s="8" t="s">
        <v>95</v>
      </c>
      <c r="AN432" s="14" t="s">
        <v>114</v>
      </c>
      <c r="AO432" s="8" t="s">
        <v>92</v>
      </c>
      <c r="AP432" s="8" t="s">
        <v>92</v>
      </c>
      <c r="AQ432" s="14" t="s">
        <v>93</v>
      </c>
      <c r="AR432" s="14" t="s">
        <v>93</v>
      </c>
      <c r="AS432" s="14" t="s">
        <v>93</v>
      </c>
      <c r="AT432" s="14" t="s">
        <v>93</v>
      </c>
      <c r="AU432" s="14" t="s">
        <v>93</v>
      </c>
      <c r="AV432" s="14" t="s">
        <v>93</v>
      </c>
      <c r="AW432" s="14" t="s">
        <v>93</v>
      </c>
      <c r="AX432" s="14" t="s">
        <v>93</v>
      </c>
      <c r="AY432" s="8" t="s">
        <v>1967</v>
      </c>
      <c r="AZ432" s="8" t="s">
        <v>93</v>
      </c>
      <c r="BA432" s="9" t="s">
        <v>1968</v>
      </c>
      <c r="BB432" s="8" t="s">
        <v>95</v>
      </c>
      <c r="BC432" s="8" t="s">
        <v>93</v>
      </c>
      <c r="BD432" s="14" t="s">
        <v>93</v>
      </c>
      <c r="BE432" s="14" t="s">
        <v>92</v>
      </c>
      <c r="BF432" s="14" t="s">
        <v>92</v>
      </c>
      <c r="BG432" s="14" t="s">
        <v>92</v>
      </c>
      <c r="BH432" s="14" t="s">
        <v>92</v>
      </c>
      <c r="BI432" s="14" t="s">
        <v>92</v>
      </c>
      <c r="BJ432" s="14" t="s">
        <v>92</v>
      </c>
      <c r="BK432" s="14" t="s">
        <v>98</v>
      </c>
      <c r="BL432" s="14" t="s">
        <v>92</v>
      </c>
      <c r="BM432" s="14" t="s">
        <v>92</v>
      </c>
      <c r="BN432" s="14" t="s">
        <v>92</v>
      </c>
      <c r="BO432" s="14" t="s">
        <v>92</v>
      </c>
      <c r="BP432" s="14" t="s">
        <v>93</v>
      </c>
      <c r="BQ432" s="8" t="s">
        <v>92</v>
      </c>
      <c r="BR432" s="8" t="s">
        <v>92</v>
      </c>
      <c r="BS432" s="8" t="s">
        <v>92</v>
      </c>
      <c r="BT432" s="8" t="s">
        <v>93</v>
      </c>
      <c r="BU432" s="8" t="s">
        <v>92</v>
      </c>
      <c r="BV432" s="8" t="s">
        <v>92</v>
      </c>
      <c r="BW432" s="8" t="s">
        <v>92</v>
      </c>
      <c r="BX432" s="8" t="s">
        <v>92</v>
      </c>
      <c r="BY432" s="8" t="s">
        <v>92</v>
      </c>
      <c r="BZ432" s="8" t="s">
        <v>92</v>
      </c>
      <c r="CA432" s="8" t="s">
        <v>93</v>
      </c>
      <c r="CB432" s="20" t="s">
        <v>116</v>
      </c>
      <c r="CC432" s="20" t="s">
        <v>1969</v>
      </c>
      <c r="CD432" s="24" t="s">
        <v>1970</v>
      </c>
      <c r="CE432" s="18"/>
      <c r="CF432" s="18"/>
      <c r="CG432" s="18"/>
      <c r="CH432" s="18"/>
    </row>
    <row r="433">
      <c r="A433" s="8"/>
      <c r="B433" s="9" t="s">
        <v>1944</v>
      </c>
      <c r="C433" s="10" t="s">
        <v>1945</v>
      </c>
      <c r="D433" s="9" t="s">
        <v>1670</v>
      </c>
      <c r="E433" s="11" t="s">
        <v>1971</v>
      </c>
      <c r="F433" s="12"/>
      <c r="G433" s="14" t="s">
        <v>1972</v>
      </c>
      <c r="H433" s="14" t="s">
        <v>90</v>
      </c>
      <c r="I433" s="14" t="s">
        <v>1973</v>
      </c>
      <c r="J433" s="14" t="s">
        <v>93</v>
      </c>
      <c r="K433" s="14" t="s">
        <v>92</v>
      </c>
      <c r="L433" s="14" t="s">
        <v>93</v>
      </c>
      <c r="M433" s="14" t="s">
        <v>92</v>
      </c>
      <c r="N433" s="14" t="s">
        <v>92</v>
      </c>
      <c r="O433" s="14" t="s">
        <v>92</v>
      </c>
      <c r="P433" s="14" t="s">
        <v>92</v>
      </c>
      <c r="Q433" s="14" t="s">
        <v>92</v>
      </c>
      <c r="R433" s="14" t="s">
        <v>92</v>
      </c>
      <c r="S433" s="14" t="s">
        <v>93</v>
      </c>
      <c r="T433" s="14" t="s">
        <v>92</v>
      </c>
      <c r="U433" s="14" t="s">
        <v>92</v>
      </c>
      <c r="V433" s="14" t="s">
        <v>92</v>
      </c>
      <c r="W433" s="14" t="s">
        <v>92</v>
      </c>
      <c r="X433" s="14" t="s">
        <v>92</v>
      </c>
      <c r="Y433" s="14" t="s">
        <v>92</v>
      </c>
      <c r="Z433" s="14" t="s">
        <v>93</v>
      </c>
      <c r="AA433" s="14" t="s">
        <v>92</v>
      </c>
      <c r="AB433" s="8" t="s">
        <v>93</v>
      </c>
      <c r="AC433" s="8" t="s">
        <v>93</v>
      </c>
      <c r="AD433" s="8" t="s">
        <v>92</v>
      </c>
      <c r="AE433" s="14" t="s">
        <v>112</v>
      </c>
      <c r="AF433" s="14" t="s">
        <v>92</v>
      </c>
      <c r="AG433" s="14" t="s">
        <v>95</v>
      </c>
      <c r="AH433" s="8">
        <v>2023.0</v>
      </c>
      <c r="AI433" s="14" t="s">
        <v>105</v>
      </c>
      <c r="AJ433" s="14" t="s">
        <v>105</v>
      </c>
      <c r="AK433" s="14" t="s">
        <v>105</v>
      </c>
      <c r="AL433" s="14" t="s">
        <v>93</v>
      </c>
      <c r="AM433" s="8">
        <v>2023.0</v>
      </c>
      <c r="AN433" s="14" t="s">
        <v>96</v>
      </c>
      <c r="AO433" s="8" t="s">
        <v>92</v>
      </c>
      <c r="AP433" s="8" t="s">
        <v>92</v>
      </c>
      <c r="AQ433" s="14" t="s">
        <v>93</v>
      </c>
      <c r="AR433" s="14" t="s">
        <v>93</v>
      </c>
      <c r="AS433" s="14" t="s">
        <v>93</v>
      </c>
      <c r="AT433" s="14" t="s">
        <v>93</v>
      </c>
      <c r="AU433" s="14" t="s">
        <v>93</v>
      </c>
      <c r="AV433" s="14" t="s">
        <v>93</v>
      </c>
      <c r="AW433" s="14" t="s">
        <v>93</v>
      </c>
      <c r="AX433" s="14" t="s">
        <v>93</v>
      </c>
      <c r="AY433" s="8" t="s">
        <v>1974</v>
      </c>
      <c r="AZ433" s="8" t="s">
        <v>92</v>
      </c>
      <c r="BA433" s="9" t="s">
        <v>1944</v>
      </c>
      <c r="BB433" s="8" t="s">
        <v>155</v>
      </c>
      <c r="BC433" s="8" t="s">
        <v>92</v>
      </c>
      <c r="BD433" s="14" t="s">
        <v>93</v>
      </c>
      <c r="BE433" s="14" t="s">
        <v>92</v>
      </c>
      <c r="BF433" s="14" t="s">
        <v>92</v>
      </c>
      <c r="BG433" s="14" t="s">
        <v>92</v>
      </c>
      <c r="BH433" s="14" t="s">
        <v>92</v>
      </c>
      <c r="BI433" s="14" t="s">
        <v>92</v>
      </c>
      <c r="BJ433" s="14" t="s">
        <v>92</v>
      </c>
      <c r="BK433" s="14" t="s">
        <v>98</v>
      </c>
      <c r="BL433" s="14" t="s">
        <v>92</v>
      </c>
      <c r="BM433" s="14" t="s">
        <v>92</v>
      </c>
      <c r="BN433" s="14" t="s">
        <v>92</v>
      </c>
      <c r="BO433" s="14" t="s">
        <v>92</v>
      </c>
      <c r="BP433" s="14" t="s">
        <v>93</v>
      </c>
      <c r="BQ433" s="8" t="s">
        <v>92</v>
      </c>
      <c r="BR433" s="8" t="s">
        <v>92</v>
      </c>
      <c r="BS433" s="8" t="s">
        <v>92</v>
      </c>
      <c r="BT433" s="8" t="s">
        <v>93</v>
      </c>
      <c r="BU433" s="8" t="s">
        <v>92</v>
      </c>
      <c r="BV433" s="8" t="s">
        <v>93</v>
      </c>
      <c r="BW433" s="8" t="s">
        <v>92</v>
      </c>
      <c r="BX433" s="8" t="s">
        <v>92</v>
      </c>
      <c r="BY433" s="8" t="s">
        <v>92</v>
      </c>
      <c r="BZ433" s="8" t="s">
        <v>93</v>
      </c>
      <c r="CA433" s="8" t="s">
        <v>93</v>
      </c>
      <c r="CB433" s="20" t="s">
        <v>116</v>
      </c>
      <c r="CC433" s="17"/>
      <c r="CD433" s="18"/>
      <c r="CE433" s="18"/>
      <c r="CF433" s="18"/>
      <c r="CG433" s="18"/>
      <c r="CH433" s="18"/>
    </row>
    <row r="434">
      <c r="A434" s="8"/>
      <c r="B434" s="9" t="s">
        <v>1975</v>
      </c>
      <c r="C434" s="10" t="s">
        <v>1976</v>
      </c>
      <c r="D434" s="9" t="s">
        <v>1670</v>
      </c>
      <c r="E434" s="11" t="s">
        <v>1977</v>
      </c>
      <c r="F434" s="12"/>
      <c r="G434" s="14" t="s">
        <v>1978</v>
      </c>
      <c r="H434" s="14" t="s">
        <v>90</v>
      </c>
      <c r="I434" s="14" t="s">
        <v>1979</v>
      </c>
      <c r="J434" s="14" t="s">
        <v>92</v>
      </c>
      <c r="K434" s="14" t="s">
        <v>92</v>
      </c>
      <c r="L434" s="14" t="s">
        <v>93</v>
      </c>
      <c r="M434" s="14" t="s">
        <v>92</v>
      </c>
      <c r="N434" s="14" t="s">
        <v>92</v>
      </c>
      <c r="O434" s="14" t="s">
        <v>92</v>
      </c>
      <c r="P434" s="14" t="s">
        <v>92</v>
      </c>
      <c r="Q434" s="14" t="s">
        <v>92</v>
      </c>
      <c r="R434" s="14" t="s">
        <v>92</v>
      </c>
      <c r="S434" s="14" t="s">
        <v>93</v>
      </c>
      <c r="T434" s="14" t="s">
        <v>92</v>
      </c>
      <c r="U434" s="14" t="s">
        <v>92</v>
      </c>
      <c r="V434" s="14" t="s">
        <v>92</v>
      </c>
      <c r="W434" s="14" t="s">
        <v>92</v>
      </c>
      <c r="X434" s="14" t="s">
        <v>92</v>
      </c>
      <c r="Y434" s="14" t="s">
        <v>92</v>
      </c>
      <c r="Z434" s="14" t="s">
        <v>92</v>
      </c>
      <c r="AA434" s="14" t="s">
        <v>92</v>
      </c>
      <c r="AB434" s="8" t="s">
        <v>93</v>
      </c>
      <c r="AC434" s="8" t="s">
        <v>93</v>
      </c>
      <c r="AD434" s="8" t="s">
        <v>92</v>
      </c>
      <c r="AE434" s="14" t="s">
        <v>287</v>
      </c>
      <c r="AF434" s="14" t="s">
        <v>92</v>
      </c>
      <c r="AG434" s="14" t="s">
        <v>95</v>
      </c>
      <c r="AH434" s="8" t="s">
        <v>105</v>
      </c>
      <c r="AI434" s="14" t="s">
        <v>105</v>
      </c>
      <c r="AJ434" s="14" t="s">
        <v>93</v>
      </c>
      <c r="AK434" s="14" t="s">
        <v>105</v>
      </c>
      <c r="AL434" s="14" t="s">
        <v>105</v>
      </c>
      <c r="AM434" s="8" t="s">
        <v>105</v>
      </c>
      <c r="AN434" s="14" t="s">
        <v>105</v>
      </c>
      <c r="AO434" s="8" t="s">
        <v>105</v>
      </c>
      <c r="AP434" s="8" t="s">
        <v>92</v>
      </c>
      <c r="AQ434" s="14" t="s">
        <v>92</v>
      </c>
      <c r="AR434" s="14" t="s">
        <v>92</v>
      </c>
      <c r="AS434" s="14" t="s">
        <v>92</v>
      </c>
      <c r="AT434" s="14" t="s">
        <v>92</v>
      </c>
      <c r="AU434" s="14" t="s">
        <v>92</v>
      </c>
      <c r="AV434" s="14" t="s">
        <v>93</v>
      </c>
      <c r="AW434" s="14" t="s">
        <v>92</v>
      </c>
      <c r="AX434" s="14" t="s">
        <v>92</v>
      </c>
      <c r="AY434" s="8" t="s">
        <v>95</v>
      </c>
      <c r="AZ434" s="8" t="s">
        <v>95</v>
      </c>
      <c r="BA434" s="9" t="s">
        <v>1975</v>
      </c>
      <c r="BB434" s="8" t="s">
        <v>213</v>
      </c>
      <c r="BC434" s="8" t="s">
        <v>92</v>
      </c>
      <c r="BD434" s="14" t="s">
        <v>93</v>
      </c>
      <c r="BE434" s="14" t="s">
        <v>92</v>
      </c>
      <c r="BF434" s="14" t="s">
        <v>92</v>
      </c>
      <c r="BG434" s="14" t="s">
        <v>92</v>
      </c>
      <c r="BH434" s="14" t="s">
        <v>92</v>
      </c>
      <c r="BI434" s="14" t="s">
        <v>92</v>
      </c>
      <c r="BJ434" s="14" t="s">
        <v>92</v>
      </c>
      <c r="BK434" s="14" t="s">
        <v>453</v>
      </c>
      <c r="BL434" s="14" t="s">
        <v>92</v>
      </c>
      <c r="BM434" s="14" t="s">
        <v>92</v>
      </c>
      <c r="BN434" s="14" t="s">
        <v>92</v>
      </c>
      <c r="BO434" s="14" t="s">
        <v>93</v>
      </c>
      <c r="BP434" s="14" t="s">
        <v>93</v>
      </c>
      <c r="BQ434" s="8" t="s">
        <v>92</v>
      </c>
      <c r="BR434" s="8" t="s">
        <v>92</v>
      </c>
      <c r="BS434" s="8" t="s">
        <v>93</v>
      </c>
      <c r="BT434" s="8" t="s">
        <v>92</v>
      </c>
      <c r="BU434" s="8" t="s">
        <v>92</v>
      </c>
      <c r="BV434" s="8" t="s">
        <v>92</v>
      </c>
      <c r="BW434" s="8" t="s">
        <v>92</v>
      </c>
      <c r="BX434" s="8" t="s">
        <v>92</v>
      </c>
      <c r="BY434" s="8" t="s">
        <v>92</v>
      </c>
      <c r="BZ434" s="8" t="s">
        <v>92</v>
      </c>
      <c r="CA434" s="8" t="s">
        <v>92</v>
      </c>
      <c r="CB434" s="20" t="s">
        <v>115</v>
      </c>
      <c r="CC434" s="17"/>
      <c r="CD434" s="18"/>
      <c r="CE434" s="18"/>
      <c r="CF434" s="18"/>
      <c r="CG434" s="18"/>
      <c r="CH434" s="18"/>
    </row>
    <row r="435">
      <c r="A435" s="8"/>
      <c r="B435" s="9" t="s">
        <v>1975</v>
      </c>
      <c r="C435" s="10" t="s">
        <v>1976</v>
      </c>
      <c r="D435" s="9" t="s">
        <v>1670</v>
      </c>
      <c r="E435" s="11" t="s">
        <v>1980</v>
      </c>
      <c r="F435" s="12"/>
      <c r="G435" s="14" t="s">
        <v>1981</v>
      </c>
      <c r="H435" s="14" t="s">
        <v>90</v>
      </c>
      <c r="I435" s="14" t="s">
        <v>1982</v>
      </c>
      <c r="J435" s="14" t="s">
        <v>92</v>
      </c>
      <c r="K435" s="14" t="s">
        <v>92</v>
      </c>
      <c r="L435" s="14" t="s">
        <v>92</v>
      </c>
      <c r="M435" s="14" t="s">
        <v>93</v>
      </c>
      <c r="N435" s="14" t="s">
        <v>92</v>
      </c>
      <c r="O435" s="14" t="s">
        <v>92</v>
      </c>
      <c r="P435" s="14" t="s">
        <v>92</v>
      </c>
      <c r="Q435" s="14" t="s">
        <v>92</v>
      </c>
      <c r="R435" s="14" t="s">
        <v>93</v>
      </c>
      <c r="S435" s="14" t="s">
        <v>92</v>
      </c>
      <c r="T435" s="14" t="s">
        <v>92</v>
      </c>
      <c r="U435" s="14" t="s">
        <v>93</v>
      </c>
      <c r="V435" s="14" t="s">
        <v>92</v>
      </c>
      <c r="W435" s="14" t="s">
        <v>92</v>
      </c>
      <c r="X435" s="14" t="s">
        <v>92</v>
      </c>
      <c r="Y435" s="14" t="s">
        <v>92</v>
      </c>
      <c r="Z435" s="14" t="s">
        <v>92</v>
      </c>
      <c r="AA435" s="14" t="s">
        <v>92</v>
      </c>
      <c r="AB435" s="8" t="s">
        <v>93</v>
      </c>
      <c r="AC435" s="8" t="s">
        <v>92</v>
      </c>
      <c r="AD435" s="8" t="s">
        <v>92</v>
      </c>
      <c r="AE435" s="14" t="s">
        <v>94</v>
      </c>
      <c r="AF435" s="14" t="s">
        <v>92</v>
      </c>
      <c r="AG435" s="14" t="s">
        <v>95</v>
      </c>
      <c r="AH435" s="8" t="s">
        <v>105</v>
      </c>
      <c r="AI435" s="14" t="s">
        <v>105</v>
      </c>
      <c r="AJ435" s="14" t="s">
        <v>93</v>
      </c>
      <c r="AK435" s="14" t="s">
        <v>105</v>
      </c>
      <c r="AL435" s="14" t="s">
        <v>105</v>
      </c>
      <c r="AM435" s="8" t="s">
        <v>105</v>
      </c>
      <c r="AN435" s="14" t="s">
        <v>105</v>
      </c>
      <c r="AO435" s="8" t="s">
        <v>105</v>
      </c>
      <c r="AP435" s="8" t="s">
        <v>92</v>
      </c>
      <c r="AQ435" s="14" t="s">
        <v>92</v>
      </c>
      <c r="AR435" s="14" t="s">
        <v>92</v>
      </c>
      <c r="AS435" s="14" t="s">
        <v>92</v>
      </c>
      <c r="AT435" s="14" t="s">
        <v>92</v>
      </c>
      <c r="AU435" s="14" t="s">
        <v>92</v>
      </c>
      <c r="AV435" s="14" t="s">
        <v>93</v>
      </c>
      <c r="AW435" s="14" t="s">
        <v>92</v>
      </c>
      <c r="AX435" s="14" t="s">
        <v>92</v>
      </c>
      <c r="AY435" s="8" t="s">
        <v>95</v>
      </c>
      <c r="AZ435" s="8" t="s">
        <v>95</v>
      </c>
      <c r="BA435" s="9" t="s">
        <v>1983</v>
      </c>
      <c r="BB435" s="8" t="s">
        <v>105</v>
      </c>
      <c r="BC435" s="8" t="s">
        <v>105</v>
      </c>
      <c r="BD435" s="14" t="s">
        <v>92</v>
      </c>
      <c r="BE435" s="14" t="s">
        <v>92</v>
      </c>
      <c r="BF435" s="14" t="s">
        <v>92</v>
      </c>
      <c r="BG435" s="14" t="s">
        <v>92</v>
      </c>
      <c r="BH435" s="14" t="s">
        <v>92</v>
      </c>
      <c r="BI435" s="14" t="s">
        <v>93</v>
      </c>
      <c r="BJ435" s="14" t="s">
        <v>92</v>
      </c>
      <c r="BK435" s="14" t="s">
        <v>453</v>
      </c>
      <c r="BL435" s="14" t="s">
        <v>92</v>
      </c>
      <c r="BM435" s="14" t="s">
        <v>92</v>
      </c>
      <c r="BN435" s="14" t="s">
        <v>92</v>
      </c>
      <c r="BO435" s="14" t="s">
        <v>93</v>
      </c>
      <c r="BP435" s="14" t="s">
        <v>93</v>
      </c>
      <c r="BQ435" s="8" t="s">
        <v>93</v>
      </c>
      <c r="BR435" s="8" t="s">
        <v>92</v>
      </c>
      <c r="BS435" s="8" t="s">
        <v>92</v>
      </c>
      <c r="BT435" s="8" t="s">
        <v>92</v>
      </c>
      <c r="BU435" s="8" t="s">
        <v>92</v>
      </c>
      <c r="BV435" s="8" t="s">
        <v>92</v>
      </c>
      <c r="BW435" s="8" t="s">
        <v>92</v>
      </c>
      <c r="BX435" s="8" t="s">
        <v>92</v>
      </c>
      <c r="BY435" s="8" t="s">
        <v>92</v>
      </c>
      <c r="BZ435" s="8" t="s">
        <v>92</v>
      </c>
      <c r="CA435" s="8" t="s">
        <v>92</v>
      </c>
      <c r="CB435" s="20" t="s">
        <v>115</v>
      </c>
      <c r="CC435" s="17"/>
      <c r="CD435" s="18"/>
      <c r="CE435" s="18"/>
      <c r="CF435" s="18"/>
      <c r="CG435" s="18"/>
      <c r="CH435" s="18"/>
    </row>
    <row r="436">
      <c r="A436" s="8"/>
      <c r="B436" s="65" t="s">
        <v>1984</v>
      </c>
      <c r="C436" s="66" t="s">
        <v>1985</v>
      </c>
      <c r="D436" s="9" t="s">
        <v>1670</v>
      </c>
      <c r="E436" s="11" t="s">
        <v>1986</v>
      </c>
      <c r="F436" s="12"/>
      <c r="G436" s="14" t="s">
        <v>1987</v>
      </c>
      <c r="H436" s="14" t="s">
        <v>90</v>
      </c>
      <c r="I436" s="14" t="s">
        <v>1988</v>
      </c>
      <c r="J436" s="14" t="s">
        <v>92</v>
      </c>
      <c r="K436" s="14" t="s">
        <v>92</v>
      </c>
      <c r="L436" s="14" t="s">
        <v>93</v>
      </c>
      <c r="M436" s="14" t="s">
        <v>92</v>
      </c>
      <c r="N436" s="14" t="s">
        <v>92</v>
      </c>
      <c r="O436" s="14" t="s">
        <v>92</v>
      </c>
      <c r="P436" s="14" t="s">
        <v>92</v>
      </c>
      <c r="Q436" s="14" t="s">
        <v>92</v>
      </c>
      <c r="R436" s="14" t="s">
        <v>92</v>
      </c>
      <c r="S436" s="14" t="s">
        <v>92</v>
      </c>
      <c r="T436" s="14" t="s">
        <v>92</v>
      </c>
      <c r="U436" s="14" t="s">
        <v>92</v>
      </c>
      <c r="V436" s="14" t="s">
        <v>92</v>
      </c>
      <c r="W436" s="14" t="s">
        <v>92</v>
      </c>
      <c r="X436" s="14" t="s">
        <v>92</v>
      </c>
      <c r="Y436" s="14" t="s">
        <v>92</v>
      </c>
      <c r="Z436" s="14" t="s">
        <v>93</v>
      </c>
      <c r="AA436" s="14" t="s">
        <v>92</v>
      </c>
      <c r="AB436" s="8" t="s">
        <v>92</v>
      </c>
      <c r="AC436" s="8" t="s">
        <v>93</v>
      </c>
      <c r="AD436" s="8" t="s">
        <v>92</v>
      </c>
      <c r="AE436" s="14" t="s">
        <v>112</v>
      </c>
      <c r="AF436" s="14" t="s">
        <v>93</v>
      </c>
      <c r="AG436" s="14" t="s">
        <v>1989</v>
      </c>
      <c r="AH436" s="8" t="s">
        <v>105</v>
      </c>
      <c r="AI436" s="14" t="s">
        <v>105</v>
      </c>
      <c r="AJ436" s="14" t="s">
        <v>93</v>
      </c>
      <c r="AK436" s="14" t="s">
        <v>93</v>
      </c>
      <c r="AL436" s="14" t="s">
        <v>93</v>
      </c>
      <c r="AM436" s="8" t="s">
        <v>95</v>
      </c>
      <c r="AN436" s="14" t="s">
        <v>114</v>
      </c>
      <c r="AO436" s="8" t="s">
        <v>93</v>
      </c>
      <c r="AP436" s="8" t="s">
        <v>92</v>
      </c>
      <c r="AQ436" s="14" t="s">
        <v>92</v>
      </c>
      <c r="AR436" s="14" t="s">
        <v>93</v>
      </c>
      <c r="AS436" s="14" t="s">
        <v>92</v>
      </c>
      <c r="AT436" s="14" t="s">
        <v>93</v>
      </c>
      <c r="AU436" s="14" t="s">
        <v>93</v>
      </c>
      <c r="AV436" s="14" t="s">
        <v>93</v>
      </c>
      <c r="AW436" s="14" t="s">
        <v>93</v>
      </c>
      <c r="AX436" s="14" t="s">
        <v>93</v>
      </c>
      <c r="AY436" s="8" t="s">
        <v>95</v>
      </c>
      <c r="AZ436" s="8" t="s">
        <v>95</v>
      </c>
      <c r="BA436" s="9" t="s">
        <v>1990</v>
      </c>
      <c r="BB436" s="8" t="s">
        <v>185</v>
      </c>
      <c r="BC436" s="8" t="s">
        <v>92</v>
      </c>
      <c r="BD436" s="14" t="s">
        <v>93</v>
      </c>
      <c r="BE436" s="14" t="s">
        <v>92</v>
      </c>
      <c r="BF436" s="14" t="s">
        <v>92</v>
      </c>
      <c r="BG436" s="14" t="s">
        <v>92</v>
      </c>
      <c r="BH436" s="14" t="s">
        <v>92</v>
      </c>
      <c r="BI436" s="14" t="s">
        <v>92</v>
      </c>
      <c r="BJ436" s="14" t="s">
        <v>92</v>
      </c>
      <c r="BK436" s="14" t="s">
        <v>546</v>
      </c>
      <c r="BL436" s="14" t="s">
        <v>92</v>
      </c>
      <c r="BM436" s="14" t="s">
        <v>93</v>
      </c>
      <c r="BN436" s="14" t="s">
        <v>92</v>
      </c>
      <c r="BO436" s="14" t="s">
        <v>92</v>
      </c>
      <c r="BP436" s="14" t="s">
        <v>92</v>
      </c>
      <c r="BQ436" s="8" t="s">
        <v>92</v>
      </c>
      <c r="BR436" s="8" t="s">
        <v>92</v>
      </c>
      <c r="BS436" s="8" t="s">
        <v>92</v>
      </c>
      <c r="BT436" s="8" t="s">
        <v>93</v>
      </c>
      <c r="BU436" s="8" t="s">
        <v>92</v>
      </c>
      <c r="BV436" s="8" t="s">
        <v>92</v>
      </c>
      <c r="BW436" s="8" t="s">
        <v>92</v>
      </c>
      <c r="BX436" s="8" t="s">
        <v>92</v>
      </c>
      <c r="BY436" s="8" t="s">
        <v>92</v>
      </c>
      <c r="BZ436" s="8" t="s">
        <v>93</v>
      </c>
      <c r="CA436" s="8" t="s">
        <v>92</v>
      </c>
      <c r="CB436" s="20" t="s">
        <v>115</v>
      </c>
      <c r="CC436" s="20" t="s">
        <v>106</v>
      </c>
      <c r="CD436" s="20" t="s">
        <v>116</v>
      </c>
      <c r="CE436" s="18"/>
      <c r="CF436" s="18"/>
      <c r="CG436" s="18"/>
      <c r="CH436" s="18"/>
    </row>
    <row r="437">
      <c r="A437" s="8"/>
      <c r="B437" s="65" t="s">
        <v>1984</v>
      </c>
      <c r="C437" s="66" t="s">
        <v>1985</v>
      </c>
      <c r="D437" s="9" t="s">
        <v>1670</v>
      </c>
      <c r="E437" s="11" t="s">
        <v>1991</v>
      </c>
      <c r="F437" s="12"/>
      <c r="G437" s="14" t="s">
        <v>1992</v>
      </c>
      <c r="H437" s="14" t="s">
        <v>90</v>
      </c>
      <c r="I437" s="14" t="s">
        <v>1993</v>
      </c>
      <c r="J437" s="14" t="s">
        <v>92</v>
      </c>
      <c r="K437" s="14" t="s">
        <v>92</v>
      </c>
      <c r="L437" s="14" t="s">
        <v>92</v>
      </c>
      <c r="M437" s="14" t="s">
        <v>93</v>
      </c>
      <c r="N437" s="14" t="s">
        <v>92</v>
      </c>
      <c r="O437" s="14" t="s">
        <v>92</v>
      </c>
      <c r="P437" s="14" t="s">
        <v>92</v>
      </c>
      <c r="Q437" s="14" t="s">
        <v>92</v>
      </c>
      <c r="R437" s="14" t="s">
        <v>92</v>
      </c>
      <c r="S437" s="14" t="s">
        <v>92</v>
      </c>
      <c r="T437" s="14" t="s">
        <v>92</v>
      </c>
      <c r="U437" s="14" t="s">
        <v>92</v>
      </c>
      <c r="V437" s="14" t="s">
        <v>92</v>
      </c>
      <c r="W437" s="14" t="s">
        <v>92</v>
      </c>
      <c r="X437" s="14" t="s">
        <v>93</v>
      </c>
      <c r="Y437" s="14" t="s">
        <v>92</v>
      </c>
      <c r="Z437" s="14" t="s">
        <v>93</v>
      </c>
      <c r="AA437" s="14" t="s">
        <v>92</v>
      </c>
      <c r="AB437" s="8" t="s">
        <v>93</v>
      </c>
      <c r="AC437" s="8" t="s">
        <v>93</v>
      </c>
      <c r="AD437" s="8" t="s">
        <v>92</v>
      </c>
      <c r="AE437" s="14" t="s">
        <v>112</v>
      </c>
      <c r="AF437" s="14" t="s">
        <v>92</v>
      </c>
      <c r="AG437" s="14" t="s">
        <v>95</v>
      </c>
      <c r="AH437" s="8" t="s">
        <v>105</v>
      </c>
      <c r="AI437" s="14" t="s">
        <v>105</v>
      </c>
      <c r="AJ437" s="14" t="s">
        <v>93</v>
      </c>
      <c r="AK437" s="14" t="s">
        <v>93</v>
      </c>
      <c r="AL437" s="14" t="s">
        <v>93</v>
      </c>
      <c r="AM437" s="8" t="s">
        <v>95</v>
      </c>
      <c r="AN437" s="14" t="s">
        <v>114</v>
      </c>
      <c r="AO437" s="8" t="s">
        <v>93</v>
      </c>
      <c r="AP437" s="8" t="s">
        <v>92</v>
      </c>
      <c r="AQ437" s="14" t="s">
        <v>92</v>
      </c>
      <c r="AR437" s="14" t="s">
        <v>93</v>
      </c>
      <c r="AS437" s="14" t="s">
        <v>92</v>
      </c>
      <c r="AT437" s="14" t="s">
        <v>93</v>
      </c>
      <c r="AU437" s="14" t="s">
        <v>93</v>
      </c>
      <c r="AV437" s="14" t="s">
        <v>93</v>
      </c>
      <c r="AW437" s="14" t="s">
        <v>93</v>
      </c>
      <c r="AX437" s="14" t="s">
        <v>93</v>
      </c>
      <c r="AY437" s="8" t="s">
        <v>95</v>
      </c>
      <c r="AZ437" s="8" t="s">
        <v>95</v>
      </c>
      <c r="BA437" s="65" t="s">
        <v>1984</v>
      </c>
      <c r="BB437" s="8" t="s">
        <v>213</v>
      </c>
      <c r="BC437" s="8" t="s">
        <v>92</v>
      </c>
      <c r="BD437" s="14" t="s">
        <v>92</v>
      </c>
      <c r="BE437" s="14" t="s">
        <v>92</v>
      </c>
      <c r="BF437" s="14" t="s">
        <v>92</v>
      </c>
      <c r="BG437" s="14" t="s">
        <v>93</v>
      </c>
      <c r="BH437" s="14" t="s">
        <v>92</v>
      </c>
      <c r="BI437" s="14" t="s">
        <v>92</v>
      </c>
      <c r="BJ437" s="14" t="s">
        <v>92</v>
      </c>
      <c r="BK437" s="14" t="s">
        <v>105</v>
      </c>
      <c r="BL437" s="14" t="s">
        <v>105</v>
      </c>
      <c r="BM437" s="14" t="s">
        <v>105</v>
      </c>
      <c r="BN437" s="14" t="s">
        <v>105</v>
      </c>
      <c r="BO437" s="14" t="s">
        <v>105</v>
      </c>
      <c r="BP437" s="14" t="s">
        <v>105</v>
      </c>
      <c r="BQ437" s="8" t="s">
        <v>92</v>
      </c>
      <c r="BR437" s="8" t="s">
        <v>92</v>
      </c>
      <c r="BS437" s="8" t="s">
        <v>92</v>
      </c>
      <c r="BT437" s="8" t="s">
        <v>93</v>
      </c>
      <c r="BU437" s="8" t="s">
        <v>92</v>
      </c>
      <c r="BV437" s="8" t="s">
        <v>92</v>
      </c>
      <c r="BW437" s="8" t="s">
        <v>92</v>
      </c>
      <c r="BX437" s="8" t="s">
        <v>93</v>
      </c>
      <c r="BY437" s="8" t="s">
        <v>93</v>
      </c>
      <c r="BZ437" s="8" t="s">
        <v>92</v>
      </c>
      <c r="CA437" s="8" t="s">
        <v>92</v>
      </c>
      <c r="CB437" s="20" t="s">
        <v>106</v>
      </c>
      <c r="CC437" s="20" t="s">
        <v>116</v>
      </c>
      <c r="CD437" s="20" t="s">
        <v>115</v>
      </c>
      <c r="CE437" s="18"/>
      <c r="CF437" s="18"/>
      <c r="CG437" s="18"/>
      <c r="CH437" s="18"/>
    </row>
    <row r="438">
      <c r="A438" s="8"/>
      <c r="B438" s="65" t="s">
        <v>1984</v>
      </c>
      <c r="C438" s="66" t="s">
        <v>1985</v>
      </c>
      <c r="D438" s="9" t="s">
        <v>1670</v>
      </c>
      <c r="E438" s="11" t="s">
        <v>1994</v>
      </c>
      <c r="F438" s="12"/>
      <c r="G438" s="14" t="s">
        <v>1995</v>
      </c>
      <c r="H438" s="14" t="s">
        <v>90</v>
      </c>
      <c r="I438" s="14" t="s">
        <v>1996</v>
      </c>
      <c r="J438" s="14" t="s">
        <v>93</v>
      </c>
      <c r="K438" s="14" t="s">
        <v>92</v>
      </c>
      <c r="L438" s="14" t="s">
        <v>93</v>
      </c>
      <c r="M438" s="14" t="s">
        <v>92</v>
      </c>
      <c r="N438" s="14" t="s">
        <v>92</v>
      </c>
      <c r="O438" s="14" t="s">
        <v>92</v>
      </c>
      <c r="P438" s="14" t="s">
        <v>92</v>
      </c>
      <c r="Q438" s="14" t="s">
        <v>92</v>
      </c>
      <c r="R438" s="14" t="s">
        <v>92</v>
      </c>
      <c r="S438" s="14" t="s">
        <v>93</v>
      </c>
      <c r="T438" s="14" t="s">
        <v>92</v>
      </c>
      <c r="U438" s="14" t="s">
        <v>92</v>
      </c>
      <c r="V438" s="14" t="s">
        <v>92</v>
      </c>
      <c r="W438" s="14" t="s">
        <v>92</v>
      </c>
      <c r="X438" s="14" t="s">
        <v>92</v>
      </c>
      <c r="Y438" s="14" t="s">
        <v>92</v>
      </c>
      <c r="Z438" s="14" t="s">
        <v>93</v>
      </c>
      <c r="AA438" s="14" t="s">
        <v>92</v>
      </c>
      <c r="AB438" s="8" t="s">
        <v>93</v>
      </c>
      <c r="AC438" s="8" t="s">
        <v>93</v>
      </c>
      <c r="AD438" s="8" t="s">
        <v>92</v>
      </c>
      <c r="AE438" s="14" t="s">
        <v>112</v>
      </c>
      <c r="AF438" s="14" t="s">
        <v>93</v>
      </c>
      <c r="AG438" s="14" t="s">
        <v>1997</v>
      </c>
      <c r="AH438" s="8">
        <v>2022.0</v>
      </c>
      <c r="AI438" s="14" t="s">
        <v>105</v>
      </c>
      <c r="AJ438" s="14" t="s">
        <v>92</v>
      </c>
      <c r="AK438" s="14" t="s">
        <v>93</v>
      </c>
      <c r="AL438" s="14" t="s">
        <v>93</v>
      </c>
      <c r="AM438" s="8" t="s">
        <v>95</v>
      </c>
      <c r="AN438" s="14" t="s">
        <v>114</v>
      </c>
      <c r="AO438" s="8" t="s">
        <v>93</v>
      </c>
      <c r="AP438" s="8" t="s">
        <v>92</v>
      </c>
      <c r="AQ438" s="14" t="s">
        <v>92</v>
      </c>
      <c r="AR438" s="14" t="s">
        <v>93</v>
      </c>
      <c r="AS438" s="14" t="s">
        <v>92</v>
      </c>
      <c r="AT438" s="14" t="s">
        <v>93</v>
      </c>
      <c r="AU438" s="14" t="s">
        <v>93</v>
      </c>
      <c r="AV438" s="14" t="s">
        <v>93</v>
      </c>
      <c r="AW438" s="14" t="s">
        <v>93</v>
      </c>
      <c r="AX438" s="14" t="s">
        <v>93</v>
      </c>
      <c r="AY438" s="8" t="s">
        <v>95</v>
      </c>
      <c r="AZ438" s="8" t="s">
        <v>95</v>
      </c>
      <c r="BA438" s="65" t="s">
        <v>1984</v>
      </c>
      <c r="BB438" s="8" t="s">
        <v>213</v>
      </c>
      <c r="BC438" s="8" t="s">
        <v>92</v>
      </c>
      <c r="BD438" s="14" t="s">
        <v>93</v>
      </c>
      <c r="BE438" s="14" t="s">
        <v>92</v>
      </c>
      <c r="BF438" s="14" t="s">
        <v>92</v>
      </c>
      <c r="BG438" s="14" t="s">
        <v>92</v>
      </c>
      <c r="BH438" s="14" t="s">
        <v>92</v>
      </c>
      <c r="BI438" s="14" t="s">
        <v>92</v>
      </c>
      <c r="BJ438" s="14" t="s">
        <v>92</v>
      </c>
      <c r="BK438" s="14" t="s">
        <v>105</v>
      </c>
      <c r="BL438" s="14" t="s">
        <v>105</v>
      </c>
      <c r="BM438" s="14" t="s">
        <v>105</v>
      </c>
      <c r="BN438" s="14" t="s">
        <v>105</v>
      </c>
      <c r="BO438" s="14" t="s">
        <v>105</v>
      </c>
      <c r="BP438" s="14" t="s">
        <v>105</v>
      </c>
      <c r="BQ438" s="8" t="s">
        <v>92</v>
      </c>
      <c r="BR438" s="8" t="s">
        <v>92</v>
      </c>
      <c r="BS438" s="8" t="s">
        <v>92</v>
      </c>
      <c r="BT438" s="8" t="s">
        <v>93</v>
      </c>
      <c r="BU438" s="8" t="s">
        <v>92</v>
      </c>
      <c r="BV438" s="8" t="s">
        <v>92</v>
      </c>
      <c r="BW438" s="8" t="s">
        <v>92</v>
      </c>
      <c r="BX438" s="8" t="s">
        <v>92</v>
      </c>
      <c r="BY438" s="8" t="s">
        <v>92</v>
      </c>
      <c r="BZ438" s="8" t="s">
        <v>93</v>
      </c>
      <c r="CA438" s="8" t="s">
        <v>92</v>
      </c>
      <c r="CB438" s="20" t="s">
        <v>106</v>
      </c>
      <c r="CC438" s="20" t="s">
        <v>116</v>
      </c>
      <c r="CD438" s="31"/>
      <c r="CE438" s="18"/>
      <c r="CF438" s="18"/>
      <c r="CG438" s="18"/>
      <c r="CH438" s="18"/>
    </row>
    <row r="439">
      <c r="A439" s="8"/>
      <c r="B439" s="65" t="s">
        <v>1984</v>
      </c>
      <c r="C439" s="66" t="s">
        <v>1985</v>
      </c>
      <c r="D439" s="9" t="s">
        <v>1670</v>
      </c>
      <c r="E439" s="11" t="s">
        <v>1998</v>
      </c>
      <c r="F439" s="12"/>
      <c r="G439" s="14" t="s">
        <v>1999</v>
      </c>
      <c r="H439" s="14" t="s">
        <v>90</v>
      </c>
      <c r="I439" s="14" t="s">
        <v>2000</v>
      </c>
      <c r="J439" s="14" t="s">
        <v>92</v>
      </c>
      <c r="K439" s="14" t="s">
        <v>92</v>
      </c>
      <c r="L439" s="14" t="s">
        <v>92</v>
      </c>
      <c r="M439" s="14" t="s">
        <v>93</v>
      </c>
      <c r="N439" s="14" t="s">
        <v>92</v>
      </c>
      <c r="O439" s="14" t="s">
        <v>92</v>
      </c>
      <c r="P439" s="14" t="s">
        <v>92</v>
      </c>
      <c r="Q439" s="14" t="s">
        <v>93</v>
      </c>
      <c r="R439" s="14" t="s">
        <v>92</v>
      </c>
      <c r="S439" s="14" t="s">
        <v>92</v>
      </c>
      <c r="T439" s="14" t="s">
        <v>92</v>
      </c>
      <c r="U439" s="14" t="s">
        <v>93</v>
      </c>
      <c r="V439" s="14" t="s">
        <v>92</v>
      </c>
      <c r="W439" s="14" t="s">
        <v>92</v>
      </c>
      <c r="X439" s="14" t="s">
        <v>92</v>
      </c>
      <c r="Y439" s="14" t="s">
        <v>92</v>
      </c>
      <c r="Z439" s="14" t="s">
        <v>92</v>
      </c>
      <c r="AA439" s="14" t="s">
        <v>92</v>
      </c>
      <c r="AB439" s="8" t="s">
        <v>93</v>
      </c>
      <c r="AC439" s="8" t="s">
        <v>92</v>
      </c>
      <c r="AD439" s="8" t="s">
        <v>92</v>
      </c>
      <c r="AE439" s="14" t="s">
        <v>94</v>
      </c>
      <c r="AF439" s="14" t="s">
        <v>92</v>
      </c>
      <c r="AG439" s="14" t="s">
        <v>95</v>
      </c>
      <c r="AH439" s="8" t="s">
        <v>105</v>
      </c>
      <c r="AI439" s="14" t="s">
        <v>105</v>
      </c>
      <c r="AJ439" s="14" t="s">
        <v>92</v>
      </c>
      <c r="AK439" s="14" t="s">
        <v>93</v>
      </c>
      <c r="AL439" s="14" t="s">
        <v>92</v>
      </c>
      <c r="AM439" s="8">
        <v>2022.0</v>
      </c>
      <c r="AN439" s="14" t="s">
        <v>96</v>
      </c>
      <c r="AO439" s="8" t="s">
        <v>92</v>
      </c>
      <c r="AP439" s="8" t="s">
        <v>92</v>
      </c>
      <c r="AQ439" s="14" t="s">
        <v>92</v>
      </c>
      <c r="AR439" s="14" t="s">
        <v>93</v>
      </c>
      <c r="AS439" s="14" t="s">
        <v>92</v>
      </c>
      <c r="AT439" s="14" t="s">
        <v>93</v>
      </c>
      <c r="AU439" s="14" t="s">
        <v>93</v>
      </c>
      <c r="AV439" s="14" t="s">
        <v>93</v>
      </c>
      <c r="AW439" s="14" t="s">
        <v>93</v>
      </c>
      <c r="AX439" s="14" t="s">
        <v>93</v>
      </c>
      <c r="AY439" s="8" t="s">
        <v>95</v>
      </c>
      <c r="AZ439" s="8" t="s">
        <v>95</v>
      </c>
      <c r="BA439" s="65" t="s">
        <v>1984</v>
      </c>
      <c r="BB439" s="8" t="s">
        <v>213</v>
      </c>
      <c r="BC439" s="8" t="s">
        <v>92</v>
      </c>
      <c r="BD439" s="14" t="s">
        <v>92</v>
      </c>
      <c r="BE439" s="14" t="s">
        <v>92</v>
      </c>
      <c r="BF439" s="14" t="s">
        <v>92</v>
      </c>
      <c r="BG439" s="14" t="s">
        <v>92</v>
      </c>
      <c r="BH439" s="14" t="s">
        <v>92</v>
      </c>
      <c r="BI439" s="14" t="s">
        <v>93</v>
      </c>
      <c r="BJ439" s="14" t="s">
        <v>92</v>
      </c>
      <c r="BK439" s="14" t="s">
        <v>2001</v>
      </c>
      <c r="BL439" s="14" t="s">
        <v>92</v>
      </c>
      <c r="BM439" s="14" t="s">
        <v>92</v>
      </c>
      <c r="BN439" s="14" t="s">
        <v>93</v>
      </c>
      <c r="BO439" s="14" t="s">
        <v>93</v>
      </c>
      <c r="BP439" s="14" t="s">
        <v>92</v>
      </c>
      <c r="BQ439" s="8" t="s">
        <v>93</v>
      </c>
      <c r="BR439" s="8" t="s">
        <v>92</v>
      </c>
      <c r="BS439" s="8" t="s">
        <v>92</v>
      </c>
      <c r="BT439" s="8" t="s">
        <v>92</v>
      </c>
      <c r="BU439" s="8" t="s">
        <v>92</v>
      </c>
      <c r="BV439" s="8" t="s">
        <v>92</v>
      </c>
      <c r="BW439" s="8" t="s">
        <v>92</v>
      </c>
      <c r="BX439" s="8" t="s">
        <v>92</v>
      </c>
      <c r="BY439" s="8" t="s">
        <v>92</v>
      </c>
      <c r="BZ439" s="8" t="s">
        <v>92</v>
      </c>
      <c r="CA439" s="8" t="s">
        <v>92</v>
      </c>
      <c r="CB439" s="20" t="s">
        <v>106</v>
      </c>
      <c r="CC439" s="31"/>
      <c r="CD439" s="31"/>
      <c r="CE439" s="18"/>
      <c r="CF439" s="18"/>
      <c r="CG439" s="18"/>
      <c r="CH439" s="18"/>
    </row>
    <row r="440">
      <c r="A440" s="8"/>
      <c r="B440" s="67" t="s">
        <v>1984</v>
      </c>
      <c r="C440" s="66" t="s">
        <v>1985</v>
      </c>
      <c r="D440" s="9" t="s">
        <v>1670</v>
      </c>
      <c r="E440" s="11" t="s">
        <v>2002</v>
      </c>
      <c r="F440" s="12"/>
      <c r="G440" s="14" t="s">
        <v>2003</v>
      </c>
      <c r="H440" s="14" t="s">
        <v>189</v>
      </c>
      <c r="I440" s="14" t="s">
        <v>2004</v>
      </c>
      <c r="J440" s="14" t="s">
        <v>92</v>
      </c>
      <c r="K440" s="14" t="s">
        <v>92</v>
      </c>
      <c r="L440" s="14" t="s">
        <v>92</v>
      </c>
      <c r="M440" s="14" t="s">
        <v>92</v>
      </c>
      <c r="N440" s="14" t="s">
        <v>93</v>
      </c>
      <c r="O440" s="14" t="s">
        <v>92</v>
      </c>
      <c r="P440" s="14" t="s">
        <v>92</v>
      </c>
      <c r="Q440" s="14" t="s">
        <v>92</v>
      </c>
      <c r="R440" s="14" t="s">
        <v>92</v>
      </c>
      <c r="S440" s="14" t="s">
        <v>92</v>
      </c>
      <c r="T440" s="14" t="s">
        <v>93</v>
      </c>
      <c r="U440" s="14" t="s">
        <v>92</v>
      </c>
      <c r="V440" s="14" t="s">
        <v>92</v>
      </c>
      <c r="W440" s="14" t="s">
        <v>92</v>
      </c>
      <c r="X440" s="14" t="s">
        <v>92</v>
      </c>
      <c r="Y440" s="14" t="s">
        <v>92</v>
      </c>
      <c r="Z440" s="14" t="s">
        <v>92</v>
      </c>
      <c r="AA440" s="14" t="s">
        <v>92</v>
      </c>
      <c r="AB440" s="8" t="s">
        <v>93</v>
      </c>
      <c r="AC440" s="8" t="s">
        <v>92</v>
      </c>
      <c r="AD440" s="8" t="s">
        <v>92</v>
      </c>
      <c r="AE440" s="14" t="s">
        <v>103</v>
      </c>
      <c r="AF440" s="14" t="s">
        <v>92</v>
      </c>
      <c r="AG440" s="14" t="s">
        <v>95</v>
      </c>
      <c r="AH440" s="8">
        <v>2023.0</v>
      </c>
      <c r="AI440" s="14" t="s">
        <v>105</v>
      </c>
      <c r="AJ440" s="14" t="s">
        <v>92</v>
      </c>
      <c r="AK440" s="14" t="s">
        <v>92</v>
      </c>
      <c r="AL440" s="14" t="s">
        <v>93</v>
      </c>
      <c r="AM440" s="8" t="s">
        <v>105</v>
      </c>
      <c r="AN440" s="14" t="s">
        <v>105</v>
      </c>
      <c r="AO440" s="8" t="s">
        <v>105</v>
      </c>
      <c r="AP440" s="8" t="s">
        <v>92</v>
      </c>
      <c r="AQ440" s="14" t="s">
        <v>92</v>
      </c>
      <c r="AR440" s="14" t="s">
        <v>93</v>
      </c>
      <c r="AS440" s="14" t="s">
        <v>92</v>
      </c>
      <c r="AT440" s="14" t="s">
        <v>93</v>
      </c>
      <c r="AU440" s="14" t="s">
        <v>93</v>
      </c>
      <c r="AV440" s="14" t="s">
        <v>93</v>
      </c>
      <c r="AW440" s="14" t="s">
        <v>93</v>
      </c>
      <c r="AX440" s="14" t="s">
        <v>93</v>
      </c>
      <c r="AY440" s="8" t="s">
        <v>95</v>
      </c>
      <c r="AZ440" s="8" t="s">
        <v>95</v>
      </c>
      <c r="BA440" s="65" t="s">
        <v>1984</v>
      </c>
      <c r="BB440" s="8" t="s">
        <v>213</v>
      </c>
      <c r="BC440" s="8" t="s">
        <v>92</v>
      </c>
      <c r="BD440" s="14" t="s">
        <v>92</v>
      </c>
      <c r="BE440" s="14" t="s">
        <v>92</v>
      </c>
      <c r="BF440" s="14" t="s">
        <v>92</v>
      </c>
      <c r="BG440" s="14" t="s">
        <v>92</v>
      </c>
      <c r="BH440" s="14" t="s">
        <v>92</v>
      </c>
      <c r="BI440" s="14" t="s">
        <v>93</v>
      </c>
      <c r="BJ440" s="14" t="s">
        <v>92</v>
      </c>
      <c r="BK440" s="14" t="s">
        <v>2001</v>
      </c>
      <c r="BL440" s="14" t="s">
        <v>92</v>
      </c>
      <c r="BM440" s="14" t="s">
        <v>92</v>
      </c>
      <c r="BN440" s="14" t="s">
        <v>93</v>
      </c>
      <c r="BO440" s="14" t="s">
        <v>93</v>
      </c>
      <c r="BP440" s="14" t="s">
        <v>92</v>
      </c>
      <c r="BQ440" s="8" t="s">
        <v>92</v>
      </c>
      <c r="BR440" s="8" t="s">
        <v>93</v>
      </c>
      <c r="BS440" s="8" t="s">
        <v>92</v>
      </c>
      <c r="BT440" s="8" t="s">
        <v>92</v>
      </c>
      <c r="BU440" s="8" t="s">
        <v>92</v>
      </c>
      <c r="BV440" s="8" t="s">
        <v>92</v>
      </c>
      <c r="BW440" s="8" t="s">
        <v>92</v>
      </c>
      <c r="BX440" s="8" t="s">
        <v>92</v>
      </c>
      <c r="BY440" s="8" t="s">
        <v>92</v>
      </c>
      <c r="BZ440" s="8" t="s">
        <v>92</v>
      </c>
      <c r="CA440" s="8" t="s">
        <v>92</v>
      </c>
      <c r="CB440" s="20" t="s">
        <v>116</v>
      </c>
      <c r="CC440" s="17"/>
      <c r="CD440" s="18"/>
      <c r="CE440" s="18"/>
      <c r="CF440" s="18"/>
      <c r="CG440" s="18"/>
      <c r="CH440" s="18"/>
    </row>
    <row r="441">
      <c r="A441" s="8"/>
      <c r="B441" s="68" t="s">
        <v>1984</v>
      </c>
      <c r="C441" s="66" t="s">
        <v>1985</v>
      </c>
      <c r="D441" s="9" t="s">
        <v>1670</v>
      </c>
      <c r="E441" s="11" t="s">
        <v>2005</v>
      </c>
      <c r="F441" s="12"/>
      <c r="G441" s="14" t="s">
        <v>2006</v>
      </c>
      <c r="H441" s="14" t="s">
        <v>90</v>
      </c>
      <c r="I441" s="14" t="s">
        <v>2007</v>
      </c>
      <c r="J441" s="14" t="s">
        <v>92</v>
      </c>
      <c r="K441" s="14" t="s">
        <v>92</v>
      </c>
      <c r="L441" s="14" t="s">
        <v>92</v>
      </c>
      <c r="M441" s="14" t="s">
        <v>92</v>
      </c>
      <c r="N441" s="14" t="s">
        <v>92</v>
      </c>
      <c r="O441" s="14" t="s">
        <v>92</v>
      </c>
      <c r="P441" s="14" t="s">
        <v>92</v>
      </c>
      <c r="Q441" s="14" t="s">
        <v>92</v>
      </c>
      <c r="R441" s="14" t="s">
        <v>92</v>
      </c>
      <c r="S441" s="14" t="s">
        <v>92</v>
      </c>
      <c r="T441" s="14" t="s">
        <v>92</v>
      </c>
      <c r="U441" s="14" t="s">
        <v>92</v>
      </c>
      <c r="V441" s="14" t="s">
        <v>92</v>
      </c>
      <c r="W441" s="14" t="s">
        <v>92</v>
      </c>
      <c r="X441" s="14" t="s">
        <v>92</v>
      </c>
      <c r="Y441" s="14" t="s">
        <v>92</v>
      </c>
      <c r="Z441" s="14" t="s">
        <v>93</v>
      </c>
      <c r="AA441" s="14" t="s">
        <v>92</v>
      </c>
      <c r="AB441" s="8" t="s">
        <v>92</v>
      </c>
      <c r="AC441" s="8" t="s">
        <v>93</v>
      </c>
      <c r="AD441" s="8" t="s">
        <v>92</v>
      </c>
      <c r="AE441" s="14" t="s">
        <v>112</v>
      </c>
      <c r="AF441" s="14" t="s">
        <v>92</v>
      </c>
      <c r="AG441" s="14" t="s">
        <v>95</v>
      </c>
      <c r="AH441" s="8">
        <v>2021.0</v>
      </c>
      <c r="AI441" s="14" t="s">
        <v>105</v>
      </c>
      <c r="AJ441" s="14" t="s">
        <v>93</v>
      </c>
      <c r="AK441" s="14" t="s">
        <v>93</v>
      </c>
      <c r="AL441" s="14" t="s">
        <v>93</v>
      </c>
      <c r="AM441" s="8" t="s">
        <v>95</v>
      </c>
      <c r="AN441" s="14" t="s">
        <v>114</v>
      </c>
      <c r="AO441" s="8" t="s">
        <v>93</v>
      </c>
      <c r="AP441" s="8" t="s">
        <v>92</v>
      </c>
      <c r="AQ441" s="14" t="s">
        <v>92</v>
      </c>
      <c r="AR441" s="14" t="s">
        <v>93</v>
      </c>
      <c r="AS441" s="14" t="s">
        <v>92</v>
      </c>
      <c r="AT441" s="14" t="s">
        <v>93</v>
      </c>
      <c r="AU441" s="14" t="s">
        <v>93</v>
      </c>
      <c r="AV441" s="14" t="s">
        <v>93</v>
      </c>
      <c r="AW441" s="14" t="s">
        <v>93</v>
      </c>
      <c r="AX441" s="14" t="s">
        <v>93</v>
      </c>
      <c r="AY441" s="8" t="s">
        <v>95</v>
      </c>
      <c r="AZ441" s="8" t="s">
        <v>95</v>
      </c>
      <c r="BA441" s="65" t="s">
        <v>1984</v>
      </c>
      <c r="BB441" s="8" t="s">
        <v>213</v>
      </c>
      <c r="BC441" s="8" t="s">
        <v>92</v>
      </c>
      <c r="BD441" s="14" t="s">
        <v>93</v>
      </c>
      <c r="BE441" s="14" t="s">
        <v>92</v>
      </c>
      <c r="BF441" s="14" t="s">
        <v>92</v>
      </c>
      <c r="BG441" s="14" t="s">
        <v>92</v>
      </c>
      <c r="BH441" s="14" t="s">
        <v>92</v>
      </c>
      <c r="BI441" s="14" t="s">
        <v>92</v>
      </c>
      <c r="BJ441" s="14" t="s">
        <v>92</v>
      </c>
      <c r="BK441" s="14" t="s">
        <v>546</v>
      </c>
      <c r="BL441" s="14" t="s">
        <v>92</v>
      </c>
      <c r="BM441" s="14" t="s">
        <v>92</v>
      </c>
      <c r="BN441" s="14" t="s">
        <v>93</v>
      </c>
      <c r="BO441" s="14" t="s">
        <v>92</v>
      </c>
      <c r="BP441" s="14" t="s">
        <v>92</v>
      </c>
      <c r="BQ441" s="8" t="s">
        <v>92</v>
      </c>
      <c r="BR441" s="8" t="s">
        <v>92</v>
      </c>
      <c r="BS441" s="8" t="s">
        <v>92</v>
      </c>
      <c r="BT441" s="8" t="s">
        <v>93</v>
      </c>
      <c r="BU441" s="8" t="s">
        <v>92</v>
      </c>
      <c r="BV441" s="8" t="s">
        <v>92</v>
      </c>
      <c r="BW441" s="8" t="s">
        <v>92</v>
      </c>
      <c r="BX441" s="8" t="s">
        <v>92</v>
      </c>
      <c r="BY441" s="8" t="s">
        <v>92</v>
      </c>
      <c r="BZ441" s="8" t="s">
        <v>92</v>
      </c>
      <c r="CA441" s="8" t="s">
        <v>92</v>
      </c>
      <c r="CB441" s="20" t="s">
        <v>115</v>
      </c>
      <c r="CC441" s="20" t="s">
        <v>106</v>
      </c>
      <c r="CD441" s="20" t="s">
        <v>116</v>
      </c>
      <c r="CE441" s="18"/>
      <c r="CF441" s="18"/>
      <c r="CG441" s="18"/>
      <c r="CH441" s="18"/>
    </row>
    <row r="442">
      <c r="A442" s="8"/>
      <c r="B442" s="9" t="s">
        <v>2008</v>
      </c>
      <c r="C442" s="10" t="s">
        <v>2009</v>
      </c>
      <c r="D442" s="9" t="s">
        <v>1670</v>
      </c>
      <c r="E442" s="11" t="s">
        <v>2010</v>
      </c>
      <c r="F442" s="12"/>
      <c r="G442" s="14" t="s">
        <v>2011</v>
      </c>
      <c r="H442" s="14" t="s">
        <v>110</v>
      </c>
      <c r="I442" s="14" t="s">
        <v>2012</v>
      </c>
      <c r="J442" s="14" t="s">
        <v>93</v>
      </c>
      <c r="K442" s="14" t="s">
        <v>92</v>
      </c>
      <c r="L442" s="14" t="s">
        <v>93</v>
      </c>
      <c r="M442" s="14" t="s">
        <v>92</v>
      </c>
      <c r="N442" s="14" t="s">
        <v>92</v>
      </c>
      <c r="O442" s="14" t="s">
        <v>92</v>
      </c>
      <c r="P442" s="14" t="s">
        <v>92</v>
      </c>
      <c r="Q442" s="14" t="s">
        <v>92</v>
      </c>
      <c r="R442" s="14" t="s">
        <v>92</v>
      </c>
      <c r="S442" s="14" t="s">
        <v>93</v>
      </c>
      <c r="T442" s="14" t="s">
        <v>92</v>
      </c>
      <c r="U442" s="14" t="s">
        <v>92</v>
      </c>
      <c r="V442" s="14" t="s">
        <v>92</v>
      </c>
      <c r="W442" s="14" t="s">
        <v>92</v>
      </c>
      <c r="X442" s="14" t="s">
        <v>92</v>
      </c>
      <c r="Y442" s="14" t="s">
        <v>92</v>
      </c>
      <c r="Z442" s="14" t="s">
        <v>93</v>
      </c>
      <c r="AA442" s="14" t="s">
        <v>92</v>
      </c>
      <c r="AB442" s="8" t="s">
        <v>93</v>
      </c>
      <c r="AC442" s="8" t="s">
        <v>93</v>
      </c>
      <c r="AD442" s="8" t="s">
        <v>93</v>
      </c>
      <c r="AE442" s="14" t="s">
        <v>112</v>
      </c>
      <c r="AF442" s="14" t="s">
        <v>92</v>
      </c>
      <c r="AG442" s="14" t="s">
        <v>95</v>
      </c>
      <c r="AH442" s="8">
        <v>2012.0</v>
      </c>
      <c r="AI442" s="14" t="s">
        <v>93</v>
      </c>
      <c r="AJ442" s="14" t="s">
        <v>93</v>
      </c>
      <c r="AK442" s="14" t="s">
        <v>93</v>
      </c>
      <c r="AL442" s="14" t="s">
        <v>93</v>
      </c>
      <c r="AM442" s="8" t="s">
        <v>95</v>
      </c>
      <c r="AN442" s="14" t="s">
        <v>114</v>
      </c>
      <c r="AO442" s="8" t="s">
        <v>93</v>
      </c>
      <c r="AP442" s="8" t="s">
        <v>92</v>
      </c>
      <c r="AQ442" s="14" t="s">
        <v>93</v>
      </c>
      <c r="AR442" s="14" t="s">
        <v>93</v>
      </c>
      <c r="AS442" s="14" t="s">
        <v>93</v>
      </c>
      <c r="AT442" s="14" t="s">
        <v>93</v>
      </c>
      <c r="AU442" s="14" t="s">
        <v>93</v>
      </c>
      <c r="AV442" s="14" t="s">
        <v>93</v>
      </c>
      <c r="AW442" s="14" t="s">
        <v>93</v>
      </c>
      <c r="AX442" s="14" t="s">
        <v>92</v>
      </c>
      <c r="AY442" s="8" t="s">
        <v>95</v>
      </c>
      <c r="AZ442" s="8" t="s">
        <v>95</v>
      </c>
      <c r="BA442" s="9" t="s">
        <v>2008</v>
      </c>
      <c r="BB442" s="8" t="s">
        <v>155</v>
      </c>
      <c r="BC442" s="8" t="s">
        <v>92</v>
      </c>
      <c r="BD442" s="14" t="s">
        <v>93</v>
      </c>
      <c r="BE442" s="14" t="s">
        <v>92</v>
      </c>
      <c r="BF442" s="14" t="s">
        <v>92</v>
      </c>
      <c r="BG442" s="14" t="s">
        <v>92</v>
      </c>
      <c r="BH442" s="14" t="s">
        <v>92</v>
      </c>
      <c r="BI442" s="14" t="s">
        <v>92</v>
      </c>
      <c r="BJ442" s="14" t="s">
        <v>92</v>
      </c>
      <c r="BK442" s="14" t="s">
        <v>95</v>
      </c>
      <c r="BL442" s="14" t="s">
        <v>93</v>
      </c>
      <c r="BM442" s="14" t="s">
        <v>93</v>
      </c>
      <c r="BN442" s="14" t="s">
        <v>93</v>
      </c>
      <c r="BO442" s="14" t="s">
        <v>93</v>
      </c>
      <c r="BP442" s="14" t="s">
        <v>93</v>
      </c>
      <c r="BQ442" s="8" t="s">
        <v>92</v>
      </c>
      <c r="BR442" s="8" t="s">
        <v>92</v>
      </c>
      <c r="BS442" s="8" t="s">
        <v>92</v>
      </c>
      <c r="BT442" s="8" t="s">
        <v>93</v>
      </c>
      <c r="BU442" s="8" t="s">
        <v>92</v>
      </c>
      <c r="BV442" s="8" t="s">
        <v>92</v>
      </c>
      <c r="BW442" s="8" t="s">
        <v>92</v>
      </c>
      <c r="BX442" s="8" t="s">
        <v>92</v>
      </c>
      <c r="BY442" s="8" t="s">
        <v>92</v>
      </c>
      <c r="BZ442" s="8" t="s">
        <v>93</v>
      </c>
      <c r="CA442" s="8" t="s">
        <v>92</v>
      </c>
      <c r="CB442" s="20" t="s">
        <v>2013</v>
      </c>
      <c r="CC442" s="20" t="s">
        <v>1371</v>
      </c>
      <c r="CD442" s="31"/>
      <c r="CE442" s="34"/>
      <c r="CF442" s="34"/>
      <c r="CG442" s="18"/>
      <c r="CH442" s="18"/>
    </row>
    <row r="443">
      <c r="A443" s="8"/>
      <c r="B443" s="19" t="s">
        <v>2008</v>
      </c>
      <c r="C443" s="10" t="s">
        <v>2009</v>
      </c>
      <c r="D443" s="9" t="s">
        <v>1670</v>
      </c>
      <c r="E443" s="11" t="s">
        <v>2014</v>
      </c>
      <c r="F443" s="25"/>
      <c r="G443" s="14" t="s">
        <v>2015</v>
      </c>
      <c r="H443" s="14" t="s">
        <v>90</v>
      </c>
      <c r="I443" s="14" t="s">
        <v>2016</v>
      </c>
      <c r="J443" s="14" t="s">
        <v>92</v>
      </c>
      <c r="K443" s="14" t="s">
        <v>92</v>
      </c>
      <c r="L443" s="14" t="s">
        <v>92</v>
      </c>
      <c r="M443" s="14" t="s">
        <v>93</v>
      </c>
      <c r="N443" s="14" t="s">
        <v>92</v>
      </c>
      <c r="O443" s="14" t="s">
        <v>92</v>
      </c>
      <c r="P443" s="14" t="s">
        <v>92</v>
      </c>
      <c r="Q443" s="14" t="s">
        <v>92</v>
      </c>
      <c r="R443" s="14" t="s">
        <v>92</v>
      </c>
      <c r="S443" s="14" t="s">
        <v>92</v>
      </c>
      <c r="T443" s="14" t="s">
        <v>93</v>
      </c>
      <c r="U443" s="14" t="s">
        <v>92</v>
      </c>
      <c r="V443" s="14" t="s">
        <v>92</v>
      </c>
      <c r="W443" s="14" t="s">
        <v>92</v>
      </c>
      <c r="X443" s="14" t="s">
        <v>92</v>
      </c>
      <c r="Y443" s="14" t="s">
        <v>93</v>
      </c>
      <c r="Z443" s="14" t="s">
        <v>93</v>
      </c>
      <c r="AA443" s="14" t="s">
        <v>92</v>
      </c>
      <c r="AB443" s="8" t="s">
        <v>93</v>
      </c>
      <c r="AC443" s="8" t="s">
        <v>93</v>
      </c>
      <c r="AD443" s="8" t="s">
        <v>92</v>
      </c>
      <c r="AE443" s="14" t="s">
        <v>112</v>
      </c>
      <c r="AF443" s="14" t="s">
        <v>92</v>
      </c>
      <c r="AG443" s="14" t="s">
        <v>95</v>
      </c>
      <c r="AH443" s="8" t="s">
        <v>105</v>
      </c>
      <c r="AI443" s="14" t="s">
        <v>93</v>
      </c>
      <c r="AJ443" s="14" t="s">
        <v>93</v>
      </c>
      <c r="AK443" s="14" t="s">
        <v>93</v>
      </c>
      <c r="AL443" s="14" t="s">
        <v>93</v>
      </c>
      <c r="AM443" s="8" t="s">
        <v>95</v>
      </c>
      <c r="AN443" s="14" t="s">
        <v>114</v>
      </c>
      <c r="AO443" s="8" t="s">
        <v>93</v>
      </c>
      <c r="AP443" s="8" t="s">
        <v>92</v>
      </c>
      <c r="AQ443" s="14" t="s">
        <v>93</v>
      </c>
      <c r="AR443" s="14" t="s">
        <v>93</v>
      </c>
      <c r="AS443" s="14" t="s">
        <v>93</v>
      </c>
      <c r="AT443" s="14" t="s">
        <v>93</v>
      </c>
      <c r="AU443" s="14" t="s">
        <v>93</v>
      </c>
      <c r="AV443" s="14" t="s">
        <v>93</v>
      </c>
      <c r="AW443" s="14" t="s">
        <v>93</v>
      </c>
      <c r="AX443" s="14" t="s">
        <v>92</v>
      </c>
      <c r="AY443" s="8" t="s">
        <v>95</v>
      </c>
      <c r="AZ443" s="8" t="s">
        <v>95</v>
      </c>
      <c r="BA443" s="9" t="s">
        <v>2008</v>
      </c>
      <c r="BB443" s="8" t="s">
        <v>155</v>
      </c>
      <c r="BC443" s="8" t="s">
        <v>92</v>
      </c>
      <c r="BD443" s="14" t="s">
        <v>93</v>
      </c>
      <c r="BE443" s="14" t="s">
        <v>92</v>
      </c>
      <c r="BF443" s="14" t="s">
        <v>92</v>
      </c>
      <c r="BG443" s="14" t="s">
        <v>92</v>
      </c>
      <c r="BH443" s="14" t="s">
        <v>92</v>
      </c>
      <c r="BI443" s="14" t="s">
        <v>93</v>
      </c>
      <c r="BJ443" s="14" t="s">
        <v>92</v>
      </c>
      <c r="BK443" s="14" t="s">
        <v>156</v>
      </c>
      <c r="BL443" s="14" t="s">
        <v>92</v>
      </c>
      <c r="BM443" s="14" t="s">
        <v>92</v>
      </c>
      <c r="BN443" s="14" t="s">
        <v>92</v>
      </c>
      <c r="BO443" s="14" t="s">
        <v>92</v>
      </c>
      <c r="BP443" s="14" t="s">
        <v>93</v>
      </c>
      <c r="BQ443" s="8" t="s">
        <v>92</v>
      </c>
      <c r="BR443" s="8" t="s">
        <v>93</v>
      </c>
      <c r="BS443" s="8" t="s">
        <v>92</v>
      </c>
      <c r="BT443" s="8" t="s">
        <v>93</v>
      </c>
      <c r="BU443" s="8" t="s">
        <v>93</v>
      </c>
      <c r="BV443" s="8" t="s">
        <v>93</v>
      </c>
      <c r="BW443" s="8" t="s">
        <v>92</v>
      </c>
      <c r="BX443" s="8" t="s">
        <v>92</v>
      </c>
      <c r="BY443" s="8" t="s">
        <v>92</v>
      </c>
      <c r="BZ443" s="8" t="s">
        <v>92</v>
      </c>
      <c r="CA443" s="8" t="s">
        <v>92</v>
      </c>
      <c r="CB443" s="20" t="s">
        <v>1371</v>
      </c>
      <c r="CC443" s="20" t="s">
        <v>2017</v>
      </c>
      <c r="CD443" s="31"/>
      <c r="CE443" s="34"/>
      <c r="CF443" s="34"/>
      <c r="CG443" s="18"/>
      <c r="CH443" s="18"/>
    </row>
    <row r="444">
      <c r="A444" s="8"/>
      <c r="B444" s="9" t="s">
        <v>2008</v>
      </c>
      <c r="C444" s="10" t="s">
        <v>2009</v>
      </c>
      <c r="D444" s="9" t="s">
        <v>1670</v>
      </c>
      <c r="E444" s="11" t="s">
        <v>2018</v>
      </c>
      <c r="F444" s="12"/>
      <c r="G444" s="14" t="s">
        <v>2019</v>
      </c>
      <c r="H444" s="14" t="s">
        <v>90</v>
      </c>
      <c r="I444" s="14" t="s">
        <v>2020</v>
      </c>
      <c r="J444" s="14" t="s">
        <v>92</v>
      </c>
      <c r="K444" s="14" t="s">
        <v>92</v>
      </c>
      <c r="L444" s="14" t="s">
        <v>92</v>
      </c>
      <c r="M444" s="14" t="s">
        <v>92</v>
      </c>
      <c r="N444" s="14" t="s">
        <v>92</v>
      </c>
      <c r="O444" s="14" t="s">
        <v>93</v>
      </c>
      <c r="P444" s="14" t="s">
        <v>92</v>
      </c>
      <c r="Q444" s="14" t="s">
        <v>92</v>
      </c>
      <c r="R444" s="14" t="s">
        <v>92</v>
      </c>
      <c r="S444" s="14" t="s">
        <v>92</v>
      </c>
      <c r="T444" s="14" t="s">
        <v>92</v>
      </c>
      <c r="U444" s="14" t="s">
        <v>92</v>
      </c>
      <c r="V444" s="14" t="s">
        <v>92</v>
      </c>
      <c r="W444" s="14" t="s">
        <v>92</v>
      </c>
      <c r="X444" s="14" t="s">
        <v>92</v>
      </c>
      <c r="Y444" s="14" t="s">
        <v>92</v>
      </c>
      <c r="Z444" s="14" t="s">
        <v>93</v>
      </c>
      <c r="AA444" s="14" t="s">
        <v>93</v>
      </c>
      <c r="AB444" s="8" t="s">
        <v>93</v>
      </c>
      <c r="AC444" s="8" t="s">
        <v>93</v>
      </c>
      <c r="AD444" s="8" t="s">
        <v>92</v>
      </c>
      <c r="AE444" s="14" t="s">
        <v>112</v>
      </c>
      <c r="AF444" s="14" t="s">
        <v>92</v>
      </c>
      <c r="AG444" s="14" t="s">
        <v>95</v>
      </c>
      <c r="AH444" s="8" t="s">
        <v>105</v>
      </c>
      <c r="AI444" s="14" t="s">
        <v>92</v>
      </c>
      <c r="AJ444" s="14" t="s">
        <v>92</v>
      </c>
      <c r="AK444" s="14" t="s">
        <v>92</v>
      </c>
      <c r="AL444" s="14" t="s">
        <v>93</v>
      </c>
      <c r="AM444" s="8" t="s">
        <v>95</v>
      </c>
      <c r="AN444" s="14" t="s">
        <v>114</v>
      </c>
      <c r="AO444" s="8" t="s">
        <v>92</v>
      </c>
      <c r="AP444" s="8" t="s">
        <v>92</v>
      </c>
      <c r="AQ444" s="14" t="s">
        <v>93</v>
      </c>
      <c r="AR444" s="14" t="s">
        <v>93</v>
      </c>
      <c r="AS444" s="14" t="s">
        <v>93</v>
      </c>
      <c r="AT444" s="14" t="s">
        <v>93</v>
      </c>
      <c r="AU444" s="14" t="s">
        <v>93</v>
      </c>
      <c r="AV444" s="14" t="s">
        <v>93</v>
      </c>
      <c r="AW444" s="14" t="s">
        <v>93</v>
      </c>
      <c r="AX444" s="14" t="s">
        <v>92</v>
      </c>
      <c r="AY444" s="8" t="s">
        <v>2021</v>
      </c>
      <c r="AZ444" s="8" t="s">
        <v>93</v>
      </c>
      <c r="BA444" s="9" t="s">
        <v>2022</v>
      </c>
      <c r="BB444" s="8" t="s">
        <v>155</v>
      </c>
      <c r="BC444" s="8" t="s">
        <v>92</v>
      </c>
      <c r="BD444" s="14" t="s">
        <v>93</v>
      </c>
      <c r="BE444" s="14" t="s">
        <v>92</v>
      </c>
      <c r="BF444" s="14" t="s">
        <v>92</v>
      </c>
      <c r="BG444" s="14" t="s">
        <v>92</v>
      </c>
      <c r="BH444" s="14" t="s">
        <v>92</v>
      </c>
      <c r="BI444" s="14" t="s">
        <v>92</v>
      </c>
      <c r="BJ444" s="14" t="s">
        <v>92</v>
      </c>
      <c r="BK444" s="14" t="s">
        <v>1128</v>
      </c>
      <c r="BL444" s="14" t="s">
        <v>92</v>
      </c>
      <c r="BM444" s="14" t="s">
        <v>92</v>
      </c>
      <c r="BN444" s="14" t="s">
        <v>92</v>
      </c>
      <c r="BO444" s="14" t="s">
        <v>92</v>
      </c>
      <c r="BP444" s="14" t="s">
        <v>93</v>
      </c>
      <c r="BQ444" s="8" t="s">
        <v>92</v>
      </c>
      <c r="BR444" s="8" t="s">
        <v>92</v>
      </c>
      <c r="BS444" s="8" t="s">
        <v>93</v>
      </c>
      <c r="BT444" s="8" t="s">
        <v>93</v>
      </c>
      <c r="BU444" s="8" t="s">
        <v>93</v>
      </c>
      <c r="BV444" s="8" t="s">
        <v>92</v>
      </c>
      <c r="BW444" s="8" t="s">
        <v>92</v>
      </c>
      <c r="BX444" s="8" t="s">
        <v>92</v>
      </c>
      <c r="BY444" s="8" t="s">
        <v>92</v>
      </c>
      <c r="BZ444" s="8" t="s">
        <v>92</v>
      </c>
      <c r="CA444" s="8" t="s">
        <v>92</v>
      </c>
      <c r="CB444" s="20" t="s">
        <v>1371</v>
      </c>
      <c r="CC444" s="31"/>
      <c r="CD444" s="31"/>
      <c r="CE444" s="18"/>
      <c r="CF444" s="18"/>
      <c r="CG444" s="18"/>
      <c r="CH444" s="18"/>
    </row>
    <row r="445">
      <c r="A445" s="8"/>
      <c r="B445" s="9" t="s">
        <v>2008</v>
      </c>
      <c r="C445" s="10" t="s">
        <v>2009</v>
      </c>
      <c r="D445" s="58" t="s">
        <v>1670</v>
      </c>
      <c r="E445" s="11" t="s">
        <v>1516</v>
      </c>
      <c r="F445" s="10" t="s">
        <v>187</v>
      </c>
      <c r="G445" s="9" t="s">
        <v>188</v>
      </c>
      <c r="H445" s="14" t="s">
        <v>189</v>
      </c>
      <c r="I445" s="50" t="s">
        <v>2023</v>
      </c>
      <c r="J445" s="50" t="s">
        <v>92</v>
      </c>
      <c r="K445" s="50" t="s">
        <v>92</v>
      </c>
      <c r="L445" s="50" t="s">
        <v>93</v>
      </c>
      <c r="M445" s="50" t="s">
        <v>93</v>
      </c>
      <c r="N445" s="58" t="s">
        <v>92</v>
      </c>
      <c r="O445" s="50" t="s">
        <v>92</v>
      </c>
      <c r="P445" s="50" t="s">
        <v>92</v>
      </c>
      <c r="Q445" s="50" t="s">
        <v>92</v>
      </c>
      <c r="R445" s="50" t="s">
        <v>92</v>
      </c>
      <c r="S445" s="50" t="s">
        <v>92</v>
      </c>
      <c r="T445" s="50" t="s">
        <v>92</v>
      </c>
      <c r="U445" s="50" t="s">
        <v>93</v>
      </c>
      <c r="V445" s="50" t="s">
        <v>92</v>
      </c>
      <c r="W445" s="50" t="s">
        <v>92</v>
      </c>
      <c r="X445" s="50" t="s">
        <v>92</v>
      </c>
      <c r="Y445" s="50" t="s">
        <v>92</v>
      </c>
      <c r="Z445" s="50" t="s">
        <v>92</v>
      </c>
      <c r="AA445" s="50" t="s">
        <v>92</v>
      </c>
      <c r="AB445" s="49" t="s">
        <v>93</v>
      </c>
      <c r="AC445" s="49" t="s">
        <v>93</v>
      </c>
      <c r="AD445" s="49" t="s">
        <v>92</v>
      </c>
      <c r="AE445" s="50" t="s">
        <v>94</v>
      </c>
      <c r="AF445" s="50" t="s">
        <v>92</v>
      </c>
      <c r="AG445" s="50" t="s">
        <v>95</v>
      </c>
      <c r="AH445" s="49" t="s">
        <v>105</v>
      </c>
      <c r="AI445" s="50" t="s">
        <v>92</v>
      </c>
      <c r="AJ445" s="50" t="s">
        <v>93</v>
      </c>
      <c r="AK445" s="50" t="s">
        <v>93</v>
      </c>
      <c r="AL445" s="50" t="s">
        <v>93</v>
      </c>
      <c r="AM445" s="49" t="s">
        <v>95</v>
      </c>
      <c r="AN445" s="50" t="s">
        <v>114</v>
      </c>
      <c r="AO445" s="49" t="s">
        <v>93</v>
      </c>
      <c r="AP445" s="49" t="s">
        <v>92</v>
      </c>
      <c r="AQ445" s="50" t="s">
        <v>93</v>
      </c>
      <c r="AR445" s="50" t="s">
        <v>93</v>
      </c>
      <c r="AS445" s="50" t="s">
        <v>93</v>
      </c>
      <c r="AT445" s="50" t="s">
        <v>93</v>
      </c>
      <c r="AU445" s="50" t="s">
        <v>93</v>
      </c>
      <c r="AV445" s="50" t="s">
        <v>93</v>
      </c>
      <c r="AW445" s="50" t="s">
        <v>93</v>
      </c>
      <c r="AX445" s="58" t="s">
        <v>92</v>
      </c>
      <c r="AY445" s="49" t="s">
        <v>95</v>
      </c>
      <c r="AZ445" s="49" t="s">
        <v>93</v>
      </c>
      <c r="BA445" s="50" t="s">
        <v>1518</v>
      </c>
      <c r="BB445" s="49" t="s">
        <v>155</v>
      </c>
      <c r="BC445" s="49" t="s">
        <v>92</v>
      </c>
      <c r="BD445" s="50" t="s">
        <v>92</v>
      </c>
      <c r="BE445" s="50" t="s">
        <v>92</v>
      </c>
      <c r="BF445" s="50" t="s">
        <v>92</v>
      </c>
      <c r="BG445" s="50" t="s">
        <v>92</v>
      </c>
      <c r="BH445" s="50" t="s">
        <v>92</v>
      </c>
      <c r="BI445" s="50" t="s">
        <v>93</v>
      </c>
      <c r="BJ445" s="50" t="s">
        <v>92</v>
      </c>
      <c r="BK445" s="50" t="s">
        <v>156</v>
      </c>
      <c r="BL445" s="50" t="s">
        <v>92</v>
      </c>
      <c r="BM445" s="50" t="s">
        <v>92</v>
      </c>
      <c r="BN445" s="50" t="s">
        <v>92</v>
      </c>
      <c r="BO445" s="50" t="s">
        <v>92</v>
      </c>
      <c r="BP445" s="50" t="s">
        <v>93</v>
      </c>
      <c r="BQ445" s="49" t="s">
        <v>93</v>
      </c>
      <c r="BR445" s="49" t="s">
        <v>92</v>
      </c>
      <c r="BS445" s="49" t="s">
        <v>92</v>
      </c>
      <c r="BT445" s="49" t="s">
        <v>92</v>
      </c>
      <c r="BU445" s="49" t="s">
        <v>92</v>
      </c>
      <c r="BV445" s="49" t="s">
        <v>92</v>
      </c>
      <c r="BW445" s="49" t="s">
        <v>92</v>
      </c>
      <c r="BX445" s="49" t="s">
        <v>92</v>
      </c>
      <c r="BY445" s="49" t="s">
        <v>92</v>
      </c>
      <c r="BZ445" s="49" t="s">
        <v>92</v>
      </c>
      <c r="CA445" s="49" t="s">
        <v>92</v>
      </c>
      <c r="CB445" s="59" t="s">
        <v>115</v>
      </c>
      <c r="CC445" s="59" t="s">
        <v>106</v>
      </c>
      <c r="CD445" s="59" t="s">
        <v>116</v>
      </c>
      <c r="CE445" s="18"/>
      <c r="CF445" s="18"/>
      <c r="CG445" s="18"/>
      <c r="CH445" s="18"/>
    </row>
    <row r="446">
      <c r="A446" s="8"/>
      <c r="B446" s="9" t="s">
        <v>2008</v>
      </c>
      <c r="C446" s="10" t="s">
        <v>2009</v>
      </c>
      <c r="D446" s="9" t="s">
        <v>1670</v>
      </c>
      <c r="E446" s="11" t="s">
        <v>2024</v>
      </c>
      <c r="F446" s="12"/>
      <c r="G446" s="14" t="s">
        <v>2025</v>
      </c>
      <c r="H446" s="14" t="s">
        <v>90</v>
      </c>
      <c r="I446" s="14" t="s">
        <v>2026</v>
      </c>
      <c r="J446" s="14" t="s">
        <v>93</v>
      </c>
      <c r="K446" s="14" t="s">
        <v>92</v>
      </c>
      <c r="L446" s="14" t="s">
        <v>92</v>
      </c>
      <c r="M446" s="14" t="s">
        <v>92</v>
      </c>
      <c r="N446" s="14" t="s">
        <v>92</v>
      </c>
      <c r="O446" s="14" t="s">
        <v>92</v>
      </c>
      <c r="P446" s="14" t="s">
        <v>92</v>
      </c>
      <c r="Q446" s="14" t="s">
        <v>92</v>
      </c>
      <c r="R446" s="14" t="s">
        <v>92</v>
      </c>
      <c r="S446" s="14" t="s">
        <v>93</v>
      </c>
      <c r="T446" s="14" t="s">
        <v>92</v>
      </c>
      <c r="U446" s="14" t="s">
        <v>92</v>
      </c>
      <c r="V446" s="14" t="s">
        <v>92</v>
      </c>
      <c r="W446" s="14" t="s">
        <v>92</v>
      </c>
      <c r="X446" s="14" t="s">
        <v>93</v>
      </c>
      <c r="Y446" s="14" t="s">
        <v>92</v>
      </c>
      <c r="Z446" s="14" t="s">
        <v>93</v>
      </c>
      <c r="AA446" s="14" t="s">
        <v>92</v>
      </c>
      <c r="AB446" s="8" t="s">
        <v>92</v>
      </c>
      <c r="AC446" s="8" t="s">
        <v>93</v>
      </c>
      <c r="AD446" s="8" t="s">
        <v>92</v>
      </c>
      <c r="AE446" s="14" t="s">
        <v>112</v>
      </c>
      <c r="AF446" s="14" t="s">
        <v>92</v>
      </c>
      <c r="AG446" s="14" t="s">
        <v>95</v>
      </c>
      <c r="AH446" s="8">
        <v>2020.0</v>
      </c>
      <c r="AI446" s="14" t="s">
        <v>93</v>
      </c>
      <c r="AJ446" s="14" t="s">
        <v>93</v>
      </c>
      <c r="AK446" s="14" t="s">
        <v>93</v>
      </c>
      <c r="AL446" s="14" t="s">
        <v>93</v>
      </c>
      <c r="AM446" s="8" t="s">
        <v>95</v>
      </c>
      <c r="AN446" s="14" t="s">
        <v>114</v>
      </c>
      <c r="AO446" s="8" t="s">
        <v>93</v>
      </c>
      <c r="AP446" s="8" t="s">
        <v>92</v>
      </c>
      <c r="AQ446" s="14" t="s">
        <v>93</v>
      </c>
      <c r="AR446" s="14" t="s">
        <v>93</v>
      </c>
      <c r="AS446" s="14" t="s">
        <v>93</v>
      </c>
      <c r="AT446" s="14" t="s">
        <v>93</v>
      </c>
      <c r="AU446" s="14" t="s">
        <v>93</v>
      </c>
      <c r="AV446" s="14" t="s">
        <v>93</v>
      </c>
      <c r="AW446" s="14" t="s">
        <v>93</v>
      </c>
      <c r="AX446" s="14" t="s">
        <v>92</v>
      </c>
      <c r="AY446" s="8" t="s">
        <v>95</v>
      </c>
      <c r="AZ446" s="8" t="s">
        <v>95</v>
      </c>
      <c r="BA446" s="9" t="s">
        <v>2008</v>
      </c>
      <c r="BB446" s="8" t="s">
        <v>155</v>
      </c>
      <c r="BC446" s="8" t="s">
        <v>92</v>
      </c>
      <c r="BD446" s="14" t="s">
        <v>93</v>
      </c>
      <c r="BE446" s="14" t="s">
        <v>92</v>
      </c>
      <c r="BF446" s="14" t="s">
        <v>92</v>
      </c>
      <c r="BG446" s="14" t="s">
        <v>92</v>
      </c>
      <c r="BH446" s="14" t="s">
        <v>92</v>
      </c>
      <c r="BI446" s="14" t="s">
        <v>92</v>
      </c>
      <c r="BJ446" s="14" t="s">
        <v>92</v>
      </c>
      <c r="BK446" s="14" t="s">
        <v>156</v>
      </c>
      <c r="BL446" s="14" t="s">
        <v>92</v>
      </c>
      <c r="BM446" s="14" t="s">
        <v>92</v>
      </c>
      <c r="BN446" s="14" t="s">
        <v>92</v>
      </c>
      <c r="BO446" s="14" t="s">
        <v>92</v>
      </c>
      <c r="BP446" s="14" t="s">
        <v>93</v>
      </c>
      <c r="BQ446" s="8" t="s">
        <v>92</v>
      </c>
      <c r="BR446" s="8" t="s">
        <v>92</v>
      </c>
      <c r="BS446" s="8" t="s">
        <v>92</v>
      </c>
      <c r="BT446" s="8" t="s">
        <v>93</v>
      </c>
      <c r="BU446" s="8" t="s">
        <v>92</v>
      </c>
      <c r="BV446" s="8" t="s">
        <v>92</v>
      </c>
      <c r="BW446" s="8" t="s">
        <v>92</v>
      </c>
      <c r="BX446" s="8" t="s">
        <v>93</v>
      </c>
      <c r="BY446" s="8" t="s">
        <v>93</v>
      </c>
      <c r="BZ446" s="8" t="s">
        <v>92</v>
      </c>
      <c r="CA446" s="8" t="s">
        <v>92</v>
      </c>
      <c r="CB446" s="20" t="s">
        <v>2013</v>
      </c>
      <c r="CC446" s="20" t="s">
        <v>116</v>
      </c>
      <c r="CD446" s="31"/>
      <c r="CE446" s="18"/>
      <c r="CF446" s="18"/>
      <c r="CG446" s="18"/>
      <c r="CH446" s="18"/>
    </row>
    <row r="447">
      <c r="A447" s="8"/>
      <c r="B447" s="9" t="s">
        <v>2008</v>
      </c>
      <c r="C447" s="10" t="s">
        <v>2009</v>
      </c>
      <c r="D447" s="9" t="s">
        <v>1670</v>
      </c>
      <c r="E447" s="11" t="s">
        <v>2027</v>
      </c>
      <c r="F447" s="12"/>
      <c r="G447" s="14" t="s">
        <v>2028</v>
      </c>
      <c r="H447" s="14" t="s">
        <v>90</v>
      </c>
      <c r="I447" s="14" t="s">
        <v>2029</v>
      </c>
      <c r="J447" s="14" t="s">
        <v>92</v>
      </c>
      <c r="K447" s="14" t="s">
        <v>92</v>
      </c>
      <c r="L447" s="14" t="s">
        <v>92</v>
      </c>
      <c r="M447" s="14" t="s">
        <v>92</v>
      </c>
      <c r="N447" s="14" t="s">
        <v>92</v>
      </c>
      <c r="O447" s="14" t="s">
        <v>92</v>
      </c>
      <c r="P447" s="14" t="s">
        <v>92</v>
      </c>
      <c r="Q447" s="14" t="s">
        <v>92</v>
      </c>
      <c r="R447" s="14" t="s">
        <v>92</v>
      </c>
      <c r="S447" s="14" t="s">
        <v>92</v>
      </c>
      <c r="T447" s="14" t="s">
        <v>92</v>
      </c>
      <c r="U447" s="14" t="s">
        <v>92</v>
      </c>
      <c r="V447" s="14" t="s">
        <v>92</v>
      </c>
      <c r="W447" s="14" t="s">
        <v>92</v>
      </c>
      <c r="X447" s="14" t="s">
        <v>92</v>
      </c>
      <c r="Y447" s="14" t="s">
        <v>92</v>
      </c>
      <c r="Z447" s="14" t="s">
        <v>93</v>
      </c>
      <c r="AA447" s="14" t="s">
        <v>92</v>
      </c>
      <c r="AB447" s="8" t="s">
        <v>92</v>
      </c>
      <c r="AC447" s="8" t="s">
        <v>93</v>
      </c>
      <c r="AD447" s="8" t="s">
        <v>92</v>
      </c>
      <c r="AE447" s="14" t="s">
        <v>112</v>
      </c>
      <c r="AF447" s="14" t="s">
        <v>92</v>
      </c>
      <c r="AG447" s="14" t="s">
        <v>95</v>
      </c>
      <c r="AH447" s="8" t="s">
        <v>105</v>
      </c>
      <c r="AI447" s="14" t="s">
        <v>92</v>
      </c>
      <c r="AJ447" s="14" t="s">
        <v>92</v>
      </c>
      <c r="AK447" s="14" t="s">
        <v>92</v>
      </c>
      <c r="AL447" s="14" t="s">
        <v>93</v>
      </c>
      <c r="AM447" s="8" t="s">
        <v>95</v>
      </c>
      <c r="AN447" s="14" t="s">
        <v>114</v>
      </c>
      <c r="AO447" s="8" t="s">
        <v>92</v>
      </c>
      <c r="AP447" s="8" t="s">
        <v>92</v>
      </c>
      <c r="AQ447" s="14" t="s">
        <v>93</v>
      </c>
      <c r="AR447" s="14" t="s">
        <v>93</v>
      </c>
      <c r="AS447" s="14" t="s">
        <v>93</v>
      </c>
      <c r="AT447" s="14" t="s">
        <v>93</v>
      </c>
      <c r="AU447" s="14" t="s">
        <v>93</v>
      </c>
      <c r="AV447" s="14" t="s">
        <v>93</v>
      </c>
      <c r="AW447" s="14" t="s">
        <v>93</v>
      </c>
      <c r="AX447" s="14" t="s">
        <v>92</v>
      </c>
      <c r="AY447" s="8" t="s">
        <v>95</v>
      </c>
      <c r="AZ447" s="8" t="s">
        <v>95</v>
      </c>
      <c r="BA447" s="9" t="s">
        <v>2008</v>
      </c>
      <c r="BB447" s="8" t="s">
        <v>155</v>
      </c>
      <c r="BC447" s="8" t="s">
        <v>92</v>
      </c>
      <c r="BD447" s="14" t="s">
        <v>93</v>
      </c>
      <c r="BE447" s="14" t="s">
        <v>92</v>
      </c>
      <c r="BF447" s="14" t="s">
        <v>92</v>
      </c>
      <c r="BG447" s="14" t="s">
        <v>92</v>
      </c>
      <c r="BH447" s="14" t="s">
        <v>92</v>
      </c>
      <c r="BI447" s="14" t="s">
        <v>92</v>
      </c>
      <c r="BJ447" s="14" t="s">
        <v>92</v>
      </c>
      <c r="BK447" s="14" t="s">
        <v>156</v>
      </c>
      <c r="BL447" s="14" t="s">
        <v>92</v>
      </c>
      <c r="BM447" s="14" t="s">
        <v>92</v>
      </c>
      <c r="BN447" s="14" t="s">
        <v>92</v>
      </c>
      <c r="BO447" s="14" t="s">
        <v>92</v>
      </c>
      <c r="BP447" s="14" t="s">
        <v>93</v>
      </c>
      <c r="BQ447" s="8" t="s">
        <v>92</v>
      </c>
      <c r="BR447" s="8" t="s">
        <v>92</v>
      </c>
      <c r="BS447" s="8" t="s">
        <v>92</v>
      </c>
      <c r="BT447" s="8" t="s">
        <v>93</v>
      </c>
      <c r="BU447" s="8" t="s">
        <v>92</v>
      </c>
      <c r="BV447" s="8" t="s">
        <v>92</v>
      </c>
      <c r="BW447" s="8" t="s">
        <v>92</v>
      </c>
      <c r="BX447" s="8" t="s">
        <v>92</v>
      </c>
      <c r="BY447" s="8" t="s">
        <v>92</v>
      </c>
      <c r="BZ447" s="8" t="s">
        <v>92</v>
      </c>
      <c r="CA447" s="8" t="s">
        <v>92</v>
      </c>
      <c r="CB447" s="39" t="s">
        <v>116</v>
      </c>
      <c r="CC447" s="31"/>
      <c r="CD447" s="31"/>
      <c r="CE447" s="18"/>
      <c r="CF447" s="18"/>
      <c r="CG447" s="18"/>
      <c r="CH447" s="18"/>
    </row>
    <row r="448">
      <c r="A448" s="8"/>
      <c r="B448" s="9" t="s">
        <v>2030</v>
      </c>
      <c r="C448" s="10" t="s">
        <v>2031</v>
      </c>
      <c r="D448" s="9" t="s">
        <v>1670</v>
      </c>
      <c r="E448" s="11" t="s">
        <v>2032</v>
      </c>
      <c r="F448" s="12"/>
      <c r="G448" s="14" t="s">
        <v>2033</v>
      </c>
      <c r="H448" s="14" t="s">
        <v>90</v>
      </c>
      <c r="I448" s="14" t="s">
        <v>2034</v>
      </c>
      <c r="J448" s="14" t="s">
        <v>92</v>
      </c>
      <c r="K448" s="14" t="s">
        <v>92</v>
      </c>
      <c r="L448" s="14" t="s">
        <v>92</v>
      </c>
      <c r="M448" s="14" t="s">
        <v>92</v>
      </c>
      <c r="N448" s="14" t="s">
        <v>92</v>
      </c>
      <c r="O448" s="14" t="s">
        <v>92</v>
      </c>
      <c r="P448" s="14" t="s">
        <v>92</v>
      </c>
      <c r="Q448" s="14" t="s">
        <v>92</v>
      </c>
      <c r="R448" s="14" t="s">
        <v>92</v>
      </c>
      <c r="S448" s="14" t="s">
        <v>92</v>
      </c>
      <c r="T448" s="14" t="s">
        <v>92</v>
      </c>
      <c r="U448" s="14" t="s">
        <v>93</v>
      </c>
      <c r="V448" s="14" t="s">
        <v>92</v>
      </c>
      <c r="W448" s="14" t="s">
        <v>93</v>
      </c>
      <c r="X448" s="14" t="s">
        <v>92</v>
      </c>
      <c r="Y448" s="14" t="s">
        <v>92</v>
      </c>
      <c r="Z448" s="14" t="s">
        <v>92</v>
      </c>
      <c r="AA448" s="14" t="s">
        <v>92</v>
      </c>
      <c r="AB448" s="8" t="s">
        <v>93</v>
      </c>
      <c r="AC448" s="8" t="s">
        <v>92</v>
      </c>
      <c r="AD448" s="8" t="s">
        <v>92</v>
      </c>
      <c r="AE448" s="14" t="s">
        <v>94</v>
      </c>
      <c r="AF448" s="14" t="s">
        <v>92</v>
      </c>
      <c r="AG448" s="14" t="s">
        <v>95</v>
      </c>
      <c r="AH448" s="8" t="s">
        <v>105</v>
      </c>
      <c r="AI448" s="14" t="s">
        <v>105</v>
      </c>
      <c r="AJ448" s="14" t="s">
        <v>105</v>
      </c>
      <c r="AK448" s="14" t="s">
        <v>93</v>
      </c>
      <c r="AL448" s="14" t="s">
        <v>93</v>
      </c>
      <c r="AM448" s="8" t="s">
        <v>95</v>
      </c>
      <c r="AN448" s="14" t="s">
        <v>114</v>
      </c>
      <c r="AO448" s="8" t="s">
        <v>93</v>
      </c>
      <c r="AP448" s="8" t="s">
        <v>92</v>
      </c>
      <c r="AQ448" s="14" t="s">
        <v>92</v>
      </c>
      <c r="AR448" s="14" t="s">
        <v>92</v>
      </c>
      <c r="AS448" s="14" t="s">
        <v>93</v>
      </c>
      <c r="AT448" s="14" t="s">
        <v>93</v>
      </c>
      <c r="AU448" s="14" t="s">
        <v>93</v>
      </c>
      <c r="AV448" s="14" t="s">
        <v>93</v>
      </c>
      <c r="AW448" s="14" t="s">
        <v>92</v>
      </c>
      <c r="AX448" s="14" t="s">
        <v>92</v>
      </c>
      <c r="AY448" s="8" t="s">
        <v>95</v>
      </c>
      <c r="AZ448" s="8" t="s">
        <v>95</v>
      </c>
      <c r="BA448" s="9" t="s">
        <v>2035</v>
      </c>
      <c r="BB448" s="8" t="s">
        <v>105</v>
      </c>
      <c r="BC448" s="8" t="s">
        <v>105</v>
      </c>
      <c r="BD448" s="14" t="s">
        <v>92</v>
      </c>
      <c r="BE448" s="14" t="s">
        <v>92</v>
      </c>
      <c r="BF448" s="14" t="s">
        <v>92</v>
      </c>
      <c r="BG448" s="14" t="s">
        <v>92</v>
      </c>
      <c r="BH448" s="14" t="s">
        <v>92</v>
      </c>
      <c r="BI448" s="14" t="s">
        <v>93</v>
      </c>
      <c r="BJ448" s="14" t="s">
        <v>92</v>
      </c>
      <c r="BK448" s="14" t="s">
        <v>105</v>
      </c>
      <c r="BL448" s="14" t="s">
        <v>105</v>
      </c>
      <c r="BM448" s="14" t="s">
        <v>105</v>
      </c>
      <c r="BN448" s="14" t="s">
        <v>105</v>
      </c>
      <c r="BO448" s="14" t="s">
        <v>105</v>
      </c>
      <c r="BP448" s="14" t="s">
        <v>105</v>
      </c>
      <c r="BQ448" s="8" t="s">
        <v>93</v>
      </c>
      <c r="BR448" s="8" t="s">
        <v>92</v>
      </c>
      <c r="BS448" s="8" t="s">
        <v>92</v>
      </c>
      <c r="BT448" s="8" t="s">
        <v>92</v>
      </c>
      <c r="BU448" s="8" t="s">
        <v>92</v>
      </c>
      <c r="BV448" s="8" t="s">
        <v>92</v>
      </c>
      <c r="BW448" s="8" t="s">
        <v>93</v>
      </c>
      <c r="BX448" s="8" t="s">
        <v>92</v>
      </c>
      <c r="BY448" s="8" t="s">
        <v>92</v>
      </c>
      <c r="BZ448" s="8" t="s">
        <v>92</v>
      </c>
      <c r="CA448" s="8" t="s">
        <v>92</v>
      </c>
      <c r="CB448" s="20" t="s">
        <v>106</v>
      </c>
      <c r="CC448" s="20" t="s">
        <v>116</v>
      </c>
      <c r="CD448" s="18"/>
      <c r="CE448" s="18"/>
      <c r="CF448" s="18"/>
      <c r="CG448" s="18"/>
      <c r="CH448" s="18"/>
    </row>
    <row r="449">
      <c r="A449" s="8"/>
      <c r="B449" s="9" t="s">
        <v>2030</v>
      </c>
      <c r="C449" s="10" t="s">
        <v>2031</v>
      </c>
      <c r="D449" s="9" t="s">
        <v>1670</v>
      </c>
      <c r="E449" s="11" t="s">
        <v>2036</v>
      </c>
      <c r="F449" s="12"/>
      <c r="G449" s="14" t="s">
        <v>2037</v>
      </c>
      <c r="H449" s="14" t="s">
        <v>90</v>
      </c>
      <c r="I449" s="14" t="s">
        <v>2038</v>
      </c>
      <c r="J449" s="14" t="s">
        <v>92</v>
      </c>
      <c r="K449" s="14" t="s">
        <v>92</v>
      </c>
      <c r="L449" s="14" t="s">
        <v>93</v>
      </c>
      <c r="M449" s="14" t="s">
        <v>92</v>
      </c>
      <c r="N449" s="14" t="s">
        <v>92</v>
      </c>
      <c r="O449" s="14" t="s">
        <v>92</v>
      </c>
      <c r="P449" s="14" t="s">
        <v>92</v>
      </c>
      <c r="Q449" s="14" t="s">
        <v>92</v>
      </c>
      <c r="R449" s="14" t="s">
        <v>92</v>
      </c>
      <c r="S449" s="14" t="s">
        <v>93</v>
      </c>
      <c r="T449" s="14" t="s">
        <v>92</v>
      </c>
      <c r="U449" s="14" t="s">
        <v>92</v>
      </c>
      <c r="V449" s="14" t="s">
        <v>92</v>
      </c>
      <c r="W449" s="14" t="s">
        <v>92</v>
      </c>
      <c r="X449" s="14" t="s">
        <v>92</v>
      </c>
      <c r="Y449" s="14" t="s">
        <v>92</v>
      </c>
      <c r="Z449" s="14" t="s">
        <v>93</v>
      </c>
      <c r="AA449" s="14" t="s">
        <v>92</v>
      </c>
      <c r="AB449" s="8" t="s">
        <v>93</v>
      </c>
      <c r="AC449" s="8" t="s">
        <v>93</v>
      </c>
      <c r="AD449" s="8" t="s">
        <v>93</v>
      </c>
      <c r="AE449" s="14" t="s">
        <v>112</v>
      </c>
      <c r="AF449" s="14" t="s">
        <v>92</v>
      </c>
      <c r="AG449" s="14" t="s">
        <v>95</v>
      </c>
      <c r="AH449" s="8">
        <v>2021.0</v>
      </c>
      <c r="AI449" s="14" t="s">
        <v>105</v>
      </c>
      <c r="AJ449" s="14" t="s">
        <v>93</v>
      </c>
      <c r="AK449" s="14" t="s">
        <v>93</v>
      </c>
      <c r="AL449" s="14" t="s">
        <v>93</v>
      </c>
      <c r="AM449" s="8" t="s">
        <v>95</v>
      </c>
      <c r="AN449" s="14" t="s">
        <v>114</v>
      </c>
      <c r="AO449" s="8" t="s">
        <v>93</v>
      </c>
      <c r="AP449" s="8" t="s">
        <v>92</v>
      </c>
      <c r="AQ449" s="14" t="s">
        <v>92</v>
      </c>
      <c r="AR449" s="14" t="s">
        <v>92</v>
      </c>
      <c r="AS449" s="14" t="s">
        <v>93</v>
      </c>
      <c r="AT449" s="14" t="s">
        <v>93</v>
      </c>
      <c r="AU449" s="14" t="s">
        <v>93</v>
      </c>
      <c r="AV449" s="14" t="s">
        <v>93</v>
      </c>
      <c r="AW449" s="14" t="s">
        <v>92</v>
      </c>
      <c r="AX449" s="14" t="s">
        <v>92</v>
      </c>
      <c r="AY449" s="8" t="s">
        <v>95</v>
      </c>
      <c r="AZ449" s="8" t="s">
        <v>95</v>
      </c>
      <c r="BA449" s="9" t="s">
        <v>2030</v>
      </c>
      <c r="BB449" s="8" t="s">
        <v>213</v>
      </c>
      <c r="BC449" s="8" t="s">
        <v>92</v>
      </c>
      <c r="BD449" s="14" t="s">
        <v>93</v>
      </c>
      <c r="BE449" s="14" t="s">
        <v>92</v>
      </c>
      <c r="BF449" s="14" t="s">
        <v>92</v>
      </c>
      <c r="BG449" s="14" t="s">
        <v>92</v>
      </c>
      <c r="BH449" s="14" t="s">
        <v>92</v>
      </c>
      <c r="BI449" s="14" t="s">
        <v>92</v>
      </c>
      <c r="BJ449" s="14" t="s">
        <v>92</v>
      </c>
      <c r="BK449" s="14" t="s">
        <v>105</v>
      </c>
      <c r="BL449" s="14" t="s">
        <v>105</v>
      </c>
      <c r="BM449" s="14" t="s">
        <v>105</v>
      </c>
      <c r="BN449" s="14" t="s">
        <v>105</v>
      </c>
      <c r="BO449" s="14" t="s">
        <v>105</v>
      </c>
      <c r="BP449" s="14" t="s">
        <v>105</v>
      </c>
      <c r="BQ449" s="8" t="s">
        <v>92</v>
      </c>
      <c r="BR449" s="8" t="s">
        <v>92</v>
      </c>
      <c r="BS449" s="8" t="s">
        <v>93</v>
      </c>
      <c r="BT449" s="8" t="s">
        <v>93</v>
      </c>
      <c r="BU449" s="8" t="s">
        <v>92</v>
      </c>
      <c r="BV449" s="8" t="s">
        <v>93</v>
      </c>
      <c r="BW449" s="8" t="s">
        <v>92</v>
      </c>
      <c r="BX449" s="8" t="s">
        <v>92</v>
      </c>
      <c r="BY449" s="8" t="s">
        <v>92</v>
      </c>
      <c r="BZ449" s="8" t="s">
        <v>93</v>
      </c>
      <c r="CA449" s="8" t="s">
        <v>92</v>
      </c>
      <c r="CB449" s="20" t="s">
        <v>106</v>
      </c>
      <c r="CC449" s="20" t="s">
        <v>116</v>
      </c>
      <c r="CD449" s="18"/>
      <c r="CE449" s="18"/>
      <c r="CF449" s="18"/>
      <c r="CG449" s="18"/>
      <c r="CH449" s="18"/>
    </row>
    <row r="450">
      <c r="A450" s="8"/>
      <c r="B450" s="9" t="s">
        <v>2030</v>
      </c>
      <c r="C450" s="10" t="s">
        <v>2031</v>
      </c>
      <c r="D450" s="9" t="s">
        <v>1670</v>
      </c>
      <c r="E450" s="11" t="s">
        <v>2039</v>
      </c>
      <c r="F450" s="12"/>
      <c r="G450" s="14" t="s">
        <v>2040</v>
      </c>
      <c r="H450" s="14" t="s">
        <v>90</v>
      </c>
      <c r="I450" s="14" t="s">
        <v>2041</v>
      </c>
      <c r="J450" s="14" t="s">
        <v>92</v>
      </c>
      <c r="K450" s="14" t="s">
        <v>92</v>
      </c>
      <c r="L450" s="14" t="s">
        <v>92</v>
      </c>
      <c r="M450" s="14" t="s">
        <v>92</v>
      </c>
      <c r="N450" s="14" t="s">
        <v>93</v>
      </c>
      <c r="O450" s="14" t="s">
        <v>92</v>
      </c>
      <c r="P450" s="14" t="s">
        <v>93</v>
      </c>
      <c r="Q450" s="14" t="s">
        <v>92</v>
      </c>
      <c r="R450" s="14" t="s">
        <v>92</v>
      </c>
      <c r="S450" s="14" t="s">
        <v>92</v>
      </c>
      <c r="T450" s="14" t="s">
        <v>93</v>
      </c>
      <c r="U450" s="14" t="s">
        <v>92</v>
      </c>
      <c r="V450" s="14" t="s">
        <v>92</v>
      </c>
      <c r="W450" s="14" t="s">
        <v>92</v>
      </c>
      <c r="X450" s="14" t="s">
        <v>92</v>
      </c>
      <c r="Y450" s="14" t="s">
        <v>92</v>
      </c>
      <c r="Z450" s="14" t="s">
        <v>92</v>
      </c>
      <c r="AA450" s="14" t="s">
        <v>92</v>
      </c>
      <c r="AB450" s="8" t="s">
        <v>93</v>
      </c>
      <c r="AC450" s="8" t="s">
        <v>92</v>
      </c>
      <c r="AD450" s="8" t="s">
        <v>92</v>
      </c>
      <c r="AE450" s="14" t="s">
        <v>103</v>
      </c>
      <c r="AF450" s="14" t="s">
        <v>92</v>
      </c>
      <c r="AG450" s="14" t="s">
        <v>95</v>
      </c>
      <c r="AH450" s="8">
        <v>2021.0</v>
      </c>
      <c r="AI450" s="14" t="s">
        <v>105</v>
      </c>
      <c r="AJ450" s="14" t="s">
        <v>105</v>
      </c>
      <c r="AK450" s="14" t="s">
        <v>93</v>
      </c>
      <c r="AL450" s="14" t="s">
        <v>93</v>
      </c>
      <c r="AM450" s="8" t="s">
        <v>95</v>
      </c>
      <c r="AN450" s="14" t="s">
        <v>114</v>
      </c>
      <c r="AO450" s="8" t="s">
        <v>93</v>
      </c>
      <c r="AP450" s="8" t="s">
        <v>92</v>
      </c>
      <c r="AQ450" s="14" t="s">
        <v>92</v>
      </c>
      <c r="AR450" s="14" t="s">
        <v>92</v>
      </c>
      <c r="AS450" s="14" t="s">
        <v>93</v>
      </c>
      <c r="AT450" s="14" t="s">
        <v>93</v>
      </c>
      <c r="AU450" s="14" t="s">
        <v>93</v>
      </c>
      <c r="AV450" s="14" t="s">
        <v>93</v>
      </c>
      <c r="AW450" s="14" t="s">
        <v>92</v>
      </c>
      <c r="AX450" s="14" t="s">
        <v>92</v>
      </c>
      <c r="AY450" s="8" t="s">
        <v>95</v>
      </c>
      <c r="AZ450" s="8" t="s">
        <v>95</v>
      </c>
      <c r="BA450" s="9" t="s">
        <v>2030</v>
      </c>
      <c r="BB450" s="8" t="s">
        <v>213</v>
      </c>
      <c r="BC450" s="8" t="s">
        <v>92</v>
      </c>
      <c r="BD450" s="14" t="s">
        <v>92</v>
      </c>
      <c r="BE450" s="14" t="s">
        <v>92</v>
      </c>
      <c r="BF450" s="14" t="s">
        <v>92</v>
      </c>
      <c r="BG450" s="14" t="s">
        <v>92</v>
      </c>
      <c r="BH450" s="14" t="s">
        <v>92</v>
      </c>
      <c r="BI450" s="14" t="s">
        <v>93</v>
      </c>
      <c r="BJ450" s="14" t="s">
        <v>92</v>
      </c>
      <c r="BK450" s="14" t="s">
        <v>2042</v>
      </c>
      <c r="BL450" s="14" t="s">
        <v>92</v>
      </c>
      <c r="BM450" s="14" t="s">
        <v>93</v>
      </c>
      <c r="BN450" s="14" t="s">
        <v>92</v>
      </c>
      <c r="BO450" s="14" t="s">
        <v>93</v>
      </c>
      <c r="BP450" s="14" t="s">
        <v>93</v>
      </c>
      <c r="BQ450" s="8" t="s">
        <v>92</v>
      </c>
      <c r="BR450" s="8" t="s">
        <v>93</v>
      </c>
      <c r="BS450" s="8" t="s">
        <v>92</v>
      </c>
      <c r="BT450" s="8" t="s">
        <v>92</v>
      </c>
      <c r="BU450" s="8" t="s">
        <v>92</v>
      </c>
      <c r="BV450" s="8" t="s">
        <v>92</v>
      </c>
      <c r="BW450" s="8" t="s">
        <v>92</v>
      </c>
      <c r="BX450" s="8" t="s">
        <v>92</v>
      </c>
      <c r="BY450" s="8" t="s">
        <v>92</v>
      </c>
      <c r="BZ450" s="8" t="s">
        <v>92</v>
      </c>
      <c r="CA450" s="8" t="s">
        <v>92</v>
      </c>
      <c r="CB450" s="20" t="s">
        <v>106</v>
      </c>
      <c r="CC450" s="17"/>
      <c r="CD450" s="18"/>
      <c r="CE450" s="18"/>
      <c r="CF450" s="18"/>
      <c r="CG450" s="18"/>
      <c r="CH450" s="18"/>
    </row>
    <row r="451">
      <c r="A451" s="8"/>
      <c r="B451" s="43" t="s">
        <v>2043</v>
      </c>
      <c r="C451" s="10" t="s">
        <v>2044</v>
      </c>
      <c r="D451" s="9" t="s">
        <v>1670</v>
      </c>
      <c r="E451" s="11" t="s">
        <v>2045</v>
      </c>
      <c r="F451" s="12"/>
      <c r="G451" s="14" t="s">
        <v>1892</v>
      </c>
      <c r="H451" s="14" t="s">
        <v>90</v>
      </c>
      <c r="I451" s="14" t="s">
        <v>2046</v>
      </c>
      <c r="J451" s="14" t="s">
        <v>92</v>
      </c>
      <c r="K451" s="14" t="s">
        <v>93</v>
      </c>
      <c r="L451" s="14" t="s">
        <v>92</v>
      </c>
      <c r="M451" s="14" t="s">
        <v>92</v>
      </c>
      <c r="N451" s="14" t="s">
        <v>92</v>
      </c>
      <c r="O451" s="14" t="s">
        <v>92</v>
      </c>
      <c r="P451" s="14" t="s">
        <v>92</v>
      </c>
      <c r="Q451" s="14" t="s">
        <v>93</v>
      </c>
      <c r="R451" s="14" t="s">
        <v>92</v>
      </c>
      <c r="S451" s="14" t="s">
        <v>92</v>
      </c>
      <c r="T451" s="14" t="s">
        <v>92</v>
      </c>
      <c r="U451" s="14" t="s">
        <v>93</v>
      </c>
      <c r="V451" s="14" t="s">
        <v>92</v>
      </c>
      <c r="W451" s="14" t="s">
        <v>92</v>
      </c>
      <c r="X451" s="14" t="s">
        <v>92</v>
      </c>
      <c r="Y451" s="14" t="s">
        <v>92</v>
      </c>
      <c r="Z451" s="14" t="s">
        <v>92</v>
      </c>
      <c r="AA451" s="14" t="s">
        <v>92</v>
      </c>
      <c r="AB451" s="8" t="s">
        <v>93</v>
      </c>
      <c r="AC451" s="8" t="s">
        <v>92</v>
      </c>
      <c r="AD451" s="8" t="s">
        <v>92</v>
      </c>
      <c r="AE451" s="14" t="s">
        <v>94</v>
      </c>
      <c r="AF451" s="14" t="s">
        <v>92</v>
      </c>
      <c r="AG451" s="14" t="s">
        <v>95</v>
      </c>
      <c r="AH451" s="8">
        <v>2020.0</v>
      </c>
      <c r="AI451" s="14" t="s">
        <v>93</v>
      </c>
      <c r="AJ451" s="14" t="s">
        <v>92</v>
      </c>
      <c r="AK451" s="14" t="s">
        <v>92</v>
      </c>
      <c r="AL451" s="14" t="s">
        <v>92</v>
      </c>
      <c r="AM451" s="8">
        <v>2020.0</v>
      </c>
      <c r="AN451" s="14" t="s">
        <v>96</v>
      </c>
      <c r="AO451" s="8" t="s">
        <v>92</v>
      </c>
      <c r="AP451" s="8" t="s">
        <v>93</v>
      </c>
      <c r="AQ451" s="14" t="s">
        <v>92</v>
      </c>
      <c r="AR451" s="14" t="s">
        <v>92</v>
      </c>
      <c r="AS451" s="14" t="s">
        <v>92</v>
      </c>
      <c r="AT451" s="14" t="s">
        <v>93</v>
      </c>
      <c r="AU451" s="14" t="s">
        <v>93</v>
      </c>
      <c r="AV451" s="14" t="s">
        <v>93</v>
      </c>
      <c r="AW451" s="14" t="s">
        <v>93</v>
      </c>
      <c r="AX451" s="14" t="s">
        <v>92</v>
      </c>
      <c r="AY451" s="8" t="s">
        <v>95</v>
      </c>
      <c r="AZ451" s="8" t="s">
        <v>95</v>
      </c>
      <c r="BA451" s="9" t="s">
        <v>2047</v>
      </c>
      <c r="BB451" s="8" t="s">
        <v>105</v>
      </c>
      <c r="BC451" s="8" t="s">
        <v>92</v>
      </c>
      <c r="BD451" s="9" t="s">
        <v>92</v>
      </c>
      <c r="BE451" s="9" t="s">
        <v>92</v>
      </c>
      <c r="BF451" s="9" t="s">
        <v>92</v>
      </c>
      <c r="BG451" s="9" t="s">
        <v>92</v>
      </c>
      <c r="BH451" s="9" t="s">
        <v>92</v>
      </c>
      <c r="BI451" s="14" t="s">
        <v>93</v>
      </c>
      <c r="BJ451" s="14" t="s">
        <v>92</v>
      </c>
      <c r="BK451" s="14" t="s">
        <v>95</v>
      </c>
      <c r="BL451" s="14" t="s">
        <v>93</v>
      </c>
      <c r="BM451" s="14" t="s">
        <v>93</v>
      </c>
      <c r="BN451" s="14" t="s">
        <v>93</v>
      </c>
      <c r="BO451" s="14" t="s">
        <v>93</v>
      </c>
      <c r="BP451" s="14" t="s">
        <v>93</v>
      </c>
      <c r="BQ451" s="8" t="s">
        <v>93</v>
      </c>
      <c r="BR451" s="8" t="s">
        <v>92</v>
      </c>
      <c r="BS451" s="8" t="s">
        <v>92</v>
      </c>
      <c r="BT451" s="8" t="s">
        <v>92</v>
      </c>
      <c r="BU451" s="8" t="s">
        <v>92</v>
      </c>
      <c r="BV451" s="8" t="s">
        <v>92</v>
      </c>
      <c r="BW451" s="8" t="s">
        <v>92</v>
      </c>
      <c r="BX451" s="8" t="s">
        <v>92</v>
      </c>
      <c r="BY451" s="8" t="s">
        <v>92</v>
      </c>
      <c r="BZ451" s="8" t="s">
        <v>92</v>
      </c>
      <c r="CA451" s="8" t="s">
        <v>92</v>
      </c>
      <c r="CB451" s="20" t="s">
        <v>1189</v>
      </c>
      <c r="CC451" s="17"/>
      <c r="CD451" s="18"/>
      <c r="CE451" s="18"/>
      <c r="CF451" s="18"/>
      <c r="CG451" s="18"/>
      <c r="CH451" s="18"/>
    </row>
    <row r="452">
      <c r="A452" s="8"/>
      <c r="B452" s="9" t="s">
        <v>2043</v>
      </c>
      <c r="C452" s="10" t="s">
        <v>2044</v>
      </c>
      <c r="D452" s="9" t="s">
        <v>1670</v>
      </c>
      <c r="E452" s="11" t="s">
        <v>2048</v>
      </c>
      <c r="F452" s="12"/>
      <c r="G452" s="14" t="s">
        <v>2049</v>
      </c>
      <c r="H452" s="14" t="s">
        <v>90</v>
      </c>
      <c r="I452" s="14" t="s">
        <v>2050</v>
      </c>
      <c r="J452" s="14" t="s">
        <v>92</v>
      </c>
      <c r="K452" s="14" t="s">
        <v>92</v>
      </c>
      <c r="L452" s="14" t="s">
        <v>92</v>
      </c>
      <c r="M452" s="14" t="s">
        <v>92</v>
      </c>
      <c r="N452" s="14" t="s">
        <v>92</v>
      </c>
      <c r="O452" s="14" t="s">
        <v>92</v>
      </c>
      <c r="P452" s="14" t="s">
        <v>92</v>
      </c>
      <c r="Q452" s="14" t="s">
        <v>92</v>
      </c>
      <c r="R452" s="14" t="s">
        <v>92</v>
      </c>
      <c r="S452" s="14" t="s">
        <v>92</v>
      </c>
      <c r="T452" s="14" t="s">
        <v>92</v>
      </c>
      <c r="U452" s="14" t="s">
        <v>93</v>
      </c>
      <c r="V452" s="14" t="s">
        <v>92</v>
      </c>
      <c r="W452" s="14" t="s">
        <v>92</v>
      </c>
      <c r="X452" s="14" t="s">
        <v>92</v>
      </c>
      <c r="Y452" s="14" t="s">
        <v>92</v>
      </c>
      <c r="Z452" s="14" t="s">
        <v>92</v>
      </c>
      <c r="AA452" s="14" t="s">
        <v>92</v>
      </c>
      <c r="AB452" s="8" t="s">
        <v>93</v>
      </c>
      <c r="AC452" s="8" t="s">
        <v>92</v>
      </c>
      <c r="AD452" s="8" t="s">
        <v>92</v>
      </c>
      <c r="AE452" s="14" t="s">
        <v>94</v>
      </c>
      <c r="AF452" s="14" t="s">
        <v>92</v>
      </c>
      <c r="AG452" s="14" t="s">
        <v>95</v>
      </c>
      <c r="AH452" s="8" t="s">
        <v>105</v>
      </c>
      <c r="AI452" s="14" t="s">
        <v>93</v>
      </c>
      <c r="AJ452" s="14" t="s">
        <v>92</v>
      </c>
      <c r="AK452" s="14" t="s">
        <v>92</v>
      </c>
      <c r="AL452" s="14" t="s">
        <v>92</v>
      </c>
      <c r="AM452" s="8" t="s">
        <v>105</v>
      </c>
      <c r="AN452" s="14" t="s">
        <v>105</v>
      </c>
      <c r="AO452" s="8" t="s">
        <v>105</v>
      </c>
      <c r="AP452" s="8" t="s">
        <v>93</v>
      </c>
      <c r="AQ452" s="14" t="s">
        <v>92</v>
      </c>
      <c r="AR452" s="14" t="s">
        <v>92</v>
      </c>
      <c r="AS452" s="14" t="s">
        <v>92</v>
      </c>
      <c r="AT452" s="14" t="s">
        <v>93</v>
      </c>
      <c r="AU452" s="14" t="s">
        <v>93</v>
      </c>
      <c r="AV452" s="14" t="s">
        <v>93</v>
      </c>
      <c r="AW452" s="14" t="s">
        <v>93</v>
      </c>
      <c r="AX452" s="14" t="s">
        <v>92</v>
      </c>
      <c r="AY452" s="8" t="s">
        <v>95</v>
      </c>
      <c r="AZ452" s="8" t="s">
        <v>95</v>
      </c>
      <c r="BA452" s="9" t="s">
        <v>2051</v>
      </c>
      <c r="BB452" s="8" t="s">
        <v>105</v>
      </c>
      <c r="BC452" s="8" t="s">
        <v>105</v>
      </c>
      <c r="BD452" s="9" t="s">
        <v>92</v>
      </c>
      <c r="BE452" s="9" t="s">
        <v>92</v>
      </c>
      <c r="BF452" s="9" t="s">
        <v>92</v>
      </c>
      <c r="BG452" s="9" t="s">
        <v>92</v>
      </c>
      <c r="BH452" s="9" t="s">
        <v>92</v>
      </c>
      <c r="BI452" s="14" t="s">
        <v>93</v>
      </c>
      <c r="BJ452" s="14" t="s">
        <v>92</v>
      </c>
      <c r="BK452" s="14" t="s">
        <v>95</v>
      </c>
      <c r="BL452" s="14" t="s">
        <v>93</v>
      </c>
      <c r="BM452" s="14" t="s">
        <v>93</v>
      </c>
      <c r="BN452" s="14" t="s">
        <v>93</v>
      </c>
      <c r="BO452" s="14" t="s">
        <v>93</v>
      </c>
      <c r="BP452" s="14" t="s">
        <v>93</v>
      </c>
      <c r="BQ452" s="8" t="s">
        <v>93</v>
      </c>
      <c r="BR452" s="8" t="s">
        <v>92</v>
      </c>
      <c r="BS452" s="8" t="s">
        <v>92</v>
      </c>
      <c r="BT452" s="8" t="s">
        <v>92</v>
      </c>
      <c r="BU452" s="8" t="s">
        <v>92</v>
      </c>
      <c r="BV452" s="8" t="s">
        <v>92</v>
      </c>
      <c r="BW452" s="8" t="s">
        <v>92</v>
      </c>
      <c r="BX452" s="8" t="s">
        <v>92</v>
      </c>
      <c r="BY452" s="8" t="s">
        <v>92</v>
      </c>
      <c r="BZ452" s="8" t="s">
        <v>92</v>
      </c>
      <c r="CA452" s="8" t="s">
        <v>92</v>
      </c>
      <c r="CB452" s="20" t="s">
        <v>1189</v>
      </c>
      <c r="CC452" s="17"/>
      <c r="CD452" s="18"/>
      <c r="CE452" s="18"/>
      <c r="CF452" s="18"/>
      <c r="CG452" s="18"/>
      <c r="CH452" s="18"/>
    </row>
    <row r="453">
      <c r="A453" s="8"/>
      <c r="B453" s="9" t="s">
        <v>2043</v>
      </c>
      <c r="C453" s="10" t="s">
        <v>2044</v>
      </c>
      <c r="D453" s="9" t="s">
        <v>1670</v>
      </c>
      <c r="E453" s="11" t="s">
        <v>2052</v>
      </c>
      <c r="F453" s="12"/>
      <c r="G453" s="14" t="s">
        <v>2053</v>
      </c>
      <c r="H453" s="14" t="s">
        <v>90</v>
      </c>
      <c r="I453" s="14" t="s">
        <v>2054</v>
      </c>
      <c r="J453" s="14" t="s">
        <v>92</v>
      </c>
      <c r="K453" s="14" t="s">
        <v>92</v>
      </c>
      <c r="L453" s="14" t="s">
        <v>92</v>
      </c>
      <c r="M453" s="14" t="s">
        <v>92</v>
      </c>
      <c r="N453" s="14" t="s">
        <v>92</v>
      </c>
      <c r="O453" s="14" t="s">
        <v>92</v>
      </c>
      <c r="P453" s="14" t="s">
        <v>92</v>
      </c>
      <c r="Q453" s="14" t="s">
        <v>92</v>
      </c>
      <c r="R453" s="14" t="s">
        <v>92</v>
      </c>
      <c r="S453" s="14" t="s">
        <v>92</v>
      </c>
      <c r="T453" s="14" t="s">
        <v>92</v>
      </c>
      <c r="U453" s="14" t="s">
        <v>93</v>
      </c>
      <c r="V453" s="14" t="s">
        <v>92</v>
      </c>
      <c r="W453" s="14" t="s">
        <v>92</v>
      </c>
      <c r="X453" s="14" t="s">
        <v>92</v>
      </c>
      <c r="Y453" s="14" t="s">
        <v>92</v>
      </c>
      <c r="Z453" s="14" t="s">
        <v>92</v>
      </c>
      <c r="AA453" s="14" t="s">
        <v>92</v>
      </c>
      <c r="AB453" s="8" t="s">
        <v>93</v>
      </c>
      <c r="AC453" s="8" t="s">
        <v>92</v>
      </c>
      <c r="AD453" s="8" t="s">
        <v>92</v>
      </c>
      <c r="AE453" s="14" t="s">
        <v>94</v>
      </c>
      <c r="AF453" s="14" t="s">
        <v>92</v>
      </c>
      <c r="AG453" s="14" t="s">
        <v>95</v>
      </c>
      <c r="AH453" s="8" t="s">
        <v>105</v>
      </c>
      <c r="AI453" s="14" t="s">
        <v>93</v>
      </c>
      <c r="AJ453" s="14" t="s">
        <v>92</v>
      </c>
      <c r="AK453" s="14" t="s">
        <v>92</v>
      </c>
      <c r="AL453" s="14" t="s">
        <v>92</v>
      </c>
      <c r="AM453" s="8" t="s">
        <v>105</v>
      </c>
      <c r="AN453" s="14" t="s">
        <v>105</v>
      </c>
      <c r="AO453" s="8" t="s">
        <v>105</v>
      </c>
      <c r="AP453" s="8" t="s">
        <v>92</v>
      </c>
      <c r="AQ453" s="14" t="s">
        <v>92</v>
      </c>
      <c r="AR453" s="14" t="s">
        <v>92</v>
      </c>
      <c r="AS453" s="14" t="s">
        <v>92</v>
      </c>
      <c r="AT453" s="14" t="s">
        <v>93</v>
      </c>
      <c r="AU453" s="14" t="s">
        <v>93</v>
      </c>
      <c r="AV453" s="14" t="s">
        <v>93</v>
      </c>
      <c r="AW453" s="14" t="s">
        <v>93</v>
      </c>
      <c r="AX453" s="14" t="s">
        <v>92</v>
      </c>
      <c r="AY453" s="8" t="s">
        <v>95</v>
      </c>
      <c r="AZ453" s="8" t="s">
        <v>95</v>
      </c>
      <c r="BA453" s="9" t="s">
        <v>2055</v>
      </c>
      <c r="BB453" s="8" t="s">
        <v>143</v>
      </c>
      <c r="BC453" s="8" t="s">
        <v>92</v>
      </c>
      <c r="BD453" s="9" t="s">
        <v>92</v>
      </c>
      <c r="BE453" s="9" t="s">
        <v>92</v>
      </c>
      <c r="BF453" s="9" t="s">
        <v>92</v>
      </c>
      <c r="BG453" s="9" t="s">
        <v>92</v>
      </c>
      <c r="BH453" s="9" t="s">
        <v>92</v>
      </c>
      <c r="BI453" s="14" t="s">
        <v>93</v>
      </c>
      <c r="BJ453" s="14" t="s">
        <v>92</v>
      </c>
      <c r="BK453" s="14" t="s">
        <v>1199</v>
      </c>
      <c r="BL453" s="14" t="s">
        <v>92</v>
      </c>
      <c r="BM453" s="14" t="s">
        <v>93</v>
      </c>
      <c r="BN453" s="14" t="s">
        <v>92</v>
      </c>
      <c r="BO453" s="14" t="s">
        <v>92</v>
      </c>
      <c r="BP453" s="14" t="s">
        <v>92</v>
      </c>
      <c r="BQ453" s="8" t="s">
        <v>93</v>
      </c>
      <c r="BR453" s="8" t="s">
        <v>92</v>
      </c>
      <c r="BS453" s="8" t="s">
        <v>92</v>
      </c>
      <c r="BT453" s="8" t="s">
        <v>92</v>
      </c>
      <c r="BU453" s="8" t="s">
        <v>92</v>
      </c>
      <c r="BV453" s="8" t="s">
        <v>92</v>
      </c>
      <c r="BW453" s="8" t="s">
        <v>92</v>
      </c>
      <c r="BX453" s="8" t="s">
        <v>92</v>
      </c>
      <c r="BY453" s="8" t="s">
        <v>92</v>
      </c>
      <c r="BZ453" s="8" t="s">
        <v>92</v>
      </c>
      <c r="CA453" s="8" t="s">
        <v>92</v>
      </c>
      <c r="CB453" s="20" t="s">
        <v>1189</v>
      </c>
      <c r="CC453" s="17"/>
      <c r="CD453" s="18"/>
      <c r="CE453" s="18"/>
      <c r="CF453" s="18"/>
      <c r="CG453" s="18"/>
      <c r="CH453" s="18"/>
    </row>
    <row r="454">
      <c r="A454" s="8"/>
      <c r="B454" s="43" t="s">
        <v>2043</v>
      </c>
      <c r="C454" s="10" t="s">
        <v>2044</v>
      </c>
      <c r="D454" s="9" t="s">
        <v>1670</v>
      </c>
      <c r="E454" s="11" t="s">
        <v>2056</v>
      </c>
      <c r="F454" s="25"/>
      <c r="G454" s="14" t="s">
        <v>2057</v>
      </c>
      <c r="H454" s="14" t="s">
        <v>90</v>
      </c>
      <c r="I454" s="14" t="s">
        <v>2058</v>
      </c>
      <c r="J454" s="14" t="s">
        <v>92</v>
      </c>
      <c r="K454" s="14" t="s">
        <v>92</v>
      </c>
      <c r="L454" s="14" t="s">
        <v>93</v>
      </c>
      <c r="M454" s="14" t="s">
        <v>92</v>
      </c>
      <c r="N454" s="14" t="s">
        <v>92</v>
      </c>
      <c r="O454" s="14" t="s">
        <v>92</v>
      </c>
      <c r="P454" s="14" t="s">
        <v>93</v>
      </c>
      <c r="Q454" s="14" t="s">
        <v>92</v>
      </c>
      <c r="R454" s="14" t="s">
        <v>92</v>
      </c>
      <c r="S454" s="14" t="s">
        <v>92</v>
      </c>
      <c r="T454" s="14" t="s">
        <v>92</v>
      </c>
      <c r="U454" s="14" t="s">
        <v>93</v>
      </c>
      <c r="V454" s="14" t="s">
        <v>92</v>
      </c>
      <c r="W454" s="14" t="s">
        <v>92</v>
      </c>
      <c r="X454" s="14" t="s">
        <v>92</v>
      </c>
      <c r="Y454" s="14" t="s">
        <v>92</v>
      </c>
      <c r="Z454" s="14" t="s">
        <v>92</v>
      </c>
      <c r="AA454" s="14" t="s">
        <v>92</v>
      </c>
      <c r="AB454" s="8" t="s">
        <v>93</v>
      </c>
      <c r="AC454" s="8" t="s">
        <v>92</v>
      </c>
      <c r="AD454" s="8" t="s">
        <v>92</v>
      </c>
      <c r="AE454" s="14" t="s">
        <v>94</v>
      </c>
      <c r="AF454" s="14" t="s">
        <v>92</v>
      </c>
      <c r="AG454" s="14" t="s">
        <v>95</v>
      </c>
      <c r="AH454" s="8" t="s">
        <v>105</v>
      </c>
      <c r="AI454" s="14" t="s">
        <v>93</v>
      </c>
      <c r="AJ454" s="14" t="s">
        <v>92</v>
      </c>
      <c r="AK454" s="14" t="s">
        <v>92</v>
      </c>
      <c r="AL454" s="14" t="s">
        <v>92</v>
      </c>
      <c r="AM454" s="8" t="s">
        <v>105</v>
      </c>
      <c r="AN454" s="14" t="s">
        <v>105</v>
      </c>
      <c r="AO454" s="8" t="s">
        <v>105</v>
      </c>
      <c r="AP454" s="8" t="s">
        <v>92</v>
      </c>
      <c r="AQ454" s="14" t="s">
        <v>92</v>
      </c>
      <c r="AR454" s="14" t="s">
        <v>92</v>
      </c>
      <c r="AS454" s="14" t="s">
        <v>92</v>
      </c>
      <c r="AT454" s="14" t="s">
        <v>93</v>
      </c>
      <c r="AU454" s="14" t="s">
        <v>93</v>
      </c>
      <c r="AV454" s="14" t="s">
        <v>93</v>
      </c>
      <c r="AW454" s="14" t="s">
        <v>93</v>
      </c>
      <c r="AX454" s="14" t="s">
        <v>92</v>
      </c>
      <c r="AY454" s="8" t="s">
        <v>95</v>
      </c>
      <c r="AZ454" s="8" t="s">
        <v>95</v>
      </c>
      <c r="BA454" s="9" t="s">
        <v>2059</v>
      </c>
      <c r="BB454" s="8" t="s">
        <v>213</v>
      </c>
      <c r="BC454" s="8" t="s">
        <v>92</v>
      </c>
      <c r="BD454" s="9" t="s">
        <v>92</v>
      </c>
      <c r="BE454" s="9" t="s">
        <v>92</v>
      </c>
      <c r="BF454" s="9" t="s">
        <v>92</v>
      </c>
      <c r="BG454" s="9" t="s">
        <v>92</v>
      </c>
      <c r="BH454" s="9" t="s">
        <v>92</v>
      </c>
      <c r="BI454" s="14" t="s">
        <v>93</v>
      </c>
      <c r="BJ454" s="14" t="s">
        <v>92</v>
      </c>
      <c r="BK454" s="14" t="s">
        <v>2060</v>
      </c>
      <c r="BL454" s="14" t="s">
        <v>92</v>
      </c>
      <c r="BM454" s="14" t="s">
        <v>92</v>
      </c>
      <c r="BN454" s="14" t="s">
        <v>93</v>
      </c>
      <c r="BO454" s="14" t="s">
        <v>92</v>
      </c>
      <c r="BP454" s="14" t="s">
        <v>92</v>
      </c>
      <c r="BQ454" s="8" t="s">
        <v>93</v>
      </c>
      <c r="BR454" s="8" t="s">
        <v>92</v>
      </c>
      <c r="BS454" s="8" t="s">
        <v>92</v>
      </c>
      <c r="BT454" s="8" t="s">
        <v>92</v>
      </c>
      <c r="BU454" s="8" t="s">
        <v>92</v>
      </c>
      <c r="BV454" s="8" t="s">
        <v>92</v>
      </c>
      <c r="BW454" s="8" t="s">
        <v>92</v>
      </c>
      <c r="BX454" s="8" t="s">
        <v>92</v>
      </c>
      <c r="BY454" s="8" t="s">
        <v>92</v>
      </c>
      <c r="BZ454" s="8" t="s">
        <v>92</v>
      </c>
      <c r="CA454" s="8" t="s">
        <v>92</v>
      </c>
      <c r="CB454" s="20" t="s">
        <v>1189</v>
      </c>
      <c r="CC454" s="17"/>
      <c r="CD454" s="18"/>
      <c r="CE454" s="18"/>
      <c r="CF454" s="18"/>
      <c r="CG454" s="18"/>
      <c r="CH454" s="18"/>
    </row>
    <row r="455">
      <c r="A455" s="8"/>
      <c r="B455" s="9" t="s">
        <v>2043</v>
      </c>
      <c r="C455" s="10" t="s">
        <v>2044</v>
      </c>
      <c r="D455" s="9" t="s">
        <v>1670</v>
      </c>
      <c r="E455" s="11" t="s">
        <v>2061</v>
      </c>
      <c r="F455" s="12"/>
      <c r="G455" s="14" t="s">
        <v>2062</v>
      </c>
      <c r="H455" s="14" t="s">
        <v>90</v>
      </c>
      <c r="I455" s="14" t="s">
        <v>2063</v>
      </c>
      <c r="J455" s="14" t="s">
        <v>92</v>
      </c>
      <c r="K455" s="14" t="s">
        <v>92</v>
      </c>
      <c r="L455" s="14" t="s">
        <v>92</v>
      </c>
      <c r="M455" s="14" t="s">
        <v>92</v>
      </c>
      <c r="N455" s="14" t="s">
        <v>92</v>
      </c>
      <c r="O455" s="14" t="s">
        <v>92</v>
      </c>
      <c r="P455" s="14" t="s">
        <v>93</v>
      </c>
      <c r="Q455" s="14" t="s">
        <v>92</v>
      </c>
      <c r="R455" s="14" t="s">
        <v>92</v>
      </c>
      <c r="S455" s="14" t="s">
        <v>92</v>
      </c>
      <c r="T455" s="14" t="s">
        <v>92</v>
      </c>
      <c r="U455" s="14" t="s">
        <v>93</v>
      </c>
      <c r="V455" s="14" t="s">
        <v>92</v>
      </c>
      <c r="W455" s="14" t="s">
        <v>92</v>
      </c>
      <c r="X455" s="14" t="s">
        <v>92</v>
      </c>
      <c r="Y455" s="14" t="s">
        <v>92</v>
      </c>
      <c r="Z455" s="14" t="s">
        <v>92</v>
      </c>
      <c r="AA455" s="14" t="s">
        <v>92</v>
      </c>
      <c r="AB455" s="8" t="s">
        <v>93</v>
      </c>
      <c r="AC455" s="8" t="s">
        <v>92</v>
      </c>
      <c r="AD455" s="8" t="s">
        <v>92</v>
      </c>
      <c r="AE455" s="14" t="s">
        <v>94</v>
      </c>
      <c r="AF455" s="14" t="s">
        <v>92</v>
      </c>
      <c r="AG455" s="14" t="s">
        <v>95</v>
      </c>
      <c r="AH455" s="8">
        <v>2020.0</v>
      </c>
      <c r="AI455" s="14" t="s">
        <v>93</v>
      </c>
      <c r="AJ455" s="14" t="s">
        <v>92</v>
      </c>
      <c r="AK455" s="14" t="s">
        <v>92</v>
      </c>
      <c r="AL455" s="14" t="s">
        <v>92</v>
      </c>
      <c r="AM455" s="8">
        <v>2020.0</v>
      </c>
      <c r="AN455" s="14" t="s">
        <v>96</v>
      </c>
      <c r="AO455" s="8" t="s">
        <v>92</v>
      </c>
      <c r="AP455" s="8" t="s">
        <v>93</v>
      </c>
      <c r="AQ455" s="14" t="s">
        <v>92</v>
      </c>
      <c r="AR455" s="14" t="s">
        <v>92</v>
      </c>
      <c r="AS455" s="14" t="s">
        <v>92</v>
      </c>
      <c r="AT455" s="14" t="s">
        <v>93</v>
      </c>
      <c r="AU455" s="14" t="s">
        <v>93</v>
      </c>
      <c r="AV455" s="14" t="s">
        <v>93</v>
      </c>
      <c r="AW455" s="14" t="s">
        <v>93</v>
      </c>
      <c r="AX455" s="14" t="s">
        <v>92</v>
      </c>
      <c r="AY455" s="8" t="s">
        <v>95</v>
      </c>
      <c r="AZ455" s="8" t="s">
        <v>95</v>
      </c>
      <c r="BA455" s="9" t="s">
        <v>2064</v>
      </c>
      <c r="BB455" s="8" t="s">
        <v>185</v>
      </c>
      <c r="BC455" s="8" t="s">
        <v>92</v>
      </c>
      <c r="BD455" s="9" t="s">
        <v>92</v>
      </c>
      <c r="BE455" s="9" t="s">
        <v>92</v>
      </c>
      <c r="BF455" s="9" t="s">
        <v>92</v>
      </c>
      <c r="BG455" s="9" t="s">
        <v>92</v>
      </c>
      <c r="BH455" s="9" t="s">
        <v>92</v>
      </c>
      <c r="BI455" s="14" t="s">
        <v>93</v>
      </c>
      <c r="BJ455" s="14" t="s">
        <v>92</v>
      </c>
      <c r="BK455" s="14" t="s">
        <v>332</v>
      </c>
      <c r="BL455" s="14" t="s">
        <v>92</v>
      </c>
      <c r="BM455" s="14" t="s">
        <v>92</v>
      </c>
      <c r="BN455" s="14" t="s">
        <v>92</v>
      </c>
      <c r="BO455" s="14" t="s">
        <v>93</v>
      </c>
      <c r="BP455" s="14" t="s">
        <v>92</v>
      </c>
      <c r="BQ455" s="8" t="s">
        <v>93</v>
      </c>
      <c r="BR455" s="8" t="s">
        <v>92</v>
      </c>
      <c r="BS455" s="8" t="s">
        <v>92</v>
      </c>
      <c r="BT455" s="8" t="s">
        <v>92</v>
      </c>
      <c r="BU455" s="8" t="s">
        <v>92</v>
      </c>
      <c r="BV455" s="8" t="s">
        <v>92</v>
      </c>
      <c r="BW455" s="8" t="s">
        <v>92</v>
      </c>
      <c r="BX455" s="8" t="s">
        <v>92</v>
      </c>
      <c r="BY455" s="8" t="s">
        <v>92</v>
      </c>
      <c r="BZ455" s="8" t="s">
        <v>92</v>
      </c>
      <c r="CA455" s="8" t="s">
        <v>92</v>
      </c>
      <c r="CB455" s="20" t="s">
        <v>1189</v>
      </c>
      <c r="CC455" s="17"/>
      <c r="CD455" s="18"/>
      <c r="CE455" s="18"/>
      <c r="CF455" s="18"/>
      <c r="CG455" s="18"/>
      <c r="CH455" s="18"/>
    </row>
    <row r="456">
      <c r="A456" s="8"/>
      <c r="B456" s="9" t="s">
        <v>2043</v>
      </c>
      <c r="C456" s="10" t="s">
        <v>2044</v>
      </c>
      <c r="D456" s="9" t="s">
        <v>1670</v>
      </c>
      <c r="E456" s="11" t="s">
        <v>2065</v>
      </c>
      <c r="F456" s="12"/>
      <c r="G456" s="14" t="s">
        <v>2066</v>
      </c>
      <c r="H456" s="14" t="s">
        <v>90</v>
      </c>
      <c r="I456" s="14" t="s">
        <v>2067</v>
      </c>
      <c r="J456" s="14" t="s">
        <v>93</v>
      </c>
      <c r="K456" s="14" t="s">
        <v>92</v>
      </c>
      <c r="L456" s="14" t="s">
        <v>93</v>
      </c>
      <c r="M456" s="14" t="s">
        <v>92</v>
      </c>
      <c r="N456" s="14" t="s">
        <v>92</v>
      </c>
      <c r="O456" s="14" t="s">
        <v>92</v>
      </c>
      <c r="P456" s="14" t="s">
        <v>93</v>
      </c>
      <c r="Q456" s="14" t="s">
        <v>92</v>
      </c>
      <c r="R456" s="14" t="s">
        <v>92</v>
      </c>
      <c r="S456" s="14" t="s">
        <v>93</v>
      </c>
      <c r="T456" s="14" t="s">
        <v>92</v>
      </c>
      <c r="U456" s="14" t="s">
        <v>92</v>
      </c>
      <c r="V456" s="14" t="s">
        <v>92</v>
      </c>
      <c r="W456" s="14" t="s">
        <v>92</v>
      </c>
      <c r="X456" s="14" t="s">
        <v>92</v>
      </c>
      <c r="Y456" s="14" t="s">
        <v>92</v>
      </c>
      <c r="Z456" s="14" t="s">
        <v>92</v>
      </c>
      <c r="AA456" s="14" t="s">
        <v>92</v>
      </c>
      <c r="AB456" s="8" t="s">
        <v>93</v>
      </c>
      <c r="AC456" s="8" t="s">
        <v>92</v>
      </c>
      <c r="AD456" s="8" t="s">
        <v>92</v>
      </c>
      <c r="AE456" s="14" t="s">
        <v>103</v>
      </c>
      <c r="AF456" s="14" t="s">
        <v>93</v>
      </c>
      <c r="AG456" s="14" t="s">
        <v>2068</v>
      </c>
      <c r="AH456" s="8">
        <v>2018.0</v>
      </c>
      <c r="AI456" s="14" t="s">
        <v>93</v>
      </c>
      <c r="AJ456" s="14" t="s">
        <v>93</v>
      </c>
      <c r="AK456" s="14" t="s">
        <v>93</v>
      </c>
      <c r="AL456" s="14" t="s">
        <v>93</v>
      </c>
      <c r="AM456" s="8" t="s">
        <v>95</v>
      </c>
      <c r="AN456" s="14" t="s">
        <v>114</v>
      </c>
      <c r="AO456" s="8" t="s">
        <v>93</v>
      </c>
      <c r="AP456" s="8" t="s">
        <v>92</v>
      </c>
      <c r="AQ456" s="14" t="s">
        <v>92</v>
      </c>
      <c r="AR456" s="14" t="s">
        <v>92</v>
      </c>
      <c r="AS456" s="14" t="s">
        <v>92</v>
      </c>
      <c r="AT456" s="14" t="s">
        <v>93</v>
      </c>
      <c r="AU456" s="14" t="s">
        <v>93</v>
      </c>
      <c r="AV456" s="14" t="s">
        <v>93</v>
      </c>
      <c r="AW456" s="14" t="s">
        <v>93</v>
      </c>
      <c r="AX456" s="14" t="s">
        <v>92</v>
      </c>
      <c r="AY456" s="8" t="s">
        <v>95</v>
      </c>
      <c r="AZ456" s="8" t="s">
        <v>95</v>
      </c>
      <c r="BA456" s="9" t="s">
        <v>2059</v>
      </c>
      <c r="BB456" s="8" t="s">
        <v>213</v>
      </c>
      <c r="BC456" s="8" t="s">
        <v>92</v>
      </c>
      <c r="BD456" s="14" t="s">
        <v>93</v>
      </c>
      <c r="BE456" s="14" t="s">
        <v>92</v>
      </c>
      <c r="BF456" s="14" t="s">
        <v>92</v>
      </c>
      <c r="BG456" s="14" t="s">
        <v>92</v>
      </c>
      <c r="BH456" s="14" t="s">
        <v>92</v>
      </c>
      <c r="BI456" s="14" t="s">
        <v>92</v>
      </c>
      <c r="BJ456" s="14" t="s">
        <v>92</v>
      </c>
      <c r="BK456" s="14" t="s">
        <v>95</v>
      </c>
      <c r="BL456" s="14" t="s">
        <v>93</v>
      </c>
      <c r="BM456" s="14" t="s">
        <v>93</v>
      </c>
      <c r="BN456" s="14" t="s">
        <v>93</v>
      </c>
      <c r="BO456" s="14" t="s">
        <v>93</v>
      </c>
      <c r="BP456" s="14" t="s">
        <v>93</v>
      </c>
      <c r="BQ456" s="8" t="s">
        <v>92</v>
      </c>
      <c r="BR456" s="8" t="s">
        <v>92</v>
      </c>
      <c r="BS456" s="8" t="s">
        <v>93</v>
      </c>
      <c r="BT456" s="8" t="s">
        <v>92</v>
      </c>
      <c r="BU456" s="8" t="s">
        <v>92</v>
      </c>
      <c r="BV456" s="8" t="s">
        <v>92</v>
      </c>
      <c r="BW456" s="8" t="s">
        <v>92</v>
      </c>
      <c r="BX456" s="8" t="s">
        <v>92</v>
      </c>
      <c r="BY456" s="8" t="s">
        <v>92</v>
      </c>
      <c r="BZ456" s="8" t="s">
        <v>92</v>
      </c>
      <c r="CA456" s="8" t="s">
        <v>92</v>
      </c>
      <c r="CB456" s="20" t="s">
        <v>1189</v>
      </c>
      <c r="CC456" s="20" t="s">
        <v>129</v>
      </c>
      <c r="CD456" s="20" t="s">
        <v>1195</v>
      </c>
      <c r="CE456" s="18"/>
      <c r="CF456" s="18"/>
      <c r="CG456" s="18"/>
      <c r="CH456" s="18"/>
    </row>
    <row r="457">
      <c r="A457" s="8"/>
      <c r="B457" s="43" t="s">
        <v>2043</v>
      </c>
      <c r="C457" s="10" t="s">
        <v>2044</v>
      </c>
      <c r="D457" s="9" t="s">
        <v>1670</v>
      </c>
      <c r="E457" s="11" t="s">
        <v>2069</v>
      </c>
      <c r="F457" s="12"/>
      <c r="G457" s="14" t="s">
        <v>2070</v>
      </c>
      <c r="H457" s="14" t="s">
        <v>90</v>
      </c>
      <c r="I457" s="14" t="s">
        <v>2071</v>
      </c>
      <c r="J457" s="14" t="s">
        <v>93</v>
      </c>
      <c r="K457" s="14" t="s">
        <v>92</v>
      </c>
      <c r="L457" s="14" t="s">
        <v>93</v>
      </c>
      <c r="M457" s="14" t="s">
        <v>92</v>
      </c>
      <c r="N457" s="14" t="s">
        <v>92</v>
      </c>
      <c r="O457" s="14" t="s">
        <v>93</v>
      </c>
      <c r="P457" s="14" t="s">
        <v>93</v>
      </c>
      <c r="Q457" s="14" t="s">
        <v>92</v>
      </c>
      <c r="R457" s="14" t="s">
        <v>92</v>
      </c>
      <c r="S457" s="14" t="s">
        <v>93</v>
      </c>
      <c r="T457" s="14" t="s">
        <v>92</v>
      </c>
      <c r="U457" s="14" t="s">
        <v>92</v>
      </c>
      <c r="V457" s="14" t="s">
        <v>92</v>
      </c>
      <c r="W457" s="14" t="s">
        <v>92</v>
      </c>
      <c r="X457" s="14" t="s">
        <v>92</v>
      </c>
      <c r="Y457" s="14" t="s">
        <v>92</v>
      </c>
      <c r="Z457" s="14" t="s">
        <v>93</v>
      </c>
      <c r="AA457" s="14" t="s">
        <v>93</v>
      </c>
      <c r="AB457" s="8" t="s">
        <v>93</v>
      </c>
      <c r="AC457" s="8" t="s">
        <v>93</v>
      </c>
      <c r="AD457" s="8" t="s">
        <v>92</v>
      </c>
      <c r="AE457" s="14" t="s">
        <v>112</v>
      </c>
      <c r="AF457" s="14" t="s">
        <v>92</v>
      </c>
      <c r="AG457" s="14" t="s">
        <v>95</v>
      </c>
      <c r="AH457" s="8">
        <v>2018.0</v>
      </c>
      <c r="AI457" s="14" t="s">
        <v>93</v>
      </c>
      <c r="AJ457" s="14" t="s">
        <v>93</v>
      </c>
      <c r="AK457" s="14" t="s">
        <v>93</v>
      </c>
      <c r="AL457" s="14" t="s">
        <v>93</v>
      </c>
      <c r="AM457" s="8" t="s">
        <v>95</v>
      </c>
      <c r="AN457" s="14" t="s">
        <v>114</v>
      </c>
      <c r="AO457" s="8" t="s">
        <v>93</v>
      </c>
      <c r="AP457" s="8" t="s">
        <v>92</v>
      </c>
      <c r="AQ457" s="14" t="s">
        <v>92</v>
      </c>
      <c r="AR457" s="14" t="s">
        <v>92</v>
      </c>
      <c r="AS457" s="14" t="s">
        <v>92</v>
      </c>
      <c r="AT457" s="14" t="s">
        <v>93</v>
      </c>
      <c r="AU457" s="14" t="s">
        <v>93</v>
      </c>
      <c r="AV457" s="14" t="s">
        <v>93</v>
      </c>
      <c r="AW457" s="14" t="s">
        <v>93</v>
      </c>
      <c r="AX457" s="14" t="s">
        <v>92</v>
      </c>
      <c r="AY457" s="8" t="s">
        <v>2072</v>
      </c>
      <c r="AZ457" s="8" t="s">
        <v>95</v>
      </c>
      <c r="BA457" s="9" t="s">
        <v>2059</v>
      </c>
      <c r="BB457" s="8" t="s">
        <v>213</v>
      </c>
      <c r="BC457" s="8" t="s">
        <v>92</v>
      </c>
      <c r="BD457" s="14" t="s">
        <v>93</v>
      </c>
      <c r="BE457" s="14" t="s">
        <v>92</v>
      </c>
      <c r="BF457" s="14" t="s">
        <v>92</v>
      </c>
      <c r="BG457" s="14" t="s">
        <v>92</v>
      </c>
      <c r="BH457" s="14" t="s">
        <v>92</v>
      </c>
      <c r="BI457" s="14" t="s">
        <v>92</v>
      </c>
      <c r="BJ457" s="14" t="s">
        <v>92</v>
      </c>
      <c r="BK457" s="14" t="s">
        <v>2060</v>
      </c>
      <c r="BL457" s="14" t="s">
        <v>92</v>
      </c>
      <c r="BM457" s="14" t="s">
        <v>93</v>
      </c>
      <c r="BN457" s="14" t="s">
        <v>92</v>
      </c>
      <c r="BO457" s="14" t="s">
        <v>92</v>
      </c>
      <c r="BP457" s="14" t="s">
        <v>92</v>
      </c>
      <c r="BQ457" s="8" t="s">
        <v>92</v>
      </c>
      <c r="BR457" s="8" t="s">
        <v>92</v>
      </c>
      <c r="BS457" s="8" t="s">
        <v>93</v>
      </c>
      <c r="BT457" s="8" t="s">
        <v>93</v>
      </c>
      <c r="BU457" s="8" t="s">
        <v>92</v>
      </c>
      <c r="BV457" s="8" t="s">
        <v>92</v>
      </c>
      <c r="BW457" s="8" t="s">
        <v>92</v>
      </c>
      <c r="BX457" s="8" t="s">
        <v>92</v>
      </c>
      <c r="BY457" s="8" t="s">
        <v>92</v>
      </c>
      <c r="BZ457" s="8" t="s">
        <v>93</v>
      </c>
      <c r="CA457" s="8" t="s">
        <v>92</v>
      </c>
      <c r="CB457" s="20" t="s">
        <v>1189</v>
      </c>
      <c r="CC457" s="20" t="s">
        <v>129</v>
      </c>
      <c r="CD457" s="20" t="s">
        <v>1195</v>
      </c>
      <c r="CE457" s="18"/>
      <c r="CF457" s="18"/>
      <c r="CG457" s="18"/>
      <c r="CH457" s="18"/>
    </row>
    <row r="458">
      <c r="A458" s="8"/>
      <c r="B458" s="9" t="s">
        <v>2043</v>
      </c>
      <c r="C458" s="10" t="s">
        <v>2044</v>
      </c>
      <c r="D458" s="9" t="s">
        <v>1670</v>
      </c>
      <c r="E458" s="11" t="s">
        <v>2073</v>
      </c>
      <c r="F458" s="12"/>
      <c r="G458" s="14" t="s">
        <v>2074</v>
      </c>
      <c r="H458" s="14" t="s">
        <v>90</v>
      </c>
      <c r="I458" s="14" t="s">
        <v>2075</v>
      </c>
      <c r="J458" s="14" t="s">
        <v>92</v>
      </c>
      <c r="K458" s="14" t="s">
        <v>92</v>
      </c>
      <c r="L458" s="14" t="s">
        <v>92</v>
      </c>
      <c r="M458" s="14" t="s">
        <v>92</v>
      </c>
      <c r="N458" s="14" t="s">
        <v>92</v>
      </c>
      <c r="O458" s="14" t="s">
        <v>92</v>
      </c>
      <c r="P458" s="14" t="s">
        <v>93</v>
      </c>
      <c r="Q458" s="14" t="s">
        <v>92</v>
      </c>
      <c r="R458" s="14" t="s">
        <v>92</v>
      </c>
      <c r="S458" s="14" t="s">
        <v>92</v>
      </c>
      <c r="T458" s="14" t="s">
        <v>92</v>
      </c>
      <c r="U458" s="14" t="s">
        <v>93</v>
      </c>
      <c r="V458" s="14" t="s">
        <v>92</v>
      </c>
      <c r="W458" s="14" t="s">
        <v>92</v>
      </c>
      <c r="X458" s="14" t="s">
        <v>92</v>
      </c>
      <c r="Y458" s="14" t="s">
        <v>92</v>
      </c>
      <c r="Z458" s="14" t="s">
        <v>92</v>
      </c>
      <c r="AA458" s="14" t="s">
        <v>92</v>
      </c>
      <c r="AB458" s="8" t="s">
        <v>93</v>
      </c>
      <c r="AC458" s="8" t="s">
        <v>92</v>
      </c>
      <c r="AD458" s="8" t="s">
        <v>92</v>
      </c>
      <c r="AE458" s="14" t="s">
        <v>94</v>
      </c>
      <c r="AF458" s="14" t="s">
        <v>92</v>
      </c>
      <c r="AG458" s="14" t="s">
        <v>95</v>
      </c>
      <c r="AH458" s="8">
        <v>2022.0</v>
      </c>
      <c r="AI458" s="14" t="s">
        <v>92</v>
      </c>
      <c r="AJ458" s="14" t="s">
        <v>92</v>
      </c>
      <c r="AK458" s="14" t="s">
        <v>93</v>
      </c>
      <c r="AL458" s="14" t="s">
        <v>92</v>
      </c>
      <c r="AM458" s="8">
        <v>2022.0</v>
      </c>
      <c r="AN458" s="14" t="s">
        <v>96</v>
      </c>
      <c r="AO458" s="8" t="s">
        <v>92</v>
      </c>
      <c r="AP458" s="8" t="s">
        <v>93</v>
      </c>
      <c r="AQ458" s="14" t="s">
        <v>92</v>
      </c>
      <c r="AR458" s="14" t="s">
        <v>92</v>
      </c>
      <c r="AS458" s="14" t="s">
        <v>92</v>
      </c>
      <c r="AT458" s="14" t="s">
        <v>93</v>
      </c>
      <c r="AU458" s="14" t="s">
        <v>93</v>
      </c>
      <c r="AV458" s="14" t="s">
        <v>93</v>
      </c>
      <c r="AW458" s="14" t="s">
        <v>93</v>
      </c>
      <c r="AX458" s="14" t="s">
        <v>92</v>
      </c>
      <c r="AY458" s="8" t="s">
        <v>95</v>
      </c>
      <c r="AZ458" s="8" t="s">
        <v>95</v>
      </c>
      <c r="BA458" s="9" t="s">
        <v>2059</v>
      </c>
      <c r="BB458" s="8" t="s">
        <v>213</v>
      </c>
      <c r="BC458" s="8" t="s">
        <v>92</v>
      </c>
      <c r="BD458" s="14" t="s">
        <v>92</v>
      </c>
      <c r="BE458" s="14" t="s">
        <v>92</v>
      </c>
      <c r="BF458" s="14" t="s">
        <v>92</v>
      </c>
      <c r="BG458" s="14" t="s">
        <v>92</v>
      </c>
      <c r="BH458" s="14" t="s">
        <v>92</v>
      </c>
      <c r="BI458" s="14" t="s">
        <v>93</v>
      </c>
      <c r="BJ458" s="14" t="s">
        <v>92</v>
      </c>
      <c r="BK458" s="14" t="s">
        <v>2076</v>
      </c>
      <c r="BL458" s="14" t="s">
        <v>92</v>
      </c>
      <c r="BM458" s="14" t="s">
        <v>93</v>
      </c>
      <c r="BN458" s="14" t="s">
        <v>92</v>
      </c>
      <c r="BO458" s="14" t="s">
        <v>93</v>
      </c>
      <c r="BP458" s="14" t="s">
        <v>92</v>
      </c>
      <c r="BQ458" s="8" t="s">
        <v>93</v>
      </c>
      <c r="BR458" s="8" t="s">
        <v>92</v>
      </c>
      <c r="BS458" s="8" t="s">
        <v>92</v>
      </c>
      <c r="BT458" s="8" t="s">
        <v>92</v>
      </c>
      <c r="BU458" s="8" t="s">
        <v>92</v>
      </c>
      <c r="BV458" s="8" t="s">
        <v>92</v>
      </c>
      <c r="BW458" s="8" t="s">
        <v>92</v>
      </c>
      <c r="BX458" s="8" t="s">
        <v>92</v>
      </c>
      <c r="BY458" s="8" t="s">
        <v>92</v>
      </c>
      <c r="BZ458" s="8" t="s">
        <v>92</v>
      </c>
      <c r="CA458" s="8" t="s">
        <v>92</v>
      </c>
      <c r="CB458" s="20" t="s">
        <v>1195</v>
      </c>
      <c r="CC458" s="17"/>
      <c r="CD458" s="18"/>
      <c r="CE458" s="18"/>
      <c r="CF458" s="18"/>
      <c r="CG458" s="18"/>
      <c r="CH458" s="18"/>
    </row>
    <row r="459">
      <c r="A459" s="8"/>
      <c r="B459" s="9" t="s">
        <v>2077</v>
      </c>
      <c r="C459" s="10" t="s">
        <v>2078</v>
      </c>
      <c r="D459" s="9" t="s">
        <v>1670</v>
      </c>
      <c r="E459" s="11" t="s">
        <v>2079</v>
      </c>
      <c r="F459" s="12"/>
      <c r="G459" s="14" t="s">
        <v>94</v>
      </c>
      <c r="H459" s="14" t="s">
        <v>90</v>
      </c>
      <c r="I459" s="14" t="s">
        <v>2080</v>
      </c>
      <c r="J459" s="14" t="s">
        <v>92</v>
      </c>
      <c r="K459" s="14" t="s">
        <v>92</v>
      </c>
      <c r="L459" s="14" t="s">
        <v>92</v>
      </c>
      <c r="M459" s="14" t="s">
        <v>93</v>
      </c>
      <c r="N459" s="14" t="s">
        <v>92</v>
      </c>
      <c r="O459" s="14" t="s">
        <v>92</v>
      </c>
      <c r="P459" s="14" t="s">
        <v>92</v>
      </c>
      <c r="Q459" s="14" t="s">
        <v>92</v>
      </c>
      <c r="R459" s="14" t="s">
        <v>92</v>
      </c>
      <c r="S459" s="14" t="s">
        <v>92</v>
      </c>
      <c r="T459" s="14" t="s">
        <v>92</v>
      </c>
      <c r="U459" s="14" t="s">
        <v>93</v>
      </c>
      <c r="V459" s="14" t="s">
        <v>92</v>
      </c>
      <c r="W459" s="14" t="s">
        <v>92</v>
      </c>
      <c r="X459" s="14" t="s">
        <v>92</v>
      </c>
      <c r="Y459" s="14" t="s">
        <v>92</v>
      </c>
      <c r="Z459" s="14" t="s">
        <v>92</v>
      </c>
      <c r="AA459" s="14" t="s">
        <v>92</v>
      </c>
      <c r="AB459" s="8" t="s">
        <v>93</v>
      </c>
      <c r="AC459" s="8" t="s">
        <v>92</v>
      </c>
      <c r="AD459" s="8" t="s">
        <v>92</v>
      </c>
      <c r="AE459" s="14" t="s">
        <v>94</v>
      </c>
      <c r="AF459" s="14" t="s">
        <v>92</v>
      </c>
      <c r="AG459" s="14" t="s">
        <v>95</v>
      </c>
      <c r="AH459" s="8">
        <v>2021.0</v>
      </c>
      <c r="AI459" s="14" t="s">
        <v>105</v>
      </c>
      <c r="AJ459" s="14" t="s">
        <v>93</v>
      </c>
      <c r="AK459" s="14" t="s">
        <v>93</v>
      </c>
      <c r="AL459" s="14" t="s">
        <v>93</v>
      </c>
      <c r="AM459" s="8" t="s">
        <v>95</v>
      </c>
      <c r="AN459" s="14" t="s">
        <v>114</v>
      </c>
      <c r="AO459" s="8" t="s">
        <v>93</v>
      </c>
      <c r="AP459" s="8" t="s">
        <v>92</v>
      </c>
      <c r="AQ459" s="14" t="s">
        <v>92</v>
      </c>
      <c r="AR459" s="14" t="s">
        <v>93</v>
      </c>
      <c r="AS459" s="14" t="s">
        <v>93</v>
      </c>
      <c r="AT459" s="14" t="s">
        <v>93</v>
      </c>
      <c r="AU459" s="14" t="s">
        <v>93</v>
      </c>
      <c r="AV459" s="14" t="s">
        <v>93</v>
      </c>
      <c r="AW459" s="14" t="s">
        <v>93</v>
      </c>
      <c r="AX459" s="14" t="s">
        <v>92</v>
      </c>
      <c r="AY459" s="8" t="s">
        <v>95</v>
      </c>
      <c r="AZ459" s="8" t="s">
        <v>95</v>
      </c>
      <c r="BA459" s="9" t="s">
        <v>2081</v>
      </c>
      <c r="BB459" s="8" t="s">
        <v>95</v>
      </c>
      <c r="BC459" s="8" t="s">
        <v>93</v>
      </c>
      <c r="BD459" s="14" t="s">
        <v>92</v>
      </c>
      <c r="BE459" s="14" t="s">
        <v>92</v>
      </c>
      <c r="BF459" s="14" t="s">
        <v>92</v>
      </c>
      <c r="BG459" s="14" t="s">
        <v>92</v>
      </c>
      <c r="BH459" s="14" t="s">
        <v>92</v>
      </c>
      <c r="BI459" s="14" t="s">
        <v>93</v>
      </c>
      <c r="BJ459" s="14" t="s">
        <v>92</v>
      </c>
      <c r="BK459" s="14" t="s">
        <v>453</v>
      </c>
      <c r="BL459" s="14" t="s">
        <v>92</v>
      </c>
      <c r="BM459" s="14" t="s">
        <v>92</v>
      </c>
      <c r="BN459" s="14" t="s">
        <v>92</v>
      </c>
      <c r="BO459" s="14" t="s">
        <v>93</v>
      </c>
      <c r="BP459" s="14" t="s">
        <v>93</v>
      </c>
      <c r="BQ459" s="8" t="s">
        <v>93</v>
      </c>
      <c r="BR459" s="8" t="s">
        <v>92</v>
      </c>
      <c r="BS459" s="8" t="s">
        <v>92</v>
      </c>
      <c r="BT459" s="8" t="s">
        <v>92</v>
      </c>
      <c r="BU459" s="8" t="s">
        <v>92</v>
      </c>
      <c r="BV459" s="8" t="s">
        <v>92</v>
      </c>
      <c r="BW459" s="8" t="s">
        <v>92</v>
      </c>
      <c r="BX459" s="8" t="s">
        <v>92</v>
      </c>
      <c r="BY459" s="8" t="s">
        <v>92</v>
      </c>
      <c r="BZ459" s="8" t="s">
        <v>92</v>
      </c>
      <c r="CA459" s="8" t="s">
        <v>92</v>
      </c>
      <c r="CB459" s="20" t="s">
        <v>129</v>
      </c>
      <c r="CC459" s="17"/>
      <c r="CD459" s="18"/>
      <c r="CE459" s="18"/>
      <c r="CF459" s="18"/>
      <c r="CG459" s="18"/>
      <c r="CH459" s="18"/>
    </row>
    <row r="460">
      <c r="A460" s="8"/>
      <c r="B460" s="9" t="s">
        <v>2077</v>
      </c>
      <c r="C460" s="10" t="s">
        <v>2078</v>
      </c>
      <c r="D460" s="9" t="s">
        <v>1670</v>
      </c>
      <c r="E460" s="11" t="s">
        <v>2082</v>
      </c>
      <c r="F460" s="12"/>
      <c r="G460" s="14" t="s">
        <v>2083</v>
      </c>
      <c r="H460" s="14" t="s">
        <v>90</v>
      </c>
      <c r="I460" s="14" t="s">
        <v>2084</v>
      </c>
      <c r="J460" s="14" t="s">
        <v>92</v>
      </c>
      <c r="K460" s="14" t="s">
        <v>92</v>
      </c>
      <c r="L460" s="14" t="s">
        <v>92</v>
      </c>
      <c r="M460" s="14" t="s">
        <v>93</v>
      </c>
      <c r="N460" s="14" t="s">
        <v>92</v>
      </c>
      <c r="O460" s="14" t="s">
        <v>92</v>
      </c>
      <c r="P460" s="14" t="s">
        <v>92</v>
      </c>
      <c r="Q460" s="14" t="s">
        <v>93</v>
      </c>
      <c r="R460" s="14" t="s">
        <v>92</v>
      </c>
      <c r="S460" s="14" t="s">
        <v>92</v>
      </c>
      <c r="T460" s="14" t="s">
        <v>92</v>
      </c>
      <c r="U460" s="14" t="s">
        <v>93</v>
      </c>
      <c r="V460" s="14" t="s">
        <v>92</v>
      </c>
      <c r="W460" s="14" t="s">
        <v>92</v>
      </c>
      <c r="X460" s="14" t="s">
        <v>92</v>
      </c>
      <c r="Y460" s="14" t="s">
        <v>92</v>
      </c>
      <c r="Z460" s="14" t="s">
        <v>92</v>
      </c>
      <c r="AA460" s="14" t="s">
        <v>92</v>
      </c>
      <c r="AB460" s="8" t="s">
        <v>93</v>
      </c>
      <c r="AC460" s="8" t="s">
        <v>92</v>
      </c>
      <c r="AD460" s="8" t="s">
        <v>92</v>
      </c>
      <c r="AE460" s="14" t="s">
        <v>94</v>
      </c>
      <c r="AF460" s="14" t="s">
        <v>92</v>
      </c>
      <c r="AG460" s="14" t="s">
        <v>95</v>
      </c>
      <c r="AH460" s="8">
        <v>2021.0</v>
      </c>
      <c r="AI460" s="14" t="s">
        <v>105</v>
      </c>
      <c r="AJ460" s="14" t="s">
        <v>93</v>
      </c>
      <c r="AK460" s="14" t="s">
        <v>92</v>
      </c>
      <c r="AL460" s="14" t="s">
        <v>92</v>
      </c>
      <c r="AM460" s="8">
        <v>2021.0</v>
      </c>
      <c r="AN460" s="14" t="s">
        <v>96</v>
      </c>
      <c r="AO460" s="8" t="s">
        <v>92</v>
      </c>
      <c r="AP460" s="8" t="s">
        <v>93</v>
      </c>
      <c r="AQ460" s="14" t="s">
        <v>92</v>
      </c>
      <c r="AR460" s="14" t="s">
        <v>93</v>
      </c>
      <c r="AS460" s="14" t="s">
        <v>93</v>
      </c>
      <c r="AT460" s="14" t="s">
        <v>93</v>
      </c>
      <c r="AU460" s="14" t="s">
        <v>93</v>
      </c>
      <c r="AV460" s="14" t="s">
        <v>93</v>
      </c>
      <c r="AW460" s="14" t="s">
        <v>93</v>
      </c>
      <c r="AX460" s="14" t="s">
        <v>92</v>
      </c>
      <c r="AY460" s="8" t="s">
        <v>95</v>
      </c>
      <c r="AZ460" s="8" t="s">
        <v>95</v>
      </c>
      <c r="BA460" s="9" t="s">
        <v>2085</v>
      </c>
      <c r="BB460" s="8" t="s">
        <v>2086</v>
      </c>
      <c r="BC460" s="8" t="s">
        <v>92</v>
      </c>
      <c r="BD460" s="14" t="s">
        <v>92</v>
      </c>
      <c r="BE460" s="14" t="s">
        <v>92</v>
      </c>
      <c r="BF460" s="14" t="s">
        <v>92</v>
      </c>
      <c r="BG460" s="14" t="s">
        <v>92</v>
      </c>
      <c r="BH460" s="14" t="s">
        <v>92</v>
      </c>
      <c r="BI460" s="14" t="s">
        <v>93</v>
      </c>
      <c r="BJ460" s="14" t="s">
        <v>92</v>
      </c>
      <c r="BK460" s="14" t="s">
        <v>156</v>
      </c>
      <c r="BL460" s="14" t="s">
        <v>92</v>
      </c>
      <c r="BM460" s="14" t="s">
        <v>92</v>
      </c>
      <c r="BN460" s="14" t="s">
        <v>92</v>
      </c>
      <c r="BO460" s="14" t="s">
        <v>92</v>
      </c>
      <c r="BP460" s="14" t="s">
        <v>93</v>
      </c>
      <c r="BQ460" s="8" t="s">
        <v>93</v>
      </c>
      <c r="BR460" s="8" t="s">
        <v>92</v>
      </c>
      <c r="BS460" s="8" t="s">
        <v>92</v>
      </c>
      <c r="BT460" s="8" t="s">
        <v>92</v>
      </c>
      <c r="BU460" s="8" t="s">
        <v>92</v>
      </c>
      <c r="BV460" s="8" t="s">
        <v>92</v>
      </c>
      <c r="BW460" s="8" t="s">
        <v>92</v>
      </c>
      <c r="BX460" s="8" t="s">
        <v>92</v>
      </c>
      <c r="BY460" s="8" t="s">
        <v>92</v>
      </c>
      <c r="BZ460" s="8" t="s">
        <v>92</v>
      </c>
      <c r="CA460" s="8" t="s">
        <v>92</v>
      </c>
      <c r="CB460" s="20" t="s">
        <v>129</v>
      </c>
      <c r="CC460" s="17"/>
      <c r="CD460" s="18"/>
      <c r="CE460" s="18"/>
      <c r="CF460" s="18"/>
      <c r="CG460" s="18"/>
      <c r="CH460" s="18"/>
    </row>
    <row r="461">
      <c r="A461" s="8"/>
      <c r="B461" s="19" t="s">
        <v>2077</v>
      </c>
      <c r="C461" s="10" t="s">
        <v>2078</v>
      </c>
      <c r="D461" s="9" t="s">
        <v>1670</v>
      </c>
      <c r="E461" s="11" t="s">
        <v>2087</v>
      </c>
      <c r="F461" s="12"/>
      <c r="G461" s="14" t="s">
        <v>2088</v>
      </c>
      <c r="H461" s="14" t="s">
        <v>90</v>
      </c>
      <c r="I461" s="14" t="s">
        <v>2089</v>
      </c>
      <c r="J461" s="14" t="s">
        <v>93</v>
      </c>
      <c r="K461" s="14" t="s">
        <v>92</v>
      </c>
      <c r="L461" s="14" t="s">
        <v>93</v>
      </c>
      <c r="M461" s="14" t="s">
        <v>92</v>
      </c>
      <c r="N461" s="14" t="s">
        <v>92</v>
      </c>
      <c r="O461" s="14" t="s">
        <v>93</v>
      </c>
      <c r="P461" s="14" t="s">
        <v>92</v>
      </c>
      <c r="Q461" s="14" t="s">
        <v>92</v>
      </c>
      <c r="R461" s="14" t="s">
        <v>92</v>
      </c>
      <c r="S461" s="14" t="s">
        <v>93</v>
      </c>
      <c r="T461" s="14" t="s">
        <v>92</v>
      </c>
      <c r="U461" s="14" t="s">
        <v>92</v>
      </c>
      <c r="V461" s="14" t="s">
        <v>92</v>
      </c>
      <c r="W461" s="14" t="s">
        <v>92</v>
      </c>
      <c r="X461" s="14" t="s">
        <v>92</v>
      </c>
      <c r="Y461" s="14" t="s">
        <v>92</v>
      </c>
      <c r="Z461" s="14" t="s">
        <v>92</v>
      </c>
      <c r="AA461" s="14" t="s">
        <v>92</v>
      </c>
      <c r="AB461" s="8" t="s">
        <v>93</v>
      </c>
      <c r="AC461" s="8" t="s">
        <v>92</v>
      </c>
      <c r="AD461" s="8" t="s">
        <v>92</v>
      </c>
      <c r="AE461" s="14" t="s">
        <v>103</v>
      </c>
      <c r="AF461" s="14" t="s">
        <v>93</v>
      </c>
      <c r="AG461" s="14" t="s">
        <v>105</v>
      </c>
      <c r="AH461" s="8" t="s">
        <v>105</v>
      </c>
      <c r="AI461" s="14" t="s">
        <v>105</v>
      </c>
      <c r="AJ461" s="14" t="s">
        <v>92</v>
      </c>
      <c r="AK461" s="14" t="s">
        <v>93</v>
      </c>
      <c r="AL461" s="14" t="s">
        <v>93</v>
      </c>
      <c r="AM461" s="8" t="s">
        <v>95</v>
      </c>
      <c r="AN461" s="14" t="s">
        <v>114</v>
      </c>
      <c r="AO461" s="8" t="s">
        <v>93</v>
      </c>
      <c r="AP461" s="8" t="s">
        <v>92</v>
      </c>
      <c r="AQ461" s="14" t="s">
        <v>92</v>
      </c>
      <c r="AR461" s="14" t="s">
        <v>93</v>
      </c>
      <c r="AS461" s="14" t="s">
        <v>93</v>
      </c>
      <c r="AT461" s="14" t="s">
        <v>93</v>
      </c>
      <c r="AU461" s="14" t="s">
        <v>93</v>
      </c>
      <c r="AV461" s="14" t="s">
        <v>93</v>
      </c>
      <c r="AW461" s="14" t="s">
        <v>93</v>
      </c>
      <c r="AX461" s="14" t="s">
        <v>92</v>
      </c>
      <c r="AY461" s="8" t="s">
        <v>95</v>
      </c>
      <c r="AZ461" s="8" t="s">
        <v>95</v>
      </c>
      <c r="BA461" s="9" t="s">
        <v>2077</v>
      </c>
      <c r="BB461" s="8" t="s">
        <v>213</v>
      </c>
      <c r="BC461" s="8" t="s">
        <v>92</v>
      </c>
      <c r="BD461" s="14" t="s">
        <v>93</v>
      </c>
      <c r="BE461" s="14" t="s">
        <v>92</v>
      </c>
      <c r="BF461" s="14" t="s">
        <v>92</v>
      </c>
      <c r="BG461" s="14" t="s">
        <v>92</v>
      </c>
      <c r="BH461" s="14" t="s">
        <v>92</v>
      </c>
      <c r="BI461" s="14" t="s">
        <v>92</v>
      </c>
      <c r="BJ461" s="14" t="s">
        <v>92</v>
      </c>
      <c r="BK461" s="14" t="s">
        <v>453</v>
      </c>
      <c r="BL461" s="14" t="s">
        <v>92</v>
      </c>
      <c r="BM461" s="14" t="s">
        <v>92</v>
      </c>
      <c r="BN461" s="14" t="s">
        <v>92</v>
      </c>
      <c r="BO461" s="14" t="s">
        <v>93</v>
      </c>
      <c r="BP461" s="14" t="s">
        <v>93</v>
      </c>
      <c r="BQ461" s="8" t="s">
        <v>92</v>
      </c>
      <c r="BR461" s="8" t="s">
        <v>92</v>
      </c>
      <c r="BS461" s="8" t="s">
        <v>93</v>
      </c>
      <c r="BT461" s="8" t="s">
        <v>92</v>
      </c>
      <c r="BU461" s="8" t="s">
        <v>92</v>
      </c>
      <c r="BV461" s="8" t="s">
        <v>92</v>
      </c>
      <c r="BW461" s="8" t="s">
        <v>92</v>
      </c>
      <c r="BX461" s="8" t="s">
        <v>92</v>
      </c>
      <c r="BY461" s="8" t="s">
        <v>92</v>
      </c>
      <c r="BZ461" s="8" t="s">
        <v>92</v>
      </c>
      <c r="CA461" s="8" t="s">
        <v>92</v>
      </c>
      <c r="CB461" s="20" t="s">
        <v>1195</v>
      </c>
      <c r="CC461" s="17"/>
      <c r="CD461" s="18"/>
      <c r="CE461" s="18"/>
      <c r="CF461" s="18"/>
      <c r="CG461" s="18"/>
      <c r="CH461" s="18"/>
    </row>
    <row r="462">
      <c r="A462" s="8"/>
      <c r="B462" s="9" t="s">
        <v>2077</v>
      </c>
      <c r="C462" s="10" t="s">
        <v>2078</v>
      </c>
      <c r="D462" s="9" t="s">
        <v>1670</v>
      </c>
      <c r="E462" s="11" t="s">
        <v>2090</v>
      </c>
      <c r="F462" s="12"/>
      <c r="G462" s="14" t="s">
        <v>2091</v>
      </c>
      <c r="H462" s="14" t="s">
        <v>90</v>
      </c>
      <c r="I462" s="14" t="s">
        <v>2092</v>
      </c>
      <c r="J462" s="14" t="s">
        <v>93</v>
      </c>
      <c r="K462" s="14" t="s">
        <v>92</v>
      </c>
      <c r="L462" s="14" t="s">
        <v>92</v>
      </c>
      <c r="M462" s="14" t="s">
        <v>92</v>
      </c>
      <c r="N462" s="14" t="s">
        <v>92</v>
      </c>
      <c r="O462" s="14" t="s">
        <v>92</v>
      </c>
      <c r="P462" s="14" t="s">
        <v>92</v>
      </c>
      <c r="Q462" s="14" t="s">
        <v>92</v>
      </c>
      <c r="R462" s="14" t="s">
        <v>92</v>
      </c>
      <c r="S462" s="14" t="s">
        <v>93</v>
      </c>
      <c r="T462" s="14" t="s">
        <v>92</v>
      </c>
      <c r="U462" s="14" t="s">
        <v>92</v>
      </c>
      <c r="V462" s="14" t="s">
        <v>92</v>
      </c>
      <c r="W462" s="14" t="s">
        <v>92</v>
      </c>
      <c r="X462" s="14" t="s">
        <v>92</v>
      </c>
      <c r="Y462" s="14" t="s">
        <v>92</v>
      </c>
      <c r="Z462" s="14" t="s">
        <v>93</v>
      </c>
      <c r="AA462" s="14" t="s">
        <v>92</v>
      </c>
      <c r="AB462" s="8" t="s">
        <v>92</v>
      </c>
      <c r="AC462" s="8" t="s">
        <v>93</v>
      </c>
      <c r="AD462" s="8" t="s">
        <v>92</v>
      </c>
      <c r="AE462" s="14" t="s">
        <v>112</v>
      </c>
      <c r="AF462" s="14" t="s">
        <v>92</v>
      </c>
      <c r="AG462" s="14" t="s">
        <v>95</v>
      </c>
      <c r="AH462" s="8" t="s">
        <v>105</v>
      </c>
      <c r="AI462" s="14" t="s">
        <v>105</v>
      </c>
      <c r="AJ462" s="14" t="s">
        <v>92</v>
      </c>
      <c r="AK462" s="14" t="s">
        <v>93</v>
      </c>
      <c r="AL462" s="14" t="s">
        <v>93</v>
      </c>
      <c r="AM462" s="8" t="s">
        <v>95</v>
      </c>
      <c r="AN462" s="14" t="s">
        <v>114</v>
      </c>
      <c r="AO462" s="8" t="s">
        <v>93</v>
      </c>
      <c r="AP462" s="8" t="s">
        <v>92</v>
      </c>
      <c r="AQ462" s="14" t="s">
        <v>92</v>
      </c>
      <c r="AR462" s="14" t="s">
        <v>93</v>
      </c>
      <c r="AS462" s="14" t="s">
        <v>93</v>
      </c>
      <c r="AT462" s="14" t="s">
        <v>93</v>
      </c>
      <c r="AU462" s="14" t="s">
        <v>93</v>
      </c>
      <c r="AV462" s="14" t="s">
        <v>93</v>
      </c>
      <c r="AW462" s="14" t="s">
        <v>93</v>
      </c>
      <c r="AX462" s="14" t="s">
        <v>92</v>
      </c>
      <c r="AY462" s="8" t="s">
        <v>2093</v>
      </c>
      <c r="AZ462" s="8" t="s">
        <v>95</v>
      </c>
      <c r="BA462" s="9" t="s">
        <v>2077</v>
      </c>
      <c r="BB462" s="8" t="s">
        <v>213</v>
      </c>
      <c r="BC462" s="8" t="s">
        <v>92</v>
      </c>
      <c r="BD462" s="14" t="s">
        <v>93</v>
      </c>
      <c r="BE462" s="14" t="s">
        <v>92</v>
      </c>
      <c r="BF462" s="14" t="s">
        <v>92</v>
      </c>
      <c r="BG462" s="14" t="s">
        <v>92</v>
      </c>
      <c r="BH462" s="14" t="s">
        <v>92</v>
      </c>
      <c r="BI462" s="14" t="s">
        <v>92</v>
      </c>
      <c r="BJ462" s="14" t="s">
        <v>92</v>
      </c>
      <c r="BK462" s="14" t="s">
        <v>105</v>
      </c>
      <c r="BL462" s="14" t="s">
        <v>105</v>
      </c>
      <c r="BM462" s="14" t="s">
        <v>105</v>
      </c>
      <c r="BN462" s="14" t="s">
        <v>105</v>
      </c>
      <c r="BO462" s="14" t="s">
        <v>105</v>
      </c>
      <c r="BP462" s="14" t="s">
        <v>105</v>
      </c>
      <c r="BQ462" s="8" t="s">
        <v>92</v>
      </c>
      <c r="BR462" s="8" t="s">
        <v>92</v>
      </c>
      <c r="BS462" s="8" t="s">
        <v>92</v>
      </c>
      <c r="BT462" s="8" t="s">
        <v>93</v>
      </c>
      <c r="BU462" s="8" t="s">
        <v>92</v>
      </c>
      <c r="BV462" s="8" t="s">
        <v>92</v>
      </c>
      <c r="BW462" s="8" t="s">
        <v>92</v>
      </c>
      <c r="BX462" s="8" t="s">
        <v>92</v>
      </c>
      <c r="BY462" s="8" t="s">
        <v>92</v>
      </c>
      <c r="BZ462" s="8" t="s">
        <v>92</v>
      </c>
      <c r="CA462" s="8" t="s">
        <v>92</v>
      </c>
      <c r="CB462" s="20" t="s">
        <v>1195</v>
      </c>
      <c r="CC462" s="20" t="s">
        <v>660</v>
      </c>
      <c r="CD462" s="18"/>
      <c r="CE462" s="18"/>
      <c r="CF462" s="18"/>
      <c r="CG462" s="18"/>
      <c r="CH462" s="18"/>
    </row>
    <row r="463">
      <c r="A463" s="8"/>
      <c r="B463" s="9" t="s">
        <v>2094</v>
      </c>
      <c r="C463" s="10" t="s">
        <v>2095</v>
      </c>
      <c r="D463" s="9" t="s">
        <v>1670</v>
      </c>
      <c r="E463" s="11" t="s">
        <v>2096</v>
      </c>
      <c r="F463" s="12"/>
      <c r="G463" s="14" t="s">
        <v>94</v>
      </c>
      <c r="H463" s="14" t="s">
        <v>90</v>
      </c>
      <c r="I463" s="14" t="s">
        <v>2097</v>
      </c>
      <c r="J463" s="14" t="s">
        <v>92</v>
      </c>
      <c r="K463" s="14" t="s">
        <v>92</v>
      </c>
      <c r="L463" s="14" t="s">
        <v>92</v>
      </c>
      <c r="M463" s="14" t="s">
        <v>93</v>
      </c>
      <c r="N463" s="14" t="s">
        <v>92</v>
      </c>
      <c r="O463" s="14" t="s">
        <v>92</v>
      </c>
      <c r="P463" s="14" t="s">
        <v>92</v>
      </c>
      <c r="Q463" s="14" t="s">
        <v>92</v>
      </c>
      <c r="R463" s="14" t="s">
        <v>92</v>
      </c>
      <c r="S463" s="14" t="s">
        <v>92</v>
      </c>
      <c r="T463" s="14" t="s">
        <v>92</v>
      </c>
      <c r="U463" s="14" t="s">
        <v>93</v>
      </c>
      <c r="V463" s="14" t="s">
        <v>92</v>
      </c>
      <c r="W463" s="14" t="s">
        <v>92</v>
      </c>
      <c r="X463" s="14" t="s">
        <v>92</v>
      </c>
      <c r="Y463" s="14" t="s">
        <v>92</v>
      </c>
      <c r="Z463" s="14" t="s">
        <v>92</v>
      </c>
      <c r="AA463" s="14" t="s">
        <v>92</v>
      </c>
      <c r="AB463" s="8" t="s">
        <v>93</v>
      </c>
      <c r="AC463" s="8" t="s">
        <v>92</v>
      </c>
      <c r="AD463" s="8" t="s">
        <v>92</v>
      </c>
      <c r="AE463" s="14" t="s">
        <v>94</v>
      </c>
      <c r="AF463" s="14" t="s">
        <v>92</v>
      </c>
      <c r="AG463" s="14" t="s">
        <v>95</v>
      </c>
      <c r="AH463" s="8" t="s">
        <v>105</v>
      </c>
      <c r="AI463" s="14" t="s">
        <v>105</v>
      </c>
      <c r="AJ463" s="14" t="s">
        <v>105</v>
      </c>
      <c r="AK463" s="14" t="s">
        <v>93</v>
      </c>
      <c r="AL463" s="14" t="s">
        <v>93</v>
      </c>
      <c r="AM463" s="8" t="s">
        <v>95</v>
      </c>
      <c r="AN463" s="14" t="s">
        <v>114</v>
      </c>
      <c r="AO463" s="8" t="s">
        <v>93</v>
      </c>
      <c r="AP463" s="8" t="s">
        <v>92</v>
      </c>
      <c r="AQ463" s="14" t="s">
        <v>92</v>
      </c>
      <c r="AR463" s="14" t="s">
        <v>92</v>
      </c>
      <c r="AS463" s="14" t="s">
        <v>92</v>
      </c>
      <c r="AT463" s="14" t="s">
        <v>93</v>
      </c>
      <c r="AU463" s="14" t="s">
        <v>93</v>
      </c>
      <c r="AV463" s="14" t="s">
        <v>93</v>
      </c>
      <c r="AW463" s="14" t="s">
        <v>93</v>
      </c>
      <c r="AX463" s="14" t="s">
        <v>92</v>
      </c>
      <c r="AY463" s="8" t="s">
        <v>95</v>
      </c>
      <c r="AZ463" s="8" t="s">
        <v>95</v>
      </c>
      <c r="BA463" s="9" t="s">
        <v>2094</v>
      </c>
      <c r="BB463" s="8" t="s">
        <v>213</v>
      </c>
      <c r="BC463" s="8" t="s">
        <v>92</v>
      </c>
      <c r="BD463" s="14" t="s">
        <v>92</v>
      </c>
      <c r="BE463" s="14" t="s">
        <v>92</v>
      </c>
      <c r="BF463" s="14" t="s">
        <v>92</v>
      </c>
      <c r="BG463" s="14" t="s">
        <v>92</v>
      </c>
      <c r="BH463" s="14" t="s">
        <v>92</v>
      </c>
      <c r="BI463" s="14" t="s">
        <v>93</v>
      </c>
      <c r="BJ463" s="14" t="s">
        <v>92</v>
      </c>
      <c r="BK463" s="14" t="s">
        <v>274</v>
      </c>
      <c r="BL463" s="14" t="s">
        <v>93</v>
      </c>
      <c r="BM463" s="14" t="s">
        <v>92</v>
      </c>
      <c r="BN463" s="14" t="s">
        <v>92</v>
      </c>
      <c r="BO463" s="14" t="s">
        <v>92</v>
      </c>
      <c r="BP463" s="14" t="s">
        <v>92</v>
      </c>
      <c r="BQ463" s="8" t="s">
        <v>93</v>
      </c>
      <c r="BR463" s="8" t="s">
        <v>92</v>
      </c>
      <c r="BS463" s="8" t="s">
        <v>92</v>
      </c>
      <c r="BT463" s="8" t="s">
        <v>92</v>
      </c>
      <c r="BU463" s="8" t="s">
        <v>92</v>
      </c>
      <c r="BV463" s="8" t="s">
        <v>92</v>
      </c>
      <c r="BW463" s="8" t="s">
        <v>92</v>
      </c>
      <c r="BX463" s="8" t="s">
        <v>92</v>
      </c>
      <c r="BY463" s="8" t="s">
        <v>92</v>
      </c>
      <c r="BZ463" s="8" t="s">
        <v>92</v>
      </c>
      <c r="CA463" s="8" t="s">
        <v>92</v>
      </c>
      <c r="CB463" s="20" t="s">
        <v>1195</v>
      </c>
      <c r="CC463" s="20" t="s">
        <v>660</v>
      </c>
      <c r="CD463" s="18"/>
      <c r="CE463" s="18"/>
      <c r="CF463" s="18"/>
      <c r="CG463" s="18"/>
      <c r="CH463" s="18"/>
    </row>
    <row r="464">
      <c r="A464" s="8"/>
      <c r="B464" s="9" t="s">
        <v>2098</v>
      </c>
      <c r="C464" s="10" t="s">
        <v>2099</v>
      </c>
      <c r="D464" s="9" t="s">
        <v>1670</v>
      </c>
      <c r="E464" s="11" t="s">
        <v>2100</v>
      </c>
      <c r="F464" s="25"/>
      <c r="G464" s="14" t="s">
        <v>2101</v>
      </c>
      <c r="H464" s="14" t="s">
        <v>90</v>
      </c>
      <c r="I464" s="14" t="s">
        <v>2102</v>
      </c>
      <c r="J464" s="14" t="s">
        <v>93</v>
      </c>
      <c r="K464" s="14" t="s">
        <v>92</v>
      </c>
      <c r="L464" s="14" t="s">
        <v>93</v>
      </c>
      <c r="M464" s="14" t="s">
        <v>92</v>
      </c>
      <c r="N464" s="14" t="s">
        <v>92</v>
      </c>
      <c r="O464" s="14" t="s">
        <v>92</v>
      </c>
      <c r="P464" s="14" t="s">
        <v>92</v>
      </c>
      <c r="Q464" s="14" t="s">
        <v>92</v>
      </c>
      <c r="R464" s="14" t="s">
        <v>92</v>
      </c>
      <c r="S464" s="14" t="s">
        <v>93</v>
      </c>
      <c r="T464" s="14" t="s">
        <v>92</v>
      </c>
      <c r="U464" s="14" t="s">
        <v>92</v>
      </c>
      <c r="V464" s="14" t="s">
        <v>92</v>
      </c>
      <c r="W464" s="14" t="s">
        <v>92</v>
      </c>
      <c r="X464" s="14" t="s">
        <v>92</v>
      </c>
      <c r="Y464" s="14" t="s">
        <v>92</v>
      </c>
      <c r="Z464" s="14" t="s">
        <v>93</v>
      </c>
      <c r="AA464" s="14" t="s">
        <v>92</v>
      </c>
      <c r="AB464" s="8" t="s">
        <v>92</v>
      </c>
      <c r="AC464" s="8" t="s">
        <v>93</v>
      </c>
      <c r="AD464" s="8" t="s">
        <v>93</v>
      </c>
      <c r="AE464" s="14" t="s">
        <v>112</v>
      </c>
      <c r="AF464" s="14" t="s">
        <v>93</v>
      </c>
      <c r="AG464" s="14" t="s">
        <v>2103</v>
      </c>
      <c r="AH464" s="8">
        <v>2020.0</v>
      </c>
      <c r="AI464" s="14" t="s">
        <v>93</v>
      </c>
      <c r="AJ464" s="14" t="s">
        <v>93</v>
      </c>
      <c r="AK464" s="14" t="s">
        <v>93</v>
      </c>
      <c r="AL464" s="14" t="s">
        <v>93</v>
      </c>
      <c r="AM464" s="8" t="s">
        <v>95</v>
      </c>
      <c r="AN464" s="14" t="s">
        <v>114</v>
      </c>
      <c r="AO464" s="8" t="s">
        <v>93</v>
      </c>
      <c r="AP464" s="8" t="s">
        <v>92</v>
      </c>
      <c r="AQ464" s="14" t="s">
        <v>92</v>
      </c>
      <c r="AR464" s="14" t="s">
        <v>93</v>
      </c>
      <c r="AS464" s="14" t="s">
        <v>93</v>
      </c>
      <c r="AT464" s="14" t="s">
        <v>93</v>
      </c>
      <c r="AU464" s="14" t="s">
        <v>93</v>
      </c>
      <c r="AV464" s="14" t="s">
        <v>93</v>
      </c>
      <c r="AW464" s="14" t="s">
        <v>93</v>
      </c>
      <c r="AX464" s="14" t="s">
        <v>93</v>
      </c>
      <c r="AY464" s="8" t="s">
        <v>95</v>
      </c>
      <c r="AZ464" s="8" t="s">
        <v>95</v>
      </c>
      <c r="BA464" s="9" t="s">
        <v>2098</v>
      </c>
      <c r="BB464" s="8" t="s">
        <v>97</v>
      </c>
      <c r="BC464" s="8" t="s">
        <v>92</v>
      </c>
      <c r="BD464" s="14" t="s">
        <v>93</v>
      </c>
      <c r="BE464" s="14" t="s">
        <v>92</v>
      </c>
      <c r="BF464" s="14" t="s">
        <v>92</v>
      </c>
      <c r="BG464" s="14" t="s">
        <v>92</v>
      </c>
      <c r="BH464" s="14" t="s">
        <v>92</v>
      </c>
      <c r="BI464" s="14" t="s">
        <v>92</v>
      </c>
      <c r="BJ464" s="14" t="s">
        <v>92</v>
      </c>
      <c r="BK464" s="14" t="s">
        <v>105</v>
      </c>
      <c r="BL464" s="14" t="s">
        <v>105</v>
      </c>
      <c r="BM464" s="14" t="s">
        <v>105</v>
      </c>
      <c r="BN464" s="14" t="s">
        <v>105</v>
      </c>
      <c r="BO464" s="14" t="s">
        <v>105</v>
      </c>
      <c r="BP464" s="14" t="s">
        <v>105</v>
      </c>
      <c r="BQ464" s="8" t="s">
        <v>92</v>
      </c>
      <c r="BR464" s="8" t="s">
        <v>92</v>
      </c>
      <c r="BS464" s="8" t="s">
        <v>92</v>
      </c>
      <c r="BT464" s="8" t="s">
        <v>93</v>
      </c>
      <c r="BU464" s="8" t="s">
        <v>92</v>
      </c>
      <c r="BV464" s="8" t="s">
        <v>92</v>
      </c>
      <c r="BW464" s="8" t="s">
        <v>92</v>
      </c>
      <c r="BX464" s="8" t="s">
        <v>92</v>
      </c>
      <c r="BY464" s="8" t="s">
        <v>92</v>
      </c>
      <c r="BZ464" s="8" t="s">
        <v>93</v>
      </c>
      <c r="CA464" s="8" t="s">
        <v>92</v>
      </c>
      <c r="CB464" s="20" t="s">
        <v>115</v>
      </c>
      <c r="CC464" s="20" t="s">
        <v>106</v>
      </c>
      <c r="CD464" s="20" t="s">
        <v>116</v>
      </c>
      <c r="CE464" s="18"/>
      <c r="CF464" s="18"/>
      <c r="CG464" s="18"/>
      <c r="CH464" s="18"/>
    </row>
    <row r="465">
      <c r="A465" s="8"/>
      <c r="B465" s="9" t="s">
        <v>2098</v>
      </c>
      <c r="C465" s="10" t="s">
        <v>2099</v>
      </c>
      <c r="D465" s="9" t="s">
        <v>1670</v>
      </c>
      <c r="E465" s="11" t="s">
        <v>2104</v>
      </c>
      <c r="F465" s="12"/>
      <c r="G465" s="14" t="s">
        <v>2105</v>
      </c>
      <c r="H465" s="14" t="s">
        <v>110</v>
      </c>
      <c r="I465" s="14" t="s">
        <v>2106</v>
      </c>
      <c r="J465" s="14" t="s">
        <v>92</v>
      </c>
      <c r="K465" s="14" t="s">
        <v>92</v>
      </c>
      <c r="L465" s="14" t="s">
        <v>92</v>
      </c>
      <c r="M465" s="14" t="s">
        <v>93</v>
      </c>
      <c r="N465" s="14" t="s">
        <v>92</v>
      </c>
      <c r="O465" s="14" t="s">
        <v>92</v>
      </c>
      <c r="P465" s="14" t="s">
        <v>92</v>
      </c>
      <c r="Q465" s="14" t="s">
        <v>93</v>
      </c>
      <c r="R465" s="14" t="s">
        <v>92</v>
      </c>
      <c r="S465" s="14" t="s">
        <v>92</v>
      </c>
      <c r="T465" s="14" t="s">
        <v>92</v>
      </c>
      <c r="U465" s="14" t="s">
        <v>93</v>
      </c>
      <c r="V465" s="14" t="s">
        <v>92</v>
      </c>
      <c r="W465" s="14" t="s">
        <v>92</v>
      </c>
      <c r="X465" s="14" t="s">
        <v>92</v>
      </c>
      <c r="Y465" s="14" t="s">
        <v>92</v>
      </c>
      <c r="Z465" s="14" t="s">
        <v>92</v>
      </c>
      <c r="AA465" s="14" t="s">
        <v>92</v>
      </c>
      <c r="AB465" s="8" t="s">
        <v>93</v>
      </c>
      <c r="AC465" s="8" t="s">
        <v>92</v>
      </c>
      <c r="AD465" s="8" t="s">
        <v>92</v>
      </c>
      <c r="AE465" s="14" t="s">
        <v>94</v>
      </c>
      <c r="AF465" s="14" t="s">
        <v>92</v>
      </c>
      <c r="AG465" s="14" t="s">
        <v>95</v>
      </c>
      <c r="AH465" s="8">
        <v>2019.0</v>
      </c>
      <c r="AI465" s="14" t="s">
        <v>93</v>
      </c>
      <c r="AJ465" s="14" t="s">
        <v>93</v>
      </c>
      <c r="AK465" s="14" t="s">
        <v>93</v>
      </c>
      <c r="AL465" s="14" t="s">
        <v>92</v>
      </c>
      <c r="AM465" s="8" t="s">
        <v>105</v>
      </c>
      <c r="AN465" s="14" t="s">
        <v>105</v>
      </c>
      <c r="AO465" s="8" t="s">
        <v>93</v>
      </c>
      <c r="AP465" s="8" t="s">
        <v>93</v>
      </c>
      <c r="AQ465" s="14" t="s">
        <v>92</v>
      </c>
      <c r="AR465" s="14" t="s">
        <v>93</v>
      </c>
      <c r="AS465" s="14" t="s">
        <v>93</v>
      </c>
      <c r="AT465" s="14" t="s">
        <v>93</v>
      </c>
      <c r="AU465" s="14" t="s">
        <v>93</v>
      </c>
      <c r="AV465" s="14" t="s">
        <v>93</v>
      </c>
      <c r="AW465" s="14" t="s">
        <v>93</v>
      </c>
      <c r="AX465" s="14" t="s">
        <v>93</v>
      </c>
      <c r="AY465" s="8" t="s">
        <v>2107</v>
      </c>
      <c r="AZ465" s="8" t="s">
        <v>92</v>
      </c>
      <c r="BA465" s="9" t="s">
        <v>2108</v>
      </c>
      <c r="BB465" s="8" t="s">
        <v>105</v>
      </c>
      <c r="BC465" s="8" t="s">
        <v>93</v>
      </c>
      <c r="BD465" s="14" t="s">
        <v>92</v>
      </c>
      <c r="BE465" s="14" t="s">
        <v>92</v>
      </c>
      <c r="BF465" s="14" t="s">
        <v>92</v>
      </c>
      <c r="BG465" s="14" t="s">
        <v>92</v>
      </c>
      <c r="BH465" s="14" t="s">
        <v>92</v>
      </c>
      <c r="BI465" s="14" t="s">
        <v>93</v>
      </c>
      <c r="BJ465" s="14" t="s">
        <v>92</v>
      </c>
      <c r="BK465" s="14" t="s">
        <v>2109</v>
      </c>
      <c r="BL465" s="14" t="s">
        <v>93</v>
      </c>
      <c r="BM465" s="14" t="s">
        <v>93</v>
      </c>
      <c r="BN465" s="14" t="s">
        <v>93</v>
      </c>
      <c r="BO465" s="14" t="s">
        <v>93</v>
      </c>
      <c r="BP465" s="14" t="s">
        <v>93</v>
      </c>
      <c r="BQ465" s="8" t="s">
        <v>93</v>
      </c>
      <c r="BR465" s="8" t="s">
        <v>92</v>
      </c>
      <c r="BS465" s="8" t="s">
        <v>92</v>
      </c>
      <c r="BT465" s="8" t="s">
        <v>92</v>
      </c>
      <c r="BU465" s="8" t="s">
        <v>92</v>
      </c>
      <c r="BV465" s="8" t="s">
        <v>92</v>
      </c>
      <c r="BW465" s="8" t="s">
        <v>92</v>
      </c>
      <c r="BX465" s="8" t="s">
        <v>92</v>
      </c>
      <c r="BY465" s="8" t="s">
        <v>92</v>
      </c>
      <c r="BZ465" s="8" t="s">
        <v>92</v>
      </c>
      <c r="CA465" s="8" t="s">
        <v>92</v>
      </c>
      <c r="CB465" s="20" t="s">
        <v>178</v>
      </c>
      <c r="CC465" s="24" t="s">
        <v>2110</v>
      </c>
      <c r="CD465" s="20" t="s">
        <v>115</v>
      </c>
      <c r="CE465" s="20" t="s">
        <v>106</v>
      </c>
      <c r="CF465" s="18"/>
      <c r="CG465" s="18"/>
      <c r="CH465" s="18"/>
    </row>
    <row r="466">
      <c r="A466" s="8"/>
      <c r="B466" s="9" t="s">
        <v>2098</v>
      </c>
      <c r="C466" s="10" t="s">
        <v>2099</v>
      </c>
      <c r="D466" s="9" t="s">
        <v>1670</v>
      </c>
      <c r="E466" s="11" t="s">
        <v>2111</v>
      </c>
      <c r="F466" s="12"/>
      <c r="G466" s="29" t="s">
        <v>2112</v>
      </c>
      <c r="H466" s="14" t="s">
        <v>90</v>
      </c>
      <c r="I466" s="14" t="s">
        <v>2113</v>
      </c>
      <c r="J466" s="14" t="s">
        <v>92</v>
      </c>
      <c r="K466" s="14" t="s">
        <v>92</v>
      </c>
      <c r="L466" s="14" t="s">
        <v>92</v>
      </c>
      <c r="M466" s="14" t="s">
        <v>93</v>
      </c>
      <c r="N466" s="14" t="s">
        <v>92</v>
      </c>
      <c r="O466" s="14" t="s">
        <v>93</v>
      </c>
      <c r="P466" s="14" t="s">
        <v>93</v>
      </c>
      <c r="Q466" s="14" t="s">
        <v>92</v>
      </c>
      <c r="R466" s="14" t="s">
        <v>92</v>
      </c>
      <c r="S466" s="14" t="s">
        <v>92</v>
      </c>
      <c r="T466" s="14" t="s">
        <v>92</v>
      </c>
      <c r="U466" s="14" t="s">
        <v>92</v>
      </c>
      <c r="V466" s="14" t="s">
        <v>92</v>
      </c>
      <c r="W466" s="14" t="s">
        <v>92</v>
      </c>
      <c r="X466" s="14" t="s">
        <v>92</v>
      </c>
      <c r="Y466" s="14" t="s">
        <v>92</v>
      </c>
      <c r="Z466" s="14" t="s">
        <v>93</v>
      </c>
      <c r="AA466" s="14" t="s">
        <v>93</v>
      </c>
      <c r="AB466" s="8" t="s">
        <v>93</v>
      </c>
      <c r="AC466" s="8" t="s">
        <v>93</v>
      </c>
      <c r="AD466" s="8" t="s">
        <v>93</v>
      </c>
      <c r="AE466" s="14" t="s">
        <v>148</v>
      </c>
      <c r="AF466" s="14" t="s">
        <v>92</v>
      </c>
      <c r="AG466" s="14" t="s">
        <v>95</v>
      </c>
      <c r="AH466" s="8">
        <v>2020.0</v>
      </c>
      <c r="AI466" s="14" t="s">
        <v>93</v>
      </c>
      <c r="AJ466" s="14" t="s">
        <v>93</v>
      </c>
      <c r="AK466" s="14" t="s">
        <v>93</v>
      </c>
      <c r="AL466" s="14" t="s">
        <v>93</v>
      </c>
      <c r="AM466" s="8" t="s">
        <v>95</v>
      </c>
      <c r="AN466" s="14" t="s">
        <v>114</v>
      </c>
      <c r="AO466" s="8" t="s">
        <v>93</v>
      </c>
      <c r="AP466" s="8" t="s">
        <v>92</v>
      </c>
      <c r="AQ466" s="14" t="s">
        <v>92</v>
      </c>
      <c r="AR466" s="14" t="s">
        <v>93</v>
      </c>
      <c r="AS466" s="14" t="s">
        <v>93</v>
      </c>
      <c r="AT466" s="14" t="s">
        <v>93</v>
      </c>
      <c r="AU466" s="14" t="s">
        <v>93</v>
      </c>
      <c r="AV466" s="14" t="s">
        <v>93</v>
      </c>
      <c r="AW466" s="14" t="s">
        <v>93</v>
      </c>
      <c r="AX466" s="14" t="s">
        <v>93</v>
      </c>
      <c r="AY466" s="8" t="s">
        <v>95</v>
      </c>
      <c r="AZ466" s="8" t="s">
        <v>95</v>
      </c>
      <c r="BA466" s="9" t="s">
        <v>2098</v>
      </c>
      <c r="BB466" s="8" t="s">
        <v>213</v>
      </c>
      <c r="BC466" s="8" t="s">
        <v>92</v>
      </c>
      <c r="BD466" s="14" t="s">
        <v>93</v>
      </c>
      <c r="BE466" s="14" t="s">
        <v>92</v>
      </c>
      <c r="BF466" s="14" t="s">
        <v>92</v>
      </c>
      <c r="BG466" s="14" t="s">
        <v>92</v>
      </c>
      <c r="BH466" s="14" t="s">
        <v>92</v>
      </c>
      <c r="BI466" s="14" t="s">
        <v>92</v>
      </c>
      <c r="BJ466" s="14" t="s">
        <v>93</v>
      </c>
      <c r="BK466" s="14" t="s">
        <v>105</v>
      </c>
      <c r="BL466" s="14" t="s">
        <v>105</v>
      </c>
      <c r="BM466" s="14" t="s">
        <v>105</v>
      </c>
      <c r="BN466" s="14" t="s">
        <v>105</v>
      </c>
      <c r="BO466" s="14" t="s">
        <v>105</v>
      </c>
      <c r="BP466" s="14" t="s">
        <v>105</v>
      </c>
      <c r="BQ466" s="8" t="s">
        <v>92</v>
      </c>
      <c r="BR466" s="8" t="s">
        <v>92</v>
      </c>
      <c r="BS466" s="8" t="s">
        <v>93</v>
      </c>
      <c r="BT466" s="8" t="s">
        <v>93</v>
      </c>
      <c r="BU466" s="8" t="s">
        <v>93</v>
      </c>
      <c r="BV466" s="8" t="s">
        <v>93</v>
      </c>
      <c r="BW466" s="8" t="s">
        <v>92</v>
      </c>
      <c r="BX466" s="8" t="s">
        <v>92</v>
      </c>
      <c r="BY466" s="8" t="s">
        <v>92</v>
      </c>
      <c r="BZ466" s="8" t="s">
        <v>93</v>
      </c>
      <c r="CA466" s="8" t="s">
        <v>93</v>
      </c>
      <c r="CB466" s="20" t="s">
        <v>178</v>
      </c>
      <c r="CC466" s="20" t="s">
        <v>116</v>
      </c>
      <c r="CD466" s="24" t="s">
        <v>2114</v>
      </c>
      <c r="CE466" s="18"/>
      <c r="CF466" s="18"/>
      <c r="CG466" s="18"/>
      <c r="CH466" s="18"/>
    </row>
    <row r="467">
      <c r="A467" s="8"/>
      <c r="B467" s="9" t="s">
        <v>2098</v>
      </c>
      <c r="C467" s="10" t="s">
        <v>2099</v>
      </c>
      <c r="D467" s="9" t="s">
        <v>1670</v>
      </c>
      <c r="E467" s="11" t="s">
        <v>2115</v>
      </c>
      <c r="F467" s="12"/>
      <c r="G467" s="14" t="s">
        <v>2116</v>
      </c>
      <c r="H467" s="14" t="s">
        <v>253</v>
      </c>
      <c r="I467" s="14" t="s">
        <v>2117</v>
      </c>
      <c r="J467" s="14" t="s">
        <v>92</v>
      </c>
      <c r="K467" s="14" t="s">
        <v>92</v>
      </c>
      <c r="L467" s="14" t="s">
        <v>92</v>
      </c>
      <c r="M467" s="14" t="s">
        <v>92</v>
      </c>
      <c r="N467" s="14" t="s">
        <v>92</v>
      </c>
      <c r="O467" s="14" t="s">
        <v>92</v>
      </c>
      <c r="P467" s="14" t="s">
        <v>92</v>
      </c>
      <c r="Q467" s="14" t="s">
        <v>93</v>
      </c>
      <c r="R467" s="14" t="s">
        <v>92</v>
      </c>
      <c r="S467" s="14" t="s">
        <v>92</v>
      </c>
      <c r="T467" s="14" t="s">
        <v>93</v>
      </c>
      <c r="U467" s="14" t="s">
        <v>92</v>
      </c>
      <c r="V467" s="14" t="s">
        <v>92</v>
      </c>
      <c r="W467" s="14" t="s">
        <v>92</v>
      </c>
      <c r="X467" s="14" t="s">
        <v>92</v>
      </c>
      <c r="Y467" s="14" t="s">
        <v>93</v>
      </c>
      <c r="Z467" s="14" t="s">
        <v>92</v>
      </c>
      <c r="AA467" s="14" t="s">
        <v>92</v>
      </c>
      <c r="AB467" s="8" t="s">
        <v>93</v>
      </c>
      <c r="AC467" s="8" t="s">
        <v>92</v>
      </c>
      <c r="AD467" s="8" t="s">
        <v>92</v>
      </c>
      <c r="AE467" s="14" t="s">
        <v>148</v>
      </c>
      <c r="AF467" s="14" t="s">
        <v>92</v>
      </c>
      <c r="AG467" s="14" t="s">
        <v>95</v>
      </c>
      <c r="AH467" s="8" t="s">
        <v>95</v>
      </c>
      <c r="AI467" s="14" t="s">
        <v>92</v>
      </c>
      <c r="AJ467" s="14" t="s">
        <v>93</v>
      </c>
      <c r="AK467" s="14" t="s">
        <v>92</v>
      </c>
      <c r="AL467" s="14" t="s">
        <v>92</v>
      </c>
      <c r="AM467" s="15" t="s">
        <v>95</v>
      </c>
      <c r="AN467" s="14" t="s">
        <v>95</v>
      </c>
      <c r="AO467" s="8" t="s">
        <v>95</v>
      </c>
      <c r="AP467" s="8" t="s">
        <v>92</v>
      </c>
      <c r="AQ467" s="14" t="s">
        <v>92</v>
      </c>
      <c r="AR467" s="14" t="s">
        <v>93</v>
      </c>
      <c r="AS467" s="14" t="s">
        <v>93</v>
      </c>
      <c r="AT467" s="14" t="s">
        <v>93</v>
      </c>
      <c r="AU467" s="14" t="s">
        <v>93</v>
      </c>
      <c r="AV467" s="14" t="s">
        <v>93</v>
      </c>
      <c r="AW467" s="14" t="s">
        <v>93</v>
      </c>
      <c r="AX467" s="14" t="s">
        <v>93</v>
      </c>
      <c r="AY467" s="8" t="s">
        <v>95</v>
      </c>
      <c r="AZ467" s="8" t="s">
        <v>95</v>
      </c>
      <c r="BA467" s="9" t="s">
        <v>2118</v>
      </c>
      <c r="BB467" s="8" t="s">
        <v>143</v>
      </c>
      <c r="BC467" s="8" t="s">
        <v>92</v>
      </c>
      <c r="BD467" s="14" t="s">
        <v>92</v>
      </c>
      <c r="BE467" s="14" t="s">
        <v>92</v>
      </c>
      <c r="BF467" s="14" t="s">
        <v>92</v>
      </c>
      <c r="BG467" s="14" t="s">
        <v>92</v>
      </c>
      <c r="BH467" s="14" t="s">
        <v>92</v>
      </c>
      <c r="BI467" s="14" t="s">
        <v>93</v>
      </c>
      <c r="BJ467" s="14" t="s">
        <v>93</v>
      </c>
      <c r="BK467" s="14" t="s">
        <v>2119</v>
      </c>
      <c r="BL467" s="14" t="s">
        <v>92</v>
      </c>
      <c r="BM467" s="14" t="s">
        <v>93</v>
      </c>
      <c r="BN467" s="14" t="s">
        <v>92</v>
      </c>
      <c r="BO467" s="14" t="s">
        <v>92</v>
      </c>
      <c r="BP467" s="14" t="s">
        <v>92</v>
      </c>
      <c r="BQ467" s="8" t="s">
        <v>92</v>
      </c>
      <c r="BR467" s="8" t="s">
        <v>93</v>
      </c>
      <c r="BS467" s="8" t="s">
        <v>92</v>
      </c>
      <c r="BT467" s="8" t="s">
        <v>92</v>
      </c>
      <c r="BU467" s="8" t="s">
        <v>92</v>
      </c>
      <c r="BV467" s="8" t="s">
        <v>92</v>
      </c>
      <c r="BW467" s="8" t="s">
        <v>92</v>
      </c>
      <c r="BX467" s="8" t="s">
        <v>92</v>
      </c>
      <c r="BY467" s="8" t="s">
        <v>92</v>
      </c>
      <c r="BZ467" s="8" t="s">
        <v>92</v>
      </c>
      <c r="CA467" s="8" t="s">
        <v>92</v>
      </c>
      <c r="CB467" s="20" t="s">
        <v>115</v>
      </c>
      <c r="CC467" s="24" t="s">
        <v>2120</v>
      </c>
      <c r="CD467" s="20" t="s">
        <v>116</v>
      </c>
      <c r="CE467" s="18"/>
      <c r="CF467" s="18"/>
      <c r="CG467" s="18"/>
      <c r="CH467" s="18"/>
    </row>
    <row r="468">
      <c r="A468" s="8"/>
      <c r="B468" s="9" t="s">
        <v>2098</v>
      </c>
      <c r="C468" s="10" t="s">
        <v>2099</v>
      </c>
      <c r="D468" s="9" t="s">
        <v>1670</v>
      </c>
      <c r="E468" s="11" t="s">
        <v>2121</v>
      </c>
      <c r="F468" s="12"/>
      <c r="G468" s="14" t="s">
        <v>2122</v>
      </c>
      <c r="H468" s="14" t="s">
        <v>90</v>
      </c>
      <c r="I468" s="14" t="s">
        <v>2123</v>
      </c>
      <c r="J468" s="14" t="s">
        <v>93</v>
      </c>
      <c r="K468" s="14" t="s">
        <v>92</v>
      </c>
      <c r="L468" s="14" t="s">
        <v>93</v>
      </c>
      <c r="M468" s="14" t="s">
        <v>92</v>
      </c>
      <c r="N468" s="14" t="s">
        <v>92</v>
      </c>
      <c r="O468" s="14" t="s">
        <v>92</v>
      </c>
      <c r="P468" s="14" t="s">
        <v>92</v>
      </c>
      <c r="Q468" s="14" t="s">
        <v>92</v>
      </c>
      <c r="R468" s="14" t="s">
        <v>92</v>
      </c>
      <c r="S468" s="14" t="s">
        <v>92</v>
      </c>
      <c r="T468" s="14" t="s">
        <v>92</v>
      </c>
      <c r="U468" s="14" t="s">
        <v>92</v>
      </c>
      <c r="V468" s="14" t="s">
        <v>92</v>
      </c>
      <c r="W468" s="14" t="s">
        <v>92</v>
      </c>
      <c r="X468" s="14" t="s">
        <v>92</v>
      </c>
      <c r="Y468" s="14" t="s">
        <v>92</v>
      </c>
      <c r="Z468" s="14" t="s">
        <v>93</v>
      </c>
      <c r="AA468" s="14" t="s">
        <v>92</v>
      </c>
      <c r="AB468" s="8" t="s">
        <v>93</v>
      </c>
      <c r="AC468" s="8" t="s">
        <v>93</v>
      </c>
      <c r="AD468" s="8" t="s">
        <v>92</v>
      </c>
      <c r="AE468" s="14" t="s">
        <v>148</v>
      </c>
      <c r="AF468" s="14" t="s">
        <v>92</v>
      </c>
      <c r="AG468" s="14" t="s">
        <v>95</v>
      </c>
      <c r="AH468" s="8" t="s">
        <v>105</v>
      </c>
      <c r="AI468" s="14" t="s">
        <v>92</v>
      </c>
      <c r="AJ468" s="14" t="s">
        <v>93</v>
      </c>
      <c r="AK468" s="14" t="s">
        <v>93</v>
      </c>
      <c r="AL468" s="14" t="s">
        <v>93</v>
      </c>
      <c r="AM468" s="8" t="s">
        <v>95</v>
      </c>
      <c r="AN468" s="14" t="s">
        <v>114</v>
      </c>
      <c r="AO468" s="8" t="s">
        <v>93</v>
      </c>
      <c r="AP468" s="8" t="s">
        <v>92</v>
      </c>
      <c r="AQ468" s="14" t="s">
        <v>92</v>
      </c>
      <c r="AR468" s="14" t="s">
        <v>93</v>
      </c>
      <c r="AS468" s="14" t="s">
        <v>93</v>
      </c>
      <c r="AT468" s="14" t="s">
        <v>93</v>
      </c>
      <c r="AU468" s="14" t="s">
        <v>93</v>
      </c>
      <c r="AV468" s="14" t="s">
        <v>93</v>
      </c>
      <c r="AW468" s="14" t="s">
        <v>93</v>
      </c>
      <c r="AX468" s="14" t="s">
        <v>93</v>
      </c>
      <c r="AY468" s="8" t="s">
        <v>2124</v>
      </c>
      <c r="AZ468" s="8" t="s">
        <v>92</v>
      </c>
      <c r="BA468" s="9" t="s">
        <v>2098</v>
      </c>
      <c r="BB468" s="8" t="s">
        <v>213</v>
      </c>
      <c r="BC468" s="8" t="s">
        <v>92</v>
      </c>
      <c r="BD468" s="14" t="s">
        <v>93</v>
      </c>
      <c r="BE468" s="14" t="s">
        <v>92</v>
      </c>
      <c r="BF468" s="14" t="s">
        <v>92</v>
      </c>
      <c r="BG468" s="14" t="s">
        <v>92</v>
      </c>
      <c r="BH468" s="14" t="s">
        <v>92</v>
      </c>
      <c r="BI468" s="14" t="s">
        <v>92</v>
      </c>
      <c r="BJ468" s="14" t="s">
        <v>92</v>
      </c>
      <c r="BK468" s="14" t="s">
        <v>2125</v>
      </c>
      <c r="BL468" s="14" t="s">
        <v>93</v>
      </c>
      <c r="BM468" s="14" t="s">
        <v>92</v>
      </c>
      <c r="BN468" s="14" t="s">
        <v>93</v>
      </c>
      <c r="BO468" s="14" t="s">
        <v>92</v>
      </c>
      <c r="BP468" s="14" t="s">
        <v>92</v>
      </c>
      <c r="BQ468" s="8" t="s">
        <v>92</v>
      </c>
      <c r="BR468" s="8" t="s">
        <v>92</v>
      </c>
      <c r="BS468" s="8" t="s">
        <v>92</v>
      </c>
      <c r="BT468" s="8" t="s">
        <v>93</v>
      </c>
      <c r="BU468" s="8" t="s">
        <v>92</v>
      </c>
      <c r="BV468" s="8" t="s">
        <v>93</v>
      </c>
      <c r="BW468" s="8" t="s">
        <v>92</v>
      </c>
      <c r="BX468" s="8" t="s">
        <v>92</v>
      </c>
      <c r="BY468" s="8" t="s">
        <v>92</v>
      </c>
      <c r="BZ468" s="8" t="s">
        <v>93</v>
      </c>
      <c r="CA468" s="8" t="s">
        <v>92</v>
      </c>
      <c r="CB468" s="20" t="s">
        <v>178</v>
      </c>
      <c r="CC468" s="20" t="s">
        <v>115</v>
      </c>
      <c r="CD468" s="20" t="s">
        <v>106</v>
      </c>
      <c r="CE468" s="20" t="s">
        <v>116</v>
      </c>
      <c r="CF468" s="18"/>
      <c r="CG468" s="18"/>
      <c r="CH468" s="18"/>
    </row>
    <row r="469">
      <c r="A469" s="8"/>
      <c r="B469" s="19" t="s">
        <v>2098</v>
      </c>
      <c r="C469" s="10" t="s">
        <v>2099</v>
      </c>
      <c r="D469" s="9" t="s">
        <v>1670</v>
      </c>
      <c r="E469" s="11" t="s">
        <v>2126</v>
      </c>
      <c r="F469" s="12"/>
      <c r="G469" s="14" t="s">
        <v>2127</v>
      </c>
      <c r="H469" s="14" t="s">
        <v>110</v>
      </c>
      <c r="I469" s="14" t="s">
        <v>2128</v>
      </c>
      <c r="J469" s="14" t="s">
        <v>93</v>
      </c>
      <c r="K469" s="14" t="s">
        <v>92</v>
      </c>
      <c r="L469" s="14" t="s">
        <v>93</v>
      </c>
      <c r="M469" s="14" t="s">
        <v>92</v>
      </c>
      <c r="N469" s="14" t="s">
        <v>92</v>
      </c>
      <c r="O469" s="14" t="s">
        <v>92</v>
      </c>
      <c r="P469" s="14" t="s">
        <v>92</v>
      </c>
      <c r="Q469" s="14" t="s">
        <v>92</v>
      </c>
      <c r="R469" s="14" t="s">
        <v>92</v>
      </c>
      <c r="S469" s="14" t="s">
        <v>93</v>
      </c>
      <c r="T469" s="14" t="s">
        <v>92</v>
      </c>
      <c r="U469" s="14" t="s">
        <v>92</v>
      </c>
      <c r="V469" s="14" t="s">
        <v>92</v>
      </c>
      <c r="W469" s="14" t="s">
        <v>92</v>
      </c>
      <c r="X469" s="14" t="s">
        <v>92</v>
      </c>
      <c r="Y469" s="14" t="s">
        <v>92</v>
      </c>
      <c r="Z469" s="14" t="s">
        <v>93</v>
      </c>
      <c r="AA469" s="14" t="s">
        <v>92</v>
      </c>
      <c r="AB469" s="8" t="s">
        <v>93</v>
      </c>
      <c r="AC469" s="8" t="s">
        <v>93</v>
      </c>
      <c r="AD469" s="8" t="s">
        <v>92</v>
      </c>
      <c r="AE469" s="14" t="s">
        <v>103</v>
      </c>
      <c r="AF469" s="14" t="s">
        <v>93</v>
      </c>
      <c r="AG469" s="14" t="s">
        <v>2129</v>
      </c>
      <c r="AH469" s="8">
        <v>2020.0</v>
      </c>
      <c r="AI469" s="14" t="s">
        <v>93</v>
      </c>
      <c r="AJ469" s="14" t="s">
        <v>93</v>
      </c>
      <c r="AK469" s="14" t="s">
        <v>93</v>
      </c>
      <c r="AL469" s="14" t="s">
        <v>93</v>
      </c>
      <c r="AM469" s="8" t="s">
        <v>95</v>
      </c>
      <c r="AN469" s="14" t="s">
        <v>114</v>
      </c>
      <c r="AO469" s="8" t="s">
        <v>93</v>
      </c>
      <c r="AP469" s="8" t="s">
        <v>92</v>
      </c>
      <c r="AQ469" s="14" t="s">
        <v>92</v>
      </c>
      <c r="AR469" s="14" t="s">
        <v>93</v>
      </c>
      <c r="AS469" s="14" t="s">
        <v>93</v>
      </c>
      <c r="AT469" s="14" t="s">
        <v>93</v>
      </c>
      <c r="AU469" s="14" t="s">
        <v>93</v>
      </c>
      <c r="AV469" s="14" t="s">
        <v>93</v>
      </c>
      <c r="AW469" s="14" t="s">
        <v>93</v>
      </c>
      <c r="AX469" s="14" t="s">
        <v>93</v>
      </c>
      <c r="AY469" s="8" t="s">
        <v>2130</v>
      </c>
      <c r="AZ469" s="8" t="s">
        <v>92</v>
      </c>
      <c r="BA469" s="9" t="s">
        <v>2131</v>
      </c>
      <c r="BB469" s="8" t="s">
        <v>213</v>
      </c>
      <c r="BC469" s="8" t="s">
        <v>92</v>
      </c>
      <c r="BD469" s="14" t="s">
        <v>93</v>
      </c>
      <c r="BE469" s="14" t="s">
        <v>92</v>
      </c>
      <c r="BF469" s="14" t="s">
        <v>92</v>
      </c>
      <c r="BG469" s="14" t="s">
        <v>92</v>
      </c>
      <c r="BH469" s="14" t="s">
        <v>92</v>
      </c>
      <c r="BI469" s="14" t="s">
        <v>92</v>
      </c>
      <c r="BJ469" s="14" t="s">
        <v>92</v>
      </c>
      <c r="BK469" s="14" t="s">
        <v>105</v>
      </c>
      <c r="BL469" s="14" t="s">
        <v>105</v>
      </c>
      <c r="BM469" s="14" t="s">
        <v>105</v>
      </c>
      <c r="BN469" s="14" t="s">
        <v>105</v>
      </c>
      <c r="BO469" s="14" t="s">
        <v>105</v>
      </c>
      <c r="BP469" s="14" t="s">
        <v>105</v>
      </c>
      <c r="BQ469" s="8" t="s">
        <v>92</v>
      </c>
      <c r="BR469" s="8" t="s">
        <v>92</v>
      </c>
      <c r="BS469" s="8" t="s">
        <v>92</v>
      </c>
      <c r="BT469" s="8" t="s">
        <v>93</v>
      </c>
      <c r="BU469" s="8" t="s">
        <v>92</v>
      </c>
      <c r="BV469" s="8" t="s">
        <v>92</v>
      </c>
      <c r="BW469" s="8" t="s">
        <v>92</v>
      </c>
      <c r="BX469" s="8" t="s">
        <v>92</v>
      </c>
      <c r="BY469" s="8" t="s">
        <v>92</v>
      </c>
      <c r="BZ469" s="8" t="s">
        <v>93</v>
      </c>
      <c r="CA469" s="8" t="s">
        <v>92</v>
      </c>
      <c r="CB469" s="20" t="s">
        <v>178</v>
      </c>
      <c r="CC469" s="20" t="s">
        <v>115</v>
      </c>
      <c r="CD469" s="20" t="s">
        <v>106</v>
      </c>
      <c r="CE469" s="20" t="s">
        <v>116</v>
      </c>
      <c r="CF469" s="18"/>
      <c r="CG469" s="18"/>
      <c r="CH469" s="18"/>
    </row>
    <row r="470">
      <c r="A470" s="8"/>
      <c r="B470" s="9" t="s">
        <v>2098</v>
      </c>
      <c r="C470" s="10" t="s">
        <v>2099</v>
      </c>
      <c r="D470" s="9" t="s">
        <v>1670</v>
      </c>
      <c r="E470" s="11" t="s">
        <v>2132</v>
      </c>
      <c r="F470" s="12"/>
      <c r="G470" s="14" t="s">
        <v>2133</v>
      </c>
      <c r="H470" s="14" t="s">
        <v>110</v>
      </c>
      <c r="I470" s="14" t="s">
        <v>2134</v>
      </c>
      <c r="J470" s="14" t="s">
        <v>93</v>
      </c>
      <c r="K470" s="14" t="s">
        <v>92</v>
      </c>
      <c r="L470" s="14" t="s">
        <v>93</v>
      </c>
      <c r="M470" s="14" t="s">
        <v>92</v>
      </c>
      <c r="N470" s="14" t="s">
        <v>92</v>
      </c>
      <c r="O470" s="14" t="s">
        <v>92</v>
      </c>
      <c r="P470" s="14" t="s">
        <v>92</v>
      </c>
      <c r="Q470" s="14" t="s">
        <v>92</v>
      </c>
      <c r="R470" s="14" t="s">
        <v>92</v>
      </c>
      <c r="S470" s="14" t="s">
        <v>93</v>
      </c>
      <c r="T470" s="14" t="s">
        <v>92</v>
      </c>
      <c r="U470" s="14" t="s">
        <v>92</v>
      </c>
      <c r="V470" s="14" t="s">
        <v>92</v>
      </c>
      <c r="W470" s="14" t="s">
        <v>92</v>
      </c>
      <c r="X470" s="14" t="s">
        <v>92</v>
      </c>
      <c r="Y470" s="14" t="s">
        <v>92</v>
      </c>
      <c r="Z470" s="14" t="s">
        <v>93</v>
      </c>
      <c r="AA470" s="14" t="s">
        <v>92</v>
      </c>
      <c r="AB470" s="8" t="s">
        <v>93</v>
      </c>
      <c r="AC470" s="8" t="s">
        <v>93</v>
      </c>
      <c r="AD470" s="8" t="s">
        <v>92</v>
      </c>
      <c r="AE470" s="14" t="s">
        <v>112</v>
      </c>
      <c r="AF470" s="14" t="s">
        <v>92</v>
      </c>
      <c r="AG470" s="14" t="s">
        <v>95</v>
      </c>
      <c r="AH470" s="8" t="s">
        <v>105</v>
      </c>
      <c r="AI470" s="14" t="s">
        <v>93</v>
      </c>
      <c r="AJ470" s="14" t="s">
        <v>93</v>
      </c>
      <c r="AK470" s="14" t="s">
        <v>92</v>
      </c>
      <c r="AL470" s="14" t="s">
        <v>92</v>
      </c>
      <c r="AM470" s="8">
        <v>2021.0</v>
      </c>
      <c r="AN470" s="14" t="s">
        <v>96</v>
      </c>
      <c r="AO470" s="8" t="s">
        <v>93</v>
      </c>
      <c r="AP470" s="8" t="s">
        <v>92</v>
      </c>
      <c r="AQ470" s="14" t="s">
        <v>92</v>
      </c>
      <c r="AR470" s="14" t="s">
        <v>93</v>
      </c>
      <c r="AS470" s="14" t="s">
        <v>93</v>
      </c>
      <c r="AT470" s="14" t="s">
        <v>93</v>
      </c>
      <c r="AU470" s="14" t="s">
        <v>93</v>
      </c>
      <c r="AV470" s="14" t="s">
        <v>93</v>
      </c>
      <c r="AW470" s="14" t="s">
        <v>93</v>
      </c>
      <c r="AX470" s="14" t="s">
        <v>93</v>
      </c>
      <c r="AY470" s="8" t="s">
        <v>2135</v>
      </c>
      <c r="AZ470" s="8" t="s">
        <v>92</v>
      </c>
      <c r="BA470" s="9" t="s">
        <v>2098</v>
      </c>
      <c r="BB470" s="8" t="s">
        <v>97</v>
      </c>
      <c r="BC470" s="8" t="s">
        <v>92</v>
      </c>
      <c r="BD470" s="14" t="s">
        <v>93</v>
      </c>
      <c r="BE470" s="14" t="s">
        <v>92</v>
      </c>
      <c r="BF470" s="14" t="s">
        <v>92</v>
      </c>
      <c r="BG470" s="14" t="s">
        <v>92</v>
      </c>
      <c r="BH470" s="14" t="s">
        <v>92</v>
      </c>
      <c r="BI470" s="14" t="s">
        <v>92</v>
      </c>
      <c r="BJ470" s="14" t="s">
        <v>92</v>
      </c>
      <c r="BK470" s="14" t="s">
        <v>274</v>
      </c>
      <c r="BL470" s="14" t="s">
        <v>93</v>
      </c>
      <c r="BM470" s="14" t="s">
        <v>92</v>
      </c>
      <c r="BN470" s="14" t="s">
        <v>92</v>
      </c>
      <c r="BO470" s="14" t="s">
        <v>92</v>
      </c>
      <c r="BP470" s="14" t="s">
        <v>92</v>
      </c>
      <c r="BQ470" s="8" t="s">
        <v>92</v>
      </c>
      <c r="BR470" s="8" t="s">
        <v>92</v>
      </c>
      <c r="BS470" s="8" t="s">
        <v>92</v>
      </c>
      <c r="BT470" s="8" t="s">
        <v>93</v>
      </c>
      <c r="BU470" s="8" t="s">
        <v>92</v>
      </c>
      <c r="BV470" s="8" t="s">
        <v>92</v>
      </c>
      <c r="BW470" s="8" t="s">
        <v>92</v>
      </c>
      <c r="BX470" s="8" t="s">
        <v>92</v>
      </c>
      <c r="BY470" s="8" t="s">
        <v>92</v>
      </c>
      <c r="BZ470" s="8" t="s">
        <v>93</v>
      </c>
      <c r="CA470" s="8" t="s">
        <v>92</v>
      </c>
      <c r="CB470" s="20" t="s">
        <v>178</v>
      </c>
      <c r="CC470" s="20" t="s">
        <v>115</v>
      </c>
      <c r="CD470" s="31"/>
      <c r="CE470" s="18"/>
      <c r="CF470" s="18"/>
      <c r="CG470" s="18"/>
      <c r="CH470" s="18"/>
    </row>
    <row r="471">
      <c r="A471" s="8"/>
      <c r="B471" s="9" t="s">
        <v>2098</v>
      </c>
      <c r="C471" s="10" t="s">
        <v>2099</v>
      </c>
      <c r="D471" s="9" t="s">
        <v>1670</v>
      </c>
      <c r="E471" s="11" t="s">
        <v>2136</v>
      </c>
      <c r="F471" s="12"/>
      <c r="G471" s="14" t="s">
        <v>2137</v>
      </c>
      <c r="H471" s="14" t="s">
        <v>90</v>
      </c>
      <c r="I471" s="14" t="s">
        <v>2138</v>
      </c>
      <c r="J471" s="14" t="s">
        <v>93</v>
      </c>
      <c r="K471" s="14" t="s">
        <v>92</v>
      </c>
      <c r="L471" s="14" t="s">
        <v>93</v>
      </c>
      <c r="M471" s="14" t="s">
        <v>92</v>
      </c>
      <c r="N471" s="14" t="s">
        <v>92</v>
      </c>
      <c r="O471" s="14" t="s">
        <v>92</v>
      </c>
      <c r="P471" s="14" t="s">
        <v>92</v>
      </c>
      <c r="Q471" s="14" t="s">
        <v>92</v>
      </c>
      <c r="R471" s="14" t="s">
        <v>92</v>
      </c>
      <c r="S471" s="14" t="s">
        <v>92</v>
      </c>
      <c r="T471" s="14" t="s">
        <v>92</v>
      </c>
      <c r="U471" s="14" t="s">
        <v>92</v>
      </c>
      <c r="V471" s="14" t="s">
        <v>92</v>
      </c>
      <c r="W471" s="14" t="s">
        <v>92</v>
      </c>
      <c r="X471" s="14" t="s">
        <v>92</v>
      </c>
      <c r="Y471" s="14" t="s">
        <v>92</v>
      </c>
      <c r="Z471" s="14" t="s">
        <v>93</v>
      </c>
      <c r="AA471" s="14" t="s">
        <v>92</v>
      </c>
      <c r="AB471" s="8" t="s">
        <v>92</v>
      </c>
      <c r="AC471" s="8" t="s">
        <v>93</v>
      </c>
      <c r="AD471" s="8" t="s">
        <v>93</v>
      </c>
      <c r="AE471" s="14" t="s">
        <v>112</v>
      </c>
      <c r="AF471" s="14" t="s">
        <v>92</v>
      </c>
      <c r="AG471" s="14" t="s">
        <v>95</v>
      </c>
      <c r="AH471" s="8" t="s">
        <v>105</v>
      </c>
      <c r="AI471" s="14" t="s">
        <v>92</v>
      </c>
      <c r="AJ471" s="14" t="s">
        <v>93</v>
      </c>
      <c r="AK471" s="14" t="s">
        <v>92</v>
      </c>
      <c r="AL471" s="14" t="s">
        <v>92</v>
      </c>
      <c r="AM471" s="8" t="s">
        <v>105</v>
      </c>
      <c r="AN471" s="14" t="s">
        <v>105</v>
      </c>
      <c r="AO471" s="8" t="s">
        <v>105</v>
      </c>
      <c r="AP471" s="8" t="s">
        <v>92</v>
      </c>
      <c r="AQ471" s="14" t="s">
        <v>92</v>
      </c>
      <c r="AR471" s="14" t="s">
        <v>93</v>
      </c>
      <c r="AS471" s="14" t="s">
        <v>93</v>
      </c>
      <c r="AT471" s="14" t="s">
        <v>93</v>
      </c>
      <c r="AU471" s="14" t="s">
        <v>93</v>
      </c>
      <c r="AV471" s="14" t="s">
        <v>93</v>
      </c>
      <c r="AW471" s="14" t="s">
        <v>93</v>
      </c>
      <c r="AX471" s="14" t="s">
        <v>93</v>
      </c>
      <c r="AY471" s="8" t="s">
        <v>2139</v>
      </c>
      <c r="AZ471" s="8" t="s">
        <v>93</v>
      </c>
      <c r="BA471" s="9" t="s">
        <v>2131</v>
      </c>
      <c r="BB471" s="8" t="s">
        <v>213</v>
      </c>
      <c r="BC471" s="8" t="s">
        <v>92</v>
      </c>
      <c r="BD471" s="14" t="s">
        <v>93</v>
      </c>
      <c r="BE471" s="14" t="s">
        <v>92</v>
      </c>
      <c r="BF471" s="14" t="s">
        <v>92</v>
      </c>
      <c r="BG471" s="14" t="s">
        <v>92</v>
      </c>
      <c r="BH471" s="14" t="s">
        <v>92</v>
      </c>
      <c r="BI471" s="14" t="s">
        <v>92</v>
      </c>
      <c r="BJ471" s="14" t="s">
        <v>92</v>
      </c>
      <c r="BK471" s="14" t="s">
        <v>546</v>
      </c>
      <c r="BL471" s="14" t="s">
        <v>92</v>
      </c>
      <c r="BM471" s="14" t="s">
        <v>92</v>
      </c>
      <c r="BN471" s="14" t="s">
        <v>93</v>
      </c>
      <c r="BO471" s="14" t="s">
        <v>92</v>
      </c>
      <c r="BP471" s="14" t="s">
        <v>92</v>
      </c>
      <c r="BQ471" s="8" t="s">
        <v>92</v>
      </c>
      <c r="BR471" s="8" t="s">
        <v>92</v>
      </c>
      <c r="BS471" s="8" t="s">
        <v>92</v>
      </c>
      <c r="BT471" s="8" t="s">
        <v>93</v>
      </c>
      <c r="BU471" s="8" t="s">
        <v>92</v>
      </c>
      <c r="BV471" s="8" t="s">
        <v>92</v>
      </c>
      <c r="BW471" s="8" t="s">
        <v>92</v>
      </c>
      <c r="BX471" s="8" t="s">
        <v>92</v>
      </c>
      <c r="BY471" s="8" t="s">
        <v>92</v>
      </c>
      <c r="BZ471" s="8" t="s">
        <v>93</v>
      </c>
      <c r="CA471" s="8" t="s">
        <v>92</v>
      </c>
      <c r="CB471" s="20" t="s">
        <v>115</v>
      </c>
      <c r="CC471" s="17"/>
      <c r="CD471" s="18"/>
      <c r="CE471" s="18"/>
      <c r="CF471" s="18"/>
      <c r="CG471" s="18"/>
      <c r="CH471" s="18"/>
    </row>
    <row r="472">
      <c r="A472" s="8"/>
      <c r="B472" s="9" t="s">
        <v>2098</v>
      </c>
      <c r="C472" s="10" t="s">
        <v>2099</v>
      </c>
      <c r="D472" s="9" t="s">
        <v>1670</v>
      </c>
      <c r="E472" s="11" t="s">
        <v>2140</v>
      </c>
      <c r="F472" s="12"/>
      <c r="G472" s="14" t="s">
        <v>2141</v>
      </c>
      <c r="H472" s="14" t="s">
        <v>189</v>
      </c>
      <c r="I472" s="14" t="s">
        <v>2142</v>
      </c>
      <c r="J472" s="14" t="s">
        <v>92</v>
      </c>
      <c r="K472" s="14" t="s">
        <v>92</v>
      </c>
      <c r="L472" s="14" t="s">
        <v>92</v>
      </c>
      <c r="M472" s="14" t="s">
        <v>92</v>
      </c>
      <c r="N472" s="14" t="s">
        <v>92</v>
      </c>
      <c r="O472" s="14" t="s">
        <v>92</v>
      </c>
      <c r="P472" s="14" t="s">
        <v>92</v>
      </c>
      <c r="Q472" s="14" t="s">
        <v>92</v>
      </c>
      <c r="R472" s="14" t="s">
        <v>92</v>
      </c>
      <c r="S472" s="14" t="s">
        <v>92</v>
      </c>
      <c r="T472" s="14" t="s">
        <v>92</v>
      </c>
      <c r="U472" s="14" t="s">
        <v>92</v>
      </c>
      <c r="V472" s="14" t="s">
        <v>92</v>
      </c>
      <c r="W472" s="14" t="s">
        <v>92</v>
      </c>
      <c r="X472" s="14" t="s">
        <v>93</v>
      </c>
      <c r="Y472" s="14" t="s">
        <v>92</v>
      </c>
      <c r="Z472" s="14" t="s">
        <v>93</v>
      </c>
      <c r="AA472" s="14" t="s">
        <v>92</v>
      </c>
      <c r="AB472" s="8" t="s">
        <v>92</v>
      </c>
      <c r="AC472" s="8" t="s">
        <v>93</v>
      </c>
      <c r="AD472" s="8" t="s">
        <v>92</v>
      </c>
      <c r="AE472" s="14" t="s">
        <v>112</v>
      </c>
      <c r="AF472" s="14" t="s">
        <v>92</v>
      </c>
      <c r="AG472" s="14" t="s">
        <v>95</v>
      </c>
      <c r="AH472" s="8" t="s">
        <v>105</v>
      </c>
      <c r="AI472" s="14" t="s">
        <v>92</v>
      </c>
      <c r="AJ472" s="14" t="s">
        <v>93</v>
      </c>
      <c r="AK472" s="14" t="s">
        <v>93</v>
      </c>
      <c r="AL472" s="14" t="s">
        <v>93</v>
      </c>
      <c r="AM472" s="8" t="s">
        <v>95</v>
      </c>
      <c r="AN472" s="14" t="s">
        <v>114</v>
      </c>
      <c r="AO472" s="8" t="s">
        <v>93</v>
      </c>
      <c r="AP472" s="8" t="s">
        <v>92</v>
      </c>
      <c r="AQ472" s="14" t="s">
        <v>92</v>
      </c>
      <c r="AR472" s="14" t="s">
        <v>93</v>
      </c>
      <c r="AS472" s="14" t="s">
        <v>93</v>
      </c>
      <c r="AT472" s="14" t="s">
        <v>93</v>
      </c>
      <c r="AU472" s="14" t="s">
        <v>93</v>
      </c>
      <c r="AV472" s="14" t="s">
        <v>93</v>
      </c>
      <c r="AW472" s="14" t="s">
        <v>93</v>
      </c>
      <c r="AX472" s="14" t="s">
        <v>93</v>
      </c>
      <c r="AY472" s="8" t="s">
        <v>95</v>
      </c>
      <c r="AZ472" s="8" t="s">
        <v>95</v>
      </c>
      <c r="BA472" s="9" t="s">
        <v>2141</v>
      </c>
      <c r="BB472" s="8" t="s">
        <v>261</v>
      </c>
      <c r="BC472" s="8" t="s">
        <v>92</v>
      </c>
      <c r="BD472" s="14" t="s">
        <v>93</v>
      </c>
      <c r="BE472" s="14" t="s">
        <v>92</v>
      </c>
      <c r="BF472" s="14" t="s">
        <v>92</v>
      </c>
      <c r="BG472" s="14" t="s">
        <v>92</v>
      </c>
      <c r="BH472" s="14" t="s">
        <v>92</v>
      </c>
      <c r="BI472" s="14" t="s">
        <v>92</v>
      </c>
      <c r="BJ472" s="14" t="s">
        <v>92</v>
      </c>
      <c r="BK472" s="14" t="s">
        <v>482</v>
      </c>
      <c r="BL472" s="14" t="s">
        <v>92</v>
      </c>
      <c r="BM472" s="14" t="s">
        <v>92</v>
      </c>
      <c r="BN472" s="14" t="s">
        <v>92</v>
      </c>
      <c r="BO472" s="14" t="s">
        <v>93</v>
      </c>
      <c r="BP472" s="14" t="s">
        <v>92</v>
      </c>
      <c r="BQ472" s="8" t="s">
        <v>92</v>
      </c>
      <c r="BR472" s="8" t="s">
        <v>92</v>
      </c>
      <c r="BS472" s="8" t="s">
        <v>92</v>
      </c>
      <c r="BT472" s="15" t="s">
        <v>93</v>
      </c>
      <c r="BU472" s="8" t="s">
        <v>92</v>
      </c>
      <c r="BV472" s="8" t="s">
        <v>92</v>
      </c>
      <c r="BW472" s="8" t="s">
        <v>92</v>
      </c>
      <c r="BX472" s="8" t="s">
        <v>93</v>
      </c>
      <c r="BY472" s="8" t="s">
        <v>93</v>
      </c>
      <c r="BZ472" s="8" t="s">
        <v>92</v>
      </c>
      <c r="CA472" s="8" t="s">
        <v>92</v>
      </c>
      <c r="CB472" s="20" t="s">
        <v>115</v>
      </c>
      <c r="CC472" s="20" t="s">
        <v>106</v>
      </c>
      <c r="CD472" s="20" t="s">
        <v>116</v>
      </c>
      <c r="CE472" s="18"/>
      <c r="CF472" s="18"/>
      <c r="CG472" s="18"/>
      <c r="CH472" s="18"/>
    </row>
    <row r="473">
      <c r="A473" s="8"/>
      <c r="B473" s="43" t="s">
        <v>2098</v>
      </c>
      <c r="C473" s="10" t="s">
        <v>2099</v>
      </c>
      <c r="D473" s="9" t="s">
        <v>1670</v>
      </c>
      <c r="E473" s="11" t="s">
        <v>2143</v>
      </c>
      <c r="F473" s="12"/>
      <c r="G473" s="14" t="s">
        <v>2144</v>
      </c>
      <c r="H473" s="14" t="s">
        <v>90</v>
      </c>
      <c r="I473" s="14" t="s">
        <v>2145</v>
      </c>
      <c r="J473" s="14" t="s">
        <v>92</v>
      </c>
      <c r="K473" s="14" t="s">
        <v>93</v>
      </c>
      <c r="L473" s="14" t="s">
        <v>92</v>
      </c>
      <c r="M473" s="14" t="s">
        <v>93</v>
      </c>
      <c r="N473" s="14" t="s">
        <v>92</v>
      </c>
      <c r="O473" s="14" t="s">
        <v>92</v>
      </c>
      <c r="P473" s="14" t="s">
        <v>92</v>
      </c>
      <c r="Q473" s="14" t="s">
        <v>93</v>
      </c>
      <c r="R473" s="14" t="s">
        <v>92</v>
      </c>
      <c r="S473" s="14" t="s">
        <v>92</v>
      </c>
      <c r="T473" s="14" t="s">
        <v>92</v>
      </c>
      <c r="U473" s="14" t="s">
        <v>93</v>
      </c>
      <c r="V473" s="14" t="s">
        <v>92</v>
      </c>
      <c r="W473" s="14" t="s">
        <v>93</v>
      </c>
      <c r="X473" s="14" t="s">
        <v>92</v>
      </c>
      <c r="Y473" s="14" t="s">
        <v>92</v>
      </c>
      <c r="Z473" s="14" t="s">
        <v>92</v>
      </c>
      <c r="AA473" s="14" t="s">
        <v>92</v>
      </c>
      <c r="AB473" s="8" t="s">
        <v>93</v>
      </c>
      <c r="AC473" s="8" t="s">
        <v>93</v>
      </c>
      <c r="AD473" s="8" t="s">
        <v>92</v>
      </c>
      <c r="AE473" s="14" t="s">
        <v>94</v>
      </c>
      <c r="AF473" s="14" t="s">
        <v>92</v>
      </c>
      <c r="AG473" s="14" t="s">
        <v>95</v>
      </c>
      <c r="AH473" s="8" t="s">
        <v>105</v>
      </c>
      <c r="AI473" s="14" t="s">
        <v>92</v>
      </c>
      <c r="AJ473" s="14" t="s">
        <v>92</v>
      </c>
      <c r="AK473" s="14" t="s">
        <v>93</v>
      </c>
      <c r="AL473" s="14" t="s">
        <v>93</v>
      </c>
      <c r="AM473" s="8" t="s">
        <v>95</v>
      </c>
      <c r="AN473" s="14" t="s">
        <v>114</v>
      </c>
      <c r="AO473" s="8" t="s">
        <v>93</v>
      </c>
      <c r="AP473" s="8" t="s">
        <v>92</v>
      </c>
      <c r="AQ473" s="14" t="s">
        <v>92</v>
      </c>
      <c r="AR473" s="14" t="s">
        <v>93</v>
      </c>
      <c r="AS473" s="14" t="s">
        <v>93</v>
      </c>
      <c r="AT473" s="14" t="s">
        <v>93</v>
      </c>
      <c r="AU473" s="14" t="s">
        <v>93</v>
      </c>
      <c r="AV473" s="14" t="s">
        <v>93</v>
      </c>
      <c r="AW473" s="14" t="s">
        <v>93</v>
      </c>
      <c r="AX473" s="14" t="s">
        <v>93</v>
      </c>
      <c r="AY473" s="8" t="s">
        <v>95</v>
      </c>
      <c r="AZ473" s="8" t="s">
        <v>95</v>
      </c>
      <c r="BA473" s="9" t="s">
        <v>2098</v>
      </c>
      <c r="BB473" s="8" t="s">
        <v>97</v>
      </c>
      <c r="BC473" s="8" t="s">
        <v>92</v>
      </c>
      <c r="BD473" s="14" t="s">
        <v>92</v>
      </c>
      <c r="BE473" s="14" t="s">
        <v>92</v>
      </c>
      <c r="BF473" s="14" t="s">
        <v>92</v>
      </c>
      <c r="BG473" s="14" t="s">
        <v>92</v>
      </c>
      <c r="BH473" s="14" t="s">
        <v>92</v>
      </c>
      <c r="BI473" s="14" t="s">
        <v>93</v>
      </c>
      <c r="BJ473" s="14" t="s">
        <v>92</v>
      </c>
      <c r="BK473" s="14" t="s">
        <v>2109</v>
      </c>
      <c r="BL473" s="14" t="s">
        <v>93</v>
      </c>
      <c r="BM473" s="14" t="s">
        <v>93</v>
      </c>
      <c r="BN473" s="14" t="s">
        <v>93</v>
      </c>
      <c r="BO473" s="14" t="s">
        <v>93</v>
      </c>
      <c r="BP473" s="14" t="s">
        <v>93</v>
      </c>
      <c r="BQ473" s="8" t="s">
        <v>93</v>
      </c>
      <c r="BR473" s="8" t="s">
        <v>92</v>
      </c>
      <c r="BS473" s="8" t="s">
        <v>92</v>
      </c>
      <c r="BT473" s="8" t="s">
        <v>92</v>
      </c>
      <c r="BU473" s="8" t="s">
        <v>92</v>
      </c>
      <c r="BV473" s="8" t="s">
        <v>92</v>
      </c>
      <c r="BW473" s="8" t="s">
        <v>93</v>
      </c>
      <c r="BX473" s="8" t="s">
        <v>92</v>
      </c>
      <c r="BY473" s="8" t="s">
        <v>93</v>
      </c>
      <c r="BZ473" s="8" t="s">
        <v>92</v>
      </c>
      <c r="CA473" s="8" t="s">
        <v>92</v>
      </c>
      <c r="CB473" s="20" t="s">
        <v>106</v>
      </c>
      <c r="CC473" s="20" t="s">
        <v>116</v>
      </c>
      <c r="CD473" s="18"/>
      <c r="CE473" s="18"/>
      <c r="CF473" s="18"/>
      <c r="CG473" s="18"/>
      <c r="CH473" s="18"/>
    </row>
    <row r="474">
      <c r="A474" s="8"/>
      <c r="B474" s="9" t="s">
        <v>2098</v>
      </c>
      <c r="C474" s="10" t="s">
        <v>2099</v>
      </c>
      <c r="D474" s="9" t="s">
        <v>1670</v>
      </c>
      <c r="E474" s="11" t="s">
        <v>2146</v>
      </c>
      <c r="F474" s="12"/>
      <c r="G474" s="14" t="s">
        <v>2147</v>
      </c>
      <c r="H474" s="14" t="s">
        <v>90</v>
      </c>
      <c r="I474" s="14" t="s">
        <v>2148</v>
      </c>
      <c r="J474" s="14" t="s">
        <v>93</v>
      </c>
      <c r="K474" s="14" t="s">
        <v>92</v>
      </c>
      <c r="L474" s="14" t="s">
        <v>93</v>
      </c>
      <c r="M474" s="14" t="s">
        <v>92</v>
      </c>
      <c r="N474" s="14" t="s">
        <v>92</v>
      </c>
      <c r="O474" s="14" t="s">
        <v>92</v>
      </c>
      <c r="P474" s="14" t="s">
        <v>92</v>
      </c>
      <c r="Q474" s="14" t="s">
        <v>92</v>
      </c>
      <c r="R474" s="14" t="s">
        <v>92</v>
      </c>
      <c r="S474" s="14" t="s">
        <v>93</v>
      </c>
      <c r="T474" s="14" t="s">
        <v>92</v>
      </c>
      <c r="U474" s="14" t="s">
        <v>92</v>
      </c>
      <c r="V474" s="14" t="s">
        <v>92</v>
      </c>
      <c r="W474" s="14" t="s">
        <v>92</v>
      </c>
      <c r="X474" s="14" t="s">
        <v>92</v>
      </c>
      <c r="Y474" s="14" t="s">
        <v>92</v>
      </c>
      <c r="Z474" s="14" t="s">
        <v>93</v>
      </c>
      <c r="AA474" s="14" t="s">
        <v>92</v>
      </c>
      <c r="AB474" s="8" t="s">
        <v>92</v>
      </c>
      <c r="AC474" s="8" t="s">
        <v>93</v>
      </c>
      <c r="AD474" s="8" t="s">
        <v>93</v>
      </c>
      <c r="AE474" s="14" t="s">
        <v>112</v>
      </c>
      <c r="AF474" s="14" t="s">
        <v>92</v>
      </c>
      <c r="AG474" s="14" t="s">
        <v>95</v>
      </c>
      <c r="AH474" s="8" t="s">
        <v>105</v>
      </c>
      <c r="AI474" s="14" t="s">
        <v>92</v>
      </c>
      <c r="AJ474" s="14" t="s">
        <v>92</v>
      </c>
      <c r="AK474" s="14" t="s">
        <v>92</v>
      </c>
      <c r="AL474" s="14" t="s">
        <v>93</v>
      </c>
      <c r="AM474" s="8" t="s">
        <v>95</v>
      </c>
      <c r="AN474" s="14" t="s">
        <v>114</v>
      </c>
      <c r="AO474" s="8" t="s">
        <v>92</v>
      </c>
      <c r="AP474" s="8" t="s">
        <v>92</v>
      </c>
      <c r="AQ474" s="14" t="s">
        <v>92</v>
      </c>
      <c r="AR474" s="14" t="s">
        <v>93</v>
      </c>
      <c r="AS474" s="14" t="s">
        <v>93</v>
      </c>
      <c r="AT474" s="14" t="s">
        <v>93</v>
      </c>
      <c r="AU474" s="14" t="s">
        <v>93</v>
      </c>
      <c r="AV474" s="14" t="s">
        <v>93</v>
      </c>
      <c r="AW474" s="14" t="s">
        <v>93</v>
      </c>
      <c r="AX474" s="14" t="s">
        <v>93</v>
      </c>
      <c r="AY474" s="8" t="s">
        <v>95</v>
      </c>
      <c r="AZ474" s="8" t="s">
        <v>95</v>
      </c>
      <c r="BA474" s="9" t="s">
        <v>2098</v>
      </c>
      <c r="BB474" s="8" t="s">
        <v>97</v>
      </c>
      <c r="BC474" s="8" t="s">
        <v>92</v>
      </c>
      <c r="BD474" s="14" t="s">
        <v>93</v>
      </c>
      <c r="BE474" s="14" t="s">
        <v>92</v>
      </c>
      <c r="BF474" s="14" t="s">
        <v>92</v>
      </c>
      <c r="BG474" s="14" t="s">
        <v>92</v>
      </c>
      <c r="BH474" s="14" t="s">
        <v>92</v>
      </c>
      <c r="BI474" s="14" t="s">
        <v>92</v>
      </c>
      <c r="BJ474" s="14" t="s">
        <v>92</v>
      </c>
      <c r="BK474" s="14" t="s">
        <v>105</v>
      </c>
      <c r="BL474" s="14" t="s">
        <v>105</v>
      </c>
      <c r="BM474" s="14" t="s">
        <v>105</v>
      </c>
      <c r="BN474" s="14" t="s">
        <v>105</v>
      </c>
      <c r="BO474" s="14" t="s">
        <v>105</v>
      </c>
      <c r="BP474" s="14" t="s">
        <v>105</v>
      </c>
      <c r="BQ474" s="8" t="s">
        <v>92</v>
      </c>
      <c r="BR474" s="8" t="s">
        <v>92</v>
      </c>
      <c r="BS474" s="8" t="s">
        <v>92</v>
      </c>
      <c r="BT474" s="8" t="s">
        <v>93</v>
      </c>
      <c r="BU474" s="8" t="s">
        <v>93</v>
      </c>
      <c r="BV474" s="8" t="s">
        <v>92</v>
      </c>
      <c r="BW474" s="8" t="s">
        <v>92</v>
      </c>
      <c r="BX474" s="8" t="s">
        <v>92</v>
      </c>
      <c r="BY474" s="8" t="s">
        <v>92</v>
      </c>
      <c r="BZ474" s="8" t="s">
        <v>93</v>
      </c>
      <c r="CA474" s="8" t="s">
        <v>92</v>
      </c>
      <c r="CB474" s="20" t="s">
        <v>116</v>
      </c>
      <c r="CC474" s="31"/>
      <c r="CD474" s="18"/>
      <c r="CE474" s="18"/>
      <c r="CF474" s="18"/>
      <c r="CG474" s="18"/>
      <c r="CH474" s="18"/>
    </row>
    <row r="475">
      <c r="A475" s="8"/>
      <c r="B475" s="9" t="s">
        <v>2098</v>
      </c>
      <c r="C475" s="10" t="s">
        <v>2099</v>
      </c>
      <c r="D475" s="9" t="s">
        <v>1670</v>
      </c>
      <c r="E475" s="11" t="s">
        <v>2149</v>
      </c>
      <c r="F475" s="12"/>
      <c r="G475" s="14" t="s">
        <v>2150</v>
      </c>
      <c r="H475" s="14" t="s">
        <v>110</v>
      </c>
      <c r="I475" s="14" t="s">
        <v>2151</v>
      </c>
      <c r="J475" s="14" t="s">
        <v>93</v>
      </c>
      <c r="K475" s="14" t="s">
        <v>92</v>
      </c>
      <c r="L475" s="14" t="s">
        <v>93</v>
      </c>
      <c r="M475" s="14" t="s">
        <v>92</v>
      </c>
      <c r="N475" s="14" t="s">
        <v>92</v>
      </c>
      <c r="O475" s="14" t="s">
        <v>92</v>
      </c>
      <c r="P475" s="14" t="s">
        <v>92</v>
      </c>
      <c r="Q475" s="14" t="s">
        <v>92</v>
      </c>
      <c r="R475" s="14" t="s">
        <v>92</v>
      </c>
      <c r="S475" s="14" t="s">
        <v>93</v>
      </c>
      <c r="T475" s="14" t="s">
        <v>92</v>
      </c>
      <c r="U475" s="14" t="s">
        <v>92</v>
      </c>
      <c r="V475" s="14" t="s">
        <v>92</v>
      </c>
      <c r="W475" s="14" t="s">
        <v>92</v>
      </c>
      <c r="X475" s="14" t="s">
        <v>92</v>
      </c>
      <c r="Y475" s="14" t="s">
        <v>92</v>
      </c>
      <c r="Z475" s="14" t="s">
        <v>93</v>
      </c>
      <c r="AA475" s="14" t="s">
        <v>92</v>
      </c>
      <c r="AB475" s="8" t="s">
        <v>93</v>
      </c>
      <c r="AC475" s="8" t="s">
        <v>93</v>
      </c>
      <c r="AD475" s="8" t="s">
        <v>93</v>
      </c>
      <c r="AE475" s="14" t="s">
        <v>112</v>
      </c>
      <c r="AF475" s="14" t="s">
        <v>92</v>
      </c>
      <c r="AG475" s="14" t="s">
        <v>95</v>
      </c>
      <c r="AH475" s="8">
        <v>2023.0</v>
      </c>
      <c r="AI475" s="14" t="s">
        <v>92</v>
      </c>
      <c r="AJ475" s="14" t="s">
        <v>92</v>
      </c>
      <c r="AK475" s="14" t="s">
        <v>92</v>
      </c>
      <c r="AL475" s="14" t="s">
        <v>93</v>
      </c>
      <c r="AM475" s="8" t="s">
        <v>95</v>
      </c>
      <c r="AN475" s="14" t="s">
        <v>114</v>
      </c>
      <c r="AO475" s="8" t="s">
        <v>92</v>
      </c>
      <c r="AP475" s="8" t="s">
        <v>92</v>
      </c>
      <c r="AQ475" s="14" t="s">
        <v>92</v>
      </c>
      <c r="AR475" s="14" t="s">
        <v>93</v>
      </c>
      <c r="AS475" s="14" t="s">
        <v>93</v>
      </c>
      <c r="AT475" s="14" t="s">
        <v>93</v>
      </c>
      <c r="AU475" s="14" t="s">
        <v>93</v>
      </c>
      <c r="AV475" s="14" t="s">
        <v>93</v>
      </c>
      <c r="AW475" s="14" t="s">
        <v>93</v>
      </c>
      <c r="AX475" s="14" t="s">
        <v>93</v>
      </c>
      <c r="AY475" s="8" t="s">
        <v>95</v>
      </c>
      <c r="AZ475" s="8" t="s">
        <v>95</v>
      </c>
      <c r="BA475" s="9" t="s">
        <v>2098</v>
      </c>
      <c r="BB475" s="8" t="s">
        <v>97</v>
      </c>
      <c r="BC475" s="8" t="s">
        <v>92</v>
      </c>
      <c r="BD475" s="14" t="s">
        <v>93</v>
      </c>
      <c r="BE475" s="14" t="s">
        <v>92</v>
      </c>
      <c r="BF475" s="14" t="s">
        <v>92</v>
      </c>
      <c r="BG475" s="14" t="s">
        <v>92</v>
      </c>
      <c r="BH475" s="14" t="s">
        <v>92</v>
      </c>
      <c r="BI475" s="14" t="s">
        <v>92</v>
      </c>
      <c r="BJ475" s="14" t="s">
        <v>92</v>
      </c>
      <c r="BK475" s="14" t="s">
        <v>105</v>
      </c>
      <c r="BL475" s="14" t="s">
        <v>105</v>
      </c>
      <c r="BM475" s="14" t="s">
        <v>105</v>
      </c>
      <c r="BN475" s="14" t="s">
        <v>105</v>
      </c>
      <c r="BO475" s="14" t="s">
        <v>105</v>
      </c>
      <c r="BP475" s="14" t="s">
        <v>105</v>
      </c>
      <c r="BQ475" s="8" t="s">
        <v>92</v>
      </c>
      <c r="BR475" s="8" t="s">
        <v>92</v>
      </c>
      <c r="BS475" s="8" t="s">
        <v>93</v>
      </c>
      <c r="BT475" s="8" t="s">
        <v>93</v>
      </c>
      <c r="BU475" s="8" t="s">
        <v>92</v>
      </c>
      <c r="BV475" s="8" t="s">
        <v>92</v>
      </c>
      <c r="BW475" s="8" t="s">
        <v>92</v>
      </c>
      <c r="BX475" s="8" t="s">
        <v>92</v>
      </c>
      <c r="BY475" s="8" t="s">
        <v>92</v>
      </c>
      <c r="BZ475" s="8" t="s">
        <v>93</v>
      </c>
      <c r="CA475" s="8" t="s">
        <v>92</v>
      </c>
      <c r="CB475" s="20" t="s">
        <v>115</v>
      </c>
      <c r="CC475" s="20" t="s">
        <v>116</v>
      </c>
      <c r="CD475" s="18"/>
      <c r="CE475" s="18"/>
      <c r="CF475" s="18"/>
      <c r="CG475" s="18"/>
      <c r="CH475" s="18"/>
    </row>
    <row r="476">
      <c r="A476" s="8"/>
      <c r="B476" s="9" t="s">
        <v>2098</v>
      </c>
      <c r="C476" s="10" t="s">
        <v>2099</v>
      </c>
      <c r="D476" s="9" t="s">
        <v>1670</v>
      </c>
      <c r="E476" s="11" t="s">
        <v>2152</v>
      </c>
      <c r="F476" s="12"/>
      <c r="G476" s="14" t="s">
        <v>2153</v>
      </c>
      <c r="H476" s="14" t="s">
        <v>90</v>
      </c>
      <c r="I476" s="14" t="s">
        <v>2154</v>
      </c>
      <c r="J476" s="14" t="s">
        <v>92</v>
      </c>
      <c r="K476" s="14" t="s">
        <v>92</v>
      </c>
      <c r="L476" s="14" t="s">
        <v>92</v>
      </c>
      <c r="M476" s="14" t="s">
        <v>92</v>
      </c>
      <c r="N476" s="14" t="s">
        <v>92</v>
      </c>
      <c r="O476" s="14" t="s">
        <v>93</v>
      </c>
      <c r="P476" s="14" t="s">
        <v>92</v>
      </c>
      <c r="Q476" s="14" t="s">
        <v>92</v>
      </c>
      <c r="R476" s="14" t="s">
        <v>92</v>
      </c>
      <c r="S476" s="14" t="s">
        <v>93</v>
      </c>
      <c r="T476" s="14" t="s">
        <v>92</v>
      </c>
      <c r="U476" s="14" t="s">
        <v>92</v>
      </c>
      <c r="V476" s="14" t="s">
        <v>92</v>
      </c>
      <c r="W476" s="14" t="s">
        <v>92</v>
      </c>
      <c r="X476" s="14" t="s">
        <v>92</v>
      </c>
      <c r="Y476" s="14" t="s">
        <v>92</v>
      </c>
      <c r="Z476" s="14" t="s">
        <v>93</v>
      </c>
      <c r="AA476" s="14" t="s">
        <v>93</v>
      </c>
      <c r="AB476" s="8" t="s">
        <v>93</v>
      </c>
      <c r="AC476" s="8" t="s">
        <v>93</v>
      </c>
      <c r="AD476" s="8" t="s">
        <v>92</v>
      </c>
      <c r="AE476" s="14" t="s">
        <v>112</v>
      </c>
      <c r="AF476" s="14" t="s">
        <v>92</v>
      </c>
      <c r="AG476" s="14" t="s">
        <v>95</v>
      </c>
      <c r="AH476" s="8">
        <v>2021.0</v>
      </c>
      <c r="AI476" s="14" t="s">
        <v>92</v>
      </c>
      <c r="AJ476" s="14" t="s">
        <v>93</v>
      </c>
      <c r="AK476" s="14" t="s">
        <v>93</v>
      </c>
      <c r="AL476" s="14" t="s">
        <v>93</v>
      </c>
      <c r="AM476" s="8" t="s">
        <v>95</v>
      </c>
      <c r="AN476" s="14" t="s">
        <v>114</v>
      </c>
      <c r="AO476" s="8" t="s">
        <v>93</v>
      </c>
      <c r="AP476" s="8" t="s">
        <v>92</v>
      </c>
      <c r="AQ476" s="14" t="s">
        <v>92</v>
      </c>
      <c r="AR476" s="14" t="s">
        <v>93</v>
      </c>
      <c r="AS476" s="14" t="s">
        <v>93</v>
      </c>
      <c r="AT476" s="14" t="s">
        <v>93</v>
      </c>
      <c r="AU476" s="14" t="s">
        <v>93</v>
      </c>
      <c r="AV476" s="14" t="s">
        <v>93</v>
      </c>
      <c r="AW476" s="14" t="s">
        <v>93</v>
      </c>
      <c r="AX476" s="14" t="s">
        <v>93</v>
      </c>
      <c r="AY476" s="8" t="s">
        <v>2155</v>
      </c>
      <c r="AZ476" s="8" t="s">
        <v>93</v>
      </c>
      <c r="BA476" s="9" t="s">
        <v>2098</v>
      </c>
      <c r="BB476" s="8" t="s">
        <v>97</v>
      </c>
      <c r="BC476" s="8" t="s">
        <v>92</v>
      </c>
      <c r="BD476" s="14" t="s">
        <v>93</v>
      </c>
      <c r="BE476" s="14" t="s">
        <v>92</v>
      </c>
      <c r="BF476" s="14" t="s">
        <v>92</v>
      </c>
      <c r="BG476" s="14" t="s">
        <v>92</v>
      </c>
      <c r="BH476" s="14" t="s">
        <v>92</v>
      </c>
      <c r="BI476" s="14" t="s">
        <v>93</v>
      </c>
      <c r="BJ476" s="14" t="s">
        <v>92</v>
      </c>
      <c r="BK476" s="14" t="s">
        <v>546</v>
      </c>
      <c r="BL476" s="14" t="s">
        <v>92</v>
      </c>
      <c r="BM476" s="14" t="s">
        <v>92</v>
      </c>
      <c r="BN476" s="14" t="s">
        <v>93</v>
      </c>
      <c r="BO476" s="14" t="s">
        <v>92</v>
      </c>
      <c r="BP476" s="14" t="s">
        <v>92</v>
      </c>
      <c r="BQ476" s="8" t="s">
        <v>92</v>
      </c>
      <c r="BR476" s="8" t="s">
        <v>92</v>
      </c>
      <c r="BS476" s="8" t="s">
        <v>93</v>
      </c>
      <c r="BT476" s="8" t="s">
        <v>93</v>
      </c>
      <c r="BU476" s="8" t="s">
        <v>93</v>
      </c>
      <c r="BV476" s="8" t="s">
        <v>92</v>
      </c>
      <c r="BW476" s="8" t="s">
        <v>92</v>
      </c>
      <c r="BX476" s="8" t="s">
        <v>92</v>
      </c>
      <c r="BY476" s="8" t="s">
        <v>92</v>
      </c>
      <c r="BZ476" s="8" t="s">
        <v>93</v>
      </c>
      <c r="CA476" s="8" t="s">
        <v>92</v>
      </c>
      <c r="CB476" s="20" t="s">
        <v>115</v>
      </c>
      <c r="CC476" s="20" t="s">
        <v>116</v>
      </c>
      <c r="CD476" s="18"/>
      <c r="CE476" s="18"/>
      <c r="CF476" s="18"/>
      <c r="CG476" s="18"/>
      <c r="CH476" s="18"/>
    </row>
    <row r="477">
      <c r="A477" s="8"/>
      <c r="B477" s="9" t="s">
        <v>2098</v>
      </c>
      <c r="C477" s="10" t="s">
        <v>2099</v>
      </c>
      <c r="D477" s="9" t="s">
        <v>1670</v>
      </c>
      <c r="E477" s="11" t="s">
        <v>2156</v>
      </c>
      <c r="F477" s="25"/>
      <c r="G477" s="14" t="s">
        <v>2157</v>
      </c>
      <c r="H477" s="14" t="s">
        <v>90</v>
      </c>
      <c r="I477" s="14" t="s">
        <v>2158</v>
      </c>
      <c r="J477" s="14" t="s">
        <v>92</v>
      </c>
      <c r="K477" s="14" t="s">
        <v>92</v>
      </c>
      <c r="L477" s="14" t="s">
        <v>93</v>
      </c>
      <c r="M477" s="14" t="s">
        <v>92</v>
      </c>
      <c r="N477" s="14" t="s">
        <v>92</v>
      </c>
      <c r="O477" s="14" t="s">
        <v>93</v>
      </c>
      <c r="P477" s="14" t="s">
        <v>93</v>
      </c>
      <c r="Q477" s="14" t="s">
        <v>92</v>
      </c>
      <c r="R477" s="14" t="s">
        <v>93</v>
      </c>
      <c r="S477" s="14" t="s">
        <v>93</v>
      </c>
      <c r="T477" s="14" t="s">
        <v>92</v>
      </c>
      <c r="U477" s="14" t="s">
        <v>92</v>
      </c>
      <c r="V477" s="14" t="s">
        <v>92</v>
      </c>
      <c r="W477" s="14" t="s">
        <v>92</v>
      </c>
      <c r="X477" s="14" t="s">
        <v>92</v>
      </c>
      <c r="Y477" s="14" t="s">
        <v>92</v>
      </c>
      <c r="Z477" s="14" t="s">
        <v>93</v>
      </c>
      <c r="AA477" s="14" t="s">
        <v>93</v>
      </c>
      <c r="AB477" s="8" t="s">
        <v>93</v>
      </c>
      <c r="AC477" s="8" t="s">
        <v>93</v>
      </c>
      <c r="AD477" s="8" t="s">
        <v>93</v>
      </c>
      <c r="AE477" s="14" t="s">
        <v>112</v>
      </c>
      <c r="AF477" s="14" t="s">
        <v>92</v>
      </c>
      <c r="AG477" s="14" t="s">
        <v>95</v>
      </c>
      <c r="AH477" s="8">
        <v>2021.0</v>
      </c>
      <c r="AI477" s="14" t="s">
        <v>92</v>
      </c>
      <c r="AJ477" s="14" t="s">
        <v>93</v>
      </c>
      <c r="AK477" s="14" t="s">
        <v>93</v>
      </c>
      <c r="AL477" s="14" t="s">
        <v>93</v>
      </c>
      <c r="AM477" s="8" t="s">
        <v>95</v>
      </c>
      <c r="AN477" s="14" t="s">
        <v>114</v>
      </c>
      <c r="AO477" s="8" t="s">
        <v>93</v>
      </c>
      <c r="AP477" s="8" t="s">
        <v>92</v>
      </c>
      <c r="AQ477" s="14" t="s">
        <v>92</v>
      </c>
      <c r="AR477" s="14" t="s">
        <v>93</v>
      </c>
      <c r="AS477" s="14" t="s">
        <v>93</v>
      </c>
      <c r="AT477" s="14" t="s">
        <v>93</v>
      </c>
      <c r="AU477" s="14" t="s">
        <v>93</v>
      </c>
      <c r="AV477" s="14" t="s">
        <v>93</v>
      </c>
      <c r="AW477" s="14" t="s">
        <v>93</v>
      </c>
      <c r="AX477" s="14" t="s">
        <v>93</v>
      </c>
      <c r="AY477" s="8" t="s">
        <v>95</v>
      </c>
      <c r="AZ477" s="8" t="s">
        <v>95</v>
      </c>
      <c r="BA477" s="9" t="s">
        <v>2098</v>
      </c>
      <c r="BB477" s="8" t="s">
        <v>97</v>
      </c>
      <c r="BC477" s="8" t="s">
        <v>92</v>
      </c>
      <c r="BD477" s="14" t="s">
        <v>93</v>
      </c>
      <c r="BE477" s="14" t="s">
        <v>92</v>
      </c>
      <c r="BF477" s="14" t="s">
        <v>92</v>
      </c>
      <c r="BG477" s="14" t="s">
        <v>92</v>
      </c>
      <c r="BH477" s="14" t="s">
        <v>92</v>
      </c>
      <c r="BI477" s="14" t="s">
        <v>93</v>
      </c>
      <c r="BJ477" s="14" t="s">
        <v>92</v>
      </c>
      <c r="BK477" s="14" t="s">
        <v>2159</v>
      </c>
      <c r="BL477" s="14" t="s">
        <v>92</v>
      </c>
      <c r="BM477" s="14" t="s">
        <v>92</v>
      </c>
      <c r="BN477" s="14" t="s">
        <v>93</v>
      </c>
      <c r="BO477" s="14" t="s">
        <v>92</v>
      </c>
      <c r="BP477" s="14" t="s">
        <v>92</v>
      </c>
      <c r="BQ477" s="8" t="s">
        <v>92</v>
      </c>
      <c r="BR477" s="8" t="s">
        <v>92</v>
      </c>
      <c r="BS477" s="8" t="s">
        <v>93</v>
      </c>
      <c r="BT477" s="8" t="s">
        <v>93</v>
      </c>
      <c r="BU477" s="8" t="s">
        <v>92</v>
      </c>
      <c r="BV477" s="8" t="s">
        <v>92</v>
      </c>
      <c r="BW477" s="8" t="s">
        <v>92</v>
      </c>
      <c r="BX477" s="8" t="s">
        <v>92</v>
      </c>
      <c r="BY477" s="8" t="s">
        <v>92</v>
      </c>
      <c r="BZ477" s="8" t="s">
        <v>93</v>
      </c>
      <c r="CA477" s="8" t="s">
        <v>92</v>
      </c>
      <c r="CB477" s="20" t="s">
        <v>115</v>
      </c>
      <c r="CC477" s="20" t="s">
        <v>116</v>
      </c>
      <c r="CD477" s="18"/>
      <c r="CE477" s="18"/>
      <c r="CF477" s="18"/>
      <c r="CG477" s="18"/>
      <c r="CH477" s="18"/>
    </row>
    <row r="478">
      <c r="A478" s="8"/>
      <c r="B478" s="9" t="s">
        <v>2160</v>
      </c>
      <c r="C478" s="10" t="s">
        <v>2161</v>
      </c>
      <c r="D478" s="9" t="s">
        <v>1670</v>
      </c>
      <c r="E478" s="11" t="s">
        <v>2162</v>
      </c>
      <c r="F478" s="12"/>
      <c r="G478" s="14" t="s">
        <v>2163</v>
      </c>
      <c r="H478" s="14" t="s">
        <v>110</v>
      </c>
      <c r="I478" s="14" t="s">
        <v>2164</v>
      </c>
      <c r="J478" s="14" t="s">
        <v>92</v>
      </c>
      <c r="K478" s="14" t="s">
        <v>92</v>
      </c>
      <c r="L478" s="14" t="s">
        <v>92</v>
      </c>
      <c r="M478" s="14" t="s">
        <v>92</v>
      </c>
      <c r="N478" s="14" t="s">
        <v>92</v>
      </c>
      <c r="O478" s="14" t="s">
        <v>92</v>
      </c>
      <c r="P478" s="14" t="s">
        <v>93</v>
      </c>
      <c r="Q478" s="14" t="s">
        <v>93</v>
      </c>
      <c r="R478" s="14" t="s">
        <v>92</v>
      </c>
      <c r="S478" s="14" t="s">
        <v>92</v>
      </c>
      <c r="T478" s="14" t="s">
        <v>92</v>
      </c>
      <c r="U478" s="14" t="s">
        <v>93</v>
      </c>
      <c r="V478" s="14" t="s">
        <v>92</v>
      </c>
      <c r="W478" s="14" t="s">
        <v>92</v>
      </c>
      <c r="X478" s="14" t="s">
        <v>92</v>
      </c>
      <c r="Y478" s="14" t="s">
        <v>92</v>
      </c>
      <c r="Z478" s="14" t="s">
        <v>92</v>
      </c>
      <c r="AA478" s="14" t="s">
        <v>92</v>
      </c>
      <c r="AB478" s="8" t="s">
        <v>93</v>
      </c>
      <c r="AC478" s="8" t="s">
        <v>92</v>
      </c>
      <c r="AD478" s="8" t="s">
        <v>92</v>
      </c>
      <c r="AE478" s="14" t="s">
        <v>94</v>
      </c>
      <c r="AF478" s="14" t="s">
        <v>92</v>
      </c>
      <c r="AG478" s="14" t="s">
        <v>95</v>
      </c>
      <c r="AH478" s="8">
        <v>2020.0</v>
      </c>
      <c r="AI478" s="14" t="s">
        <v>93</v>
      </c>
      <c r="AJ478" s="14" t="s">
        <v>93</v>
      </c>
      <c r="AK478" s="14" t="s">
        <v>93</v>
      </c>
      <c r="AL478" s="14" t="s">
        <v>93</v>
      </c>
      <c r="AM478" s="8" t="s">
        <v>95</v>
      </c>
      <c r="AN478" s="14" t="s">
        <v>114</v>
      </c>
      <c r="AO478" s="8" t="s">
        <v>93</v>
      </c>
      <c r="AP478" s="8" t="s">
        <v>92</v>
      </c>
      <c r="AQ478" s="14" t="s">
        <v>92</v>
      </c>
      <c r="AR478" s="14" t="s">
        <v>92</v>
      </c>
      <c r="AS478" s="14" t="s">
        <v>92</v>
      </c>
      <c r="AT478" s="14" t="s">
        <v>93</v>
      </c>
      <c r="AU478" s="14" t="s">
        <v>93</v>
      </c>
      <c r="AV478" s="14" t="s">
        <v>93</v>
      </c>
      <c r="AW478" s="14" t="s">
        <v>93</v>
      </c>
      <c r="AX478" s="14" t="s">
        <v>93</v>
      </c>
      <c r="AY478" s="8" t="s">
        <v>95</v>
      </c>
      <c r="AZ478" s="8" t="s">
        <v>95</v>
      </c>
      <c r="BA478" s="9" t="s">
        <v>2165</v>
      </c>
      <c r="BB478" s="8" t="s">
        <v>105</v>
      </c>
      <c r="BC478" s="8" t="s">
        <v>105</v>
      </c>
      <c r="BD478" s="14" t="s">
        <v>92</v>
      </c>
      <c r="BE478" s="14" t="s">
        <v>92</v>
      </c>
      <c r="BF478" s="14" t="s">
        <v>92</v>
      </c>
      <c r="BG478" s="14" t="s">
        <v>92</v>
      </c>
      <c r="BH478" s="14" t="s">
        <v>92</v>
      </c>
      <c r="BI478" s="14" t="s">
        <v>93</v>
      </c>
      <c r="BJ478" s="14" t="s">
        <v>92</v>
      </c>
      <c r="BK478" s="14" t="s">
        <v>95</v>
      </c>
      <c r="BL478" s="14" t="s">
        <v>93</v>
      </c>
      <c r="BM478" s="14" t="s">
        <v>93</v>
      </c>
      <c r="BN478" s="14" t="s">
        <v>93</v>
      </c>
      <c r="BO478" s="14" t="s">
        <v>93</v>
      </c>
      <c r="BP478" s="14" t="s">
        <v>93</v>
      </c>
      <c r="BQ478" s="8" t="s">
        <v>93</v>
      </c>
      <c r="BR478" s="8" t="s">
        <v>92</v>
      </c>
      <c r="BS478" s="8" t="s">
        <v>92</v>
      </c>
      <c r="BT478" s="8" t="s">
        <v>92</v>
      </c>
      <c r="BU478" s="8" t="s">
        <v>92</v>
      </c>
      <c r="BV478" s="8" t="s">
        <v>92</v>
      </c>
      <c r="BW478" s="8" t="s">
        <v>92</v>
      </c>
      <c r="BX478" s="8" t="s">
        <v>92</v>
      </c>
      <c r="BY478" s="8" t="s">
        <v>92</v>
      </c>
      <c r="BZ478" s="8" t="s">
        <v>92</v>
      </c>
      <c r="CA478" s="8" t="s">
        <v>92</v>
      </c>
      <c r="CB478" s="20" t="s">
        <v>2166</v>
      </c>
      <c r="CC478" s="20" t="s">
        <v>2167</v>
      </c>
      <c r="CD478" s="24" t="s">
        <v>2168</v>
      </c>
      <c r="CE478" s="18"/>
      <c r="CF478" s="18"/>
      <c r="CG478" s="18"/>
      <c r="CH478" s="18"/>
    </row>
    <row r="479">
      <c r="A479" s="8"/>
      <c r="B479" s="9" t="s">
        <v>2160</v>
      </c>
      <c r="C479" s="10" t="s">
        <v>2161</v>
      </c>
      <c r="D479" s="9" t="s">
        <v>1670</v>
      </c>
      <c r="E479" s="11" t="s">
        <v>2169</v>
      </c>
      <c r="F479" s="12"/>
      <c r="G479" s="14" t="s">
        <v>2170</v>
      </c>
      <c r="H479" s="14" t="s">
        <v>90</v>
      </c>
      <c r="I479" s="14" t="s">
        <v>2171</v>
      </c>
      <c r="J479" s="14" t="s">
        <v>92</v>
      </c>
      <c r="K479" s="14" t="s">
        <v>92</v>
      </c>
      <c r="L479" s="14" t="s">
        <v>92</v>
      </c>
      <c r="M479" s="14" t="s">
        <v>92</v>
      </c>
      <c r="N479" s="14" t="s">
        <v>92</v>
      </c>
      <c r="O479" s="14" t="s">
        <v>92</v>
      </c>
      <c r="P479" s="14" t="s">
        <v>93</v>
      </c>
      <c r="Q479" s="14" t="s">
        <v>92</v>
      </c>
      <c r="R479" s="14" t="s">
        <v>92</v>
      </c>
      <c r="S479" s="14" t="s">
        <v>92</v>
      </c>
      <c r="T479" s="14" t="s">
        <v>92</v>
      </c>
      <c r="U479" s="14" t="s">
        <v>93</v>
      </c>
      <c r="V479" s="14" t="s">
        <v>92</v>
      </c>
      <c r="W479" s="14" t="s">
        <v>92</v>
      </c>
      <c r="X479" s="14" t="s">
        <v>92</v>
      </c>
      <c r="Y479" s="14" t="s">
        <v>92</v>
      </c>
      <c r="Z479" s="14" t="s">
        <v>92</v>
      </c>
      <c r="AA479" s="14" t="s">
        <v>92</v>
      </c>
      <c r="AB479" s="8" t="s">
        <v>93</v>
      </c>
      <c r="AC479" s="8" t="s">
        <v>92</v>
      </c>
      <c r="AD479" s="8" t="s">
        <v>92</v>
      </c>
      <c r="AE479" s="14" t="s">
        <v>94</v>
      </c>
      <c r="AF479" s="14" t="s">
        <v>92</v>
      </c>
      <c r="AG479" s="14" t="s">
        <v>95</v>
      </c>
      <c r="AH479" s="8" t="s">
        <v>105</v>
      </c>
      <c r="AI479" s="14" t="s">
        <v>105</v>
      </c>
      <c r="AJ479" s="14" t="s">
        <v>105</v>
      </c>
      <c r="AK479" s="14" t="s">
        <v>92</v>
      </c>
      <c r="AL479" s="14" t="s">
        <v>93</v>
      </c>
      <c r="AM479" s="8" t="s">
        <v>105</v>
      </c>
      <c r="AN479" s="14" t="s">
        <v>105</v>
      </c>
      <c r="AO479" s="8" t="s">
        <v>105</v>
      </c>
      <c r="AP479" s="8" t="s">
        <v>92</v>
      </c>
      <c r="AQ479" s="14" t="s">
        <v>92</v>
      </c>
      <c r="AR479" s="14" t="s">
        <v>92</v>
      </c>
      <c r="AS479" s="14" t="s">
        <v>92</v>
      </c>
      <c r="AT479" s="14" t="s">
        <v>93</v>
      </c>
      <c r="AU479" s="14" t="s">
        <v>93</v>
      </c>
      <c r="AV479" s="14" t="s">
        <v>93</v>
      </c>
      <c r="AW479" s="14" t="s">
        <v>93</v>
      </c>
      <c r="AX479" s="14" t="s">
        <v>93</v>
      </c>
      <c r="AY479" s="8" t="s">
        <v>95</v>
      </c>
      <c r="AZ479" s="8" t="s">
        <v>95</v>
      </c>
      <c r="BA479" s="9" t="s">
        <v>2172</v>
      </c>
      <c r="BB479" s="8" t="s">
        <v>143</v>
      </c>
      <c r="BC479" s="8" t="s">
        <v>92</v>
      </c>
      <c r="BD479" s="14" t="s">
        <v>92</v>
      </c>
      <c r="BE479" s="14" t="s">
        <v>92</v>
      </c>
      <c r="BF479" s="14" t="s">
        <v>92</v>
      </c>
      <c r="BG479" s="14" t="s">
        <v>92</v>
      </c>
      <c r="BH479" s="14" t="s">
        <v>92</v>
      </c>
      <c r="BI479" s="14" t="s">
        <v>93</v>
      </c>
      <c r="BJ479" s="14" t="s">
        <v>92</v>
      </c>
      <c r="BK479" s="14" t="s">
        <v>105</v>
      </c>
      <c r="BL479" s="14" t="s">
        <v>105</v>
      </c>
      <c r="BM479" s="14" t="s">
        <v>105</v>
      </c>
      <c r="BN479" s="14" t="s">
        <v>105</v>
      </c>
      <c r="BO479" s="14" t="s">
        <v>105</v>
      </c>
      <c r="BP479" s="14" t="s">
        <v>105</v>
      </c>
      <c r="BQ479" s="8" t="s">
        <v>93</v>
      </c>
      <c r="BR479" s="8" t="s">
        <v>92</v>
      </c>
      <c r="BS479" s="8" t="s">
        <v>92</v>
      </c>
      <c r="BT479" s="8" t="s">
        <v>92</v>
      </c>
      <c r="BU479" s="8" t="s">
        <v>92</v>
      </c>
      <c r="BV479" s="8" t="s">
        <v>92</v>
      </c>
      <c r="BW479" s="8" t="s">
        <v>92</v>
      </c>
      <c r="BX479" s="8" t="s">
        <v>92</v>
      </c>
      <c r="BY479" s="8" t="s">
        <v>92</v>
      </c>
      <c r="BZ479" s="8" t="s">
        <v>92</v>
      </c>
      <c r="CA479" s="8" t="s">
        <v>92</v>
      </c>
      <c r="CB479" s="20" t="s">
        <v>2167</v>
      </c>
      <c r="CC479" s="17"/>
      <c r="CD479" s="18"/>
      <c r="CE479" s="18"/>
      <c r="CF479" s="18"/>
      <c r="CG479" s="18"/>
      <c r="CH479" s="18"/>
    </row>
    <row r="480">
      <c r="A480" s="8"/>
      <c r="B480" s="9" t="s">
        <v>2160</v>
      </c>
      <c r="C480" s="10" t="s">
        <v>2161</v>
      </c>
      <c r="D480" s="9" t="s">
        <v>1670</v>
      </c>
      <c r="E480" s="11" t="s">
        <v>2173</v>
      </c>
      <c r="F480" s="12"/>
      <c r="G480" s="14" t="s">
        <v>2174</v>
      </c>
      <c r="H480" s="14" t="s">
        <v>90</v>
      </c>
      <c r="I480" s="14" t="s">
        <v>2175</v>
      </c>
      <c r="J480" s="14" t="s">
        <v>92</v>
      </c>
      <c r="K480" s="14" t="s">
        <v>92</v>
      </c>
      <c r="L480" s="14" t="s">
        <v>92</v>
      </c>
      <c r="M480" s="14" t="s">
        <v>92</v>
      </c>
      <c r="N480" s="14" t="s">
        <v>92</v>
      </c>
      <c r="O480" s="14" t="s">
        <v>92</v>
      </c>
      <c r="P480" s="14" t="s">
        <v>93</v>
      </c>
      <c r="Q480" s="14" t="s">
        <v>93</v>
      </c>
      <c r="R480" s="14" t="s">
        <v>93</v>
      </c>
      <c r="S480" s="14" t="s">
        <v>92</v>
      </c>
      <c r="T480" s="14" t="s">
        <v>92</v>
      </c>
      <c r="U480" s="14" t="s">
        <v>93</v>
      </c>
      <c r="V480" s="14" t="s">
        <v>92</v>
      </c>
      <c r="W480" s="14" t="s">
        <v>92</v>
      </c>
      <c r="X480" s="14" t="s">
        <v>92</v>
      </c>
      <c r="Y480" s="14" t="s">
        <v>92</v>
      </c>
      <c r="Z480" s="14" t="s">
        <v>92</v>
      </c>
      <c r="AA480" s="14" t="s">
        <v>92</v>
      </c>
      <c r="AB480" s="8" t="s">
        <v>93</v>
      </c>
      <c r="AC480" s="8" t="s">
        <v>92</v>
      </c>
      <c r="AD480" s="8" t="s">
        <v>92</v>
      </c>
      <c r="AE480" s="14" t="s">
        <v>94</v>
      </c>
      <c r="AF480" s="14" t="s">
        <v>92</v>
      </c>
      <c r="AG480" s="14" t="s">
        <v>95</v>
      </c>
      <c r="AH480" s="8">
        <v>2023.0</v>
      </c>
      <c r="AI480" s="14" t="s">
        <v>105</v>
      </c>
      <c r="AJ480" s="14" t="s">
        <v>105</v>
      </c>
      <c r="AK480" s="14" t="s">
        <v>92</v>
      </c>
      <c r="AL480" s="14" t="s">
        <v>93</v>
      </c>
      <c r="AM480" s="8">
        <v>2023.0</v>
      </c>
      <c r="AN480" s="14" t="s">
        <v>96</v>
      </c>
      <c r="AO480" s="8" t="s">
        <v>93</v>
      </c>
      <c r="AP480" s="8" t="s">
        <v>92</v>
      </c>
      <c r="AQ480" s="14" t="s">
        <v>92</v>
      </c>
      <c r="AR480" s="14" t="s">
        <v>92</v>
      </c>
      <c r="AS480" s="14" t="s">
        <v>92</v>
      </c>
      <c r="AT480" s="14" t="s">
        <v>93</v>
      </c>
      <c r="AU480" s="14" t="s">
        <v>93</v>
      </c>
      <c r="AV480" s="14" t="s">
        <v>93</v>
      </c>
      <c r="AW480" s="14" t="s">
        <v>93</v>
      </c>
      <c r="AX480" s="14" t="s">
        <v>93</v>
      </c>
      <c r="AY480" s="8" t="s">
        <v>95</v>
      </c>
      <c r="AZ480" s="8" t="s">
        <v>95</v>
      </c>
      <c r="BA480" s="9" t="s">
        <v>532</v>
      </c>
      <c r="BB480" s="8" t="s">
        <v>533</v>
      </c>
      <c r="BC480" s="8" t="s">
        <v>92</v>
      </c>
      <c r="BD480" s="14" t="s">
        <v>92</v>
      </c>
      <c r="BE480" s="14" t="s">
        <v>92</v>
      </c>
      <c r="BF480" s="14" t="s">
        <v>92</v>
      </c>
      <c r="BG480" s="14" t="s">
        <v>92</v>
      </c>
      <c r="BH480" s="14" t="s">
        <v>92</v>
      </c>
      <c r="BI480" s="14" t="s">
        <v>93</v>
      </c>
      <c r="BJ480" s="14" t="s">
        <v>92</v>
      </c>
      <c r="BK480" s="14" t="s">
        <v>95</v>
      </c>
      <c r="BL480" s="14" t="s">
        <v>93</v>
      </c>
      <c r="BM480" s="14" t="s">
        <v>93</v>
      </c>
      <c r="BN480" s="14" t="s">
        <v>93</v>
      </c>
      <c r="BO480" s="14" t="s">
        <v>93</v>
      </c>
      <c r="BP480" s="14" t="s">
        <v>93</v>
      </c>
      <c r="BQ480" s="8" t="s">
        <v>93</v>
      </c>
      <c r="BR480" s="8" t="s">
        <v>92</v>
      </c>
      <c r="BS480" s="8" t="s">
        <v>92</v>
      </c>
      <c r="BT480" s="8" t="s">
        <v>92</v>
      </c>
      <c r="BU480" s="8" t="s">
        <v>92</v>
      </c>
      <c r="BV480" s="8" t="s">
        <v>92</v>
      </c>
      <c r="BW480" s="8" t="s">
        <v>92</v>
      </c>
      <c r="BX480" s="8" t="s">
        <v>92</v>
      </c>
      <c r="BY480" s="8" t="s">
        <v>92</v>
      </c>
      <c r="BZ480" s="8" t="s">
        <v>92</v>
      </c>
      <c r="CA480" s="8" t="s">
        <v>92</v>
      </c>
      <c r="CB480" s="20" t="s">
        <v>2166</v>
      </c>
      <c r="CC480" s="20" t="s">
        <v>2167</v>
      </c>
      <c r="CD480" s="18"/>
      <c r="CE480" s="18"/>
      <c r="CF480" s="18"/>
      <c r="CG480" s="18"/>
      <c r="CH480" s="18"/>
    </row>
    <row r="481">
      <c r="A481" s="8"/>
      <c r="B481" s="9" t="s">
        <v>2160</v>
      </c>
      <c r="C481" s="10" t="s">
        <v>2161</v>
      </c>
      <c r="D481" s="9" t="s">
        <v>1670</v>
      </c>
      <c r="E481" s="11" t="s">
        <v>2176</v>
      </c>
      <c r="F481" s="25"/>
      <c r="G481" s="14" t="s">
        <v>2177</v>
      </c>
      <c r="H481" s="14" t="s">
        <v>90</v>
      </c>
      <c r="I481" s="14" t="s">
        <v>2178</v>
      </c>
      <c r="J481" s="14" t="s">
        <v>92</v>
      </c>
      <c r="K481" s="14" t="s">
        <v>92</v>
      </c>
      <c r="L481" s="14" t="s">
        <v>92</v>
      </c>
      <c r="M481" s="14" t="s">
        <v>92</v>
      </c>
      <c r="N481" s="14" t="s">
        <v>92</v>
      </c>
      <c r="O481" s="14" t="s">
        <v>92</v>
      </c>
      <c r="P481" s="14" t="s">
        <v>93</v>
      </c>
      <c r="Q481" s="14" t="s">
        <v>93</v>
      </c>
      <c r="R481" s="14" t="s">
        <v>92</v>
      </c>
      <c r="S481" s="14" t="s">
        <v>92</v>
      </c>
      <c r="T481" s="14" t="s">
        <v>92</v>
      </c>
      <c r="U481" s="14" t="s">
        <v>93</v>
      </c>
      <c r="V481" s="14" t="s">
        <v>92</v>
      </c>
      <c r="W481" s="14" t="s">
        <v>92</v>
      </c>
      <c r="X481" s="14" t="s">
        <v>92</v>
      </c>
      <c r="Y481" s="14" t="s">
        <v>92</v>
      </c>
      <c r="Z481" s="14" t="s">
        <v>92</v>
      </c>
      <c r="AA481" s="14" t="s">
        <v>92</v>
      </c>
      <c r="AB481" s="8" t="s">
        <v>93</v>
      </c>
      <c r="AC481" s="8" t="s">
        <v>92</v>
      </c>
      <c r="AD481" s="8" t="s">
        <v>92</v>
      </c>
      <c r="AE481" s="14" t="s">
        <v>94</v>
      </c>
      <c r="AF481" s="14" t="s">
        <v>92</v>
      </c>
      <c r="AG481" s="14" t="s">
        <v>95</v>
      </c>
      <c r="AH481" s="8">
        <v>2023.0</v>
      </c>
      <c r="AI481" s="14" t="s">
        <v>105</v>
      </c>
      <c r="AJ481" s="14" t="s">
        <v>105</v>
      </c>
      <c r="AK481" s="14" t="s">
        <v>92</v>
      </c>
      <c r="AL481" s="14" t="s">
        <v>93</v>
      </c>
      <c r="AM481" s="8">
        <v>2023.0</v>
      </c>
      <c r="AN481" s="14" t="s">
        <v>96</v>
      </c>
      <c r="AO481" s="8" t="s">
        <v>92</v>
      </c>
      <c r="AP481" s="8" t="s">
        <v>92</v>
      </c>
      <c r="AQ481" s="14" t="s">
        <v>92</v>
      </c>
      <c r="AR481" s="14" t="s">
        <v>92</v>
      </c>
      <c r="AS481" s="14" t="s">
        <v>92</v>
      </c>
      <c r="AT481" s="14" t="s">
        <v>93</v>
      </c>
      <c r="AU481" s="14" t="s">
        <v>93</v>
      </c>
      <c r="AV481" s="14" t="s">
        <v>93</v>
      </c>
      <c r="AW481" s="14" t="s">
        <v>93</v>
      </c>
      <c r="AX481" s="14" t="s">
        <v>93</v>
      </c>
      <c r="AY481" s="8" t="s">
        <v>95</v>
      </c>
      <c r="AZ481" s="8" t="s">
        <v>95</v>
      </c>
      <c r="BA481" s="9" t="s">
        <v>1860</v>
      </c>
      <c r="BB481" s="8" t="s">
        <v>143</v>
      </c>
      <c r="BC481" s="8" t="s">
        <v>92</v>
      </c>
      <c r="BD481" s="14" t="s">
        <v>92</v>
      </c>
      <c r="BE481" s="14" t="s">
        <v>92</v>
      </c>
      <c r="BF481" s="14" t="s">
        <v>92</v>
      </c>
      <c r="BG481" s="14" t="s">
        <v>92</v>
      </c>
      <c r="BH481" s="14" t="s">
        <v>92</v>
      </c>
      <c r="BI481" s="14" t="s">
        <v>93</v>
      </c>
      <c r="BJ481" s="14" t="s">
        <v>92</v>
      </c>
      <c r="BK481" s="14" t="s">
        <v>2179</v>
      </c>
      <c r="BL481" s="14" t="s">
        <v>92</v>
      </c>
      <c r="BM481" s="14" t="s">
        <v>93</v>
      </c>
      <c r="BN481" s="14" t="s">
        <v>92</v>
      </c>
      <c r="BO481" s="14" t="s">
        <v>93</v>
      </c>
      <c r="BP481" s="14" t="s">
        <v>92</v>
      </c>
      <c r="BQ481" s="8" t="s">
        <v>93</v>
      </c>
      <c r="BR481" s="8" t="s">
        <v>92</v>
      </c>
      <c r="BS481" s="8" t="s">
        <v>92</v>
      </c>
      <c r="BT481" s="8" t="s">
        <v>92</v>
      </c>
      <c r="BU481" s="8" t="s">
        <v>92</v>
      </c>
      <c r="BV481" s="8" t="s">
        <v>92</v>
      </c>
      <c r="BW481" s="8" t="s">
        <v>92</v>
      </c>
      <c r="BX481" s="8" t="s">
        <v>92</v>
      </c>
      <c r="BY481" s="8" t="s">
        <v>92</v>
      </c>
      <c r="BZ481" s="8" t="s">
        <v>92</v>
      </c>
      <c r="CA481" s="8" t="s">
        <v>92</v>
      </c>
      <c r="CB481" s="20" t="s">
        <v>2167</v>
      </c>
      <c r="CC481" s="17"/>
      <c r="CD481" s="18"/>
      <c r="CE481" s="18"/>
      <c r="CF481" s="18"/>
      <c r="CG481" s="18"/>
      <c r="CH481" s="18"/>
    </row>
    <row r="482">
      <c r="A482" s="8"/>
      <c r="B482" s="9" t="s">
        <v>2160</v>
      </c>
      <c r="C482" s="10" t="s">
        <v>2161</v>
      </c>
      <c r="D482" s="9" t="s">
        <v>1670</v>
      </c>
      <c r="E482" s="11" t="s">
        <v>2180</v>
      </c>
      <c r="F482" s="12"/>
      <c r="G482" s="14" t="s">
        <v>2181</v>
      </c>
      <c r="H482" s="14" t="s">
        <v>90</v>
      </c>
      <c r="I482" s="14" t="s">
        <v>2182</v>
      </c>
      <c r="J482" s="14" t="s">
        <v>92</v>
      </c>
      <c r="K482" s="14" t="s">
        <v>92</v>
      </c>
      <c r="L482" s="14" t="s">
        <v>92</v>
      </c>
      <c r="M482" s="14" t="s">
        <v>92</v>
      </c>
      <c r="N482" s="14" t="s">
        <v>92</v>
      </c>
      <c r="O482" s="14" t="s">
        <v>92</v>
      </c>
      <c r="P482" s="14" t="s">
        <v>92</v>
      </c>
      <c r="Q482" s="14" t="s">
        <v>93</v>
      </c>
      <c r="R482" s="14" t="s">
        <v>92</v>
      </c>
      <c r="S482" s="14" t="s">
        <v>92</v>
      </c>
      <c r="T482" s="14" t="s">
        <v>92</v>
      </c>
      <c r="U482" s="14" t="s">
        <v>93</v>
      </c>
      <c r="V482" s="14" t="s">
        <v>92</v>
      </c>
      <c r="W482" s="14" t="s">
        <v>92</v>
      </c>
      <c r="X482" s="14" t="s">
        <v>92</v>
      </c>
      <c r="Y482" s="14" t="s">
        <v>92</v>
      </c>
      <c r="Z482" s="14" t="s">
        <v>92</v>
      </c>
      <c r="AA482" s="14" t="s">
        <v>92</v>
      </c>
      <c r="AB482" s="8" t="s">
        <v>93</v>
      </c>
      <c r="AC482" s="8" t="s">
        <v>92</v>
      </c>
      <c r="AD482" s="8" t="s">
        <v>92</v>
      </c>
      <c r="AE482" s="14" t="s">
        <v>94</v>
      </c>
      <c r="AF482" s="14" t="s">
        <v>92</v>
      </c>
      <c r="AG482" s="14" t="s">
        <v>95</v>
      </c>
      <c r="AH482" s="8">
        <v>2023.0</v>
      </c>
      <c r="AI482" s="14" t="s">
        <v>105</v>
      </c>
      <c r="AJ482" s="14" t="s">
        <v>105</v>
      </c>
      <c r="AK482" s="14" t="s">
        <v>92</v>
      </c>
      <c r="AL482" s="14" t="s">
        <v>93</v>
      </c>
      <c r="AM482" s="8">
        <v>2023.0</v>
      </c>
      <c r="AN482" s="14" t="s">
        <v>96</v>
      </c>
      <c r="AO482" s="8" t="s">
        <v>92</v>
      </c>
      <c r="AP482" s="8" t="s">
        <v>92</v>
      </c>
      <c r="AQ482" s="14" t="s">
        <v>92</v>
      </c>
      <c r="AR482" s="14" t="s">
        <v>92</v>
      </c>
      <c r="AS482" s="14" t="s">
        <v>92</v>
      </c>
      <c r="AT482" s="14" t="s">
        <v>93</v>
      </c>
      <c r="AU482" s="14" t="s">
        <v>93</v>
      </c>
      <c r="AV482" s="14" t="s">
        <v>93</v>
      </c>
      <c r="AW482" s="14" t="s">
        <v>93</v>
      </c>
      <c r="AX482" s="14" t="s">
        <v>93</v>
      </c>
      <c r="AY482" s="8" t="s">
        <v>95</v>
      </c>
      <c r="AZ482" s="8" t="s">
        <v>95</v>
      </c>
      <c r="BA482" s="9" t="s">
        <v>2183</v>
      </c>
      <c r="BB482" s="8" t="s">
        <v>143</v>
      </c>
      <c r="BC482" s="8" t="s">
        <v>92</v>
      </c>
      <c r="BD482" s="14" t="s">
        <v>92</v>
      </c>
      <c r="BE482" s="14" t="s">
        <v>92</v>
      </c>
      <c r="BF482" s="14" t="s">
        <v>92</v>
      </c>
      <c r="BG482" s="14" t="s">
        <v>92</v>
      </c>
      <c r="BH482" s="14" t="s">
        <v>92</v>
      </c>
      <c r="BI482" s="14" t="s">
        <v>93</v>
      </c>
      <c r="BJ482" s="14" t="s">
        <v>92</v>
      </c>
      <c r="BK482" s="14" t="s">
        <v>349</v>
      </c>
      <c r="BL482" s="14" t="s">
        <v>92</v>
      </c>
      <c r="BM482" s="14" t="s">
        <v>93</v>
      </c>
      <c r="BN482" s="14" t="s">
        <v>92</v>
      </c>
      <c r="BO482" s="14" t="s">
        <v>92</v>
      </c>
      <c r="BP482" s="14" t="s">
        <v>92</v>
      </c>
      <c r="BQ482" s="8" t="s">
        <v>93</v>
      </c>
      <c r="BR482" s="8" t="s">
        <v>92</v>
      </c>
      <c r="BS482" s="8" t="s">
        <v>92</v>
      </c>
      <c r="BT482" s="8" t="s">
        <v>92</v>
      </c>
      <c r="BU482" s="8" t="s">
        <v>92</v>
      </c>
      <c r="BV482" s="8" t="s">
        <v>92</v>
      </c>
      <c r="BW482" s="8" t="s">
        <v>92</v>
      </c>
      <c r="BX482" s="8" t="s">
        <v>92</v>
      </c>
      <c r="BY482" s="8" t="s">
        <v>92</v>
      </c>
      <c r="BZ482" s="8" t="s">
        <v>92</v>
      </c>
      <c r="CA482" s="8" t="s">
        <v>92</v>
      </c>
      <c r="CB482" s="20" t="s">
        <v>2167</v>
      </c>
      <c r="CC482" s="17"/>
      <c r="CD482" s="18"/>
      <c r="CE482" s="18"/>
      <c r="CF482" s="18"/>
      <c r="CG482" s="18"/>
      <c r="CH482" s="18"/>
    </row>
    <row r="483">
      <c r="A483" s="8"/>
      <c r="B483" s="43" t="s">
        <v>2160</v>
      </c>
      <c r="C483" s="10" t="s">
        <v>2161</v>
      </c>
      <c r="D483" s="9" t="s">
        <v>1670</v>
      </c>
      <c r="E483" s="11" t="s">
        <v>2184</v>
      </c>
      <c r="F483" s="25"/>
      <c r="G483" s="14" t="s">
        <v>2185</v>
      </c>
      <c r="H483" s="14" t="s">
        <v>90</v>
      </c>
      <c r="I483" s="14" t="s">
        <v>2186</v>
      </c>
      <c r="J483" s="14" t="s">
        <v>92</v>
      </c>
      <c r="K483" s="14" t="s">
        <v>92</v>
      </c>
      <c r="L483" s="14" t="s">
        <v>92</v>
      </c>
      <c r="M483" s="14" t="s">
        <v>92</v>
      </c>
      <c r="N483" s="14" t="s">
        <v>92</v>
      </c>
      <c r="O483" s="14" t="s">
        <v>92</v>
      </c>
      <c r="P483" s="14" t="s">
        <v>93</v>
      </c>
      <c r="Q483" s="14" t="s">
        <v>93</v>
      </c>
      <c r="R483" s="14" t="s">
        <v>92</v>
      </c>
      <c r="S483" s="14" t="s">
        <v>92</v>
      </c>
      <c r="T483" s="14" t="s">
        <v>92</v>
      </c>
      <c r="U483" s="14" t="s">
        <v>93</v>
      </c>
      <c r="V483" s="14" t="s">
        <v>92</v>
      </c>
      <c r="W483" s="14" t="s">
        <v>92</v>
      </c>
      <c r="X483" s="14" t="s">
        <v>92</v>
      </c>
      <c r="Y483" s="14" t="s">
        <v>92</v>
      </c>
      <c r="Z483" s="14" t="s">
        <v>92</v>
      </c>
      <c r="AA483" s="14" t="s">
        <v>92</v>
      </c>
      <c r="AB483" s="8" t="s">
        <v>93</v>
      </c>
      <c r="AC483" s="8" t="s">
        <v>92</v>
      </c>
      <c r="AD483" s="8" t="s">
        <v>92</v>
      </c>
      <c r="AE483" s="14" t="s">
        <v>94</v>
      </c>
      <c r="AF483" s="14" t="s">
        <v>92</v>
      </c>
      <c r="AG483" s="14" t="s">
        <v>95</v>
      </c>
      <c r="AH483" s="8">
        <v>2023.0</v>
      </c>
      <c r="AI483" s="14" t="s">
        <v>105</v>
      </c>
      <c r="AJ483" s="14" t="s">
        <v>105</v>
      </c>
      <c r="AK483" s="14" t="s">
        <v>92</v>
      </c>
      <c r="AL483" s="14" t="s">
        <v>93</v>
      </c>
      <c r="AM483" s="8">
        <v>2023.0</v>
      </c>
      <c r="AN483" s="14" t="s">
        <v>96</v>
      </c>
      <c r="AO483" s="8" t="s">
        <v>92</v>
      </c>
      <c r="AP483" s="8" t="s">
        <v>92</v>
      </c>
      <c r="AQ483" s="14" t="s">
        <v>92</v>
      </c>
      <c r="AR483" s="14" t="s">
        <v>92</v>
      </c>
      <c r="AS483" s="14" t="s">
        <v>92</v>
      </c>
      <c r="AT483" s="14" t="s">
        <v>93</v>
      </c>
      <c r="AU483" s="14" t="s">
        <v>93</v>
      </c>
      <c r="AV483" s="14" t="s">
        <v>93</v>
      </c>
      <c r="AW483" s="14" t="s">
        <v>93</v>
      </c>
      <c r="AX483" s="14" t="s">
        <v>93</v>
      </c>
      <c r="AY483" s="8" t="s">
        <v>95</v>
      </c>
      <c r="AZ483" s="8" t="s">
        <v>95</v>
      </c>
      <c r="BA483" s="9" t="s">
        <v>2187</v>
      </c>
      <c r="BB483" s="8" t="s">
        <v>143</v>
      </c>
      <c r="BC483" s="8" t="s">
        <v>92</v>
      </c>
      <c r="BD483" s="14" t="s">
        <v>92</v>
      </c>
      <c r="BE483" s="14" t="s">
        <v>92</v>
      </c>
      <c r="BF483" s="14" t="s">
        <v>92</v>
      </c>
      <c r="BG483" s="14" t="s">
        <v>92</v>
      </c>
      <c r="BH483" s="14" t="s">
        <v>92</v>
      </c>
      <c r="BI483" s="14" t="s">
        <v>93</v>
      </c>
      <c r="BJ483" s="14" t="s">
        <v>92</v>
      </c>
      <c r="BK483" s="14" t="s">
        <v>2188</v>
      </c>
      <c r="BL483" s="14" t="s">
        <v>92</v>
      </c>
      <c r="BM483" s="14" t="s">
        <v>92</v>
      </c>
      <c r="BN483" s="14" t="s">
        <v>92</v>
      </c>
      <c r="BO483" s="14" t="s">
        <v>93</v>
      </c>
      <c r="BP483" s="14" t="s">
        <v>93</v>
      </c>
      <c r="BQ483" s="8" t="s">
        <v>93</v>
      </c>
      <c r="BR483" s="8" t="s">
        <v>92</v>
      </c>
      <c r="BS483" s="8" t="s">
        <v>92</v>
      </c>
      <c r="BT483" s="8" t="s">
        <v>92</v>
      </c>
      <c r="BU483" s="8" t="s">
        <v>92</v>
      </c>
      <c r="BV483" s="8" t="s">
        <v>92</v>
      </c>
      <c r="BW483" s="8" t="s">
        <v>92</v>
      </c>
      <c r="BX483" s="8" t="s">
        <v>92</v>
      </c>
      <c r="BY483" s="8" t="s">
        <v>92</v>
      </c>
      <c r="BZ483" s="8" t="s">
        <v>92</v>
      </c>
      <c r="CA483" s="8" t="s">
        <v>92</v>
      </c>
      <c r="CB483" s="20" t="s">
        <v>2167</v>
      </c>
      <c r="CC483" s="17"/>
      <c r="CD483" s="18"/>
      <c r="CE483" s="18"/>
      <c r="CF483" s="18"/>
      <c r="CG483" s="18"/>
      <c r="CH483" s="18"/>
    </row>
    <row r="484">
      <c r="A484" s="8"/>
      <c r="B484" s="9" t="s">
        <v>2160</v>
      </c>
      <c r="C484" s="10" t="s">
        <v>2161</v>
      </c>
      <c r="D484" s="9" t="s">
        <v>1670</v>
      </c>
      <c r="E484" s="11" t="s">
        <v>2189</v>
      </c>
      <c r="F484" s="12"/>
      <c r="G484" s="14" t="s">
        <v>2190</v>
      </c>
      <c r="H484" s="14" t="s">
        <v>90</v>
      </c>
      <c r="I484" s="14" t="s">
        <v>2191</v>
      </c>
      <c r="J484" s="14" t="s">
        <v>92</v>
      </c>
      <c r="K484" s="14" t="s">
        <v>92</v>
      </c>
      <c r="L484" s="14" t="s">
        <v>92</v>
      </c>
      <c r="M484" s="14" t="s">
        <v>93</v>
      </c>
      <c r="N484" s="14" t="s">
        <v>92</v>
      </c>
      <c r="O484" s="14" t="s">
        <v>92</v>
      </c>
      <c r="P484" s="14" t="s">
        <v>92</v>
      </c>
      <c r="Q484" s="14" t="s">
        <v>93</v>
      </c>
      <c r="R484" s="14" t="s">
        <v>92</v>
      </c>
      <c r="S484" s="14" t="s">
        <v>92</v>
      </c>
      <c r="T484" s="14" t="s">
        <v>92</v>
      </c>
      <c r="U484" s="14" t="s">
        <v>93</v>
      </c>
      <c r="V484" s="14" t="s">
        <v>92</v>
      </c>
      <c r="W484" s="14" t="s">
        <v>92</v>
      </c>
      <c r="X484" s="14" t="s">
        <v>92</v>
      </c>
      <c r="Y484" s="14" t="s">
        <v>92</v>
      </c>
      <c r="Z484" s="14" t="s">
        <v>92</v>
      </c>
      <c r="AA484" s="14" t="s">
        <v>92</v>
      </c>
      <c r="AB484" s="8" t="s">
        <v>93</v>
      </c>
      <c r="AC484" s="8" t="s">
        <v>92</v>
      </c>
      <c r="AD484" s="8" t="s">
        <v>92</v>
      </c>
      <c r="AE484" s="14" t="s">
        <v>94</v>
      </c>
      <c r="AF484" s="14" t="s">
        <v>92</v>
      </c>
      <c r="AG484" s="14" t="s">
        <v>95</v>
      </c>
      <c r="AH484" s="8">
        <v>2023.0</v>
      </c>
      <c r="AI484" s="14" t="s">
        <v>105</v>
      </c>
      <c r="AJ484" s="14" t="s">
        <v>105</v>
      </c>
      <c r="AK484" s="14" t="s">
        <v>92</v>
      </c>
      <c r="AL484" s="14" t="s">
        <v>93</v>
      </c>
      <c r="AM484" s="8">
        <v>2023.0</v>
      </c>
      <c r="AN484" s="14" t="s">
        <v>96</v>
      </c>
      <c r="AO484" s="8" t="s">
        <v>92</v>
      </c>
      <c r="AP484" s="8" t="s">
        <v>92</v>
      </c>
      <c r="AQ484" s="14" t="s">
        <v>92</v>
      </c>
      <c r="AR484" s="14" t="s">
        <v>92</v>
      </c>
      <c r="AS484" s="14" t="s">
        <v>92</v>
      </c>
      <c r="AT484" s="14" t="s">
        <v>93</v>
      </c>
      <c r="AU484" s="14" t="s">
        <v>93</v>
      </c>
      <c r="AV484" s="14" t="s">
        <v>93</v>
      </c>
      <c r="AW484" s="14" t="s">
        <v>93</v>
      </c>
      <c r="AX484" s="14" t="s">
        <v>93</v>
      </c>
      <c r="AY484" s="8" t="s">
        <v>95</v>
      </c>
      <c r="AZ484" s="8" t="s">
        <v>95</v>
      </c>
      <c r="BA484" s="9" t="s">
        <v>2192</v>
      </c>
      <c r="BB484" s="8" t="s">
        <v>143</v>
      </c>
      <c r="BC484" s="8" t="s">
        <v>92</v>
      </c>
      <c r="BD484" s="14" t="s">
        <v>92</v>
      </c>
      <c r="BE484" s="14" t="s">
        <v>92</v>
      </c>
      <c r="BF484" s="14" t="s">
        <v>92</v>
      </c>
      <c r="BG484" s="14" t="s">
        <v>92</v>
      </c>
      <c r="BH484" s="14" t="s">
        <v>92</v>
      </c>
      <c r="BI484" s="14" t="s">
        <v>93</v>
      </c>
      <c r="BJ484" s="14" t="s">
        <v>92</v>
      </c>
      <c r="BK484" s="14" t="s">
        <v>1751</v>
      </c>
      <c r="BL484" s="14" t="s">
        <v>92</v>
      </c>
      <c r="BM484" s="14" t="s">
        <v>92</v>
      </c>
      <c r="BN484" s="14" t="s">
        <v>92</v>
      </c>
      <c r="BO484" s="14" t="s">
        <v>93</v>
      </c>
      <c r="BP484" s="14" t="s">
        <v>92</v>
      </c>
      <c r="BQ484" s="8" t="s">
        <v>93</v>
      </c>
      <c r="BR484" s="8" t="s">
        <v>92</v>
      </c>
      <c r="BS484" s="8" t="s">
        <v>92</v>
      </c>
      <c r="BT484" s="8" t="s">
        <v>92</v>
      </c>
      <c r="BU484" s="8" t="s">
        <v>92</v>
      </c>
      <c r="BV484" s="8" t="s">
        <v>92</v>
      </c>
      <c r="BW484" s="8" t="s">
        <v>92</v>
      </c>
      <c r="BX484" s="8" t="s">
        <v>92</v>
      </c>
      <c r="BY484" s="8" t="s">
        <v>92</v>
      </c>
      <c r="BZ484" s="8" t="s">
        <v>92</v>
      </c>
      <c r="CA484" s="8" t="s">
        <v>92</v>
      </c>
      <c r="CB484" s="20" t="s">
        <v>2167</v>
      </c>
      <c r="CC484" s="17"/>
      <c r="CD484" s="18"/>
      <c r="CE484" s="18"/>
      <c r="CF484" s="18"/>
      <c r="CG484" s="18"/>
      <c r="CH484" s="18"/>
    </row>
    <row r="485">
      <c r="A485" s="8"/>
      <c r="B485" s="9" t="s">
        <v>2160</v>
      </c>
      <c r="C485" s="10" t="s">
        <v>2161</v>
      </c>
      <c r="D485" s="9" t="s">
        <v>1670</v>
      </c>
      <c r="E485" s="11" t="s">
        <v>2193</v>
      </c>
      <c r="F485" s="25"/>
      <c r="G485" s="14" t="s">
        <v>2194</v>
      </c>
      <c r="H485" s="14" t="s">
        <v>90</v>
      </c>
      <c r="I485" s="14" t="s">
        <v>2195</v>
      </c>
      <c r="J485" s="14" t="s">
        <v>92</v>
      </c>
      <c r="K485" s="14" t="s">
        <v>92</v>
      </c>
      <c r="L485" s="14" t="s">
        <v>92</v>
      </c>
      <c r="M485" s="14" t="s">
        <v>92</v>
      </c>
      <c r="N485" s="14" t="s">
        <v>92</v>
      </c>
      <c r="O485" s="14" t="s">
        <v>92</v>
      </c>
      <c r="P485" s="14" t="s">
        <v>92</v>
      </c>
      <c r="Q485" s="14" t="s">
        <v>92</v>
      </c>
      <c r="R485" s="14" t="s">
        <v>92</v>
      </c>
      <c r="S485" s="14" t="s">
        <v>92</v>
      </c>
      <c r="T485" s="14" t="s">
        <v>92</v>
      </c>
      <c r="U485" s="14" t="s">
        <v>93</v>
      </c>
      <c r="V485" s="14" t="s">
        <v>92</v>
      </c>
      <c r="W485" s="14" t="s">
        <v>92</v>
      </c>
      <c r="X485" s="14" t="s">
        <v>92</v>
      </c>
      <c r="Y485" s="14" t="s">
        <v>92</v>
      </c>
      <c r="Z485" s="14" t="s">
        <v>92</v>
      </c>
      <c r="AA485" s="14" t="s">
        <v>92</v>
      </c>
      <c r="AB485" s="8" t="s">
        <v>93</v>
      </c>
      <c r="AC485" s="8" t="s">
        <v>92</v>
      </c>
      <c r="AD485" s="8" t="s">
        <v>92</v>
      </c>
      <c r="AE485" s="14" t="s">
        <v>94</v>
      </c>
      <c r="AF485" s="14" t="s">
        <v>92</v>
      </c>
      <c r="AG485" s="14" t="s">
        <v>95</v>
      </c>
      <c r="AH485" s="8" t="s">
        <v>105</v>
      </c>
      <c r="AI485" s="14" t="s">
        <v>105</v>
      </c>
      <c r="AJ485" s="14" t="s">
        <v>105</v>
      </c>
      <c r="AK485" s="14" t="s">
        <v>92</v>
      </c>
      <c r="AL485" s="14" t="s">
        <v>93</v>
      </c>
      <c r="AM485" s="8" t="s">
        <v>105</v>
      </c>
      <c r="AN485" s="14" t="s">
        <v>105</v>
      </c>
      <c r="AO485" s="8" t="s">
        <v>105</v>
      </c>
      <c r="AP485" s="8" t="s">
        <v>92</v>
      </c>
      <c r="AQ485" s="14" t="s">
        <v>92</v>
      </c>
      <c r="AR485" s="14" t="s">
        <v>92</v>
      </c>
      <c r="AS485" s="14" t="s">
        <v>92</v>
      </c>
      <c r="AT485" s="14" t="s">
        <v>93</v>
      </c>
      <c r="AU485" s="14" t="s">
        <v>93</v>
      </c>
      <c r="AV485" s="14" t="s">
        <v>93</v>
      </c>
      <c r="AW485" s="14" t="s">
        <v>93</v>
      </c>
      <c r="AX485" s="14" t="s">
        <v>93</v>
      </c>
      <c r="AY485" s="8" t="s">
        <v>95</v>
      </c>
      <c r="AZ485" s="8" t="s">
        <v>95</v>
      </c>
      <c r="BA485" s="9" t="s">
        <v>2196</v>
      </c>
      <c r="BB485" s="8" t="s">
        <v>143</v>
      </c>
      <c r="BC485" s="8" t="s">
        <v>92</v>
      </c>
      <c r="BD485" s="14" t="s">
        <v>92</v>
      </c>
      <c r="BE485" s="14" t="s">
        <v>92</v>
      </c>
      <c r="BF485" s="14" t="s">
        <v>92</v>
      </c>
      <c r="BG485" s="14" t="s">
        <v>92</v>
      </c>
      <c r="BH485" s="14" t="s">
        <v>92</v>
      </c>
      <c r="BI485" s="14" t="s">
        <v>93</v>
      </c>
      <c r="BJ485" s="14" t="s">
        <v>92</v>
      </c>
      <c r="BK485" s="14" t="s">
        <v>2197</v>
      </c>
      <c r="BL485" s="14" t="s">
        <v>92</v>
      </c>
      <c r="BM485" s="14" t="s">
        <v>93</v>
      </c>
      <c r="BN485" s="14" t="s">
        <v>92</v>
      </c>
      <c r="BO485" s="14" t="s">
        <v>92</v>
      </c>
      <c r="BP485" s="14" t="s">
        <v>92</v>
      </c>
      <c r="BQ485" s="8" t="s">
        <v>93</v>
      </c>
      <c r="BR485" s="8" t="s">
        <v>92</v>
      </c>
      <c r="BS485" s="8" t="s">
        <v>92</v>
      </c>
      <c r="BT485" s="8" t="s">
        <v>92</v>
      </c>
      <c r="BU485" s="8" t="s">
        <v>92</v>
      </c>
      <c r="BV485" s="8" t="s">
        <v>92</v>
      </c>
      <c r="BW485" s="8" t="s">
        <v>92</v>
      </c>
      <c r="BX485" s="8" t="s">
        <v>92</v>
      </c>
      <c r="BY485" s="8" t="s">
        <v>92</v>
      </c>
      <c r="BZ485" s="8" t="s">
        <v>92</v>
      </c>
      <c r="CA485" s="8" t="s">
        <v>92</v>
      </c>
      <c r="CB485" s="20" t="s">
        <v>2167</v>
      </c>
      <c r="CC485" s="17"/>
      <c r="CD485" s="18"/>
      <c r="CE485" s="18"/>
      <c r="CF485" s="18"/>
      <c r="CG485" s="18"/>
      <c r="CH485" s="18"/>
    </row>
    <row r="486">
      <c r="A486" s="8"/>
      <c r="B486" s="9" t="s">
        <v>2160</v>
      </c>
      <c r="C486" s="10" t="s">
        <v>2161</v>
      </c>
      <c r="D486" s="9" t="s">
        <v>1670</v>
      </c>
      <c r="E486" s="11" t="s">
        <v>2198</v>
      </c>
      <c r="F486" s="12"/>
      <c r="G486" s="14" t="s">
        <v>2199</v>
      </c>
      <c r="H486" s="14" t="s">
        <v>90</v>
      </c>
      <c r="I486" s="14" t="s">
        <v>2200</v>
      </c>
      <c r="J486" s="14" t="s">
        <v>92</v>
      </c>
      <c r="K486" s="14" t="s">
        <v>92</v>
      </c>
      <c r="L486" s="14" t="s">
        <v>92</v>
      </c>
      <c r="M486" s="14" t="s">
        <v>92</v>
      </c>
      <c r="N486" s="14" t="s">
        <v>92</v>
      </c>
      <c r="O486" s="14" t="s">
        <v>92</v>
      </c>
      <c r="P486" s="14" t="s">
        <v>92</v>
      </c>
      <c r="Q486" s="14" t="s">
        <v>93</v>
      </c>
      <c r="R486" s="14" t="s">
        <v>92</v>
      </c>
      <c r="S486" s="14" t="s">
        <v>92</v>
      </c>
      <c r="T486" s="14" t="s">
        <v>92</v>
      </c>
      <c r="U486" s="14" t="s">
        <v>93</v>
      </c>
      <c r="V486" s="14" t="s">
        <v>92</v>
      </c>
      <c r="W486" s="14" t="s">
        <v>92</v>
      </c>
      <c r="X486" s="14" t="s">
        <v>92</v>
      </c>
      <c r="Y486" s="14" t="s">
        <v>92</v>
      </c>
      <c r="Z486" s="14" t="s">
        <v>92</v>
      </c>
      <c r="AA486" s="14" t="s">
        <v>92</v>
      </c>
      <c r="AB486" s="8" t="s">
        <v>93</v>
      </c>
      <c r="AC486" s="8" t="s">
        <v>92</v>
      </c>
      <c r="AD486" s="8" t="s">
        <v>92</v>
      </c>
      <c r="AE486" s="14" t="s">
        <v>94</v>
      </c>
      <c r="AF486" s="14" t="s">
        <v>92</v>
      </c>
      <c r="AG486" s="14" t="s">
        <v>95</v>
      </c>
      <c r="AH486" s="8">
        <v>2023.0</v>
      </c>
      <c r="AI486" s="14" t="s">
        <v>105</v>
      </c>
      <c r="AJ486" s="14" t="s">
        <v>105</v>
      </c>
      <c r="AK486" s="14" t="s">
        <v>92</v>
      </c>
      <c r="AL486" s="14" t="s">
        <v>93</v>
      </c>
      <c r="AM486" s="8">
        <v>2023.0</v>
      </c>
      <c r="AN486" s="14" t="s">
        <v>96</v>
      </c>
      <c r="AO486" s="8" t="s">
        <v>92</v>
      </c>
      <c r="AP486" s="8" t="s">
        <v>92</v>
      </c>
      <c r="AQ486" s="14" t="s">
        <v>92</v>
      </c>
      <c r="AR486" s="14" t="s">
        <v>92</v>
      </c>
      <c r="AS486" s="14" t="s">
        <v>92</v>
      </c>
      <c r="AT486" s="14" t="s">
        <v>93</v>
      </c>
      <c r="AU486" s="14" t="s">
        <v>93</v>
      </c>
      <c r="AV486" s="14" t="s">
        <v>93</v>
      </c>
      <c r="AW486" s="14" t="s">
        <v>93</v>
      </c>
      <c r="AX486" s="14" t="s">
        <v>93</v>
      </c>
      <c r="AY486" s="8" t="s">
        <v>95</v>
      </c>
      <c r="AZ486" s="8" t="s">
        <v>95</v>
      </c>
      <c r="BA486" s="9" t="s">
        <v>2201</v>
      </c>
      <c r="BB486" s="8" t="s">
        <v>105</v>
      </c>
      <c r="BC486" s="8" t="s">
        <v>92</v>
      </c>
      <c r="BD486" s="14" t="s">
        <v>92</v>
      </c>
      <c r="BE486" s="14" t="s">
        <v>92</v>
      </c>
      <c r="BF486" s="14" t="s">
        <v>92</v>
      </c>
      <c r="BG486" s="14" t="s">
        <v>92</v>
      </c>
      <c r="BH486" s="14" t="s">
        <v>92</v>
      </c>
      <c r="BI486" s="14" t="s">
        <v>93</v>
      </c>
      <c r="BJ486" s="14" t="s">
        <v>92</v>
      </c>
      <c r="BK486" s="14" t="s">
        <v>482</v>
      </c>
      <c r="BL486" s="14" t="s">
        <v>92</v>
      </c>
      <c r="BM486" s="14" t="s">
        <v>92</v>
      </c>
      <c r="BN486" s="14" t="s">
        <v>92</v>
      </c>
      <c r="BO486" s="14" t="s">
        <v>93</v>
      </c>
      <c r="BP486" s="14" t="s">
        <v>92</v>
      </c>
      <c r="BQ486" s="8" t="s">
        <v>93</v>
      </c>
      <c r="BR486" s="8" t="s">
        <v>92</v>
      </c>
      <c r="BS486" s="8" t="s">
        <v>92</v>
      </c>
      <c r="BT486" s="8" t="s">
        <v>92</v>
      </c>
      <c r="BU486" s="8" t="s">
        <v>92</v>
      </c>
      <c r="BV486" s="8" t="s">
        <v>92</v>
      </c>
      <c r="BW486" s="8" t="s">
        <v>92</v>
      </c>
      <c r="BX486" s="8" t="s">
        <v>92</v>
      </c>
      <c r="BY486" s="8" t="s">
        <v>92</v>
      </c>
      <c r="BZ486" s="8" t="s">
        <v>92</v>
      </c>
      <c r="CA486" s="8" t="s">
        <v>92</v>
      </c>
      <c r="CB486" s="20" t="s">
        <v>2167</v>
      </c>
      <c r="CC486" s="17"/>
      <c r="CD486" s="18"/>
      <c r="CE486" s="18"/>
      <c r="CF486" s="18"/>
      <c r="CG486" s="18"/>
      <c r="CH486" s="18"/>
    </row>
    <row r="487">
      <c r="A487" s="8"/>
      <c r="B487" s="9" t="s">
        <v>2160</v>
      </c>
      <c r="C487" s="10" t="s">
        <v>2161</v>
      </c>
      <c r="D487" s="9" t="s">
        <v>1670</v>
      </c>
      <c r="E487" s="11" t="s">
        <v>2202</v>
      </c>
      <c r="F487" s="12"/>
      <c r="G487" s="14" t="s">
        <v>2203</v>
      </c>
      <c r="H487" s="14" t="s">
        <v>90</v>
      </c>
      <c r="I487" s="14" t="s">
        <v>2204</v>
      </c>
      <c r="J487" s="14" t="s">
        <v>92</v>
      </c>
      <c r="K487" s="14" t="s">
        <v>92</v>
      </c>
      <c r="L487" s="14" t="s">
        <v>92</v>
      </c>
      <c r="M487" s="14" t="s">
        <v>92</v>
      </c>
      <c r="N487" s="14" t="s">
        <v>92</v>
      </c>
      <c r="O487" s="14" t="s">
        <v>92</v>
      </c>
      <c r="P487" s="14" t="s">
        <v>93</v>
      </c>
      <c r="Q487" s="14" t="s">
        <v>93</v>
      </c>
      <c r="R487" s="14" t="s">
        <v>93</v>
      </c>
      <c r="S487" s="14" t="s">
        <v>92</v>
      </c>
      <c r="T487" s="14" t="s">
        <v>92</v>
      </c>
      <c r="U487" s="14" t="s">
        <v>93</v>
      </c>
      <c r="V487" s="14" t="s">
        <v>92</v>
      </c>
      <c r="W487" s="14" t="s">
        <v>92</v>
      </c>
      <c r="X487" s="14" t="s">
        <v>92</v>
      </c>
      <c r="Y487" s="14" t="s">
        <v>92</v>
      </c>
      <c r="Z487" s="14" t="s">
        <v>92</v>
      </c>
      <c r="AA487" s="14" t="s">
        <v>92</v>
      </c>
      <c r="AB487" s="8" t="s">
        <v>93</v>
      </c>
      <c r="AC487" s="8" t="s">
        <v>92</v>
      </c>
      <c r="AD487" s="8" t="s">
        <v>92</v>
      </c>
      <c r="AE487" s="14" t="s">
        <v>94</v>
      </c>
      <c r="AF487" s="14" t="s">
        <v>92</v>
      </c>
      <c r="AG487" s="14" t="s">
        <v>95</v>
      </c>
      <c r="AH487" s="8">
        <v>2023.0</v>
      </c>
      <c r="AI487" s="14" t="s">
        <v>105</v>
      </c>
      <c r="AJ487" s="14" t="s">
        <v>105</v>
      </c>
      <c r="AK487" s="14" t="s">
        <v>92</v>
      </c>
      <c r="AL487" s="14" t="s">
        <v>93</v>
      </c>
      <c r="AM487" s="8">
        <v>2023.0</v>
      </c>
      <c r="AN487" s="14" t="s">
        <v>96</v>
      </c>
      <c r="AO487" s="8" t="s">
        <v>92</v>
      </c>
      <c r="AP487" s="8" t="s">
        <v>92</v>
      </c>
      <c r="AQ487" s="14" t="s">
        <v>92</v>
      </c>
      <c r="AR487" s="14" t="s">
        <v>92</v>
      </c>
      <c r="AS487" s="14" t="s">
        <v>92</v>
      </c>
      <c r="AT487" s="14" t="s">
        <v>93</v>
      </c>
      <c r="AU487" s="14" t="s">
        <v>93</v>
      </c>
      <c r="AV487" s="14" t="s">
        <v>93</v>
      </c>
      <c r="AW487" s="14" t="s">
        <v>93</v>
      </c>
      <c r="AX487" s="14" t="s">
        <v>93</v>
      </c>
      <c r="AY487" s="8" t="s">
        <v>95</v>
      </c>
      <c r="AZ487" s="8" t="s">
        <v>95</v>
      </c>
      <c r="BA487" s="9" t="s">
        <v>2205</v>
      </c>
      <c r="BB487" s="8" t="s">
        <v>143</v>
      </c>
      <c r="BC487" s="8" t="s">
        <v>92</v>
      </c>
      <c r="BD487" s="14" t="s">
        <v>92</v>
      </c>
      <c r="BE487" s="14" t="s">
        <v>92</v>
      </c>
      <c r="BF487" s="14" t="s">
        <v>92</v>
      </c>
      <c r="BG487" s="14" t="s">
        <v>92</v>
      </c>
      <c r="BH487" s="14" t="s">
        <v>92</v>
      </c>
      <c r="BI487" s="14" t="s">
        <v>93</v>
      </c>
      <c r="BJ487" s="14" t="s">
        <v>92</v>
      </c>
      <c r="BK487" s="14" t="s">
        <v>1199</v>
      </c>
      <c r="BL487" s="14" t="s">
        <v>92</v>
      </c>
      <c r="BM487" s="14" t="s">
        <v>93</v>
      </c>
      <c r="BN487" s="14" t="s">
        <v>92</v>
      </c>
      <c r="BO487" s="14" t="s">
        <v>92</v>
      </c>
      <c r="BP487" s="14" t="s">
        <v>92</v>
      </c>
      <c r="BQ487" s="8" t="s">
        <v>93</v>
      </c>
      <c r="BR487" s="8" t="s">
        <v>92</v>
      </c>
      <c r="BS487" s="8" t="s">
        <v>92</v>
      </c>
      <c r="BT487" s="8" t="s">
        <v>92</v>
      </c>
      <c r="BU487" s="8" t="s">
        <v>92</v>
      </c>
      <c r="BV487" s="8" t="s">
        <v>92</v>
      </c>
      <c r="BW487" s="8" t="s">
        <v>92</v>
      </c>
      <c r="BX487" s="8" t="s">
        <v>92</v>
      </c>
      <c r="BY487" s="8" t="s">
        <v>92</v>
      </c>
      <c r="BZ487" s="8" t="s">
        <v>92</v>
      </c>
      <c r="CA487" s="8" t="s">
        <v>92</v>
      </c>
      <c r="CB487" s="20" t="s">
        <v>2167</v>
      </c>
      <c r="CC487" s="17"/>
      <c r="CD487" s="18"/>
      <c r="CE487" s="18"/>
      <c r="CF487" s="18"/>
      <c r="CG487" s="18"/>
      <c r="CH487" s="18"/>
    </row>
    <row r="488">
      <c r="A488" s="8"/>
      <c r="B488" s="9" t="s">
        <v>2160</v>
      </c>
      <c r="C488" s="10" t="s">
        <v>2161</v>
      </c>
      <c r="D488" s="9" t="s">
        <v>1670</v>
      </c>
      <c r="E488" s="11" t="s">
        <v>2206</v>
      </c>
      <c r="F488" s="12"/>
      <c r="G488" s="14" t="s">
        <v>2207</v>
      </c>
      <c r="H488" s="14" t="s">
        <v>90</v>
      </c>
      <c r="I488" s="14" t="s">
        <v>2208</v>
      </c>
      <c r="J488" s="14" t="s">
        <v>92</v>
      </c>
      <c r="K488" s="14" t="s">
        <v>92</v>
      </c>
      <c r="L488" s="14" t="s">
        <v>92</v>
      </c>
      <c r="M488" s="14" t="s">
        <v>92</v>
      </c>
      <c r="N488" s="14" t="s">
        <v>92</v>
      </c>
      <c r="O488" s="14" t="s">
        <v>92</v>
      </c>
      <c r="P488" s="14" t="s">
        <v>92</v>
      </c>
      <c r="Q488" s="14" t="s">
        <v>92</v>
      </c>
      <c r="R488" s="14" t="s">
        <v>92</v>
      </c>
      <c r="S488" s="14" t="s">
        <v>92</v>
      </c>
      <c r="T488" s="14" t="s">
        <v>92</v>
      </c>
      <c r="U488" s="14" t="s">
        <v>92</v>
      </c>
      <c r="V488" s="14" t="s">
        <v>92</v>
      </c>
      <c r="W488" s="14" t="s">
        <v>92</v>
      </c>
      <c r="X488" s="14" t="s">
        <v>92</v>
      </c>
      <c r="Y488" s="14" t="s">
        <v>92</v>
      </c>
      <c r="Z488" s="14" t="s">
        <v>93</v>
      </c>
      <c r="AA488" s="14" t="s">
        <v>92</v>
      </c>
      <c r="AB488" s="8" t="s">
        <v>92</v>
      </c>
      <c r="AC488" s="8" t="s">
        <v>93</v>
      </c>
      <c r="AD488" s="8" t="s">
        <v>92</v>
      </c>
      <c r="AE488" s="14" t="s">
        <v>112</v>
      </c>
      <c r="AF488" s="14" t="s">
        <v>92</v>
      </c>
      <c r="AG488" s="14" t="s">
        <v>95</v>
      </c>
      <c r="AH488" s="8" t="s">
        <v>105</v>
      </c>
      <c r="AI488" s="14" t="s">
        <v>105</v>
      </c>
      <c r="AJ488" s="14" t="s">
        <v>105</v>
      </c>
      <c r="AK488" s="14" t="s">
        <v>93</v>
      </c>
      <c r="AL488" s="14" t="s">
        <v>93</v>
      </c>
      <c r="AM488" s="8" t="s">
        <v>95</v>
      </c>
      <c r="AN488" s="14" t="s">
        <v>114</v>
      </c>
      <c r="AO488" s="8" t="s">
        <v>93</v>
      </c>
      <c r="AP488" s="8" t="s">
        <v>92</v>
      </c>
      <c r="AQ488" s="14" t="s">
        <v>92</v>
      </c>
      <c r="AR488" s="14" t="s">
        <v>92</v>
      </c>
      <c r="AS488" s="14" t="s">
        <v>92</v>
      </c>
      <c r="AT488" s="14" t="s">
        <v>93</v>
      </c>
      <c r="AU488" s="14" t="s">
        <v>93</v>
      </c>
      <c r="AV488" s="14" t="s">
        <v>93</v>
      </c>
      <c r="AW488" s="14" t="s">
        <v>93</v>
      </c>
      <c r="AX488" s="14" t="s">
        <v>93</v>
      </c>
      <c r="AY488" s="8" t="s">
        <v>95</v>
      </c>
      <c r="AZ488" s="8" t="s">
        <v>95</v>
      </c>
      <c r="BA488" s="9" t="s">
        <v>2209</v>
      </c>
      <c r="BB488" s="8" t="s">
        <v>95</v>
      </c>
      <c r="BC488" s="8" t="s">
        <v>93</v>
      </c>
      <c r="BD488" s="14" t="s">
        <v>93</v>
      </c>
      <c r="BE488" s="14" t="s">
        <v>92</v>
      </c>
      <c r="BF488" s="14" t="s">
        <v>92</v>
      </c>
      <c r="BG488" s="14" t="s">
        <v>92</v>
      </c>
      <c r="BH488" s="14" t="s">
        <v>92</v>
      </c>
      <c r="BI488" s="14" t="s">
        <v>92</v>
      </c>
      <c r="BJ488" s="14" t="s">
        <v>92</v>
      </c>
      <c r="BK488" s="14" t="s">
        <v>367</v>
      </c>
      <c r="BL488" s="14" t="s">
        <v>92</v>
      </c>
      <c r="BM488" s="14" t="s">
        <v>93</v>
      </c>
      <c r="BN488" s="14" t="s">
        <v>92</v>
      </c>
      <c r="BO488" s="14" t="s">
        <v>92</v>
      </c>
      <c r="BP488" s="14" t="s">
        <v>92</v>
      </c>
      <c r="BQ488" s="8" t="s">
        <v>92</v>
      </c>
      <c r="BR488" s="8" t="s">
        <v>92</v>
      </c>
      <c r="BS488" s="8" t="s">
        <v>92</v>
      </c>
      <c r="BT488" s="8" t="s">
        <v>93</v>
      </c>
      <c r="BU488" s="8" t="s">
        <v>92</v>
      </c>
      <c r="BV488" s="8" t="s">
        <v>92</v>
      </c>
      <c r="BW488" s="8" t="s">
        <v>92</v>
      </c>
      <c r="BX488" s="8" t="s">
        <v>92</v>
      </c>
      <c r="BY488" s="8" t="s">
        <v>92</v>
      </c>
      <c r="BZ488" s="8" t="s">
        <v>92</v>
      </c>
      <c r="CA488" s="8" t="s">
        <v>92</v>
      </c>
      <c r="CB488" s="20" t="s">
        <v>2166</v>
      </c>
      <c r="CC488" s="20" t="s">
        <v>2167</v>
      </c>
      <c r="CD488" s="18"/>
      <c r="CE488" s="18"/>
      <c r="CF488" s="18"/>
      <c r="CG488" s="18"/>
      <c r="CH488" s="18"/>
    </row>
    <row r="489">
      <c r="A489" s="8"/>
      <c r="B489" s="9" t="s">
        <v>2210</v>
      </c>
      <c r="C489" s="10" t="s">
        <v>2211</v>
      </c>
      <c r="D489" s="9" t="s">
        <v>1670</v>
      </c>
      <c r="E489" s="11" t="s">
        <v>2212</v>
      </c>
      <c r="F489" s="12"/>
      <c r="G489" s="14" t="s">
        <v>2213</v>
      </c>
      <c r="H489" s="14" t="s">
        <v>90</v>
      </c>
      <c r="I489" s="14" t="s">
        <v>2214</v>
      </c>
      <c r="J489" s="14" t="s">
        <v>92</v>
      </c>
      <c r="K489" s="14" t="s">
        <v>92</v>
      </c>
      <c r="L489" s="14" t="s">
        <v>92</v>
      </c>
      <c r="M489" s="14" t="s">
        <v>92</v>
      </c>
      <c r="N489" s="14" t="s">
        <v>92</v>
      </c>
      <c r="O489" s="14" t="s">
        <v>92</v>
      </c>
      <c r="P489" s="14" t="s">
        <v>92</v>
      </c>
      <c r="Q489" s="14" t="s">
        <v>92</v>
      </c>
      <c r="R489" s="14" t="s">
        <v>92</v>
      </c>
      <c r="S489" s="14" t="s">
        <v>93</v>
      </c>
      <c r="T489" s="14" t="s">
        <v>92</v>
      </c>
      <c r="U489" s="14" t="s">
        <v>92</v>
      </c>
      <c r="V489" s="14" t="s">
        <v>92</v>
      </c>
      <c r="W489" s="14" t="s">
        <v>92</v>
      </c>
      <c r="X489" s="14" t="s">
        <v>92</v>
      </c>
      <c r="Y489" s="14" t="s">
        <v>92</v>
      </c>
      <c r="Z489" s="14" t="s">
        <v>93</v>
      </c>
      <c r="AA489" s="14" t="s">
        <v>92</v>
      </c>
      <c r="AB489" s="8" t="s">
        <v>92</v>
      </c>
      <c r="AC489" s="8" t="s">
        <v>93</v>
      </c>
      <c r="AD489" s="8" t="s">
        <v>92</v>
      </c>
      <c r="AE489" s="14" t="s">
        <v>112</v>
      </c>
      <c r="AF489" s="14" t="s">
        <v>92</v>
      </c>
      <c r="AG489" s="14" t="s">
        <v>95</v>
      </c>
      <c r="AH489" s="8" t="s">
        <v>105</v>
      </c>
      <c r="AI489" s="14" t="s">
        <v>92</v>
      </c>
      <c r="AJ489" s="14" t="s">
        <v>92</v>
      </c>
      <c r="AK489" s="14" t="s">
        <v>92</v>
      </c>
      <c r="AL489" s="14" t="s">
        <v>93</v>
      </c>
      <c r="AM489" s="8" t="s">
        <v>95</v>
      </c>
      <c r="AN489" s="14" t="s">
        <v>114</v>
      </c>
      <c r="AO489" s="8" t="s">
        <v>92</v>
      </c>
      <c r="AP489" s="8" t="s">
        <v>92</v>
      </c>
      <c r="AQ489" s="14" t="s">
        <v>92</v>
      </c>
      <c r="AR489" s="14" t="s">
        <v>92</v>
      </c>
      <c r="AS489" s="14" t="s">
        <v>93</v>
      </c>
      <c r="AT489" s="14" t="s">
        <v>93</v>
      </c>
      <c r="AU489" s="14" t="s">
        <v>93</v>
      </c>
      <c r="AV489" s="14" t="s">
        <v>93</v>
      </c>
      <c r="AW489" s="14" t="s">
        <v>93</v>
      </c>
      <c r="AX489" s="14" t="s">
        <v>92</v>
      </c>
      <c r="AY489" s="8" t="s">
        <v>95</v>
      </c>
      <c r="AZ489" s="8" t="s">
        <v>95</v>
      </c>
      <c r="BA489" s="9" t="s">
        <v>2215</v>
      </c>
      <c r="BB489" s="8" t="s">
        <v>95</v>
      </c>
      <c r="BC489" s="8" t="s">
        <v>93</v>
      </c>
      <c r="BD489" s="14" t="s">
        <v>93</v>
      </c>
      <c r="BE489" s="14" t="s">
        <v>92</v>
      </c>
      <c r="BF489" s="14" t="s">
        <v>92</v>
      </c>
      <c r="BG489" s="14" t="s">
        <v>92</v>
      </c>
      <c r="BH489" s="14" t="s">
        <v>92</v>
      </c>
      <c r="BI489" s="14" t="s">
        <v>92</v>
      </c>
      <c r="BJ489" s="14" t="s">
        <v>92</v>
      </c>
      <c r="BK489" s="14" t="s">
        <v>105</v>
      </c>
      <c r="BL489" s="14" t="s">
        <v>105</v>
      </c>
      <c r="BM489" s="14" t="s">
        <v>105</v>
      </c>
      <c r="BN489" s="14" t="s">
        <v>105</v>
      </c>
      <c r="BO489" s="14" t="s">
        <v>105</v>
      </c>
      <c r="BP489" s="14" t="s">
        <v>105</v>
      </c>
      <c r="BQ489" s="8" t="s">
        <v>92</v>
      </c>
      <c r="BR489" s="8" t="s">
        <v>92</v>
      </c>
      <c r="BS489" s="8" t="s">
        <v>92</v>
      </c>
      <c r="BT489" s="8" t="s">
        <v>93</v>
      </c>
      <c r="BU489" s="8" t="s">
        <v>93</v>
      </c>
      <c r="BV489" s="8" t="s">
        <v>92</v>
      </c>
      <c r="BW489" s="8" t="s">
        <v>92</v>
      </c>
      <c r="BX489" s="8" t="s">
        <v>92</v>
      </c>
      <c r="BY489" s="8" t="s">
        <v>92</v>
      </c>
      <c r="BZ489" s="8" t="s">
        <v>92</v>
      </c>
      <c r="CA489" s="8" t="s">
        <v>93</v>
      </c>
      <c r="CB489" s="20" t="s">
        <v>2216</v>
      </c>
      <c r="CC489" s="17"/>
      <c r="CD489" s="18"/>
      <c r="CE489" s="18"/>
      <c r="CF489" s="18"/>
      <c r="CG489" s="18"/>
      <c r="CH489" s="18"/>
    </row>
    <row r="490">
      <c r="A490" s="8"/>
      <c r="B490" s="9" t="s">
        <v>2210</v>
      </c>
      <c r="C490" s="10" t="s">
        <v>2211</v>
      </c>
      <c r="D490" s="9" t="s">
        <v>1670</v>
      </c>
      <c r="E490" s="11" t="s">
        <v>2217</v>
      </c>
      <c r="F490" s="25"/>
      <c r="G490" s="14" t="s">
        <v>94</v>
      </c>
      <c r="H490" s="14" t="s">
        <v>90</v>
      </c>
      <c r="I490" s="14" t="s">
        <v>2218</v>
      </c>
      <c r="J490" s="14" t="s">
        <v>92</v>
      </c>
      <c r="K490" s="14" t="s">
        <v>92</v>
      </c>
      <c r="L490" s="14" t="s">
        <v>92</v>
      </c>
      <c r="M490" s="14" t="s">
        <v>93</v>
      </c>
      <c r="N490" s="14" t="s">
        <v>92</v>
      </c>
      <c r="O490" s="14" t="s">
        <v>92</v>
      </c>
      <c r="P490" s="14" t="s">
        <v>92</v>
      </c>
      <c r="Q490" s="14" t="s">
        <v>93</v>
      </c>
      <c r="R490" s="14" t="s">
        <v>92</v>
      </c>
      <c r="S490" s="14" t="s">
        <v>92</v>
      </c>
      <c r="T490" s="14" t="s">
        <v>92</v>
      </c>
      <c r="U490" s="14" t="s">
        <v>93</v>
      </c>
      <c r="V490" s="14" t="s">
        <v>92</v>
      </c>
      <c r="W490" s="14" t="s">
        <v>92</v>
      </c>
      <c r="X490" s="14" t="s">
        <v>92</v>
      </c>
      <c r="Y490" s="14" t="s">
        <v>92</v>
      </c>
      <c r="Z490" s="14" t="s">
        <v>92</v>
      </c>
      <c r="AA490" s="14" t="s">
        <v>92</v>
      </c>
      <c r="AB490" s="8" t="s">
        <v>93</v>
      </c>
      <c r="AC490" s="8" t="s">
        <v>92</v>
      </c>
      <c r="AD490" s="8" t="s">
        <v>92</v>
      </c>
      <c r="AE490" s="14" t="s">
        <v>94</v>
      </c>
      <c r="AF490" s="14" t="s">
        <v>92</v>
      </c>
      <c r="AG490" s="14" t="s">
        <v>95</v>
      </c>
      <c r="AH490" s="8">
        <v>2020.0</v>
      </c>
      <c r="AI490" s="14" t="s">
        <v>93</v>
      </c>
      <c r="AJ490" s="14" t="s">
        <v>92</v>
      </c>
      <c r="AK490" s="14" t="s">
        <v>92</v>
      </c>
      <c r="AL490" s="14" t="s">
        <v>92</v>
      </c>
      <c r="AM490" s="8">
        <v>2020.0</v>
      </c>
      <c r="AN490" s="14" t="s">
        <v>96</v>
      </c>
      <c r="AO490" s="8" t="s">
        <v>92</v>
      </c>
      <c r="AP490" s="8" t="s">
        <v>93</v>
      </c>
      <c r="AQ490" s="14" t="s">
        <v>92</v>
      </c>
      <c r="AR490" s="14" t="s">
        <v>92</v>
      </c>
      <c r="AS490" s="14" t="s">
        <v>93</v>
      </c>
      <c r="AT490" s="14" t="s">
        <v>93</v>
      </c>
      <c r="AU490" s="14" t="s">
        <v>93</v>
      </c>
      <c r="AV490" s="14" t="s">
        <v>93</v>
      </c>
      <c r="AW490" s="14" t="s">
        <v>93</v>
      </c>
      <c r="AX490" s="14" t="s">
        <v>92</v>
      </c>
      <c r="AY490" s="8" t="s">
        <v>2219</v>
      </c>
      <c r="AZ490" s="8" t="s">
        <v>93</v>
      </c>
      <c r="BA490" s="9" t="s">
        <v>2220</v>
      </c>
      <c r="BB490" s="8" t="s">
        <v>95</v>
      </c>
      <c r="BC490" s="8" t="s">
        <v>93</v>
      </c>
      <c r="BD490" s="14" t="s">
        <v>92</v>
      </c>
      <c r="BE490" s="14" t="s">
        <v>92</v>
      </c>
      <c r="BF490" s="14" t="s">
        <v>92</v>
      </c>
      <c r="BG490" s="14" t="s">
        <v>92</v>
      </c>
      <c r="BH490" s="14" t="s">
        <v>92</v>
      </c>
      <c r="BI490" s="14" t="s">
        <v>93</v>
      </c>
      <c r="BJ490" s="14" t="s">
        <v>92</v>
      </c>
      <c r="BK490" s="14" t="s">
        <v>1728</v>
      </c>
      <c r="BL490" s="14" t="s">
        <v>92</v>
      </c>
      <c r="BM490" s="14" t="s">
        <v>92</v>
      </c>
      <c r="BN490" s="14" t="s">
        <v>92</v>
      </c>
      <c r="BO490" s="14" t="s">
        <v>93</v>
      </c>
      <c r="BP490" s="14" t="s">
        <v>92</v>
      </c>
      <c r="BQ490" s="8" t="s">
        <v>93</v>
      </c>
      <c r="BR490" s="8" t="s">
        <v>92</v>
      </c>
      <c r="BS490" s="8" t="s">
        <v>92</v>
      </c>
      <c r="BT490" s="8" t="s">
        <v>92</v>
      </c>
      <c r="BU490" s="8" t="s">
        <v>92</v>
      </c>
      <c r="BV490" s="8" t="s">
        <v>92</v>
      </c>
      <c r="BW490" s="8" t="s">
        <v>92</v>
      </c>
      <c r="BX490" s="8" t="s">
        <v>92</v>
      </c>
      <c r="BY490" s="8" t="s">
        <v>92</v>
      </c>
      <c r="BZ490" s="8" t="s">
        <v>92</v>
      </c>
      <c r="CA490" s="8" t="s">
        <v>92</v>
      </c>
      <c r="CB490" s="20" t="s">
        <v>454</v>
      </c>
      <c r="CC490" s="17"/>
      <c r="CD490" s="18"/>
      <c r="CE490" s="18"/>
      <c r="CF490" s="18"/>
      <c r="CG490" s="18"/>
      <c r="CH490" s="18"/>
    </row>
    <row r="491">
      <c r="A491" s="8"/>
      <c r="B491" s="9" t="s">
        <v>2210</v>
      </c>
      <c r="C491" s="10" t="s">
        <v>2211</v>
      </c>
      <c r="D491" s="9" t="s">
        <v>1670</v>
      </c>
      <c r="E491" s="11" t="s">
        <v>2221</v>
      </c>
      <c r="F491" s="12"/>
      <c r="G491" s="14" t="s">
        <v>2222</v>
      </c>
      <c r="H491" s="14" t="s">
        <v>110</v>
      </c>
      <c r="I491" s="14" t="s">
        <v>2223</v>
      </c>
      <c r="J491" s="14" t="s">
        <v>93</v>
      </c>
      <c r="K491" s="14" t="s">
        <v>92</v>
      </c>
      <c r="L491" s="14" t="s">
        <v>93</v>
      </c>
      <c r="M491" s="14" t="s">
        <v>92</v>
      </c>
      <c r="N491" s="14" t="s">
        <v>92</v>
      </c>
      <c r="O491" s="14" t="s">
        <v>92</v>
      </c>
      <c r="P491" s="14" t="s">
        <v>92</v>
      </c>
      <c r="Q491" s="14" t="s">
        <v>92</v>
      </c>
      <c r="R491" s="14" t="s">
        <v>92</v>
      </c>
      <c r="S491" s="14" t="s">
        <v>93</v>
      </c>
      <c r="T491" s="14" t="s">
        <v>92</v>
      </c>
      <c r="U491" s="14" t="s">
        <v>92</v>
      </c>
      <c r="V491" s="14" t="s">
        <v>92</v>
      </c>
      <c r="W491" s="14" t="s">
        <v>92</v>
      </c>
      <c r="X491" s="14" t="s">
        <v>92</v>
      </c>
      <c r="Y491" s="14" t="s">
        <v>92</v>
      </c>
      <c r="Z491" s="14" t="s">
        <v>93</v>
      </c>
      <c r="AA491" s="14" t="s">
        <v>92</v>
      </c>
      <c r="AB491" s="8" t="s">
        <v>93</v>
      </c>
      <c r="AC491" s="8" t="s">
        <v>93</v>
      </c>
      <c r="AD491" s="8" t="s">
        <v>93</v>
      </c>
      <c r="AE491" s="14" t="s">
        <v>112</v>
      </c>
      <c r="AF491" s="14" t="s">
        <v>92</v>
      </c>
      <c r="AG491" s="14" t="s">
        <v>95</v>
      </c>
      <c r="AH491" s="8">
        <v>2020.0</v>
      </c>
      <c r="AI491" s="14" t="s">
        <v>93</v>
      </c>
      <c r="AJ491" s="14" t="s">
        <v>93</v>
      </c>
      <c r="AK491" s="14" t="s">
        <v>93</v>
      </c>
      <c r="AL491" s="14" t="s">
        <v>93</v>
      </c>
      <c r="AM491" s="8" t="s">
        <v>95</v>
      </c>
      <c r="AN491" s="14" t="s">
        <v>114</v>
      </c>
      <c r="AO491" s="8" t="s">
        <v>93</v>
      </c>
      <c r="AP491" s="8" t="s">
        <v>92</v>
      </c>
      <c r="AQ491" s="14" t="s">
        <v>92</v>
      </c>
      <c r="AR491" s="14" t="s">
        <v>92</v>
      </c>
      <c r="AS491" s="14" t="s">
        <v>93</v>
      </c>
      <c r="AT491" s="14" t="s">
        <v>93</v>
      </c>
      <c r="AU491" s="14" t="s">
        <v>93</v>
      </c>
      <c r="AV491" s="14" t="s">
        <v>93</v>
      </c>
      <c r="AW491" s="14" t="s">
        <v>93</v>
      </c>
      <c r="AX491" s="14" t="s">
        <v>92</v>
      </c>
      <c r="AY491" s="8" t="s">
        <v>95</v>
      </c>
      <c r="AZ491" s="8" t="s">
        <v>95</v>
      </c>
      <c r="BA491" s="9" t="s">
        <v>2210</v>
      </c>
      <c r="BB491" s="8" t="s">
        <v>97</v>
      </c>
      <c r="BC491" s="8" t="s">
        <v>92</v>
      </c>
      <c r="BD491" s="14" t="s">
        <v>93</v>
      </c>
      <c r="BE491" s="14" t="s">
        <v>92</v>
      </c>
      <c r="BF491" s="14" t="s">
        <v>92</v>
      </c>
      <c r="BG491" s="14" t="s">
        <v>92</v>
      </c>
      <c r="BH491" s="14" t="s">
        <v>92</v>
      </c>
      <c r="BI491" s="14" t="s">
        <v>92</v>
      </c>
      <c r="BJ491" s="14" t="s">
        <v>92</v>
      </c>
      <c r="BK491" s="14" t="s">
        <v>105</v>
      </c>
      <c r="BL491" s="14" t="s">
        <v>105</v>
      </c>
      <c r="BM491" s="14" t="s">
        <v>105</v>
      </c>
      <c r="BN491" s="14" t="s">
        <v>105</v>
      </c>
      <c r="BO491" s="14" t="s">
        <v>105</v>
      </c>
      <c r="BP491" s="14" t="s">
        <v>105</v>
      </c>
      <c r="BQ491" s="8" t="s">
        <v>92</v>
      </c>
      <c r="BR491" s="8" t="s">
        <v>92</v>
      </c>
      <c r="BS491" s="8" t="s">
        <v>93</v>
      </c>
      <c r="BT491" s="8" t="s">
        <v>93</v>
      </c>
      <c r="BU491" s="8" t="s">
        <v>93</v>
      </c>
      <c r="BV491" s="8" t="s">
        <v>92</v>
      </c>
      <c r="BW491" s="8" t="s">
        <v>92</v>
      </c>
      <c r="BX491" s="8" t="s">
        <v>92</v>
      </c>
      <c r="BY491" s="8" t="s">
        <v>92</v>
      </c>
      <c r="BZ491" s="8" t="s">
        <v>93</v>
      </c>
      <c r="CA491" s="8" t="s">
        <v>92</v>
      </c>
      <c r="CB491" s="20" t="s">
        <v>454</v>
      </c>
      <c r="CC491" s="20" t="s">
        <v>2224</v>
      </c>
      <c r="CD491" s="20" t="s">
        <v>2225</v>
      </c>
      <c r="CE491" s="20" t="s">
        <v>2216</v>
      </c>
      <c r="CF491" s="18"/>
      <c r="CG491" s="18"/>
      <c r="CH491" s="18"/>
    </row>
    <row r="492">
      <c r="A492" s="8"/>
      <c r="B492" s="9" t="s">
        <v>2210</v>
      </c>
      <c r="C492" s="10" t="s">
        <v>2211</v>
      </c>
      <c r="D492" s="9" t="s">
        <v>1670</v>
      </c>
      <c r="E492" s="11" t="s">
        <v>2226</v>
      </c>
      <c r="F492" s="12"/>
      <c r="G492" s="14" t="s">
        <v>2227</v>
      </c>
      <c r="H492" s="14" t="s">
        <v>90</v>
      </c>
      <c r="I492" s="14" t="s">
        <v>2228</v>
      </c>
      <c r="J492" s="14" t="s">
        <v>92</v>
      </c>
      <c r="K492" s="14" t="s">
        <v>92</v>
      </c>
      <c r="L492" s="14" t="s">
        <v>93</v>
      </c>
      <c r="M492" s="14" t="s">
        <v>93</v>
      </c>
      <c r="N492" s="14" t="s">
        <v>92</v>
      </c>
      <c r="O492" s="14" t="s">
        <v>92</v>
      </c>
      <c r="P492" s="14" t="s">
        <v>93</v>
      </c>
      <c r="Q492" s="14" t="s">
        <v>92</v>
      </c>
      <c r="R492" s="14" t="s">
        <v>92</v>
      </c>
      <c r="S492" s="14" t="s">
        <v>92</v>
      </c>
      <c r="T492" s="14" t="s">
        <v>92</v>
      </c>
      <c r="U492" s="14" t="s">
        <v>93</v>
      </c>
      <c r="V492" s="14" t="s">
        <v>92</v>
      </c>
      <c r="W492" s="14" t="s">
        <v>92</v>
      </c>
      <c r="X492" s="14" t="s">
        <v>92</v>
      </c>
      <c r="Y492" s="14" t="s">
        <v>92</v>
      </c>
      <c r="Z492" s="14" t="s">
        <v>92</v>
      </c>
      <c r="AA492" s="14" t="s">
        <v>92</v>
      </c>
      <c r="AB492" s="8" t="s">
        <v>93</v>
      </c>
      <c r="AC492" s="8" t="s">
        <v>92</v>
      </c>
      <c r="AD492" s="8" t="s">
        <v>92</v>
      </c>
      <c r="AE492" s="14" t="s">
        <v>94</v>
      </c>
      <c r="AF492" s="14" t="s">
        <v>92</v>
      </c>
      <c r="AG492" s="14" t="s">
        <v>95</v>
      </c>
      <c r="AH492" s="8">
        <v>2017.0</v>
      </c>
      <c r="AI492" s="14" t="s">
        <v>93</v>
      </c>
      <c r="AJ492" s="14" t="s">
        <v>93</v>
      </c>
      <c r="AK492" s="14" t="s">
        <v>93</v>
      </c>
      <c r="AL492" s="14" t="s">
        <v>93</v>
      </c>
      <c r="AM492" s="8" t="s">
        <v>95</v>
      </c>
      <c r="AN492" s="14" t="s">
        <v>114</v>
      </c>
      <c r="AO492" s="8" t="s">
        <v>93</v>
      </c>
      <c r="AP492" s="8" t="s">
        <v>92</v>
      </c>
      <c r="AQ492" s="14" t="s">
        <v>92</v>
      </c>
      <c r="AR492" s="14" t="s">
        <v>92</v>
      </c>
      <c r="AS492" s="14" t="s">
        <v>93</v>
      </c>
      <c r="AT492" s="14" t="s">
        <v>93</v>
      </c>
      <c r="AU492" s="14" t="s">
        <v>93</v>
      </c>
      <c r="AV492" s="14" t="s">
        <v>93</v>
      </c>
      <c r="AW492" s="14" t="s">
        <v>93</v>
      </c>
      <c r="AX492" s="14" t="s">
        <v>92</v>
      </c>
      <c r="AY492" s="8" t="s">
        <v>95</v>
      </c>
      <c r="AZ492" s="8" t="s">
        <v>95</v>
      </c>
      <c r="BA492" s="9" t="s">
        <v>2210</v>
      </c>
      <c r="BB492" s="8" t="s">
        <v>97</v>
      </c>
      <c r="BC492" s="8" t="s">
        <v>92</v>
      </c>
      <c r="BD492" s="14" t="s">
        <v>92</v>
      </c>
      <c r="BE492" s="14" t="s">
        <v>92</v>
      </c>
      <c r="BF492" s="14" t="s">
        <v>92</v>
      </c>
      <c r="BG492" s="14" t="s">
        <v>92</v>
      </c>
      <c r="BH492" s="14" t="s">
        <v>92</v>
      </c>
      <c r="BI492" s="14" t="s">
        <v>93</v>
      </c>
      <c r="BJ492" s="14" t="s">
        <v>92</v>
      </c>
      <c r="BK492" s="14" t="s">
        <v>482</v>
      </c>
      <c r="BL492" s="14" t="s">
        <v>92</v>
      </c>
      <c r="BM492" s="14" t="s">
        <v>92</v>
      </c>
      <c r="BN492" s="14" t="s">
        <v>92</v>
      </c>
      <c r="BO492" s="14" t="s">
        <v>93</v>
      </c>
      <c r="BP492" s="14" t="s">
        <v>92</v>
      </c>
      <c r="BQ492" s="8" t="s">
        <v>93</v>
      </c>
      <c r="BR492" s="8" t="s">
        <v>92</v>
      </c>
      <c r="BS492" s="8" t="s">
        <v>92</v>
      </c>
      <c r="BT492" s="8" t="s">
        <v>92</v>
      </c>
      <c r="BU492" s="8" t="s">
        <v>92</v>
      </c>
      <c r="BV492" s="8" t="s">
        <v>92</v>
      </c>
      <c r="BW492" s="8" t="s">
        <v>92</v>
      </c>
      <c r="BX492" s="8" t="s">
        <v>92</v>
      </c>
      <c r="BY492" s="8" t="s">
        <v>92</v>
      </c>
      <c r="BZ492" s="8" t="s">
        <v>92</v>
      </c>
      <c r="CA492" s="8" t="s">
        <v>92</v>
      </c>
      <c r="CB492" s="20" t="s">
        <v>454</v>
      </c>
      <c r="CC492" s="20" t="s">
        <v>2224</v>
      </c>
      <c r="CD492" s="20" t="s">
        <v>2225</v>
      </c>
      <c r="CE492" s="20" t="s">
        <v>2216</v>
      </c>
      <c r="CF492" s="18"/>
      <c r="CG492" s="18"/>
      <c r="CH492" s="18"/>
    </row>
    <row r="493">
      <c r="A493" s="8"/>
      <c r="B493" s="9" t="s">
        <v>2210</v>
      </c>
      <c r="C493" s="10" t="s">
        <v>2211</v>
      </c>
      <c r="D493" s="9" t="s">
        <v>1670</v>
      </c>
      <c r="E493" s="11" t="s">
        <v>2229</v>
      </c>
      <c r="F493" s="12"/>
      <c r="G493" s="14" t="s">
        <v>2230</v>
      </c>
      <c r="H493" s="14" t="s">
        <v>110</v>
      </c>
      <c r="I493" s="14" t="s">
        <v>2231</v>
      </c>
      <c r="J493" s="14" t="s">
        <v>92</v>
      </c>
      <c r="K493" s="14" t="s">
        <v>92</v>
      </c>
      <c r="L493" s="14" t="s">
        <v>93</v>
      </c>
      <c r="M493" s="14" t="s">
        <v>92</v>
      </c>
      <c r="N493" s="14" t="s">
        <v>92</v>
      </c>
      <c r="O493" s="14" t="s">
        <v>92</v>
      </c>
      <c r="P493" s="14" t="s">
        <v>92</v>
      </c>
      <c r="Q493" s="14" t="s">
        <v>92</v>
      </c>
      <c r="R493" s="14" t="s">
        <v>92</v>
      </c>
      <c r="S493" s="14" t="s">
        <v>93</v>
      </c>
      <c r="T493" s="14" t="s">
        <v>92</v>
      </c>
      <c r="U493" s="14" t="s">
        <v>92</v>
      </c>
      <c r="V493" s="14" t="s">
        <v>92</v>
      </c>
      <c r="W493" s="14" t="s">
        <v>92</v>
      </c>
      <c r="X493" s="14" t="s">
        <v>92</v>
      </c>
      <c r="Y493" s="14" t="s">
        <v>92</v>
      </c>
      <c r="Z493" s="14" t="s">
        <v>93</v>
      </c>
      <c r="AA493" s="14" t="s">
        <v>92</v>
      </c>
      <c r="AB493" s="8" t="s">
        <v>92</v>
      </c>
      <c r="AC493" s="8" t="s">
        <v>93</v>
      </c>
      <c r="AD493" s="8" t="s">
        <v>93</v>
      </c>
      <c r="AE493" s="14" t="s">
        <v>112</v>
      </c>
      <c r="AF493" s="14" t="s">
        <v>92</v>
      </c>
      <c r="AG493" s="14" t="s">
        <v>95</v>
      </c>
      <c r="AH493" s="8">
        <v>2010.0</v>
      </c>
      <c r="AI493" s="14" t="s">
        <v>93</v>
      </c>
      <c r="AJ493" s="14" t="s">
        <v>93</v>
      </c>
      <c r="AK493" s="14" t="s">
        <v>93</v>
      </c>
      <c r="AL493" s="14" t="s">
        <v>93</v>
      </c>
      <c r="AM493" s="8" t="s">
        <v>95</v>
      </c>
      <c r="AN493" s="14" t="s">
        <v>114</v>
      </c>
      <c r="AO493" s="8" t="s">
        <v>93</v>
      </c>
      <c r="AP493" s="8" t="s">
        <v>92</v>
      </c>
      <c r="AQ493" s="14" t="s">
        <v>92</v>
      </c>
      <c r="AR493" s="14" t="s">
        <v>92</v>
      </c>
      <c r="AS493" s="14" t="s">
        <v>93</v>
      </c>
      <c r="AT493" s="14" t="s">
        <v>93</v>
      </c>
      <c r="AU493" s="14" t="s">
        <v>93</v>
      </c>
      <c r="AV493" s="14" t="s">
        <v>93</v>
      </c>
      <c r="AW493" s="14" t="s">
        <v>93</v>
      </c>
      <c r="AX493" s="14" t="s">
        <v>92</v>
      </c>
      <c r="AY493" s="8" t="s">
        <v>95</v>
      </c>
      <c r="AZ493" s="8" t="s">
        <v>95</v>
      </c>
      <c r="BA493" s="9" t="s">
        <v>2210</v>
      </c>
      <c r="BB493" s="8" t="s">
        <v>97</v>
      </c>
      <c r="BC493" s="8" t="s">
        <v>92</v>
      </c>
      <c r="BD493" s="14" t="s">
        <v>93</v>
      </c>
      <c r="BE493" s="14" t="s">
        <v>92</v>
      </c>
      <c r="BF493" s="14" t="s">
        <v>92</v>
      </c>
      <c r="BG493" s="14" t="s">
        <v>92</v>
      </c>
      <c r="BH493" s="14" t="s">
        <v>92</v>
      </c>
      <c r="BI493" s="14" t="s">
        <v>92</v>
      </c>
      <c r="BJ493" s="14" t="s">
        <v>92</v>
      </c>
      <c r="BK493" s="14" t="s">
        <v>105</v>
      </c>
      <c r="BL493" s="14" t="s">
        <v>105</v>
      </c>
      <c r="BM493" s="14" t="s">
        <v>105</v>
      </c>
      <c r="BN493" s="14" t="s">
        <v>105</v>
      </c>
      <c r="BO493" s="14" t="s">
        <v>105</v>
      </c>
      <c r="BP493" s="14" t="s">
        <v>105</v>
      </c>
      <c r="BQ493" s="8" t="s">
        <v>92</v>
      </c>
      <c r="BR493" s="8" t="s">
        <v>92</v>
      </c>
      <c r="BS493" s="8" t="s">
        <v>92</v>
      </c>
      <c r="BT493" s="8" t="s">
        <v>93</v>
      </c>
      <c r="BU493" s="8" t="s">
        <v>92</v>
      </c>
      <c r="BV493" s="8" t="s">
        <v>92</v>
      </c>
      <c r="BW493" s="8" t="s">
        <v>92</v>
      </c>
      <c r="BX493" s="8" t="s">
        <v>92</v>
      </c>
      <c r="BY493" s="8" t="s">
        <v>92</v>
      </c>
      <c r="BZ493" s="8" t="s">
        <v>93</v>
      </c>
      <c r="CA493" s="8" t="s">
        <v>92</v>
      </c>
      <c r="CB493" s="20" t="s">
        <v>2224</v>
      </c>
      <c r="CC493" s="20" t="s">
        <v>2225</v>
      </c>
      <c r="CD493" s="20" t="s">
        <v>2216</v>
      </c>
      <c r="CE493" s="18"/>
      <c r="CF493" s="18"/>
      <c r="CG493" s="18"/>
      <c r="CH493" s="18"/>
    </row>
    <row r="494">
      <c r="A494" s="8"/>
      <c r="B494" s="9" t="s">
        <v>2210</v>
      </c>
      <c r="C494" s="10" t="s">
        <v>2211</v>
      </c>
      <c r="D494" s="9" t="s">
        <v>1670</v>
      </c>
      <c r="E494" s="11" t="s">
        <v>2232</v>
      </c>
      <c r="F494" s="12"/>
      <c r="G494" s="14" t="s">
        <v>2233</v>
      </c>
      <c r="H494" s="14" t="s">
        <v>110</v>
      </c>
      <c r="I494" s="14" t="s">
        <v>2234</v>
      </c>
      <c r="J494" s="14" t="s">
        <v>93</v>
      </c>
      <c r="K494" s="14" t="s">
        <v>92</v>
      </c>
      <c r="L494" s="14" t="s">
        <v>93</v>
      </c>
      <c r="M494" s="14" t="s">
        <v>92</v>
      </c>
      <c r="N494" s="14" t="s">
        <v>92</v>
      </c>
      <c r="O494" s="14" t="s">
        <v>92</v>
      </c>
      <c r="P494" s="14" t="s">
        <v>92</v>
      </c>
      <c r="Q494" s="14" t="s">
        <v>92</v>
      </c>
      <c r="R494" s="14" t="s">
        <v>92</v>
      </c>
      <c r="S494" s="14" t="s">
        <v>93</v>
      </c>
      <c r="T494" s="14" t="s">
        <v>92</v>
      </c>
      <c r="U494" s="14" t="s">
        <v>92</v>
      </c>
      <c r="V494" s="14" t="s">
        <v>92</v>
      </c>
      <c r="W494" s="14" t="s">
        <v>92</v>
      </c>
      <c r="X494" s="14" t="s">
        <v>92</v>
      </c>
      <c r="Y494" s="14" t="s">
        <v>92</v>
      </c>
      <c r="Z494" s="14" t="s">
        <v>93</v>
      </c>
      <c r="AA494" s="14" t="s">
        <v>92</v>
      </c>
      <c r="AB494" s="8" t="s">
        <v>93</v>
      </c>
      <c r="AC494" s="8" t="s">
        <v>92</v>
      </c>
      <c r="AD494" s="8" t="s">
        <v>92</v>
      </c>
      <c r="AE494" s="14" t="s">
        <v>148</v>
      </c>
      <c r="AF494" s="14" t="s">
        <v>92</v>
      </c>
      <c r="AG494" s="14" t="s">
        <v>95</v>
      </c>
      <c r="AH494" s="8">
        <v>2021.0</v>
      </c>
      <c r="AI494" s="14" t="s">
        <v>92</v>
      </c>
      <c r="AJ494" s="14" t="s">
        <v>93</v>
      </c>
      <c r="AK494" s="14" t="s">
        <v>93</v>
      </c>
      <c r="AL494" s="14" t="s">
        <v>93</v>
      </c>
      <c r="AM494" s="8" t="s">
        <v>95</v>
      </c>
      <c r="AN494" s="14" t="s">
        <v>114</v>
      </c>
      <c r="AO494" s="8" t="s">
        <v>93</v>
      </c>
      <c r="AP494" s="8" t="s">
        <v>92</v>
      </c>
      <c r="AQ494" s="14" t="s">
        <v>92</v>
      </c>
      <c r="AR494" s="14" t="s">
        <v>92</v>
      </c>
      <c r="AS494" s="14" t="s">
        <v>93</v>
      </c>
      <c r="AT494" s="14" t="s">
        <v>93</v>
      </c>
      <c r="AU494" s="14" t="s">
        <v>93</v>
      </c>
      <c r="AV494" s="14" t="s">
        <v>93</v>
      </c>
      <c r="AW494" s="14" t="s">
        <v>93</v>
      </c>
      <c r="AX494" s="14" t="s">
        <v>92</v>
      </c>
      <c r="AY494" s="8" t="s">
        <v>2235</v>
      </c>
      <c r="AZ494" s="8" t="s">
        <v>92</v>
      </c>
      <c r="BA494" s="9" t="s">
        <v>2236</v>
      </c>
      <c r="BB494" s="8" t="s">
        <v>95</v>
      </c>
      <c r="BC494" s="8" t="s">
        <v>93</v>
      </c>
      <c r="BD494" s="14" t="s">
        <v>93</v>
      </c>
      <c r="BE494" s="14" t="s">
        <v>92</v>
      </c>
      <c r="BF494" s="14" t="s">
        <v>92</v>
      </c>
      <c r="BG494" s="14" t="s">
        <v>92</v>
      </c>
      <c r="BH494" s="14" t="s">
        <v>92</v>
      </c>
      <c r="BI494" s="14" t="s">
        <v>92</v>
      </c>
      <c r="BJ494" s="14" t="s">
        <v>92</v>
      </c>
      <c r="BK494" s="14" t="s">
        <v>105</v>
      </c>
      <c r="BL494" s="14" t="s">
        <v>105</v>
      </c>
      <c r="BM494" s="14" t="s">
        <v>105</v>
      </c>
      <c r="BN494" s="14" t="s">
        <v>105</v>
      </c>
      <c r="BO494" s="14" t="s">
        <v>105</v>
      </c>
      <c r="BP494" s="14" t="s">
        <v>105</v>
      </c>
      <c r="BQ494" s="8" t="s">
        <v>92</v>
      </c>
      <c r="BR494" s="8" t="s">
        <v>92</v>
      </c>
      <c r="BS494" s="8" t="s">
        <v>93</v>
      </c>
      <c r="BT494" s="8" t="s">
        <v>92</v>
      </c>
      <c r="BU494" s="8" t="s">
        <v>92</v>
      </c>
      <c r="BV494" s="8" t="s">
        <v>92</v>
      </c>
      <c r="BW494" s="8" t="s">
        <v>92</v>
      </c>
      <c r="BX494" s="8" t="s">
        <v>92</v>
      </c>
      <c r="BY494" s="8" t="s">
        <v>92</v>
      </c>
      <c r="BZ494" s="8" t="s">
        <v>92</v>
      </c>
      <c r="CA494" s="8" t="s">
        <v>92</v>
      </c>
      <c r="CB494" s="20" t="s">
        <v>2224</v>
      </c>
      <c r="CC494" s="20" t="s">
        <v>2225</v>
      </c>
      <c r="CD494" s="20" t="s">
        <v>2216</v>
      </c>
      <c r="CE494" s="18"/>
      <c r="CF494" s="18"/>
      <c r="CG494" s="18"/>
      <c r="CH494" s="18"/>
    </row>
    <row r="495">
      <c r="A495" s="8"/>
      <c r="B495" s="9" t="s">
        <v>2210</v>
      </c>
      <c r="C495" s="10" t="s">
        <v>2211</v>
      </c>
      <c r="D495" s="9" t="s">
        <v>1670</v>
      </c>
      <c r="E495" s="11" t="s">
        <v>2237</v>
      </c>
      <c r="F495" s="12"/>
      <c r="G495" s="14" t="s">
        <v>2238</v>
      </c>
      <c r="H495" s="14" t="s">
        <v>110</v>
      </c>
      <c r="I495" s="44" t="s">
        <v>2239</v>
      </c>
      <c r="J495" s="14" t="s">
        <v>92</v>
      </c>
      <c r="K495" s="14" t="s">
        <v>92</v>
      </c>
      <c r="L495" s="14" t="s">
        <v>93</v>
      </c>
      <c r="M495" s="14" t="s">
        <v>92</v>
      </c>
      <c r="N495" s="14" t="s">
        <v>92</v>
      </c>
      <c r="O495" s="14" t="s">
        <v>92</v>
      </c>
      <c r="P495" s="14" t="s">
        <v>92</v>
      </c>
      <c r="Q495" s="14" t="s">
        <v>92</v>
      </c>
      <c r="R495" s="14" t="s">
        <v>92</v>
      </c>
      <c r="S495" s="14" t="s">
        <v>92</v>
      </c>
      <c r="T495" s="14" t="s">
        <v>92</v>
      </c>
      <c r="U495" s="14" t="s">
        <v>92</v>
      </c>
      <c r="V495" s="14" t="s">
        <v>92</v>
      </c>
      <c r="W495" s="14" t="s">
        <v>92</v>
      </c>
      <c r="X495" s="14" t="s">
        <v>92</v>
      </c>
      <c r="Y495" s="14" t="s">
        <v>92</v>
      </c>
      <c r="Z495" s="14" t="s">
        <v>93</v>
      </c>
      <c r="AA495" s="14" t="s">
        <v>92</v>
      </c>
      <c r="AB495" s="8" t="s">
        <v>92</v>
      </c>
      <c r="AC495" s="8" t="s">
        <v>93</v>
      </c>
      <c r="AD495" s="8" t="s">
        <v>93</v>
      </c>
      <c r="AE495" s="14" t="s">
        <v>231</v>
      </c>
      <c r="AF495" s="14" t="s">
        <v>92</v>
      </c>
      <c r="AG495" s="14" t="s">
        <v>95</v>
      </c>
      <c r="AH495" s="8" t="s">
        <v>105</v>
      </c>
      <c r="AI495" s="14" t="s">
        <v>92</v>
      </c>
      <c r="AJ495" s="14" t="s">
        <v>92</v>
      </c>
      <c r="AK495" s="14" t="s">
        <v>93</v>
      </c>
      <c r="AL495" s="14" t="s">
        <v>93</v>
      </c>
      <c r="AM495" s="8" t="s">
        <v>95</v>
      </c>
      <c r="AN495" s="14" t="s">
        <v>114</v>
      </c>
      <c r="AO495" s="8" t="s">
        <v>93</v>
      </c>
      <c r="AP495" s="8" t="s">
        <v>92</v>
      </c>
      <c r="AQ495" s="14" t="s">
        <v>92</v>
      </c>
      <c r="AR495" s="14" t="s">
        <v>92</v>
      </c>
      <c r="AS495" s="14" t="s">
        <v>93</v>
      </c>
      <c r="AT495" s="14" t="s">
        <v>93</v>
      </c>
      <c r="AU495" s="14" t="s">
        <v>93</v>
      </c>
      <c r="AV495" s="14" t="s">
        <v>93</v>
      </c>
      <c r="AW495" s="14" t="s">
        <v>93</v>
      </c>
      <c r="AX495" s="14" t="s">
        <v>92</v>
      </c>
      <c r="AY495" s="69" t="s">
        <v>2240</v>
      </c>
      <c r="AZ495" s="8" t="s">
        <v>93</v>
      </c>
      <c r="BA495" s="9" t="s">
        <v>2241</v>
      </c>
      <c r="BB495" s="8" t="s">
        <v>95</v>
      </c>
      <c r="BC495" s="8" t="s">
        <v>93</v>
      </c>
      <c r="BD495" s="14" t="s">
        <v>93</v>
      </c>
      <c r="BE495" s="14" t="s">
        <v>92</v>
      </c>
      <c r="BF495" s="14" t="s">
        <v>92</v>
      </c>
      <c r="BG495" s="14" t="s">
        <v>92</v>
      </c>
      <c r="BH495" s="14" t="s">
        <v>92</v>
      </c>
      <c r="BI495" s="14" t="s">
        <v>92</v>
      </c>
      <c r="BJ495" s="14" t="s">
        <v>92</v>
      </c>
      <c r="BK495" s="14" t="s">
        <v>105</v>
      </c>
      <c r="BL495" s="14" t="s">
        <v>105</v>
      </c>
      <c r="BM495" s="14" t="s">
        <v>105</v>
      </c>
      <c r="BN495" s="14" t="s">
        <v>105</v>
      </c>
      <c r="BO495" s="14" t="s">
        <v>105</v>
      </c>
      <c r="BP495" s="14" t="s">
        <v>105</v>
      </c>
      <c r="BQ495" s="8" t="s">
        <v>92</v>
      </c>
      <c r="BR495" s="8" t="s">
        <v>92</v>
      </c>
      <c r="BS495" s="8" t="s">
        <v>92</v>
      </c>
      <c r="BT495" s="8" t="s">
        <v>93</v>
      </c>
      <c r="BU495" s="8" t="s">
        <v>92</v>
      </c>
      <c r="BV495" s="8" t="s">
        <v>92</v>
      </c>
      <c r="BW495" s="8" t="s">
        <v>92</v>
      </c>
      <c r="BX495" s="8" t="s">
        <v>92</v>
      </c>
      <c r="BY495" s="8" t="s">
        <v>92</v>
      </c>
      <c r="BZ495" s="8" t="s">
        <v>93</v>
      </c>
      <c r="CA495" s="8" t="s">
        <v>92</v>
      </c>
      <c r="CB495" s="20" t="s">
        <v>2225</v>
      </c>
      <c r="CC495" s="20" t="s">
        <v>2216</v>
      </c>
      <c r="CD495" s="18"/>
      <c r="CE495" s="18"/>
      <c r="CF495" s="18"/>
      <c r="CG495" s="18"/>
      <c r="CH495" s="18"/>
    </row>
    <row r="496">
      <c r="A496" s="8"/>
      <c r="B496" s="9" t="s">
        <v>2210</v>
      </c>
      <c r="C496" s="10" t="s">
        <v>2211</v>
      </c>
      <c r="D496" s="9" t="s">
        <v>1670</v>
      </c>
      <c r="E496" s="11" t="s">
        <v>2242</v>
      </c>
      <c r="F496" s="25"/>
      <c r="G496" s="14" t="s">
        <v>2243</v>
      </c>
      <c r="H496" s="14" t="s">
        <v>709</v>
      </c>
      <c r="I496" s="14" t="s">
        <v>2244</v>
      </c>
      <c r="J496" s="14" t="s">
        <v>92</v>
      </c>
      <c r="K496" s="14" t="s">
        <v>92</v>
      </c>
      <c r="L496" s="14" t="s">
        <v>92</v>
      </c>
      <c r="M496" s="14" t="s">
        <v>92</v>
      </c>
      <c r="N496" s="14" t="s">
        <v>92</v>
      </c>
      <c r="O496" s="14" t="s">
        <v>92</v>
      </c>
      <c r="P496" s="14" t="s">
        <v>92</v>
      </c>
      <c r="Q496" s="14" t="s">
        <v>92</v>
      </c>
      <c r="R496" s="14" t="s">
        <v>92</v>
      </c>
      <c r="S496" s="14" t="s">
        <v>92</v>
      </c>
      <c r="T496" s="14" t="s">
        <v>92</v>
      </c>
      <c r="U496" s="14" t="s">
        <v>92</v>
      </c>
      <c r="V496" s="14" t="s">
        <v>92</v>
      </c>
      <c r="W496" s="14" t="s">
        <v>92</v>
      </c>
      <c r="X496" s="14" t="s">
        <v>92</v>
      </c>
      <c r="Y496" s="14" t="s">
        <v>92</v>
      </c>
      <c r="Z496" s="14" t="s">
        <v>93</v>
      </c>
      <c r="AA496" s="14" t="s">
        <v>92</v>
      </c>
      <c r="AB496" s="8" t="s">
        <v>92</v>
      </c>
      <c r="AC496" s="8" t="s">
        <v>93</v>
      </c>
      <c r="AD496" s="8" t="s">
        <v>92</v>
      </c>
      <c r="AE496" s="14" t="s">
        <v>148</v>
      </c>
      <c r="AF496" s="14" t="s">
        <v>92</v>
      </c>
      <c r="AG496" s="14" t="s">
        <v>95</v>
      </c>
      <c r="AH496" s="8">
        <v>2022.0</v>
      </c>
      <c r="AI496" s="14" t="s">
        <v>92</v>
      </c>
      <c r="AJ496" s="14" t="s">
        <v>92</v>
      </c>
      <c r="AK496" s="14" t="s">
        <v>93</v>
      </c>
      <c r="AL496" s="14" t="s">
        <v>93</v>
      </c>
      <c r="AM496" s="8" t="s">
        <v>95</v>
      </c>
      <c r="AN496" s="14" t="s">
        <v>114</v>
      </c>
      <c r="AO496" s="8" t="s">
        <v>93</v>
      </c>
      <c r="AP496" s="8" t="s">
        <v>92</v>
      </c>
      <c r="AQ496" s="14" t="s">
        <v>92</v>
      </c>
      <c r="AR496" s="14" t="s">
        <v>92</v>
      </c>
      <c r="AS496" s="14" t="s">
        <v>93</v>
      </c>
      <c r="AT496" s="14" t="s">
        <v>93</v>
      </c>
      <c r="AU496" s="14" t="s">
        <v>93</v>
      </c>
      <c r="AV496" s="14" t="s">
        <v>93</v>
      </c>
      <c r="AW496" s="14" t="s">
        <v>93</v>
      </c>
      <c r="AX496" s="14" t="s">
        <v>92</v>
      </c>
      <c r="AY496" s="8" t="s">
        <v>2245</v>
      </c>
      <c r="AZ496" s="8" t="s">
        <v>93</v>
      </c>
      <c r="BA496" s="9" t="s">
        <v>2243</v>
      </c>
      <c r="BB496" s="8" t="s">
        <v>143</v>
      </c>
      <c r="BC496" s="8" t="s">
        <v>92</v>
      </c>
      <c r="BD496" s="14" t="s">
        <v>93</v>
      </c>
      <c r="BE496" s="14" t="s">
        <v>92</v>
      </c>
      <c r="BF496" s="14" t="s">
        <v>92</v>
      </c>
      <c r="BG496" s="14" t="s">
        <v>92</v>
      </c>
      <c r="BH496" s="14" t="s">
        <v>92</v>
      </c>
      <c r="BI496" s="14" t="s">
        <v>92</v>
      </c>
      <c r="BJ496" s="14" t="s">
        <v>92</v>
      </c>
      <c r="BK496" s="14" t="s">
        <v>105</v>
      </c>
      <c r="BL496" s="14" t="s">
        <v>105</v>
      </c>
      <c r="BM496" s="14" t="s">
        <v>105</v>
      </c>
      <c r="BN496" s="14" t="s">
        <v>105</v>
      </c>
      <c r="BO496" s="14" t="s">
        <v>105</v>
      </c>
      <c r="BP496" s="14" t="s">
        <v>105</v>
      </c>
      <c r="BQ496" s="8" t="s">
        <v>92</v>
      </c>
      <c r="BR496" s="8" t="s">
        <v>92</v>
      </c>
      <c r="BS496" s="8" t="s">
        <v>92</v>
      </c>
      <c r="BT496" s="8" t="s">
        <v>93</v>
      </c>
      <c r="BU496" s="8" t="s">
        <v>93</v>
      </c>
      <c r="BV496" s="8" t="s">
        <v>93</v>
      </c>
      <c r="BW496" s="8" t="s">
        <v>92</v>
      </c>
      <c r="BX496" s="8" t="s">
        <v>92</v>
      </c>
      <c r="BY496" s="8" t="s">
        <v>92</v>
      </c>
      <c r="BZ496" s="8" t="s">
        <v>93</v>
      </c>
      <c r="CA496" s="8" t="s">
        <v>92</v>
      </c>
      <c r="CB496" s="20" t="s">
        <v>2225</v>
      </c>
      <c r="CC496" s="20" t="s">
        <v>2216</v>
      </c>
      <c r="CD496" s="18"/>
      <c r="CE496" s="18"/>
      <c r="CF496" s="18"/>
      <c r="CG496" s="18"/>
      <c r="CH496" s="18"/>
    </row>
    <row r="497">
      <c r="A497" s="8"/>
      <c r="B497" s="9" t="s">
        <v>2246</v>
      </c>
      <c r="C497" s="10" t="s">
        <v>2247</v>
      </c>
      <c r="D497" s="9" t="s">
        <v>1670</v>
      </c>
      <c r="E497" s="11" t="s">
        <v>2248</v>
      </c>
      <c r="F497" s="12"/>
      <c r="G497" s="14" t="s">
        <v>1362</v>
      </c>
      <c r="H497" s="14" t="s">
        <v>90</v>
      </c>
      <c r="I497" s="14" t="s">
        <v>2249</v>
      </c>
      <c r="J497" s="14" t="s">
        <v>92</v>
      </c>
      <c r="K497" s="14" t="s">
        <v>92</v>
      </c>
      <c r="L497" s="14" t="s">
        <v>92</v>
      </c>
      <c r="M497" s="14" t="s">
        <v>92</v>
      </c>
      <c r="N497" s="14" t="s">
        <v>92</v>
      </c>
      <c r="O497" s="14" t="s">
        <v>92</v>
      </c>
      <c r="P497" s="14" t="s">
        <v>92</v>
      </c>
      <c r="Q497" s="14" t="s">
        <v>92</v>
      </c>
      <c r="R497" s="14" t="s">
        <v>92</v>
      </c>
      <c r="S497" s="14" t="s">
        <v>92</v>
      </c>
      <c r="T497" s="14" t="s">
        <v>92</v>
      </c>
      <c r="U497" s="14" t="s">
        <v>93</v>
      </c>
      <c r="V497" s="14" t="s">
        <v>92</v>
      </c>
      <c r="W497" s="14" t="s">
        <v>92</v>
      </c>
      <c r="X497" s="14" t="s">
        <v>92</v>
      </c>
      <c r="Y497" s="14" t="s">
        <v>92</v>
      </c>
      <c r="Z497" s="14" t="s">
        <v>92</v>
      </c>
      <c r="AA497" s="14" t="s">
        <v>92</v>
      </c>
      <c r="AB497" s="8" t="s">
        <v>93</v>
      </c>
      <c r="AC497" s="8" t="s">
        <v>92</v>
      </c>
      <c r="AD497" s="8" t="s">
        <v>92</v>
      </c>
      <c r="AE497" s="14" t="s">
        <v>94</v>
      </c>
      <c r="AF497" s="14" t="s">
        <v>92</v>
      </c>
      <c r="AG497" s="14" t="s">
        <v>95</v>
      </c>
      <c r="AH497" s="8" t="s">
        <v>105</v>
      </c>
      <c r="AI497" s="14" t="s">
        <v>93</v>
      </c>
      <c r="AJ497" s="14" t="s">
        <v>92</v>
      </c>
      <c r="AK497" s="14" t="s">
        <v>92</v>
      </c>
      <c r="AL497" s="14" t="s">
        <v>92</v>
      </c>
      <c r="AM497" s="8" t="s">
        <v>105</v>
      </c>
      <c r="AN497" s="14" t="s">
        <v>105</v>
      </c>
      <c r="AO497" s="8" t="s">
        <v>105</v>
      </c>
      <c r="AP497" s="8" t="s">
        <v>92</v>
      </c>
      <c r="AQ497" s="14" t="s">
        <v>92</v>
      </c>
      <c r="AR497" s="14" t="s">
        <v>92</v>
      </c>
      <c r="AS497" s="14" t="s">
        <v>93</v>
      </c>
      <c r="AT497" s="14" t="s">
        <v>93</v>
      </c>
      <c r="AU497" s="14" t="s">
        <v>93</v>
      </c>
      <c r="AV497" s="14" t="s">
        <v>93</v>
      </c>
      <c r="AW497" s="14" t="s">
        <v>93</v>
      </c>
      <c r="AX497" s="14" t="s">
        <v>93</v>
      </c>
      <c r="AY497" s="8" t="s">
        <v>95</v>
      </c>
      <c r="AZ497" s="8" t="s">
        <v>95</v>
      </c>
      <c r="BA497" s="9" t="s">
        <v>2246</v>
      </c>
      <c r="BB497" s="8" t="s">
        <v>97</v>
      </c>
      <c r="BC497" s="8" t="s">
        <v>92</v>
      </c>
      <c r="BD497" s="14" t="s">
        <v>92</v>
      </c>
      <c r="BE497" s="14" t="s">
        <v>92</v>
      </c>
      <c r="BF497" s="14" t="s">
        <v>92</v>
      </c>
      <c r="BG497" s="14" t="s">
        <v>92</v>
      </c>
      <c r="BH497" s="14" t="s">
        <v>92</v>
      </c>
      <c r="BI497" s="14" t="s">
        <v>93</v>
      </c>
      <c r="BJ497" s="14" t="s">
        <v>92</v>
      </c>
      <c r="BK497" s="14" t="s">
        <v>105</v>
      </c>
      <c r="BL497" s="14" t="s">
        <v>105</v>
      </c>
      <c r="BM497" s="14" t="s">
        <v>105</v>
      </c>
      <c r="BN497" s="14" t="s">
        <v>105</v>
      </c>
      <c r="BO497" s="14" t="s">
        <v>105</v>
      </c>
      <c r="BP497" s="14" t="s">
        <v>105</v>
      </c>
      <c r="BQ497" s="8" t="s">
        <v>93</v>
      </c>
      <c r="BR497" s="8" t="s">
        <v>92</v>
      </c>
      <c r="BS497" s="8" t="s">
        <v>92</v>
      </c>
      <c r="BT497" s="8" t="s">
        <v>92</v>
      </c>
      <c r="BU497" s="8" t="s">
        <v>92</v>
      </c>
      <c r="BV497" s="8" t="s">
        <v>92</v>
      </c>
      <c r="BW497" s="8" t="s">
        <v>92</v>
      </c>
      <c r="BX497" s="8" t="s">
        <v>92</v>
      </c>
      <c r="BY497" s="8" t="s">
        <v>92</v>
      </c>
      <c r="BZ497" s="8" t="s">
        <v>92</v>
      </c>
      <c r="CA497" s="8" t="s">
        <v>92</v>
      </c>
      <c r="CB497" s="20" t="s">
        <v>1189</v>
      </c>
      <c r="CC497" s="17"/>
      <c r="CD497" s="18"/>
      <c r="CE497" s="18"/>
      <c r="CF497" s="18"/>
      <c r="CG497" s="18"/>
      <c r="CH497" s="18"/>
    </row>
    <row r="498">
      <c r="A498" s="8"/>
      <c r="B498" s="9" t="s">
        <v>2246</v>
      </c>
      <c r="C498" s="10" t="s">
        <v>2247</v>
      </c>
      <c r="D498" s="9" t="s">
        <v>1670</v>
      </c>
      <c r="E498" s="11" t="s">
        <v>2250</v>
      </c>
      <c r="F498" s="12"/>
      <c r="G498" s="14" t="s">
        <v>2251</v>
      </c>
      <c r="H498" s="14" t="s">
        <v>90</v>
      </c>
      <c r="I498" s="14" t="s">
        <v>2252</v>
      </c>
      <c r="J498" s="14" t="s">
        <v>92</v>
      </c>
      <c r="K498" s="14" t="s">
        <v>92</v>
      </c>
      <c r="L498" s="14" t="s">
        <v>92</v>
      </c>
      <c r="M498" s="14" t="s">
        <v>93</v>
      </c>
      <c r="N498" s="14" t="s">
        <v>92</v>
      </c>
      <c r="O498" s="14" t="s">
        <v>92</v>
      </c>
      <c r="P498" s="14" t="s">
        <v>92</v>
      </c>
      <c r="Q498" s="14" t="s">
        <v>93</v>
      </c>
      <c r="R498" s="14" t="s">
        <v>92</v>
      </c>
      <c r="S498" s="14" t="s">
        <v>92</v>
      </c>
      <c r="T498" s="14" t="s">
        <v>92</v>
      </c>
      <c r="U498" s="14" t="s">
        <v>93</v>
      </c>
      <c r="V498" s="14" t="s">
        <v>92</v>
      </c>
      <c r="W498" s="14" t="s">
        <v>92</v>
      </c>
      <c r="X498" s="14" t="s">
        <v>92</v>
      </c>
      <c r="Y498" s="14" t="s">
        <v>92</v>
      </c>
      <c r="Z498" s="14" t="s">
        <v>92</v>
      </c>
      <c r="AA498" s="14" t="s">
        <v>92</v>
      </c>
      <c r="AB498" s="8" t="s">
        <v>93</v>
      </c>
      <c r="AC498" s="8" t="s">
        <v>92</v>
      </c>
      <c r="AD498" s="8" t="s">
        <v>92</v>
      </c>
      <c r="AE498" s="14" t="s">
        <v>94</v>
      </c>
      <c r="AF498" s="14" t="s">
        <v>92</v>
      </c>
      <c r="AG498" s="14" t="s">
        <v>95</v>
      </c>
      <c r="AH498" s="8" t="s">
        <v>105</v>
      </c>
      <c r="AI498" s="14" t="s">
        <v>92</v>
      </c>
      <c r="AJ498" s="14" t="s">
        <v>93</v>
      </c>
      <c r="AK498" s="14" t="s">
        <v>93</v>
      </c>
      <c r="AL498" s="14" t="s">
        <v>93</v>
      </c>
      <c r="AM498" s="8" t="s">
        <v>95</v>
      </c>
      <c r="AN498" s="14" t="s">
        <v>114</v>
      </c>
      <c r="AO498" s="8" t="s">
        <v>93</v>
      </c>
      <c r="AP498" s="8" t="s">
        <v>92</v>
      </c>
      <c r="AQ498" s="14" t="s">
        <v>92</v>
      </c>
      <c r="AR498" s="14" t="s">
        <v>92</v>
      </c>
      <c r="AS498" s="14" t="s">
        <v>93</v>
      </c>
      <c r="AT498" s="14" t="s">
        <v>93</v>
      </c>
      <c r="AU498" s="14" t="s">
        <v>93</v>
      </c>
      <c r="AV498" s="14" t="s">
        <v>93</v>
      </c>
      <c r="AW498" s="14" t="s">
        <v>93</v>
      </c>
      <c r="AX498" s="14" t="s">
        <v>93</v>
      </c>
      <c r="AY498" s="8" t="s">
        <v>95</v>
      </c>
      <c r="AZ498" s="8" t="s">
        <v>95</v>
      </c>
      <c r="BA498" s="9" t="s">
        <v>2253</v>
      </c>
      <c r="BB498" s="8" t="s">
        <v>95</v>
      </c>
      <c r="BC498" s="8" t="s">
        <v>93</v>
      </c>
      <c r="BD498" s="14" t="s">
        <v>92</v>
      </c>
      <c r="BE498" s="14" t="s">
        <v>92</v>
      </c>
      <c r="BF498" s="14" t="s">
        <v>92</v>
      </c>
      <c r="BG498" s="14" t="s">
        <v>92</v>
      </c>
      <c r="BH498" s="14" t="s">
        <v>92</v>
      </c>
      <c r="BI498" s="14" t="s">
        <v>93</v>
      </c>
      <c r="BJ498" s="14" t="s">
        <v>92</v>
      </c>
      <c r="BK498" s="14" t="s">
        <v>482</v>
      </c>
      <c r="BL498" s="14" t="s">
        <v>92</v>
      </c>
      <c r="BM498" s="14" t="s">
        <v>92</v>
      </c>
      <c r="BN498" s="14" t="s">
        <v>92</v>
      </c>
      <c r="BO498" s="14" t="s">
        <v>93</v>
      </c>
      <c r="BP498" s="14" t="s">
        <v>92</v>
      </c>
      <c r="BQ498" s="8" t="s">
        <v>93</v>
      </c>
      <c r="BR498" s="8" t="s">
        <v>92</v>
      </c>
      <c r="BS498" s="8" t="s">
        <v>92</v>
      </c>
      <c r="BT498" s="8" t="s">
        <v>92</v>
      </c>
      <c r="BU498" s="8" t="s">
        <v>92</v>
      </c>
      <c r="BV498" s="8" t="s">
        <v>92</v>
      </c>
      <c r="BW498" s="8" t="s">
        <v>92</v>
      </c>
      <c r="BX498" s="8" t="s">
        <v>92</v>
      </c>
      <c r="BY498" s="8" t="s">
        <v>92</v>
      </c>
      <c r="BZ498" s="8" t="s">
        <v>92</v>
      </c>
      <c r="CA498" s="8" t="s">
        <v>92</v>
      </c>
      <c r="CB498" s="20" t="s">
        <v>129</v>
      </c>
      <c r="CC498" s="20" t="s">
        <v>1195</v>
      </c>
      <c r="CD498" s="20" t="s">
        <v>660</v>
      </c>
      <c r="CE498" s="18"/>
      <c r="CF498" s="18"/>
      <c r="CG498" s="18"/>
      <c r="CH498" s="18"/>
    </row>
    <row r="499">
      <c r="A499" s="8"/>
      <c r="B499" s="9" t="s">
        <v>2246</v>
      </c>
      <c r="C499" s="10" t="s">
        <v>2247</v>
      </c>
      <c r="D499" s="9" t="s">
        <v>1670</v>
      </c>
      <c r="E499" s="11" t="s">
        <v>2254</v>
      </c>
      <c r="F499" s="12"/>
      <c r="G499" s="14" t="s">
        <v>2255</v>
      </c>
      <c r="H499" s="14" t="s">
        <v>110</v>
      </c>
      <c r="I499" s="14" t="s">
        <v>2256</v>
      </c>
      <c r="J499" s="14" t="s">
        <v>93</v>
      </c>
      <c r="K499" s="14" t="s">
        <v>92</v>
      </c>
      <c r="L499" s="14" t="s">
        <v>93</v>
      </c>
      <c r="M499" s="14" t="s">
        <v>92</v>
      </c>
      <c r="N499" s="14" t="s">
        <v>92</v>
      </c>
      <c r="O499" s="14" t="s">
        <v>92</v>
      </c>
      <c r="P499" s="14" t="s">
        <v>92</v>
      </c>
      <c r="Q499" s="14" t="s">
        <v>92</v>
      </c>
      <c r="R499" s="14" t="s">
        <v>92</v>
      </c>
      <c r="S499" s="14" t="s">
        <v>93</v>
      </c>
      <c r="T499" s="14" t="s">
        <v>92</v>
      </c>
      <c r="U499" s="14" t="s">
        <v>92</v>
      </c>
      <c r="V499" s="14" t="s">
        <v>92</v>
      </c>
      <c r="W499" s="14" t="s">
        <v>92</v>
      </c>
      <c r="X499" s="14" t="s">
        <v>92</v>
      </c>
      <c r="Y499" s="14" t="s">
        <v>92</v>
      </c>
      <c r="Z499" s="14" t="s">
        <v>93</v>
      </c>
      <c r="AA499" s="14" t="s">
        <v>92</v>
      </c>
      <c r="AB499" s="8" t="s">
        <v>92</v>
      </c>
      <c r="AC499" s="8" t="s">
        <v>93</v>
      </c>
      <c r="AD499" s="8" t="s">
        <v>93</v>
      </c>
      <c r="AE499" s="14" t="s">
        <v>112</v>
      </c>
      <c r="AF499" s="14" t="s">
        <v>93</v>
      </c>
      <c r="AG499" s="14" t="s">
        <v>105</v>
      </c>
      <c r="AH499" s="8">
        <v>2021.0</v>
      </c>
      <c r="AI499" s="14" t="s">
        <v>92</v>
      </c>
      <c r="AJ499" s="14" t="s">
        <v>93</v>
      </c>
      <c r="AK499" s="14" t="s">
        <v>93</v>
      </c>
      <c r="AL499" s="14" t="s">
        <v>93</v>
      </c>
      <c r="AM499" s="8" t="s">
        <v>95</v>
      </c>
      <c r="AN499" s="14" t="s">
        <v>114</v>
      </c>
      <c r="AO499" s="8" t="s">
        <v>93</v>
      </c>
      <c r="AP499" s="8" t="s">
        <v>92</v>
      </c>
      <c r="AQ499" s="14" t="s">
        <v>92</v>
      </c>
      <c r="AR499" s="14" t="s">
        <v>92</v>
      </c>
      <c r="AS499" s="14" t="s">
        <v>93</v>
      </c>
      <c r="AT499" s="14" t="s">
        <v>93</v>
      </c>
      <c r="AU499" s="14" t="s">
        <v>93</v>
      </c>
      <c r="AV499" s="14" t="s">
        <v>93</v>
      </c>
      <c r="AW499" s="14" t="s">
        <v>93</v>
      </c>
      <c r="AX499" s="14" t="s">
        <v>93</v>
      </c>
      <c r="AY499" s="8" t="s">
        <v>95</v>
      </c>
      <c r="AZ499" s="8" t="s">
        <v>95</v>
      </c>
      <c r="BA499" s="9" t="s">
        <v>2246</v>
      </c>
      <c r="BB499" s="8" t="s">
        <v>97</v>
      </c>
      <c r="BC499" s="8" t="s">
        <v>92</v>
      </c>
      <c r="BD499" s="14" t="s">
        <v>93</v>
      </c>
      <c r="BE499" s="14" t="s">
        <v>92</v>
      </c>
      <c r="BF499" s="14" t="s">
        <v>92</v>
      </c>
      <c r="BG499" s="14" t="s">
        <v>92</v>
      </c>
      <c r="BH499" s="14" t="s">
        <v>92</v>
      </c>
      <c r="BI499" s="14" t="s">
        <v>92</v>
      </c>
      <c r="BJ499" s="14" t="s">
        <v>92</v>
      </c>
      <c r="BK499" s="14" t="s">
        <v>105</v>
      </c>
      <c r="BL499" s="14" t="s">
        <v>105</v>
      </c>
      <c r="BM499" s="14" t="s">
        <v>105</v>
      </c>
      <c r="BN499" s="14" t="s">
        <v>105</v>
      </c>
      <c r="BO499" s="14" t="s">
        <v>105</v>
      </c>
      <c r="BP499" s="14" t="s">
        <v>105</v>
      </c>
      <c r="BQ499" s="8" t="s">
        <v>92</v>
      </c>
      <c r="BR499" s="8" t="s">
        <v>92</v>
      </c>
      <c r="BS499" s="8" t="s">
        <v>92</v>
      </c>
      <c r="BT499" s="8" t="s">
        <v>93</v>
      </c>
      <c r="BU499" s="8" t="s">
        <v>92</v>
      </c>
      <c r="BV499" s="8" t="s">
        <v>92</v>
      </c>
      <c r="BW499" s="8" t="s">
        <v>92</v>
      </c>
      <c r="BX499" s="8" t="s">
        <v>92</v>
      </c>
      <c r="BY499" s="8" t="s">
        <v>92</v>
      </c>
      <c r="BZ499" s="8" t="s">
        <v>93</v>
      </c>
      <c r="CA499" s="8" t="s">
        <v>92</v>
      </c>
      <c r="CB499" s="20" t="s">
        <v>129</v>
      </c>
      <c r="CC499" s="20" t="s">
        <v>1195</v>
      </c>
      <c r="CD499" s="20" t="s">
        <v>660</v>
      </c>
      <c r="CE499" s="18"/>
      <c r="CF499" s="18"/>
      <c r="CG499" s="18"/>
      <c r="CH499" s="18"/>
    </row>
    <row r="500">
      <c r="A500" s="8"/>
      <c r="B500" s="9" t="s">
        <v>2246</v>
      </c>
      <c r="C500" s="10" t="s">
        <v>2247</v>
      </c>
      <c r="D500" s="9" t="s">
        <v>1670</v>
      </c>
      <c r="E500" s="11" t="s">
        <v>1349</v>
      </c>
      <c r="F500" s="12"/>
      <c r="G500" s="14" t="s">
        <v>1350</v>
      </c>
      <c r="H500" s="14" t="s">
        <v>90</v>
      </c>
      <c r="I500" s="14" t="s">
        <v>1351</v>
      </c>
      <c r="J500" s="14" t="s">
        <v>92</v>
      </c>
      <c r="K500" s="14" t="s">
        <v>92</v>
      </c>
      <c r="L500" s="14" t="s">
        <v>92</v>
      </c>
      <c r="M500" s="14" t="s">
        <v>92</v>
      </c>
      <c r="N500" s="14" t="s">
        <v>92</v>
      </c>
      <c r="O500" s="14" t="s">
        <v>92</v>
      </c>
      <c r="P500" s="14" t="s">
        <v>92</v>
      </c>
      <c r="Q500" s="14" t="s">
        <v>92</v>
      </c>
      <c r="R500" s="14" t="s">
        <v>92</v>
      </c>
      <c r="S500" s="14" t="s">
        <v>92</v>
      </c>
      <c r="T500" s="14" t="s">
        <v>92</v>
      </c>
      <c r="U500" s="14" t="s">
        <v>92</v>
      </c>
      <c r="V500" s="14" t="s">
        <v>92</v>
      </c>
      <c r="W500" s="14" t="s">
        <v>92</v>
      </c>
      <c r="X500" s="14" t="s">
        <v>92</v>
      </c>
      <c r="Y500" s="14" t="s">
        <v>92</v>
      </c>
      <c r="Z500" s="14" t="s">
        <v>93</v>
      </c>
      <c r="AA500" s="14" t="s">
        <v>92</v>
      </c>
      <c r="AB500" s="8" t="s">
        <v>92</v>
      </c>
      <c r="AC500" s="8" t="s">
        <v>93</v>
      </c>
      <c r="AD500" s="8" t="s">
        <v>92</v>
      </c>
      <c r="AE500" s="14" t="s">
        <v>112</v>
      </c>
      <c r="AF500" s="14" t="s">
        <v>92</v>
      </c>
      <c r="AG500" s="14" t="s">
        <v>95</v>
      </c>
      <c r="AH500" s="8">
        <v>2022.0</v>
      </c>
      <c r="AI500" s="14" t="s">
        <v>92</v>
      </c>
      <c r="AJ500" s="14" t="s">
        <v>92</v>
      </c>
      <c r="AK500" s="14" t="s">
        <v>93</v>
      </c>
      <c r="AL500" s="14" t="s">
        <v>93</v>
      </c>
      <c r="AM500" s="8">
        <v>2023.0</v>
      </c>
      <c r="AN500" s="14" t="s">
        <v>96</v>
      </c>
      <c r="AO500" s="8" t="s">
        <v>92</v>
      </c>
      <c r="AP500" s="8" t="s">
        <v>92</v>
      </c>
      <c r="AQ500" s="14" t="s">
        <v>92</v>
      </c>
      <c r="AR500" s="14" t="s">
        <v>92</v>
      </c>
      <c r="AS500" s="14" t="s">
        <v>93</v>
      </c>
      <c r="AT500" s="14" t="s">
        <v>93</v>
      </c>
      <c r="AU500" s="14" t="s">
        <v>93</v>
      </c>
      <c r="AV500" s="14" t="s">
        <v>93</v>
      </c>
      <c r="AW500" s="14" t="s">
        <v>93</v>
      </c>
      <c r="AX500" s="14" t="s">
        <v>93</v>
      </c>
      <c r="AY500" s="8" t="s">
        <v>2257</v>
      </c>
      <c r="AZ500" s="8" t="s">
        <v>93</v>
      </c>
      <c r="BA500" s="9" t="s">
        <v>1353</v>
      </c>
      <c r="BB500" s="8" t="s">
        <v>95</v>
      </c>
      <c r="BC500" s="8" t="s">
        <v>93</v>
      </c>
      <c r="BD500" s="14" t="s">
        <v>93</v>
      </c>
      <c r="BE500" s="14" t="s">
        <v>92</v>
      </c>
      <c r="BF500" s="14" t="s">
        <v>92</v>
      </c>
      <c r="BG500" s="14" t="s">
        <v>92</v>
      </c>
      <c r="BH500" s="14" t="s">
        <v>92</v>
      </c>
      <c r="BI500" s="14" t="s">
        <v>92</v>
      </c>
      <c r="BJ500" s="14" t="s">
        <v>92</v>
      </c>
      <c r="BK500" s="14" t="s">
        <v>105</v>
      </c>
      <c r="BL500" s="14" t="s">
        <v>105</v>
      </c>
      <c r="BM500" s="14" t="s">
        <v>105</v>
      </c>
      <c r="BN500" s="14" t="s">
        <v>105</v>
      </c>
      <c r="BO500" s="14" t="s">
        <v>105</v>
      </c>
      <c r="BP500" s="14" t="s">
        <v>105</v>
      </c>
      <c r="BQ500" s="8" t="s">
        <v>92</v>
      </c>
      <c r="BR500" s="8" t="s">
        <v>92</v>
      </c>
      <c r="BS500" s="8" t="s">
        <v>92</v>
      </c>
      <c r="BT500" s="8" t="s">
        <v>93</v>
      </c>
      <c r="BU500" s="8" t="s">
        <v>92</v>
      </c>
      <c r="BV500" s="8" t="s">
        <v>92</v>
      </c>
      <c r="BW500" s="8" t="s">
        <v>92</v>
      </c>
      <c r="BX500" s="8" t="s">
        <v>92</v>
      </c>
      <c r="BY500" s="8" t="s">
        <v>92</v>
      </c>
      <c r="BZ500" s="8" t="s">
        <v>92</v>
      </c>
      <c r="CA500" s="8" t="s">
        <v>92</v>
      </c>
      <c r="CB500" s="20" t="s">
        <v>1195</v>
      </c>
      <c r="CC500" s="17"/>
      <c r="CD500" s="18"/>
      <c r="CE500" s="18"/>
      <c r="CF500" s="18"/>
      <c r="CG500" s="18"/>
      <c r="CH500" s="18"/>
    </row>
    <row r="501">
      <c r="A501" s="8"/>
      <c r="B501" s="9" t="s">
        <v>2246</v>
      </c>
      <c r="C501" s="10" t="s">
        <v>2247</v>
      </c>
      <c r="D501" s="9" t="s">
        <v>1670</v>
      </c>
      <c r="E501" s="11" t="s">
        <v>2258</v>
      </c>
      <c r="F501" s="12"/>
      <c r="G501" s="14" t="s">
        <v>2259</v>
      </c>
      <c r="H501" s="14" t="s">
        <v>90</v>
      </c>
      <c r="I501" s="14" t="s">
        <v>2260</v>
      </c>
      <c r="J501" s="14" t="s">
        <v>92</v>
      </c>
      <c r="K501" s="14" t="s">
        <v>92</v>
      </c>
      <c r="L501" s="14" t="s">
        <v>92</v>
      </c>
      <c r="M501" s="14" t="s">
        <v>93</v>
      </c>
      <c r="N501" s="14" t="s">
        <v>92</v>
      </c>
      <c r="O501" s="14" t="s">
        <v>92</v>
      </c>
      <c r="P501" s="14" t="s">
        <v>92</v>
      </c>
      <c r="Q501" s="14" t="s">
        <v>92</v>
      </c>
      <c r="R501" s="14" t="s">
        <v>92</v>
      </c>
      <c r="S501" s="14" t="s">
        <v>92</v>
      </c>
      <c r="T501" s="14" t="s">
        <v>92</v>
      </c>
      <c r="U501" s="14" t="s">
        <v>93</v>
      </c>
      <c r="V501" s="14" t="s">
        <v>92</v>
      </c>
      <c r="W501" s="14" t="s">
        <v>92</v>
      </c>
      <c r="X501" s="14" t="s">
        <v>93</v>
      </c>
      <c r="Y501" s="14" t="s">
        <v>92</v>
      </c>
      <c r="Z501" s="14" t="s">
        <v>92</v>
      </c>
      <c r="AA501" s="14" t="s">
        <v>92</v>
      </c>
      <c r="AB501" s="8" t="s">
        <v>93</v>
      </c>
      <c r="AC501" s="8" t="s">
        <v>92</v>
      </c>
      <c r="AD501" s="8" t="s">
        <v>92</v>
      </c>
      <c r="AE501" s="14" t="s">
        <v>148</v>
      </c>
      <c r="AF501" s="14" t="s">
        <v>92</v>
      </c>
      <c r="AG501" s="14" t="s">
        <v>95</v>
      </c>
      <c r="AH501" s="8" t="s">
        <v>105</v>
      </c>
      <c r="AI501" s="14" t="s">
        <v>92</v>
      </c>
      <c r="AJ501" s="14" t="s">
        <v>92</v>
      </c>
      <c r="AK501" s="14" t="s">
        <v>92</v>
      </c>
      <c r="AL501" s="14" t="s">
        <v>93</v>
      </c>
      <c r="AM501" s="8" t="s">
        <v>105</v>
      </c>
      <c r="AN501" s="14" t="s">
        <v>105</v>
      </c>
      <c r="AO501" s="8" t="s">
        <v>105</v>
      </c>
      <c r="AP501" s="8" t="s">
        <v>92</v>
      </c>
      <c r="AQ501" s="14" t="s">
        <v>92</v>
      </c>
      <c r="AR501" s="14" t="s">
        <v>92</v>
      </c>
      <c r="AS501" s="14" t="s">
        <v>93</v>
      </c>
      <c r="AT501" s="14" t="s">
        <v>93</v>
      </c>
      <c r="AU501" s="14" t="s">
        <v>93</v>
      </c>
      <c r="AV501" s="14" t="s">
        <v>93</v>
      </c>
      <c r="AW501" s="14" t="s">
        <v>93</v>
      </c>
      <c r="AX501" s="14" t="s">
        <v>93</v>
      </c>
      <c r="AY501" s="8" t="s">
        <v>95</v>
      </c>
      <c r="AZ501" s="8" t="s">
        <v>95</v>
      </c>
      <c r="BA501" s="9" t="s">
        <v>2246</v>
      </c>
      <c r="BB501" s="8" t="s">
        <v>97</v>
      </c>
      <c r="BC501" s="8" t="s">
        <v>92</v>
      </c>
      <c r="BD501" s="14" t="s">
        <v>93</v>
      </c>
      <c r="BE501" s="14" t="s">
        <v>92</v>
      </c>
      <c r="BF501" s="14" t="s">
        <v>92</v>
      </c>
      <c r="BG501" s="14" t="s">
        <v>92</v>
      </c>
      <c r="BH501" s="14" t="s">
        <v>92</v>
      </c>
      <c r="BI501" s="14" t="s">
        <v>93</v>
      </c>
      <c r="BJ501" s="14" t="s">
        <v>92</v>
      </c>
      <c r="BK501" s="14" t="s">
        <v>482</v>
      </c>
      <c r="BL501" s="14" t="s">
        <v>92</v>
      </c>
      <c r="BM501" s="14" t="s">
        <v>92</v>
      </c>
      <c r="BN501" s="14" t="s">
        <v>92</v>
      </c>
      <c r="BO501" s="14" t="s">
        <v>93</v>
      </c>
      <c r="BP501" s="14" t="s">
        <v>92</v>
      </c>
      <c r="BQ501" s="8" t="s">
        <v>93</v>
      </c>
      <c r="BR501" s="8" t="s">
        <v>92</v>
      </c>
      <c r="BS501" s="8" t="s">
        <v>92</v>
      </c>
      <c r="BT501" s="8" t="s">
        <v>92</v>
      </c>
      <c r="BU501" s="8" t="s">
        <v>92</v>
      </c>
      <c r="BV501" s="8" t="s">
        <v>92</v>
      </c>
      <c r="BW501" s="8" t="s">
        <v>92</v>
      </c>
      <c r="BX501" s="8" t="s">
        <v>93</v>
      </c>
      <c r="BY501" s="8" t="s">
        <v>93</v>
      </c>
      <c r="BZ501" s="8" t="s">
        <v>92</v>
      </c>
      <c r="CA501" s="8" t="s">
        <v>92</v>
      </c>
      <c r="CB501" s="20" t="s">
        <v>660</v>
      </c>
      <c r="CC501" s="17"/>
      <c r="CD501" s="18"/>
      <c r="CE501" s="18"/>
      <c r="CF501" s="18"/>
      <c r="CG501" s="18"/>
      <c r="CH501" s="18"/>
    </row>
    <row r="502">
      <c r="A502" s="8"/>
      <c r="B502" s="9" t="s">
        <v>2246</v>
      </c>
      <c r="C502" s="10" t="s">
        <v>2247</v>
      </c>
      <c r="D502" s="9" t="s">
        <v>1670</v>
      </c>
      <c r="E502" s="11" t="s">
        <v>2261</v>
      </c>
      <c r="F502" s="12"/>
      <c r="G502" s="14" t="s">
        <v>2262</v>
      </c>
      <c r="H502" s="14" t="s">
        <v>253</v>
      </c>
      <c r="I502" s="14" t="s">
        <v>2263</v>
      </c>
      <c r="J502" s="14" t="s">
        <v>92</v>
      </c>
      <c r="K502" s="14" t="s">
        <v>92</v>
      </c>
      <c r="L502" s="14" t="s">
        <v>93</v>
      </c>
      <c r="M502" s="14" t="s">
        <v>92</v>
      </c>
      <c r="N502" s="14" t="s">
        <v>92</v>
      </c>
      <c r="O502" s="14" t="s">
        <v>92</v>
      </c>
      <c r="P502" s="14" t="s">
        <v>92</v>
      </c>
      <c r="Q502" s="14" t="s">
        <v>92</v>
      </c>
      <c r="R502" s="14" t="s">
        <v>92</v>
      </c>
      <c r="S502" s="14" t="s">
        <v>92</v>
      </c>
      <c r="T502" s="14" t="s">
        <v>92</v>
      </c>
      <c r="U502" s="14" t="s">
        <v>93</v>
      </c>
      <c r="V502" s="14" t="s">
        <v>92</v>
      </c>
      <c r="W502" s="14" t="s">
        <v>92</v>
      </c>
      <c r="X502" s="14" t="s">
        <v>92</v>
      </c>
      <c r="Y502" s="14" t="s">
        <v>92</v>
      </c>
      <c r="Z502" s="14" t="s">
        <v>93</v>
      </c>
      <c r="AA502" s="14" t="s">
        <v>92</v>
      </c>
      <c r="AB502" s="8" t="s">
        <v>92</v>
      </c>
      <c r="AC502" s="8" t="s">
        <v>93</v>
      </c>
      <c r="AD502" s="8" t="s">
        <v>92</v>
      </c>
      <c r="AE502" s="14" t="s">
        <v>148</v>
      </c>
      <c r="AF502" s="14" t="s">
        <v>92</v>
      </c>
      <c r="AG502" s="14" t="s">
        <v>95</v>
      </c>
      <c r="AH502" s="8" t="s">
        <v>95</v>
      </c>
      <c r="AI502" s="14" t="s">
        <v>92</v>
      </c>
      <c r="AJ502" s="14" t="s">
        <v>92</v>
      </c>
      <c r="AK502" s="14" t="s">
        <v>92</v>
      </c>
      <c r="AL502" s="14" t="s">
        <v>93</v>
      </c>
      <c r="AM502" s="15" t="s">
        <v>95</v>
      </c>
      <c r="AN502" s="14" t="s">
        <v>95</v>
      </c>
      <c r="AO502" s="8" t="s">
        <v>95</v>
      </c>
      <c r="AP502" s="8" t="s">
        <v>92</v>
      </c>
      <c r="AQ502" s="14" t="s">
        <v>92</v>
      </c>
      <c r="AR502" s="14" t="s">
        <v>92</v>
      </c>
      <c r="AS502" s="14" t="s">
        <v>93</v>
      </c>
      <c r="AT502" s="14" t="s">
        <v>93</v>
      </c>
      <c r="AU502" s="14" t="s">
        <v>93</v>
      </c>
      <c r="AV502" s="14" t="s">
        <v>93</v>
      </c>
      <c r="AW502" s="14" t="s">
        <v>93</v>
      </c>
      <c r="AX502" s="14" t="s">
        <v>93</v>
      </c>
      <c r="AY502" s="8" t="s">
        <v>95</v>
      </c>
      <c r="AZ502" s="8" t="s">
        <v>95</v>
      </c>
      <c r="BA502" s="9" t="s">
        <v>2264</v>
      </c>
      <c r="BB502" s="8" t="s">
        <v>213</v>
      </c>
      <c r="BC502" s="8" t="s">
        <v>92</v>
      </c>
      <c r="BD502" s="14" t="s">
        <v>93</v>
      </c>
      <c r="BE502" s="14" t="s">
        <v>92</v>
      </c>
      <c r="BF502" s="14" t="s">
        <v>92</v>
      </c>
      <c r="BG502" s="14" t="s">
        <v>92</v>
      </c>
      <c r="BH502" s="14" t="s">
        <v>92</v>
      </c>
      <c r="BI502" s="14" t="s">
        <v>92</v>
      </c>
      <c r="BJ502" s="14" t="s">
        <v>93</v>
      </c>
      <c r="BK502" s="14" t="s">
        <v>105</v>
      </c>
      <c r="BL502" s="14" t="s">
        <v>105</v>
      </c>
      <c r="BM502" s="14" t="s">
        <v>105</v>
      </c>
      <c r="BN502" s="14" t="s">
        <v>105</v>
      </c>
      <c r="BO502" s="14" t="s">
        <v>105</v>
      </c>
      <c r="BP502" s="14" t="s">
        <v>105</v>
      </c>
      <c r="BQ502" s="8" t="s">
        <v>92</v>
      </c>
      <c r="BR502" s="8" t="s">
        <v>92</v>
      </c>
      <c r="BS502" s="8" t="s">
        <v>92</v>
      </c>
      <c r="BT502" s="8" t="s">
        <v>93</v>
      </c>
      <c r="BU502" s="8" t="s">
        <v>93</v>
      </c>
      <c r="BV502" s="8" t="s">
        <v>92</v>
      </c>
      <c r="BW502" s="8" t="s">
        <v>92</v>
      </c>
      <c r="BX502" s="8" t="s">
        <v>92</v>
      </c>
      <c r="BY502" s="8" t="s">
        <v>92</v>
      </c>
      <c r="BZ502" s="8" t="s">
        <v>93</v>
      </c>
      <c r="CA502" s="8" t="s">
        <v>92</v>
      </c>
      <c r="CB502" s="20" t="s">
        <v>660</v>
      </c>
      <c r="CC502" s="24" t="s">
        <v>2265</v>
      </c>
      <c r="CD502" s="18"/>
      <c r="CE502" s="18"/>
      <c r="CF502" s="18"/>
      <c r="CG502" s="18"/>
      <c r="CH502" s="18"/>
    </row>
    <row r="503">
      <c r="A503" s="8"/>
      <c r="B503" s="9" t="s">
        <v>2246</v>
      </c>
      <c r="C503" s="10" t="s">
        <v>2247</v>
      </c>
      <c r="D503" s="9" t="s">
        <v>1670</v>
      </c>
      <c r="E503" s="11" t="s">
        <v>2266</v>
      </c>
      <c r="F503" s="12"/>
      <c r="G503" s="14" t="s">
        <v>2267</v>
      </c>
      <c r="H503" s="14" t="s">
        <v>90</v>
      </c>
      <c r="I503" s="14" t="s">
        <v>2268</v>
      </c>
      <c r="J503" s="14" t="s">
        <v>92</v>
      </c>
      <c r="K503" s="14" t="s">
        <v>92</v>
      </c>
      <c r="L503" s="14" t="s">
        <v>92</v>
      </c>
      <c r="M503" s="14" t="s">
        <v>92</v>
      </c>
      <c r="N503" s="14" t="s">
        <v>92</v>
      </c>
      <c r="O503" s="14" t="s">
        <v>92</v>
      </c>
      <c r="P503" s="14" t="s">
        <v>92</v>
      </c>
      <c r="Q503" s="14" t="s">
        <v>92</v>
      </c>
      <c r="R503" s="14" t="s">
        <v>92</v>
      </c>
      <c r="S503" s="14" t="s">
        <v>92</v>
      </c>
      <c r="T503" s="14" t="s">
        <v>92</v>
      </c>
      <c r="U503" s="14" t="s">
        <v>92</v>
      </c>
      <c r="V503" s="14" t="s">
        <v>92</v>
      </c>
      <c r="W503" s="14" t="s">
        <v>92</v>
      </c>
      <c r="X503" s="14" t="s">
        <v>92</v>
      </c>
      <c r="Y503" s="14" t="s">
        <v>92</v>
      </c>
      <c r="Z503" s="14" t="s">
        <v>93</v>
      </c>
      <c r="AA503" s="14" t="s">
        <v>92</v>
      </c>
      <c r="AB503" s="8" t="s">
        <v>92</v>
      </c>
      <c r="AC503" s="8" t="s">
        <v>93</v>
      </c>
      <c r="AD503" s="8" t="s">
        <v>92</v>
      </c>
      <c r="AE503" s="14" t="s">
        <v>112</v>
      </c>
      <c r="AF503" s="14" t="s">
        <v>92</v>
      </c>
      <c r="AG503" s="14" t="s">
        <v>95</v>
      </c>
      <c r="AH503" s="8">
        <v>2022.0</v>
      </c>
      <c r="AI503" s="14" t="s">
        <v>92</v>
      </c>
      <c r="AJ503" s="14" t="s">
        <v>92</v>
      </c>
      <c r="AK503" s="14" t="s">
        <v>93</v>
      </c>
      <c r="AL503" s="14" t="s">
        <v>92</v>
      </c>
      <c r="AM503" s="8" t="s">
        <v>105</v>
      </c>
      <c r="AN503" s="14" t="s">
        <v>105</v>
      </c>
      <c r="AO503" s="8" t="s">
        <v>105</v>
      </c>
      <c r="AP503" s="8" t="s">
        <v>92</v>
      </c>
      <c r="AQ503" s="14" t="s">
        <v>92</v>
      </c>
      <c r="AR503" s="14" t="s">
        <v>92</v>
      </c>
      <c r="AS503" s="14" t="s">
        <v>93</v>
      </c>
      <c r="AT503" s="14" t="s">
        <v>93</v>
      </c>
      <c r="AU503" s="14" t="s">
        <v>93</v>
      </c>
      <c r="AV503" s="14" t="s">
        <v>93</v>
      </c>
      <c r="AW503" s="14" t="s">
        <v>93</v>
      </c>
      <c r="AX503" s="14" t="s">
        <v>93</v>
      </c>
      <c r="AY503" s="8" t="s">
        <v>95</v>
      </c>
      <c r="AZ503" s="8" t="s">
        <v>95</v>
      </c>
      <c r="BA503" s="9" t="s">
        <v>2246</v>
      </c>
      <c r="BB503" s="8" t="s">
        <v>97</v>
      </c>
      <c r="BC503" s="8" t="s">
        <v>92</v>
      </c>
      <c r="BD503" s="14" t="s">
        <v>92</v>
      </c>
      <c r="BE503" s="14" t="s">
        <v>92</v>
      </c>
      <c r="BF503" s="14" t="s">
        <v>92</v>
      </c>
      <c r="BG503" s="14" t="s">
        <v>92</v>
      </c>
      <c r="BH503" s="14" t="s">
        <v>92</v>
      </c>
      <c r="BI503" s="14" t="s">
        <v>92</v>
      </c>
      <c r="BJ503" s="14" t="s">
        <v>92</v>
      </c>
      <c r="BK503" s="14" t="s">
        <v>95</v>
      </c>
      <c r="BL503" s="14" t="s">
        <v>93</v>
      </c>
      <c r="BM503" s="14" t="s">
        <v>93</v>
      </c>
      <c r="BN503" s="14" t="s">
        <v>93</v>
      </c>
      <c r="BO503" s="14" t="s">
        <v>93</v>
      </c>
      <c r="BP503" s="14" t="s">
        <v>93</v>
      </c>
      <c r="BQ503" s="8" t="s">
        <v>92</v>
      </c>
      <c r="BR503" s="8" t="s">
        <v>92</v>
      </c>
      <c r="BS503" s="8" t="s">
        <v>92</v>
      </c>
      <c r="BT503" s="8" t="s">
        <v>93</v>
      </c>
      <c r="BU503" s="8" t="s">
        <v>93</v>
      </c>
      <c r="BV503" s="8" t="s">
        <v>92</v>
      </c>
      <c r="BW503" s="8" t="s">
        <v>92</v>
      </c>
      <c r="BX503" s="8" t="s">
        <v>92</v>
      </c>
      <c r="BY503" s="8" t="s">
        <v>92</v>
      </c>
      <c r="BZ503" s="8" t="s">
        <v>92</v>
      </c>
      <c r="CA503" s="8" t="s">
        <v>92</v>
      </c>
      <c r="CB503" s="20" t="s">
        <v>1195</v>
      </c>
      <c r="CC503" s="31"/>
      <c r="CD503" s="18"/>
      <c r="CE503" s="18"/>
      <c r="CF503" s="18"/>
      <c r="CG503" s="18"/>
      <c r="CH503" s="18"/>
    </row>
    <row r="504">
      <c r="A504" s="8"/>
      <c r="B504" s="9" t="s">
        <v>2246</v>
      </c>
      <c r="C504" s="10" t="s">
        <v>2247</v>
      </c>
      <c r="D504" s="9" t="s">
        <v>1670</v>
      </c>
      <c r="E504" s="11" t="s">
        <v>2269</v>
      </c>
      <c r="F504" s="12"/>
      <c r="G504" s="14" t="s">
        <v>2270</v>
      </c>
      <c r="H504" s="14" t="s">
        <v>90</v>
      </c>
      <c r="I504" s="14" t="s">
        <v>2271</v>
      </c>
      <c r="J504" s="14" t="s">
        <v>93</v>
      </c>
      <c r="K504" s="14" t="s">
        <v>92</v>
      </c>
      <c r="L504" s="14" t="s">
        <v>92</v>
      </c>
      <c r="M504" s="14" t="s">
        <v>92</v>
      </c>
      <c r="N504" s="14" t="s">
        <v>92</v>
      </c>
      <c r="O504" s="14" t="s">
        <v>92</v>
      </c>
      <c r="P504" s="14" t="s">
        <v>92</v>
      </c>
      <c r="Q504" s="14" t="s">
        <v>92</v>
      </c>
      <c r="R504" s="14" t="s">
        <v>92</v>
      </c>
      <c r="S504" s="14" t="s">
        <v>93</v>
      </c>
      <c r="T504" s="14" t="s">
        <v>92</v>
      </c>
      <c r="U504" s="14" t="s">
        <v>92</v>
      </c>
      <c r="V504" s="14" t="s">
        <v>92</v>
      </c>
      <c r="W504" s="14" t="s">
        <v>92</v>
      </c>
      <c r="X504" s="14" t="s">
        <v>93</v>
      </c>
      <c r="Y504" s="14" t="s">
        <v>92</v>
      </c>
      <c r="Z504" s="14" t="s">
        <v>93</v>
      </c>
      <c r="AA504" s="14" t="s">
        <v>92</v>
      </c>
      <c r="AB504" s="8" t="s">
        <v>92</v>
      </c>
      <c r="AC504" s="8" t="s">
        <v>93</v>
      </c>
      <c r="AD504" s="8" t="s">
        <v>92</v>
      </c>
      <c r="AE504" s="14" t="s">
        <v>112</v>
      </c>
      <c r="AF504" s="14" t="s">
        <v>92</v>
      </c>
      <c r="AG504" s="14" t="s">
        <v>95</v>
      </c>
      <c r="AH504" s="8" t="s">
        <v>105</v>
      </c>
      <c r="AI504" s="14" t="s">
        <v>92</v>
      </c>
      <c r="AJ504" s="14" t="s">
        <v>93</v>
      </c>
      <c r="AK504" s="14" t="s">
        <v>93</v>
      </c>
      <c r="AL504" s="14" t="s">
        <v>93</v>
      </c>
      <c r="AM504" s="8" t="s">
        <v>95</v>
      </c>
      <c r="AN504" s="14" t="s">
        <v>114</v>
      </c>
      <c r="AO504" s="8" t="s">
        <v>93</v>
      </c>
      <c r="AP504" s="8" t="s">
        <v>92</v>
      </c>
      <c r="AQ504" s="14" t="s">
        <v>92</v>
      </c>
      <c r="AR504" s="14" t="s">
        <v>92</v>
      </c>
      <c r="AS504" s="14" t="s">
        <v>93</v>
      </c>
      <c r="AT504" s="14" t="s">
        <v>93</v>
      </c>
      <c r="AU504" s="14" t="s">
        <v>93</v>
      </c>
      <c r="AV504" s="14" t="s">
        <v>93</v>
      </c>
      <c r="AW504" s="14" t="s">
        <v>93</v>
      </c>
      <c r="AX504" s="14" t="s">
        <v>93</v>
      </c>
      <c r="AY504" s="8" t="s">
        <v>95</v>
      </c>
      <c r="AZ504" s="8" t="s">
        <v>95</v>
      </c>
      <c r="BA504" s="9" t="s">
        <v>2246</v>
      </c>
      <c r="BB504" s="8" t="s">
        <v>97</v>
      </c>
      <c r="BC504" s="8" t="s">
        <v>92</v>
      </c>
      <c r="BD504" s="14" t="s">
        <v>93</v>
      </c>
      <c r="BE504" s="14" t="s">
        <v>92</v>
      </c>
      <c r="BF504" s="14" t="s">
        <v>92</v>
      </c>
      <c r="BG504" s="14" t="s">
        <v>92</v>
      </c>
      <c r="BH504" s="14" t="s">
        <v>92</v>
      </c>
      <c r="BI504" s="14" t="s">
        <v>92</v>
      </c>
      <c r="BJ504" s="14" t="s">
        <v>92</v>
      </c>
      <c r="BK504" s="14" t="s">
        <v>2272</v>
      </c>
      <c r="BL504" s="14" t="s">
        <v>93</v>
      </c>
      <c r="BM504" s="14" t="s">
        <v>92</v>
      </c>
      <c r="BN504" s="14" t="s">
        <v>93</v>
      </c>
      <c r="BO504" s="14" t="s">
        <v>93</v>
      </c>
      <c r="BP504" s="14" t="s">
        <v>92</v>
      </c>
      <c r="BQ504" s="8" t="s">
        <v>92</v>
      </c>
      <c r="BR504" s="8" t="s">
        <v>92</v>
      </c>
      <c r="BS504" s="8" t="s">
        <v>92</v>
      </c>
      <c r="BT504" s="8" t="s">
        <v>93</v>
      </c>
      <c r="BU504" s="8" t="s">
        <v>92</v>
      </c>
      <c r="BV504" s="8" t="s">
        <v>93</v>
      </c>
      <c r="BW504" s="8" t="s">
        <v>92</v>
      </c>
      <c r="BX504" s="8" t="s">
        <v>93</v>
      </c>
      <c r="BY504" s="8" t="s">
        <v>93</v>
      </c>
      <c r="BZ504" s="8" t="s">
        <v>92</v>
      </c>
      <c r="CA504" s="8" t="s">
        <v>92</v>
      </c>
      <c r="CB504" s="20" t="s">
        <v>129</v>
      </c>
      <c r="CC504" s="20" t="s">
        <v>1195</v>
      </c>
      <c r="CD504" s="20" t="s">
        <v>660</v>
      </c>
      <c r="CE504" s="18"/>
      <c r="CF504" s="18"/>
      <c r="CG504" s="18"/>
      <c r="CH504" s="18"/>
    </row>
    <row r="505">
      <c r="A505" s="8"/>
      <c r="B505" s="19" t="s">
        <v>2246</v>
      </c>
      <c r="C505" s="10" t="s">
        <v>2247</v>
      </c>
      <c r="D505" s="9" t="s">
        <v>1670</v>
      </c>
      <c r="E505" s="11" t="s">
        <v>2273</v>
      </c>
      <c r="F505" s="12"/>
      <c r="G505" s="14" t="s">
        <v>2274</v>
      </c>
      <c r="H505" s="14" t="s">
        <v>90</v>
      </c>
      <c r="I505" s="14" t="s">
        <v>2275</v>
      </c>
      <c r="J505" s="14" t="s">
        <v>93</v>
      </c>
      <c r="K505" s="14" t="s">
        <v>92</v>
      </c>
      <c r="L505" s="14" t="s">
        <v>92</v>
      </c>
      <c r="M505" s="14" t="s">
        <v>92</v>
      </c>
      <c r="N505" s="14" t="s">
        <v>92</v>
      </c>
      <c r="O505" s="14" t="s">
        <v>92</v>
      </c>
      <c r="P505" s="14" t="s">
        <v>92</v>
      </c>
      <c r="Q505" s="14" t="s">
        <v>92</v>
      </c>
      <c r="R505" s="14" t="s">
        <v>92</v>
      </c>
      <c r="S505" s="14" t="s">
        <v>93</v>
      </c>
      <c r="T505" s="14" t="s">
        <v>92</v>
      </c>
      <c r="U505" s="14" t="s">
        <v>92</v>
      </c>
      <c r="V505" s="14" t="s">
        <v>92</v>
      </c>
      <c r="W505" s="14" t="s">
        <v>92</v>
      </c>
      <c r="X505" s="14" t="s">
        <v>92</v>
      </c>
      <c r="Y505" s="14" t="s">
        <v>92</v>
      </c>
      <c r="Z505" s="14" t="s">
        <v>93</v>
      </c>
      <c r="AA505" s="14" t="s">
        <v>92</v>
      </c>
      <c r="AB505" s="8" t="s">
        <v>92</v>
      </c>
      <c r="AC505" s="8" t="s">
        <v>93</v>
      </c>
      <c r="AD505" s="8" t="s">
        <v>92</v>
      </c>
      <c r="AE505" s="14" t="s">
        <v>112</v>
      </c>
      <c r="AF505" s="14" t="s">
        <v>92</v>
      </c>
      <c r="AG505" s="14" t="s">
        <v>95</v>
      </c>
      <c r="AH505" s="8" t="s">
        <v>105</v>
      </c>
      <c r="AI505" s="14" t="s">
        <v>92</v>
      </c>
      <c r="AJ505" s="14" t="s">
        <v>92</v>
      </c>
      <c r="AK505" s="14" t="s">
        <v>93</v>
      </c>
      <c r="AL505" s="14" t="s">
        <v>93</v>
      </c>
      <c r="AM505" s="8" t="s">
        <v>95</v>
      </c>
      <c r="AN505" s="14" t="s">
        <v>114</v>
      </c>
      <c r="AO505" s="8" t="s">
        <v>93</v>
      </c>
      <c r="AP505" s="8" t="s">
        <v>92</v>
      </c>
      <c r="AQ505" s="14" t="s">
        <v>92</v>
      </c>
      <c r="AR505" s="14" t="s">
        <v>92</v>
      </c>
      <c r="AS505" s="14" t="s">
        <v>93</v>
      </c>
      <c r="AT505" s="14" t="s">
        <v>93</v>
      </c>
      <c r="AU505" s="14" t="s">
        <v>93</v>
      </c>
      <c r="AV505" s="14" t="s">
        <v>93</v>
      </c>
      <c r="AW505" s="14" t="s">
        <v>93</v>
      </c>
      <c r="AX505" s="14" t="s">
        <v>93</v>
      </c>
      <c r="AY505" s="8" t="s">
        <v>95</v>
      </c>
      <c r="AZ505" s="8" t="s">
        <v>95</v>
      </c>
      <c r="BA505" s="9" t="s">
        <v>2246</v>
      </c>
      <c r="BB505" s="8" t="s">
        <v>97</v>
      </c>
      <c r="BC505" s="8" t="s">
        <v>92</v>
      </c>
      <c r="BD505" s="14" t="s">
        <v>93</v>
      </c>
      <c r="BE505" s="14" t="s">
        <v>92</v>
      </c>
      <c r="BF505" s="14" t="s">
        <v>92</v>
      </c>
      <c r="BG505" s="14" t="s">
        <v>92</v>
      </c>
      <c r="BH505" s="14" t="s">
        <v>92</v>
      </c>
      <c r="BI505" s="14" t="s">
        <v>92</v>
      </c>
      <c r="BJ505" s="14" t="s">
        <v>92</v>
      </c>
      <c r="BK505" s="14" t="s">
        <v>105</v>
      </c>
      <c r="BL505" s="14" t="s">
        <v>105</v>
      </c>
      <c r="BM505" s="14" t="s">
        <v>105</v>
      </c>
      <c r="BN505" s="14" t="s">
        <v>105</v>
      </c>
      <c r="BO505" s="14" t="s">
        <v>105</v>
      </c>
      <c r="BP505" s="14" t="s">
        <v>105</v>
      </c>
      <c r="BQ505" s="8" t="s">
        <v>92</v>
      </c>
      <c r="BR505" s="8" t="s">
        <v>92</v>
      </c>
      <c r="BS505" s="8" t="s">
        <v>92</v>
      </c>
      <c r="BT505" s="8" t="s">
        <v>93</v>
      </c>
      <c r="BU505" s="8" t="s">
        <v>93</v>
      </c>
      <c r="BV505" s="8" t="s">
        <v>93</v>
      </c>
      <c r="BW505" s="8" t="s">
        <v>92</v>
      </c>
      <c r="BX505" s="8" t="s">
        <v>92</v>
      </c>
      <c r="BY505" s="8" t="s">
        <v>92</v>
      </c>
      <c r="BZ505" s="8" t="s">
        <v>92</v>
      </c>
      <c r="CA505" s="8" t="s">
        <v>92</v>
      </c>
      <c r="CB505" s="20" t="s">
        <v>1195</v>
      </c>
      <c r="CC505" s="20" t="s">
        <v>660</v>
      </c>
      <c r="CD505" s="18"/>
      <c r="CE505" s="18"/>
      <c r="CF505" s="18"/>
      <c r="CG505" s="18"/>
      <c r="CH505" s="18"/>
    </row>
    <row r="506">
      <c r="A506" s="8"/>
      <c r="B506" s="9" t="s">
        <v>2246</v>
      </c>
      <c r="C506" s="10" t="s">
        <v>2247</v>
      </c>
      <c r="D506" s="9" t="s">
        <v>1670</v>
      </c>
      <c r="E506" s="11" t="s">
        <v>2276</v>
      </c>
      <c r="F506" s="12"/>
      <c r="G506" s="14" t="s">
        <v>2277</v>
      </c>
      <c r="H506" s="14" t="s">
        <v>90</v>
      </c>
      <c r="I506" s="14" t="s">
        <v>2278</v>
      </c>
      <c r="J506" s="14" t="s">
        <v>93</v>
      </c>
      <c r="K506" s="14" t="s">
        <v>92</v>
      </c>
      <c r="L506" s="14" t="s">
        <v>93</v>
      </c>
      <c r="M506" s="14" t="s">
        <v>92</v>
      </c>
      <c r="N506" s="14" t="s">
        <v>92</v>
      </c>
      <c r="O506" s="14" t="s">
        <v>92</v>
      </c>
      <c r="P506" s="14" t="s">
        <v>92</v>
      </c>
      <c r="Q506" s="14" t="s">
        <v>92</v>
      </c>
      <c r="R506" s="14" t="s">
        <v>92</v>
      </c>
      <c r="S506" s="14" t="s">
        <v>93</v>
      </c>
      <c r="T506" s="14" t="s">
        <v>92</v>
      </c>
      <c r="U506" s="14" t="s">
        <v>92</v>
      </c>
      <c r="V506" s="14" t="s">
        <v>92</v>
      </c>
      <c r="W506" s="14" t="s">
        <v>92</v>
      </c>
      <c r="X506" s="14" t="s">
        <v>92</v>
      </c>
      <c r="Y506" s="14" t="s">
        <v>92</v>
      </c>
      <c r="Z506" s="14" t="s">
        <v>93</v>
      </c>
      <c r="AA506" s="14" t="s">
        <v>92</v>
      </c>
      <c r="AB506" s="8" t="s">
        <v>92</v>
      </c>
      <c r="AC506" s="8" t="s">
        <v>93</v>
      </c>
      <c r="AD506" s="8" t="s">
        <v>92</v>
      </c>
      <c r="AE506" s="14" t="s">
        <v>112</v>
      </c>
      <c r="AF506" s="14" t="s">
        <v>92</v>
      </c>
      <c r="AG506" s="14" t="s">
        <v>95</v>
      </c>
      <c r="AH506" s="8" t="s">
        <v>105</v>
      </c>
      <c r="AI506" s="14" t="s">
        <v>92</v>
      </c>
      <c r="AJ506" s="14" t="s">
        <v>92</v>
      </c>
      <c r="AK506" s="14" t="s">
        <v>93</v>
      </c>
      <c r="AL506" s="14" t="s">
        <v>92</v>
      </c>
      <c r="AM506" s="8" t="s">
        <v>105</v>
      </c>
      <c r="AN506" s="14" t="s">
        <v>105</v>
      </c>
      <c r="AO506" s="8" t="s">
        <v>105</v>
      </c>
      <c r="AP506" s="8" t="s">
        <v>92</v>
      </c>
      <c r="AQ506" s="14" t="s">
        <v>92</v>
      </c>
      <c r="AR506" s="14" t="s">
        <v>92</v>
      </c>
      <c r="AS506" s="14" t="s">
        <v>93</v>
      </c>
      <c r="AT506" s="14" t="s">
        <v>93</v>
      </c>
      <c r="AU506" s="14" t="s">
        <v>93</v>
      </c>
      <c r="AV506" s="14" t="s">
        <v>93</v>
      </c>
      <c r="AW506" s="14" t="s">
        <v>93</v>
      </c>
      <c r="AX506" s="14" t="s">
        <v>93</v>
      </c>
      <c r="AY506" s="8" t="s">
        <v>2279</v>
      </c>
      <c r="AZ506" s="8" t="s">
        <v>92</v>
      </c>
      <c r="BA506" s="9" t="s">
        <v>2280</v>
      </c>
      <c r="BB506" s="8" t="s">
        <v>95</v>
      </c>
      <c r="BC506" s="8" t="s">
        <v>93</v>
      </c>
      <c r="BD506" s="14" t="s">
        <v>93</v>
      </c>
      <c r="BE506" s="14" t="s">
        <v>92</v>
      </c>
      <c r="BF506" s="14" t="s">
        <v>92</v>
      </c>
      <c r="BG506" s="14" t="s">
        <v>92</v>
      </c>
      <c r="BH506" s="14" t="s">
        <v>92</v>
      </c>
      <c r="BI506" s="14" t="s">
        <v>92</v>
      </c>
      <c r="BJ506" s="14" t="s">
        <v>92</v>
      </c>
      <c r="BK506" s="14" t="s">
        <v>105</v>
      </c>
      <c r="BL506" s="14" t="s">
        <v>105</v>
      </c>
      <c r="BM506" s="14" t="s">
        <v>105</v>
      </c>
      <c r="BN506" s="14" t="s">
        <v>105</v>
      </c>
      <c r="BO506" s="14" t="s">
        <v>105</v>
      </c>
      <c r="BP506" s="14" t="s">
        <v>105</v>
      </c>
      <c r="BQ506" s="8" t="s">
        <v>92</v>
      </c>
      <c r="BR506" s="8" t="s">
        <v>92</v>
      </c>
      <c r="BS506" s="8" t="s">
        <v>92</v>
      </c>
      <c r="BT506" s="8" t="s">
        <v>93</v>
      </c>
      <c r="BU506" s="8" t="s">
        <v>92</v>
      </c>
      <c r="BV506" s="8" t="s">
        <v>92</v>
      </c>
      <c r="BW506" s="8" t="s">
        <v>92</v>
      </c>
      <c r="BX506" s="8" t="s">
        <v>92</v>
      </c>
      <c r="BY506" s="8" t="s">
        <v>92</v>
      </c>
      <c r="BZ506" s="8" t="s">
        <v>93</v>
      </c>
      <c r="CA506" s="8" t="s">
        <v>92</v>
      </c>
      <c r="CB506" s="20" t="s">
        <v>1195</v>
      </c>
      <c r="CC506" s="31"/>
      <c r="CD506" s="18"/>
      <c r="CE506" s="18"/>
      <c r="CF506" s="18"/>
      <c r="CG506" s="18"/>
      <c r="CH506" s="18"/>
    </row>
    <row r="507">
      <c r="A507" s="8"/>
      <c r="B507" s="9" t="s">
        <v>2281</v>
      </c>
      <c r="C507" s="10" t="s">
        <v>2282</v>
      </c>
      <c r="D507" s="9" t="s">
        <v>1670</v>
      </c>
      <c r="E507" s="11" t="s">
        <v>2283</v>
      </c>
      <c r="F507" s="12"/>
      <c r="G507" s="14" t="s">
        <v>2284</v>
      </c>
      <c r="H507" s="14" t="s">
        <v>90</v>
      </c>
      <c r="I507" s="14" t="s">
        <v>2285</v>
      </c>
      <c r="J507" s="14" t="s">
        <v>93</v>
      </c>
      <c r="K507" s="14" t="s">
        <v>92</v>
      </c>
      <c r="L507" s="14" t="s">
        <v>93</v>
      </c>
      <c r="M507" s="14" t="s">
        <v>92</v>
      </c>
      <c r="N507" s="14" t="s">
        <v>92</v>
      </c>
      <c r="O507" s="14" t="s">
        <v>93</v>
      </c>
      <c r="P507" s="14" t="s">
        <v>92</v>
      </c>
      <c r="Q507" s="14" t="s">
        <v>92</v>
      </c>
      <c r="R507" s="14" t="s">
        <v>92</v>
      </c>
      <c r="S507" s="14" t="s">
        <v>93</v>
      </c>
      <c r="T507" s="14" t="s">
        <v>92</v>
      </c>
      <c r="U507" s="14" t="s">
        <v>92</v>
      </c>
      <c r="V507" s="14" t="s">
        <v>92</v>
      </c>
      <c r="W507" s="14" t="s">
        <v>92</v>
      </c>
      <c r="X507" s="14" t="s">
        <v>92</v>
      </c>
      <c r="Y507" s="14" t="s">
        <v>92</v>
      </c>
      <c r="Z507" s="14" t="s">
        <v>93</v>
      </c>
      <c r="AA507" s="14" t="s">
        <v>93</v>
      </c>
      <c r="AB507" s="8" t="s">
        <v>93</v>
      </c>
      <c r="AC507" s="8" t="s">
        <v>93</v>
      </c>
      <c r="AD507" s="8" t="s">
        <v>92</v>
      </c>
      <c r="AE507" s="14" t="s">
        <v>112</v>
      </c>
      <c r="AF507" s="14" t="s">
        <v>92</v>
      </c>
      <c r="AG507" s="14" t="s">
        <v>95</v>
      </c>
      <c r="AH507" s="8">
        <v>2022.0</v>
      </c>
      <c r="AI507" s="14" t="s">
        <v>92</v>
      </c>
      <c r="AJ507" s="14" t="s">
        <v>92</v>
      </c>
      <c r="AK507" s="14" t="s">
        <v>93</v>
      </c>
      <c r="AL507" s="14" t="s">
        <v>93</v>
      </c>
      <c r="AM507" s="8" t="s">
        <v>95</v>
      </c>
      <c r="AN507" s="14" t="s">
        <v>114</v>
      </c>
      <c r="AO507" s="8" t="s">
        <v>93</v>
      </c>
      <c r="AP507" s="8" t="s">
        <v>92</v>
      </c>
      <c r="AQ507" s="14" t="s">
        <v>92</v>
      </c>
      <c r="AR507" s="14" t="s">
        <v>92</v>
      </c>
      <c r="AS507" s="14" t="s">
        <v>93</v>
      </c>
      <c r="AT507" s="14" t="s">
        <v>93</v>
      </c>
      <c r="AU507" s="14" t="s">
        <v>93</v>
      </c>
      <c r="AV507" s="14" t="s">
        <v>93</v>
      </c>
      <c r="AW507" s="14" t="s">
        <v>93</v>
      </c>
      <c r="AX507" s="14" t="s">
        <v>93</v>
      </c>
      <c r="AY507" s="8" t="s">
        <v>95</v>
      </c>
      <c r="AZ507" s="8" t="s">
        <v>95</v>
      </c>
      <c r="BA507" s="9" t="s">
        <v>2281</v>
      </c>
      <c r="BB507" s="8" t="s">
        <v>261</v>
      </c>
      <c r="BC507" s="8" t="s">
        <v>92</v>
      </c>
      <c r="BD507" s="14" t="s">
        <v>93</v>
      </c>
      <c r="BE507" s="14" t="s">
        <v>92</v>
      </c>
      <c r="BF507" s="14" t="s">
        <v>92</v>
      </c>
      <c r="BG507" s="14" t="s">
        <v>92</v>
      </c>
      <c r="BH507" s="14" t="s">
        <v>92</v>
      </c>
      <c r="BI507" s="14" t="s">
        <v>92</v>
      </c>
      <c r="BJ507" s="14" t="s">
        <v>92</v>
      </c>
      <c r="BK507" s="14" t="s">
        <v>2286</v>
      </c>
      <c r="BL507" s="14" t="s">
        <v>92</v>
      </c>
      <c r="BM507" s="14" t="s">
        <v>93</v>
      </c>
      <c r="BN507" s="14" t="s">
        <v>92</v>
      </c>
      <c r="BO507" s="14" t="s">
        <v>93</v>
      </c>
      <c r="BP507" s="14" t="s">
        <v>92</v>
      </c>
      <c r="BQ507" s="8" t="s">
        <v>92</v>
      </c>
      <c r="BR507" s="8" t="s">
        <v>92</v>
      </c>
      <c r="BS507" s="8" t="s">
        <v>93</v>
      </c>
      <c r="BT507" s="8" t="s">
        <v>93</v>
      </c>
      <c r="BU507" s="8" t="s">
        <v>93</v>
      </c>
      <c r="BV507" s="8" t="s">
        <v>92</v>
      </c>
      <c r="BW507" s="8" t="s">
        <v>92</v>
      </c>
      <c r="BX507" s="8" t="s">
        <v>92</v>
      </c>
      <c r="BY507" s="8" t="s">
        <v>92</v>
      </c>
      <c r="BZ507" s="8" t="s">
        <v>93</v>
      </c>
      <c r="CA507" s="8" t="s">
        <v>92</v>
      </c>
      <c r="CB507" s="20" t="s">
        <v>2287</v>
      </c>
      <c r="CC507" s="24" t="s">
        <v>2288</v>
      </c>
      <c r="CD507" s="24" t="s">
        <v>2289</v>
      </c>
      <c r="CE507" s="24" t="s">
        <v>2290</v>
      </c>
      <c r="CF507" s="24" t="s">
        <v>2291</v>
      </c>
      <c r="CG507" s="18"/>
      <c r="CH507" s="18"/>
    </row>
    <row r="508">
      <c r="A508" s="8"/>
      <c r="B508" s="9" t="s">
        <v>2281</v>
      </c>
      <c r="C508" s="10" t="s">
        <v>2282</v>
      </c>
      <c r="D508" s="9" t="s">
        <v>1670</v>
      </c>
      <c r="E508" s="11" t="s">
        <v>2292</v>
      </c>
      <c r="F508" s="12"/>
      <c r="G508" s="14" t="s">
        <v>2293</v>
      </c>
      <c r="H508" s="14" t="s">
        <v>90</v>
      </c>
      <c r="I508" s="14" t="s">
        <v>2294</v>
      </c>
      <c r="J508" s="14" t="s">
        <v>93</v>
      </c>
      <c r="K508" s="14" t="s">
        <v>92</v>
      </c>
      <c r="L508" s="14" t="s">
        <v>92</v>
      </c>
      <c r="M508" s="14" t="s">
        <v>92</v>
      </c>
      <c r="N508" s="14" t="s">
        <v>92</v>
      </c>
      <c r="O508" s="14" t="s">
        <v>93</v>
      </c>
      <c r="P508" s="14" t="s">
        <v>92</v>
      </c>
      <c r="Q508" s="14" t="s">
        <v>92</v>
      </c>
      <c r="R508" s="14" t="s">
        <v>92</v>
      </c>
      <c r="S508" s="14" t="s">
        <v>93</v>
      </c>
      <c r="T508" s="14" t="s">
        <v>92</v>
      </c>
      <c r="U508" s="14" t="s">
        <v>92</v>
      </c>
      <c r="V508" s="14" t="s">
        <v>92</v>
      </c>
      <c r="W508" s="14" t="s">
        <v>92</v>
      </c>
      <c r="X508" s="14" t="s">
        <v>92</v>
      </c>
      <c r="Y508" s="14" t="s">
        <v>92</v>
      </c>
      <c r="Z508" s="14" t="s">
        <v>93</v>
      </c>
      <c r="AA508" s="14" t="s">
        <v>93</v>
      </c>
      <c r="AB508" s="8" t="s">
        <v>93</v>
      </c>
      <c r="AC508" s="8" t="s">
        <v>93</v>
      </c>
      <c r="AD508" s="8" t="s">
        <v>92</v>
      </c>
      <c r="AE508" s="14" t="s">
        <v>112</v>
      </c>
      <c r="AF508" s="14" t="s">
        <v>93</v>
      </c>
      <c r="AG508" s="14" t="s">
        <v>626</v>
      </c>
      <c r="AH508" s="8">
        <v>2022.0</v>
      </c>
      <c r="AI508" s="14" t="s">
        <v>92</v>
      </c>
      <c r="AJ508" s="14" t="s">
        <v>92</v>
      </c>
      <c r="AK508" s="14" t="s">
        <v>93</v>
      </c>
      <c r="AL508" s="14" t="s">
        <v>92</v>
      </c>
      <c r="AM508" s="8" t="s">
        <v>105</v>
      </c>
      <c r="AN508" s="14" t="s">
        <v>105</v>
      </c>
      <c r="AO508" s="8" t="s">
        <v>105</v>
      </c>
      <c r="AP508" s="8" t="s">
        <v>92</v>
      </c>
      <c r="AQ508" s="14" t="s">
        <v>92</v>
      </c>
      <c r="AR508" s="14" t="s">
        <v>92</v>
      </c>
      <c r="AS508" s="14" t="s">
        <v>93</v>
      </c>
      <c r="AT508" s="14" t="s">
        <v>93</v>
      </c>
      <c r="AU508" s="14" t="s">
        <v>93</v>
      </c>
      <c r="AV508" s="14" t="s">
        <v>93</v>
      </c>
      <c r="AW508" s="14" t="s">
        <v>93</v>
      </c>
      <c r="AX508" s="14" t="s">
        <v>93</v>
      </c>
      <c r="AY508" s="8" t="s">
        <v>95</v>
      </c>
      <c r="AZ508" s="8" t="s">
        <v>95</v>
      </c>
      <c r="BA508" s="9" t="s">
        <v>2281</v>
      </c>
      <c r="BB508" s="8" t="s">
        <v>261</v>
      </c>
      <c r="BC508" s="8" t="s">
        <v>92</v>
      </c>
      <c r="BD508" s="14" t="s">
        <v>93</v>
      </c>
      <c r="BE508" s="14" t="s">
        <v>92</v>
      </c>
      <c r="BF508" s="14" t="s">
        <v>92</v>
      </c>
      <c r="BG508" s="14" t="s">
        <v>92</v>
      </c>
      <c r="BH508" s="14" t="s">
        <v>92</v>
      </c>
      <c r="BI508" s="14" t="s">
        <v>92</v>
      </c>
      <c r="BJ508" s="14" t="s">
        <v>92</v>
      </c>
      <c r="BK508" s="14" t="s">
        <v>2295</v>
      </c>
      <c r="BL508" s="14" t="s">
        <v>92</v>
      </c>
      <c r="BM508" s="14" t="s">
        <v>93</v>
      </c>
      <c r="BN508" s="14" t="s">
        <v>92</v>
      </c>
      <c r="BO508" s="14" t="s">
        <v>93</v>
      </c>
      <c r="BP508" s="14" t="s">
        <v>92</v>
      </c>
      <c r="BQ508" s="8" t="s">
        <v>92</v>
      </c>
      <c r="BR508" s="8" t="s">
        <v>92</v>
      </c>
      <c r="BS508" s="8" t="s">
        <v>93</v>
      </c>
      <c r="BT508" s="8" t="s">
        <v>93</v>
      </c>
      <c r="BU508" s="8" t="s">
        <v>93</v>
      </c>
      <c r="BV508" s="8" t="s">
        <v>92</v>
      </c>
      <c r="BW508" s="8" t="s">
        <v>92</v>
      </c>
      <c r="BX508" s="8" t="s">
        <v>92</v>
      </c>
      <c r="BY508" s="8" t="s">
        <v>92</v>
      </c>
      <c r="BZ508" s="8" t="s">
        <v>93</v>
      </c>
      <c r="CA508" s="8" t="s">
        <v>92</v>
      </c>
      <c r="CB508" s="20" t="s">
        <v>2287</v>
      </c>
      <c r="CC508" s="17"/>
      <c r="CD508" s="18"/>
      <c r="CE508" s="18"/>
      <c r="CF508" s="18"/>
      <c r="CG508" s="18"/>
      <c r="CH508" s="18"/>
    </row>
    <row r="509">
      <c r="A509" s="8"/>
      <c r="B509" s="9" t="s">
        <v>2281</v>
      </c>
      <c r="C509" s="10" t="s">
        <v>2282</v>
      </c>
      <c r="D509" s="9" t="s">
        <v>1670</v>
      </c>
      <c r="E509" s="11" t="s">
        <v>2296</v>
      </c>
      <c r="F509" s="12"/>
      <c r="G509" s="14" t="s">
        <v>2297</v>
      </c>
      <c r="H509" s="14" t="s">
        <v>90</v>
      </c>
      <c r="I509" s="14" t="s">
        <v>2298</v>
      </c>
      <c r="J509" s="14" t="s">
        <v>92</v>
      </c>
      <c r="K509" s="14" t="s">
        <v>92</v>
      </c>
      <c r="L509" s="14" t="s">
        <v>93</v>
      </c>
      <c r="M509" s="14" t="s">
        <v>92</v>
      </c>
      <c r="N509" s="14" t="s">
        <v>92</v>
      </c>
      <c r="O509" s="14" t="s">
        <v>92</v>
      </c>
      <c r="P509" s="14" t="s">
        <v>93</v>
      </c>
      <c r="Q509" s="14" t="s">
        <v>92</v>
      </c>
      <c r="R509" s="14" t="s">
        <v>92</v>
      </c>
      <c r="S509" s="14" t="s">
        <v>93</v>
      </c>
      <c r="T509" s="14" t="s">
        <v>92</v>
      </c>
      <c r="U509" s="14" t="s">
        <v>92</v>
      </c>
      <c r="V509" s="14" t="s">
        <v>92</v>
      </c>
      <c r="W509" s="14" t="s">
        <v>92</v>
      </c>
      <c r="X509" s="14" t="s">
        <v>92</v>
      </c>
      <c r="Y509" s="14" t="s">
        <v>92</v>
      </c>
      <c r="Z509" s="14" t="s">
        <v>92</v>
      </c>
      <c r="AA509" s="14" t="s">
        <v>92</v>
      </c>
      <c r="AB509" s="8" t="s">
        <v>93</v>
      </c>
      <c r="AC509" s="8" t="s">
        <v>92</v>
      </c>
      <c r="AD509" s="8" t="s">
        <v>92</v>
      </c>
      <c r="AE509" s="14" t="s">
        <v>103</v>
      </c>
      <c r="AF509" s="14" t="s">
        <v>92</v>
      </c>
      <c r="AG509" s="14" t="s">
        <v>95</v>
      </c>
      <c r="AH509" s="8">
        <v>2019.0</v>
      </c>
      <c r="AI509" s="14" t="s">
        <v>93</v>
      </c>
      <c r="AJ509" s="14" t="s">
        <v>93</v>
      </c>
      <c r="AK509" s="14" t="s">
        <v>93</v>
      </c>
      <c r="AL509" s="14" t="s">
        <v>93</v>
      </c>
      <c r="AM509" s="8" t="s">
        <v>95</v>
      </c>
      <c r="AN509" s="14" t="s">
        <v>114</v>
      </c>
      <c r="AO509" s="8" t="s">
        <v>93</v>
      </c>
      <c r="AP509" s="8" t="s">
        <v>92</v>
      </c>
      <c r="AQ509" s="14" t="s">
        <v>92</v>
      </c>
      <c r="AR509" s="14" t="s">
        <v>92</v>
      </c>
      <c r="AS509" s="14" t="s">
        <v>93</v>
      </c>
      <c r="AT509" s="14" t="s">
        <v>93</v>
      </c>
      <c r="AU509" s="14" t="s">
        <v>93</v>
      </c>
      <c r="AV509" s="14" t="s">
        <v>93</v>
      </c>
      <c r="AW509" s="14" t="s">
        <v>93</v>
      </c>
      <c r="AX509" s="14" t="s">
        <v>93</v>
      </c>
      <c r="AY509" s="8" t="s">
        <v>95</v>
      </c>
      <c r="AZ509" s="8" t="s">
        <v>95</v>
      </c>
      <c r="BA509" s="9" t="s">
        <v>2281</v>
      </c>
      <c r="BB509" s="8" t="s">
        <v>261</v>
      </c>
      <c r="BC509" s="8" t="s">
        <v>92</v>
      </c>
      <c r="BD509" s="14" t="s">
        <v>93</v>
      </c>
      <c r="BE509" s="14" t="s">
        <v>92</v>
      </c>
      <c r="BF509" s="14" t="s">
        <v>92</v>
      </c>
      <c r="BG509" s="14" t="s">
        <v>92</v>
      </c>
      <c r="BH509" s="14" t="s">
        <v>92</v>
      </c>
      <c r="BI509" s="14" t="s">
        <v>92</v>
      </c>
      <c r="BJ509" s="14" t="s">
        <v>92</v>
      </c>
      <c r="BK509" s="14" t="s">
        <v>105</v>
      </c>
      <c r="BL509" s="14" t="s">
        <v>105</v>
      </c>
      <c r="BM509" s="14" t="s">
        <v>105</v>
      </c>
      <c r="BN509" s="14" t="s">
        <v>105</v>
      </c>
      <c r="BO509" s="14" t="s">
        <v>105</v>
      </c>
      <c r="BP509" s="14" t="s">
        <v>105</v>
      </c>
      <c r="BQ509" s="8" t="s">
        <v>92</v>
      </c>
      <c r="BR509" s="8" t="s">
        <v>92</v>
      </c>
      <c r="BS509" s="8" t="s">
        <v>93</v>
      </c>
      <c r="BT509" s="8" t="s">
        <v>92</v>
      </c>
      <c r="BU509" s="8" t="s">
        <v>92</v>
      </c>
      <c r="BV509" s="8" t="s">
        <v>92</v>
      </c>
      <c r="BW509" s="8" t="s">
        <v>92</v>
      </c>
      <c r="BX509" s="8" t="s">
        <v>92</v>
      </c>
      <c r="BY509" s="8" t="s">
        <v>92</v>
      </c>
      <c r="BZ509" s="8" t="s">
        <v>92</v>
      </c>
      <c r="CA509" s="8" t="s">
        <v>92</v>
      </c>
      <c r="CB509" s="20" t="s">
        <v>2287</v>
      </c>
      <c r="CC509" s="17"/>
      <c r="CD509" s="18"/>
      <c r="CE509" s="18"/>
      <c r="CF509" s="18"/>
      <c r="CG509" s="18"/>
      <c r="CH509" s="18"/>
    </row>
    <row r="510">
      <c r="A510" s="8"/>
      <c r="B510" s="9" t="s">
        <v>2281</v>
      </c>
      <c r="C510" s="10" t="s">
        <v>2282</v>
      </c>
      <c r="D510" s="9" t="s">
        <v>1670</v>
      </c>
      <c r="E510" s="11" t="s">
        <v>2299</v>
      </c>
      <c r="F510" s="12"/>
      <c r="G510" s="14" t="s">
        <v>2300</v>
      </c>
      <c r="H510" s="14" t="s">
        <v>110</v>
      </c>
      <c r="I510" s="14" t="s">
        <v>2301</v>
      </c>
      <c r="J510" s="14" t="s">
        <v>92</v>
      </c>
      <c r="K510" s="14" t="s">
        <v>92</v>
      </c>
      <c r="L510" s="14" t="s">
        <v>92</v>
      </c>
      <c r="M510" s="14" t="s">
        <v>92</v>
      </c>
      <c r="N510" s="14" t="s">
        <v>92</v>
      </c>
      <c r="O510" s="14" t="s">
        <v>92</v>
      </c>
      <c r="P510" s="14" t="s">
        <v>93</v>
      </c>
      <c r="Q510" s="14" t="s">
        <v>92</v>
      </c>
      <c r="R510" s="14" t="s">
        <v>92</v>
      </c>
      <c r="S510" s="14" t="s">
        <v>92</v>
      </c>
      <c r="T510" s="14" t="s">
        <v>92</v>
      </c>
      <c r="U510" s="14" t="s">
        <v>92</v>
      </c>
      <c r="V510" s="14" t="s">
        <v>92</v>
      </c>
      <c r="W510" s="14" t="s">
        <v>92</v>
      </c>
      <c r="X510" s="14" t="s">
        <v>92</v>
      </c>
      <c r="Y510" s="14" t="s">
        <v>92</v>
      </c>
      <c r="Z510" s="14" t="s">
        <v>93</v>
      </c>
      <c r="AA510" s="14" t="s">
        <v>92</v>
      </c>
      <c r="AB510" s="8" t="s">
        <v>92</v>
      </c>
      <c r="AC510" s="8" t="s">
        <v>93</v>
      </c>
      <c r="AD510" s="8" t="s">
        <v>92</v>
      </c>
      <c r="AE510" s="14" t="s">
        <v>112</v>
      </c>
      <c r="AF510" s="14" t="s">
        <v>92</v>
      </c>
      <c r="AG510" s="14" t="s">
        <v>95</v>
      </c>
      <c r="AH510" s="8">
        <v>2022.0</v>
      </c>
      <c r="AI510" s="14" t="s">
        <v>92</v>
      </c>
      <c r="AJ510" s="14" t="s">
        <v>92</v>
      </c>
      <c r="AK510" s="14" t="s">
        <v>93</v>
      </c>
      <c r="AL510" s="14" t="s">
        <v>93</v>
      </c>
      <c r="AM510" s="8" t="s">
        <v>95</v>
      </c>
      <c r="AN510" s="14" t="s">
        <v>114</v>
      </c>
      <c r="AO510" s="8" t="s">
        <v>93</v>
      </c>
      <c r="AP510" s="8" t="s">
        <v>92</v>
      </c>
      <c r="AQ510" s="14" t="s">
        <v>92</v>
      </c>
      <c r="AR510" s="14" t="s">
        <v>92</v>
      </c>
      <c r="AS510" s="14" t="s">
        <v>93</v>
      </c>
      <c r="AT510" s="14" t="s">
        <v>93</v>
      </c>
      <c r="AU510" s="14" t="s">
        <v>93</v>
      </c>
      <c r="AV510" s="14" t="s">
        <v>93</v>
      </c>
      <c r="AW510" s="14" t="s">
        <v>93</v>
      </c>
      <c r="AX510" s="14" t="s">
        <v>93</v>
      </c>
      <c r="AY510" s="8" t="s">
        <v>95</v>
      </c>
      <c r="AZ510" s="8" t="s">
        <v>95</v>
      </c>
      <c r="BA510" s="9" t="s">
        <v>2281</v>
      </c>
      <c r="BB510" s="8" t="s">
        <v>261</v>
      </c>
      <c r="BC510" s="8" t="s">
        <v>92</v>
      </c>
      <c r="BD510" s="14" t="s">
        <v>93</v>
      </c>
      <c r="BE510" s="14" t="s">
        <v>92</v>
      </c>
      <c r="BF510" s="14" t="s">
        <v>92</v>
      </c>
      <c r="BG510" s="14" t="s">
        <v>92</v>
      </c>
      <c r="BH510" s="14" t="s">
        <v>92</v>
      </c>
      <c r="BI510" s="14" t="s">
        <v>92</v>
      </c>
      <c r="BJ510" s="14" t="s">
        <v>92</v>
      </c>
      <c r="BK510" s="14" t="s">
        <v>105</v>
      </c>
      <c r="BL510" s="14" t="s">
        <v>105</v>
      </c>
      <c r="BM510" s="14" t="s">
        <v>105</v>
      </c>
      <c r="BN510" s="14" t="s">
        <v>105</v>
      </c>
      <c r="BO510" s="14" t="s">
        <v>105</v>
      </c>
      <c r="BP510" s="14" t="s">
        <v>105</v>
      </c>
      <c r="BQ510" s="8" t="s">
        <v>92</v>
      </c>
      <c r="BR510" s="8" t="s">
        <v>92</v>
      </c>
      <c r="BS510" s="8" t="s">
        <v>92</v>
      </c>
      <c r="BT510" s="8" t="s">
        <v>93</v>
      </c>
      <c r="BU510" s="8" t="s">
        <v>93</v>
      </c>
      <c r="BV510" s="8" t="s">
        <v>92</v>
      </c>
      <c r="BW510" s="8" t="s">
        <v>92</v>
      </c>
      <c r="BX510" s="8" t="s">
        <v>92</v>
      </c>
      <c r="BY510" s="8" t="s">
        <v>92</v>
      </c>
      <c r="BZ510" s="8" t="s">
        <v>92</v>
      </c>
      <c r="CA510" s="8" t="s">
        <v>92</v>
      </c>
      <c r="CB510" s="20" t="s">
        <v>2287</v>
      </c>
      <c r="CC510" s="20" t="s">
        <v>2302</v>
      </c>
      <c r="CD510" s="18"/>
      <c r="CE510" s="18"/>
      <c r="CF510" s="18"/>
      <c r="CG510" s="18"/>
      <c r="CH510" s="18"/>
    </row>
    <row r="511">
      <c r="A511" s="8"/>
      <c r="B511" s="9" t="s">
        <v>2281</v>
      </c>
      <c r="C511" s="10" t="s">
        <v>2282</v>
      </c>
      <c r="D511" s="9" t="s">
        <v>1670</v>
      </c>
      <c r="E511" s="11" t="s">
        <v>2303</v>
      </c>
      <c r="F511" s="12"/>
      <c r="G511" s="14" t="s">
        <v>2304</v>
      </c>
      <c r="H511" s="14" t="s">
        <v>90</v>
      </c>
      <c r="I511" s="14" t="s">
        <v>2305</v>
      </c>
      <c r="J511" s="14" t="s">
        <v>93</v>
      </c>
      <c r="K511" s="14" t="s">
        <v>92</v>
      </c>
      <c r="L511" s="14" t="s">
        <v>93</v>
      </c>
      <c r="M511" s="14" t="s">
        <v>92</v>
      </c>
      <c r="N511" s="14" t="s">
        <v>92</v>
      </c>
      <c r="O511" s="14" t="s">
        <v>92</v>
      </c>
      <c r="P511" s="14" t="s">
        <v>92</v>
      </c>
      <c r="Q511" s="14" t="s">
        <v>92</v>
      </c>
      <c r="R511" s="14" t="s">
        <v>92</v>
      </c>
      <c r="S511" s="14" t="s">
        <v>93</v>
      </c>
      <c r="T511" s="14" t="s">
        <v>92</v>
      </c>
      <c r="U511" s="14" t="s">
        <v>92</v>
      </c>
      <c r="V511" s="14" t="s">
        <v>92</v>
      </c>
      <c r="W511" s="14" t="s">
        <v>92</v>
      </c>
      <c r="X511" s="14" t="s">
        <v>92</v>
      </c>
      <c r="Y511" s="14" t="s">
        <v>92</v>
      </c>
      <c r="Z511" s="14" t="s">
        <v>93</v>
      </c>
      <c r="AA511" s="14" t="s">
        <v>92</v>
      </c>
      <c r="AB511" s="8" t="s">
        <v>93</v>
      </c>
      <c r="AC511" s="8" t="s">
        <v>93</v>
      </c>
      <c r="AD511" s="8" t="s">
        <v>92</v>
      </c>
      <c r="AE511" s="14" t="s">
        <v>112</v>
      </c>
      <c r="AF511" s="14" t="s">
        <v>92</v>
      </c>
      <c r="AG511" s="14" t="s">
        <v>95</v>
      </c>
      <c r="AH511" s="8" t="s">
        <v>105</v>
      </c>
      <c r="AI511" s="14" t="s">
        <v>92</v>
      </c>
      <c r="AJ511" s="14" t="s">
        <v>92</v>
      </c>
      <c r="AK511" s="14" t="s">
        <v>92</v>
      </c>
      <c r="AL511" s="14" t="s">
        <v>93</v>
      </c>
      <c r="AM511" s="8" t="s">
        <v>95</v>
      </c>
      <c r="AN511" s="14" t="s">
        <v>114</v>
      </c>
      <c r="AO511" s="8" t="s">
        <v>92</v>
      </c>
      <c r="AP511" s="8" t="s">
        <v>92</v>
      </c>
      <c r="AQ511" s="14" t="s">
        <v>92</v>
      </c>
      <c r="AR511" s="14" t="s">
        <v>92</v>
      </c>
      <c r="AS511" s="14" t="s">
        <v>93</v>
      </c>
      <c r="AT511" s="14" t="s">
        <v>93</v>
      </c>
      <c r="AU511" s="14" t="s">
        <v>93</v>
      </c>
      <c r="AV511" s="14" t="s">
        <v>93</v>
      </c>
      <c r="AW511" s="14" t="s">
        <v>93</v>
      </c>
      <c r="AX511" s="14" t="s">
        <v>93</v>
      </c>
      <c r="AY511" s="8" t="s">
        <v>95</v>
      </c>
      <c r="AZ511" s="8" t="s">
        <v>95</v>
      </c>
      <c r="BA511" s="9" t="s">
        <v>2281</v>
      </c>
      <c r="BB511" s="8" t="s">
        <v>261</v>
      </c>
      <c r="BC511" s="8" t="s">
        <v>92</v>
      </c>
      <c r="BD511" s="14" t="s">
        <v>93</v>
      </c>
      <c r="BE511" s="14" t="s">
        <v>92</v>
      </c>
      <c r="BF511" s="14" t="s">
        <v>92</v>
      </c>
      <c r="BG511" s="14" t="s">
        <v>92</v>
      </c>
      <c r="BH511" s="14" t="s">
        <v>92</v>
      </c>
      <c r="BI511" s="14" t="s">
        <v>92</v>
      </c>
      <c r="BJ511" s="14" t="s">
        <v>92</v>
      </c>
      <c r="BK511" s="14" t="s">
        <v>2306</v>
      </c>
      <c r="BL511" s="14" t="s">
        <v>93</v>
      </c>
      <c r="BM511" s="14" t="s">
        <v>93</v>
      </c>
      <c r="BN511" s="14" t="s">
        <v>93</v>
      </c>
      <c r="BO511" s="14" t="s">
        <v>93</v>
      </c>
      <c r="BP511" s="14" t="s">
        <v>93</v>
      </c>
      <c r="BQ511" s="8" t="s">
        <v>92</v>
      </c>
      <c r="BR511" s="8" t="s">
        <v>92</v>
      </c>
      <c r="BS511" s="8" t="s">
        <v>92</v>
      </c>
      <c r="BT511" s="8" t="s">
        <v>93</v>
      </c>
      <c r="BU511" s="8" t="s">
        <v>92</v>
      </c>
      <c r="BV511" s="8" t="s">
        <v>92</v>
      </c>
      <c r="BW511" s="8" t="s">
        <v>92</v>
      </c>
      <c r="BX511" s="8" t="s">
        <v>92</v>
      </c>
      <c r="BY511" s="8" t="s">
        <v>92</v>
      </c>
      <c r="BZ511" s="8" t="s">
        <v>92</v>
      </c>
      <c r="CA511" s="8" t="s">
        <v>92</v>
      </c>
      <c r="CB511" s="20" t="s">
        <v>2302</v>
      </c>
      <c r="CC511" s="24" t="s">
        <v>2307</v>
      </c>
      <c r="CD511" s="18"/>
      <c r="CE511" s="18"/>
      <c r="CF511" s="18"/>
      <c r="CG511" s="18"/>
      <c r="CH511" s="18"/>
    </row>
    <row r="512">
      <c r="A512" s="8"/>
      <c r="B512" s="9" t="s">
        <v>2281</v>
      </c>
      <c r="C512" s="10" t="s">
        <v>2282</v>
      </c>
      <c r="D512" s="9" t="s">
        <v>1670</v>
      </c>
      <c r="E512" s="11" t="s">
        <v>2308</v>
      </c>
      <c r="F512" s="12"/>
      <c r="G512" s="14" t="s">
        <v>2309</v>
      </c>
      <c r="H512" s="14" t="s">
        <v>90</v>
      </c>
      <c r="I512" s="14" t="s">
        <v>2310</v>
      </c>
      <c r="J512" s="14" t="s">
        <v>93</v>
      </c>
      <c r="K512" s="14" t="s">
        <v>92</v>
      </c>
      <c r="L512" s="14" t="s">
        <v>93</v>
      </c>
      <c r="M512" s="14" t="s">
        <v>92</v>
      </c>
      <c r="N512" s="14" t="s">
        <v>92</v>
      </c>
      <c r="O512" s="14" t="s">
        <v>92</v>
      </c>
      <c r="P512" s="14" t="s">
        <v>92</v>
      </c>
      <c r="Q512" s="14" t="s">
        <v>92</v>
      </c>
      <c r="R512" s="14" t="s">
        <v>92</v>
      </c>
      <c r="S512" s="14" t="s">
        <v>93</v>
      </c>
      <c r="T512" s="14" t="s">
        <v>92</v>
      </c>
      <c r="U512" s="14" t="s">
        <v>92</v>
      </c>
      <c r="V512" s="14" t="s">
        <v>92</v>
      </c>
      <c r="W512" s="14" t="s">
        <v>92</v>
      </c>
      <c r="X512" s="14" t="s">
        <v>92</v>
      </c>
      <c r="Y512" s="14" t="s">
        <v>92</v>
      </c>
      <c r="Z512" s="14" t="s">
        <v>93</v>
      </c>
      <c r="AA512" s="14" t="s">
        <v>92</v>
      </c>
      <c r="AB512" s="8" t="s">
        <v>93</v>
      </c>
      <c r="AC512" s="8" t="s">
        <v>93</v>
      </c>
      <c r="AD512" s="8" t="s">
        <v>93</v>
      </c>
      <c r="AE512" s="14" t="s">
        <v>112</v>
      </c>
      <c r="AF512" s="14" t="s">
        <v>92</v>
      </c>
      <c r="AG512" s="14" t="s">
        <v>95</v>
      </c>
      <c r="AH512" s="8" t="s">
        <v>105</v>
      </c>
      <c r="AI512" s="14" t="s">
        <v>92</v>
      </c>
      <c r="AJ512" s="14" t="s">
        <v>92</v>
      </c>
      <c r="AK512" s="14" t="s">
        <v>92</v>
      </c>
      <c r="AL512" s="14" t="s">
        <v>93</v>
      </c>
      <c r="AM512" s="8" t="s">
        <v>95</v>
      </c>
      <c r="AN512" s="14" t="s">
        <v>114</v>
      </c>
      <c r="AO512" s="8" t="s">
        <v>92</v>
      </c>
      <c r="AP512" s="8" t="s">
        <v>92</v>
      </c>
      <c r="AQ512" s="14" t="s">
        <v>92</v>
      </c>
      <c r="AR512" s="14" t="s">
        <v>92</v>
      </c>
      <c r="AS512" s="14" t="s">
        <v>93</v>
      </c>
      <c r="AT512" s="14" t="s">
        <v>93</v>
      </c>
      <c r="AU512" s="14" t="s">
        <v>93</v>
      </c>
      <c r="AV512" s="14" t="s">
        <v>93</v>
      </c>
      <c r="AW512" s="14" t="s">
        <v>93</v>
      </c>
      <c r="AX512" s="14" t="s">
        <v>93</v>
      </c>
      <c r="AY512" s="8" t="s">
        <v>95</v>
      </c>
      <c r="AZ512" s="8" t="s">
        <v>95</v>
      </c>
      <c r="BA512" s="9" t="s">
        <v>2281</v>
      </c>
      <c r="BB512" s="8" t="s">
        <v>261</v>
      </c>
      <c r="BC512" s="8" t="s">
        <v>92</v>
      </c>
      <c r="BD512" s="14" t="s">
        <v>93</v>
      </c>
      <c r="BE512" s="14" t="s">
        <v>92</v>
      </c>
      <c r="BF512" s="14" t="s">
        <v>92</v>
      </c>
      <c r="BG512" s="14" t="s">
        <v>92</v>
      </c>
      <c r="BH512" s="14" t="s">
        <v>92</v>
      </c>
      <c r="BI512" s="14" t="s">
        <v>92</v>
      </c>
      <c r="BJ512" s="14" t="s">
        <v>92</v>
      </c>
      <c r="BK512" s="14" t="s">
        <v>2311</v>
      </c>
      <c r="BL512" s="14" t="s">
        <v>93</v>
      </c>
      <c r="BM512" s="14" t="s">
        <v>92</v>
      </c>
      <c r="BN512" s="14" t="s">
        <v>92</v>
      </c>
      <c r="BO512" s="14" t="s">
        <v>93</v>
      </c>
      <c r="BP512" s="14" t="s">
        <v>92</v>
      </c>
      <c r="BQ512" s="8" t="s">
        <v>92</v>
      </c>
      <c r="BR512" s="8" t="s">
        <v>92</v>
      </c>
      <c r="BS512" s="8" t="s">
        <v>93</v>
      </c>
      <c r="BT512" s="8" t="s">
        <v>93</v>
      </c>
      <c r="BU512" s="8" t="s">
        <v>92</v>
      </c>
      <c r="BV512" s="8" t="s">
        <v>92</v>
      </c>
      <c r="BW512" s="8" t="s">
        <v>92</v>
      </c>
      <c r="BX512" s="8" t="s">
        <v>92</v>
      </c>
      <c r="BY512" s="8" t="s">
        <v>92</v>
      </c>
      <c r="BZ512" s="8" t="s">
        <v>93</v>
      </c>
      <c r="CA512" s="8" t="s">
        <v>92</v>
      </c>
      <c r="CB512" s="20" t="s">
        <v>2302</v>
      </c>
      <c r="CC512" s="17"/>
      <c r="CD512" s="18"/>
      <c r="CE512" s="18"/>
      <c r="CF512" s="18"/>
      <c r="CG512" s="18"/>
      <c r="CH512" s="18"/>
    </row>
    <row r="513">
      <c r="A513" s="8"/>
      <c r="B513" s="19" t="s">
        <v>2312</v>
      </c>
      <c r="C513" s="10" t="s">
        <v>2313</v>
      </c>
      <c r="D513" s="9" t="s">
        <v>1670</v>
      </c>
      <c r="E513" s="11" t="s">
        <v>2314</v>
      </c>
      <c r="F513" s="25"/>
      <c r="G513" s="9" t="s">
        <v>2315</v>
      </c>
      <c r="H513" s="14" t="s">
        <v>90</v>
      </c>
      <c r="I513" s="14" t="s">
        <v>2316</v>
      </c>
      <c r="J513" s="14" t="s">
        <v>92</v>
      </c>
      <c r="K513" s="14" t="s">
        <v>92</v>
      </c>
      <c r="L513" s="14" t="s">
        <v>93</v>
      </c>
      <c r="M513" s="14" t="s">
        <v>92</v>
      </c>
      <c r="N513" s="14" t="s">
        <v>92</v>
      </c>
      <c r="O513" s="14" t="s">
        <v>92</v>
      </c>
      <c r="P513" s="14" t="s">
        <v>92</v>
      </c>
      <c r="Q513" s="14" t="s">
        <v>92</v>
      </c>
      <c r="R513" s="14" t="s">
        <v>92</v>
      </c>
      <c r="S513" s="14" t="s">
        <v>92</v>
      </c>
      <c r="T513" s="14" t="s">
        <v>92</v>
      </c>
      <c r="U513" s="14" t="s">
        <v>92</v>
      </c>
      <c r="V513" s="14" t="s">
        <v>92</v>
      </c>
      <c r="W513" s="14" t="s">
        <v>92</v>
      </c>
      <c r="X513" s="14" t="s">
        <v>92</v>
      </c>
      <c r="Y513" s="14" t="s">
        <v>93</v>
      </c>
      <c r="Z513" s="14" t="s">
        <v>93</v>
      </c>
      <c r="AA513" s="14" t="s">
        <v>92</v>
      </c>
      <c r="AB513" s="8" t="s">
        <v>93</v>
      </c>
      <c r="AC513" s="8" t="s">
        <v>93</v>
      </c>
      <c r="AD513" s="8" t="s">
        <v>92</v>
      </c>
      <c r="AE513" s="14" t="s">
        <v>148</v>
      </c>
      <c r="AF513" s="14" t="s">
        <v>92</v>
      </c>
      <c r="AG513" s="14" t="s">
        <v>95</v>
      </c>
      <c r="AH513" s="8">
        <v>2020.0</v>
      </c>
      <c r="AI513" s="14" t="s">
        <v>93</v>
      </c>
      <c r="AJ513" s="14" t="s">
        <v>93</v>
      </c>
      <c r="AK513" s="14" t="s">
        <v>92</v>
      </c>
      <c r="AL513" s="14" t="s">
        <v>92</v>
      </c>
      <c r="AM513" s="8" t="s">
        <v>105</v>
      </c>
      <c r="AN513" s="14" t="s">
        <v>105</v>
      </c>
      <c r="AO513" s="8" t="s">
        <v>93</v>
      </c>
      <c r="AP513" s="8" t="s">
        <v>92</v>
      </c>
      <c r="AQ513" s="14" t="s">
        <v>92</v>
      </c>
      <c r="AR513" s="14" t="s">
        <v>93</v>
      </c>
      <c r="AS513" s="14" t="s">
        <v>92</v>
      </c>
      <c r="AT513" s="14" t="s">
        <v>93</v>
      </c>
      <c r="AU513" s="14" t="s">
        <v>93</v>
      </c>
      <c r="AV513" s="14" t="s">
        <v>93</v>
      </c>
      <c r="AW513" s="14" t="s">
        <v>93</v>
      </c>
      <c r="AX513" s="14" t="s">
        <v>93</v>
      </c>
      <c r="AY513" s="8" t="s">
        <v>95</v>
      </c>
      <c r="AZ513" s="8" t="s">
        <v>95</v>
      </c>
      <c r="BA513" s="9" t="s">
        <v>2312</v>
      </c>
      <c r="BB513" s="8" t="s">
        <v>213</v>
      </c>
      <c r="BC513" s="8" t="s">
        <v>92</v>
      </c>
      <c r="BD513" s="14" t="s">
        <v>93</v>
      </c>
      <c r="BE513" s="14" t="s">
        <v>92</v>
      </c>
      <c r="BF513" s="14" t="s">
        <v>92</v>
      </c>
      <c r="BG513" s="14" t="s">
        <v>92</v>
      </c>
      <c r="BH513" s="14" t="s">
        <v>92</v>
      </c>
      <c r="BI513" s="14" t="s">
        <v>92</v>
      </c>
      <c r="BJ513" s="14" t="s">
        <v>92</v>
      </c>
      <c r="BK513" s="14" t="s">
        <v>2317</v>
      </c>
      <c r="BL513" s="14" t="s">
        <v>93</v>
      </c>
      <c r="BM513" s="14" t="s">
        <v>92</v>
      </c>
      <c r="BN513" s="14" t="s">
        <v>92</v>
      </c>
      <c r="BO513" s="14" t="s">
        <v>93</v>
      </c>
      <c r="BP513" s="14" t="s">
        <v>93</v>
      </c>
      <c r="BQ513" s="8" t="s">
        <v>92</v>
      </c>
      <c r="BR513" s="8" t="s">
        <v>92</v>
      </c>
      <c r="BS513" s="8" t="s">
        <v>93</v>
      </c>
      <c r="BT513" s="8" t="s">
        <v>93</v>
      </c>
      <c r="BU513" s="8" t="s">
        <v>93</v>
      </c>
      <c r="BV513" s="8" t="s">
        <v>93</v>
      </c>
      <c r="BW513" s="8" t="s">
        <v>92</v>
      </c>
      <c r="BX513" s="8" t="s">
        <v>92</v>
      </c>
      <c r="BY513" s="8" t="s">
        <v>92</v>
      </c>
      <c r="BZ513" s="8" t="s">
        <v>93</v>
      </c>
      <c r="CA513" s="8" t="s">
        <v>92</v>
      </c>
      <c r="CB513" s="20" t="s">
        <v>1189</v>
      </c>
      <c r="CC513" s="20" t="s">
        <v>129</v>
      </c>
      <c r="CD513" s="18"/>
      <c r="CE513" s="18"/>
      <c r="CF513" s="18"/>
      <c r="CG513" s="18"/>
      <c r="CH513" s="18"/>
    </row>
    <row r="514">
      <c r="A514" s="8"/>
      <c r="B514" s="9" t="s">
        <v>2318</v>
      </c>
      <c r="C514" s="10" t="s">
        <v>2319</v>
      </c>
      <c r="D514" s="9" t="s">
        <v>1670</v>
      </c>
      <c r="E514" s="11" t="s">
        <v>2320</v>
      </c>
      <c r="F514" s="12"/>
      <c r="G514" s="14" t="s">
        <v>2321</v>
      </c>
      <c r="H514" s="14" t="s">
        <v>90</v>
      </c>
      <c r="I514" s="14" t="s">
        <v>2322</v>
      </c>
      <c r="J514" s="14" t="s">
        <v>92</v>
      </c>
      <c r="K514" s="14" t="s">
        <v>92</v>
      </c>
      <c r="L514" s="14" t="s">
        <v>92</v>
      </c>
      <c r="M514" s="14" t="s">
        <v>93</v>
      </c>
      <c r="N514" s="14" t="s">
        <v>92</v>
      </c>
      <c r="O514" s="14" t="s">
        <v>92</v>
      </c>
      <c r="P514" s="14" t="s">
        <v>92</v>
      </c>
      <c r="Q514" s="14" t="s">
        <v>92</v>
      </c>
      <c r="R514" s="14" t="s">
        <v>92</v>
      </c>
      <c r="S514" s="14" t="s">
        <v>92</v>
      </c>
      <c r="T514" s="14" t="s">
        <v>92</v>
      </c>
      <c r="U514" s="14" t="s">
        <v>93</v>
      </c>
      <c r="V514" s="14" t="s">
        <v>92</v>
      </c>
      <c r="W514" s="14" t="s">
        <v>92</v>
      </c>
      <c r="X514" s="14" t="s">
        <v>92</v>
      </c>
      <c r="Y514" s="14" t="s">
        <v>92</v>
      </c>
      <c r="Z514" s="14" t="s">
        <v>92</v>
      </c>
      <c r="AA514" s="14" t="s">
        <v>92</v>
      </c>
      <c r="AB514" s="8" t="s">
        <v>93</v>
      </c>
      <c r="AC514" s="8" t="s">
        <v>92</v>
      </c>
      <c r="AD514" s="8" t="s">
        <v>92</v>
      </c>
      <c r="AE514" s="14" t="s">
        <v>94</v>
      </c>
      <c r="AF514" s="14" t="s">
        <v>92</v>
      </c>
      <c r="AG514" s="14" t="s">
        <v>95</v>
      </c>
      <c r="AH514" s="8">
        <v>1995.0</v>
      </c>
      <c r="AI514" s="14" t="s">
        <v>93</v>
      </c>
      <c r="AJ514" s="14" t="s">
        <v>93</v>
      </c>
      <c r="AK514" s="14" t="s">
        <v>93</v>
      </c>
      <c r="AL514" s="14" t="s">
        <v>93</v>
      </c>
      <c r="AM514" s="8" t="s">
        <v>95</v>
      </c>
      <c r="AN514" s="14" t="s">
        <v>114</v>
      </c>
      <c r="AO514" s="8" t="s">
        <v>93</v>
      </c>
      <c r="AP514" s="8" t="s">
        <v>92</v>
      </c>
      <c r="AQ514" s="14" t="s">
        <v>92</v>
      </c>
      <c r="AR514" s="14" t="s">
        <v>92</v>
      </c>
      <c r="AS514" s="14" t="s">
        <v>92</v>
      </c>
      <c r="AT514" s="14" t="s">
        <v>92</v>
      </c>
      <c r="AU514" s="14" t="s">
        <v>93</v>
      </c>
      <c r="AV514" s="14" t="s">
        <v>93</v>
      </c>
      <c r="AW514" s="14" t="s">
        <v>93</v>
      </c>
      <c r="AX514" s="14" t="s">
        <v>92</v>
      </c>
      <c r="AY514" s="8" t="s">
        <v>95</v>
      </c>
      <c r="AZ514" s="8" t="s">
        <v>95</v>
      </c>
      <c r="BA514" s="9" t="s">
        <v>2323</v>
      </c>
      <c r="BB514" s="8" t="s">
        <v>105</v>
      </c>
      <c r="BC514" s="8" t="s">
        <v>105</v>
      </c>
      <c r="BD514" s="14" t="s">
        <v>92</v>
      </c>
      <c r="BE514" s="14" t="s">
        <v>92</v>
      </c>
      <c r="BF514" s="14" t="s">
        <v>92</v>
      </c>
      <c r="BG514" s="14" t="s">
        <v>92</v>
      </c>
      <c r="BH514" s="14" t="s">
        <v>92</v>
      </c>
      <c r="BI514" s="14" t="s">
        <v>93</v>
      </c>
      <c r="BJ514" s="14" t="s">
        <v>92</v>
      </c>
      <c r="BK514" s="14" t="s">
        <v>1581</v>
      </c>
      <c r="BL514" s="14" t="s">
        <v>92</v>
      </c>
      <c r="BM514" s="14" t="s">
        <v>92</v>
      </c>
      <c r="BN514" s="14" t="s">
        <v>92</v>
      </c>
      <c r="BO514" s="14" t="s">
        <v>93</v>
      </c>
      <c r="BP514" s="14" t="s">
        <v>93</v>
      </c>
      <c r="BQ514" s="8" t="s">
        <v>93</v>
      </c>
      <c r="BR514" s="8" t="s">
        <v>92</v>
      </c>
      <c r="BS514" s="8" t="s">
        <v>92</v>
      </c>
      <c r="BT514" s="8" t="s">
        <v>92</v>
      </c>
      <c r="BU514" s="8" t="s">
        <v>92</v>
      </c>
      <c r="BV514" s="8" t="s">
        <v>92</v>
      </c>
      <c r="BW514" s="8" t="s">
        <v>92</v>
      </c>
      <c r="BX514" s="8" t="s">
        <v>92</v>
      </c>
      <c r="BY514" s="8" t="s">
        <v>92</v>
      </c>
      <c r="BZ514" s="8" t="s">
        <v>92</v>
      </c>
      <c r="CA514" s="8" t="s">
        <v>92</v>
      </c>
      <c r="CB514" s="20" t="s">
        <v>2324</v>
      </c>
      <c r="CC514" s="20" t="s">
        <v>2325</v>
      </c>
      <c r="CD514" s="70" t="s">
        <v>2326</v>
      </c>
      <c r="CE514" s="20" t="s">
        <v>2327</v>
      </c>
      <c r="CF514" s="18"/>
      <c r="CG514" s="18"/>
      <c r="CH514" s="18"/>
    </row>
    <row r="515">
      <c r="A515" s="8"/>
      <c r="B515" s="9" t="s">
        <v>2318</v>
      </c>
      <c r="C515" s="10" t="s">
        <v>2319</v>
      </c>
      <c r="D515" s="9" t="s">
        <v>1670</v>
      </c>
      <c r="E515" s="11" t="s">
        <v>2328</v>
      </c>
      <c r="F515" s="12"/>
      <c r="G515" s="14" t="s">
        <v>2329</v>
      </c>
      <c r="H515" s="14" t="s">
        <v>90</v>
      </c>
      <c r="I515" s="14" t="s">
        <v>2330</v>
      </c>
      <c r="J515" s="14" t="s">
        <v>92</v>
      </c>
      <c r="K515" s="14" t="s">
        <v>92</v>
      </c>
      <c r="L515" s="14" t="s">
        <v>92</v>
      </c>
      <c r="M515" s="14" t="s">
        <v>92</v>
      </c>
      <c r="N515" s="14" t="s">
        <v>92</v>
      </c>
      <c r="O515" s="14" t="s">
        <v>92</v>
      </c>
      <c r="P515" s="14" t="s">
        <v>92</v>
      </c>
      <c r="Q515" s="14" t="s">
        <v>92</v>
      </c>
      <c r="R515" s="14" t="s">
        <v>92</v>
      </c>
      <c r="S515" s="14" t="s">
        <v>92</v>
      </c>
      <c r="T515" s="14" t="s">
        <v>92</v>
      </c>
      <c r="U515" s="14" t="s">
        <v>93</v>
      </c>
      <c r="V515" s="14" t="s">
        <v>92</v>
      </c>
      <c r="W515" s="14" t="s">
        <v>92</v>
      </c>
      <c r="X515" s="14" t="s">
        <v>92</v>
      </c>
      <c r="Y515" s="14" t="s">
        <v>92</v>
      </c>
      <c r="Z515" s="14" t="s">
        <v>92</v>
      </c>
      <c r="AA515" s="14" t="s">
        <v>92</v>
      </c>
      <c r="AB515" s="8" t="s">
        <v>93</v>
      </c>
      <c r="AC515" s="8" t="s">
        <v>92</v>
      </c>
      <c r="AD515" s="8" t="s">
        <v>92</v>
      </c>
      <c r="AE515" s="14" t="s">
        <v>94</v>
      </c>
      <c r="AF515" s="14" t="s">
        <v>92</v>
      </c>
      <c r="AG515" s="14" t="s">
        <v>95</v>
      </c>
      <c r="AH515" s="8">
        <v>2020.0</v>
      </c>
      <c r="AI515" s="14" t="s">
        <v>93</v>
      </c>
      <c r="AJ515" s="14" t="s">
        <v>92</v>
      </c>
      <c r="AK515" s="14" t="s">
        <v>92</v>
      </c>
      <c r="AL515" s="14" t="s">
        <v>92</v>
      </c>
      <c r="AM515" s="8">
        <v>2020.0</v>
      </c>
      <c r="AN515" s="14" t="s">
        <v>96</v>
      </c>
      <c r="AO515" s="8" t="s">
        <v>92</v>
      </c>
      <c r="AP515" s="8" t="s">
        <v>93</v>
      </c>
      <c r="AQ515" s="14" t="s">
        <v>92</v>
      </c>
      <c r="AR515" s="14" t="s">
        <v>92</v>
      </c>
      <c r="AS515" s="14" t="s">
        <v>92</v>
      </c>
      <c r="AT515" s="14" t="s">
        <v>92</v>
      </c>
      <c r="AU515" s="14" t="s">
        <v>93</v>
      </c>
      <c r="AV515" s="14" t="s">
        <v>93</v>
      </c>
      <c r="AW515" s="14" t="s">
        <v>93</v>
      </c>
      <c r="AX515" s="14" t="s">
        <v>92</v>
      </c>
      <c r="AY515" s="8" t="s">
        <v>95</v>
      </c>
      <c r="AZ515" s="8" t="s">
        <v>95</v>
      </c>
      <c r="BA515" s="9" t="s">
        <v>2331</v>
      </c>
      <c r="BB515" s="8" t="s">
        <v>105</v>
      </c>
      <c r="BC515" s="8" t="s">
        <v>105</v>
      </c>
      <c r="BD515" s="14" t="s">
        <v>92</v>
      </c>
      <c r="BE515" s="14" t="s">
        <v>92</v>
      </c>
      <c r="BF515" s="14" t="s">
        <v>92</v>
      </c>
      <c r="BG515" s="14" t="s">
        <v>92</v>
      </c>
      <c r="BH515" s="14" t="s">
        <v>92</v>
      </c>
      <c r="BI515" s="14" t="s">
        <v>93</v>
      </c>
      <c r="BJ515" s="14" t="s">
        <v>92</v>
      </c>
      <c r="BK515" s="14" t="s">
        <v>95</v>
      </c>
      <c r="BL515" s="14" t="s">
        <v>93</v>
      </c>
      <c r="BM515" s="14" t="s">
        <v>93</v>
      </c>
      <c r="BN515" s="14" t="s">
        <v>93</v>
      </c>
      <c r="BO515" s="14" t="s">
        <v>93</v>
      </c>
      <c r="BP515" s="14" t="s">
        <v>93</v>
      </c>
      <c r="BQ515" s="8" t="s">
        <v>93</v>
      </c>
      <c r="BR515" s="8" t="s">
        <v>92</v>
      </c>
      <c r="BS515" s="8" t="s">
        <v>92</v>
      </c>
      <c r="BT515" s="8" t="s">
        <v>92</v>
      </c>
      <c r="BU515" s="8" t="s">
        <v>92</v>
      </c>
      <c r="BV515" s="8" t="s">
        <v>92</v>
      </c>
      <c r="BW515" s="8" t="s">
        <v>92</v>
      </c>
      <c r="BX515" s="8" t="s">
        <v>92</v>
      </c>
      <c r="BY515" s="8" t="s">
        <v>92</v>
      </c>
      <c r="BZ515" s="8" t="s">
        <v>92</v>
      </c>
      <c r="CA515" s="8" t="s">
        <v>92</v>
      </c>
      <c r="CB515" s="20" t="s">
        <v>1189</v>
      </c>
      <c r="CC515" s="17"/>
      <c r="CD515" s="18"/>
      <c r="CE515" s="18"/>
      <c r="CF515" s="18"/>
      <c r="CG515" s="18"/>
      <c r="CH515" s="18"/>
    </row>
    <row r="516">
      <c r="A516" s="8"/>
      <c r="B516" s="9" t="s">
        <v>2318</v>
      </c>
      <c r="C516" s="10" t="s">
        <v>2319</v>
      </c>
      <c r="D516" s="9" t="s">
        <v>1670</v>
      </c>
      <c r="E516" s="11" t="s">
        <v>2332</v>
      </c>
      <c r="F516" s="12"/>
      <c r="G516" s="14" t="s">
        <v>2333</v>
      </c>
      <c r="H516" s="14" t="s">
        <v>189</v>
      </c>
      <c r="I516" s="14" t="s">
        <v>2334</v>
      </c>
      <c r="J516" s="14" t="s">
        <v>92</v>
      </c>
      <c r="K516" s="14" t="s">
        <v>93</v>
      </c>
      <c r="L516" s="14" t="s">
        <v>92</v>
      </c>
      <c r="M516" s="14" t="s">
        <v>92</v>
      </c>
      <c r="N516" s="14" t="s">
        <v>92</v>
      </c>
      <c r="O516" s="14" t="s">
        <v>92</v>
      </c>
      <c r="P516" s="14" t="s">
        <v>92</v>
      </c>
      <c r="Q516" s="14" t="s">
        <v>92</v>
      </c>
      <c r="R516" s="14" t="s">
        <v>92</v>
      </c>
      <c r="S516" s="14" t="s">
        <v>92</v>
      </c>
      <c r="T516" s="14" t="s">
        <v>92</v>
      </c>
      <c r="U516" s="14" t="s">
        <v>93</v>
      </c>
      <c r="V516" s="14" t="s">
        <v>92</v>
      </c>
      <c r="W516" s="14" t="s">
        <v>92</v>
      </c>
      <c r="X516" s="14" t="s">
        <v>92</v>
      </c>
      <c r="Y516" s="14" t="s">
        <v>92</v>
      </c>
      <c r="Z516" s="14" t="s">
        <v>92</v>
      </c>
      <c r="AA516" s="14" t="s">
        <v>92</v>
      </c>
      <c r="AB516" s="8" t="s">
        <v>93</v>
      </c>
      <c r="AC516" s="8" t="s">
        <v>92</v>
      </c>
      <c r="AD516" s="8" t="s">
        <v>92</v>
      </c>
      <c r="AE516" s="14" t="s">
        <v>94</v>
      </c>
      <c r="AF516" s="14" t="s">
        <v>92</v>
      </c>
      <c r="AG516" s="14" t="s">
        <v>95</v>
      </c>
      <c r="AH516" s="8">
        <v>2020.0</v>
      </c>
      <c r="AI516" s="14" t="s">
        <v>93</v>
      </c>
      <c r="AJ516" s="14" t="s">
        <v>92</v>
      </c>
      <c r="AK516" s="14" t="s">
        <v>92</v>
      </c>
      <c r="AL516" s="14" t="s">
        <v>92</v>
      </c>
      <c r="AM516" s="8">
        <v>2020.0</v>
      </c>
      <c r="AN516" s="14" t="s">
        <v>96</v>
      </c>
      <c r="AO516" s="8" t="s">
        <v>92</v>
      </c>
      <c r="AP516" s="8" t="s">
        <v>93</v>
      </c>
      <c r="AQ516" s="14" t="s">
        <v>92</v>
      </c>
      <c r="AR516" s="14" t="s">
        <v>92</v>
      </c>
      <c r="AS516" s="14" t="s">
        <v>92</v>
      </c>
      <c r="AT516" s="14" t="s">
        <v>92</v>
      </c>
      <c r="AU516" s="14" t="s">
        <v>93</v>
      </c>
      <c r="AV516" s="14" t="s">
        <v>93</v>
      </c>
      <c r="AW516" s="14" t="s">
        <v>93</v>
      </c>
      <c r="AX516" s="14" t="s">
        <v>92</v>
      </c>
      <c r="AY516" s="8" t="s">
        <v>95</v>
      </c>
      <c r="AZ516" s="8" t="s">
        <v>95</v>
      </c>
      <c r="BA516" s="9" t="s">
        <v>2335</v>
      </c>
      <c r="BB516" s="8" t="s">
        <v>95</v>
      </c>
      <c r="BC516" s="8" t="s">
        <v>93</v>
      </c>
      <c r="BD516" s="14" t="s">
        <v>92</v>
      </c>
      <c r="BE516" s="14" t="s">
        <v>92</v>
      </c>
      <c r="BF516" s="14" t="s">
        <v>92</v>
      </c>
      <c r="BG516" s="14" t="s">
        <v>92</v>
      </c>
      <c r="BH516" s="14" t="s">
        <v>92</v>
      </c>
      <c r="BI516" s="14" t="s">
        <v>93</v>
      </c>
      <c r="BJ516" s="14" t="s">
        <v>92</v>
      </c>
      <c r="BK516" s="14" t="s">
        <v>95</v>
      </c>
      <c r="BL516" s="14" t="s">
        <v>93</v>
      </c>
      <c r="BM516" s="14" t="s">
        <v>93</v>
      </c>
      <c r="BN516" s="14" t="s">
        <v>93</v>
      </c>
      <c r="BO516" s="14" t="s">
        <v>93</v>
      </c>
      <c r="BP516" s="14" t="s">
        <v>93</v>
      </c>
      <c r="BQ516" s="8" t="s">
        <v>93</v>
      </c>
      <c r="BR516" s="8" t="s">
        <v>92</v>
      </c>
      <c r="BS516" s="8" t="s">
        <v>92</v>
      </c>
      <c r="BT516" s="8" t="s">
        <v>92</v>
      </c>
      <c r="BU516" s="8" t="s">
        <v>92</v>
      </c>
      <c r="BV516" s="8" t="s">
        <v>92</v>
      </c>
      <c r="BW516" s="8" t="s">
        <v>92</v>
      </c>
      <c r="BX516" s="8" t="s">
        <v>92</v>
      </c>
      <c r="BY516" s="8" t="s">
        <v>92</v>
      </c>
      <c r="BZ516" s="8" t="s">
        <v>92</v>
      </c>
      <c r="CA516" s="8" t="s">
        <v>92</v>
      </c>
      <c r="CB516" s="20" t="s">
        <v>1189</v>
      </c>
      <c r="CC516" s="17"/>
      <c r="CD516" s="18"/>
      <c r="CE516" s="18"/>
      <c r="CF516" s="18"/>
      <c r="CG516" s="18"/>
      <c r="CH516" s="18"/>
    </row>
    <row r="517">
      <c r="A517" s="8"/>
      <c r="B517" s="9" t="s">
        <v>2318</v>
      </c>
      <c r="C517" s="10" t="s">
        <v>2319</v>
      </c>
      <c r="D517" s="9" t="s">
        <v>1670</v>
      </c>
      <c r="E517" s="11" t="s">
        <v>2336</v>
      </c>
      <c r="F517" s="12"/>
      <c r="G517" s="14" t="s">
        <v>2337</v>
      </c>
      <c r="H517" s="14" t="s">
        <v>189</v>
      </c>
      <c r="I517" s="14" t="s">
        <v>2338</v>
      </c>
      <c r="J517" s="14" t="s">
        <v>92</v>
      </c>
      <c r="K517" s="14" t="s">
        <v>92</v>
      </c>
      <c r="L517" s="14" t="s">
        <v>92</v>
      </c>
      <c r="M517" s="14" t="s">
        <v>92</v>
      </c>
      <c r="N517" s="14" t="s">
        <v>92</v>
      </c>
      <c r="O517" s="14" t="s">
        <v>92</v>
      </c>
      <c r="P517" s="14" t="s">
        <v>93</v>
      </c>
      <c r="Q517" s="14" t="s">
        <v>93</v>
      </c>
      <c r="R517" s="14" t="s">
        <v>92</v>
      </c>
      <c r="S517" s="14" t="s">
        <v>92</v>
      </c>
      <c r="T517" s="14" t="s">
        <v>92</v>
      </c>
      <c r="U517" s="14" t="s">
        <v>93</v>
      </c>
      <c r="V517" s="14" t="s">
        <v>92</v>
      </c>
      <c r="W517" s="14" t="s">
        <v>92</v>
      </c>
      <c r="X517" s="14" t="s">
        <v>92</v>
      </c>
      <c r="Y517" s="14" t="s">
        <v>92</v>
      </c>
      <c r="Z517" s="14" t="s">
        <v>92</v>
      </c>
      <c r="AA517" s="14" t="s">
        <v>92</v>
      </c>
      <c r="AB517" s="8" t="s">
        <v>93</v>
      </c>
      <c r="AC517" s="8" t="s">
        <v>92</v>
      </c>
      <c r="AD517" s="8" t="s">
        <v>92</v>
      </c>
      <c r="AE517" s="14" t="s">
        <v>94</v>
      </c>
      <c r="AF517" s="14" t="s">
        <v>92</v>
      </c>
      <c r="AG517" s="14" t="s">
        <v>95</v>
      </c>
      <c r="AH517" s="8" t="s">
        <v>105</v>
      </c>
      <c r="AI517" s="14" t="s">
        <v>93</v>
      </c>
      <c r="AJ517" s="14" t="s">
        <v>92</v>
      </c>
      <c r="AK517" s="14" t="s">
        <v>92</v>
      </c>
      <c r="AL517" s="14" t="s">
        <v>92</v>
      </c>
      <c r="AM517" s="8" t="s">
        <v>105</v>
      </c>
      <c r="AN517" s="14" t="s">
        <v>105</v>
      </c>
      <c r="AO517" s="8" t="s">
        <v>105</v>
      </c>
      <c r="AP517" s="8" t="s">
        <v>92</v>
      </c>
      <c r="AQ517" s="14" t="s">
        <v>92</v>
      </c>
      <c r="AR517" s="14" t="s">
        <v>92</v>
      </c>
      <c r="AS517" s="14" t="s">
        <v>92</v>
      </c>
      <c r="AT517" s="14" t="s">
        <v>92</v>
      </c>
      <c r="AU517" s="14" t="s">
        <v>93</v>
      </c>
      <c r="AV517" s="14" t="s">
        <v>93</v>
      </c>
      <c r="AW517" s="14" t="s">
        <v>93</v>
      </c>
      <c r="AX517" s="14" t="s">
        <v>92</v>
      </c>
      <c r="AY517" s="8" t="s">
        <v>95</v>
      </c>
      <c r="AZ517" s="8" t="s">
        <v>95</v>
      </c>
      <c r="BA517" s="9" t="s">
        <v>2339</v>
      </c>
      <c r="BB517" s="8" t="s">
        <v>105</v>
      </c>
      <c r="BC517" s="8" t="s">
        <v>92</v>
      </c>
      <c r="BD517" s="14" t="s">
        <v>92</v>
      </c>
      <c r="BE517" s="14" t="s">
        <v>92</v>
      </c>
      <c r="BF517" s="14" t="s">
        <v>92</v>
      </c>
      <c r="BG517" s="14" t="s">
        <v>92</v>
      </c>
      <c r="BH517" s="14" t="s">
        <v>92</v>
      </c>
      <c r="BI517" s="14" t="s">
        <v>93</v>
      </c>
      <c r="BJ517" s="14" t="s">
        <v>92</v>
      </c>
      <c r="BK517" s="14" t="s">
        <v>482</v>
      </c>
      <c r="BL517" s="14" t="s">
        <v>92</v>
      </c>
      <c r="BM517" s="14" t="s">
        <v>92</v>
      </c>
      <c r="BN517" s="14" t="s">
        <v>92</v>
      </c>
      <c r="BO517" s="14" t="s">
        <v>93</v>
      </c>
      <c r="BP517" s="14" t="s">
        <v>92</v>
      </c>
      <c r="BQ517" s="8" t="s">
        <v>93</v>
      </c>
      <c r="BR517" s="8" t="s">
        <v>92</v>
      </c>
      <c r="BS517" s="8" t="s">
        <v>92</v>
      </c>
      <c r="BT517" s="8" t="s">
        <v>92</v>
      </c>
      <c r="BU517" s="8" t="s">
        <v>92</v>
      </c>
      <c r="BV517" s="8" t="s">
        <v>92</v>
      </c>
      <c r="BW517" s="8" t="s">
        <v>92</v>
      </c>
      <c r="BX517" s="8" t="s">
        <v>92</v>
      </c>
      <c r="BY517" s="8" t="s">
        <v>92</v>
      </c>
      <c r="BZ517" s="8" t="s">
        <v>92</v>
      </c>
      <c r="CA517" s="8" t="s">
        <v>92</v>
      </c>
      <c r="CB517" s="20" t="s">
        <v>1189</v>
      </c>
      <c r="CC517" s="17"/>
      <c r="CD517" s="18"/>
      <c r="CE517" s="18"/>
      <c r="CF517" s="18"/>
      <c r="CG517" s="18"/>
      <c r="CH517" s="18"/>
    </row>
    <row r="518">
      <c r="A518" s="8"/>
      <c r="B518" s="9" t="s">
        <v>2318</v>
      </c>
      <c r="C518" s="10" t="s">
        <v>2319</v>
      </c>
      <c r="D518" s="9" t="s">
        <v>1670</v>
      </c>
      <c r="E518" s="11" t="s">
        <v>2340</v>
      </c>
      <c r="F518" s="12"/>
      <c r="G518" s="14" t="s">
        <v>2341</v>
      </c>
      <c r="H518" s="14" t="s">
        <v>189</v>
      </c>
      <c r="I518" s="14" t="s">
        <v>2342</v>
      </c>
      <c r="J518" s="14" t="s">
        <v>92</v>
      </c>
      <c r="K518" s="14" t="s">
        <v>92</v>
      </c>
      <c r="L518" s="14" t="s">
        <v>92</v>
      </c>
      <c r="M518" s="14" t="s">
        <v>93</v>
      </c>
      <c r="N518" s="14" t="s">
        <v>92</v>
      </c>
      <c r="O518" s="14" t="s">
        <v>92</v>
      </c>
      <c r="P518" s="14" t="s">
        <v>92</v>
      </c>
      <c r="Q518" s="14" t="s">
        <v>93</v>
      </c>
      <c r="R518" s="14" t="s">
        <v>92</v>
      </c>
      <c r="S518" s="14" t="s">
        <v>92</v>
      </c>
      <c r="T518" s="14" t="s">
        <v>92</v>
      </c>
      <c r="U518" s="14" t="s">
        <v>93</v>
      </c>
      <c r="V518" s="14" t="s">
        <v>92</v>
      </c>
      <c r="W518" s="14" t="s">
        <v>92</v>
      </c>
      <c r="X518" s="14" t="s">
        <v>92</v>
      </c>
      <c r="Y518" s="14" t="s">
        <v>92</v>
      </c>
      <c r="Z518" s="14" t="s">
        <v>92</v>
      </c>
      <c r="AA518" s="14" t="s">
        <v>92</v>
      </c>
      <c r="AB518" s="8" t="s">
        <v>93</v>
      </c>
      <c r="AC518" s="8" t="s">
        <v>92</v>
      </c>
      <c r="AD518" s="8" t="s">
        <v>92</v>
      </c>
      <c r="AE518" s="14" t="s">
        <v>94</v>
      </c>
      <c r="AF518" s="14" t="s">
        <v>92</v>
      </c>
      <c r="AG518" s="14" t="s">
        <v>95</v>
      </c>
      <c r="AH518" s="8">
        <v>2020.0</v>
      </c>
      <c r="AI518" s="14" t="s">
        <v>93</v>
      </c>
      <c r="AJ518" s="14" t="s">
        <v>92</v>
      </c>
      <c r="AK518" s="14" t="s">
        <v>92</v>
      </c>
      <c r="AL518" s="14" t="s">
        <v>92</v>
      </c>
      <c r="AM518" s="8">
        <v>2020.0</v>
      </c>
      <c r="AN518" s="14" t="s">
        <v>96</v>
      </c>
      <c r="AO518" s="8" t="s">
        <v>92</v>
      </c>
      <c r="AP518" s="8" t="s">
        <v>93</v>
      </c>
      <c r="AQ518" s="14" t="s">
        <v>92</v>
      </c>
      <c r="AR518" s="14" t="s">
        <v>92</v>
      </c>
      <c r="AS518" s="14" t="s">
        <v>92</v>
      </c>
      <c r="AT518" s="14" t="s">
        <v>92</v>
      </c>
      <c r="AU518" s="14" t="s">
        <v>93</v>
      </c>
      <c r="AV518" s="14" t="s">
        <v>93</v>
      </c>
      <c r="AW518" s="14" t="s">
        <v>93</v>
      </c>
      <c r="AX518" s="14" t="s">
        <v>92</v>
      </c>
      <c r="AY518" s="8" t="s">
        <v>2343</v>
      </c>
      <c r="AZ518" s="8" t="s">
        <v>92</v>
      </c>
      <c r="BA518" s="9" t="s">
        <v>2344</v>
      </c>
      <c r="BB518" s="8" t="s">
        <v>2345</v>
      </c>
      <c r="BC518" s="8" t="s">
        <v>92</v>
      </c>
      <c r="BD518" s="14" t="s">
        <v>92</v>
      </c>
      <c r="BE518" s="14" t="s">
        <v>92</v>
      </c>
      <c r="BF518" s="14" t="s">
        <v>92</v>
      </c>
      <c r="BG518" s="14" t="s">
        <v>92</v>
      </c>
      <c r="BH518" s="14" t="s">
        <v>92</v>
      </c>
      <c r="BI518" s="14" t="s">
        <v>93</v>
      </c>
      <c r="BJ518" s="14" t="s">
        <v>92</v>
      </c>
      <c r="BK518" s="14" t="s">
        <v>482</v>
      </c>
      <c r="BL518" s="14" t="s">
        <v>92</v>
      </c>
      <c r="BM518" s="14" t="s">
        <v>92</v>
      </c>
      <c r="BN518" s="14" t="s">
        <v>92</v>
      </c>
      <c r="BO518" s="14" t="s">
        <v>93</v>
      </c>
      <c r="BP518" s="14" t="s">
        <v>92</v>
      </c>
      <c r="BQ518" s="8" t="s">
        <v>93</v>
      </c>
      <c r="BR518" s="8" t="s">
        <v>92</v>
      </c>
      <c r="BS518" s="8" t="s">
        <v>92</v>
      </c>
      <c r="BT518" s="8" t="s">
        <v>92</v>
      </c>
      <c r="BU518" s="8" t="s">
        <v>92</v>
      </c>
      <c r="BV518" s="8" t="s">
        <v>92</v>
      </c>
      <c r="BW518" s="8" t="s">
        <v>92</v>
      </c>
      <c r="BX518" s="8" t="s">
        <v>92</v>
      </c>
      <c r="BY518" s="8" t="s">
        <v>92</v>
      </c>
      <c r="BZ518" s="8" t="s">
        <v>92</v>
      </c>
      <c r="CA518" s="8" t="s">
        <v>92</v>
      </c>
      <c r="CB518" s="20" t="s">
        <v>1189</v>
      </c>
      <c r="CC518" s="17"/>
      <c r="CD518" s="18"/>
      <c r="CE518" s="18"/>
      <c r="CF518" s="18"/>
      <c r="CG518" s="18"/>
      <c r="CH518" s="18"/>
    </row>
    <row r="519">
      <c r="A519" s="8"/>
      <c r="B519" s="9" t="s">
        <v>2318</v>
      </c>
      <c r="C519" s="10" t="s">
        <v>2319</v>
      </c>
      <c r="D519" s="9" t="s">
        <v>1670</v>
      </c>
      <c r="E519" s="11" t="s">
        <v>2346</v>
      </c>
      <c r="F519" s="12"/>
      <c r="G519" s="14" t="s">
        <v>2347</v>
      </c>
      <c r="H519" s="14" t="s">
        <v>90</v>
      </c>
      <c r="I519" s="14" t="s">
        <v>2348</v>
      </c>
      <c r="J519" s="14" t="s">
        <v>92</v>
      </c>
      <c r="K519" s="14" t="s">
        <v>92</v>
      </c>
      <c r="L519" s="14" t="s">
        <v>92</v>
      </c>
      <c r="M519" s="14" t="s">
        <v>93</v>
      </c>
      <c r="N519" s="14" t="s">
        <v>92</v>
      </c>
      <c r="O519" s="14" t="s">
        <v>92</v>
      </c>
      <c r="P519" s="14" t="s">
        <v>92</v>
      </c>
      <c r="Q519" s="14" t="s">
        <v>92</v>
      </c>
      <c r="R519" s="14" t="s">
        <v>92</v>
      </c>
      <c r="S519" s="14" t="s">
        <v>92</v>
      </c>
      <c r="T519" s="14" t="s">
        <v>92</v>
      </c>
      <c r="U519" s="14" t="s">
        <v>93</v>
      </c>
      <c r="V519" s="14" t="s">
        <v>92</v>
      </c>
      <c r="W519" s="14" t="s">
        <v>92</v>
      </c>
      <c r="X519" s="14" t="s">
        <v>92</v>
      </c>
      <c r="Y519" s="14" t="s">
        <v>92</v>
      </c>
      <c r="Z519" s="14" t="s">
        <v>92</v>
      </c>
      <c r="AA519" s="14" t="s">
        <v>92</v>
      </c>
      <c r="AB519" s="8" t="s">
        <v>93</v>
      </c>
      <c r="AC519" s="8" t="s">
        <v>92</v>
      </c>
      <c r="AD519" s="8" t="s">
        <v>92</v>
      </c>
      <c r="AE519" s="14" t="s">
        <v>94</v>
      </c>
      <c r="AF519" s="14" t="s">
        <v>92</v>
      </c>
      <c r="AG519" s="14" t="s">
        <v>95</v>
      </c>
      <c r="AH519" s="8" t="s">
        <v>105</v>
      </c>
      <c r="AI519" s="14" t="s">
        <v>93</v>
      </c>
      <c r="AJ519" s="14" t="s">
        <v>92</v>
      </c>
      <c r="AK519" s="14" t="s">
        <v>92</v>
      </c>
      <c r="AL519" s="14" t="s">
        <v>92</v>
      </c>
      <c r="AM519" s="8" t="s">
        <v>105</v>
      </c>
      <c r="AN519" s="14" t="s">
        <v>105</v>
      </c>
      <c r="AO519" s="8" t="s">
        <v>105</v>
      </c>
      <c r="AP519" s="8" t="s">
        <v>92</v>
      </c>
      <c r="AQ519" s="14" t="s">
        <v>92</v>
      </c>
      <c r="AR519" s="14" t="s">
        <v>92</v>
      </c>
      <c r="AS519" s="14" t="s">
        <v>92</v>
      </c>
      <c r="AT519" s="14" t="s">
        <v>92</v>
      </c>
      <c r="AU519" s="14" t="s">
        <v>93</v>
      </c>
      <c r="AV519" s="14" t="s">
        <v>93</v>
      </c>
      <c r="AW519" s="14" t="s">
        <v>93</v>
      </c>
      <c r="AX519" s="14" t="s">
        <v>92</v>
      </c>
      <c r="AY519" s="8" t="s">
        <v>2349</v>
      </c>
      <c r="AZ519" s="8" t="s">
        <v>92</v>
      </c>
      <c r="BA519" s="9" t="s">
        <v>2350</v>
      </c>
      <c r="BB519" s="8" t="s">
        <v>105</v>
      </c>
      <c r="BC519" s="8" t="s">
        <v>105</v>
      </c>
      <c r="BD519" s="14" t="s">
        <v>92</v>
      </c>
      <c r="BE519" s="14" t="s">
        <v>92</v>
      </c>
      <c r="BF519" s="14" t="s">
        <v>92</v>
      </c>
      <c r="BG519" s="14" t="s">
        <v>92</v>
      </c>
      <c r="BH519" s="14" t="s">
        <v>92</v>
      </c>
      <c r="BI519" s="14" t="s">
        <v>93</v>
      </c>
      <c r="BJ519" s="14" t="s">
        <v>92</v>
      </c>
      <c r="BK519" s="14" t="s">
        <v>482</v>
      </c>
      <c r="BL519" s="14" t="s">
        <v>92</v>
      </c>
      <c r="BM519" s="14" t="s">
        <v>92</v>
      </c>
      <c r="BN519" s="14" t="s">
        <v>92</v>
      </c>
      <c r="BO519" s="14" t="s">
        <v>93</v>
      </c>
      <c r="BP519" s="14" t="s">
        <v>92</v>
      </c>
      <c r="BQ519" s="8" t="s">
        <v>93</v>
      </c>
      <c r="BR519" s="8" t="s">
        <v>92</v>
      </c>
      <c r="BS519" s="8" t="s">
        <v>92</v>
      </c>
      <c r="BT519" s="8" t="s">
        <v>92</v>
      </c>
      <c r="BU519" s="8" t="s">
        <v>92</v>
      </c>
      <c r="BV519" s="8" t="s">
        <v>92</v>
      </c>
      <c r="BW519" s="8" t="s">
        <v>92</v>
      </c>
      <c r="BX519" s="8" t="s">
        <v>92</v>
      </c>
      <c r="BY519" s="8" t="s">
        <v>92</v>
      </c>
      <c r="BZ519" s="8" t="s">
        <v>92</v>
      </c>
      <c r="CA519" s="8" t="s">
        <v>92</v>
      </c>
      <c r="CB519" s="20" t="s">
        <v>1189</v>
      </c>
      <c r="CC519" s="17"/>
      <c r="CD519" s="18"/>
      <c r="CE519" s="18"/>
      <c r="CF519" s="18"/>
      <c r="CG519" s="18"/>
      <c r="CH519" s="18"/>
    </row>
    <row r="520">
      <c r="A520" s="8"/>
      <c r="B520" s="9" t="s">
        <v>2318</v>
      </c>
      <c r="C520" s="10" t="s">
        <v>2319</v>
      </c>
      <c r="D520" s="9" t="s">
        <v>1670</v>
      </c>
      <c r="E520" s="11" t="s">
        <v>2351</v>
      </c>
      <c r="F520" s="12"/>
      <c r="G520" s="14" t="s">
        <v>2352</v>
      </c>
      <c r="H520" s="14" t="s">
        <v>90</v>
      </c>
      <c r="I520" s="14" t="s">
        <v>2353</v>
      </c>
      <c r="J520" s="14" t="s">
        <v>92</v>
      </c>
      <c r="K520" s="14" t="s">
        <v>92</v>
      </c>
      <c r="L520" s="14" t="s">
        <v>92</v>
      </c>
      <c r="M520" s="14" t="s">
        <v>92</v>
      </c>
      <c r="N520" s="14" t="s">
        <v>92</v>
      </c>
      <c r="O520" s="14" t="s">
        <v>92</v>
      </c>
      <c r="P520" s="14" t="s">
        <v>92</v>
      </c>
      <c r="Q520" s="14" t="s">
        <v>93</v>
      </c>
      <c r="R520" s="14" t="s">
        <v>92</v>
      </c>
      <c r="S520" s="14" t="s">
        <v>92</v>
      </c>
      <c r="T520" s="14" t="s">
        <v>92</v>
      </c>
      <c r="U520" s="14" t="s">
        <v>93</v>
      </c>
      <c r="V520" s="14" t="s">
        <v>92</v>
      </c>
      <c r="W520" s="14" t="s">
        <v>92</v>
      </c>
      <c r="X520" s="14" t="s">
        <v>92</v>
      </c>
      <c r="Y520" s="14" t="s">
        <v>92</v>
      </c>
      <c r="Z520" s="14" t="s">
        <v>92</v>
      </c>
      <c r="AA520" s="14" t="s">
        <v>92</v>
      </c>
      <c r="AB520" s="8" t="s">
        <v>93</v>
      </c>
      <c r="AC520" s="8" t="s">
        <v>92</v>
      </c>
      <c r="AD520" s="8" t="s">
        <v>92</v>
      </c>
      <c r="AE520" s="14" t="s">
        <v>94</v>
      </c>
      <c r="AF520" s="14" t="s">
        <v>92</v>
      </c>
      <c r="AG520" s="14" t="s">
        <v>95</v>
      </c>
      <c r="AH520" s="8">
        <v>2020.0</v>
      </c>
      <c r="AI520" s="14" t="s">
        <v>93</v>
      </c>
      <c r="AJ520" s="14" t="s">
        <v>92</v>
      </c>
      <c r="AK520" s="14" t="s">
        <v>92</v>
      </c>
      <c r="AL520" s="14" t="s">
        <v>92</v>
      </c>
      <c r="AM520" s="8">
        <v>2020.0</v>
      </c>
      <c r="AN520" s="14" t="s">
        <v>96</v>
      </c>
      <c r="AO520" s="8" t="s">
        <v>92</v>
      </c>
      <c r="AP520" s="8" t="s">
        <v>93</v>
      </c>
      <c r="AQ520" s="14" t="s">
        <v>92</v>
      </c>
      <c r="AR520" s="14" t="s">
        <v>92</v>
      </c>
      <c r="AS520" s="14" t="s">
        <v>92</v>
      </c>
      <c r="AT520" s="14" t="s">
        <v>92</v>
      </c>
      <c r="AU520" s="14" t="s">
        <v>93</v>
      </c>
      <c r="AV520" s="14" t="s">
        <v>93</v>
      </c>
      <c r="AW520" s="14" t="s">
        <v>93</v>
      </c>
      <c r="AX520" s="14" t="s">
        <v>92</v>
      </c>
      <c r="AY520" s="8" t="s">
        <v>2343</v>
      </c>
      <c r="AZ520" s="8" t="s">
        <v>92</v>
      </c>
      <c r="BA520" s="9" t="s">
        <v>2354</v>
      </c>
      <c r="BB520" s="8" t="s">
        <v>143</v>
      </c>
      <c r="BC520" s="8" t="s">
        <v>92</v>
      </c>
      <c r="BD520" s="14" t="s">
        <v>92</v>
      </c>
      <c r="BE520" s="14" t="s">
        <v>92</v>
      </c>
      <c r="BF520" s="14" t="s">
        <v>92</v>
      </c>
      <c r="BG520" s="14" t="s">
        <v>92</v>
      </c>
      <c r="BH520" s="14" t="s">
        <v>92</v>
      </c>
      <c r="BI520" s="14" t="s">
        <v>93</v>
      </c>
      <c r="BJ520" s="14" t="s">
        <v>92</v>
      </c>
      <c r="BK520" s="14" t="s">
        <v>482</v>
      </c>
      <c r="BL520" s="14" t="s">
        <v>92</v>
      </c>
      <c r="BM520" s="14" t="s">
        <v>92</v>
      </c>
      <c r="BN520" s="14" t="s">
        <v>92</v>
      </c>
      <c r="BO520" s="14" t="s">
        <v>93</v>
      </c>
      <c r="BP520" s="14" t="s">
        <v>92</v>
      </c>
      <c r="BQ520" s="8" t="s">
        <v>93</v>
      </c>
      <c r="BR520" s="8" t="s">
        <v>92</v>
      </c>
      <c r="BS520" s="8" t="s">
        <v>92</v>
      </c>
      <c r="BT520" s="8" t="s">
        <v>92</v>
      </c>
      <c r="BU520" s="8" t="s">
        <v>92</v>
      </c>
      <c r="BV520" s="8" t="s">
        <v>92</v>
      </c>
      <c r="BW520" s="8" t="s">
        <v>92</v>
      </c>
      <c r="BX520" s="8" t="s">
        <v>92</v>
      </c>
      <c r="BY520" s="8" t="s">
        <v>92</v>
      </c>
      <c r="BZ520" s="8" t="s">
        <v>92</v>
      </c>
      <c r="CA520" s="8" t="s">
        <v>92</v>
      </c>
      <c r="CB520" s="20" t="s">
        <v>1189</v>
      </c>
      <c r="CC520" s="17"/>
      <c r="CD520" s="18"/>
      <c r="CE520" s="18"/>
      <c r="CF520" s="18"/>
      <c r="CG520" s="18"/>
      <c r="CH520" s="18"/>
    </row>
    <row r="521">
      <c r="A521" s="8"/>
      <c r="B521" s="9" t="s">
        <v>2318</v>
      </c>
      <c r="C521" s="10" t="s">
        <v>2319</v>
      </c>
      <c r="D521" s="9" t="s">
        <v>1670</v>
      </c>
      <c r="E521" s="11" t="s">
        <v>2355</v>
      </c>
      <c r="F521" s="12"/>
      <c r="G521" s="14" t="s">
        <v>2356</v>
      </c>
      <c r="H521" s="14" t="s">
        <v>90</v>
      </c>
      <c r="I521" s="14" t="s">
        <v>2357</v>
      </c>
      <c r="J521" s="14" t="s">
        <v>92</v>
      </c>
      <c r="K521" s="14" t="s">
        <v>92</v>
      </c>
      <c r="L521" s="14" t="s">
        <v>92</v>
      </c>
      <c r="M521" s="14" t="s">
        <v>92</v>
      </c>
      <c r="N521" s="14" t="s">
        <v>92</v>
      </c>
      <c r="O521" s="14" t="s">
        <v>92</v>
      </c>
      <c r="P521" s="14" t="s">
        <v>92</v>
      </c>
      <c r="Q521" s="14" t="s">
        <v>92</v>
      </c>
      <c r="R521" s="14" t="s">
        <v>92</v>
      </c>
      <c r="S521" s="14" t="s">
        <v>93</v>
      </c>
      <c r="T521" s="14" t="s">
        <v>92</v>
      </c>
      <c r="U521" s="14" t="s">
        <v>92</v>
      </c>
      <c r="V521" s="14" t="s">
        <v>92</v>
      </c>
      <c r="W521" s="14" t="s">
        <v>92</v>
      </c>
      <c r="X521" s="14" t="s">
        <v>92</v>
      </c>
      <c r="Y521" s="14" t="s">
        <v>92</v>
      </c>
      <c r="Z521" s="14" t="s">
        <v>93</v>
      </c>
      <c r="AA521" s="14" t="s">
        <v>92</v>
      </c>
      <c r="AB521" s="8" t="s">
        <v>92</v>
      </c>
      <c r="AC521" s="8" t="s">
        <v>93</v>
      </c>
      <c r="AD521" s="8" t="s">
        <v>92</v>
      </c>
      <c r="AE521" s="14" t="s">
        <v>112</v>
      </c>
      <c r="AF521" s="14" t="s">
        <v>93</v>
      </c>
      <c r="AG521" s="14" t="s">
        <v>2358</v>
      </c>
      <c r="AH521" s="8" t="s">
        <v>105</v>
      </c>
      <c r="AI521" s="14" t="s">
        <v>93</v>
      </c>
      <c r="AJ521" s="14" t="s">
        <v>93</v>
      </c>
      <c r="AK521" s="14" t="s">
        <v>93</v>
      </c>
      <c r="AL521" s="14" t="s">
        <v>93</v>
      </c>
      <c r="AM521" s="8" t="s">
        <v>95</v>
      </c>
      <c r="AN521" s="14" t="s">
        <v>114</v>
      </c>
      <c r="AO521" s="8" t="s">
        <v>93</v>
      </c>
      <c r="AP521" s="8" t="s">
        <v>92</v>
      </c>
      <c r="AQ521" s="14" t="s">
        <v>92</v>
      </c>
      <c r="AR521" s="14" t="s">
        <v>92</v>
      </c>
      <c r="AS521" s="14" t="s">
        <v>92</v>
      </c>
      <c r="AT521" s="14" t="s">
        <v>92</v>
      </c>
      <c r="AU521" s="14" t="s">
        <v>93</v>
      </c>
      <c r="AV521" s="14" t="s">
        <v>93</v>
      </c>
      <c r="AW521" s="14" t="s">
        <v>93</v>
      </c>
      <c r="AX521" s="14" t="s">
        <v>92</v>
      </c>
      <c r="AY521" s="8" t="s">
        <v>95</v>
      </c>
      <c r="AZ521" s="8" t="s">
        <v>95</v>
      </c>
      <c r="BA521" s="9" t="s">
        <v>2318</v>
      </c>
      <c r="BB521" s="8" t="s">
        <v>213</v>
      </c>
      <c r="BC521" s="8" t="s">
        <v>92</v>
      </c>
      <c r="BD521" s="14" t="s">
        <v>92</v>
      </c>
      <c r="BE521" s="14" t="s">
        <v>92</v>
      </c>
      <c r="BF521" s="14" t="s">
        <v>92</v>
      </c>
      <c r="BG521" s="14" t="s">
        <v>92</v>
      </c>
      <c r="BH521" s="14" t="s">
        <v>92</v>
      </c>
      <c r="BI521" s="14" t="s">
        <v>92</v>
      </c>
      <c r="BJ521" s="14" t="s">
        <v>92</v>
      </c>
      <c r="BK521" s="14" t="s">
        <v>453</v>
      </c>
      <c r="BL521" s="14" t="s">
        <v>92</v>
      </c>
      <c r="BM521" s="14" t="s">
        <v>92</v>
      </c>
      <c r="BN521" s="14" t="s">
        <v>92</v>
      </c>
      <c r="BO521" s="14" t="s">
        <v>93</v>
      </c>
      <c r="BP521" s="14" t="s">
        <v>93</v>
      </c>
      <c r="BQ521" s="8" t="s">
        <v>92</v>
      </c>
      <c r="BR521" s="8" t="s">
        <v>92</v>
      </c>
      <c r="BS521" s="8" t="s">
        <v>92</v>
      </c>
      <c r="BT521" s="8" t="s">
        <v>93</v>
      </c>
      <c r="BU521" s="8" t="s">
        <v>92</v>
      </c>
      <c r="BV521" s="8" t="s">
        <v>92</v>
      </c>
      <c r="BW521" s="8" t="s">
        <v>92</v>
      </c>
      <c r="BX521" s="8" t="s">
        <v>92</v>
      </c>
      <c r="BY521" s="8" t="s">
        <v>92</v>
      </c>
      <c r="BZ521" s="8" t="s">
        <v>92</v>
      </c>
      <c r="CA521" s="8" t="s">
        <v>92</v>
      </c>
      <c r="CB521" s="20" t="s">
        <v>1189</v>
      </c>
      <c r="CC521" s="20" t="s">
        <v>129</v>
      </c>
      <c r="CD521" s="20" t="s">
        <v>1195</v>
      </c>
      <c r="CE521" s="20" t="s">
        <v>660</v>
      </c>
      <c r="CF521" s="18"/>
      <c r="CG521" s="18"/>
      <c r="CH521" s="18"/>
    </row>
    <row r="522">
      <c r="A522" s="8"/>
      <c r="B522" s="9" t="s">
        <v>2359</v>
      </c>
      <c r="C522" s="10" t="s">
        <v>2360</v>
      </c>
      <c r="D522" s="9" t="s">
        <v>1670</v>
      </c>
      <c r="E522" s="11" t="s">
        <v>2361</v>
      </c>
      <c r="F522" s="12"/>
      <c r="G522" s="14" t="s">
        <v>2362</v>
      </c>
      <c r="H522" s="14" t="s">
        <v>90</v>
      </c>
      <c r="I522" s="14" t="s">
        <v>2363</v>
      </c>
      <c r="J522" s="14" t="s">
        <v>92</v>
      </c>
      <c r="K522" s="14" t="s">
        <v>92</v>
      </c>
      <c r="L522" s="14" t="s">
        <v>92</v>
      </c>
      <c r="M522" s="14" t="s">
        <v>93</v>
      </c>
      <c r="N522" s="14" t="s">
        <v>92</v>
      </c>
      <c r="O522" s="14" t="s">
        <v>92</v>
      </c>
      <c r="P522" s="14" t="s">
        <v>92</v>
      </c>
      <c r="Q522" s="14" t="s">
        <v>92</v>
      </c>
      <c r="R522" s="14" t="s">
        <v>92</v>
      </c>
      <c r="S522" s="14" t="s">
        <v>92</v>
      </c>
      <c r="T522" s="14" t="s">
        <v>92</v>
      </c>
      <c r="U522" s="14" t="s">
        <v>93</v>
      </c>
      <c r="V522" s="14" t="s">
        <v>92</v>
      </c>
      <c r="W522" s="14" t="s">
        <v>92</v>
      </c>
      <c r="X522" s="14" t="s">
        <v>92</v>
      </c>
      <c r="Y522" s="14" t="s">
        <v>92</v>
      </c>
      <c r="Z522" s="14" t="s">
        <v>92</v>
      </c>
      <c r="AA522" s="14" t="s">
        <v>92</v>
      </c>
      <c r="AB522" s="8" t="s">
        <v>93</v>
      </c>
      <c r="AC522" s="8" t="s">
        <v>92</v>
      </c>
      <c r="AD522" s="8" t="s">
        <v>92</v>
      </c>
      <c r="AE522" s="14" t="s">
        <v>94</v>
      </c>
      <c r="AF522" s="14" t="s">
        <v>92</v>
      </c>
      <c r="AG522" s="14" t="s">
        <v>95</v>
      </c>
      <c r="AH522" s="8" t="s">
        <v>105</v>
      </c>
      <c r="AI522" s="14" t="s">
        <v>93</v>
      </c>
      <c r="AJ522" s="14" t="s">
        <v>93</v>
      </c>
      <c r="AK522" s="14" t="s">
        <v>93</v>
      </c>
      <c r="AL522" s="14" t="s">
        <v>93</v>
      </c>
      <c r="AM522" s="8" t="s">
        <v>95</v>
      </c>
      <c r="AN522" s="14" t="s">
        <v>114</v>
      </c>
      <c r="AO522" s="8" t="s">
        <v>93</v>
      </c>
      <c r="AP522" s="8" t="s">
        <v>93</v>
      </c>
      <c r="AQ522" s="14" t="s">
        <v>92</v>
      </c>
      <c r="AR522" s="14" t="s">
        <v>92</v>
      </c>
      <c r="AS522" s="14" t="s">
        <v>92</v>
      </c>
      <c r="AT522" s="14" t="s">
        <v>92</v>
      </c>
      <c r="AU522" s="14" t="s">
        <v>93</v>
      </c>
      <c r="AV522" s="14" t="s">
        <v>93</v>
      </c>
      <c r="AW522" s="14" t="s">
        <v>93</v>
      </c>
      <c r="AX522" s="14" t="s">
        <v>93</v>
      </c>
      <c r="AY522" s="8" t="s">
        <v>95</v>
      </c>
      <c r="AZ522" s="8" t="s">
        <v>95</v>
      </c>
      <c r="BA522" s="9" t="s">
        <v>2359</v>
      </c>
      <c r="BB522" s="8" t="s">
        <v>261</v>
      </c>
      <c r="BC522" s="8" t="s">
        <v>92</v>
      </c>
      <c r="BD522" s="14" t="s">
        <v>92</v>
      </c>
      <c r="BE522" s="14" t="s">
        <v>92</v>
      </c>
      <c r="BF522" s="14" t="s">
        <v>92</v>
      </c>
      <c r="BG522" s="14" t="s">
        <v>92</v>
      </c>
      <c r="BH522" s="14" t="s">
        <v>92</v>
      </c>
      <c r="BI522" s="14" t="s">
        <v>93</v>
      </c>
      <c r="BJ522" s="14" t="s">
        <v>92</v>
      </c>
      <c r="BK522" s="14" t="s">
        <v>2364</v>
      </c>
      <c r="BL522" s="14" t="s">
        <v>93</v>
      </c>
      <c r="BM522" s="14" t="s">
        <v>92</v>
      </c>
      <c r="BN522" s="14" t="s">
        <v>92</v>
      </c>
      <c r="BO522" s="14" t="s">
        <v>93</v>
      </c>
      <c r="BP522" s="14" t="s">
        <v>93</v>
      </c>
      <c r="BQ522" s="8" t="s">
        <v>93</v>
      </c>
      <c r="BR522" s="8" t="s">
        <v>92</v>
      </c>
      <c r="BS522" s="8" t="s">
        <v>92</v>
      </c>
      <c r="BT522" s="8" t="s">
        <v>92</v>
      </c>
      <c r="BU522" s="8" t="s">
        <v>92</v>
      </c>
      <c r="BV522" s="8" t="s">
        <v>92</v>
      </c>
      <c r="BW522" s="8" t="s">
        <v>92</v>
      </c>
      <c r="BX522" s="8" t="s">
        <v>92</v>
      </c>
      <c r="BY522" s="8" t="s">
        <v>92</v>
      </c>
      <c r="BZ522" s="8" t="s">
        <v>92</v>
      </c>
      <c r="CA522" s="8" t="s">
        <v>92</v>
      </c>
      <c r="CB522" s="20" t="s">
        <v>1189</v>
      </c>
      <c r="CC522" s="20" t="s">
        <v>129</v>
      </c>
      <c r="CD522" s="20" t="s">
        <v>1195</v>
      </c>
      <c r="CE522" s="20" t="s">
        <v>660</v>
      </c>
      <c r="CF522" s="18"/>
      <c r="CG522" s="18"/>
      <c r="CH522" s="18"/>
    </row>
    <row r="523">
      <c r="A523" s="8"/>
      <c r="B523" s="9" t="s">
        <v>2359</v>
      </c>
      <c r="C523" s="10" t="s">
        <v>2360</v>
      </c>
      <c r="D523" s="9" t="s">
        <v>1670</v>
      </c>
      <c r="E523" s="11" t="s">
        <v>2365</v>
      </c>
      <c r="F523" s="12"/>
      <c r="G523" s="14" t="s">
        <v>2366</v>
      </c>
      <c r="H523" s="14" t="s">
        <v>90</v>
      </c>
      <c r="I523" s="14" t="s">
        <v>2367</v>
      </c>
      <c r="J523" s="14" t="s">
        <v>92</v>
      </c>
      <c r="K523" s="14" t="s">
        <v>92</v>
      </c>
      <c r="L523" s="14" t="s">
        <v>92</v>
      </c>
      <c r="M523" s="14" t="s">
        <v>93</v>
      </c>
      <c r="N523" s="14" t="s">
        <v>92</v>
      </c>
      <c r="O523" s="14" t="s">
        <v>92</v>
      </c>
      <c r="P523" s="14" t="s">
        <v>92</v>
      </c>
      <c r="Q523" s="14" t="s">
        <v>92</v>
      </c>
      <c r="R523" s="14" t="s">
        <v>92</v>
      </c>
      <c r="S523" s="14" t="s">
        <v>92</v>
      </c>
      <c r="T523" s="14" t="s">
        <v>92</v>
      </c>
      <c r="U523" s="14" t="s">
        <v>93</v>
      </c>
      <c r="V523" s="14" t="s">
        <v>92</v>
      </c>
      <c r="W523" s="14" t="s">
        <v>92</v>
      </c>
      <c r="X523" s="14" t="s">
        <v>92</v>
      </c>
      <c r="Y523" s="14" t="s">
        <v>92</v>
      </c>
      <c r="Z523" s="14" t="s">
        <v>92</v>
      </c>
      <c r="AA523" s="14" t="s">
        <v>92</v>
      </c>
      <c r="AB523" s="8" t="s">
        <v>93</v>
      </c>
      <c r="AC523" s="8" t="s">
        <v>92</v>
      </c>
      <c r="AD523" s="8" t="s">
        <v>92</v>
      </c>
      <c r="AE523" s="14" t="s">
        <v>94</v>
      </c>
      <c r="AF523" s="14" t="s">
        <v>92</v>
      </c>
      <c r="AG523" s="14" t="s">
        <v>95</v>
      </c>
      <c r="AH523" s="8" t="s">
        <v>105</v>
      </c>
      <c r="AI523" s="14" t="s">
        <v>92</v>
      </c>
      <c r="AJ523" s="14" t="s">
        <v>92</v>
      </c>
      <c r="AK523" s="14" t="s">
        <v>93</v>
      </c>
      <c r="AL523" s="14" t="s">
        <v>93</v>
      </c>
      <c r="AM523" s="8" t="s">
        <v>95</v>
      </c>
      <c r="AN523" s="14" t="s">
        <v>114</v>
      </c>
      <c r="AO523" s="8" t="s">
        <v>93</v>
      </c>
      <c r="AP523" s="8" t="s">
        <v>92</v>
      </c>
      <c r="AQ523" s="14" t="s">
        <v>92</v>
      </c>
      <c r="AR523" s="14" t="s">
        <v>92</v>
      </c>
      <c r="AS523" s="14" t="s">
        <v>92</v>
      </c>
      <c r="AT523" s="14" t="s">
        <v>92</v>
      </c>
      <c r="AU523" s="14" t="s">
        <v>93</v>
      </c>
      <c r="AV523" s="14" t="s">
        <v>93</v>
      </c>
      <c r="AW523" s="14" t="s">
        <v>93</v>
      </c>
      <c r="AX523" s="14" t="s">
        <v>93</v>
      </c>
      <c r="AY523" s="8" t="s">
        <v>2368</v>
      </c>
      <c r="AZ523" s="8" t="s">
        <v>92</v>
      </c>
      <c r="BA523" s="9" t="s">
        <v>2369</v>
      </c>
      <c r="BB523" s="8" t="s">
        <v>143</v>
      </c>
      <c r="BC523" s="8" t="s">
        <v>92</v>
      </c>
      <c r="BD523" s="14" t="s">
        <v>92</v>
      </c>
      <c r="BE523" s="14" t="s">
        <v>92</v>
      </c>
      <c r="BF523" s="14" t="s">
        <v>92</v>
      </c>
      <c r="BG523" s="14" t="s">
        <v>92</v>
      </c>
      <c r="BH523" s="14" t="s">
        <v>92</v>
      </c>
      <c r="BI523" s="14" t="s">
        <v>93</v>
      </c>
      <c r="BJ523" s="14" t="s">
        <v>92</v>
      </c>
      <c r="BK523" s="14" t="s">
        <v>574</v>
      </c>
      <c r="BL523" s="14" t="s">
        <v>93</v>
      </c>
      <c r="BM523" s="14" t="s">
        <v>92</v>
      </c>
      <c r="BN523" s="14" t="s">
        <v>92</v>
      </c>
      <c r="BO523" s="14" t="s">
        <v>92</v>
      </c>
      <c r="BP523" s="14" t="s">
        <v>92</v>
      </c>
      <c r="BQ523" s="8" t="s">
        <v>93</v>
      </c>
      <c r="BR523" s="8" t="s">
        <v>92</v>
      </c>
      <c r="BS523" s="8" t="s">
        <v>92</v>
      </c>
      <c r="BT523" s="8" t="s">
        <v>92</v>
      </c>
      <c r="BU523" s="8" t="s">
        <v>92</v>
      </c>
      <c r="BV523" s="8" t="s">
        <v>92</v>
      </c>
      <c r="BW523" s="8" t="s">
        <v>92</v>
      </c>
      <c r="BX523" s="8" t="s">
        <v>92</v>
      </c>
      <c r="BY523" s="8" t="s">
        <v>92</v>
      </c>
      <c r="BZ523" s="8" t="s">
        <v>92</v>
      </c>
      <c r="CA523" s="8" t="s">
        <v>92</v>
      </c>
      <c r="CB523" s="20" t="s">
        <v>1195</v>
      </c>
      <c r="CC523" s="20" t="s">
        <v>660</v>
      </c>
      <c r="CD523" s="18"/>
      <c r="CE523" s="18"/>
      <c r="CF523" s="18"/>
      <c r="CG523" s="18"/>
      <c r="CH523" s="18"/>
    </row>
    <row r="524">
      <c r="A524" s="8"/>
      <c r="B524" s="9" t="s">
        <v>2359</v>
      </c>
      <c r="C524" s="10" t="s">
        <v>2360</v>
      </c>
      <c r="D524" s="9" t="s">
        <v>1670</v>
      </c>
      <c r="E524" s="11" t="s">
        <v>2370</v>
      </c>
      <c r="F524" s="12"/>
      <c r="G524" s="14" t="s">
        <v>2371</v>
      </c>
      <c r="H524" s="14" t="s">
        <v>90</v>
      </c>
      <c r="I524" s="14" t="s">
        <v>2372</v>
      </c>
      <c r="J524" s="14" t="s">
        <v>92</v>
      </c>
      <c r="K524" s="14" t="s">
        <v>92</v>
      </c>
      <c r="L524" s="14" t="s">
        <v>92</v>
      </c>
      <c r="M524" s="14" t="s">
        <v>93</v>
      </c>
      <c r="N524" s="14" t="s">
        <v>92</v>
      </c>
      <c r="O524" s="14" t="s">
        <v>92</v>
      </c>
      <c r="P524" s="14" t="s">
        <v>92</v>
      </c>
      <c r="Q524" s="14" t="s">
        <v>92</v>
      </c>
      <c r="R524" s="14" t="s">
        <v>93</v>
      </c>
      <c r="S524" s="14" t="s">
        <v>92</v>
      </c>
      <c r="T524" s="14" t="s">
        <v>92</v>
      </c>
      <c r="U524" s="14" t="s">
        <v>93</v>
      </c>
      <c r="V524" s="14" t="s">
        <v>92</v>
      </c>
      <c r="W524" s="14" t="s">
        <v>92</v>
      </c>
      <c r="X524" s="14" t="s">
        <v>92</v>
      </c>
      <c r="Y524" s="14" t="s">
        <v>92</v>
      </c>
      <c r="Z524" s="14" t="s">
        <v>92</v>
      </c>
      <c r="AA524" s="14" t="s">
        <v>92</v>
      </c>
      <c r="AB524" s="8" t="s">
        <v>93</v>
      </c>
      <c r="AC524" s="8" t="s">
        <v>92</v>
      </c>
      <c r="AD524" s="8" t="s">
        <v>92</v>
      </c>
      <c r="AE524" s="14" t="s">
        <v>94</v>
      </c>
      <c r="AF524" s="14" t="s">
        <v>92</v>
      </c>
      <c r="AG524" s="14" t="s">
        <v>95</v>
      </c>
      <c r="AH524" s="8" t="s">
        <v>105</v>
      </c>
      <c r="AI524" s="14" t="s">
        <v>92</v>
      </c>
      <c r="AJ524" s="14" t="s">
        <v>92</v>
      </c>
      <c r="AK524" s="14" t="s">
        <v>92</v>
      </c>
      <c r="AL524" s="14" t="s">
        <v>93</v>
      </c>
      <c r="AM524" s="8" t="s">
        <v>95</v>
      </c>
      <c r="AN524" s="14" t="s">
        <v>114</v>
      </c>
      <c r="AO524" s="8" t="s">
        <v>92</v>
      </c>
      <c r="AP524" s="8" t="s">
        <v>92</v>
      </c>
      <c r="AQ524" s="14" t="s">
        <v>92</v>
      </c>
      <c r="AR524" s="14" t="s">
        <v>92</v>
      </c>
      <c r="AS524" s="14" t="s">
        <v>92</v>
      </c>
      <c r="AT524" s="14" t="s">
        <v>92</v>
      </c>
      <c r="AU524" s="14" t="s">
        <v>93</v>
      </c>
      <c r="AV524" s="14" t="s">
        <v>93</v>
      </c>
      <c r="AW524" s="14" t="s">
        <v>93</v>
      </c>
      <c r="AX524" s="14" t="s">
        <v>93</v>
      </c>
      <c r="AY524" s="8" t="s">
        <v>95</v>
      </c>
      <c r="AZ524" s="8" t="s">
        <v>95</v>
      </c>
      <c r="BA524" s="9" t="s">
        <v>2359</v>
      </c>
      <c r="BB524" s="8" t="s">
        <v>261</v>
      </c>
      <c r="BC524" s="8" t="s">
        <v>92</v>
      </c>
      <c r="BD524" s="14" t="s">
        <v>92</v>
      </c>
      <c r="BE524" s="14" t="s">
        <v>92</v>
      </c>
      <c r="BF524" s="14" t="s">
        <v>92</v>
      </c>
      <c r="BG524" s="14" t="s">
        <v>92</v>
      </c>
      <c r="BH524" s="14" t="s">
        <v>92</v>
      </c>
      <c r="BI524" s="14" t="s">
        <v>93</v>
      </c>
      <c r="BJ524" s="14" t="s">
        <v>92</v>
      </c>
      <c r="BK524" s="14" t="s">
        <v>2373</v>
      </c>
      <c r="BL524" s="14" t="s">
        <v>93</v>
      </c>
      <c r="BM524" s="14" t="s">
        <v>92</v>
      </c>
      <c r="BN524" s="14" t="s">
        <v>92</v>
      </c>
      <c r="BO524" s="14" t="s">
        <v>93</v>
      </c>
      <c r="BP524" s="14" t="s">
        <v>93</v>
      </c>
      <c r="BQ524" s="8" t="s">
        <v>93</v>
      </c>
      <c r="BR524" s="8" t="s">
        <v>92</v>
      </c>
      <c r="BS524" s="8" t="s">
        <v>92</v>
      </c>
      <c r="BT524" s="8" t="s">
        <v>92</v>
      </c>
      <c r="BU524" s="8" t="s">
        <v>92</v>
      </c>
      <c r="BV524" s="8" t="s">
        <v>92</v>
      </c>
      <c r="BW524" s="8" t="s">
        <v>92</v>
      </c>
      <c r="BX524" s="8" t="s">
        <v>92</v>
      </c>
      <c r="BY524" s="8" t="s">
        <v>92</v>
      </c>
      <c r="BZ524" s="8" t="s">
        <v>92</v>
      </c>
      <c r="CA524" s="8" t="s">
        <v>92</v>
      </c>
      <c r="CB524" s="20" t="s">
        <v>660</v>
      </c>
      <c r="CC524" s="31"/>
      <c r="CD524" s="18"/>
      <c r="CE524" s="18"/>
      <c r="CF524" s="18"/>
      <c r="CG524" s="18"/>
      <c r="CH524" s="18"/>
    </row>
    <row r="525">
      <c r="A525" s="8"/>
      <c r="B525" s="9" t="s">
        <v>2359</v>
      </c>
      <c r="C525" s="10" t="s">
        <v>2360</v>
      </c>
      <c r="D525" s="9" t="s">
        <v>1670</v>
      </c>
      <c r="E525" s="11" t="s">
        <v>2374</v>
      </c>
      <c r="F525" s="12"/>
      <c r="G525" s="14" t="s">
        <v>2375</v>
      </c>
      <c r="H525" s="14" t="s">
        <v>189</v>
      </c>
      <c r="I525" s="14" t="s">
        <v>2376</v>
      </c>
      <c r="J525" s="14" t="s">
        <v>92</v>
      </c>
      <c r="K525" s="14" t="s">
        <v>92</v>
      </c>
      <c r="L525" s="14" t="s">
        <v>92</v>
      </c>
      <c r="M525" s="14" t="s">
        <v>92</v>
      </c>
      <c r="N525" s="14" t="s">
        <v>92</v>
      </c>
      <c r="O525" s="14" t="s">
        <v>92</v>
      </c>
      <c r="P525" s="14" t="s">
        <v>93</v>
      </c>
      <c r="Q525" s="14" t="s">
        <v>92</v>
      </c>
      <c r="R525" s="14" t="s">
        <v>92</v>
      </c>
      <c r="S525" s="14" t="s">
        <v>92</v>
      </c>
      <c r="T525" s="14" t="s">
        <v>93</v>
      </c>
      <c r="U525" s="14" t="s">
        <v>92</v>
      </c>
      <c r="V525" s="14" t="s">
        <v>92</v>
      </c>
      <c r="W525" s="14" t="s">
        <v>92</v>
      </c>
      <c r="X525" s="14" t="s">
        <v>92</v>
      </c>
      <c r="Y525" s="14" t="s">
        <v>92</v>
      </c>
      <c r="Z525" s="14" t="s">
        <v>92</v>
      </c>
      <c r="AA525" s="14" t="s">
        <v>92</v>
      </c>
      <c r="AB525" s="8" t="s">
        <v>93</v>
      </c>
      <c r="AC525" s="8" t="s">
        <v>92</v>
      </c>
      <c r="AD525" s="8" t="s">
        <v>92</v>
      </c>
      <c r="AE525" s="14" t="s">
        <v>103</v>
      </c>
      <c r="AF525" s="14" t="s">
        <v>92</v>
      </c>
      <c r="AG525" s="14" t="s">
        <v>95</v>
      </c>
      <c r="AH525" s="8" t="s">
        <v>105</v>
      </c>
      <c r="AI525" s="14" t="s">
        <v>92</v>
      </c>
      <c r="AJ525" s="14" t="s">
        <v>92</v>
      </c>
      <c r="AK525" s="14" t="s">
        <v>92</v>
      </c>
      <c r="AL525" s="14" t="s">
        <v>93</v>
      </c>
      <c r="AM525" s="8" t="s">
        <v>95</v>
      </c>
      <c r="AN525" s="14" t="s">
        <v>114</v>
      </c>
      <c r="AO525" s="8" t="s">
        <v>92</v>
      </c>
      <c r="AP525" s="8" t="s">
        <v>92</v>
      </c>
      <c r="AQ525" s="14" t="s">
        <v>92</v>
      </c>
      <c r="AR525" s="14" t="s">
        <v>92</v>
      </c>
      <c r="AS525" s="14" t="s">
        <v>92</v>
      </c>
      <c r="AT525" s="14" t="s">
        <v>92</v>
      </c>
      <c r="AU525" s="14" t="s">
        <v>93</v>
      </c>
      <c r="AV525" s="14" t="s">
        <v>93</v>
      </c>
      <c r="AW525" s="14" t="s">
        <v>93</v>
      </c>
      <c r="AX525" s="14" t="s">
        <v>93</v>
      </c>
      <c r="AY525" s="8" t="s">
        <v>95</v>
      </c>
      <c r="AZ525" s="8" t="s">
        <v>95</v>
      </c>
      <c r="BA525" s="9" t="s">
        <v>2359</v>
      </c>
      <c r="BB525" s="8" t="s">
        <v>261</v>
      </c>
      <c r="BC525" s="8" t="s">
        <v>92</v>
      </c>
      <c r="BD525" s="14" t="s">
        <v>92</v>
      </c>
      <c r="BE525" s="14" t="s">
        <v>92</v>
      </c>
      <c r="BF525" s="14" t="s">
        <v>92</v>
      </c>
      <c r="BG525" s="14" t="s">
        <v>92</v>
      </c>
      <c r="BH525" s="14" t="s">
        <v>92</v>
      </c>
      <c r="BI525" s="14" t="s">
        <v>93</v>
      </c>
      <c r="BJ525" s="14" t="s">
        <v>92</v>
      </c>
      <c r="BK525" s="14" t="s">
        <v>105</v>
      </c>
      <c r="BL525" s="14" t="s">
        <v>105</v>
      </c>
      <c r="BM525" s="14" t="s">
        <v>105</v>
      </c>
      <c r="BN525" s="14" t="s">
        <v>105</v>
      </c>
      <c r="BO525" s="14" t="s">
        <v>105</v>
      </c>
      <c r="BP525" s="14" t="s">
        <v>105</v>
      </c>
      <c r="BQ525" s="8" t="s">
        <v>92</v>
      </c>
      <c r="BR525" s="8" t="s">
        <v>93</v>
      </c>
      <c r="BS525" s="8" t="s">
        <v>92</v>
      </c>
      <c r="BT525" s="8" t="s">
        <v>92</v>
      </c>
      <c r="BU525" s="8" t="s">
        <v>92</v>
      </c>
      <c r="BV525" s="8" t="s">
        <v>92</v>
      </c>
      <c r="BW525" s="8" t="s">
        <v>92</v>
      </c>
      <c r="BX525" s="8" t="s">
        <v>92</v>
      </c>
      <c r="BY525" s="8" t="s">
        <v>92</v>
      </c>
      <c r="BZ525" s="8" t="s">
        <v>92</v>
      </c>
      <c r="CA525" s="8" t="s">
        <v>92</v>
      </c>
      <c r="CB525" s="20" t="s">
        <v>660</v>
      </c>
      <c r="CC525" s="31"/>
      <c r="CD525" s="18"/>
      <c r="CE525" s="18"/>
      <c r="CF525" s="18"/>
      <c r="CG525" s="18"/>
      <c r="CH525" s="18"/>
    </row>
    <row r="526">
      <c r="A526" s="8"/>
      <c r="B526" s="9" t="s">
        <v>2359</v>
      </c>
      <c r="C526" s="10" t="s">
        <v>2360</v>
      </c>
      <c r="D526" s="9" t="s">
        <v>1670</v>
      </c>
      <c r="E526" s="11" t="s">
        <v>2377</v>
      </c>
      <c r="F526" s="12"/>
      <c r="G526" s="14" t="s">
        <v>2378</v>
      </c>
      <c r="H526" s="14" t="s">
        <v>110</v>
      </c>
      <c r="I526" s="14" t="s">
        <v>2379</v>
      </c>
      <c r="J526" s="14" t="s">
        <v>93</v>
      </c>
      <c r="K526" s="14" t="s">
        <v>92</v>
      </c>
      <c r="L526" s="14" t="s">
        <v>93</v>
      </c>
      <c r="M526" s="14" t="s">
        <v>92</v>
      </c>
      <c r="N526" s="14" t="s">
        <v>92</v>
      </c>
      <c r="O526" s="14" t="s">
        <v>93</v>
      </c>
      <c r="P526" s="14" t="s">
        <v>92</v>
      </c>
      <c r="Q526" s="14" t="s">
        <v>92</v>
      </c>
      <c r="R526" s="14" t="s">
        <v>92</v>
      </c>
      <c r="S526" s="14" t="s">
        <v>93</v>
      </c>
      <c r="T526" s="14" t="s">
        <v>92</v>
      </c>
      <c r="U526" s="14" t="s">
        <v>92</v>
      </c>
      <c r="V526" s="14" t="s">
        <v>92</v>
      </c>
      <c r="W526" s="14" t="s">
        <v>92</v>
      </c>
      <c r="X526" s="14" t="s">
        <v>92</v>
      </c>
      <c r="Y526" s="14" t="s">
        <v>92</v>
      </c>
      <c r="Z526" s="14" t="s">
        <v>92</v>
      </c>
      <c r="AA526" s="14" t="s">
        <v>93</v>
      </c>
      <c r="AB526" s="8" t="s">
        <v>93</v>
      </c>
      <c r="AC526" s="8" t="s">
        <v>92</v>
      </c>
      <c r="AD526" s="8" t="s">
        <v>92</v>
      </c>
      <c r="AE526" s="14" t="s">
        <v>148</v>
      </c>
      <c r="AF526" s="14" t="s">
        <v>92</v>
      </c>
      <c r="AG526" s="14" t="s">
        <v>95</v>
      </c>
      <c r="AH526" s="8" t="s">
        <v>105</v>
      </c>
      <c r="AI526" s="14" t="s">
        <v>92</v>
      </c>
      <c r="AJ526" s="14" t="s">
        <v>92</v>
      </c>
      <c r="AK526" s="14" t="s">
        <v>93</v>
      </c>
      <c r="AL526" s="14" t="s">
        <v>93</v>
      </c>
      <c r="AM526" s="8" t="s">
        <v>95</v>
      </c>
      <c r="AN526" s="14" t="s">
        <v>114</v>
      </c>
      <c r="AO526" s="8" t="s">
        <v>93</v>
      </c>
      <c r="AP526" s="8" t="s">
        <v>92</v>
      </c>
      <c r="AQ526" s="14" t="s">
        <v>92</v>
      </c>
      <c r="AR526" s="14" t="s">
        <v>92</v>
      </c>
      <c r="AS526" s="14" t="s">
        <v>92</v>
      </c>
      <c r="AT526" s="14" t="s">
        <v>92</v>
      </c>
      <c r="AU526" s="14" t="s">
        <v>93</v>
      </c>
      <c r="AV526" s="14" t="s">
        <v>93</v>
      </c>
      <c r="AW526" s="14" t="s">
        <v>93</v>
      </c>
      <c r="AX526" s="14" t="s">
        <v>93</v>
      </c>
      <c r="AY526" s="8" t="s">
        <v>95</v>
      </c>
      <c r="AZ526" s="8" t="s">
        <v>95</v>
      </c>
      <c r="BA526" s="9" t="s">
        <v>2359</v>
      </c>
      <c r="BB526" s="8" t="s">
        <v>261</v>
      </c>
      <c r="BC526" s="8" t="s">
        <v>92</v>
      </c>
      <c r="BD526" s="14" t="s">
        <v>93</v>
      </c>
      <c r="BE526" s="14" t="s">
        <v>92</v>
      </c>
      <c r="BF526" s="14" t="s">
        <v>92</v>
      </c>
      <c r="BG526" s="14" t="s">
        <v>92</v>
      </c>
      <c r="BH526" s="14" t="s">
        <v>92</v>
      </c>
      <c r="BI526" s="14" t="s">
        <v>92</v>
      </c>
      <c r="BJ526" s="14" t="s">
        <v>92</v>
      </c>
      <c r="BK526" s="14" t="s">
        <v>2364</v>
      </c>
      <c r="BL526" s="14" t="s">
        <v>93</v>
      </c>
      <c r="BM526" s="14" t="s">
        <v>92</v>
      </c>
      <c r="BN526" s="14" t="s">
        <v>92</v>
      </c>
      <c r="BO526" s="14" t="s">
        <v>93</v>
      </c>
      <c r="BP526" s="14" t="s">
        <v>93</v>
      </c>
      <c r="BQ526" s="8" t="s">
        <v>92</v>
      </c>
      <c r="BR526" s="8" t="s">
        <v>92</v>
      </c>
      <c r="BS526" s="8" t="s">
        <v>93</v>
      </c>
      <c r="BT526" s="8" t="s">
        <v>92</v>
      </c>
      <c r="BU526" s="8" t="s">
        <v>92</v>
      </c>
      <c r="BV526" s="8" t="s">
        <v>92</v>
      </c>
      <c r="BW526" s="8" t="s">
        <v>92</v>
      </c>
      <c r="BX526" s="8" t="s">
        <v>92</v>
      </c>
      <c r="BY526" s="8" t="s">
        <v>92</v>
      </c>
      <c r="BZ526" s="8" t="s">
        <v>92</v>
      </c>
      <c r="CA526" s="8" t="s">
        <v>92</v>
      </c>
      <c r="CB526" s="20" t="s">
        <v>1195</v>
      </c>
      <c r="CC526" s="20" t="s">
        <v>660</v>
      </c>
      <c r="CD526" s="18"/>
      <c r="CE526" s="18"/>
      <c r="CF526" s="18"/>
      <c r="CG526" s="18"/>
      <c r="CH526" s="18"/>
    </row>
    <row r="527">
      <c r="A527" s="8"/>
      <c r="B527" s="9" t="s">
        <v>2359</v>
      </c>
      <c r="C527" s="10" t="s">
        <v>2360</v>
      </c>
      <c r="D527" s="9" t="s">
        <v>1670</v>
      </c>
      <c r="E527" s="11" t="s">
        <v>2380</v>
      </c>
      <c r="F527" s="12"/>
      <c r="G527" s="14" t="s">
        <v>2381</v>
      </c>
      <c r="H527" s="14" t="s">
        <v>90</v>
      </c>
      <c r="I527" s="14" t="s">
        <v>2382</v>
      </c>
      <c r="J527" s="14" t="s">
        <v>92</v>
      </c>
      <c r="K527" s="14" t="s">
        <v>92</v>
      </c>
      <c r="L527" s="14" t="s">
        <v>92</v>
      </c>
      <c r="M527" s="14" t="s">
        <v>92</v>
      </c>
      <c r="N527" s="14" t="s">
        <v>92</v>
      </c>
      <c r="O527" s="14" t="s">
        <v>92</v>
      </c>
      <c r="P527" s="14" t="s">
        <v>92</v>
      </c>
      <c r="Q527" s="14" t="s">
        <v>92</v>
      </c>
      <c r="R527" s="14" t="s">
        <v>92</v>
      </c>
      <c r="S527" s="14" t="s">
        <v>92</v>
      </c>
      <c r="T527" s="14" t="s">
        <v>92</v>
      </c>
      <c r="U527" s="14" t="s">
        <v>92</v>
      </c>
      <c r="V527" s="14" t="s">
        <v>92</v>
      </c>
      <c r="W527" s="14" t="s">
        <v>92</v>
      </c>
      <c r="X527" s="14" t="s">
        <v>93</v>
      </c>
      <c r="Y527" s="14" t="s">
        <v>92</v>
      </c>
      <c r="Z527" s="14" t="s">
        <v>93</v>
      </c>
      <c r="AA527" s="14" t="s">
        <v>92</v>
      </c>
      <c r="AB527" s="8" t="s">
        <v>92</v>
      </c>
      <c r="AC527" s="8" t="s">
        <v>93</v>
      </c>
      <c r="AD527" s="8" t="s">
        <v>92</v>
      </c>
      <c r="AE527" s="14" t="s">
        <v>112</v>
      </c>
      <c r="AF527" s="14" t="s">
        <v>92</v>
      </c>
      <c r="AG527" s="14" t="s">
        <v>95</v>
      </c>
      <c r="AH527" s="8">
        <v>2015.0</v>
      </c>
      <c r="AI527" s="14" t="s">
        <v>93</v>
      </c>
      <c r="AJ527" s="14" t="s">
        <v>93</v>
      </c>
      <c r="AK527" s="14" t="s">
        <v>93</v>
      </c>
      <c r="AL527" s="14" t="s">
        <v>93</v>
      </c>
      <c r="AM527" s="8" t="s">
        <v>95</v>
      </c>
      <c r="AN527" s="14" t="s">
        <v>114</v>
      </c>
      <c r="AO527" s="8" t="s">
        <v>93</v>
      </c>
      <c r="AP527" s="8" t="s">
        <v>92</v>
      </c>
      <c r="AQ527" s="14" t="s">
        <v>92</v>
      </c>
      <c r="AR527" s="14" t="s">
        <v>92</v>
      </c>
      <c r="AS527" s="14" t="s">
        <v>92</v>
      </c>
      <c r="AT527" s="14" t="s">
        <v>92</v>
      </c>
      <c r="AU527" s="14" t="s">
        <v>93</v>
      </c>
      <c r="AV527" s="14" t="s">
        <v>93</v>
      </c>
      <c r="AW527" s="14" t="s">
        <v>93</v>
      </c>
      <c r="AX527" s="14" t="s">
        <v>93</v>
      </c>
      <c r="AY527" s="8" t="s">
        <v>95</v>
      </c>
      <c r="AZ527" s="8" t="s">
        <v>95</v>
      </c>
      <c r="BA527" s="9" t="s">
        <v>2359</v>
      </c>
      <c r="BB527" s="8" t="s">
        <v>261</v>
      </c>
      <c r="BC527" s="8" t="s">
        <v>92</v>
      </c>
      <c r="BD527" s="14" t="s">
        <v>93</v>
      </c>
      <c r="BE527" s="14" t="s">
        <v>92</v>
      </c>
      <c r="BF527" s="14" t="s">
        <v>92</v>
      </c>
      <c r="BG527" s="14" t="s">
        <v>92</v>
      </c>
      <c r="BH527" s="14" t="s">
        <v>92</v>
      </c>
      <c r="BI527" s="14" t="s">
        <v>92</v>
      </c>
      <c r="BJ527" s="14" t="s">
        <v>92</v>
      </c>
      <c r="BK527" s="14" t="s">
        <v>2383</v>
      </c>
      <c r="BL527" s="14" t="s">
        <v>93</v>
      </c>
      <c r="BM527" s="14" t="s">
        <v>92</v>
      </c>
      <c r="BN527" s="14" t="s">
        <v>92</v>
      </c>
      <c r="BO527" s="14" t="s">
        <v>93</v>
      </c>
      <c r="BP527" s="14" t="s">
        <v>92</v>
      </c>
      <c r="BQ527" s="8" t="s">
        <v>92</v>
      </c>
      <c r="BR527" s="8" t="s">
        <v>92</v>
      </c>
      <c r="BS527" s="8" t="s">
        <v>92</v>
      </c>
      <c r="BT527" s="8" t="s">
        <v>93</v>
      </c>
      <c r="BU527" s="8" t="s">
        <v>92</v>
      </c>
      <c r="BV527" s="8" t="s">
        <v>93</v>
      </c>
      <c r="BW527" s="8" t="s">
        <v>92</v>
      </c>
      <c r="BX527" s="8" t="s">
        <v>93</v>
      </c>
      <c r="BY527" s="8" t="s">
        <v>93</v>
      </c>
      <c r="BZ527" s="8" t="s">
        <v>92</v>
      </c>
      <c r="CA527" s="8" t="s">
        <v>92</v>
      </c>
      <c r="CB527" s="20" t="s">
        <v>1189</v>
      </c>
      <c r="CC527" s="20" t="s">
        <v>129</v>
      </c>
      <c r="CD527" s="20" t="s">
        <v>1195</v>
      </c>
      <c r="CE527" s="20" t="s">
        <v>660</v>
      </c>
      <c r="CF527" s="18"/>
      <c r="CG527" s="18"/>
      <c r="CH527" s="18"/>
    </row>
    <row r="528">
      <c r="A528" s="8"/>
      <c r="B528" s="9" t="s">
        <v>2384</v>
      </c>
      <c r="C528" s="10" t="s">
        <v>2385</v>
      </c>
      <c r="D528" s="9" t="s">
        <v>1670</v>
      </c>
      <c r="E528" s="11" t="s">
        <v>2386</v>
      </c>
      <c r="F528" s="12"/>
      <c r="G528" s="14" t="s">
        <v>2387</v>
      </c>
      <c r="H528" s="14" t="s">
        <v>110</v>
      </c>
      <c r="I528" s="14" t="s">
        <v>2388</v>
      </c>
      <c r="J528" s="14" t="s">
        <v>92</v>
      </c>
      <c r="K528" s="14" t="s">
        <v>92</v>
      </c>
      <c r="L528" s="14" t="s">
        <v>92</v>
      </c>
      <c r="M528" s="14" t="s">
        <v>93</v>
      </c>
      <c r="N528" s="14" t="s">
        <v>93</v>
      </c>
      <c r="O528" s="14" t="s">
        <v>92</v>
      </c>
      <c r="P528" s="14" t="s">
        <v>92</v>
      </c>
      <c r="Q528" s="14" t="s">
        <v>93</v>
      </c>
      <c r="R528" s="14" t="s">
        <v>92</v>
      </c>
      <c r="S528" s="14" t="s">
        <v>92</v>
      </c>
      <c r="T528" s="14" t="s">
        <v>92</v>
      </c>
      <c r="U528" s="14" t="s">
        <v>93</v>
      </c>
      <c r="V528" s="14" t="s">
        <v>92</v>
      </c>
      <c r="W528" s="14" t="s">
        <v>92</v>
      </c>
      <c r="X528" s="14" t="s">
        <v>92</v>
      </c>
      <c r="Y528" s="14" t="s">
        <v>92</v>
      </c>
      <c r="Z528" s="14" t="s">
        <v>92</v>
      </c>
      <c r="AA528" s="14" t="s">
        <v>92</v>
      </c>
      <c r="AB528" s="8" t="s">
        <v>93</v>
      </c>
      <c r="AC528" s="8" t="s">
        <v>92</v>
      </c>
      <c r="AD528" s="8" t="s">
        <v>92</v>
      </c>
      <c r="AE528" s="14" t="s">
        <v>94</v>
      </c>
      <c r="AF528" s="14" t="s">
        <v>92</v>
      </c>
      <c r="AG528" s="14" t="s">
        <v>95</v>
      </c>
      <c r="AH528" s="8" t="s">
        <v>105</v>
      </c>
      <c r="AI528" s="14" t="s">
        <v>93</v>
      </c>
      <c r="AJ528" s="14" t="s">
        <v>92</v>
      </c>
      <c r="AK528" s="14" t="s">
        <v>92</v>
      </c>
      <c r="AL528" s="14" t="s">
        <v>92</v>
      </c>
      <c r="AM528" s="8" t="s">
        <v>105</v>
      </c>
      <c r="AN528" s="14" t="s">
        <v>105</v>
      </c>
      <c r="AO528" s="8" t="s">
        <v>105</v>
      </c>
      <c r="AP528" s="8" t="s">
        <v>93</v>
      </c>
      <c r="AQ528" s="14" t="s">
        <v>92</v>
      </c>
      <c r="AR528" s="14" t="s">
        <v>92</v>
      </c>
      <c r="AS528" s="14" t="s">
        <v>93</v>
      </c>
      <c r="AT528" s="14" t="s">
        <v>93</v>
      </c>
      <c r="AU528" s="14" t="s">
        <v>93</v>
      </c>
      <c r="AV528" s="14" t="s">
        <v>93</v>
      </c>
      <c r="AW528" s="14" t="s">
        <v>93</v>
      </c>
      <c r="AX528" s="14" t="s">
        <v>93</v>
      </c>
      <c r="AY528" s="8" t="s">
        <v>95</v>
      </c>
      <c r="AZ528" s="8" t="s">
        <v>95</v>
      </c>
      <c r="BA528" s="9" t="s">
        <v>2384</v>
      </c>
      <c r="BB528" s="8" t="s">
        <v>213</v>
      </c>
      <c r="BC528" s="8" t="s">
        <v>92</v>
      </c>
      <c r="BD528" s="14" t="s">
        <v>92</v>
      </c>
      <c r="BE528" s="14" t="s">
        <v>92</v>
      </c>
      <c r="BF528" s="14" t="s">
        <v>92</v>
      </c>
      <c r="BG528" s="14" t="s">
        <v>92</v>
      </c>
      <c r="BH528" s="14" t="s">
        <v>92</v>
      </c>
      <c r="BI528" s="14" t="s">
        <v>93</v>
      </c>
      <c r="BJ528" s="14" t="s">
        <v>92</v>
      </c>
      <c r="BK528" s="14" t="s">
        <v>574</v>
      </c>
      <c r="BL528" s="14" t="s">
        <v>93</v>
      </c>
      <c r="BM528" s="14" t="s">
        <v>92</v>
      </c>
      <c r="BN528" s="14" t="s">
        <v>92</v>
      </c>
      <c r="BO528" s="14" t="s">
        <v>92</v>
      </c>
      <c r="BP528" s="14" t="s">
        <v>92</v>
      </c>
      <c r="BQ528" s="8" t="s">
        <v>93</v>
      </c>
      <c r="BR528" s="8" t="s">
        <v>92</v>
      </c>
      <c r="BS528" s="8" t="s">
        <v>92</v>
      </c>
      <c r="BT528" s="8" t="s">
        <v>92</v>
      </c>
      <c r="BU528" s="8" t="s">
        <v>92</v>
      </c>
      <c r="BV528" s="8" t="s">
        <v>92</v>
      </c>
      <c r="BW528" s="8" t="s">
        <v>92</v>
      </c>
      <c r="BX528" s="8" t="s">
        <v>92</v>
      </c>
      <c r="BY528" s="8" t="s">
        <v>92</v>
      </c>
      <c r="BZ528" s="8" t="s">
        <v>92</v>
      </c>
      <c r="CA528" s="8" t="s">
        <v>92</v>
      </c>
      <c r="CB528" s="20" t="s">
        <v>1189</v>
      </c>
      <c r="CC528" s="17"/>
      <c r="CD528" s="18"/>
      <c r="CE528" s="18"/>
      <c r="CF528" s="18"/>
      <c r="CG528" s="18"/>
      <c r="CH528" s="18"/>
    </row>
    <row r="529">
      <c r="A529" s="8"/>
      <c r="B529" s="9" t="s">
        <v>2384</v>
      </c>
      <c r="C529" s="10" t="s">
        <v>2385</v>
      </c>
      <c r="D529" s="9" t="s">
        <v>1670</v>
      </c>
      <c r="E529" s="11" t="s">
        <v>2389</v>
      </c>
      <c r="F529" s="12"/>
      <c r="G529" s="14" t="s">
        <v>94</v>
      </c>
      <c r="H529" s="14" t="s">
        <v>90</v>
      </c>
      <c r="I529" s="14" t="s">
        <v>2390</v>
      </c>
      <c r="J529" s="14" t="s">
        <v>92</v>
      </c>
      <c r="K529" s="14" t="s">
        <v>92</v>
      </c>
      <c r="L529" s="14" t="s">
        <v>92</v>
      </c>
      <c r="M529" s="14" t="s">
        <v>93</v>
      </c>
      <c r="N529" s="14" t="s">
        <v>92</v>
      </c>
      <c r="O529" s="14" t="s">
        <v>92</v>
      </c>
      <c r="P529" s="14" t="s">
        <v>92</v>
      </c>
      <c r="Q529" s="14" t="s">
        <v>93</v>
      </c>
      <c r="R529" s="14" t="s">
        <v>92</v>
      </c>
      <c r="S529" s="14" t="s">
        <v>92</v>
      </c>
      <c r="T529" s="14" t="s">
        <v>92</v>
      </c>
      <c r="U529" s="14" t="s">
        <v>93</v>
      </c>
      <c r="V529" s="14" t="s">
        <v>92</v>
      </c>
      <c r="W529" s="14" t="s">
        <v>92</v>
      </c>
      <c r="X529" s="14" t="s">
        <v>92</v>
      </c>
      <c r="Y529" s="14" t="s">
        <v>92</v>
      </c>
      <c r="Z529" s="14" t="s">
        <v>92</v>
      </c>
      <c r="AA529" s="14" t="s">
        <v>92</v>
      </c>
      <c r="AB529" s="8" t="s">
        <v>93</v>
      </c>
      <c r="AC529" s="8" t="s">
        <v>92</v>
      </c>
      <c r="AD529" s="8" t="s">
        <v>92</v>
      </c>
      <c r="AE529" s="14" t="s">
        <v>94</v>
      </c>
      <c r="AF529" s="14" t="s">
        <v>92</v>
      </c>
      <c r="AG529" s="14" t="s">
        <v>95</v>
      </c>
      <c r="AH529" s="8">
        <v>2020.0</v>
      </c>
      <c r="AI529" s="14" t="s">
        <v>93</v>
      </c>
      <c r="AJ529" s="14" t="s">
        <v>93</v>
      </c>
      <c r="AK529" s="14" t="s">
        <v>92</v>
      </c>
      <c r="AL529" s="14" t="s">
        <v>92</v>
      </c>
      <c r="AM529" s="8">
        <v>2021.0</v>
      </c>
      <c r="AN529" s="14" t="s">
        <v>96</v>
      </c>
      <c r="AO529" s="8" t="s">
        <v>92</v>
      </c>
      <c r="AP529" s="8" t="s">
        <v>93</v>
      </c>
      <c r="AQ529" s="14" t="s">
        <v>92</v>
      </c>
      <c r="AR529" s="14" t="s">
        <v>92</v>
      </c>
      <c r="AS529" s="14" t="s">
        <v>93</v>
      </c>
      <c r="AT529" s="14" t="s">
        <v>93</v>
      </c>
      <c r="AU529" s="14" t="s">
        <v>93</v>
      </c>
      <c r="AV529" s="14" t="s">
        <v>93</v>
      </c>
      <c r="AW529" s="14" t="s">
        <v>93</v>
      </c>
      <c r="AX529" s="14" t="s">
        <v>93</v>
      </c>
      <c r="AY529" s="8" t="s">
        <v>95</v>
      </c>
      <c r="AZ529" s="8" t="s">
        <v>95</v>
      </c>
      <c r="BA529" s="9" t="s">
        <v>2391</v>
      </c>
      <c r="BB529" s="8" t="s">
        <v>95</v>
      </c>
      <c r="BC529" s="8" t="s">
        <v>93</v>
      </c>
      <c r="BD529" s="14" t="s">
        <v>92</v>
      </c>
      <c r="BE529" s="14" t="s">
        <v>92</v>
      </c>
      <c r="BF529" s="14" t="s">
        <v>92</v>
      </c>
      <c r="BG529" s="14" t="s">
        <v>92</v>
      </c>
      <c r="BH529" s="14" t="s">
        <v>92</v>
      </c>
      <c r="BI529" s="14" t="s">
        <v>93</v>
      </c>
      <c r="BJ529" s="14" t="s">
        <v>92</v>
      </c>
      <c r="BK529" s="14" t="s">
        <v>2392</v>
      </c>
      <c r="BL529" s="14" t="s">
        <v>93</v>
      </c>
      <c r="BM529" s="14" t="s">
        <v>92</v>
      </c>
      <c r="BN529" s="14" t="s">
        <v>92</v>
      </c>
      <c r="BO529" s="14" t="s">
        <v>92</v>
      </c>
      <c r="BP529" s="14" t="s">
        <v>93</v>
      </c>
      <c r="BQ529" s="8" t="s">
        <v>93</v>
      </c>
      <c r="BR529" s="8" t="s">
        <v>92</v>
      </c>
      <c r="BS529" s="8" t="s">
        <v>92</v>
      </c>
      <c r="BT529" s="8" t="s">
        <v>92</v>
      </c>
      <c r="BU529" s="8" t="s">
        <v>92</v>
      </c>
      <c r="BV529" s="8" t="s">
        <v>92</v>
      </c>
      <c r="BW529" s="8" t="s">
        <v>92</v>
      </c>
      <c r="BX529" s="8" t="s">
        <v>92</v>
      </c>
      <c r="BY529" s="8" t="s">
        <v>92</v>
      </c>
      <c r="BZ529" s="8" t="s">
        <v>92</v>
      </c>
      <c r="CA529" s="8" t="s">
        <v>92</v>
      </c>
      <c r="CB529" s="20" t="s">
        <v>1189</v>
      </c>
      <c r="CC529" s="17"/>
      <c r="CD529" s="18"/>
      <c r="CE529" s="18"/>
      <c r="CF529" s="18"/>
      <c r="CG529" s="18"/>
      <c r="CH529" s="18"/>
    </row>
    <row r="530">
      <c r="A530" s="8"/>
      <c r="B530" s="9" t="s">
        <v>2384</v>
      </c>
      <c r="C530" s="10" t="s">
        <v>2385</v>
      </c>
      <c r="D530" s="9" t="s">
        <v>1670</v>
      </c>
      <c r="E530" s="11" t="s">
        <v>2393</v>
      </c>
      <c r="F530" s="12"/>
      <c r="G530" s="14" t="s">
        <v>2394</v>
      </c>
      <c r="H530" s="14" t="s">
        <v>90</v>
      </c>
      <c r="I530" s="14" t="s">
        <v>2395</v>
      </c>
      <c r="J530" s="14" t="s">
        <v>92</v>
      </c>
      <c r="K530" s="14" t="s">
        <v>92</v>
      </c>
      <c r="L530" s="14" t="s">
        <v>92</v>
      </c>
      <c r="M530" s="14" t="s">
        <v>93</v>
      </c>
      <c r="N530" s="14" t="s">
        <v>92</v>
      </c>
      <c r="O530" s="14" t="s">
        <v>92</v>
      </c>
      <c r="P530" s="14" t="s">
        <v>92</v>
      </c>
      <c r="Q530" s="14" t="s">
        <v>92</v>
      </c>
      <c r="R530" s="14" t="s">
        <v>92</v>
      </c>
      <c r="S530" s="14" t="s">
        <v>92</v>
      </c>
      <c r="T530" s="14" t="s">
        <v>92</v>
      </c>
      <c r="U530" s="14" t="s">
        <v>93</v>
      </c>
      <c r="V530" s="14" t="s">
        <v>92</v>
      </c>
      <c r="W530" s="14" t="s">
        <v>92</v>
      </c>
      <c r="X530" s="14" t="s">
        <v>92</v>
      </c>
      <c r="Y530" s="14" t="s">
        <v>92</v>
      </c>
      <c r="Z530" s="14" t="s">
        <v>92</v>
      </c>
      <c r="AA530" s="14" t="s">
        <v>92</v>
      </c>
      <c r="AB530" s="8" t="s">
        <v>93</v>
      </c>
      <c r="AC530" s="8" t="s">
        <v>92</v>
      </c>
      <c r="AD530" s="8" t="s">
        <v>92</v>
      </c>
      <c r="AE530" s="14" t="s">
        <v>94</v>
      </c>
      <c r="AF530" s="14" t="s">
        <v>92</v>
      </c>
      <c r="AG530" s="14" t="s">
        <v>95</v>
      </c>
      <c r="AH530" s="8">
        <v>2022.0</v>
      </c>
      <c r="AI530" s="14" t="s">
        <v>92</v>
      </c>
      <c r="AJ530" s="14" t="s">
        <v>92</v>
      </c>
      <c r="AK530" s="14" t="s">
        <v>93</v>
      </c>
      <c r="AL530" s="14" t="s">
        <v>92</v>
      </c>
      <c r="AM530" s="8">
        <v>2022.0</v>
      </c>
      <c r="AN530" s="14" t="s">
        <v>96</v>
      </c>
      <c r="AO530" s="8" t="s">
        <v>92</v>
      </c>
      <c r="AP530" s="8" t="s">
        <v>92</v>
      </c>
      <c r="AQ530" s="14" t="s">
        <v>92</v>
      </c>
      <c r="AR530" s="14" t="s">
        <v>92</v>
      </c>
      <c r="AS530" s="14" t="s">
        <v>93</v>
      </c>
      <c r="AT530" s="14" t="s">
        <v>93</v>
      </c>
      <c r="AU530" s="14" t="s">
        <v>93</v>
      </c>
      <c r="AV530" s="14" t="s">
        <v>93</v>
      </c>
      <c r="AW530" s="14" t="s">
        <v>93</v>
      </c>
      <c r="AX530" s="14" t="s">
        <v>93</v>
      </c>
      <c r="AY530" s="8" t="s">
        <v>95</v>
      </c>
      <c r="AZ530" s="8" t="s">
        <v>95</v>
      </c>
      <c r="BA530" s="9" t="s">
        <v>1860</v>
      </c>
      <c r="BB530" s="8" t="s">
        <v>143</v>
      </c>
      <c r="BC530" s="8" t="s">
        <v>92</v>
      </c>
      <c r="BD530" s="14" t="s">
        <v>92</v>
      </c>
      <c r="BE530" s="14" t="s">
        <v>92</v>
      </c>
      <c r="BF530" s="14" t="s">
        <v>92</v>
      </c>
      <c r="BG530" s="14" t="s">
        <v>92</v>
      </c>
      <c r="BH530" s="14" t="s">
        <v>92</v>
      </c>
      <c r="BI530" s="14" t="s">
        <v>93</v>
      </c>
      <c r="BJ530" s="14" t="s">
        <v>92</v>
      </c>
      <c r="BK530" s="14" t="s">
        <v>574</v>
      </c>
      <c r="BL530" s="14" t="s">
        <v>93</v>
      </c>
      <c r="BM530" s="14" t="s">
        <v>92</v>
      </c>
      <c r="BN530" s="14" t="s">
        <v>92</v>
      </c>
      <c r="BO530" s="14" t="s">
        <v>92</v>
      </c>
      <c r="BP530" s="14" t="s">
        <v>92</v>
      </c>
      <c r="BQ530" s="8" t="s">
        <v>93</v>
      </c>
      <c r="BR530" s="8" t="s">
        <v>92</v>
      </c>
      <c r="BS530" s="8" t="s">
        <v>92</v>
      </c>
      <c r="BT530" s="8" t="s">
        <v>92</v>
      </c>
      <c r="BU530" s="8" t="s">
        <v>92</v>
      </c>
      <c r="BV530" s="8" t="s">
        <v>92</v>
      </c>
      <c r="BW530" s="8" t="s">
        <v>92</v>
      </c>
      <c r="BX530" s="8" t="s">
        <v>92</v>
      </c>
      <c r="BY530" s="8" t="s">
        <v>92</v>
      </c>
      <c r="BZ530" s="8" t="s">
        <v>92</v>
      </c>
      <c r="CA530" s="8" t="s">
        <v>92</v>
      </c>
      <c r="CB530" s="20" t="s">
        <v>1195</v>
      </c>
      <c r="CC530" s="17"/>
      <c r="CD530" s="18"/>
      <c r="CE530" s="18"/>
      <c r="CF530" s="18"/>
      <c r="CG530" s="18"/>
      <c r="CH530" s="18"/>
    </row>
    <row r="531">
      <c r="A531" s="8"/>
      <c r="B531" s="9" t="s">
        <v>2384</v>
      </c>
      <c r="C531" s="10" t="s">
        <v>2385</v>
      </c>
      <c r="D531" s="9" t="s">
        <v>1670</v>
      </c>
      <c r="E531" s="11" t="s">
        <v>2396</v>
      </c>
      <c r="F531" s="12"/>
      <c r="G531" s="14" t="s">
        <v>2397</v>
      </c>
      <c r="H531" s="14" t="s">
        <v>90</v>
      </c>
      <c r="I531" s="14" t="s">
        <v>2398</v>
      </c>
      <c r="J531" s="14" t="s">
        <v>92</v>
      </c>
      <c r="K531" s="14" t="s">
        <v>92</v>
      </c>
      <c r="L531" s="14" t="s">
        <v>92</v>
      </c>
      <c r="M531" s="14" t="s">
        <v>93</v>
      </c>
      <c r="N531" s="14" t="s">
        <v>92</v>
      </c>
      <c r="O531" s="14" t="s">
        <v>92</v>
      </c>
      <c r="P531" s="14" t="s">
        <v>92</v>
      </c>
      <c r="Q531" s="14" t="s">
        <v>93</v>
      </c>
      <c r="R531" s="14" t="s">
        <v>92</v>
      </c>
      <c r="S531" s="14" t="s">
        <v>92</v>
      </c>
      <c r="T531" s="14" t="s">
        <v>92</v>
      </c>
      <c r="U531" s="14" t="s">
        <v>93</v>
      </c>
      <c r="V531" s="14" t="s">
        <v>92</v>
      </c>
      <c r="W531" s="14" t="s">
        <v>92</v>
      </c>
      <c r="X531" s="14" t="s">
        <v>92</v>
      </c>
      <c r="Y531" s="14" t="s">
        <v>92</v>
      </c>
      <c r="Z531" s="14" t="s">
        <v>92</v>
      </c>
      <c r="AA531" s="14" t="s">
        <v>92</v>
      </c>
      <c r="AB531" s="8" t="s">
        <v>93</v>
      </c>
      <c r="AC531" s="8" t="s">
        <v>92</v>
      </c>
      <c r="AD531" s="8" t="s">
        <v>92</v>
      </c>
      <c r="AE531" s="14" t="s">
        <v>94</v>
      </c>
      <c r="AF531" s="14" t="s">
        <v>92</v>
      </c>
      <c r="AG531" s="14" t="s">
        <v>95</v>
      </c>
      <c r="AH531" s="8">
        <v>2022.0</v>
      </c>
      <c r="AI531" s="14" t="s">
        <v>92</v>
      </c>
      <c r="AJ531" s="14" t="s">
        <v>92</v>
      </c>
      <c r="AK531" s="14" t="s">
        <v>93</v>
      </c>
      <c r="AL531" s="14" t="s">
        <v>92</v>
      </c>
      <c r="AM531" s="8">
        <v>2022.0</v>
      </c>
      <c r="AN531" s="14" t="s">
        <v>96</v>
      </c>
      <c r="AO531" s="8" t="s">
        <v>92</v>
      </c>
      <c r="AP531" s="8" t="s">
        <v>92</v>
      </c>
      <c r="AQ531" s="14" t="s">
        <v>92</v>
      </c>
      <c r="AR531" s="14" t="s">
        <v>92</v>
      </c>
      <c r="AS531" s="14" t="s">
        <v>93</v>
      </c>
      <c r="AT531" s="14" t="s">
        <v>93</v>
      </c>
      <c r="AU531" s="14" t="s">
        <v>93</v>
      </c>
      <c r="AV531" s="14" t="s">
        <v>93</v>
      </c>
      <c r="AW531" s="14" t="s">
        <v>93</v>
      </c>
      <c r="AX531" s="14" t="s">
        <v>93</v>
      </c>
      <c r="AY531" s="8" t="s">
        <v>95</v>
      </c>
      <c r="AZ531" s="8" t="s">
        <v>95</v>
      </c>
      <c r="BA531" s="9" t="s">
        <v>2399</v>
      </c>
      <c r="BB531" s="8" t="s">
        <v>143</v>
      </c>
      <c r="BC531" s="8" t="s">
        <v>92</v>
      </c>
      <c r="BD531" s="14" t="s">
        <v>92</v>
      </c>
      <c r="BE531" s="14" t="s">
        <v>92</v>
      </c>
      <c r="BF531" s="14" t="s">
        <v>92</v>
      </c>
      <c r="BG531" s="14" t="s">
        <v>92</v>
      </c>
      <c r="BH531" s="14" t="s">
        <v>92</v>
      </c>
      <c r="BI531" s="14" t="s">
        <v>93</v>
      </c>
      <c r="BJ531" s="14" t="s">
        <v>92</v>
      </c>
      <c r="BK531" s="14" t="s">
        <v>574</v>
      </c>
      <c r="BL531" s="14" t="s">
        <v>93</v>
      </c>
      <c r="BM531" s="14" t="s">
        <v>92</v>
      </c>
      <c r="BN531" s="14" t="s">
        <v>92</v>
      </c>
      <c r="BO531" s="14" t="s">
        <v>92</v>
      </c>
      <c r="BP531" s="14" t="s">
        <v>92</v>
      </c>
      <c r="BQ531" s="8" t="s">
        <v>93</v>
      </c>
      <c r="BR531" s="8" t="s">
        <v>92</v>
      </c>
      <c r="BS531" s="8" t="s">
        <v>92</v>
      </c>
      <c r="BT531" s="8" t="s">
        <v>92</v>
      </c>
      <c r="BU531" s="8" t="s">
        <v>92</v>
      </c>
      <c r="BV531" s="8" t="s">
        <v>92</v>
      </c>
      <c r="BW531" s="8" t="s">
        <v>92</v>
      </c>
      <c r="BX531" s="8" t="s">
        <v>92</v>
      </c>
      <c r="BY531" s="8" t="s">
        <v>92</v>
      </c>
      <c r="BZ531" s="8" t="s">
        <v>92</v>
      </c>
      <c r="CA531" s="8" t="s">
        <v>92</v>
      </c>
      <c r="CB531" s="20" t="s">
        <v>1195</v>
      </c>
      <c r="CC531" s="17"/>
      <c r="CD531" s="18"/>
      <c r="CE531" s="18"/>
      <c r="CF531" s="18"/>
      <c r="CG531" s="18"/>
      <c r="CH531" s="18"/>
    </row>
    <row r="532">
      <c r="A532" s="8"/>
      <c r="B532" s="9" t="s">
        <v>2384</v>
      </c>
      <c r="C532" s="10" t="s">
        <v>2385</v>
      </c>
      <c r="D532" s="9" t="s">
        <v>1670</v>
      </c>
      <c r="E532" s="11" t="s">
        <v>2400</v>
      </c>
      <c r="F532" s="25"/>
      <c r="G532" s="9" t="s">
        <v>2401</v>
      </c>
      <c r="H532" s="14" t="s">
        <v>90</v>
      </c>
      <c r="I532" s="14" t="s">
        <v>2402</v>
      </c>
      <c r="J532" s="14" t="s">
        <v>92</v>
      </c>
      <c r="K532" s="14" t="s">
        <v>92</v>
      </c>
      <c r="L532" s="14" t="s">
        <v>92</v>
      </c>
      <c r="M532" s="14" t="s">
        <v>93</v>
      </c>
      <c r="N532" s="14" t="s">
        <v>92</v>
      </c>
      <c r="O532" s="14" t="s">
        <v>92</v>
      </c>
      <c r="P532" s="14" t="s">
        <v>92</v>
      </c>
      <c r="Q532" s="14" t="s">
        <v>92</v>
      </c>
      <c r="R532" s="14" t="s">
        <v>92</v>
      </c>
      <c r="S532" s="14" t="s">
        <v>92</v>
      </c>
      <c r="T532" s="14" t="s">
        <v>92</v>
      </c>
      <c r="U532" s="14" t="s">
        <v>92</v>
      </c>
      <c r="V532" s="14" t="s">
        <v>92</v>
      </c>
      <c r="W532" s="14" t="s">
        <v>92</v>
      </c>
      <c r="X532" s="14" t="s">
        <v>92</v>
      </c>
      <c r="Y532" s="14" t="s">
        <v>93</v>
      </c>
      <c r="Z532" s="14" t="s">
        <v>93</v>
      </c>
      <c r="AA532" s="14" t="s">
        <v>92</v>
      </c>
      <c r="AB532" s="8" t="s">
        <v>93</v>
      </c>
      <c r="AC532" s="8" t="s">
        <v>93</v>
      </c>
      <c r="AD532" s="8" t="s">
        <v>92</v>
      </c>
      <c r="AE532" s="14" t="s">
        <v>148</v>
      </c>
      <c r="AF532" s="14" t="s">
        <v>92</v>
      </c>
      <c r="AG532" s="14" t="s">
        <v>95</v>
      </c>
      <c r="AH532" s="8">
        <v>2020.0</v>
      </c>
      <c r="AI532" s="14" t="s">
        <v>93</v>
      </c>
      <c r="AJ532" s="14" t="s">
        <v>92</v>
      </c>
      <c r="AK532" s="14" t="s">
        <v>92</v>
      </c>
      <c r="AL532" s="14" t="s">
        <v>92</v>
      </c>
      <c r="AM532" s="8">
        <v>2020.0</v>
      </c>
      <c r="AN532" s="14" t="s">
        <v>96</v>
      </c>
      <c r="AO532" s="8" t="s">
        <v>92</v>
      </c>
      <c r="AP532" s="8" t="s">
        <v>92</v>
      </c>
      <c r="AQ532" s="14" t="s">
        <v>92</v>
      </c>
      <c r="AR532" s="14" t="s">
        <v>92</v>
      </c>
      <c r="AS532" s="14" t="s">
        <v>93</v>
      </c>
      <c r="AT532" s="14" t="s">
        <v>93</v>
      </c>
      <c r="AU532" s="14" t="s">
        <v>93</v>
      </c>
      <c r="AV532" s="14" t="s">
        <v>93</v>
      </c>
      <c r="AW532" s="14" t="s">
        <v>93</v>
      </c>
      <c r="AX532" s="14" t="s">
        <v>93</v>
      </c>
      <c r="AY532" s="8" t="s">
        <v>95</v>
      </c>
      <c r="AZ532" s="8" t="s">
        <v>95</v>
      </c>
      <c r="BA532" s="9" t="s">
        <v>2384</v>
      </c>
      <c r="BB532" s="8" t="s">
        <v>213</v>
      </c>
      <c r="BC532" s="8" t="s">
        <v>92</v>
      </c>
      <c r="BD532" s="14" t="s">
        <v>93</v>
      </c>
      <c r="BE532" s="14" t="s">
        <v>92</v>
      </c>
      <c r="BF532" s="14" t="s">
        <v>92</v>
      </c>
      <c r="BG532" s="14" t="s">
        <v>92</v>
      </c>
      <c r="BH532" s="14" t="s">
        <v>92</v>
      </c>
      <c r="BI532" s="14" t="s">
        <v>92</v>
      </c>
      <c r="BJ532" s="14" t="s">
        <v>92</v>
      </c>
      <c r="BK532" s="14" t="s">
        <v>574</v>
      </c>
      <c r="BL532" s="14" t="s">
        <v>93</v>
      </c>
      <c r="BM532" s="14" t="s">
        <v>92</v>
      </c>
      <c r="BN532" s="14" t="s">
        <v>92</v>
      </c>
      <c r="BO532" s="14" t="s">
        <v>92</v>
      </c>
      <c r="BP532" s="14" t="s">
        <v>92</v>
      </c>
      <c r="BQ532" s="8" t="s">
        <v>92</v>
      </c>
      <c r="BR532" s="8" t="s">
        <v>92</v>
      </c>
      <c r="BS532" s="8" t="s">
        <v>93</v>
      </c>
      <c r="BT532" s="8" t="s">
        <v>93</v>
      </c>
      <c r="BU532" s="8" t="s">
        <v>93</v>
      </c>
      <c r="BV532" s="8" t="s">
        <v>93</v>
      </c>
      <c r="BW532" s="8" t="s">
        <v>92</v>
      </c>
      <c r="BX532" s="8" t="s">
        <v>92</v>
      </c>
      <c r="BY532" s="8" t="s">
        <v>92</v>
      </c>
      <c r="BZ532" s="8" t="s">
        <v>93</v>
      </c>
      <c r="CA532" s="8" t="s">
        <v>92</v>
      </c>
      <c r="CB532" s="20" t="s">
        <v>1189</v>
      </c>
      <c r="CC532" s="17"/>
      <c r="CD532" s="18"/>
      <c r="CE532" s="18"/>
      <c r="CF532" s="18"/>
      <c r="CG532" s="18"/>
      <c r="CH532" s="18"/>
    </row>
    <row r="533">
      <c r="A533" s="8"/>
      <c r="B533" s="9" t="s">
        <v>2384</v>
      </c>
      <c r="C533" s="10" t="s">
        <v>2385</v>
      </c>
      <c r="D533" s="9" t="s">
        <v>1670</v>
      </c>
      <c r="E533" s="11" t="s">
        <v>2403</v>
      </c>
      <c r="F533" s="12"/>
      <c r="G533" s="14" t="s">
        <v>2404</v>
      </c>
      <c r="H533" s="14" t="s">
        <v>110</v>
      </c>
      <c r="I533" s="14" t="s">
        <v>2405</v>
      </c>
      <c r="J533" s="14" t="s">
        <v>92</v>
      </c>
      <c r="K533" s="14" t="s">
        <v>92</v>
      </c>
      <c r="L533" s="14" t="s">
        <v>92</v>
      </c>
      <c r="M533" s="14" t="s">
        <v>93</v>
      </c>
      <c r="N533" s="14" t="s">
        <v>92</v>
      </c>
      <c r="O533" s="14" t="s">
        <v>92</v>
      </c>
      <c r="P533" s="14" t="s">
        <v>92</v>
      </c>
      <c r="Q533" s="14" t="s">
        <v>93</v>
      </c>
      <c r="R533" s="14" t="s">
        <v>92</v>
      </c>
      <c r="S533" s="14" t="s">
        <v>92</v>
      </c>
      <c r="T533" s="14" t="s">
        <v>92</v>
      </c>
      <c r="U533" s="14" t="s">
        <v>93</v>
      </c>
      <c r="V533" s="14" t="s">
        <v>92</v>
      </c>
      <c r="W533" s="14" t="s">
        <v>92</v>
      </c>
      <c r="X533" s="14" t="s">
        <v>92</v>
      </c>
      <c r="Y533" s="14" t="s">
        <v>92</v>
      </c>
      <c r="Z533" s="14" t="s">
        <v>92</v>
      </c>
      <c r="AA533" s="14" t="s">
        <v>92</v>
      </c>
      <c r="AB533" s="8" t="s">
        <v>93</v>
      </c>
      <c r="AC533" s="8" t="s">
        <v>92</v>
      </c>
      <c r="AD533" s="8" t="s">
        <v>92</v>
      </c>
      <c r="AE533" s="14" t="s">
        <v>94</v>
      </c>
      <c r="AF533" s="14" t="s">
        <v>92</v>
      </c>
      <c r="AG533" s="14" t="s">
        <v>95</v>
      </c>
      <c r="AH533" s="8">
        <v>2009.0</v>
      </c>
      <c r="AI533" s="14" t="s">
        <v>93</v>
      </c>
      <c r="AJ533" s="14" t="s">
        <v>93</v>
      </c>
      <c r="AK533" s="14" t="s">
        <v>93</v>
      </c>
      <c r="AL533" s="14" t="s">
        <v>93</v>
      </c>
      <c r="AM533" s="8" t="s">
        <v>95</v>
      </c>
      <c r="AN533" s="14" t="s">
        <v>114</v>
      </c>
      <c r="AO533" s="8" t="s">
        <v>93</v>
      </c>
      <c r="AP533" s="8" t="s">
        <v>92</v>
      </c>
      <c r="AQ533" s="14" t="s">
        <v>92</v>
      </c>
      <c r="AR533" s="14" t="s">
        <v>92</v>
      </c>
      <c r="AS533" s="14" t="s">
        <v>93</v>
      </c>
      <c r="AT533" s="14" t="s">
        <v>93</v>
      </c>
      <c r="AU533" s="14" t="s">
        <v>93</v>
      </c>
      <c r="AV533" s="14" t="s">
        <v>93</v>
      </c>
      <c r="AW533" s="14" t="s">
        <v>93</v>
      </c>
      <c r="AX533" s="14" t="s">
        <v>93</v>
      </c>
      <c r="AY533" s="8" t="s">
        <v>95</v>
      </c>
      <c r="AZ533" s="8" t="s">
        <v>95</v>
      </c>
      <c r="BA533" s="9" t="s">
        <v>2384</v>
      </c>
      <c r="BB533" s="8" t="s">
        <v>213</v>
      </c>
      <c r="BC533" s="8" t="s">
        <v>92</v>
      </c>
      <c r="BD533" s="14" t="s">
        <v>92</v>
      </c>
      <c r="BE533" s="14" t="s">
        <v>92</v>
      </c>
      <c r="BF533" s="14" t="s">
        <v>92</v>
      </c>
      <c r="BG533" s="14" t="s">
        <v>92</v>
      </c>
      <c r="BH533" s="14" t="s">
        <v>92</v>
      </c>
      <c r="BI533" s="14" t="s">
        <v>93</v>
      </c>
      <c r="BJ533" s="14" t="s">
        <v>92</v>
      </c>
      <c r="BK533" s="14" t="s">
        <v>574</v>
      </c>
      <c r="BL533" s="14" t="s">
        <v>93</v>
      </c>
      <c r="BM533" s="14" t="s">
        <v>92</v>
      </c>
      <c r="BN533" s="14" t="s">
        <v>92</v>
      </c>
      <c r="BO533" s="14" t="s">
        <v>92</v>
      </c>
      <c r="BP533" s="14" t="s">
        <v>92</v>
      </c>
      <c r="BQ533" s="8" t="s">
        <v>93</v>
      </c>
      <c r="BR533" s="8" t="s">
        <v>92</v>
      </c>
      <c r="BS533" s="8" t="s">
        <v>92</v>
      </c>
      <c r="BT533" s="8" t="s">
        <v>92</v>
      </c>
      <c r="BU533" s="8" t="s">
        <v>92</v>
      </c>
      <c r="BV533" s="8" t="s">
        <v>92</v>
      </c>
      <c r="BW533" s="8" t="s">
        <v>92</v>
      </c>
      <c r="BX533" s="8" t="s">
        <v>92</v>
      </c>
      <c r="BY533" s="8" t="s">
        <v>92</v>
      </c>
      <c r="BZ533" s="8" t="s">
        <v>92</v>
      </c>
      <c r="CA533" s="8" t="s">
        <v>92</v>
      </c>
      <c r="CB533" s="20" t="s">
        <v>1189</v>
      </c>
      <c r="CC533" s="20" t="s">
        <v>129</v>
      </c>
      <c r="CD533" s="20" t="s">
        <v>1195</v>
      </c>
      <c r="CE533" s="20" t="s">
        <v>660</v>
      </c>
      <c r="CF533" s="18"/>
      <c r="CG533" s="18"/>
      <c r="CH533" s="18"/>
    </row>
    <row r="534">
      <c r="A534" s="8"/>
      <c r="B534" s="9" t="s">
        <v>2384</v>
      </c>
      <c r="C534" s="10" t="s">
        <v>2385</v>
      </c>
      <c r="D534" s="9" t="s">
        <v>1670</v>
      </c>
      <c r="E534" s="11" t="s">
        <v>2406</v>
      </c>
      <c r="F534" s="12"/>
      <c r="G534" s="14" t="s">
        <v>1122</v>
      </c>
      <c r="H534" s="14" t="s">
        <v>90</v>
      </c>
      <c r="I534" s="14" t="s">
        <v>2407</v>
      </c>
      <c r="J534" s="14" t="s">
        <v>93</v>
      </c>
      <c r="K534" s="14" t="s">
        <v>92</v>
      </c>
      <c r="L534" s="14" t="s">
        <v>92</v>
      </c>
      <c r="M534" s="14" t="s">
        <v>92</v>
      </c>
      <c r="N534" s="14" t="s">
        <v>92</v>
      </c>
      <c r="O534" s="14" t="s">
        <v>92</v>
      </c>
      <c r="P534" s="14" t="s">
        <v>92</v>
      </c>
      <c r="Q534" s="14" t="s">
        <v>92</v>
      </c>
      <c r="R534" s="14" t="s">
        <v>92</v>
      </c>
      <c r="S534" s="14" t="s">
        <v>92</v>
      </c>
      <c r="T534" s="14" t="s">
        <v>92</v>
      </c>
      <c r="U534" s="14" t="s">
        <v>92</v>
      </c>
      <c r="V534" s="14" t="s">
        <v>92</v>
      </c>
      <c r="W534" s="14" t="s">
        <v>92</v>
      </c>
      <c r="X534" s="14" t="s">
        <v>92</v>
      </c>
      <c r="Y534" s="14" t="s">
        <v>92</v>
      </c>
      <c r="Z534" s="14" t="s">
        <v>93</v>
      </c>
      <c r="AA534" s="14" t="s">
        <v>92</v>
      </c>
      <c r="AB534" s="8" t="s">
        <v>92</v>
      </c>
      <c r="AC534" s="8" t="s">
        <v>93</v>
      </c>
      <c r="AD534" s="8" t="s">
        <v>92</v>
      </c>
      <c r="AE534" s="14" t="s">
        <v>112</v>
      </c>
      <c r="AF534" s="14" t="s">
        <v>92</v>
      </c>
      <c r="AG534" s="14" t="s">
        <v>95</v>
      </c>
      <c r="AH534" s="8">
        <v>2021.0</v>
      </c>
      <c r="AI534" s="14" t="s">
        <v>92</v>
      </c>
      <c r="AJ534" s="14" t="s">
        <v>93</v>
      </c>
      <c r="AK534" s="14" t="s">
        <v>93</v>
      </c>
      <c r="AL534" s="14" t="s">
        <v>93</v>
      </c>
      <c r="AM534" s="8" t="s">
        <v>95</v>
      </c>
      <c r="AN534" s="14" t="s">
        <v>114</v>
      </c>
      <c r="AO534" s="8" t="s">
        <v>93</v>
      </c>
      <c r="AP534" s="8" t="s">
        <v>92</v>
      </c>
      <c r="AQ534" s="14" t="s">
        <v>92</v>
      </c>
      <c r="AR534" s="14" t="s">
        <v>92</v>
      </c>
      <c r="AS534" s="14" t="s">
        <v>93</v>
      </c>
      <c r="AT534" s="14" t="s">
        <v>93</v>
      </c>
      <c r="AU534" s="14" t="s">
        <v>93</v>
      </c>
      <c r="AV534" s="14" t="s">
        <v>93</v>
      </c>
      <c r="AW534" s="14" t="s">
        <v>93</v>
      </c>
      <c r="AX534" s="14" t="s">
        <v>93</v>
      </c>
      <c r="AY534" s="8" t="s">
        <v>95</v>
      </c>
      <c r="AZ534" s="8" t="s">
        <v>95</v>
      </c>
      <c r="BA534" s="9" t="s">
        <v>2384</v>
      </c>
      <c r="BB534" s="8" t="s">
        <v>213</v>
      </c>
      <c r="BC534" s="8" t="s">
        <v>92</v>
      </c>
      <c r="BD534" s="14" t="s">
        <v>93</v>
      </c>
      <c r="BE534" s="14" t="s">
        <v>92</v>
      </c>
      <c r="BF534" s="14" t="s">
        <v>92</v>
      </c>
      <c r="BG534" s="14" t="s">
        <v>92</v>
      </c>
      <c r="BH534" s="14" t="s">
        <v>92</v>
      </c>
      <c r="BI534" s="14" t="s">
        <v>92</v>
      </c>
      <c r="BJ534" s="14" t="s">
        <v>92</v>
      </c>
      <c r="BK534" s="14" t="s">
        <v>105</v>
      </c>
      <c r="BL534" s="14" t="s">
        <v>105</v>
      </c>
      <c r="BM534" s="14" t="s">
        <v>105</v>
      </c>
      <c r="BN534" s="14" t="s">
        <v>105</v>
      </c>
      <c r="BO534" s="14" t="s">
        <v>105</v>
      </c>
      <c r="BP534" s="14" t="s">
        <v>105</v>
      </c>
      <c r="BQ534" s="8" t="s">
        <v>92</v>
      </c>
      <c r="BR534" s="8" t="s">
        <v>92</v>
      </c>
      <c r="BS534" s="8" t="s">
        <v>92</v>
      </c>
      <c r="BT534" s="8" t="s">
        <v>93</v>
      </c>
      <c r="BU534" s="8" t="s">
        <v>92</v>
      </c>
      <c r="BV534" s="8" t="s">
        <v>92</v>
      </c>
      <c r="BW534" s="8" t="s">
        <v>92</v>
      </c>
      <c r="BX534" s="8" t="s">
        <v>92</v>
      </c>
      <c r="BY534" s="8" t="s">
        <v>92</v>
      </c>
      <c r="BZ534" s="8" t="s">
        <v>92</v>
      </c>
      <c r="CA534" s="8" t="s">
        <v>92</v>
      </c>
      <c r="CB534" s="20" t="s">
        <v>129</v>
      </c>
      <c r="CC534" s="20" t="s">
        <v>1195</v>
      </c>
      <c r="CD534" s="20" t="s">
        <v>660</v>
      </c>
      <c r="CE534" s="34"/>
      <c r="CF534" s="18"/>
      <c r="CG534" s="18"/>
      <c r="CH534" s="18"/>
    </row>
    <row r="535">
      <c r="A535" s="8"/>
      <c r="B535" s="9" t="s">
        <v>2384</v>
      </c>
      <c r="C535" s="10" t="s">
        <v>2385</v>
      </c>
      <c r="D535" s="9" t="s">
        <v>1670</v>
      </c>
      <c r="E535" s="11" t="s">
        <v>2408</v>
      </c>
      <c r="F535" s="25"/>
      <c r="G535" s="9" t="s">
        <v>2409</v>
      </c>
      <c r="H535" s="14" t="s">
        <v>90</v>
      </c>
      <c r="I535" s="14" t="s">
        <v>2410</v>
      </c>
      <c r="J535" s="14" t="s">
        <v>93</v>
      </c>
      <c r="K535" s="14" t="s">
        <v>92</v>
      </c>
      <c r="L535" s="14" t="s">
        <v>92</v>
      </c>
      <c r="M535" s="14" t="s">
        <v>92</v>
      </c>
      <c r="N535" s="14" t="s">
        <v>92</v>
      </c>
      <c r="O535" s="14" t="s">
        <v>92</v>
      </c>
      <c r="P535" s="14" t="s">
        <v>92</v>
      </c>
      <c r="Q535" s="14" t="s">
        <v>92</v>
      </c>
      <c r="R535" s="14" t="s">
        <v>92</v>
      </c>
      <c r="S535" s="14" t="s">
        <v>92</v>
      </c>
      <c r="T535" s="14" t="s">
        <v>92</v>
      </c>
      <c r="U535" s="14" t="s">
        <v>92</v>
      </c>
      <c r="V535" s="14" t="s">
        <v>92</v>
      </c>
      <c r="W535" s="14" t="s">
        <v>92</v>
      </c>
      <c r="X535" s="14" t="s">
        <v>92</v>
      </c>
      <c r="Y535" s="14" t="s">
        <v>93</v>
      </c>
      <c r="Z535" s="14" t="s">
        <v>93</v>
      </c>
      <c r="AA535" s="14" t="s">
        <v>92</v>
      </c>
      <c r="AB535" s="8" t="s">
        <v>93</v>
      </c>
      <c r="AC535" s="8" t="s">
        <v>93</v>
      </c>
      <c r="AD535" s="8" t="s">
        <v>92</v>
      </c>
      <c r="AE535" s="14" t="s">
        <v>112</v>
      </c>
      <c r="AF535" s="14" t="s">
        <v>92</v>
      </c>
      <c r="AG535" s="14" t="s">
        <v>95</v>
      </c>
      <c r="AH535" s="8">
        <v>2021.0</v>
      </c>
      <c r="AI535" s="14" t="s">
        <v>92</v>
      </c>
      <c r="AJ535" s="14" t="s">
        <v>93</v>
      </c>
      <c r="AK535" s="14" t="s">
        <v>93</v>
      </c>
      <c r="AL535" s="14" t="s">
        <v>93</v>
      </c>
      <c r="AM535" s="8" t="s">
        <v>95</v>
      </c>
      <c r="AN535" s="14" t="s">
        <v>114</v>
      </c>
      <c r="AO535" s="8" t="s">
        <v>93</v>
      </c>
      <c r="AP535" s="8" t="s">
        <v>92</v>
      </c>
      <c r="AQ535" s="14" t="s">
        <v>92</v>
      </c>
      <c r="AR535" s="14" t="s">
        <v>92</v>
      </c>
      <c r="AS535" s="14" t="s">
        <v>93</v>
      </c>
      <c r="AT535" s="14" t="s">
        <v>93</v>
      </c>
      <c r="AU535" s="14" t="s">
        <v>93</v>
      </c>
      <c r="AV535" s="14" t="s">
        <v>93</v>
      </c>
      <c r="AW535" s="14" t="s">
        <v>93</v>
      </c>
      <c r="AX535" s="14" t="s">
        <v>93</v>
      </c>
      <c r="AY535" s="8" t="s">
        <v>95</v>
      </c>
      <c r="AZ535" s="8" t="s">
        <v>95</v>
      </c>
      <c r="BA535" s="9" t="s">
        <v>2411</v>
      </c>
      <c r="BB535" s="8" t="s">
        <v>95</v>
      </c>
      <c r="BC535" s="8" t="s">
        <v>93</v>
      </c>
      <c r="BD535" s="14" t="s">
        <v>93</v>
      </c>
      <c r="BE535" s="14" t="s">
        <v>92</v>
      </c>
      <c r="BF535" s="14" t="s">
        <v>92</v>
      </c>
      <c r="BG535" s="14" t="s">
        <v>92</v>
      </c>
      <c r="BH535" s="14" t="s">
        <v>92</v>
      </c>
      <c r="BI535" s="14" t="s">
        <v>92</v>
      </c>
      <c r="BJ535" s="14" t="s">
        <v>92</v>
      </c>
      <c r="BK535" s="14" t="s">
        <v>574</v>
      </c>
      <c r="BL535" s="14" t="s">
        <v>93</v>
      </c>
      <c r="BM535" s="14" t="s">
        <v>92</v>
      </c>
      <c r="BN535" s="14" t="s">
        <v>92</v>
      </c>
      <c r="BO535" s="14" t="s">
        <v>92</v>
      </c>
      <c r="BP535" s="14" t="s">
        <v>92</v>
      </c>
      <c r="BQ535" s="8" t="s">
        <v>92</v>
      </c>
      <c r="BR535" s="8" t="s">
        <v>92</v>
      </c>
      <c r="BS535" s="8" t="s">
        <v>93</v>
      </c>
      <c r="BT535" s="8" t="s">
        <v>93</v>
      </c>
      <c r="BU535" s="8" t="s">
        <v>93</v>
      </c>
      <c r="BV535" s="8" t="s">
        <v>93</v>
      </c>
      <c r="BW535" s="8" t="s">
        <v>92</v>
      </c>
      <c r="BX535" s="8" t="s">
        <v>92</v>
      </c>
      <c r="BY535" s="8" t="s">
        <v>92</v>
      </c>
      <c r="BZ535" s="8" t="s">
        <v>93</v>
      </c>
      <c r="CA535" s="8" t="s">
        <v>92</v>
      </c>
      <c r="CB535" s="20" t="s">
        <v>129</v>
      </c>
      <c r="CC535" s="20" t="s">
        <v>1195</v>
      </c>
      <c r="CD535" s="20" t="s">
        <v>660</v>
      </c>
      <c r="CE535" s="31"/>
      <c r="CF535" s="18"/>
      <c r="CG535" s="18"/>
      <c r="CH535" s="18"/>
    </row>
    <row r="536">
      <c r="A536" s="8"/>
      <c r="B536" s="9" t="s">
        <v>2412</v>
      </c>
      <c r="C536" s="10" t="s">
        <v>2413</v>
      </c>
      <c r="D536" s="9" t="s">
        <v>1670</v>
      </c>
      <c r="E536" s="11" t="s">
        <v>2414</v>
      </c>
      <c r="F536" s="12"/>
      <c r="G536" s="14" t="s">
        <v>2415</v>
      </c>
      <c r="H536" s="14" t="s">
        <v>90</v>
      </c>
      <c r="I536" s="14" t="s">
        <v>2416</v>
      </c>
      <c r="J536" s="14" t="s">
        <v>92</v>
      </c>
      <c r="K536" s="14" t="s">
        <v>92</v>
      </c>
      <c r="L536" s="14" t="s">
        <v>92</v>
      </c>
      <c r="M536" s="14" t="s">
        <v>93</v>
      </c>
      <c r="N536" s="14" t="s">
        <v>92</v>
      </c>
      <c r="O536" s="14" t="s">
        <v>92</v>
      </c>
      <c r="P536" s="14" t="s">
        <v>92</v>
      </c>
      <c r="Q536" s="14" t="s">
        <v>92</v>
      </c>
      <c r="R536" s="14" t="s">
        <v>92</v>
      </c>
      <c r="S536" s="14" t="s">
        <v>92</v>
      </c>
      <c r="T536" s="14" t="s">
        <v>93</v>
      </c>
      <c r="U536" s="14" t="s">
        <v>93</v>
      </c>
      <c r="V536" s="14" t="s">
        <v>92</v>
      </c>
      <c r="W536" s="14" t="s">
        <v>92</v>
      </c>
      <c r="X536" s="14" t="s">
        <v>92</v>
      </c>
      <c r="Y536" s="14" t="s">
        <v>92</v>
      </c>
      <c r="Z536" s="14" t="s">
        <v>92</v>
      </c>
      <c r="AA536" s="14" t="s">
        <v>92</v>
      </c>
      <c r="AB536" s="8" t="s">
        <v>93</v>
      </c>
      <c r="AC536" s="8" t="s">
        <v>92</v>
      </c>
      <c r="AD536" s="8" t="s">
        <v>92</v>
      </c>
      <c r="AE536" s="14" t="s">
        <v>94</v>
      </c>
      <c r="AF536" s="14" t="s">
        <v>92</v>
      </c>
      <c r="AG536" s="14" t="s">
        <v>95</v>
      </c>
      <c r="AH536" s="8">
        <v>2020.0</v>
      </c>
      <c r="AI536" s="14" t="s">
        <v>93</v>
      </c>
      <c r="AJ536" s="14" t="s">
        <v>93</v>
      </c>
      <c r="AK536" s="14" t="s">
        <v>92</v>
      </c>
      <c r="AL536" s="14" t="s">
        <v>92</v>
      </c>
      <c r="AM536" s="8">
        <v>2021.0</v>
      </c>
      <c r="AN536" s="14" t="s">
        <v>96</v>
      </c>
      <c r="AO536" s="8" t="s">
        <v>93</v>
      </c>
      <c r="AP536" s="8" t="s">
        <v>93</v>
      </c>
      <c r="AQ536" s="14" t="s">
        <v>92</v>
      </c>
      <c r="AR536" s="14" t="s">
        <v>92</v>
      </c>
      <c r="AS536" s="14" t="s">
        <v>92</v>
      </c>
      <c r="AT536" s="14" t="s">
        <v>92</v>
      </c>
      <c r="AU536" s="14" t="s">
        <v>93</v>
      </c>
      <c r="AV536" s="14" t="s">
        <v>93</v>
      </c>
      <c r="AW536" s="14" t="s">
        <v>93</v>
      </c>
      <c r="AX536" s="14" t="s">
        <v>93</v>
      </c>
      <c r="AY536" s="8" t="s">
        <v>95</v>
      </c>
      <c r="AZ536" s="8" t="s">
        <v>95</v>
      </c>
      <c r="BA536" s="9" t="s">
        <v>2412</v>
      </c>
      <c r="BB536" s="8" t="s">
        <v>97</v>
      </c>
      <c r="BC536" s="8" t="s">
        <v>92</v>
      </c>
      <c r="BD536" s="14" t="s">
        <v>92</v>
      </c>
      <c r="BE536" s="14" t="s">
        <v>92</v>
      </c>
      <c r="BF536" s="14" t="s">
        <v>92</v>
      </c>
      <c r="BG536" s="14" t="s">
        <v>92</v>
      </c>
      <c r="BH536" s="14" t="s">
        <v>92</v>
      </c>
      <c r="BI536" s="14" t="s">
        <v>93</v>
      </c>
      <c r="BJ536" s="14" t="s">
        <v>92</v>
      </c>
      <c r="BK536" s="14" t="s">
        <v>2417</v>
      </c>
      <c r="BL536" s="14" t="s">
        <v>93</v>
      </c>
      <c r="BM536" s="14" t="s">
        <v>93</v>
      </c>
      <c r="BN536" s="14" t="s">
        <v>93</v>
      </c>
      <c r="BO536" s="14" t="s">
        <v>92</v>
      </c>
      <c r="BP536" s="14" t="s">
        <v>92</v>
      </c>
      <c r="BQ536" s="8" t="s">
        <v>93</v>
      </c>
      <c r="BR536" s="8" t="s">
        <v>93</v>
      </c>
      <c r="BS536" s="8" t="s">
        <v>92</v>
      </c>
      <c r="BT536" s="8" t="s">
        <v>92</v>
      </c>
      <c r="BU536" s="8" t="s">
        <v>92</v>
      </c>
      <c r="BV536" s="8" t="s">
        <v>92</v>
      </c>
      <c r="BW536" s="8" t="s">
        <v>92</v>
      </c>
      <c r="BX536" s="8" t="s">
        <v>92</v>
      </c>
      <c r="BY536" s="8" t="s">
        <v>92</v>
      </c>
      <c r="BZ536" s="8" t="s">
        <v>92</v>
      </c>
      <c r="CA536" s="8" t="s">
        <v>92</v>
      </c>
      <c r="CB536" s="20" t="s">
        <v>1189</v>
      </c>
      <c r="CC536" s="20" t="s">
        <v>129</v>
      </c>
      <c r="CD536" s="18"/>
      <c r="CE536" s="18"/>
      <c r="CF536" s="18"/>
      <c r="CG536" s="18"/>
      <c r="CH536" s="18"/>
    </row>
    <row r="537">
      <c r="A537" s="8"/>
      <c r="B537" s="9" t="s">
        <v>2412</v>
      </c>
      <c r="C537" s="10" t="s">
        <v>2413</v>
      </c>
      <c r="D537" s="9" t="s">
        <v>1670</v>
      </c>
      <c r="E537" s="11" t="s">
        <v>2418</v>
      </c>
      <c r="F537" s="10" t="s">
        <v>1896</v>
      </c>
      <c r="G537" s="14" t="s">
        <v>1900</v>
      </c>
      <c r="H537" s="14" t="s">
        <v>110</v>
      </c>
      <c r="I537" s="14" t="s">
        <v>2419</v>
      </c>
      <c r="J537" s="14" t="s">
        <v>92</v>
      </c>
      <c r="K537" s="14" t="s">
        <v>92</v>
      </c>
      <c r="L537" s="14" t="s">
        <v>92</v>
      </c>
      <c r="M537" s="14" t="s">
        <v>93</v>
      </c>
      <c r="N537" s="14" t="s">
        <v>92</v>
      </c>
      <c r="O537" s="14" t="s">
        <v>92</v>
      </c>
      <c r="P537" s="14" t="s">
        <v>92</v>
      </c>
      <c r="Q537" s="14" t="s">
        <v>93</v>
      </c>
      <c r="R537" s="14" t="s">
        <v>92</v>
      </c>
      <c r="S537" s="14" t="s">
        <v>92</v>
      </c>
      <c r="T537" s="14" t="s">
        <v>93</v>
      </c>
      <c r="U537" s="14" t="s">
        <v>92</v>
      </c>
      <c r="V537" s="14" t="s">
        <v>92</v>
      </c>
      <c r="W537" s="14" t="s">
        <v>92</v>
      </c>
      <c r="X537" s="14" t="s">
        <v>92</v>
      </c>
      <c r="Y537" s="14" t="s">
        <v>93</v>
      </c>
      <c r="Z537" s="14" t="s">
        <v>92</v>
      </c>
      <c r="AA537" s="14" t="s">
        <v>92</v>
      </c>
      <c r="AB537" s="8" t="s">
        <v>93</v>
      </c>
      <c r="AC537" s="8" t="s">
        <v>93</v>
      </c>
      <c r="AD537" s="8" t="s">
        <v>92</v>
      </c>
      <c r="AE537" s="14" t="s">
        <v>148</v>
      </c>
      <c r="AF537" s="14" t="s">
        <v>92</v>
      </c>
      <c r="AG537" s="14" t="s">
        <v>95</v>
      </c>
      <c r="AH537" s="8">
        <v>2017.0</v>
      </c>
      <c r="AI537" s="14" t="s">
        <v>93</v>
      </c>
      <c r="AJ537" s="14" t="s">
        <v>93</v>
      </c>
      <c r="AK537" s="14" t="s">
        <v>93</v>
      </c>
      <c r="AL537" s="14" t="s">
        <v>93</v>
      </c>
      <c r="AM537" s="8" t="s">
        <v>95</v>
      </c>
      <c r="AN537" s="14" t="s">
        <v>114</v>
      </c>
      <c r="AO537" s="8" t="s">
        <v>93</v>
      </c>
      <c r="AP537" s="8" t="s">
        <v>92</v>
      </c>
      <c r="AQ537" s="14" t="s">
        <v>92</v>
      </c>
      <c r="AR537" s="14" t="s">
        <v>92</v>
      </c>
      <c r="AS537" s="14" t="s">
        <v>92</v>
      </c>
      <c r="AT537" s="14" t="s">
        <v>92</v>
      </c>
      <c r="AU537" s="14" t="s">
        <v>93</v>
      </c>
      <c r="AV537" s="14" t="s">
        <v>93</v>
      </c>
      <c r="AW537" s="14" t="s">
        <v>93</v>
      </c>
      <c r="AX537" s="14" t="s">
        <v>93</v>
      </c>
      <c r="AY537" s="8" t="s">
        <v>2420</v>
      </c>
      <c r="AZ537" s="8" t="s">
        <v>93</v>
      </c>
      <c r="BA537" s="9" t="s">
        <v>2421</v>
      </c>
      <c r="BB537" s="8" t="s">
        <v>95</v>
      </c>
      <c r="BC537" s="8" t="s">
        <v>93</v>
      </c>
      <c r="BD537" s="14" t="s">
        <v>92</v>
      </c>
      <c r="BE537" s="14" t="s">
        <v>92</v>
      </c>
      <c r="BF537" s="14" t="s">
        <v>92</v>
      </c>
      <c r="BG537" s="14" t="s">
        <v>92</v>
      </c>
      <c r="BH537" s="14" t="s">
        <v>92</v>
      </c>
      <c r="BI537" s="14" t="s">
        <v>93</v>
      </c>
      <c r="BJ537" s="14" t="s">
        <v>92</v>
      </c>
      <c r="BK537" s="14" t="s">
        <v>2422</v>
      </c>
      <c r="BL537" s="14" t="s">
        <v>92</v>
      </c>
      <c r="BM537" s="14" t="s">
        <v>93</v>
      </c>
      <c r="BN537" s="14" t="s">
        <v>93</v>
      </c>
      <c r="BO537" s="14" t="s">
        <v>92</v>
      </c>
      <c r="BP537" s="14" t="s">
        <v>92</v>
      </c>
      <c r="BQ537" s="8" t="s">
        <v>92</v>
      </c>
      <c r="BR537" s="8" t="s">
        <v>93</v>
      </c>
      <c r="BS537" s="8" t="s">
        <v>92</v>
      </c>
      <c r="BT537" s="8" t="s">
        <v>92</v>
      </c>
      <c r="BU537" s="8" t="s">
        <v>92</v>
      </c>
      <c r="BV537" s="8" t="s">
        <v>93</v>
      </c>
      <c r="BW537" s="8" t="s">
        <v>92</v>
      </c>
      <c r="BX537" s="8" t="s">
        <v>92</v>
      </c>
      <c r="BY537" s="8" t="s">
        <v>92</v>
      </c>
      <c r="BZ537" s="8" t="s">
        <v>92</v>
      </c>
      <c r="CA537" s="8" t="s">
        <v>92</v>
      </c>
      <c r="CB537" s="20" t="s">
        <v>1189</v>
      </c>
      <c r="CC537" s="20" t="s">
        <v>129</v>
      </c>
      <c r="CD537" s="20" t="s">
        <v>1195</v>
      </c>
      <c r="CE537" s="20" t="s">
        <v>2423</v>
      </c>
      <c r="CF537" s="18"/>
      <c r="CG537" s="18"/>
      <c r="CH537" s="18"/>
    </row>
    <row r="538">
      <c r="A538" s="8"/>
      <c r="B538" s="9" t="s">
        <v>2412</v>
      </c>
      <c r="C538" s="10" t="s">
        <v>2413</v>
      </c>
      <c r="D538" s="9" t="s">
        <v>1670</v>
      </c>
      <c r="E538" s="11" t="s">
        <v>2424</v>
      </c>
      <c r="F538" s="12"/>
      <c r="G538" s="14" t="s">
        <v>2425</v>
      </c>
      <c r="H538" s="14" t="s">
        <v>90</v>
      </c>
      <c r="I538" s="14" t="s">
        <v>2426</v>
      </c>
      <c r="J538" s="14" t="s">
        <v>92</v>
      </c>
      <c r="K538" s="14" t="s">
        <v>92</v>
      </c>
      <c r="L538" s="14" t="s">
        <v>92</v>
      </c>
      <c r="M538" s="14" t="s">
        <v>93</v>
      </c>
      <c r="N538" s="14" t="s">
        <v>92</v>
      </c>
      <c r="O538" s="14" t="s">
        <v>92</v>
      </c>
      <c r="P538" s="14" t="s">
        <v>92</v>
      </c>
      <c r="Q538" s="14" t="s">
        <v>92</v>
      </c>
      <c r="R538" s="14" t="s">
        <v>92</v>
      </c>
      <c r="S538" s="14" t="s">
        <v>92</v>
      </c>
      <c r="T538" s="14" t="s">
        <v>92</v>
      </c>
      <c r="U538" s="14" t="s">
        <v>93</v>
      </c>
      <c r="V538" s="14" t="s">
        <v>92</v>
      </c>
      <c r="W538" s="14" t="s">
        <v>92</v>
      </c>
      <c r="X538" s="14" t="s">
        <v>92</v>
      </c>
      <c r="Y538" s="14" t="s">
        <v>92</v>
      </c>
      <c r="Z538" s="14" t="s">
        <v>92</v>
      </c>
      <c r="AA538" s="14" t="s">
        <v>92</v>
      </c>
      <c r="AB538" s="8" t="s">
        <v>93</v>
      </c>
      <c r="AC538" s="8" t="s">
        <v>92</v>
      </c>
      <c r="AD538" s="8" t="s">
        <v>92</v>
      </c>
      <c r="AE538" s="14" t="s">
        <v>94</v>
      </c>
      <c r="AF538" s="14" t="s">
        <v>92</v>
      </c>
      <c r="AG538" s="14" t="s">
        <v>95</v>
      </c>
      <c r="AH538" s="8" t="s">
        <v>105</v>
      </c>
      <c r="AI538" s="14" t="s">
        <v>92</v>
      </c>
      <c r="AJ538" s="14" t="s">
        <v>93</v>
      </c>
      <c r="AK538" s="14" t="s">
        <v>92</v>
      </c>
      <c r="AL538" s="14" t="s">
        <v>92</v>
      </c>
      <c r="AM538" s="8" t="s">
        <v>105</v>
      </c>
      <c r="AN538" s="14" t="s">
        <v>105</v>
      </c>
      <c r="AO538" s="8" t="s">
        <v>105</v>
      </c>
      <c r="AP538" s="8" t="s">
        <v>93</v>
      </c>
      <c r="AQ538" s="14" t="s">
        <v>92</v>
      </c>
      <c r="AR538" s="14" t="s">
        <v>92</v>
      </c>
      <c r="AS538" s="14" t="s">
        <v>92</v>
      </c>
      <c r="AT538" s="14" t="s">
        <v>92</v>
      </c>
      <c r="AU538" s="14" t="s">
        <v>93</v>
      </c>
      <c r="AV538" s="14" t="s">
        <v>93</v>
      </c>
      <c r="AW538" s="14" t="s">
        <v>93</v>
      </c>
      <c r="AX538" s="14" t="s">
        <v>93</v>
      </c>
      <c r="AY538" s="8" t="s">
        <v>2427</v>
      </c>
      <c r="AZ538" s="8" t="s">
        <v>92</v>
      </c>
      <c r="BA538" s="9" t="s">
        <v>2412</v>
      </c>
      <c r="BB538" s="8" t="s">
        <v>97</v>
      </c>
      <c r="BC538" s="8" t="s">
        <v>92</v>
      </c>
      <c r="BD538" s="14" t="s">
        <v>92</v>
      </c>
      <c r="BE538" s="14" t="s">
        <v>92</v>
      </c>
      <c r="BF538" s="14" t="s">
        <v>92</v>
      </c>
      <c r="BG538" s="14" t="s">
        <v>92</v>
      </c>
      <c r="BH538" s="14" t="s">
        <v>92</v>
      </c>
      <c r="BI538" s="14" t="s">
        <v>93</v>
      </c>
      <c r="BJ538" s="14" t="s">
        <v>92</v>
      </c>
      <c r="BK538" s="14" t="s">
        <v>1199</v>
      </c>
      <c r="BL538" s="14" t="s">
        <v>92</v>
      </c>
      <c r="BM538" s="14" t="s">
        <v>93</v>
      </c>
      <c r="BN538" s="14" t="s">
        <v>92</v>
      </c>
      <c r="BO538" s="14" t="s">
        <v>92</v>
      </c>
      <c r="BP538" s="14" t="s">
        <v>92</v>
      </c>
      <c r="BQ538" s="8" t="s">
        <v>93</v>
      </c>
      <c r="BR538" s="8" t="s">
        <v>92</v>
      </c>
      <c r="BS538" s="8" t="s">
        <v>92</v>
      </c>
      <c r="BT538" s="8" t="s">
        <v>92</v>
      </c>
      <c r="BU538" s="8" t="s">
        <v>92</v>
      </c>
      <c r="BV538" s="8" t="s">
        <v>92</v>
      </c>
      <c r="BW538" s="8" t="s">
        <v>92</v>
      </c>
      <c r="BX538" s="8" t="s">
        <v>92</v>
      </c>
      <c r="BY538" s="8" t="s">
        <v>92</v>
      </c>
      <c r="BZ538" s="8" t="s">
        <v>92</v>
      </c>
      <c r="CA538" s="8" t="s">
        <v>92</v>
      </c>
      <c r="CB538" s="20" t="s">
        <v>129</v>
      </c>
      <c r="CC538" s="17"/>
      <c r="CD538" s="18"/>
      <c r="CE538" s="18"/>
      <c r="CF538" s="18"/>
      <c r="CG538" s="18"/>
      <c r="CH538" s="18"/>
    </row>
    <row r="539">
      <c r="A539" s="8"/>
      <c r="B539" s="9" t="s">
        <v>2412</v>
      </c>
      <c r="C539" s="10" t="s">
        <v>2413</v>
      </c>
      <c r="D539" s="9" t="s">
        <v>1670</v>
      </c>
      <c r="E539" s="11" t="s">
        <v>2428</v>
      </c>
      <c r="F539" s="12"/>
      <c r="G539" s="14" t="s">
        <v>2429</v>
      </c>
      <c r="H539" s="14" t="s">
        <v>90</v>
      </c>
      <c r="I539" s="14" t="s">
        <v>2430</v>
      </c>
      <c r="J539" s="14" t="s">
        <v>92</v>
      </c>
      <c r="K539" s="14" t="s">
        <v>92</v>
      </c>
      <c r="L539" s="14" t="s">
        <v>92</v>
      </c>
      <c r="M539" s="14" t="s">
        <v>93</v>
      </c>
      <c r="N539" s="14" t="s">
        <v>92</v>
      </c>
      <c r="O539" s="14" t="s">
        <v>92</v>
      </c>
      <c r="P539" s="14" t="s">
        <v>93</v>
      </c>
      <c r="Q539" s="14" t="s">
        <v>92</v>
      </c>
      <c r="R539" s="14" t="s">
        <v>92</v>
      </c>
      <c r="S539" s="14" t="s">
        <v>92</v>
      </c>
      <c r="T539" s="14" t="s">
        <v>93</v>
      </c>
      <c r="U539" s="14" t="s">
        <v>93</v>
      </c>
      <c r="V539" s="14" t="s">
        <v>92</v>
      </c>
      <c r="W539" s="14" t="s">
        <v>92</v>
      </c>
      <c r="X539" s="14" t="s">
        <v>92</v>
      </c>
      <c r="Y539" s="14" t="s">
        <v>93</v>
      </c>
      <c r="Z539" s="14" t="s">
        <v>92</v>
      </c>
      <c r="AA539" s="14" t="s">
        <v>92</v>
      </c>
      <c r="AB539" s="8" t="s">
        <v>93</v>
      </c>
      <c r="AC539" s="8" t="s">
        <v>92</v>
      </c>
      <c r="AD539" s="8" t="s">
        <v>92</v>
      </c>
      <c r="AE539" s="14" t="s">
        <v>94</v>
      </c>
      <c r="AF539" s="14" t="s">
        <v>92</v>
      </c>
      <c r="AG539" s="14" t="s">
        <v>95</v>
      </c>
      <c r="AH539" s="8">
        <v>2021.0</v>
      </c>
      <c r="AI539" s="14" t="s">
        <v>92</v>
      </c>
      <c r="AJ539" s="14" t="s">
        <v>93</v>
      </c>
      <c r="AK539" s="14" t="s">
        <v>92</v>
      </c>
      <c r="AL539" s="14" t="s">
        <v>92</v>
      </c>
      <c r="AM539" s="8">
        <v>2021.0</v>
      </c>
      <c r="AN539" s="14" t="s">
        <v>96</v>
      </c>
      <c r="AO539" s="8" t="s">
        <v>92</v>
      </c>
      <c r="AP539" s="8" t="s">
        <v>93</v>
      </c>
      <c r="AQ539" s="14" t="s">
        <v>92</v>
      </c>
      <c r="AR539" s="14" t="s">
        <v>92</v>
      </c>
      <c r="AS539" s="14" t="s">
        <v>92</v>
      </c>
      <c r="AT539" s="14" t="s">
        <v>92</v>
      </c>
      <c r="AU539" s="14" t="s">
        <v>93</v>
      </c>
      <c r="AV539" s="14" t="s">
        <v>93</v>
      </c>
      <c r="AW539" s="14" t="s">
        <v>93</v>
      </c>
      <c r="AX539" s="14" t="s">
        <v>93</v>
      </c>
      <c r="AY539" s="8" t="s">
        <v>2431</v>
      </c>
      <c r="AZ539" s="8" t="s">
        <v>92</v>
      </c>
      <c r="BA539" s="9" t="s">
        <v>1850</v>
      </c>
      <c r="BB539" s="8" t="s">
        <v>143</v>
      </c>
      <c r="BC539" s="8" t="s">
        <v>92</v>
      </c>
      <c r="BD539" s="14" t="s">
        <v>92</v>
      </c>
      <c r="BE539" s="14" t="s">
        <v>92</v>
      </c>
      <c r="BF539" s="14" t="s">
        <v>92</v>
      </c>
      <c r="BG539" s="14" t="s">
        <v>92</v>
      </c>
      <c r="BH539" s="14" t="s">
        <v>92</v>
      </c>
      <c r="BI539" s="14" t="s">
        <v>93</v>
      </c>
      <c r="BJ539" s="14" t="s">
        <v>92</v>
      </c>
      <c r="BK539" s="14" t="s">
        <v>349</v>
      </c>
      <c r="BL539" s="14" t="s">
        <v>92</v>
      </c>
      <c r="BM539" s="14" t="s">
        <v>93</v>
      </c>
      <c r="BN539" s="14" t="s">
        <v>92</v>
      </c>
      <c r="BO539" s="14" t="s">
        <v>92</v>
      </c>
      <c r="BP539" s="14" t="s">
        <v>92</v>
      </c>
      <c r="BQ539" s="8" t="s">
        <v>93</v>
      </c>
      <c r="BR539" s="8" t="s">
        <v>93</v>
      </c>
      <c r="BS539" s="8" t="s">
        <v>92</v>
      </c>
      <c r="BT539" s="8" t="s">
        <v>92</v>
      </c>
      <c r="BU539" s="8" t="s">
        <v>92</v>
      </c>
      <c r="BV539" s="8" t="s">
        <v>92</v>
      </c>
      <c r="BW539" s="8" t="s">
        <v>92</v>
      </c>
      <c r="BX539" s="8" t="s">
        <v>92</v>
      </c>
      <c r="BY539" s="8" t="s">
        <v>92</v>
      </c>
      <c r="BZ539" s="8" t="s">
        <v>92</v>
      </c>
      <c r="CA539" s="8" t="s">
        <v>92</v>
      </c>
      <c r="CB539" s="20" t="s">
        <v>129</v>
      </c>
      <c r="CC539" s="17"/>
      <c r="CD539" s="18"/>
      <c r="CE539" s="18"/>
      <c r="CF539" s="18"/>
      <c r="CG539" s="18"/>
      <c r="CH539" s="18"/>
    </row>
    <row r="540">
      <c r="A540" s="8"/>
      <c r="B540" s="9" t="s">
        <v>2412</v>
      </c>
      <c r="C540" s="10" t="s">
        <v>2413</v>
      </c>
      <c r="D540" s="9" t="s">
        <v>1670</v>
      </c>
      <c r="E540" s="11" t="s">
        <v>2432</v>
      </c>
      <c r="F540" s="12"/>
      <c r="G540" s="14" t="s">
        <v>2433</v>
      </c>
      <c r="H540" s="14" t="s">
        <v>90</v>
      </c>
      <c r="I540" s="14" t="s">
        <v>2434</v>
      </c>
      <c r="J540" s="14" t="s">
        <v>92</v>
      </c>
      <c r="K540" s="14" t="s">
        <v>92</v>
      </c>
      <c r="L540" s="14" t="s">
        <v>92</v>
      </c>
      <c r="M540" s="14" t="s">
        <v>93</v>
      </c>
      <c r="N540" s="14" t="s">
        <v>92</v>
      </c>
      <c r="O540" s="14" t="s">
        <v>92</v>
      </c>
      <c r="P540" s="14" t="s">
        <v>92</v>
      </c>
      <c r="Q540" s="14" t="s">
        <v>93</v>
      </c>
      <c r="R540" s="14" t="s">
        <v>93</v>
      </c>
      <c r="S540" s="14" t="s">
        <v>92</v>
      </c>
      <c r="T540" s="14" t="s">
        <v>92</v>
      </c>
      <c r="U540" s="14" t="s">
        <v>93</v>
      </c>
      <c r="V540" s="14" t="s">
        <v>92</v>
      </c>
      <c r="W540" s="14" t="s">
        <v>92</v>
      </c>
      <c r="X540" s="14" t="s">
        <v>92</v>
      </c>
      <c r="Y540" s="14" t="s">
        <v>92</v>
      </c>
      <c r="Z540" s="14" t="s">
        <v>92</v>
      </c>
      <c r="AA540" s="14" t="s">
        <v>92</v>
      </c>
      <c r="AB540" s="8" t="s">
        <v>93</v>
      </c>
      <c r="AC540" s="8" t="s">
        <v>92</v>
      </c>
      <c r="AD540" s="8" t="s">
        <v>92</v>
      </c>
      <c r="AE540" s="14" t="s">
        <v>94</v>
      </c>
      <c r="AF540" s="14" t="s">
        <v>92</v>
      </c>
      <c r="AG540" s="14" t="s">
        <v>95</v>
      </c>
      <c r="AH540" s="8">
        <v>2021.0</v>
      </c>
      <c r="AI540" s="14" t="s">
        <v>92</v>
      </c>
      <c r="AJ540" s="14" t="s">
        <v>93</v>
      </c>
      <c r="AK540" s="14" t="s">
        <v>92</v>
      </c>
      <c r="AL540" s="14" t="s">
        <v>92</v>
      </c>
      <c r="AM540" s="8">
        <v>2021.0</v>
      </c>
      <c r="AN540" s="14" t="s">
        <v>96</v>
      </c>
      <c r="AO540" s="8" t="s">
        <v>92</v>
      </c>
      <c r="AP540" s="8" t="s">
        <v>92</v>
      </c>
      <c r="AQ540" s="14" t="s">
        <v>92</v>
      </c>
      <c r="AR540" s="14" t="s">
        <v>92</v>
      </c>
      <c r="AS540" s="14" t="s">
        <v>92</v>
      </c>
      <c r="AT540" s="14" t="s">
        <v>92</v>
      </c>
      <c r="AU540" s="14" t="s">
        <v>93</v>
      </c>
      <c r="AV540" s="14" t="s">
        <v>93</v>
      </c>
      <c r="AW540" s="14" t="s">
        <v>93</v>
      </c>
      <c r="AX540" s="14" t="s">
        <v>93</v>
      </c>
      <c r="AY540" s="8" t="s">
        <v>95</v>
      </c>
      <c r="AZ540" s="8" t="s">
        <v>95</v>
      </c>
      <c r="BA540" s="9" t="s">
        <v>2412</v>
      </c>
      <c r="BB540" s="8" t="s">
        <v>97</v>
      </c>
      <c r="BC540" s="8" t="s">
        <v>92</v>
      </c>
      <c r="BD540" s="14" t="s">
        <v>92</v>
      </c>
      <c r="BE540" s="14" t="s">
        <v>92</v>
      </c>
      <c r="BF540" s="14" t="s">
        <v>92</v>
      </c>
      <c r="BG540" s="14" t="s">
        <v>92</v>
      </c>
      <c r="BH540" s="14" t="s">
        <v>92</v>
      </c>
      <c r="BI540" s="14" t="s">
        <v>93</v>
      </c>
      <c r="BJ540" s="14" t="s">
        <v>92</v>
      </c>
      <c r="BK540" s="14" t="s">
        <v>1199</v>
      </c>
      <c r="BL540" s="14" t="s">
        <v>92</v>
      </c>
      <c r="BM540" s="14" t="s">
        <v>93</v>
      </c>
      <c r="BN540" s="14" t="s">
        <v>92</v>
      </c>
      <c r="BO540" s="14" t="s">
        <v>92</v>
      </c>
      <c r="BP540" s="14" t="s">
        <v>92</v>
      </c>
      <c r="BQ540" s="8" t="s">
        <v>93</v>
      </c>
      <c r="BR540" s="8" t="s">
        <v>92</v>
      </c>
      <c r="BS540" s="8" t="s">
        <v>92</v>
      </c>
      <c r="BT540" s="8" t="s">
        <v>92</v>
      </c>
      <c r="BU540" s="8" t="s">
        <v>92</v>
      </c>
      <c r="BV540" s="8" t="s">
        <v>92</v>
      </c>
      <c r="BW540" s="8" t="s">
        <v>92</v>
      </c>
      <c r="BX540" s="8" t="s">
        <v>92</v>
      </c>
      <c r="BY540" s="8" t="s">
        <v>92</v>
      </c>
      <c r="BZ540" s="8" t="s">
        <v>92</v>
      </c>
      <c r="CA540" s="8" t="s">
        <v>92</v>
      </c>
      <c r="CB540" s="20" t="s">
        <v>129</v>
      </c>
      <c r="CC540" s="17"/>
      <c r="CD540" s="18"/>
      <c r="CE540" s="18"/>
      <c r="CF540" s="18"/>
      <c r="CG540" s="18"/>
      <c r="CH540" s="18"/>
    </row>
    <row r="541">
      <c r="A541" s="8"/>
      <c r="B541" s="9" t="s">
        <v>2412</v>
      </c>
      <c r="C541" s="10" t="s">
        <v>2413</v>
      </c>
      <c r="D541" s="9" t="s">
        <v>1670</v>
      </c>
      <c r="E541" s="11" t="s">
        <v>2435</v>
      </c>
      <c r="F541" s="12"/>
      <c r="G541" s="14" t="s">
        <v>2436</v>
      </c>
      <c r="H541" s="14" t="s">
        <v>90</v>
      </c>
      <c r="I541" s="14" t="s">
        <v>2437</v>
      </c>
      <c r="J541" s="14" t="s">
        <v>92</v>
      </c>
      <c r="K541" s="14" t="s">
        <v>92</v>
      </c>
      <c r="L541" s="14" t="s">
        <v>92</v>
      </c>
      <c r="M541" s="14" t="s">
        <v>93</v>
      </c>
      <c r="N541" s="14" t="s">
        <v>92</v>
      </c>
      <c r="O541" s="14" t="s">
        <v>92</v>
      </c>
      <c r="P541" s="14" t="s">
        <v>93</v>
      </c>
      <c r="Q541" s="14" t="s">
        <v>92</v>
      </c>
      <c r="R541" s="14" t="s">
        <v>92</v>
      </c>
      <c r="S541" s="14" t="s">
        <v>92</v>
      </c>
      <c r="T541" s="14" t="s">
        <v>93</v>
      </c>
      <c r="U541" s="14" t="s">
        <v>92</v>
      </c>
      <c r="V541" s="14" t="s">
        <v>92</v>
      </c>
      <c r="W541" s="14" t="s">
        <v>92</v>
      </c>
      <c r="X541" s="14" t="s">
        <v>92</v>
      </c>
      <c r="Y541" s="14" t="s">
        <v>93</v>
      </c>
      <c r="Z541" s="14" t="s">
        <v>92</v>
      </c>
      <c r="AA541" s="14" t="s">
        <v>92</v>
      </c>
      <c r="AB541" s="8" t="s">
        <v>93</v>
      </c>
      <c r="AC541" s="8" t="s">
        <v>92</v>
      </c>
      <c r="AD541" s="8" t="s">
        <v>92</v>
      </c>
      <c r="AE541" s="14" t="s">
        <v>94</v>
      </c>
      <c r="AF541" s="14" t="s">
        <v>92</v>
      </c>
      <c r="AG541" s="14" t="s">
        <v>95</v>
      </c>
      <c r="AH541" s="8">
        <v>2022.0</v>
      </c>
      <c r="AI541" s="14" t="s">
        <v>92</v>
      </c>
      <c r="AJ541" s="14" t="s">
        <v>92</v>
      </c>
      <c r="AK541" s="14" t="s">
        <v>93</v>
      </c>
      <c r="AL541" s="14" t="s">
        <v>92</v>
      </c>
      <c r="AM541" s="8">
        <v>2022.0</v>
      </c>
      <c r="AN541" s="14" t="s">
        <v>96</v>
      </c>
      <c r="AO541" s="8" t="s">
        <v>92</v>
      </c>
      <c r="AP541" s="8" t="s">
        <v>93</v>
      </c>
      <c r="AQ541" s="14" t="s">
        <v>92</v>
      </c>
      <c r="AR541" s="14" t="s">
        <v>92</v>
      </c>
      <c r="AS541" s="14" t="s">
        <v>92</v>
      </c>
      <c r="AT541" s="14" t="s">
        <v>92</v>
      </c>
      <c r="AU541" s="14" t="s">
        <v>93</v>
      </c>
      <c r="AV541" s="14" t="s">
        <v>93</v>
      </c>
      <c r="AW541" s="14" t="s">
        <v>93</v>
      </c>
      <c r="AX541" s="14" t="s">
        <v>93</v>
      </c>
      <c r="AY541" s="8" t="s">
        <v>95</v>
      </c>
      <c r="AZ541" s="8" t="s">
        <v>95</v>
      </c>
      <c r="BA541" s="9" t="s">
        <v>2412</v>
      </c>
      <c r="BB541" s="8" t="s">
        <v>97</v>
      </c>
      <c r="BC541" s="8" t="s">
        <v>92</v>
      </c>
      <c r="BD541" s="14" t="s">
        <v>92</v>
      </c>
      <c r="BE541" s="14" t="s">
        <v>92</v>
      </c>
      <c r="BF541" s="14" t="s">
        <v>92</v>
      </c>
      <c r="BG541" s="14" t="s">
        <v>92</v>
      </c>
      <c r="BH541" s="14" t="s">
        <v>92</v>
      </c>
      <c r="BI541" s="14" t="s">
        <v>93</v>
      </c>
      <c r="BJ541" s="14" t="s">
        <v>92</v>
      </c>
      <c r="BK541" s="14" t="s">
        <v>349</v>
      </c>
      <c r="BL541" s="14" t="s">
        <v>92</v>
      </c>
      <c r="BM541" s="14" t="s">
        <v>93</v>
      </c>
      <c r="BN541" s="14" t="s">
        <v>92</v>
      </c>
      <c r="BO541" s="14" t="s">
        <v>92</v>
      </c>
      <c r="BP541" s="14" t="s">
        <v>92</v>
      </c>
      <c r="BQ541" s="8" t="s">
        <v>93</v>
      </c>
      <c r="BR541" s="8" t="s">
        <v>93</v>
      </c>
      <c r="BS541" s="8" t="s">
        <v>92</v>
      </c>
      <c r="BT541" s="8" t="s">
        <v>92</v>
      </c>
      <c r="BU541" s="8" t="s">
        <v>92</v>
      </c>
      <c r="BV541" s="8" t="s">
        <v>92</v>
      </c>
      <c r="BW541" s="8" t="s">
        <v>92</v>
      </c>
      <c r="BX541" s="8" t="s">
        <v>92</v>
      </c>
      <c r="BY541" s="8" t="s">
        <v>92</v>
      </c>
      <c r="BZ541" s="8" t="s">
        <v>92</v>
      </c>
      <c r="CA541" s="8" t="s">
        <v>92</v>
      </c>
      <c r="CB541" s="20" t="s">
        <v>1195</v>
      </c>
      <c r="CC541" s="17"/>
      <c r="CD541" s="18"/>
      <c r="CE541" s="18"/>
      <c r="CF541" s="18"/>
      <c r="CG541" s="18"/>
      <c r="CH541" s="18"/>
    </row>
    <row r="542">
      <c r="A542" s="8"/>
      <c r="B542" s="9" t="s">
        <v>2412</v>
      </c>
      <c r="C542" s="10" t="s">
        <v>2413</v>
      </c>
      <c r="D542" s="9" t="s">
        <v>1670</v>
      </c>
      <c r="E542" s="11" t="s">
        <v>2438</v>
      </c>
      <c r="F542" s="12"/>
      <c r="G542" s="14" t="s">
        <v>2439</v>
      </c>
      <c r="H542" s="14" t="s">
        <v>90</v>
      </c>
      <c r="I542" s="14" t="s">
        <v>2440</v>
      </c>
      <c r="J542" s="14" t="s">
        <v>92</v>
      </c>
      <c r="K542" s="14" t="s">
        <v>92</v>
      </c>
      <c r="L542" s="14" t="s">
        <v>92</v>
      </c>
      <c r="M542" s="14" t="s">
        <v>93</v>
      </c>
      <c r="N542" s="14" t="s">
        <v>92</v>
      </c>
      <c r="O542" s="14" t="s">
        <v>92</v>
      </c>
      <c r="P542" s="14" t="s">
        <v>93</v>
      </c>
      <c r="Q542" s="14" t="s">
        <v>92</v>
      </c>
      <c r="R542" s="14" t="s">
        <v>92</v>
      </c>
      <c r="S542" s="14" t="s">
        <v>92</v>
      </c>
      <c r="T542" s="14" t="s">
        <v>92</v>
      </c>
      <c r="U542" s="14" t="s">
        <v>93</v>
      </c>
      <c r="V542" s="14" t="s">
        <v>92</v>
      </c>
      <c r="W542" s="14" t="s">
        <v>92</v>
      </c>
      <c r="X542" s="14" t="s">
        <v>92</v>
      </c>
      <c r="Y542" s="14" t="s">
        <v>92</v>
      </c>
      <c r="Z542" s="14" t="s">
        <v>92</v>
      </c>
      <c r="AA542" s="14" t="s">
        <v>92</v>
      </c>
      <c r="AB542" s="8" t="s">
        <v>93</v>
      </c>
      <c r="AC542" s="8" t="s">
        <v>92</v>
      </c>
      <c r="AD542" s="8" t="s">
        <v>92</v>
      </c>
      <c r="AE542" s="14" t="s">
        <v>94</v>
      </c>
      <c r="AF542" s="14" t="s">
        <v>92</v>
      </c>
      <c r="AG542" s="14" t="s">
        <v>95</v>
      </c>
      <c r="AH542" s="8">
        <v>2022.0</v>
      </c>
      <c r="AI542" s="14" t="s">
        <v>92</v>
      </c>
      <c r="AJ542" s="14" t="s">
        <v>92</v>
      </c>
      <c r="AK542" s="14" t="s">
        <v>93</v>
      </c>
      <c r="AL542" s="14" t="s">
        <v>92</v>
      </c>
      <c r="AM542" s="8">
        <v>2022.0</v>
      </c>
      <c r="AN542" s="14" t="s">
        <v>96</v>
      </c>
      <c r="AO542" s="8" t="s">
        <v>92</v>
      </c>
      <c r="AP542" s="8" t="s">
        <v>93</v>
      </c>
      <c r="AQ542" s="14" t="s">
        <v>92</v>
      </c>
      <c r="AR542" s="14" t="s">
        <v>92</v>
      </c>
      <c r="AS542" s="14" t="s">
        <v>92</v>
      </c>
      <c r="AT542" s="14" t="s">
        <v>92</v>
      </c>
      <c r="AU542" s="14" t="s">
        <v>93</v>
      </c>
      <c r="AV542" s="14" t="s">
        <v>93</v>
      </c>
      <c r="AW542" s="14" t="s">
        <v>93</v>
      </c>
      <c r="AX542" s="14" t="s">
        <v>93</v>
      </c>
      <c r="AY542" s="8" t="s">
        <v>95</v>
      </c>
      <c r="AZ542" s="8" t="s">
        <v>95</v>
      </c>
      <c r="BA542" s="9" t="s">
        <v>2412</v>
      </c>
      <c r="BB542" s="8" t="s">
        <v>97</v>
      </c>
      <c r="BC542" s="8" t="s">
        <v>92</v>
      </c>
      <c r="BD542" s="14" t="s">
        <v>92</v>
      </c>
      <c r="BE542" s="14" t="s">
        <v>92</v>
      </c>
      <c r="BF542" s="14" t="s">
        <v>92</v>
      </c>
      <c r="BG542" s="14" t="s">
        <v>92</v>
      </c>
      <c r="BH542" s="14" t="s">
        <v>92</v>
      </c>
      <c r="BI542" s="14" t="s">
        <v>93</v>
      </c>
      <c r="BJ542" s="14" t="s">
        <v>92</v>
      </c>
      <c r="BK542" s="14" t="s">
        <v>367</v>
      </c>
      <c r="BL542" s="14" t="s">
        <v>92</v>
      </c>
      <c r="BM542" s="14" t="s">
        <v>93</v>
      </c>
      <c r="BN542" s="14" t="s">
        <v>92</v>
      </c>
      <c r="BO542" s="14" t="s">
        <v>92</v>
      </c>
      <c r="BP542" s="14" t="s">
        <v>92</v>
      </c>
      <c r="BQ542" s="8" t="s">
        <v>93</v>
      </c>
      <c r="BR542" s="8" t="s">
        <v>92</v>
      </c>
      <c r="BS542" s="8" t="s">
        <v>92</v>
      </c>
      <c r="BT542" s="8" t="s">
        <v>92</v>
      </c>
      <c r="BU542" s="8" t="s">
        <v>92</v>
      </c>
      <c r="BV542" s="8" t="s">
        <v>92</v>
      </c>
      <c r="BW542" s="8" t="s">
        <v>92</v>
      </c>
      <c r="BX542" s="8" t="s">
        <v>92</v>
      </c>
      <c r="BY542" s="8" t="s">
        <v>92</v>
      </c>
      <c r="BZ542" s="8" t="s">
        <v>92</v>
      </c>
      <c r="CA542" s="8" t="s">
        <v>92</v>
      </c>
      <c r="CB542" s="20" t="s">
        <v>1195</v>
      </c>
      <c r="CC542" s="17"/>
      <c r="CD542" s="18"/>
      <c r="CE542" s="18"/>
      <c r="CF542" s="18"/>
      <c r="CG542" s="18"/>
      <c r="CH542" s="18"/>
    </row>
    <row r="543">
      <c r="A543" s="8"/>
      <c r="B543" s="9" t="s">
        <v>2412</v>
      </c>
      <c r="C543" s="10" t="s">
        <v>2413</v>
      </c>
      <c r="D543" s="9" t="s">
        <v>1670</v>
      </c>
      <c r="E543" s="11" t="s">
        <v>2441</v>
      </c>
      <c r="F543" s="12"/>
      <c r="G543" s="14" t="s">
        <v>2442</v>
      </c>
      <c r="H543" s="14" t="s">
        <v>90</v>
      </c>
      <c r="I543" s="14" t="s">
        <v>2443</v>
      </c>
      <c r="J543" s="14" t="s">
        <v>92</v>
      </c>
      <c r="K543" s="14" t="s">
        <v>92</v>
      </c>
      <c r="L543" s="14" t="s">
        <v>92</v>
      </c>
      <c r="M543" s="14" t="s">
        <v>93</v>
      </c>
      <c r="N543" s="14" t="s">
        <v>92</v>
      </c>
      <c r="O543" s="14" t="s">
        <v>92</v>
      </c>
      <c r="P543" s="14" t="s">
        <v>93</v>
      </c>
      <c r="Q543" s="14" t="s">
        <v>92</v>
      </c>
      <c r="R543" s="14" t="s">
        <v>92</v>
      </c>
      <c r="S543" s="14" t="s">
        <v>92</v>
      </c>
      <c r="T543" s="14" t="s">
        <v>92</v>
      </c>
      <c r="U543" s="14" t="s">
        <v>93</v>
      </c>
      <c r="V543" s="14" t="s">
        <v>92</v>
      </c>
      <c r="W543" s="14" t="s">
        <v>92</v>
      </c>
      <c r="X543" s="14" t="s">
        <v>92</v>
      </c>
      <c r="Y543" s="14" t="s">
        <v>92</v>
      </c>
      <c r="Z543" s="14" t="s">
        <v>92</v>
      </c>
      <c r="AA543" s="14" t="s">
        <v>92</v>
      </c>
      <c r="AB543" s="8" t="s">
        <v>93</v>
      </c>
      <c r="AC543" s="8" t="s">
        <v>92</v>
      </c>
      <c r="AD543" s="8" t="s">
        <v>92</v>
      </c>
      <c r="AE543" s="14" t="s">
        <v>94</v>
      </c>
      <c r="AF543" s="14" t="s">
        <v>92</v>
      </c>
      <c r="AG543" s="14" t="s">
        <v>95</v>
      </c>
      <c r="AH543" s="8" t="s">
        <v>105</v>
      </c>
      <c r="AI543" s="14" t="s">
        <v>92</v>
      </c>
      <c r="AJ543" s="14" t="s">
        <v>92</v>
      </c>
      <c r="AK543" s="14" t="s">
        <v>93</v>
      </c>
      <c r="AL543" s="14" t="s">
        <v>92</v>
      </c>
      <c r="AM543" s="8">
        <v>2022.0</v>
      </c>
      <c r="AN543" s="14" t="s">
        <v>96</v>
      </c>
      <c r="AO543" s="8" t="s">
        <v>92</v>
      </c>
      <c r="AP543" s="8" t="s">
        <v>93</v>
      </c>
      <c r="AQ543" s="14" t="s">
        <v>92</v>
      </c>
      <c r="AR543" s="14" t="s">
        <v>92</v>
      </c>
      <c r="AS543" s="14" t="s">
        <v>92</v>
      </c>
      <c r="AT543" s="14" t="s">
        <v>92</v>
      </c>
      <c r="AU543" s="14" t="s">
        <v>93</v>
      </c>
      <c r="AV543" s="14" t="s">
        <v>93</v>
      </c>
      <c r="AW543" s="14" t="s">
        <v>93</v>
      </c>
      <c r="AX543" s="14" t="s">
        <v>93</v>
      </c>
      <c r="AY543" s="8" t="s">
        <v>95</v>
      </c>
      <c r="AZ543" s="8" t="s">
        <v>95</v>
      </c>
      <c r="BA543" s="9" t="s">
        <v>2412</v>
      </c>
      <c r="BB543" s="8" t="s">
        <v>97</v>
      </c>
      <c r="BC543" s="8" t="s">
        <v>92</v>
      </c>
      <c r="BD543" s="14" t="s">
        <v>92</v>
      </c>
      <c r="BE543" s="14" t="s">
        <v>92</v>
      </c>
      <c r="BF543" s="14" t="s">
        <v>92</v>
      </c>
      <c r="BG543" s="14" t="s">
        <v>92</v>
      </c>
      <c r="BH543" s="14" t="s">
        <v>92</v>
      </c>
      <c r="BI543" s="14" t="s">
        <v>93</v>
      </c>
      <c r="BJ543" s="14" t="s">
        <v>92</v>
      </c>
      <c r="BK543" s="14" t="s">
        <v>2444</v>
      </c>
      <c r="BL543" s="14" t="s">
        <v>92</v>
      </c>
      <c r="BM543" s="14" t="s">
        <v>93</v>
      </c>
      <c r="BN543" s="14" t="s">
        <v>92</v>
      </c>
      <c r="BO543" s="14" t="s">
        <v>92</v>
      </c>
      <c r="BP543" s="14" t="s">
        <v>92</v>
      </c>
      <c r="BQ543" s="8" t="s">
        <v>93</v>
      </c>
      <c r="BR543" s="8" t="s">
        <v>92</v>
      </c>
      <c r="BS543" s="8" t="s">
        <v>92</v>
      </c>
      <c r="BT543" s="8" t="s">
        <v>92</v>
      </c>
      <c r="BU543" s="8" t="s">
        <v>92</v>
      </c>
      <c r="BV543" s="8" t="s">
        <v>92</v>
      </c>
      <c r="BW543" s="8" t="s">
        <v>92</v>
      </c>
      <c r="BX543" s="8" t="s">
        <v>92</v>
      </c>
      <c r="BY543" s="8" t="s">
        <v>92</v>
      </c>
      <c r="BZ543" s="8" t="s">
        <v>92</v>
      </c>
      <c r="CA543" s="8" t="s">
        <v>92</v>
      </c>
      <c r="CB543" s="20" t="s">
        <v>1195</v>
      </c>
      <c r="CC543" s="17"/>
      <c r="CD543" s="18"/>
      <c r="CE543" s="18"/>
      <c r="CF543" s="18"/>
      <c r="CG543" s="18"/>
      <c r="CH543" s="18"/>
    </row>
    <row r="544">
      <c r="A544" s="8"/>
      <c r="B544" s="9" t="s">
        <v>2412</v>
      </c>
      <c r="C544" s="10" t="s">
        <v>2413</v>
      </c>
      <c r="D544" s="9" t="s">
        <v>1670</v>
      </c>
      <c r="E544" s="11" t="s">
        <v>2445</v>
      </c>
      <c r="F544" s="25"/>
      <c r="G544" s="14" t="s">
        <v>2446</v>
      </c>
      <c r="H544" s="14" t="s">
        <v>90</v>
      </c>
      <c r="I544" s="14" t="s">
        <v>2447</v>
      </c>
      <c r="J544" s="14" t="s">
        <v>92</v>
      </c>
      <c r="K544" s="14" t="s">
        <v>92</v>
      </c>
      <c r="L544" s="14" t="s">
        <v>92</v>
      </c>
      <c r="M544" s="14" t="s">
        <v>93</v>
      </c>
      <c r="N544" s="14" t="s">
        <v>92</v>
      </c>
      <c r="O544" s="14" t="s">
        <v>92</v>
      </c>
      <c r="P544" s="14" t="s">
        <v>92</v>
      </c>
      <c r="Q544" s="14" t="s">
        <v>92</v>
      </c>
      <c r="R544" s="14" t="s">
        <v>93</v>
      </c>
      <c r="S544" s="14" t="s">
        <v>93</v>
      </c>
      <c r="T544" s="14" t="s">
        <v>93</v>
      </c>
      <c r="U544" s="14" t="s">
        <v>93</v>
      </c>
      <c r="V544" s="14" t="s">
        <v>92</v>
      </c>
      <c r="W544" s="14" t="s">
        <v>92</v>
      </c>
      <c r="X544" s="14" t="s">
        <v>93</v>
      </c>
      <c r="Y544" s="14" t="s">
        <v>93</v>
      </c>
      <c r="Z544" s="14" t="s">
        <v>92</v>
      </c>
      <c r="AA544" s="14" t="s">
        <v>92</v>
      </c>
      <c r="AB544" s="8" t="s">
        <v>93</v>
      </c>
      <c r="AC544" s="8" t="s">
        <v>92</v>
      </c>
      <c r="AD544" s="8" t="s">
        <v>92</v>
      </c>
      <c r="AE544" s="14" t="s">
        <v>103</v>
      </c>
      <c r="AF544" s="14" t="s">
        <v>92</v>
      </c>
      <c r="AG544" s="14" t="s">
        <v>95</v>
      </c>
      <c r="AH544" s="8">
        <v>2022.0</v>
      </c>
      <c r="AI544" s="14" t="s">
        <v>92</v>
      </c>
      <c r="AJ544" s="14" t="s">
        <v>92</v>
      </c>
      <c r="AK544" s="14" t="s">
        <v>93</v>
      </c>
      <c r="AL544" s="14" t="s">
        <v>93</v>
      </c>
      <c r="AM544" s="8" t="s">
        <v>95</v>
      </c>
      <c r="AN544" s="14" t="s">
        <v>114</v>
      </c>
      <c r="AO544" s="8" t="s">
        <v>93</v>
      </c>
      <c r="AP544" s="8" t="s">
        <v>92</v>
      </c>
      <c r="AQ544" s="14" t="s">
        <v>92</v>
      </c>
      <c r="AR544" s="14" t="s">
        <v>92</v>
      </c>
      <c r="AS544" s="14" t="s">
        <v>92</v>
      </c>
      <c r="AT544" s="14" t="s">
        <v>92</v>
      </c>
      <c r="AU544" s="14" t="s">
        <v>93</v>
      </c>
      <c r="AV544" s="14" t="s">
        <v>93</v>
      </c>
      <c r="AW544" s="14" t="s">
        <v>93</v>
      </c>
      <c r="AX544" s="14" t="s">
        <v>93</v>
      </c>
      <c r="AY544" s="8" t="s">
        <v>2448</v>
      </c>
      <c r="AZ544" s="8" t="s">
        <v>93</v>
      </c>
      <c r="BA544" s="9" t="s">
        <v>2449</v>
      </c>
      <c r="BB544" s="8" t="s">
        <v>143</v>
      </c>
      <c r="BC544" s="8" t="s">
        <v>92</v>
      </c>
      <c r="BD544" s="14" t="s">
        <v>93</v>
      </c>
      <c r="BE544" s="14" t="s">
        <v>92</v>
      </c>
      <c r="BF544" s="14" t="s">
        <v>92</v>
      </c>
      <c r="BG544" s="14" t="s">
        <v>92</v>
      </c>
      <c r="BH544" s="14" t="s">
        <v>92</v>
      </c>
      <c r="BI544" s="14" t="s">
        <v>93</v>
      </c>
      <c r="BJ544" s="14" t="s">
        <v>92</v>
      </c>
      <c r="BK544" s="14" t="s">
        <v>2450</v>
      </c>
      <c r="BL544" s="14" t="s">
        <v>92</v>
      </c>
      <c r="BM544" s="14" t="s">
        <v>93</v>
      </c>
      <c r="BN544" s="14" t="s">
        <v>92</v>
      </c>
      <c r="BO544" s="14" t="s">
        <v>92</v>
      </c>
      <c r="BP544" s="14" t="s">
        <v>92</v>
      </c>
      <c r="BQ544" s="8" t="s">
        <v>93</v>
      </c>
      <c r="BR544" s="8" t="s">
        <v>93</v>
      </c>
      <c r="BS544" s="8" t="s">
        <v>92</v>
      </c>
      <c r="BT544" s="8" t="s">
        <v>93</v>
      </c>
      <c r="BU544" s="8" t="s">
        <v>92</v>
      </c>
      <c r="BV544" s="8" t="s">
        <v>93</v>
      </c>
      <c r="BW544" s="8" t="s">
        <v>92</v>
      </c>
      <c r="BX544" s="8" t="s">
        <v>92</v>
      </c>
      <c r="BY544" s="8" t="s">
        <v>92</v>
      </c>
      <c r="BZ544" s="8" t="s">
        <v>92</v>
      </c>
      <c r="CA544" s="8" t="s">
        <v>93</v>
      </c>
      <c r="CB544" s="20" t="s">
        <v>1195</v>
      </c>
      <c r="CC544" s="24" t="s">
        <v>2451</v>
      </c>
      <c r="CD544" s="18"/>
      <c r="CE544" s="18"/>
      <c r="CF544" s="18"/>
      <c r="CG544" s="18"/>
      <c r="CH544" s="18"/>
    </row>
    <row r="545">
      <c r="A545" s="8"/>
      <c r="B545" s="9" t="s">
        <v>2412</v>
      </c>
      <c r="C545" s="10" t="s">
        <v>2413</v>
      </c>
      <c r="D545" s="9" t="s">
        <v>1670</v>
      </c>
      <c r="E545" s="11" t="s">
        <v>2452</v>
      </c>
      <c r="F545" s="12"/>
      <c r="G545" s="14" t="s">
        <v>2453</v>
      </c>
      <c r="H545" s="14" t="s">
        <v>90</v>
      </c>
      <c r="I545" s="14" t="s">
        <v>2454</v>
      </c>
      <c r="J545" s="14" t="s">
        <v>92</v>
      </c>
      <c r="K545" s="14" t="s">
        <v>92</v>
      </c>
      <c r="L545" s="14" t="s">
        <v>92</v>
      </c>
      <c r="M545" s="14" t="s">
        <v>93</v>
      </c>
      <c r="N545" s="14" t="s">
        <v>92</v>
      </c>
      <c r="O545" s="14" t="s">
        <v>92</v>
      </c>
      <c r="P545" s="14" t="s">
        <v>92</v>
      </c>
      <c r="Q545" s="14" t="s">
        <v>92</v>
      </c>
      <c r="R545" s="14" t="s">
        <v>92</v>
      </c>
      <c r="S545" s="14" t="s">
        <v>92</v>
      </c>
      <c r="T545" s="14" t="s">
        <v>92</v>
      </c>
      <c r="U545" s="14" t="s">
        <v>93</v>
      </c>
      <c r="V545" s="14" t="s">
        <v>92</v>
      </c>
      <c r="W545" s="14" t="s">
        <v>92</v>
      </c>
      <c r="X545" s="14" t="s">
        <v>92</v>
      </c>
      <c r="Y545" s="14" t="s">
        <v>92</v>
      </c>
      <c r="Z545" s="14" t="s">
        <v>92</v>
      </c>
      <c r="AA545" s="14" t="s">
        <v>92</v>
      </c>
      <c r="AB545" s="8" t="s">
        <v>93</v>
      </c>
      <c r="AC545" s="8" t="s">
        <v>92</v>
      </c>
      <c r="AD545" s="8" t="s">
        <v>92</v>
      </c>
      <c r="AE545" s="14" t="s">
        <v>94</v>
      </c>
      <c r="AF545" s="14" t="s">
        <v>92</v>
      </c>
      <c r="AG545" s="14" t="s">
        <v>95</v>
      </c>
      <c r="AH545" s="8">
        <v>2023.0</v>
      </c>
      <c r="AI545" s="14" t="s">
        <v>92</v>
      </c>
      <c r="AJ545" s="14" t="s">
        <v>92</v>
      </c>
      <c r="AK545" s="14" t="s">
        <v>92</v>
      </c>
      <c r="AL545" s="14" t="s">
        <v>93</v>
      </c>
      <c r="AM545" s="8">
        <v>2023.0</v>
      </c>
      <c r="AN545" s="14" t="s">
        <v>96</v>
      </c>
      <c r="AO545" s="8" t="s">
        <v>92</v>
      </c>
      <c r="AP545" s="8" t="s">
        <v>92</v>
      </c>
      <c r="AQ545" s="14" t="s">
        <v>92</v>
      </c>
      <c r="AR545" s="14" t="s">
        <v>92</v>
      </c>
      <c r="AS545" s="14" t="s">
        <v>92</v>
      </c>
      <c r="AT545" s="14" t="s">
        <v>92</v>
      </c>
      <c r="AU545" s="14" t="s">
        <v>93</v>
      </c>
      <c r="AV545" s="14" t="s">
        <v>93</v>
      </c>
      <c r="AW545" s="14" t="s">
        <v>93</v>
      </c>
      <c r="AX545" s="14" t="s">
        <v>93</v>
      </c>
      <c r="AY545" s="8" t="s">
        <v>95</v>
      </c>
      <c r="AZ545" s="8" t="s">
        <v>95</v>
      </c>
      <c r="BA545" s="9" t="s">
        <v>2455</v>
      </c>
      <c r="BB545" s="8" t="s">
        <v>185</v>
      </c>
      <c r="BC545" s="8" t="s">
        <v>92</v>
      </c>
      <c r="BD545" s="14" t="s">
        <v>92</v>
      </c>
      <c r="BE545" s="14" t="s">
        <v>92</v>
      </c>
      <c r="BF545" s="14" t="s">
        <v>92</v>
      </c>
      <c r="BG545" s="14" t="s">
        <v>92</v>
      </c>
      <c r="BH545" s="14" t="s">
        <v>92</v>
      </c>
      <c r="BI545" s="14" t="s">
        <v>93</v>
      </c>
      <c r="BJ545" s="14" t="s">
        <v>92</v>
      </c>
      <c r="BK545" s="14" t="s">
        <v>546</v>
      </c>
      <c r="BL545" s="14" t="s">
        <v>92</v>
      </c>
      <c r="BM545" s="14" t="s">
        <v>92</v>
      </c>
      <c r="BN545" s="14" t="s">
        <v>93</v>
      </c>
      <c r="BO545" s="14" t="s">
        <v>92</v>
      </c>
      <c r="BP545" s="14" t="s">
        <v>92</v>
      </c>
      <c r="BQ545" s="8" t="s">
        <v>93</v>
      </c>
      <c r="BR545" s="8" t="s">
        <v>92</v>
      </c>
      <c r="BS545" s="8" t="s">
        <v>92</v>
      </c>
      <c r="BT545" s="8" t="s">
        <v>92</v>
      </c>
      <c r="BU545" s="8" t="s">
        <v>92</v>
      </c>
      <c r="BV545" s="8" t="s">
        <v>92</v>
      </c>
      <c r="BW545" s="8" t="s">
        <v>92</v>
      </c>
      <c r="BX545" s="8" t="s">
        <v>92</v>
      </c>
      <c r="BY545" s="8" t="s">
        <v>92</v>
      </c>
      <c r="BZ545" s="8" t="s">
        <v>92</v>
      </c>
      <c r="CA545" s="8" t="s">
        <v>92</v>
      </c>
      <c r="CB545" s="20" t="s">
        <v>2456</v>
      </c>
      <c r="CC545" s="17"/>
      <c r="CD545" s="18"/>
      <c r="CE545" s="18"/>
      <c r="CF545" s="18"/>
      <c r="CG545" s="18"/>
      <c r="CH545" s="18"/>
    </row>
    <row r="546">
      <c r="A546" s="8"/>
      <c r="B546" s="19" t="s">
        <v>2412</v>
      </c>
      <c r="C546" s="10" t="s">
        <v>2413</v>
      </c>
      <c r="D546" s="9" t="s">
        <v>1670</v>
      </c>
      <c r="E546" s="11" t="s">
        <v>2457</v>
      </c>
      <c r="F546" s="25"/>
      <c r="G546" s="14" t="s">
        <v>2458</v>
      </c>
      <c r="H546" s="14" t="s">
        <v>90</v>
      </c>
      <c r="I546" s="14" t="s">
        <v>2459</v>
      </c>
      <c r="J546" s="14" t="s">
        <v>92</v>
      </c>
      <c r="K546" s="14" t="s">
        <v>92</v>
      </c>
      <c r="L546" s="14" t="s">
        <v>92</v>
      </c>
      <c r="M546" s="14" t="s">
        <v>92</v>
      </c>
      <c r="N546" s="14" t="s">
        <v>92</v>
      </c>
      <c r="O546" s="14" t="s">
        <v>92</v>
      </c>
      <c r="P546" s="14" t="s">
        <v>93</v>
      </c>
      <c r="Q546" s="14" t="s">
        <v>92</v>
      </c>
      <c r="R546" s="14" t="s">
        <v>92</v>
      </c>
      <c r="S546" s="14" t="s">
        <v>92</v>
      </c>
      <c r="T546" s="14" t="s">
        <v>93</v>
      </c>
      <c r="U546" s="14" t="s">
        <v>92</v>
      </c>
      <c r="V546" s="14" t="s">
        <v>92</v>
      </c>
      <c r="W546" s="14" t="s">
        <v>92</v>
      </c>
      <c r="X546" s="14" t="s">
        <v>92</v>
      </c>
      <c r="Y546" s="14" t="s">
        <v>93</v>
      </c>
      <c r="Z546" s="14" t="s">
        <v>92</v>
      </c>
      <c r="AA546" s="14" t="s">
        <v>92</v>
      </c>
      <c r="AB546" s="8" t="s">
        <v>93</v>
      </c>
      <c r="AC546" s="8" t="s">
        <v>92</v>
      </c>
      <c r="AD546" s="8" t="s">
        <v>92</v>
      </c>
      <c r="AE546" s="14" t="s">
        <v>94</v>
      </c>
      <c r="AF546" s="14" t="s">
        <v>92</v>
      </c>
      <c r="AG546" s="14" t="s">
        <v>95</v>
      </c>
      <c r="AH546" s="8">
        <v>2023.0</v>
      </c>
      <c r="AI546" s="14" t="s">
        <v>92</v>
      </c>
      <c r="AJ546" s="14" t="s">
        <v>92</v>
      </c>
      <c r="AK546" s="14" t="s">
        <v>92</v>
      </c>
      <c r="AL546" s="14" t="s">
        <v>93</v>
      </c>
      <c r="AM546" s="8">
        <v>2023.0</v>
      </c>
      <c r="AN546" s="14" t="s">
        <v>96</v>
      </c>
      <c r="AO546" s="8" t="s">
        <v>92</v>
      </c>
      <c r="AP546" s="8" t="s">
        <v>93</v>
      </c>
      <c r="AQ546" s="14" t="s">
        <v>92</v>
      </c>
      <c r="AR546" s="14" t="s">
        <v>92</v>
      </c>
      <c r="AS546" s="14" t="s">
        <v>92</v>
      </c>
      <c r="AT546" s="14" t="s">
        <v>92</v>
      </c>
      <c r="AU546" s="14" t="s">
        <v>93</v>
      </c>
      <c r="AV546" s="14" t="s">
        <v>93</v>
      </c>
      <c r="AW546" s="14" t="s">
        <v>93</v>
      </c>
      <c r="AX546" s="14" t="s">
        <v>93</v>
      </c>
      <c r="AY546" s="8" t="s">
        <v>95</v>
      </c>
      <c r="AZ546" s="8" t="s">
        <v>95</v>
      </c>
      <c r="BA546" s="9" t="s">
        <v>2460</v>
      </c>
      <c r="BB546" s="8" t="s">
        <v>185</v>
      </c>
      <c r="BC546" s="8" t="s">
        <v>92</v>
      </c>
      <c r="BD546" s="14" t="s">
        <v>92</v>
      </c>
      <c r="BE546" s="14" t="s">
        <v>92</v>
      </c>
      <c r="BF546" s="14" t="s">
        <v>92</v>
      </c>
      <c r="BG546" s="14" t="s">
        <v>92</v>
      </c>
      <c r="BH546" s="14" t="s">
        <v>92</v>
      </c>
      <c r="BI546" s="14" t="s">
        <v>93</v>
      </c>
      <c r="BJ546" s="14" t="s">
        <v>92</v>
      </c>
      <c r="BK546" s="14" t="s">
        <v>2461</v>
      </c>
      <c r="BL546" s="14" t="s">
        <v>92</v>
      </c>
      <c r="BM546" s="14" t="s">
        <v>92</v>
      </c>
      <c r="BN546" s="14" t="s">
        <v>93</v>
      </c>
      <c r="BO546" s="14" t="s">
        <v>92</v>
      </c>
      <c r="BP546" s="14" t="s">
        <v>92</v>
      </c>
      <c r="BQ546" s="8" t="s">
        <v>92</v>
      </c>
      <c r="BR546" s="8" t="s">
        <v>93</v>
      </c>
      <c r="BS546" s="8" t="s">
        <v>92</v>
      </c>
      <c r="BT546" s="8" t="s">
        <v>92</v>
      </c>
      <c r="BU546" s="8" t="s">
        <v>92</v>
      </c>
      <c r="BV546" s="8" t="s">
        <v>92</v>
      </c>
      <c r="BW546" s="8" t="s">
        <v>92</v>
      </c>
      <c r="BX546" s="8" t="s">
        <v>92</v>
      </c>
      <c r="BY546" s="8" t="s">
        <v>92</v>
      </c>
      <c r="BZ546" s="8" t="s">
        <v>92</v>
      </c>
      <c r="CA546" s="8" t="s">
        <v>92</v>
      </c>
      <c r="CB546" s="20" t="s">
        <v>2462</v>
      </c>
      <c r="CC546" s="17"/>
      <c r="CD546" s="18"/>
      <c r="CE546" s="18"/>
      <c r="CF546" s="18"/>
      <c r="CG546" s="18"/>
      <c r="CH546" s="18"/>
    </row>
    <row r="547">
      <c r="A547" s="8"/>
      <c r="B547" s="9" t="s">
        <v>2412</v>
      </c>
      <c r="C547" s="10" t="s">
        <v>2413</v>
      </c>
      <c r="D547" s="9" t="s">
        <v>1670</v>
      </c>
      <c r="E547" s="11" t="s">
        <v>2463</v>
      </c>
      <c r="F547" s="12"/>
      <c r="G547" s="14" t="s">
        <v>2464</v>
      </c>
      <c r="H547" s="14" t="s">
        <v>90</v>
      </c>
      <c r="I547" s="14" t="s">
        <v>2465</v>
      </c>
      <c r="J547" s="14" t="s">
        <v>92</v>
      </c>
      <c r="K547" s="14" t="s">
        <v>92</v>
      </c>
      <c r="L547" s="14" t="s">
        <v>92</v>
      </c>
      <c r="M547" s="14" t="s">
        <v>93</v>
      </c>
      <c r="N547" s="14" t="s">
        <v>92</v>
      </c>
      <c r="O547" s="14" t="s">
        <v>92</v>
      </c>
      <c r="P547" s="14" t="s">
        <v>93</v>
      </c>
      <c r="Q547" s="14" t="s">
        <v>92</v>
      </c>
      <c r="R547" s="14" t="s">
        <v>92</v>
      </c>
      <c r="S547" s="14" t="s">
        <v>92</v>
      </c>
      <c r="T547" s="14" t="s">
        <v>93</v>
      </c>
      <c r="U547" s="14" t="s">
        <v>92</v>
      </c>
      <c r="V547" s="14" t="s">
        <v>92</v>
      </c>
      <c r="W547" s="14" t="s">
        <v>92</v>
      </c>
      <c r="X547" s="14" t="s">
        <v>92</v>
      </c>
      <c r="Y547" s="14" t="s">
        <v>93</v>
      </c>
      <c r="Z547" s="14" t="s">
        <v>92</v>
      </c>
      <c r="AA547" s="14" t="s">
        <v>92</v>
      </c>
      <c r="AB547" s="8" t="s">
        <v>93</v>
      </c>
      <c r="AC547" s="8" t="s">
        <v>92</v>
      </c>
      <c r="AD547" s="8" t="s">
        <v>92</v>
      </c>
      <c r="AE547" s="14" t="s">
        <v>94</v>
      </c>
      <c r="AF547" s="14" t="s">
        <v>92</v>
      </c>
      <c r="AG547" s="14" t="s">
        <v>95</v>
      </c>
      <c r="AH547" s="8">
        <v>2023.0</v>
      </c>
      <c r="AI547" s="14" t="s">
        <v>92</v>
      </c>
      <c r="AJ547" s="14" t="s">
        <v>92</v>
      </c>
      <c r="AK547" s="14" t="s">
        <v>92</v>
      </c>
      <c r="AL547" s="14" t="s">
        <v>93</v>
      </c>
      <c r="AM547" s="8">
        <v>2023.0</v>
      </c>
      <c r="AN547" s="14" t="s">
        <v>96</v>
      </c>
      <c r="AO547" s="8" t="s">
        <v>92</v>
      </c>
      <c r="AP547" s="8" t="s">
        <v>93</v>
      </c>
      <c r="AQ547" s="14" t="s">
        <v>92</v>
      </c>
      <c r="AR547" s="14" t="s">
        <v>92</v>
      </c>
      <c r="AS547" s="14" t="s">
        <v>92</v>
      </c>
      <c r="AT547" s="14" t="s">
        <v>92</v>
      </c>
      <c r="AU547" s="14" t="s">
        <v>93</v>
      </c>
      <c r="AV547" s="14" t="s">
        <v>93</v>
      </c>
      <c r="AW547" s="14" t="s">
        <v>93</v>
      </c>
      <c r="AX547" s="14" t="s">
        <v>93</v>
      </c>
      <c r="AY547" s="8" t="s">
        <v>95</v>
      </c>
      <c r="AZ547" s="8" t="s">
        <v>95</v>
      </c>
      <c r="BA547" s="9" t="s">
        <v>2412</v>
      </c>
      <c r="BB547" s="8" t="s">
        <v>97</v>
      </c>
      <c r="BC547" s="8" t="s">
        <v>92</v>
      </c>
      <c r="BD547" s="14" t="s">
        <v>92</v>
      </c>
      <c r="BE547" s="14" t="s">
        <v>92</v>
      </c>
      <c r="BF547" s="14" t="s">
        <v>92</v>
      </c>
      <c r="BG547" s="14" t="s">
        <v>92</v>
      </c>
      <c r="BH547" s="14" t="s">
        <v>92</v>
      </c>
      <c r="BI547" s="14" t="s">
        <v>93</v>
      </c>
      <c r="BJ547" s="14" t="s">
        <v>92</v>
      </c>
      <c r="BK547" s="14" t="s">
        <v>367</v>
      </c>
      <c r="BL547" s="14" t="s">
        <v>92</v>
      </c>
      <c r="BM547" s="14" t="s">
        <v>93</v>
      </c>
      <c r="BN547" s="14" t="s">
        <v>92</v>
      </c>
      <c r="BO547" s="14" t="s">
        <v>92</v>
      </c>
      <c r="BP547" s="14" t="s">
        <v>92</v>
      </c>
      <c r="BQ547" s="8" t="s">
        <v>92</v>
      </c>
      <c r="BR547" s="8" t="s">
        <v>93</v>
      </c>
      <c r="BS547" s="8" t="s">
        <v>92</v>
      </c>
      <c r="BT547" s="8" t="s">
        <v>92</v>
      </c>
      <c r="BU547" s="8" t="s">
        <v>92</v>
      </c>
      <c r="BV547" s="8" t="s">
        <v>92</v>
      </c>
      <c r="BW547" s="8" t="s">
        <v>92</v>
      </c>
      <c r="BX547" s="8" t="s">
        <v>92</v>
      </c>
      <c r="BY547" s="8" t="s">
        <v>92</v>
      </c>
      <c r="BZ547" s="8" t="s">
        <v>92</v>
      </c>
      <c r="CA547" s="8" t="s">
        <v>92</v>
      </c>
      <c r="CB547" s="20" t="s">
        <v>2466</v>
      </c>
      <c r="CC547" s="17"/>
      <c r="CD547" s="18"/>
      <c r="CE547" s="18"/>
      <c r="CF547" s="18"/>
      <c r="CG547" s="18"/>
      <c r="CH547" s="18"/>
    </row>
    <row r="548">
      <c r="A548" s="8"/>
      <c r="B548" s="9" t="s">
        <v>2412</v>
      </c>
      <c r="C548" s="10" t="s">
        <v>2413</v>
      </c>
      <c r="D548" s="9" t="s">
        <v>1670</v>
      </c>
      <c r="E548" s="11" t="s">
        <v>2467</v>
      </c>
      <c r="F548" s="12"/>
      <c r="G548" s="14" t="s">
        <v>2468</v>
      </c>
      <c r="H548" s="14" t="s">
        <v>90</v>
      </c>
      <c r="I548" s="14" t="s">
        <v>2469</v>
      </c>
      <c r="J548" s="14" t="s">
        <v>92</v>
      </c>
      <c r="K548" s="14" t="s">
        <v>92</v>
      </c>
      <c r="L548" s="14" t="s">
        <v>92</v>
      </c>
      <c r="M548" s="14" t="s">
        <v>92</v>
      </c>
      <c r="N548" s="14" t="s">
        <v>92</v>
      </c>
      <c r="O548" s="14" t="s">
        <v>92</v>
      </c>
      <c r="P548" s="14" t="s">
        <v>93</v>
      </c>
      <c r="Q548" s="14" t="s">
        <v>92</v>
      </c>
      <c r="R548" s="14" t="s">
        <v>92</v>
      </c>
      <c r="S548" s="14" t="s">
        <v>92</v>
      </c>
      <c r="T548" s="14" t="s">
        <v>93</v>
      </c>
      <c r="U548" s="14" t="s">
        <v>92</v>
      </c>
      <c r="V548" s="14" t="s">
        <v>92</v>
      </c>
      <c r="W548" s="14" t="s">
        <v>92</v>
      </c>
      <c r="X548" s="14" t="s">
        <v>92</v>
      </c>
      <c r="Y548" s="14" t="s">
        <v>93</v>
      </c>
      <c r="Z548" s="14" t="s">
        <v>92</v>
      </c>
      <c r="AA548" s="14" t="s">
        <v>92</v>
      </c>
      <c r="AB548" s="8" t="s">
        <v>93</v>
      </c>
      <c r="AC548" s="8" t="s">
        <v>92</v>
      </c>
      <c r="AD548" s="8" t="s">
        <v>92</v>
      </c>
      <c r="AE548" s="14" t="s">
        <v>94</v>
      </c>
      <c r="AF548" s="14" t="s">
        <v>92</v>
      </c>
      <c r="AG548" s="14" t="s">
        <v>95</v>
      </c>
      <c r="AH548" s="8">
        <v>2023.0</v>
      </c>
      <c r="AI548" s="14" t="s">
        <v>92</v>
      </c>
      <c r="AJ548" s="14" t="s">
        <v>92</v>
      </c>
      <c r="AK548" s="14" t="s">
        <v>92</v>
      </c>
      <c r="AL548" s="14" t="s">
        <v>93</v>
      </c>
      <c r="AM548" s="8">
        <v>2023.0</v>
      </c>
      <c r="AN548" s="14" t="s">
        <v>96</v>
      </c>
      <c r="AO548" s="8" t="s">
        <v>92</v>
      </c>
      <c r="AP548" s="8" t="s">
        <v>93</v>
      </c>
      <c r="AQ548" s="14" t="s">
        <v>92</v>
      </c>
      <c r="AR548" s="14" t="s">
        <v>92</v>
      </c>
      <c r="AS548" s="14" t="s">
        <v>92</v>
      </c>
      <c r="AT548" s="14" t="s">
        <v>92</v>
      </c>
      <c r="AU548" s="14" t="s">
        <v>93</v>
      </c>
      <c r="AV548" s="14" t="s">
        <v>93</v>
      </c>
      <c r="AW548" s="14" t="s">
        <v>93</v>
      </c>
      <c r="AX548" s="14" t="s">
        <v>93</v>
      </c>
      <c r="AY548" s="8" t="s">
        <v>95</v>
      </c>
      <c r="AZ548" s="8" t="s">
        <v>95</v>
      </c>
      <c r="BA548" s="9" t="s">
        <v>2412</v>
      </c>
      <c r="BB548" s="8" t="s">
        <v>97</v>
      </c>
      <c r="BC548" s="8" t="s">
        <v>92</v>
      </c>
      <c r="BD548" s="14" t="s">
        <v>92</v>
      </c>
      <c r="BE548" s="14" t="s">
        <v>92</v>
      </c>
      <c r="BF548" s="14" t="s">
        <v>92</v>
      </c>
      <c r="BG548" s="14" t="s">
        <v>92</v>
      </c>
      <c r="BH548" s="14" t="s">
        <v>92</v>
      </c>
      <c r="BI548" s="14" t="s">
        <v>93</v>
      </c>
      <c r="BJ548" s="14" t="s">
        <v>92</v>
      </c>
      <c r="BK548" s="14" t="s">
        <v>1392</v>
      </c>
      <c r="BL548" s="14" t="s">
        <v>92</v>
      </c>
      <c r="BM548" s="14" t="s">
        <v>93</v>
      </c>
      <c r="BN548" s="14" t="s">
        <v>92</v>
      </c>
      <c r="BO548" s="14" t="s">
        <v>92</v>
      </c>
      <c r="BP548" s="14" t="s">
        <v>92</v>
      </c>
      <c r="BQ548" s="8" t="s">
        <v>93</v>
      </c>
      <c r="BR548" s="8" t="s">
        <v>93</v>
      </c>
      <c r="BS548" s="8" t="s">
        <v>92</v>
      </c>
      <c r="BT548" s="8" t="s">
        <v>92</v>
      </c>
      <c r="BU548" s="8" t="s">
        <v>92</v>
      </c>
      <c r="BV548" s="8" t="s">
        <v>92</v>
      </c>
      <c r="BW548" s="8" t="s">
        <v>92</v>
      </c>
      <c r="BX548" s="8" t="s">
        <v>92</v>
      </c>
      <c r="BY548" s="8" t="s">
        <v>92</v>
      </c>
      <c r="BZ548" s="8" t="s">
        <v>92</v>
      </c>
      <c r="CA548" s="8" t="s">
        <v>92</v>
      </c>
      <c r="CB548" s="20" t="s">
        <v>2470</v>
      </c>
      <c r="CC548" s="17"/>
      <c r="CD548" s="18"/>
      <c r="CE548" s="18"/>
      <c r="CF548" s="18"/>
      <c r="CG548" s="18"/>
      <c r="CH548" s="18"/>
    </row>
    <row r="549">
      <c r="A549" s="8"/>
      <c r="B549" s="43" t="s">
        <v>2412</v>
      </c>
      <c r="C549" s="10" t="s">
        <v>2413</v>
      </c>
      <c r="D549" s="9" t="s">
        <v>1670</v>
      </c>
      <c r="E549" s="11" t="s">
        <v>2471</v>
      </c>
      <c r="F549" s="12"/>
      <c r="G549" s="14" t="s">
        <v>2472</v>
      </c>
      <c r="H549" s="14" t="s">
        <v>90</v>
      </c>
      <c r="I549" s="14" t="s">
        <v>2473</v>
      </c>
      <c r="J549" s="14" t="s">
        <v>92</v>
      </c>
      <c r="K549" s="14" t="s">
        <v>92</v>
      </c>
      <c r="L549" s="14" t="s">
        <v>92</v>
      </c>
      <c r="M549" s="14" t="s">
        <v>92</v>
      </c>
      <c r="N549" s="14" t="s">
        <v>92</v>
      </c>
      <c r="O549" s="14" t="s">
        <v>92</v>
      </c>
      <c r="P549" s="14" t="s">
        <v>92</v>
      </c>
      <c r="Q549" s="14" t="s">
        <v>92</v>
      </c>
      <c r="R549" s="14" t="s">
        <v>92</v>
      </c>
      <c r="S549" s="14" t="s">
        <v>92</v>
      </c>
      <c r="T549" s="14" t="s">
        <v>92</v>
      </c>
      <c r="U549" s="14" t="s">
        <v>93</v>
      </c>
      <c r="V549" s="14" t="s">
        <v>92</v>
      </c>
      <c r="W549" s="14" t="s">
        <v>92</v>
      </c>
      <c r="X549" s="14" t="s">
        <v>92</v>
      </c>
      <c r="Y549" s="14" t="s">
        <v>92</v>
      </c>
      <c r="Z549" s="14" t="s">
        <v>92</v>
      </c>
      <c r="AA549" s="14" t="s">
        <v>92</v>
      </c>
      <c r="AB549" s="8" t="s">
        <v>93</v>
      </c>
      <c r="AC549" s="8" t="s">
        <v>92</v>
      </c>
      <c r="AD549" s="8" t="s">
        <v>92</v>
      </c>
      <c r="AE549" s="14" t="s">
        <v>94</v>
      </c>
      <c r="AF549" s="14" t="s">
        <v>92</v>
      </c>
      <c r="AG549" s="14" t="s">
        <v>95</v>
      </c>
      <c r="AH549" s="8" t="s">
        <v>105</v>
      </c>
      <c r="AI549" s="14" t="s">
        <v>92</v>
      </c>
      <c r="AJ549" s="14" t="s">
        <v>92</v>
      </c>
      <c r="AK549" s="14" t="s">
        <v>92</v>
      </c>
      <c r="AL549" s="14" t="s">
        <v>93</v>
      </c>
      <c r="AM549" s="8" t="s">
        <v>105</v>
      </c>
      <c r="AN549" s="14" t="s">
        <v>105</v>
      </c>
      <c r="AO549" s="8" t="s">
        <v>105</v>
      </c>
      <c r="AP549" s="8" t="s">
        <v>92</v>
      </c>
      <c r="AQ549" s="14" t="s">
        <v>92</v>
      </c>
      <c r="AR549" s="14" t="s">
        <v>92</v>
      </c>
      <c r="AS549" s="14" t="s">
        <v>92</v>
      </c>
      <c r="AT549" s="14" t="s">
        <v>92</v>
      </c>
      <c r="AU549" s="14" t="s">
        <v>93</v>
      </c>
      <c r="AV549" s="14" t="s">
        <v>93</v>
      </c>
      <c r="AW549" s="14" t="s">
        <v>93</v>
      </c>
      <c r="AX549" s="14" t="s">
        <v>93</v>
      </c>
      <c r="AY549" s="8" t="s">
        <v>95</v>
      </c>
      <c r="AZ549" s="8" t="s">
        <v>95</v>
      </c>
      <c r="BA549" s="9" t="s">
        <v>2474</v>
      </c>
      <c r="BB549" s="8" t="s">
        <v>185</v>
      </c>
      <c r="BC549" s="8" t="s">
        <v>92</v>
      </c>
      <c r="BD549" s="14" t="s">
        <v>92</v>
      </c>
      <c r="BE549" s="14" t="s">
        <v>92</v>
      </c>
      <c r="BF549" s="14" t="s">
        <v>92</v>
      </c>
      <c r="BG549" s="14" t="s">
        <v>92</v>
      </c>
      <c r="BH549" s="14" t="s">
        <v>92</v>
      </c>
      <c r="BI549" s="14" t="s">
        <v>93</v>
      </c>
      <c r="BJ549" s="14" t="s">
        <v>92</v>
      </c>
      <c r="BK549" s="14" t="s">
        <v>1199</v>
      </c>
      <c r="BL549" s="14" t="s">
        <v>92</v>
      </c>
      <c r="BM549" s="14" t="s">
        <v>93</v>
      </c>
      <c r="BN549" s="14" t="s">
        <v>92</v>
      </c>
      <c r="BO549" s="14" t="s">
        <v>92</v>
      </c>
      <c r="BP549" s="14" t="s">
        <v>92</v>
      </c>
      <c r="BQ549" s="8" t="s">
        <v>93</v>
      </c>
      <c r="BR549" s="8" t="s">
        <v>92</v>
      </c>
      <c r="BS549" s="8" t="s">
        <v>92</v>
      </c>
      <c r="BT549" s="8" t="s">
        <v>92</v>
      </c>
      <c r="BU549" s="8" t="s">
        <v>92</v>
      </c>
      <c r="BV549" s="8" t="s">
        <v>92</v>
      </c>
      <c r="BW549" s="8" t="s">
        <v>92</v>
      </c>
      <c r="BX549" s="8" t="s">
        <v>92</v>
      </c>
      <c r="BY549" s="8" t="s">
        <v>92</v>
      </c>
      <c r="BZ549" s="8" t="s">
        <v>92</v>
      </c>
      <c r="CA549" s="8" t="s">
        <v>92</v>
      </c>
      <c r="CB549" s="20" t="s">
        <v>2475</v>
      </c>
      <c r="CC549" s="17"/>
      <c r="CD549" s="18"/>
      <c r="CE549" s="18"/>
      <c r="CF549" s="18"/>
      <c r="CG549" s="18"/>
      <c r="CH549" s="18"/>
    </row>
    <row r="550">
      <c r="A550" s="8"/>
      <c r="B550" s="9" t="s">
        <v>2412</v>
      </c>
      <c r="C550" s="10" t="s">
        <v>2413</v>
      </c>
      <c r="D550" s="9" t="s">
        <v>1670</v>
      </c>
      <c r="E550" s="11" t="s">
        <v>2476</v>
      </c>
      <c r="F550" s="12"/>
      <c r="G550" s="14" t="s">
        <v>2477</v>
      </c>
      <c r="H550" s="14" t="s">
        <v>90</v>
      </c>
      <c r="I550" s="14" t="s">
        <v>2478</v>
      </c>
      <c r="J550" s="14" t="s">
        <v>92</v>
      </c>
      <c r="K550" s="14" t="s">
        <v>93</v>
      </c>
      <c r="L550" s="14" t="s">
        <v>92</v>
      </c>
      <c r="M550" s="14" t="s">
        <v>93</v>
      </c>
      <c r="N550" s="14" t="s">
        <v>92</v>
      </c>
      <c r="O550" s="14" t="s">
        <v>92</v>
      </c>
      <c r="P550" s="14" t="s">
        <v>92</v>
      </c>
      <c r="Q550" s="14" t="s">
        <v>93</v>
      </c>
      <c r="R550" s="14" t="s">
        <v>92</v>
      </c>
      <c r="S550" s="14" t="s">
        <v>92</v>
      </c>
      <c r="T550" s="14" t="s">
        <v>93</v>
      </c>
      <c r="U550" s="14" t="s">
        <v>93</v>
      </c>
      <c r="V550" s="14" t="s">
        <v>92</v>
      </c>
      <c r="W550" s="14" t="s">
        <v>92</v>
      </c>
      <c r="X550" s="14" t="s">
        <v>92</v>
      </c>
      <c r="Y550" s="14" t="s">
        <v>93</v>
      </c>
      <c r="Z550" s="14" t="s">
        <v>92</v>
      </c>
      <c r="AA550" s="14" t="s">
        <v>92</v>
      </c>
      <c r="AB550" s="8" t="s">
        <v>93</v>
      </c>
      <c r="AC550" s="8" t="s">
        <v>92</v>
      </c>
      <c r="AD550" s="8" t="s">
        <v>92</v>
      </c>
      <c r="AE550" s="14" t="s">
        <v>94</v>
      </c>
      <c r="AF550" s="14" t="s">
        <v>92</v>
      </c>
      <c r="AG550" s="14" t="s">
        <v>95</v>
      </c>
      <c r="AH550" s="8">
        <v>2021.0</v>
      </c>
      <c r="AI550" s="14" t="s">
        <v>92</v>
      </c>
      <c r="AJ550" s="14" t="s">
        <v>93</v>
      </c>
      <c r="AK550" s="14" t="s">
        <v>93</v>
      </c>
      <c r="AL550" s="14" t="s">
        <v>92</v>
      </c>
      <c r="AM550" s="8" t="s">
        <v>105</v>
      </c>
      <c r="AN550" s="14" t="s">
        <v>105</v>
      </c>
      <c r="AO550" s="8" t="s">
        <v>93</v>
      </c>
      <c r="AP550" s="8" t="s">
        <v>93</v>
      </c>
      <c r="AQ550" s="14" t="s">
        <v>92</v>
      </c>
      <c r="AR550" s="14" t="s">
        <v>92</v>
      </c>
      <c r="AS550" s="14" t="s">
        <v>92</v>
      </c>
      <c r="AT550" s="14" t="s">
        <v>92</v>
      </c>
      <c r="AU550" s="14" t="s">
        <v>93</v>
      </c>
      <c r="AV550" s="14" t="s">
        <v>93</v>
      </c>
      <c r="AW550" s="14" t="s">
        <v>93</v>
      </c>
      <c r="AX550" s="14" t="s">
        <v>93</v>
      </c>
      <c r="AY550" s="8" t="s">
        <v>95</v>
      </c>
      <c r="AZ550" s="8" t="s">
        <v>95</v>
      </c>
      <c r="BA550" s="9" t="s">
        <v>532</v>
      </c>
      <c r="BB550" s="8" t="s">
        <v>533</v>
      </c>
      <c r="BC550" s="8" t="s">
        <v>92</v>
      </c>
      <c r="BD550" s="14" t="s">
        <v>92</v>
      </c>
      <c r="BE550" s="14" t="s">
        <v>92</v>
      </c>
      <c r="BF550" s="14" t="s">
        <v>92</v>
      </c>
      <c r="BG550" s="14" t="s">
        <v>92</v>
      </c>
      <c r="BH550" s="14" t="s">
        <v>92</v>
      </c>
      <c r="BI550" s="14" t="s">
        <v>93</v>
      </c>
      <c r="BJ550" s="14" t="s">
        <v>92</v>
      </c>
      <c r="BK550" s="14" t="s">
        <v>2479</v>
      </c>
      <c r="BL550" s="14" t="s">
        <v>92</v>
      </c>
      <c r="BM550" s="14" t="s">
        <v>93</v>
      </c>
      <c r="BN550" s="14" t="s">
        <v>92</v>
      </c>
      <c r="BO550" s="14" t="s">
        <v>92</v>
      </c>
      <c r="BP550" s="14" t="s">
        <v>92</v>
      </c>
      <c r="BQ550" s="8" t="s">
        <v>93</v>
      </c>
      <c r="BR550" s="8" t="s">
        <v>93</v>
      </c>
      <c r="BS550" s="8" t="s">
        <v>92</v>
      </c>
      <c r="BT550" s="8" t="s">
        <v>92</v>
      </c>
      <c r="BU550" s="8" t="s">
        <v>92</v>
      </c>
      <c r="BV550" s="8" t="s">
        <v>92</v>
      </c>
      <c r="BW550" s="8" t="s">
        <v>92</v>
      </c>
      <c r="BX550" s="8" t="s">
        <v>92</v>
      </c>
      <c r="BY550" s="8" t="s">
        <v>92</v>
      </c>
      <c r="BZ550" s="8" t="s">
        <v>92</v>
      </c>
      <c r="CA550" s="8" t="s">
        <v>92</v>
      </c>
      <c r="CB550" s="20" t="s">
        <v>129</v>
      </c>
      <c r="CC550" s="20" t="s">
        <v>1195</v>
      </c>
      <c r="CD550" s="18"/>
      <c r="CE550" s="18"/>
      <c r="CF550" s="18"/>
      <c r="CG550" s="18"/>
      <c r="CH550" s="18"/>
    </row>
    <row r="551">
      <c r="A551" s="8"/>
      <c r="B551" s="9" t="s">
        <v>2412</v>
      </c>
      <c r="C551" s="10" t="s">
        <v>2413</v>
      </c>
      <c r="D551" s="9" t="s">
        <v>1670</v>
      </c>
      <c r="E551" s="11" t="s">
        <v>2480</v>
      </c>
      <c r="F551" s="12"/>
      <c r="G551" s="14" t="s">
        <v>2481</v>
      </c>
      <c r="H551" s="14" t="s">
        <v>90</v>
      </c>
      <c r="I551" s="14" t="s">
        <v>2482</v>
      </c>
      <c r="J551" s="14" t="s">
        <v>92</v>
      </c>
      <c r="K551" s="14" t="s">
        <v>92</v>
      </c>
      <c r="L551" s="14" t="s">
        <v>92</v>
      </c>
      <c r="M551" s="14" t="s">
        <v>92</v>
      </c>
      <c r="N551" s="14" t="s">
        <v>92</v>
      </c>
      <c r="O551" s="14" t="s">
        <v>92</v>
      </c>
      <c r="P551" s="14" t="s">
        <v>92</v>
      </c>
      <c r="Q551" s="14" t="s">
        <v>92</v>
      </c>
      <c r="R551" s="14" t="s">
        <v>92</v>
      </c>
      <c r="S551" s="14" t="s">
        <v>92</v>
      </c>
      <c r="T551" s="14" t="s">
        <v>92</v>
      </c>
      <c r="U551" s="14" t="s">
        <v>92</v>
      </c>
      <c r="V551" s="14" t="s">
        <v>92</v>
      </c>
      <c r="W551" s="14" t="s">
        <v>92</v>
      </c>
      <c r="X551" s="14" t="s">
        <v>92</v>
      </c>
      <c r="Y551" s="14" t="s">
        <v>92</v>
      </c>
      <c r="Z551" s="14" t="s">
        <v>93</v>
      </c>
      <c r="AA551" s="14" t="s">
        <v>92</v>
      </c>
      <c r="AB551" s="8" t="s">
        <v>92</v>
      </c>
      <c r="AC551" s="8" t="s">
        <v>93</v>
      </c>
      <c r="AD551" s="8" t="s">
        <v>92</v>
      </c>
      <c r="AE551" s="14" t="s">
        <v>112</v>
      </c>
      <c r="AF551" s="14" t="s">
        <v>92</v>
      </c>
      <c r="AG551" s="14" t="s">
        <v>95</v>
      </c>
      <c r="AH551" s="8">
        <v>2022.0</v>
      </c>
      <c r="AI551" s="14" t="s">
        <v>92</v>
      </c>
      <c r="AJ551" s="14" t="s">
        <v>92</v>
      </c>
      <c r="AK551" s="14" t="s">
        <v>93</v>
      </c>
      <c r="AL551" s="14" t="s">
        <v>93</v>
      </c>
      <c r="AM551" s="8" t="s">
        <v>95</v>
      </c>
      <c r="AN551" s="14" t="s">
        <v>114</v>
      </c>
      <c r="AO551" s="8" t="s">
        <v>93</v>
      </c>
      <c r="AP551" s="8" t="s">
        <v>92</v>
      </c>
      <c r="AQ551" s="14" t="s">
        <v>92</v>
      </c>
      <c r="AR551" s="14" t="s">
        <v>92</v>
      </c>
      <c r="AS551" s="14" t="s">
        <v>92</v>
      </c>
      <c r="AT551" s="14" t="s">
        <v>92</v>
      </c>
      <c r="AU551" s="14" t="s">
        <v>93</v>
      </c>
      <c r="AV551" s="14" t="s">
        <v>93</v>
      </c>
      <c r="AW551" s="14" t="s">
        <v>93</v>
      </c>
      <c r="AX551" s="14" t="s">
        <v>93</v>
      </c>
      <c r="AY551" s="8" t="s">
        <v>95</v>
      </c>
      <c r="AZ551" s="8" t="s">
        <v>95</v>
      </c>
      <c r="BA551" s="9" t="s">
        <v>2412</v>
      </c>
      <c r="BB551" s="8" t="s">
        <v>97</v>
      </c>
      <c r="BC551" s="8" t="s">
        <v>92</v>
      </c>
      <c r="BD551" s="14" t="s">
        <v>93</v>
      </c>
      <c r="BE551" s="14" t="s">
        <v>92</v>
      </c>
      <c r="BF551" s="14" t="s">
        <v>92</v>
      </c>
      <c r="BG551" s="14" t="s">
        <v>92</v>
      </c>
      <c r="BH551" s="14" t="s">
        <v>92</v>
      </c>
      <c r="BI551" s="14" t="s">
        <v>92</v>
      </c>
      <c r="BJ551" s="14" t="s">
        <v>92</v>
      </c>
      <c r="BK551" s="14" t="s">
        <v>2483</v>
      </c>
      <c r="BL551" s="14" t="s">
        <v>93</v>
      </c>
      <c r="BM551" s="14" t="s">
        <v>93</v>
      </c>
      <c r="BN551" s="14" t="s">
        <v>92</v>
      </c>
      <c r="BO551" s="14" t="s">
        <v>92</v>
      </c>
      <c r="BP551" s="14" t="s">
        <v>92</v>
      </c>
      <c r="BQ551" s="8" t="s">
        <v>92</v>
      </c>
      <c r="BR551" s="8" t="s">
        <v>92</v>
      </c>
      <c r="BS551" s="8" t="s">
        <v>92</v>
      </c>
      <c r="BT551" s="8" t="s">
        <v>93</v>
      </c>
      <c r="BU551" s="8" t="s">
        <v>92</v>
      </c>
      <c r="BV551" s="8" t="s">
        <v>92</v>
      </c>
      <c r="BW551" s="8" t="s">
        <v>92</v>
      </c>
      <c r="BX551" s="8" t="s">
        <v>92</v>
      </c>
      <c r="BY551" s="8" t="s">
        <v>92</v>
      </c>
      <c r="BZ551" s="8" t="s">
        <v>92</v>
      </c>
      <c r="CA551" s="8" t="s">
        <v>92</v>
      </c>
      <c r="CB551" s="20" t="s">
        <v>1195</v>
      </c>
      <c r="CC551" s="20" t="s">
        <v>2484</v>
      </c>
      <c r="CD551" s="18"/>
      <c r="CE551" s="18"/>
      <c r="CF551" s="18"/>
      <c r="CG551" s="18"/>
      <c r="CH551" s="18"/>
    </row>
    <row r="552">
      <c r="A552" s="8"/>
      <c r="B552" s="9" t="s">
        <v>2412</v>
      </c>
      <c r="C552" s="10" t="s">
        <v>2413</v>
      </c>
      <c r="D552" s="9" t="s">
        <v>1670</v>
      </c>
      <c r="E552" s="11" t="s">
        <v>2485</v>
      </c>
      <c r="F552" s="12"/>
      <c r="G552" s="14" t="s">
        <v>2486</v>
      </c>
      <c r="H552" s="14" t="s">
        <v>90</v>
      </c>
      <c r="I552" s="14" t="s">
        <v>2487</v>
      </c>
      <c r="J552" s="14" t="s">
        <v>92</v>
      </c>
      <c r="K552" s="14" t="s">
        <v>92</v>
      </c>
      <c r="L552" s="14" t="s">
        <v>92</v>
      </c>
      <c r="M552" s="14" t="s">
        <v>92</v>
      </c>
      <c r="N552" s="14" t="s">
        <v>92</v>
      </c>
      <c r="O552" s="14" t="s">
        <v>92</v>
      </c>
      <c r="P552" s="14" t="s">
        <v>92</v>
      </c>
      <c r="Q552" s="14" t="s">
        <v>92</v>
      </c>
      <c r="R552" s="14" t="s">
        <v>92</v>
      </c>
      <c r="S552" s="14" t="s">
        <v>92</v>
      </c>
      <c r="T552" s="14" t="s">
        <v>92</v>
      </c>
      <c r="U552" s="14" t="s">
        <v>92</v>
      </c>
      <c r="V552" s="14" t="s">
        <v>92</v>
      </c>
      <c r="W552" s="14" t="s">
        <v>92</v>
      </c>
      <c r="X552" s="14" t="s">
        <v>93</v>
      </c>
      <c r="Y552" s="14" t="s">
        <v>92</v>
      </c>
      <c r="Z552" s="14" t="s">
        <v>93</v>
      </c>
      <c r="AA552" s="14" t="s">
        <v>92</v>
      </c>
      <c r="AB552" s="8" t="s">
        <v>92</v>
      </c>
      <c r="AC552" s="8" t="s">
        <v>93</v>
      </c>
      <c r="AD552" s="8" t="s">
        <v>92</v>
      </c>
      <c r="AE552" s="14" t="s">
        <v>112</v>
      </c>
      <c r="AF552" s="14" t="s">
        <v>92</v>
      </c>
      <c r="AG552" s="14" t="s">
        <v>95</v>
      </c>
      <c r="AH552" s="8" t="s">
        <v>105</v>
      </c>
      <c r="AI552" s="14" t="s">
        <v>92</v>
      </c>
      <c r="AJ552" s="14" t="s">
        <v>92</v>
      </c>
      <c r="AK552" s="14" t="s">
        <v>93</v>
      </c>
      <c r="AL552" s="14" t="s">
        <v>92</v>
      </c>
      <c r="AM552" s="8" t="s">
        <v>105</v>
      </c>
      <c r="AN552" s="14" t="s">
        <v>105</v>
      </c>
      <c r="AO552" s="8" t="s">
        <v>105</v>
      </c>
      <c r="AP552" s="8" t="s">
        <v>92</v>
      </c>
      <c r="AQ552" s="14" t="s">
        <v>92</v>
      </c>
      <c r="AR552" s="14" t="s">
        <v>92</v>
      </c>
      <c r="AS552" s="14" t="s">
        <v>92</v>
      </c>
      <c r="AT552" s="14" t="s">
        <v>92</v>
      </c>
      <c r="AU552" s="14" t="s">
        <v>93</v>
      </c>
      <c r="AV552" s="14" t="s">
        <v>93</v>
      </c>
      <c r="AW552" s="14" t="s">
        <v>93</v>
      </c>
      <c r="AX552" s="14" t="s">
        <v>93</v>
      </c>
      <c r="AY552" s="8" t="s">
        <v>95</v>
      </c>
      <c r="AZ552" s="8" t="s">
        <v>95</v>
      </c>
      <c r="BA552" s="9" t="s">
        <v>2412</v>
      </c>
      <c r="BB552" s="8" t="s">
        <v>97</v>
      </c>
      <c r="BC552" s="8" t="s">
        <v>92</v>
      </c>
      <c r="BD552" s="14" t="s">
        <v>92</v>
      </c>
      <c r="BE552" s="14" t="s">
        <v>92</v>
      </c>
      <c r="BF552" s="14" t="s">
        <v>92</v>
      </c>
      <c r="BG552" s="14" t="s">
        <v>92</v>
      </c>
      <c r="BH552" s="14" t="s">
        <v>92</v>
      </c>
      <c r="BI552" s="14" t="s">
        <v>92</v>
      </c>
      <c r="BJ552" s="14" t="s">
        <v>92</v>
      </c>
      <c r="BK552" s="14" t="s">
        <v>546</v>
      </c>
      <c r="BL552" s="14" t="s">
        <v>92</v>
      </c>
      <c r="BM552" s="14" t="s">
        <v>92</v>
      </c>
      <c r="BN552" s="14" t="s">
        <v>93</v>
      </c>
      <c r="BO552" s="14" t="s">
        <v>92</v>
      </c>
      <c r="BP552" s="14" t="s">
        <v>92</v>
      </c>
      <c r="BQ552" s="8" t="s">
        <v>92</v>
      </c>
      <c r="BR552" s="8" t="s">
        <v>92</v>
      </c>
      <c r="BS552" s="8" t="s">
        <v>92</v>
      </c>
      <c r="BT552" s="8" t="s">
        <v>93</v>
      </c>
      <c r="BU552" s="8" t="s">
        <v>92</v>
      </c>
      <c r="BV552" s="8" t="s">
        <v>92</v>
      </c>
      <c r="BW552" s="8" t="s">
        <v>92</v>
      </c>
      <c r="BX552" s="8" t="s">
        <v>93</v>
      </c>
      <c r="BY552" s="8" t="s">
        <v>93</v>
      </c>
      <c r="BZ552" s="8" t="s">
        <v>92</v>
      </c>
      <c r="CA552" s="8" t="s">
        <v>92</v>
      </c>
      <c r="CB552" s="20" t="s">
        <v>1195</v>
      </c>
      <c r="CC552" s="17"/>
      <c r="CD552" s="18"/>
      <c r="CE552" s="18"/>
      <c r="CF552" s="18"/>
      <c r="CG552" s="18"/>
      <c r="CH552" s="18"/>
    </row>
    <row r="553">
      <c r="A553" s="8"/>
      <c r="B553" s="9" t="s">
        <v>2488</v>
      </c>
      <c r="C553" s="10" t="s">
        <v>2489</v>
      </c>
      <c r="D553" s="9" t="s">
        <v>2490</v>
      </c>
      <c r="E553" s="11" t="s">
        <v>2491</v>
      </c>
      <c r="F553" s="12"/>
      <c r="G553" s="14" t="s">
        <v>2492</v>
      </c>
      <c r="H553" s="14" t="s">
        <v>90</v>
      </c>
      <c r="I553" s="14" t="s">
        <v>2493</v>
      </c>
      <c r="J553" s="14" t="s">
        <v>92</v>
      </c>
      <c r="K553" s="14" t="s">
        <v>93</v>
      </c>
      <c r="L553" s="14" t="s">
        <v>92</v>
      </c>
      <c r="M553" s="14" t="s">
        <v>92</v>
      </c>
      <c r="N553" s="14" t="s">
        <v>92</v>
      </c>
      <c r="O553" s="14" t="s">
        <v>92</v>
      </c>
      <c r="P553" s="14" t="s">
        <v>92</v>
      </c>
      <c r="Q553" s="14" t="s">
        <v>92</v>
      </c>
      <c r="R553" s="14" t="s">
        <v>92</v>
      </c>
      <c r="S553" s="14" t="s">
        <v>92</v>
      </c>
      <c r="T553" s="14" t="s">
        <v>93</v>
      </c>
      <c r="U553" s="14" t="s">
        <v>92</v>
      </c>
      <c r="V553" s="14" t="s">
        <v>92</v>
      </c>
      <c r="W553" s="14" t="s">
        <v>92</v>
      </c>
      <c r="X553" s="14" t="s">
        <v>92</v>
      </c>
      <c r="Y553" s="14" t="s">
        <v>92</v>
      </c>
      <c r="Z553" s="14" t="s">
        <v>93</v>
      </c>
      <c r="AA553" s="14" t="s">
        <v>92</v>
      </c>
      <c r="AB553" s="8" t="s">
        <v>93</v>
      </c>
      <c r="AC553" s="8" t="s">
        <v>92</v>
      </c>
      <c r="AD553" s="8" t="s">
        <v>92</v>
      </c>
      <c r="AE553" s="14" t="s">
        <v>103</v>
      </c>
      <c r="AF553" s="14" t="s">
        <v>92</v>
      </c>
      <c r="AG553" s="14" t="s">
        <v>95</v>
      </c>
      <c r="AH553" s="8" t="s">
        <v>105</v>
      </c>
      <c r="AI553" s="14" t="s">
        <v>93</v>
      </c>
      <c r="AJ553" s="14" t="s">
        <v>92</v>
      </c>
      <c r="AK553" s="14" t="s">
        <v>92</v>
      </c>
      <c r="AL553" s="14" t="s">
        <v>92</v>
      </c>
      <c r="AM553" s="8" t="s">
        <v>105</v>
      </c>
      <c r="AN553" s="14" t="s">
        <v>105</v>
      </c>
      <c r="AO553" s="8" t="s">
        <v>105</v>
      </c>
      <c r="AP553" s="8" t="s">
        <v>92</v>
      </c>
      <c r="AQ553" s="14" t="s">
        <v>92</v>
      </c>
      <c r="AR553" s="14" t="s">
        <v>92</v>
      </c>
      <c r="AS553" s="14" t="s">
        <v>92</v>
      </c>
      <c r="AT553" s="14" t="s">
        <v>92</v>
      </c>
      <c r="AU553" s="14" t="s">
        <v>92</v>
      </c>
      <c r="AV553" s="14" t="s">
        <v>93</v>
      </c>
      <c r="AW553" s="14" t="s">
        <v>93</v>
      </c>
      <c r="AX553" s="14" t="s">
        <v>93</v>
      </c>
      <c r="AY553" s="8" t="s">
        <v>95</v>
      </c>
      <c r="AZ553" s="8" t="s">
        <v>95</v>
      </c>
      <c r="BA553" s="9" t="s">
        <v>2488</v>
      </c>
      <c r="BB553" s="8" t="s">
        <v>97</v>
      </c>
      <c r="BC553" s="8" t="s">
        <v>92</v>
      </c>
      <c r="BD553" s="14" t="s">
        <v>92</v>
      </c>
      <c r="BE553" s="14" t="s">
        <v>92</v>
      </c>
      <c r="BF553" s="14" t="s">
        <v>92</v>
      </c>
      <c r="BG553" s="14" t="s">
        <v>92</v>
      </c>
      <c r="BH553" s="14" t="s">
        <v>93</v>
      </c>
      <c r="BI553" s="14" t="s">
        <v>93</v>
      </c>
      <c r="BJ553" s="14" t="s">
        <v>92</v>
      </c>
      <c r="BK553" s="14" t="s">
        <v>105</v>
      </c>
      <c r="BL553" s="14" t="s">
        <v>105</v>
      </c>
      <c r="BM553" s="14" t="s">
        <v>105</v>
      </c>
      <c r="BN553" s="14" t="s">
        <v>105</v>
      </c>
      <c r="BO553" s="14" t="s">
        <v>105</v>
      </c>
      <c r="BP553" s="14" t="s">
        <v>105</v>
      </c>
      <c r="BQ553" s="8" t="s">
        <v>92</v>
      </c>
      <c r="BR553" s="8" t="s">
        <v>93</v>
      </c>
      <c r="BS553" s="8" t="s">
        <v>92</v>
      </c>
      <c r="BT553" s="8" t="s">
        <v>92</v>
      </c>
      <c r="BU553" s="8" t="s">
        <v>92</v>
      </c>
      <c r="BV553" s="8" t="s">
        <v>92</v>
      </c>
      <c r="BW553" s="8" t="s">
        <v>92</v>
      </c>
      <c r="BX553" s="8" t="s">
        <v>92</v>
      </c>
      <c r="BY553" s="8" t="s">
        <v>92</v>
      </c>
      <c r="BZ553" s="8" t="s">
        <v>92</v>
      </c>
      <c r="CA553" s="8" t="s">
        <v>92</v>
      </c>
      <c r="CB553" s="20" t="s">
        <v>1189</v>
      </c>
      <c r="CC553" s="17"/>
      <c r="CD553" s="18"/>
      <c r="CE553" s="18"/>
      <c r="CF553" s="18"/>
      <c r="CG553" s="18"/>
      <c r="CH553" s="18"/>
    </row>
    <row r="554">
      <c r="A554" s="8"/>
      <c r="B554" s="9" t="s">
        <v>2494</v>
      </c>
      <c r="C554" s="10" t="s">
        <v>2495</v>
      </c>
      <c r="D554" s="9" t="s">
        <v>2490</v>
      </c>
      <c r="E554" s="11" t="s">
        <v>2496</v>
      </c>
      <c r="F554" s="12"/>
      <c r="G554" s="45" t="s">
        <v>2497</v>
      </c>
      <c r="H554" s="14" t="s">
        <v>110</v>
      </c>
      <c r="I554" s="14" t="s">
        <v>2498</v>
      </c>
      <c r="J554" s="14" t="s">
        <v>92</v>
      </c>
      <c r="K554" s="14" t="s">
        <v>92</v>
      </c>
      <c r="L554" s="14" t="s">
        <v>92</v>
      </c>
      <c r="M554" s="14" t="s">
        <v>92</v>
      </c>
      <c r="N554" s="14" t="s">
        <v>92</v>
      </c>
      <c r="O554" s="14" t="s">
        <v>92</v>
      </c>
      <c r="P554" s="14" t="s">
        <v>92</v>
      </c>
      <c r="Q554" s="14" t="s">
        <v>92</v>
      </c>
      <c r="R554" s="14" t="s">
        <v>92</v>
      </c>
      <c r="S554" s="14" t="s">
        <v>92</v>
      </c>
      <c r="T554" s="14" t="s">
        <v>92</v>
      </c>
      <c r="U554" s="14" t="s">
        <v>93</v>
      </c>
      <c r="V554" s="14" t="s">
        <v>92</v>
      </c>
      <c r="W554" s="14" t="s">
        <v>93</v>
      </c>
      <c r="X554" s="14" t="s">
        <v>92</v>
      </c>
      <c r="Y554" s="14" t="s">
        <v>92</v>
      </c>
      <c r="Z554" s="14" t="s">
        <v>92</v>
      </c>
      <c r="AA554" s="14" t="s">
        <v>92</v>
      </c>
      <c r="AB554" s="8" t="s">
        <v>93</v>
      </c>
      <c r="AC554" s="8" t="s">
        <v>92</v>
      </c>
      <c r="AD554" s="8" t="s">
        <v>92</v>
      </c>
      <c r="AE554" s="14" t="s">
        <v>94</v>
      </c>
      <c r="AF554" s="14" t="s">
        <v>92</v>
      </c>
      <c r="AG554" s="14" t="s">
        <v>95</v>
      </c>
      <c r="AH554" s="8">
        <v>1995.0</v>
      </c>
      <c r="AI554" s="14" t="s">
        <v>93</v>
      </c>
      <c r="AJ554" s="14" t="s">
        <v>92</v>
      </c>
      <c r="AK554" s="14" t="s">
        <v>92</v>
      </c>
      <c r="AL554" s="14" t="s">
        <v>92</v>
      </c>
      <c r="AM554" s="8" t="s">
        <v>95</v>
      </c>
      <c r="AN554" s="14" t="s">
        <v>114</v>
      </c>
      <c r="AO554" s="8" t="s">
        <v>92</v>
      </c>
      <c r="AP554" s="8" t="s">
        <v>92</v>
      </c>
      <c r="AQ554" s="14" t="s">
        <v>92</v>
      </c>
      <c r="AR554" s="14" t="s">
        <v>92</v>
      </c>
      <c r="AS554" s="14" t="s">
        <v>92</v>
      </c>
      <c r="AT554" s="14" t="s">
        <v>92</v>
      </c>
      <c r="AU554" s="14" t="s">
        <v>92</v>
      </c>
      <c r="AV554" s="14" t="s">
        <v>93</v>
      </c>
      <c r="AW554" s="14" t="s">
        <v>93</v>
      </c>
      <c r="AX554" s="14" t="s">
        <v>93</v>
      </c>
      <c r="AY554" s="8" t="s">
        <v>2499</v>
      </c>
      <c r="AZ554" s="8" t="s">
        <v>93</v>
      </c>
      <c r="BA554" s="9" t="s">
        <v>2500</v>
      </c>
      <c r="BB554" s="8" t="s">
        <v>95</v>
      </c>
      <c r="BC554" s="8" t="s">
        <v>93</v>
      </c>
      <c r="BD554" s="14" t="s">
        <v>92</v>
      </c>
      <c r="BE554" s="14" t="s">
        <v>92</v>
      </c>
      <c r="BF554" s="14" t="s">
        <v>92</v>
      </c>
      <c r="BG554" s="14" t="s">
        <v>92</v>
      </c>
      <c r="BH554" s="14" t="s">
        <v>93</v>
      </c>
      <c r="BI554" s="14" t="s">
        <v>93</v>
      </c>
      <c r="BJ554" s="14" t="s">
        <v>92</v>
      </c>
      <c r="BK554" s="14" t="s">
        <v>105</v>
      </c>
      <c r="BL554" s="14" t="s">
        <v>105</v>
      </c>
      <c r="BM554" s="14" t="s">
        <v>105</v>
      </c>
      <c r="BN554" s="14" t="s">
        <v>105</v>
      </c>
      <c r="BO554" s="14" t="s">
        <v>105</v>
      </c>
      <c r="BP554" s="14" t="s">
        <v>105</v>
      </c>
      <c r="BQ554" s="8" t="s">
        <v>93</v>
      </c>
      <c r="BR554" s="8" t="s">
        <v>92</v>
      </c>
      <c r="BS554" s="8" t="s">
        <v>92</v>
      </c>
      <c r="BT554" s="8" t="s">
        <v>92</v>
      </c>
      <c r="BU554" s="8" t="s">
        <v>92</v>
      </c>
      <c r="BV554" s="8" t="s">
        <v>92</v>
      </c>
      <c r="BW554" s="8" t="s">
        <v>93</v>
      </c>
      <c r="BX554" s="8" t="s">
        <v>92</v>
      </c>
      <c r="BY554" s="8" t="s">
        <v>92</v>
      </c>
      <c r="BZ554" s="8" t="s">
        <v>92</v>
      </c>
      <c r="CA554" s="8" t="s">
        <v>92</v>
      </c>
      <c r="CB554" s="20" t="s">
        <v>1189</v>
      </c>
      <c r="CC554" s="20" t="s">
        <v>2501</v>
      </c>
      <c r="CD554" s="18"/>
      <c r="CE554" s="18"/>
      <c r="CF554" s="18"/>
      <c r="CG554" s="18"/>
      <c r="CH554" s="18"/>
    </row>
    <row r="555">
      <c r="A555" s="8"/>
      <c r="B555" s="9" t="s">
        <v>2488</v>
      </c>
      <c r="C555" s="10" t="s">
        <v>2489</v>
      </c>
      <c r="D555" s="9" t="s">
        <v>2490</v>
      </c>
      <c r="E555" s="11" t="s">
        <v>2502</v>
      </c>
      <c r="F555" s="12"/>
      <c r="G555" s="14" t="s">
        <v>2503</v>
      </c>
      <c r="H555" s="14" t="s">
        <v>189</v>
      </c>
      <c r="I555" s="14" t="s">
        <v>2504</v>
      </c>
      <c r="J555" s="14" t="s">
        <v>92</v>
      </c>
      <c r="K555" s="14" t="s">
        <v>92</v>
      </c>
      <c r="L555" s="14" t="s">
        <v>92</v>
      </c>
      <c r="M555" s="14" t="s">
        <v>92</v>
      </c>
      <c r="N555" s="14" t="s">
        <v>92</v>
      </c>
      <c r="O555" s="14" t="s">
        <v>92</v>
      </c>
      <c r="P555" s="14" t="s">
        <v>93</v>
      </c>
      <c r="Q555" s="14" t="s">
        <v>93</v>
      </c>
      <c r="R555" s="14" t="s">
        <v>93</v>
      </c>
      <c r="S555" s="14" t="s">
        <v>92</v>
      </c>
      <c r="T555" s="14" t="s">
        <v>92</v>
      </c>
      <c r="U555" s="14" t="s">
        <v>93</v>
      </c>
      <c r="V555" s="14" t="s">
        <v>92</v>
      </c>
      <c r="W555" s="14" t="s">
        <v>92</v>
      </c>
      <c r="X555" s="14" t="s">
        <v>92</v>
      </c>
      <c r="Y555" s="14" t="s">
        <v>92</v>
      </c>
      <c r="Z555" s="14" t="s">
        <v>92</v>
      </c>
      <c r="AA555" s="14" t="s">
        <v>92</v>
      </c>
      <c r="AB555" s="8" t="s">
        <v>93</v>
      </c>
      <c r="AC555" s="8" t="s">
        <v>92</v>
      </c>
      <c r="AD555" s="8" t="s">
        <v>92</v>
      </c>
      <c r="AE555" s="14" t="s">
        <v>94</v>
      </c>
      <c r="AF555" s="14" t="s">
        <v>92</v>
      </c>
      <c r="AG555" s="14" t="s">
        <v>95</v>
      </c>
      <c r="AH555" s="8">
        <v>2021.0</v>
      </c>
      <c r="AI555" s="14" t="s">
        <v>92</v>
      </c>
      <c r="AJ555" s="14" t="s">
        <v>93</v>
      </c>
      <c r="AK555" s="14" t="s">
        <v>92</v>
      </c>
      <c r="AL555" s="14" t="s">
        <v>92</v>
      </c>
      <c r="AM555" s="8">
        <v>2021.0</v>
      </c>
      <c r="AN555" s="14" t="s">
        <v>96</v>
      </c>
      <c r="AO555" s="8" t="s">
        <v>92</v>
      </c>
      <c r="AP555" s="8" t="s">
        <v>92</v>
      </c>
      <c r="AQ555" s="14" t="s">
        <v>92</v>
      </c>
      <c r="AR555" s="14" t="s">
        <v>92</v>
      </c>
      <c r="AS555" s="14" t="s">
        <v>92</v>
      </c>
      <c r="AT555" s="14" t="s">
        <v>92</v>
      </c>
      <c r="AU555" s="14" t="s">
        <v>92</v>
      </c>
      <c r="AV555" s="14" t="s">
        <v>93</v>
      </c>
      <c r="AW555" s="14" t="s">
        <v>93</v>
      </c>
      <c r="AX555" s="14" t="s">
        <v>93</v>
      </c>
      <c r="AY555" s="8" t="s">
        <v>95</v>
      </c>
      <c r="AZ555" s="8" t="s">
        <v>95</v>
      </c>
      <c r="BA555" s="9" t="s">
        <v>1850</v>
      </c>
      <c r="BB555" s="8" t="s">
        <v>143</v>
      </c>
      <c r="BC555" s="8" t="s">
        <v>92</v>
      </c>
      <c r="BD555" s="14" t="s">
        <v>92</v>
      </c>
      <c r="BE555" s="14" t="s">
        <v>92</v>
      </c>
      <c r="BF555" s="14" t="s">
        <v>92</v>
      </c>
      <c r="BG555" s="14" t="s">
        <v>92</v>
      </c>
      <c r="BH555" s="14" t="s">
        <v>92</v>
      </c>
      <c r="BI555" s="14" t="s">
        <v>93</v>
      </c>
      <c r="BJ555" s="14" t="s">
        <v>92</v>
      </c>
      <c r="BK555" s="14" t="s">
        <v>105</v>
      </c>
      <c r="BL555" s="14" t="s">
        <v>93</v>
      </c>
      <c r="BM555" s="14" t="s">
        <v>93</v>
      </c>
      <c r="BN555" s="14" t="s">
        <v>93</v>
      </c>
      <c r="BO555" s="14" t="s">
        <v>93</v>
      </c>
      <c r="BP555" s="14" t="s">
        <v>93</v>
      </c>
      <c r="BQ555" s="8" t="s">
        <v>93</v>
      </c>
      <c r="BR555" s="8" t="s">
        <v>92</v>
      </c>
      <c r="BS555" s="8" t="s">
        <v>92</v>
      </c>
      <c r="BT555" s="8" t="s">
        <v>92</v>
      </c>
      <c r="BU555" s="8" t="s">
        <v>92</v>
      </c>
      <c r="BV555" s="8" t="s">
        <v>92</v>
      </c>
      <c r="BW555" s="8" t="s">
        <v>92</v>
      </c>
      <c r="BX555" s="8" t="s">
        <v>92</v>
      </c>
      <c r="BY555" s="8" t="s">
        <v>92</v>
      </c>
      <c r="BZ555" s="8" t="s">
        <v>92</v>
      </c>
      <c r="CA555" s="8" t="s">
        <v>92</v>
      </c>
      <c r="CB555" s="20" t="s">
        <v>129</v>
      </c>
      <c r="CC555" s="17"/>
      <c r="CD555" s="18"/>
      <c r="CE555" s="18"/>
      <c r="CF555" s="18"/>
      <c r="CG555" s="18"/>
      <c r="CH555" s="18"/>
    </row>
    <row r="556">
      <c r="A556" s="8"/>
      <c r="B556" s="9" t="s">
        <v>2488</v>
      </c>
      <c r="C556" s="10" t="s">
        <v>2489</v>
      </c>
      <c r="D556" s="9" t="s">
        <v>2490</v>
      </c>
      <c r="E556" s="11" t="s">
        <v>2505</v>
      </c>
      <c r="F556" s="25"/>
      <c r="G556" s="14" t="s">
        <v>2506</v>
      </c>
      <c r="H556" s="14" t="s">
        <v>189</v>
      </c>
      <c r="I556" s="14" t="s">
        <v>2507</v>
      </c>
      <c r="J556" s="14" t="s">
        <v>92</v>
      </c>
      <c r="K556" s="14" t="s">
        <v>92</v>
      </c>
      <c r="L556" s="14" t="s">
        <v>92</v>
      </c>
      <c r="M556" s="14" t="s">
        <v>93</v>
      </c>
      <c r="N556" s="14" t="s">
        <v>92</v>
      </c>
      <c r="O556" s="14" t="s">
        <v>92</v>
      </c>
      <c r="P556" s="14" t="s">
        <v>92</v>
      </c>
      <c r="Q556" s="14" t="s">
        <v>92</v>
      </c>
      <c r="R556" s="14" t="s">
        <v>92</v>
      </c>
      <c r="S556" s="14" t="s">
        <v>92</v>
      </c>
      <c r="T556" s="14" t="s">
        <v>92</v>
      </c>
      <c r="U556" s="14" t="s">
        <v>93</v>
      </c>
      <c r="V556" s="14" t="s">
        <v>92</v>
      </c>
      <c r="W556" s="14" t="s">
        <v>92</v>
      </c>
      <c r="X556" s="14" t="s">
        <v>92</v>
      </c>
      <c r="Y556" s="14" t="s">
        <v>92</v>
      </c>
      <c r="Z556" s="14" t="s">
        <v>92</v>
      </c>
      <c r="AA556" s="14" t="s">
        <v>92</v>
      </c>
      <c r="AB556" s="8" t="s">
        <v>93</v>
      </c>
      <c r="AC556" s="8" t="s">
        <v>92</v>
      </c>
      <c r="AD556" s="8" t="s">
        <v>92</v>
      </c>
      <c r="AE556" s="14" t="s">
        <v>94</v>
      </c>
      <c r="AF556" s="14" t="s">
        <v>92</v>
      </c>
      <c r="AG556" s="14" t="s">
        <v>95</v>
      </c>
      <c r="AH556" s="8">
        <v>2021.0</v>
      </c>
      <c r="AI556" s="14" t="s">
        <v>92</v>
      </c>
      <c r="AJ556" s="14" t="s">
        <v>93</v>
      </c>
      <c r="AK556" s="14" t="s">
        <v>92</v>
      </c>
      <c r="AL556" s="14" t="s">
        <v>92</v>
      </c>
      <c r="AM556" s="8">
        <v>2021.0</v>
      </c>
      <c r="AN556" s="14" t="s">
        <v>96</v>
      </c>
      <c r="AO556" s="8" t="s">
        <v>92</v>
      </c>
      <c r="AP556" s="8" t="s">
        <v>92</v>
      </c>
      <c r="AQ556" s="14" t="s">
        <v>92</v>
      </c>
      <c r="AR556" s="14" t="s">
        <v>92</v>
      </c>
      <c r="AS556" s="14" t="s">
        <v>92</v>
      </c>
      <c r="AT556" s="14" t="s">
        <v>92</v>
      </c>
      <c r="AU556" s="14" t="s">
        <v>92</v>
      </c>
      <c r="AV556" s="14" t="s">
        <v>93</v>
      </c>
      <c r="AW556" s="14" t="s">
        <v>93</v>
      </c>
      <c r="AX556" s="14" t="s">
        <v>93</v>
      </c>
      <c r="AY556" s="8" t="s">
        <v>95</v>
      </c>
      <c r="AZ556" s="8" t="s">
        <v>95</v>
      </c>
      <c r="BA556" s="9" t="s">
        <v>1850</v>
      </c>
      <c r="BB556" s="8" t="s">
        <v>143</v>
      </c>
      <c r="BC556" s="8" t="s">
        <v>92</v>
      </c>
      <c r="BD556" s="14" t="s">
        <v>92</v>
      </c>
      <c r="BE556" s="14" t="s">
        <v>92</v>
      </c>
      <c r="BF556" s="14" t="s">
        <v>92</v>
      </c>
      <c r="BG556" s="14" t="s">
        <v>92</v>
      </c>
      <c r="BH556" s="14" t="s">
        <v>92</v>
      </c>
      <c r="BI556" s="14" t="s">
        <v>93</v>
      </c>
      <c r="BJ556" s="14" t="s">
        <v>92</v>
      </c>
      <c r="BK556" s="14" t="s">
        <v>2508</v>
      </c>
      <c r="BL556" s="14" t="s">
        <v>92</v>
      </c>
      <c r="BM556" s="14" t="s">
        <v>93</v>
      </c>
      <c r="BN556" s="14" t="s">
        <v>92</v>
      </c>
      <c r="BO556" s="14" t="s">
        <v>92</v>
      </c>
      <c r="BP556" s="14" t="s">
        <v>92</v>
      </c>
      <c r="BQ556" s="8" t="s">
        <v>93</v>
      </c>
      <c r="BR556" s="8" t="s">
        <v>92</v>
      </c>
      <c r="BS556" s="8" t="s">
        <v>92</v>
      </c>
      <c r="BT556" s="8" t="s">
        <v>92</v>
      </c>
      <c r="BU556" s="8" t="s">
        <v>92</v>
      </c>
      <c r="BV556" s="8" t="s">
        <v>92</v>
      </c>
      <c r="BW556" s="8" t="s">
        <v>92</v>
      </c>
      <c r="BX556" s="8" t="s">
        <v>92</v>
      </c>
      <c r="BY556" s="8" t="s">
        <v>92</v>
      </c>
      <c r="BZ556" s="8" t="s">
        <v>92</v>
      </c>
      <c r="CA556" s="8" t="s">
        <v>92</v>
      </c>
      <c r="CB556" s="20" t="s">
        <v>129</v>
      </c>
      <c r="CC556" s="24" t="s">
        <v>2509</v>
      </c>
      <c r="CD556" s="18"/>
      <c r="CE556" s="18"/>
      <c r="CF556" s="18"/>
      <c r="CG556" s="18"/>
      <c r="CH556" s="18"/>
    </row>
    <row r="557">
      <c r="A557" s="8"/>
      <c r="B557" s="9" t="s">
        <v>2488</v>
      </c>
      <c r="C557" s="10" t="s">
        <v>2489</v>
      </c>
      <c r="D557" s="9" t="s">
        <v>2490</v>
      </c>
      <c r="E557" s="11" t="s">
        <v>2510</v>
      </c>
      <c r="F557" s="12"/>
      <c r="G557" s="14" t="s">
        <v>2511</v>
      </c>
      <c r="H557" s="14" t="s">
        <v>189</v>
      </c>
      <c r="I557" s="14" t="s">
        <v>2512</v>
      </c>
      <c r="J557" s="14" t="s">
        <v>92</v>
      </c>
      <c r="K557" s="14" t="s">
        <v>92</v>
      </c>
      <c r="L557" s="14" t="s">
        <v>92</v>
      </c>
      <c r="M557" s="14" t="s">
        <v>92</v>
      </c>
      <c r="N557" s="14" t="s">
        <v>92</v>
      </c>
      <c r="O557" s="14" t="s">
        <v>92</v>
      </c>
      <c r="P557" s="14" t="s">
        <v>92</v>
      </c>
      <c r="Q557" s="14" t="s">
        <v>93</v>
      </c>
      <c r="R557" s="14" t="s">
        <v>92</v>
      </c>
      <c r="S557" s="14" t="s">
        <v>92</v>
      </c>
      <c r="T557" s="14" t="s">
        <v>92</v>
      </c>
      <c r="U557" s="14" t="s">
        <v>93</v>
      </c>
      <c r="V557" s="14" t="s">
        <v>92</v>
      </c>
      <c r="W557" s="14" t="s">
        <v>92</v>
      </c>
      <c r="X557" s="14" t="s">
        <v>92</v>
      </c>
      <c r="Y557" s="14" t="s">
        <v>92</v>
      </c>
      <c r="Z557" s="14" t="s">
        <v>92</v>
      </c>
      <c r="AA557" s="14" t="s">
        <v>92</v>
      </c>
      <c r="AB557" s="8" t="s">
        <v>93</v>
      </c>
      <c r="AC557" s="8" t="s">
        <v>92</v>
      </c>
      <c r="AD557" s="8" t="s">
        <v>92</v>
      </c>
      <c r="AE557" s="14" t="s">
        <v>94</v>
      </c>
      <c r="AF557" s="14" t="s">
        <v>92</v>
      </c>
      <c r="AG557" s="14" t="s">
        <v>95</v>
      </c>
      <c r="AH557" s="8">
        <v>2021.0</v>
      </c>
      <c r="AI557" s="14" t="s">
        <v>92</v>
      </c>
      <c r="AJ557" s="14" t="s">
        <v>93</v>
      </c>
      <c r="AK557" s="14" t="s">
        <v>92</v>
      </c>
      <c r="AL557" s="14" t="s">
        <v>92</v>
      </c>
      <c r="AM557" s="8">
        <v>2021.0</v>
      </c>
      <c r="AN557" s="14" t="s">
        <v>96</v>
      </c>
      <c r="AO557" s="8" t="s">
        <v>92</v>
      </c>
      <c r="AP557" s="8" t="s">
        <v>92</v>
      </c>
      <c r="AQ557" s="14" t="s">
        <v>92</v>
      </c>
      <c r="AR557" s="14" t="s">
        <v>92</v>
      </c>
      <c r="AS557" s="14" t="s">
        <v>92</v>
      </c>
      <c r="AT557" s="14" t="s">
        <v>92</v>
      </c>
      <c r="AU557" s="14" t="s">
        <v>92</v>
      </c>
      <c r="AV557" s="14" t="s">
        <v>93</v>
      </c>
      <c r="AW557" s="14" t="s">
        <v>93</v>
      </c>
      <c r="AX557" s="14" t="s">
        <v>93</v>
      </c>
      <c r="AY557" s="8" t="s">
        <v>95</v>
      </c>
      <c r="AZ557" s="8" t="s">
        <v>95</v>
      </c>
      <c r="BA557" s="9" t="s">
        <v>2513</v>
      </c>
      <c r="BB557" s="8" t="s">
        <v>105</v>
      </c>
      <c r="BC557" s="8" t="s">
        <v>92</v>
      </c>
      <c r="BD557" s="14" t="s">
        <v>92</v>
      </c>
      <c r="BE557" s="14" t="s">
        <v>92</v>
      </c>
      <c r="BF557" s="14" t="s">
        <v>92</v>
      </c>
      <c r="BG557" s="14" t="s">
        <v>92</v>
      </c>
      <c r="BH557" s="14" t="s">
        <v>92</v>
      </c>
      <c r="BI557" s="14" t="s">
        <v>93</v>
      </c>
      <c r="BJ557" s="14" t="s">
        <v>92</v>
      </c>
      <c r="BK557" s="14" t="s">
        <v>105</v>
      </c>
      <c r="BL557" s="14" t="s">
        <v>105</v>
      </c>
      <c r="BM557" s="14" t="s">
        <v>105</v>
      </c>
      <c r="BN557" s="14" t="s">
        <v>105</v>
      </c>
      <c r="BO557" s="14" t="s">
        <v>105</v>
      </c>
      <c r="BP557" s="14" t="s">
        <v>105</v>
      </c>
      <c r="BQ557" s="8" t="s">
        <v>93</v>
      </c>
      <c r="BR557" s="8" t="s">
        <v>92</v>
      </c>
      <c r="BS557" s="8" t="s">
        <v>92</v>
      </c>
      <c r="BT557" s="8" t="s">
        <v>92</v>
      </c>
      <c r="BU557" s="8" t="s">
        <v>92</v>
      </c>
      <c r="BV557" s="8" t="s">
        <v>92</v>
      </c>
      <c r="BW557" s="8" t="s">
        <v>92</v>
      </c>
      <c r="BX557" s="8" t="s">
        <v>92</v>
      </c>
      <c r="BY557" s="8" t="s">
        <v>92</v>
      </c>
      <c r="BZ557" s="8" t="s">
        <v>92</v>
      </c>
      <c r="CA557" s="8" t="s">
        <v>92</v>
      </c>
      <c r="CB557" s="20" t="s">
        <v>129</v>
      </c>
      <c r="CC557" s="17"/>
      <c r="CD557" s="18"/>
      <c r="CE557" s="18"/>
      <c r="CF557" s="18"/>
      <c r="CG557" s="18"/>
      <c r="CH557" s="18"/>
    </row>
    <row r="558">
      <c r="A558" s="8"/>
      <c r="B558" s="9" t="s">
        <v>2488</v>
      </c>
      <c r="C558" s="10" t="s">
        <v>2489</v>
      </c>
      <c r="D558" s="9" t="s">
        <v>2490</v>
      </c>
      <c r="E558" s="11" t="s">
        <v>2514</v>
      </c>
      <c r="F558" s="12"/>
      <c r="G558" s="14" t="s">
        <v>2515</v>
      </c>
      <c r="H558" s="14" t="s">
        <v>189</v>
      </c>
      <c r="I558" s="14" t="s">
        <v>2516</v>
      </c>
      <c r="J558" s="14" t="s">
        <v>92</v>
      </c>
      <c r="K558" s="14" t="s">
        <v>93</v>
      </c>
      <c r="L558" s="14" t="s">
        <v>92</v>
      </c>
      <c r="M558" s="14" t="s">
        <v>92</v>
      </c>
      <c r="N558" s="14" t="s">
        <v>92</v>
      </c>
      <c r="O558" s="14" t="s">
        <v>92</v>
      </c>
      <c r="P558" s="14" t="s">
        <v>92</v>
      </c>
      <c r="Q558" s="14" t="s">
        <v>92</v>
      </c>
      <c r="R558" s="14" t="s">
        <v>92</v>
      </c>
      <c r="S558" s="14" t="s">
        <v>92</v>
      </c>
      <c r="T558" s="14" t="s">
        <v>92</v>
      </c>
      <c r="U558" s="14" t="s">
        <v>93</v>
      </c>
      <c r="V558" s="14" t="s">
        <v>92</v>
      </c>
      <c r="W558" s="14" t="s">
        <v>92</v>
      </c>
      <c r="X558" s="14" t="s">
        <v>92</v>
      </c>
      <c r="Y558" s="14" t="s">
        <v>92</v>
      </c>
      <c r="Z558" s="14" t="s">
        <v>92</v>
      </c>
      <c r="AA558" s="14" t="s">
        <v>92</v>
      </c>
      <c r="AB558" s="8" t="s">
        <v>93</v>
      </c>
      <c r="AC558" s="8" t="s">
        <v>92</v>
      </c>
      <c r="AD558" s="8" t="s">
        <v>92</v>
      </c>
      <c r="AE558" s="14" t="s">
        <v>94</v>
      </c>
      <c r="AF558" s="14" t="s">
        <v>92</v>
      </c>
      <c r="AG558" s="14" t="s">
        <v>95</v>
      </c>
      <c r="AH558" s="8" t="s">
        <v>105</v>
      </c>
      <c r="AI558" s="14" t="s">
        <v>92</v>
      </c>
      <c r="AJ558" s="14" t="s">
        <v>93</v>
      </c>
      <c r="AK558" s="14" t="s">
        <v>92</v>
      </c>
      <c r="AL558" s="14" t="s">
        <v>92</v>
      </c>
      <c r="AM558" s="8" t="s">
        <v>105</v>
      </c>
      <c r="AN558" s="14" t="s">
        <v>105</v>
      </c>
      <c r="AO558" s="8" t="s">
        <v>105</v>
      </c>
      <c r="AP558" s="8" t="s">
        <v>92</v>
      </c>
      <c r="AQ558" s="14" t="s">
        <v>92</v>
      </c>
      <c r="AR558" s="14" t="s">
        <v>92</v>
      </c>
      <c r="AS558" s="14" t="s">
        <v>92</v>
      </c>
      <c r="AT558" s="14" t="s">
        <v>92</v>
      </c>
      <c r="AU558" s="14" t="s">
        <v>92</v>
      </c>
      <c r="AV558" s="14" t="s">
        <v>93</v>
      </c>
      <c r="AW558" s="14" t="s">
        <v>93</v>
      </c>
      <c r="AX558" s="14" t="s">
        <v>93</v>
      </c>
      <c r="AY558" s="8" t="s">
        <v>95</v>
      </c>
      <c r="AZ558" s="8" t="s">
        <v>95</v>
      </c>
      <c r="BA558" s="9" t="s">
        <v>2488</v>
      </c>
      <c r="BB558" s="8" t="s">
        <v>97</v>
      </c>
      <c r="BC558" s="8" t="s">
        <v>92</v>
      </c>
      <c r="BD558" s="14" t="s">
        <v>92</v>
      </c>
      <c r="BE558" s="14" t="s">
        <v>92</v>
      </c>
      <c r="BF558" s="14" t="s">
        <v>92</v>
      </c>
      <c r="BG558" s="14" t="s">
        <v>92</v>
      </c>
      <c r="BH558" s="14" t="s">
        <v>92</v>
      </c>
      <c r="BI558" s="14" t="s">
        <v>93</v>
      </c>
      <c r="BJ558" s="14" t="s">
        <v>92</v>
      </c>
      <c r="BK558" s="14" t="s">
        <v>105</v>
      </c>
      <c r="BL558" s="14" t="s">
        <v>105</v>
      </c>
      <c r="BM558" s="14" t="s">
        <v>105</v>
      </c>
      <c r="BN558" s="14" t="s">
        <v>105</v>
      </c>
      <c r="BO558" s="14" t="s">
        <v>105</v>
      </c>
      <c r="BP558" s="14" t="s">
        <v>105</v>
      </c>
      <c r="BQ558" s="8" t="s">
        <v>93</v>
      </c>
      <c r="BR558" s="8" t="s">
        <v>92</v>
      </c>
      <c r="BS558" s="8" t="s">
        <v>92</v>
      </c>
      <c r="BT558" s="8" t="s">
        <v>92</v>
      </c>
      <c r="BU558" s="8" t="s">
        <v>92</v>
      </c>
      <c r="BV558" s="8" t="s">
        <v>92</v>
      </c>
      <c r="BW558" s="8" t="s">
        <v>92</v>
      </c>
      <c r="BX558" s="8" t="s">
        <v>92</v>
      </c>
      <c r="BY558" s="8" t="s">
        <v>92</v>
      </c>
      <c r="BZ558" s="8" t="s">
        <v>92</v>
      </c>
      <c r="CA558" s="8" t="s">
        <v>92</v>
      </c>
      <c r="CB558" s="20" t="s">
        <v>129</v>
      </c>
      <c r="CC558" s="17"/>
      <c r="CD558" s="18"/>
      <c r="CE558" s="18"/>
      <c r="CF558" s="18"/>
      <c r="CG558" s="18"/>
      <c r="CH558" s="18"/>
    </row>
    <row r="559">
      <c r="A559" s="8"/>
      <c r="B559" s="9" t="s">
        <v>2488</v>
      </c>
      <c r="C559" s="10" t="s">
        <v>2489</v>
      </c>
      <c r="D559" s="9" t="s">
        <v>2490</v>
      </c>
      <c r="E559" s="11" t="s">
        <v>2517</v>
      </c>
      <c r="F559" s="12"/>
      <c r="G559" s="14" t="s">
        <v>2518</v>
      </c>
      <c r="H559" s="14" t="s">
        <v>189</v>
      </c>
      <c r="I559" s="14" t="s">
        <v>2516</v>
      </c>
      <c r="J559" s="14" t="s">
        <v>92</v>
      </c>
      <c r="K559" s="14" t="s">
        <v>93</v>
      </c>
      <c r="L559" s="14" t="s">
        <v>92</v>
      </c>
      <c r="M559" s="14" t="s">
        <v>92</v>
      </c>
      <c r="N559" s="14" t="s">
        <v>92</v>
      </c>
      <c r="O559" s="14" t="s">
        <v>92</v>
      </c>
      <c r="P559" s="14" t="s">
        <v>92</v>
      </c>
      <c r="Q559" s="14" t="s">
        <v>92</v>
      </c>
      <c r="R559" s="14" t="s">
        <v>92</v>
      </c>
      <c r="S559" s="14" t="s">
        <v>92</v>
      </c>
      <c r="T559" s="14" t="s">
        <v>92</v>
      </c>
      <c r="U559" s="14" t="s">
        <v>93</v>
      </c>
      <c r="V559" s="14" t="s">
        <v>92</v>
      </c>
      <c r="W559" s="14" t="s">
        <v>92</v>
      </c>
      <c r="X559" s="14" t="s">
        <v>92</v>
      </c>
      <c r="Y559" s="14" t="s">
        <v>92</v>
      </c>
      <c r="Z559" s="14" t="s">
        <v>92</v>
      </c>
      <c r="AA559" s="14" t="s">
        <v>92</v>
      </c>
      <c r="AB559" s="8" t="s">
        <v>93</v>
      </c>
      <c r="AC559" s="8" t="s">
        <v>92</v>
      </c>
      <c r="AD559" s="8" t="s">
        <v>92</v>
      </c>
      <c r="AE559" s="14" t="s">
        <v>94</v>
      </c>
      <c r="AF559" s="14" t="s">
        <v>92</v>
      </c>
      <c r="AG559" s="14" t="s">
        <v>95</v>
      </c>
      <c r="AH559" s="8" t="s">
        <v>105</v>
      </c>
      <c r="AI559" s="14" t="s">
        <v>92</v>
      </c>
      <c r="AJ559" s="14" t="s">
        <v>93</v>
      </c>
      <c r="AK559" s="14" t="s">
        <v>92</v>
      </c>
      <c r="AL559" s="14" t="s">
        <v>92</v>
      </c>
      <c r="AM559" s="8" t="s">
        <v>105</v>
      </c>
      <c r="AN559" s="14" t="s">
        <v>105</v>
      </c>
      <c r="AO559" s="8" t="s">
        <v>105</v>
      </c>
      <c r="AP559" s="8" t="s">
        <v>92</v>
      </c>
      <c r="AQ559" s="14" t="s">
        <v>92</v>
      </c>
      <c r="AR559" s="14" t="s">
        <v>92</v>
      </c>
      <c r="AS559" s="14" t="s">
        <v>92</v>
      </c>
      <c r="AT559" s="14" t="s">
        <v>92</v>
      </c>
      <c r="AU559" s="14" t="s">
        <v>92</v>
      </c>
      <c r="AV559" s="14" t="s">
        <v>93</v>
      </c>
      <c r="AW559" s="14" t="s">
        <v>93</v>
      </c>
      <c r="AX559" s="14" t="s">
        <v>93</v>
      </c>
      <c r="AY559" s="8" t="s">
        <v>95</v>
      </c>
      <c r="AZ559" s="8" t="s">
        <v>95</v>
      </c>
      <c r="BA559" s="9" t="s">
        <v>2488</v>
      </c>
      <c r="BB559" s="8" t="s">
        <v>97</v>
      </c>
      <c r="BC559" s="8" t="s">
        <v>92</v>
      </c>
      <c r="BD559" s="14" t="s">
        <v>92</v>
      </c>
      <c r="BE559" s="14" t="s">
        <v>92</v>
      </c>
      <c r="BF559" s="14" t="s">
        <v>92</v>
      </c>
      <c r="BG559" s="14" t="s">
        <v>92</v>
      </c>
      <c r="BH559" s="14" t="s">
        <v>92</v>
      </c>
      <c r="BI559" s="14" t="s">
        <v>93</v>
      </c>
      <c r="BJ559" s="14" t="s">
        <v>92</v>
      </c>
      <c r="BK559" s="14" t="s">
        <v>105</v>
      </c>
      <c r="BL559" s="14" t="s">
        <v>105</v>
      </c>
      <c r="BM559" s="14" t="s">
        <v>105</v>
      </c>
      <c r="BN559" s="14" t="s">
        <v>105</v>
      </c>
      <c r="BO559" s="14" t="s">
        <v>105</v>
      </c>
      <c r="BP559" s="14" t="s">
        <v>105</v>
      </c>
      <c r="BQ559" s="8" t="s">
        <v>93</v>
      </c>
      <c r="BR559" s="8" t="s">
        <v>92</v>
      </c>
      <c r="BS559" s="8" t="s">
        <v>92</v>
      </c>
      <c r="BT559" s="8" t="s">
        <v>92</v>
      </c>
      <c r="BU559" s="8" t="s">
        <v>92</v>
      </c>
      <c r="BV559" s="8" t="s">
        <v>92</v>
      </c>
      <c r="BW559" s="8" t="s">
        <v>92</v>
      </c>
      <c r="BX559" s="8" t="s">
        <v>92</v>
      </c>
      <c r="BY559" s="8" t="s">
        <v>92</v>
      </c>
      <c r="BZ559" s="8" t="s">
        <v>92</v>
      </c>
      <c r="CA559" s="8" t="s">
        <v>92</v>
      </c>
      <c r="CB559" s="20" t="s">
        <v>129</v>
      </c>
      <c r="CC559" s="17"/>
      <c r="CD559" s="18"/>
      <c r="CE559" s="18"/>
      <c r="CF559" s="18"/>
      <c r="CG559" s="18"/>
      <c r="CH559" s="18"/>
    </row>
    <row r="560">
      <c r="A560" s="8"/>
      <c r="B560" s="9" t="s">
        <v>2488</v>
      </c>
      <c r="C560" s="10" t="s">
        <v>2489</v>
      </c>
      <c r="D560" s="9" t="s">
        <v>2490</v>
      </c>
      <c r="E560" s="11" t="s">
        <v>2519</v>
      </c>
      <c r="F560" s="12"/>
      <c r="G560" s="14" t="s">
        <v>2520</v>
      </c>
      <c r="H560" s="14" t="s">
        <v>90</v>
      </c>
      <c r="I560" s="14" t="s">
        <v>2521</v>
      </c>
      <c r="J560" s="14" t="s">
        <v>92</v>
      </c>
      <c r="K560" s="14" t="s">
        <v>92</v>
      </c>
      <c r="L560" s="14" t="s">
        <v>92</v>
      </c>
      <c r="M560" s="14" t="s">
        <v>92</v>
      </c>
      <c r="N560" s="14" t="s">
        <v>92</v>
      </c>
      <c r="O560" s="14" t="s">
        <v>92</v>
      </c>
      <c r="P560" s="14" t="s">
        <v>93</v>
      </c>
      <c r="Q560" s="14" t="s">
        <v>93</v>
      </c>
      <c r="R560" s="14" t="s">
        <v>92</v>
      </c>
      <c r="S560" s="14" t="s">
        <v>92</v>
      </c>
      <c r="T560" s="14" t="s">
        <v>92</v>
      </c>
      <c r="U560" s="14" t="s">
        <v>93</v>
      </c>
      <c r="V560" s="14" t="s">
        <v>92</v>
      </c>
      <c r="W560" s="14" t="s">
        <v>92</v>
      </c>
      <c r="X560" s="14" t="s">
        <v>92</v>
      </c>
      <c r="Y560" s="14" t="s">
        <v>92</v>
      </c>
      <c r="Z560" s="14" t="s">
        <v>92</v>
      </c>
      <c r="AA560" s="14" t="s">
        <v>92</v>
      </c>
      <c r="AB560" s="8" t="s">
        <v>93</v>
      </c>
      <c r="AC560" s="8" t="s">
        <v>92</v>
      </c>
      <c r="AD560" s="8" t="s">
        <v>92</v>
      </c>
      <c r="AE560" s="14" t="s">
        <v>94</v>
      </c>
      <c r="AF560" s="14" t="s">
        <v>92</v>
      </c>
      <c r="AG560" s="14" t="s">
        <v>95</v>
      </c>
      <c r="AH560" s="8">
        <v>2021.0</v>
      </c>
      <c r="AI560" s="14" t="s">
        <v>92</v>
      </c>
      <c r="AJ560" s="14" t="s">
        <v>93</v>
      </c>
      <c r="AK560" s="14" t="s">
        <v>92</v>
      </c>
      <c r="AL560" s="14" t="s">
        <v>92</v>
      </c>
      <c r="AM560" s="8">
        <v>2021.0</v>
      </c>
      <c r="AN560" s="14" t="s">
        <v>96</v>
      </c>
      <c r="AO560" s="8" t="s">
        <v>92</v>
      </c>
      <c r="AP560" s="8" t="s">
        <v>93</v>
      </c>
      <c r="AQ560" s="14" t="s">
        <v>92</v>
      </c>
      <c r="AR560" s="14" t="s">
        <v>92</v>
      </c>
      <c r="AS560" s="14" t="s">
        <v>92</v>
      </c>
      <c r="AT560" s="14" t="s">
        <v>92</v>
      </c>
      <c r="AU560" s="14" t="s">
        <v>92</v>
      </c>
      <c r="AV560" s="14" t="s">
        <v>93</v>
      </c>
      <c r="AW560" s="14" t="s">
        <v>93</v>
      </c>
      <c r="AX560" s="14" t="s">
        <v>93</v>
      </c>
      <c r="AY560" s="8" t="s">
        <v>95</v>
      </c>
      <c r="AZ560" s="8" t="s">
        <v>95</v>
      </c>
      <c r="BA560" s="9" t="s">
        <v>2522</v>
      </c>
      <c r="BB560" s="8" t="s">
        <v>143</v>
      </c>
      <c r="BC560" s="8" t="s">
        <v>92</v>
      </c>
      <c r="BD560" s="14" t="s">
        <v>92</v>
      </c>
      <c r="BE560" s="14" t="s">
        <v>92</v>
      </c>
      <c r="BF560" s="14" t="s">
        <v>92</v>
      </c>
      <c r="BG560" s="14" t="s">
        <v>92</v>
      </c>
      <c r="BH560" s="14" t="s">
        <v>92</v>
      </c>
      <c r="BI560" s="14" t="s">
        <v>93</v>
      </c>
      <c r="BJ560" s="14" t="s">
        <v>92</v>
      </c>
      <c r="BK560" s="14" t="s">
        <v>105</v>
      </c>
      <c r="BL560" s="14" t="s">
        <v>105</v>
      </c>
      <c r="BM560" s="14" t="s">
        <v>105</v>
      </c>
      <c r="BN560" s="14" t="s">
        <v>105</v>
      </c>
      <c r="BO560" s="14" t="s">
        <v>105</v>
      </c>
      <c r="BP560" s="14" t="s">
        <v>105</v>
      </c>
      <c r="BQ560" s="8" t="s">
        <v>93</v>
      </c>
      <c r="BR560" s="8" t="s">
        <v>92</v>
      </c>
      <c r="BS560" s="8" t="s">
        <v>92</v>
      </c>
      <c r="BT560" s="8" t="s">
        <v>92</v>
      </c>
      <c r="BU560" s="8" t="s">
        <v>92</v>
      </c>
      <c r="BV560" s="8" t="s">
        <v>92</v>
      </c>
      <c r="BW560" s="8" t="s">
        <v>92</v>
      </c>
      <c r="BX560" s="8" t="s">
        <v>92</v>
      </c>
      <c r="BY560" s="8" t="s">
        <v>92</v>
      </c>
      <c r="BZ560" s="8" t="s">
        <v>92</v>
      </c>
      <c r="CA560" s="8" t="s">
        <v>92</v>
      </c>
      <c r="CB560" s="20" t="s">
        <v>129</v>
      </c>
      <c r="CC560" s="17"/>
      <c r="CD560" s="18"/>
      <c r="CE560" s="18"/>
      <c r="CF560" s="18"/>
      <c r="CG560" s="18"/>
      <c r="CH560" s="18"/>
    </row>
    <row r="561">
      <c r="A561" s="8"/>
      <c r="B561" s="9" t="s">
        <v>2488</v>
      </c>
      <c r="C561" s="10" t="s">
        <v>2489</v>
      </c>
      <c r="D561" s="9" t="s">
        <v>2490</v>
      </c>
      <c r="E561" s="11" t="s">
        <v>2523</v>
      </c>
      <c r="F561" s="12"/>
      <c r="G561" s="14" t="s">
        <v>2524</v>
      </c>
      <c r="H561" s="14" t="s">
        <v>90</v>
      </c>
      <c r="I561" s="14" t="s">
        <v>2525</v>
      </c>
      <c r="J561" s="14" t="s">
        <v>92</v>
      </c>
      <c r="K561" s="14" t="s">
        <v>92</v>
      </c>
      <c r="L561" s="14" t="s">
        <v>92</v>
      </c>
      <c r="M561" s="14" t="s">
        <v>92</v>
      </c>
      <c r="N561" s="14" t="s">
        <v>92</v>
      </c>
      <c r="O561" s="14" t="s">
        <v>92</v>
      </c>
      <c r="P561" s="14" t="s">
        <v>92</v>
      </c>
      <c r="Q561" s="14" t="s">
        <v>93</v>
      </c>
      <c r="R561" s="14" t="s">
        <v>92</v>
      </c>
      <c r="S561" s="14" t="s">
        <v>92</v>
      </c>
      <c r="T561" s="14" t="s">
        <v>92</v>
      </c>
      <c r="U561" s="14" t="s">
        <v>93</v>
      </c>
      <c r="V561" s="14" t="s">
        <v>92</v>
      </c>
      <c r="W561" s="14" t="s">
        <v>92</v>
      </c>
      <c r="X561" s="14" t="s">
        <v>92</v>
      </c>
      <c r="Y561" s="14" t="s">
        <v>92</v>
      </c>
      <c r="Z561" s="14" t="s">
        <v>92</v>
      </c>
      <c r="AA561" s="14" t="s">
        <v>92</v>
      </c>
      <c r="AB561" s="8" t="s">
        <v>93</v>
      </c>
      <c r="AC561" s="8" t="s">
        <v>92</v>
      </c>
      <c r="AD561" s="8" t="s">
        <v>92</v>
      </c>
      <c r="AE561" s="14" t="s">
        <v>94</v>
      </c>
      <c r="AF561" s="14" t="s">
        <v>92</v>
      </c>
      <c r="AG561" s="14" t="s">
        <v>95</v>
      </c>
      <c r="AH561" s="8" t="s">
        <v>105</v>
      </c>
      <c r="AI561" s="14" t="s">
        <v>92</v>
      </c>
      <c r="AJ561" s="14" t="s">
        <v>93</v>
      </c>
      <c r="AK561" s="14" t="s">
        <v>92</v>
      </c>
      <c r="AL561" s="14" t="s">
        <v>92</v>
      </c>
      <c r="AM561" s="8" t="s">
        <v>105</v>
      </c>
      <c r="AN561" s="14" t="s">
        <v>105</v>
      </c>
      <c r="AO561" s="8" t="s">
        <v>105</v>
      </c>
      <c r="AP561" s="8" t="s">
        <v>92</v>
      </c>
      <c r="AQ561" s="14" t="s">
        <v>92</v>
      </c>
      <c r="AR561" s="14" t="s">
        <v>92</v>
      </c>
      <c r="AS561" s="14" t="s">
        <v>92</v>
      </c>
      <c r="AT561" s="14" t="s">
        <v>92</v>
      </c>
      <c r="AU561" s="14" t="s">
        <v>92</v>
      </c>
      <c r="AV561" s="14" t="s">
        <v>93</v>
      </c>
      <c r="AW561" s="14" t="s">
        <v>93</v>
      </c>
      <c r="AX561" s="14" t="s">
        <v>93</v>
      </c>
      <c r="AY561" s="8" t="s">
        <v>95</v>
      </c>
      <c r="AZ561" s="8" t="s">
        <v>95</v>
      </c>
      <c r="BA561" s="9" t="s">
        <v>2526</v>
      </c>
      <c r="BB561" s="8" t="s">
        <v>143</v>
      </c>
      <c r="BC561" s="8" t="s">
        <v>92</v>
      </c>
      <c r="BD561" s="14" t="s">
        <v>92</v>
      </c>
      <c r="BE561" s="14" t="s">
        <v>92</v>
      </c>
      <c r="BF561" s="14" t="s">
        <v>92</v>
      </c>
      <c r="BG561" s="14" t="s">
        <v>92</v>
      </c>
      <c r="BH561" s="14" t="s">
        <v>92</v>
      </c>
      <c r="BI561" s="14" t="s">
        <v>93</v>
      </c>
      <c r="BJ561" s="14" t="s">
        <v>92</v>
      </c>
      <c r="BK561" s="14" t="s">
        <v>105</v>
      </c>
      <c r="BL561" s="14" t="s">
        <v>105</v>
      </c>
      <c r="BM561" s="14" t="s">
        <v>105</v>
      </c>
      <c r="BN561" s="14" t="s">
        <v>105</v>
      </c>
      <c r="BO561" s="14" t="s">
        <v>105</v>
      </c>
      <c r="BP561" s="14" t="s">
        <v>105</v>
      </c>
      <c r="BQ561" s="8" t="s">
        <v>93</v>
      </c>
      <c r="BR561" s="8" t="s">
        <v>92</v>
      </c>
      <c r="BS561" s="8" t="s">
        <v>92</v>
      </c>
      <c r="BT561" s="8" t="s">
        <v>92</v>
      </c>
      <c r="BU561" s="8" t="s">
        <v>92</v>
      </c>
      <c r="BV561" s="8" t="s">
        <v>92</v>
      </c>
      <c r="BW561" s="8" t="s">
        <v>92</v>
      </c>
      <c r="BX561" s="8" t="s">
        <v>92</v>
      </c>
      <c r="BY561" s="8" t="s">
        <v>92</v>
      </c>
      <c r="BZ561" s="8" t="s">
        <v>92</v>
      </c>
      <c r="CA561" s="8" t="s">
        <v>92</v>
      </c>
      <c r="CB561" s="20" t="s">
        <v>129</v>
      </c>
      <c r="CC561" s="17"/>
      <c r="CD561" s="18"/>
      <c r="CE561" s="18"/>
      <c r="CF561" s="18"/>
      <c r="CG561" s="18"/>
      <c r="CH561" s="18"/>
    </row>
    <row r="562">
      <c r="A562" s="8"/>
      <c r="B562" s="9" t="s">
        <v>2488</v>
      </c>
      <c r="C562" s="10" t="s">
        <v>2489</v>
      </c>
      <c r="D562" s="9" t="s">
        <v>2490</v>
      </c>
      <c r="E562" s="11" t="s">
        <v>2527</v>
      </c>
      <c r="F562" s="12"/>
      <c r="G562" s="14" t="s">
        <v>2528</v>
      </c>
      <c r="H562" s="14" t="s">
        <v>110</v>
      </c>
      <c r="I562" s="14" t="s">
        <v>2529</v>
      </c>
      <c r="J562" s="14" t="s">
        <v>92</v>
      </c>
      <c r="K562" s="14" t="s">
        <v>92</v>
      </c>
      <c r="L562" s="14" t="s">
        <v>92</v>
      </c>
      <c r="M562" s="14" t="s">
        <v>92</v>
      </c>
      <c r="N562" s="14" t="s">
        <v>92</v>
      </c>
      <c r="O562" s="14" t="s">
        <v>92</v>
      </c>
      <c r="P562" s="14" t="s">
        <v>92</v>
      </c>
      <c r="Q562" s="14" t="s">
        <v>92</v>
      </c>
      <c r="R562" s="14" t="s">
        <v>92</v>
      </c>
      <c r="S562" s="14" t="s">
        <v>92</v>
      </c>
      <c r="T562" s="14" t="s">
        <v>93</v>
      </c>
      <c r="U562" s="14" t="s">
        <v>93</v>
      </c>
      <c r="V562" s="14" t="s">
        <v>92</v>
      </c>
      <c r="W562" s="14" t="s">
        <v>93</v>
      </c>
      <c r="X562" s="14" t="s">
        <v>92</v>
      </c>
      <c r="Y562" s="14" t="s">
        <v>92</v>
      </c>
      <c r="Z562" s="14" t="s">
        <v>92</v>
      </c>
      <c r="AA562" s="14" t="s">
        <v>92</v>
      </c>
      <c r="AB562" s="8" t="s">
        <v>93</v>
      </c>
      <c r="AC562" s="8" t="s">
        <v>92</v>
      </c>
      <c r="AD562" s="8" t="s">
        <v>92</v>
      </c>
      <c r="AE562" s="14" t="s">
        <v>94</v>
      </c>
      <c r="AF562" s="14" t="s">
        <v>92</v>
      </c>
      <c r="AG562" s="14" t="s">
        <v>95</v>
      </c>
      <c r="AH562" s="8">
        <v>2013.0</v>
      </c>
      <c r="AI562" s="14" t="s">
        <v>93</v>
      </c>
      <c r="AJ562" s="14" t="s">
        <v>93</v>
      </c>
      <c r="AK562" s="14" t="s">
        <v>93</v>
      </c>
      <c r="AL562" s="14" t="s">
        <v>93</v>
      </c>
      <c r="AM562" s="8" t="s">
        <v>95</v>
      </c>
      <c r="AN562" s="14" t="s">
        <v>114</v>
      </c>
      <c r="AO562" s="8" t="s">
        <v>93</v>
      </c>
      <c r="AP562" s="8" t="s">
        <v>92</v>
      </c>
      <c r="AQ562" s="14" t="s">
        <v>92</v>
      </c>
      <c r="AR562" s="14" t="s">
        <v>92</v>
      </c>
      <c r="AS562" s="14" t="s">
        <v>92</v>
      </c>
      <c r="AT562" s="14" t="s">
        <v>92</v>
      </c>
      <c r="AU562" s="14" t="s">
        <v>92</v>
      </c>
      <c r="AV562" s="14" t="s">
        <v>93</v>
      </c>
      <c r="AW562" s="14" t="s">
        <v>93</v>
      </c>
      <c r="AX562" s="14" t="s">
        <v>93</v>
      </c>
      <c r="AY562" s="8" t="s">
        <v>2530</v>
      </c>
      <c r="AZ562" s="8" t="s">
        <v>92</v>
      </c>
      <c r="BA562" s="9" t="s">
        <v>2531</v>
      </c>
      <c r="BB562" s="8" t="s">
        <v>95</v>
      </c>
      <c r="BC562" s="8" t="s">
        <v>93</v>
      </c>
      <c r="BD562" s="14" t="s">
        <v>92</v>
      </c>
      <c r="BE562" s="14" t="s">
        <v>92</v>
      </c>
      <c r="BF562" s="14" t="s">
        <v>92</v>
      </c>
      <c r="BG562" s="14" t="s">
        <v>92</v>
      </c>
      <c r="BH562" s="14" t="s">
        <v>92</v>
      </c>
      <c r="BI562" s="14" t="s">
        <v>93</v>
      </c>
      <c r="BJ562" s="14" t="s">
        <v>92</v>
      </c>
      <c r="BK562" s="14" t="s">
        <v>105</v>
      </c>
      <c r="BL562" s="14" t="s">
        <v>105</v>
      </c>
      <c r="BM562" s="14" t="s">
        <v>105</v>
      </c>
      <c r="BN562" s="14" t="s">
        <v>105</v>
      </c>
      <c r="BO562" s="14" t="s">
        <v>105</v>
      </c>
      <c r="BP562" s="14" t="s">
        <v>105</v>
      </c>
      <c r="BQ562" s="8" t="s">
        <v>93</v>
      </c>
      <c r="BR562" s="8" t="s">
        <v>93</v>
      </c>
      <c r="BS562" s="8" t="s">
        <v>92</v>
      </c>
      <c r="BT562" s="8" t="s">
        <v>92</v>
      </c>
      <c r="BU562" s="8" t="s">
        <v>92</v>
      </c>
      <c r="BV562" s="8" t="s">
        <v>92</v>
      </c>
      <c r="BW562" s="8" t="s">
        <v>93</v>
      </c>
      <c r="BX562" s="8" t="s">
        <v>92</v>
      </c>
      <c r="BY562" s="8" t="s">
        <v>92</v>
      </c>
      <c r="BZ562" s="8" t="s">
        <v>92</v>
      </c>
      <c r="CA562" s="8" t="s">
        <v>92</v>
      </c>
      <c r="CB562" s="20" t="s">
        <v>129</v>
      </c>
      <c r="CC562" s="20" t="s">
        <v>1195</v>
      </c>
      <c r="CD562" s="20" t="s">
        <v>660</v>
      </c>
      <c r="CE562" s="20" t="s">
        <v>2532</v>
      </c>
      <c r="CF562" s="18"/>
      <c r="CG562" s="18"/>
      <c r="CH562" s="18"/>
    </row>
    <row r="563">
      <c r="A563" s="8"/>
      <c r="B563" s="9" t="s">
        <v>2488</v>
      </c>
      <c r="C563" s="10" t="s">
        <v>2489</v>
      </c>
      <c r="D563" s="9" t="s">
        <v>2490</v>
      </c>
      <c r="E563" s="11" t="s">
        <v>2533</v>
      </c>
      <c r="F563" s="12"/>
      <c r="G563" s="14" t="s">
        <v>2534</v>
      </c>
      <c r="H563" s="14" t="s">
        <v>90</v>
      </c>
      <c r="I563" s="14" t="s">
        <v>2535</v>
      </c>
      <c r="J563" s="14" t="s">
        <v>92</v>
      </c>
      <c r="K563" s="14" t="s">
        <v>93</v>
      </c>
      <c r="L563" s="14" t="s">
        <v>92</v>
      </c>
      <c r="M563" s="14" t="s">
        <v>93</v>
      </c>
      <c r="N563" s="14" t="s">
        <v>92</v>
      </c>
      <c r="O563" s="14" t="s">
        <v>92</v>
      </c>
      <c r="P563" s="14" t="s">
        <v>93</v>
      </c>
      <c r="Q563" s="14" t="s">
        <v>92</v>
      </c>
      <c r="R563" s="14" t="s">
        <v>92</v>
      </c>
      <c r="S563" s="14" t="s">
        <v>92</v>
      </c>
      <c r="T563" s="14" t="s">
        <v>92</v>
      </c>
      <c r="U563" s="14" t="s">
        <v>93</v>
      </c>
      <c r="V563" s="14" t="s">
        <v>92</v>
      </c>
      <c r="W563" s="14" t="s">
        <v>92</v>
      </c>
      <c r="X563" s="14" t="s">
        <v>92</v>
      </c>
      <c r="Y563" s="14" t="s">
        <v>92</v>
      </c>
      <c r="Z563" s="14" t="s">
        <v>92</v>
      </c>
      <c r="AA563" s="14" t="s">
        <v>92</v>
      </c>
      <c r="AB563" s="8" t="s">
        <v>93</v>
      </c>
      <c r="AC563" s="8" t="s">
        <v>92</v>
      </c>
      <c r="AD563" s="8" t="s">
        <v>92</v>
      </c>
      <c r="AE563" s="14" t="s">
        <v>94</v>
      </c>
      <c r="AF563" s="14" t="s">
        <v>92</v>
      </c>
      <c r="AG563" s="14" t="s">
        <v>95</v>
      </c>
      <c r="AH563" s="8">
        <v>2021.0</v>
      </c>
      <c r="AI563" s="14" t="s">
        <v>92</v>
      </c>
      <c r="AJ563" s="14" t="s">
        <v>93</v>
      </c>
      <c r="AK563" s="14" t="s">
        <v>92</v>
      </c>
      <c r="AL563" s="14" t="s">
        <v>92</v>
      </c>
      <c r="AM563" s="8">
        <v>2021.0</v>
      </c>
      <c r="AN563" s="14" t="s">
        <v>96</v>
      </c>
      <c r="AO563" s="8" t="s">
        <v>92</v>
      </c>
      <c r="AP563" s="8" t="s">
        <v>93</v>
      </c>
      <c r="AQ563" s="14" t="s">
        <v>92</v>
      </c>
      <c r="AR563" s="14" t="s">
        <v>92</v>
      </c>
      <c r="AS563" s="14" t="s">
        <v>92</v>
      </c>
      <c r="AT563" s="14" t="s">
        <v>92</v>
      </c>
      <c r="AU563" s="14" t="s">
        <v>92</v>
      </c>
      <c r="AV563" s="14" t="s">
        <v>93</v>
      </c>
      <c r="AW563" s="14" t="s">
        <v>93</v>
      </c>
      <c r="AX563" s="14" t="s">
        <v>93</v>
      </c>
      <c r="AY563" s="8" t="s">
        <v>95</v>
      </c>
      <c r="AZ563" s="8" t="s">
        <v>95</v>
      </c>
      <c r="BA563" s="9" t="s">
        <v>2488</v>
      </c>
      <c r="BB563" s="8" t="s">
        <v>97</v>
      </c>
      <c r="BC563" s="8" t="s">
        <v>92</v>
      </c>
      <c r="BD563" s="14" t="s">
        <v>92</v>
      </c>
      <c r="BE563" s="14" t="s">
        <v>92</v>
      </c>
      <c r="BF563" s="14" t="s">
        <v>92</v>
      </c>
      <c r="BG563" s="14" t="s">
        <v>92</v>
      </c>
      <c r="BH563" s="14" t="s">
        <v>92</v>
      </c>
      <c r="BI563" s="14" t="s">
        <v>93</v>
      </c>
      <c r="BJ563" s="14" t="s">
        <v>92</v>
      </c>
      <c r="BK563" s="14" t="s">
        <v>349</v>
      </c>
      <c r="BL563" s="14" t="s">
        <v>92</v>
      </c>
      <c r="BM563" s="14" t="s">
        <v>93</v>
      </c>
      <c r="BN563" s="14" t="s">
        <v>92</v>
      </c>
      <c r="BO563" s="14" t="s">
        <v>92</v>
      </c>
      <c r="BP563" s="14" t="s">
        <v>92</v>
      </c>
      <c r="BQ563" s="8" t="s">
        <v>93</v>
      </c>
      <c r="BR563" s="8" t="s">
        <v>92</v>
      </c>
      <c r="BS563" s="8" t="s">
        <v>92</v>
      </c>
      <c r="BT563" s="8" t="s">
        <v>92</v>
      </c>
      <c r="BU563" s="8" t="s">
        <v>92</v>
      </c>
      <c r="BV563" s="8" t="s">
        <v>92</v>
      </c>
      <c r="BW563" s="8" t="s">
        <v>92</v>
      </c>
      <c r="BX563" s="8" t="s">
        <v>92</v>
      </c>
      <c r="BY563" s="8" t="s">
        <v>92</v>
      </c>
      <c r="BZ563" s="8" t="s">
        <v>92</v>
      </c>
      <c r="CA563" s="8" t="s">
        <v>92</v>
      </c>
      <c r="CB563" s="20" t="s">
        <v>129</v>
      </c>
      <c r="CC563" s="17"/>
      <c r="CD563" s="18"/>
      <c r="CE563" s="18"/>
      <c r="CF563" s="18"/>
      <c r="CG563" s="18"/>
      <c r="CH563" s="18"/>
    </row>
    <row r="564">
      <c r="A564" s="8"/>
      <c r="B564" s="9" t="s">
        <v>2536</v>
      </c>
      <c r="C564" s="10" t="s">
        <v>2537</v>
      </c>
      <c r="D564" s="9" t="s">
        <v>2490</v>
      </c>
      <c r="E564" s="11" t="s">
        <v>2538</v>
      </c>
      <c r="F564" s="12"/>
      <c r="G564" s="14" t="s">
        <v>2539</v>
      </c>
      <c r="H564" s="14" t="s">
        <v>90</v>
      </c>
      <c r="I564" s="14" t="s">
        <v>2540</v>
      </c>
      <c r="J564" s="14" t="s">
        <v>92</v>
      </c>
      <c r="K564" s="14" t="s">
        <v>92</v>
      </c>
      <c r="L564" s="14" t="s">
        <v>92</v>
      </c>
      <c r="M564" s="14" t="s">
        <v>92</v>
      </c>
      <c r="N564" s="14" t="s">
        <v>92</v>
      </c>
      <c r="O564" s="14" t="s">
        <v>92</v>
      </c>
      <c r="P564" s="14" t="s">
        <v>92</v>
      </c>
      <c r="Q564" s="14" t="s">
        <v>92</v>
      </c>
      <c r="R564" s="14" t="s">
        <v>92</v>
      </c>
      <c r="S564" s="14" t="s">
        <v>92</v>
      </c>
      <c r="T564" s="14" t="s">
        <v>93</v>
      </c>
      <c r="U564" s="14" t="s">
        <v>92</v>
      </c>
      <c r="V564" s="14" t="s">
        <v>92</v>
      </c>
      <c r="W564" s="14" t="s">
        <v>92</v>
      </c>
      <c r="X564" s="14" t="s">
        <v>92</v>
      </c>
      <c r="Y564" s="14" t="s">
        <v>92</v>
      </c>
      <c r="Z564" s="14" t="s">
        <v>92</v>
      </c>
      <c r="AA564" s="14" t="s">
        <v>92</v>
      </c>
      <c r="AB564" s="8" t="s">
        <v>93</v>
      </c>
      <c r="AC564" s="8" t="s">
        <v>92</v>
      </c>
      <c r="AD564" s="8" t="s">
        <v>92</v>
      </c>
      <c r="AE564" s="14" t="s">
        <v>103</v>
      </c>
      <c r="AF564" s="14" t="s">
        <v>93</v>
      </c>
      <c r="AG564" s="14" t="s">
        <v>2541</v>
      </c>
      <c r="AH564" s="15" t="s">
        <v>95</v>
      </c>
      <c r="AI564" s="14" t="s">
        <v>105</v>
      </c>
      <c r="AJ564" s="14" t="s">
        <v>93</v>
      </c>
      <c r="AK564" s="14" t="s">
        <v>105</v>
      </c>
      <c r="AL564" s="14" t="s">
        <v>105</v>
      </c>
      <c r="AM564" s="8" t="s">
        <v>105</v>
      </c>
      <c r="AN564" s="14" t="s">
        <v>105</v>
      </c>
      <c r="AO564" s="8" t="s">
        <v>105</v>
      </c>
      <c r="AP564" s="8" t="s">
        <v>92</v>
      </c>
      <c r="AQ564" s="14" t="s">
        <v>92</v>
      </c>
      <c r="AR564" s="14" t="s">
        <v>92</v>
      </c>
      <c r="AS564" s="14" t="s">
        <v>92</v>
      </c>
      <c r="AT564" s="14" t="s">
        <v>92</v>
      </c>
      <c r="AU564" s="14" t="s">
        <v>92</v>
      </c>
      <c r="AV564" s="14" t="s">
        <v>93</v>
      </c>
      <c r="AW564" s="14" t="s">
        <v>93</v>
      </c>
      <c r="AX564" s="14" t="s">
        <v>93</v>
      </c>
      <c r="AY564" s="8" t="s">
        <v>95</v>
      </c>
      <c r="AZ564" s="8" t="s">
        <v>95</v>
      </c>
      <c r="BA564" s="9" t="s">
        <v>2542</v>
      </c>
      <c r="BB564" s="8" t="s">
        <v>95</v>
      </c>
      <c r="BC564" s="8" t="s">
        <v>93</v>
      </c>
      <c r="BD564" s="14" t="s">
        <v>92</v>
      </c>
      <c r="BE564" s="14" t="s">
        <v>92</v>
      </c>
      <c r="BF564" s="14" t="s">
        <v>92</v>
      </c>
      <c r="BG564" s="14" t="s">
        <v>92</v>
      </c>
      <c r="BH564" s="14" t="s">
        <v>92</v>
      </c>
      <c r="BI564" s="14" t="s">
        <v>93</v>
      </c>
      <c r="BJ564" s="14" t="s">
        <v>93</v>
      </c>
      <c r="BK564" s="14" t="s">
        <v>1708</v>
      </c>
      <c r="BL564" s="14" t="s">
        <v>92</v>
      </c>
      <c r="BM564" s="14" t="s">
        <v>92</v>
      </c>
      <c r="BN564" s="14" t="s">
        <v>93</v>
      </c>
      <c r="BO564" s="14" t="s">
        <v>92</v>
      </c>
      <c r="BP564" s="14" t="s">
        <v>92</v>
      </c>
      <c r="BQ564" s="8" t="s">
        <v>92</v>
      </c>
      <c r="BR564" s="8" t="s">
        <v>93</v>
      </c>
      <c r="BS564" s="8" t="s">
        <v>92</v>
      </c>
      <c r="BT564" s="8" t="s">
        <v>92</v>
      </c>
      <c r="BU564" s="8" t="s">
        <v>92</v>
      </c>
      <c r="BV564" s="8" t="s">
        <v>92</v>
      </c>
      <c r="BW564" s="8" t="s">
        <v>92</v>
      </c>
      <c r="BX564" s="8" t="s">
        <v>92</v>
      </c>
      <c r="BY564" s="8" t="s">
        <v>92</v>
      </c>
      <c r="BZ564" s="8" t="s">
        <v>92</v>
      </c>
      <c r="CA564" s="8" t="s">
        <v>93</v>
      </c>
      <c r="CB564" s="20" t="s">
        <v>115</v>
      </c>
      <c r="CC564" s="24" t="s">
        <v>2543</v>
      </c>
      <c r="CD564" s="18"/>
      <c r="CE564" s="18"/>
      <c r="CF564" s="18"/>
      <c r="CG564" s="18"/>
      <c r="CH564" s="18"/>
    </row>
    <row r="565">
      <c r="A565" s="8"/>
      <c r="B565" s="9" t="s">
        <v>2536</v>
      </c>
      <c r="C565" s="10" t="s">
        <v>2537</v>
      </c>
      <c r="D565" s="9" t="s">
        <v>2490</v>
      </c>
      <c r="E565" s="11" t="s">
        <v>2544</v>
      </c>
      <c r="F565" s="12"/>
      <c r="G565" s="14" t="s">
        <v>2545</v>
      </c>
      <c r="H565" s="14" t="s">
        <v>90</v>
      </c>
      <c r="I565" s="14" t="s">
        <v>2546</v>
      </c>
      <c r="J565" s="14" t="s">
        <v>92</v>
      </c>
      <c r="K565" s="14" t="s">
        <v>92</v>
      </c>
      <c r="L565" s="14" t="s">
        <v>92</v>
      </c>
      <c r="M565" s="14" t="s">
        <v>93</v>
      </c>
      <c r="N565" s="14" t="s">
        <v>92</v>
      </c>
      <c r="O565" s="14" t="s">
        <v>92</v>
      </c>
      <c r="P565" s="14" t="s">
        <v>92</v>
      </c>
      <c r="Q565" s="14" t="s">
        <v>92</v>
      </c>
      <c r="R565" s="14" t="s">
        <v>92</v>
      </c>
      <c r="S565" s="14" t="s">
        <v>92</v>
      </c>
      <c r="T565" s="14" t="s">
        <v>92</v>
      </c>
      <c r="U565" s="14" t="s">
        <v>93</v>
      </c>
      <c r="V565" s="14" t="s">
        <v>92</v>
      </c>
      <c r="W565" s="14" t="s">
        <v>92</v>
      </c>
      <c r="X565" s="14" t="s">
        <v>92</v>
      </c>
      <c r="Y565" s="14" t="s">
        <v>92</v>
      </c>
      <c r="Z565" s="14" t="s">
        <v>92</v>
      </c>
      <c r="AA565" s="14" t="s">
        <v>92</v>
      </c>
      <c r="AB565" s="8" t="s">
        <v>93</v>
      </c>
      <c r="AC565" s="8" t="s">
        <v>92</v>
      </c>
      <c r="AD565" s="8" t="s">
        <v>92</v>
      </c>
      <c r="AE565" s="14" t="s">
        <v>94</v>
      </c>
      <c r="AF565" s="14" t="s">
        <v>92</v>
      </c>
      <c r="AG565" s="14" t="s">
        <v>95</v>
      </c>
      <c r="AH565" s="8">
        <v>2020.0</v>
      </c>
      <c r="AI565" s="14" t="s">
        <v>93</v>
      </c>
      <c r="AJ565" s="14" t="s">
        <v>93</v>
      </c>
      <c r="AK565" s="14" t="s">
        <v>105</v>
      </c>
      <c r="AL565" s="14" t="s">
        <v>105</v>
      </c>
      <c r="AM565" s="8">
        <v>2021.0</v>
      </c>
      <c r="AN565" s="14" t="s">
        <v>96</v>
      </c>
      <c r="AO565" s="8" t="s">
        <v>93</v>
      </c>
      <c r="AP565" s="8" t="s">
        <v>93</v>
      </c>
      <c r="AQ565" s="14" t="s">
        <v>92</v>
      </c>
      <c r="AR565" s="14" t="s">
        <v>92</v>
      </c>
      <c r="AS565" s="14" t="s">
        <v>92</v>
      </c>
      <c r="AT565" s="14" t="s">
        <v>92</v>
      </c>
      <c r="AU565" s="14" t="s">
        <v>92</v>
      </c>
      <c r="AV565" s="14" t="s">
        <v>93</v>
      </c>
      <c r="AW565" s="14" t="s">
        <v>93</v>
      </c>
      <c r="AX565" s="14" t="s">
        <v>93</v>
      </c>
      <c r="AY565" s="8" t="s">
        <v>95</v>
      </c>
      <c r="AZ565" s="8" t="s">
        <v>95</v>
      </c>
      <c r="BA565" s="9" t="s">
        <v>2536</v>
      </c>
      <c r="BB565" s="8" t="s">
        <v>213</v>
      </c>
      <c r="BC565" s="8" t="s">
        <v>92</v>
      </c>
      <c r="BD565" s="14" t="s">
        <v>92</v>
      </c>
      <c r="BE565" s="14" t="s">
        <v>92</v>
      </c>
      <c r="BF565" s="14" t="s">
        <v>92</v>
      </c>
      <c r="BG565" s="14" t="s">
        <v>92</v>
      </c>
      <c r="BH565" s="14" t="s">
        <v>92</v>
      </c>
      <c r="BI565" s="14" t="s">
        <v>93</v>
      </c>
      <c r="BJ565" s="14" t="s">
        <v>92</v>
      </c>
      <c r="BK565" s="14" t="s">
        <v>2547</v>
      </c>
      <c r="BL565" s="14" t="s">
        <v>92</v>
      </c>
      <c r="BM565" s="14" t="s">
        <v>92</v>
      </c>
      <c r="BN565" s="14" t="s">
        <v>93</v>
      </c>
      <c r="BO565" s="14" t="s">
        <v>92</v>
      </c>
      <c r="BP565" s="14" t="s">
        <v>92</v>
      </c>
      <c r="BQ565" s="8" t="s">
        <v>93</v>
      </c>
      <c r="BR565" s="8" t="s">
        <v>92</v>
      </c>
      <c r="BS565" s="8" t="s">
        <v>92</v>
      </c>
      <c r="BT565" s="8" t="s">
        <v>92</v>
      </c>
      <c r="BU565" s="8" t="s">
        <v>92</v>
      </c>
      <c r="BV565" s="8" t="s">
        <v>92</v>
      </c>
      <c r="BW565" s="8" t="s">
        <v>92</v>
      </c>
      <c r="BX565" s="8" t="s">
        <v>92</v>
      </c>
      <c r="BY565" s="8" t="s">
        <v>92</v>
      </c>
      <c r="BZ565" s="8" t="s">
        <v>92</v>
      </c>
      <c r="CA565" s="8" t="s">
        <v>92</v>
      </c>
      <c r="CB565" s="20" t="s">
        <v>115</v>
      </c>
      <c r="CC565" s="17"/>
      <c r="CD565" s="18"/>
      <c r="CE565" s="18"/>
      <c r="CF565" s="18"/>
      <c r="CG565" s="18"/>
      <c r="CH565" s="18"/>
    </row>
    <row r="566">
      <c r="A566" s="8"/>
      <c r="B566" s="9" t="s">
        <v>2536</v>
      </c>
      <c r="C566" s="10" t="s">
        <v>2537</v>
      </c>
      <c r="D566" s="9" t="s">
        <v>2490</v>
      </c>
      <c r="E566" s="11" t="s">
        <v>2548</v>
      </c>
      <c r="F566" s="12"/>
      <c r="G566" s="14" t="s">
        <v>2549</v>
      </c>
      <c r="H566" s="14" t="s">
        <v>90</v>
      </c>
      <c r="I566" s="14" t="s">
        <v>2550</v>
      </c>
      <c r="J566" s="14" t="s">
        <v>92</v>
      </c>
      <c r="K566" s="14" t="s">
        <v>92</v>
      </c>
      <c r="L566" s="14" t="s">
        <v>92</v>
      </c>
      <c r="M566" s="14" t="s">
        <v>92</v>
      </c>
      <c r="N566" s="14" t="s">
        <v>92</v>
      </c>
      <c r="O566" s="14" t="s">
        <v>92</v>
      </c>
      <c r="P566" s="14" t="s">
        <v>92</v>
      </c>
      <c r="Q566" s="14" t="s">
        <v>92</v>
      </c>
      <c r="R566" s="14" t="s">
        <v>92</v>
      </c>
      <c r="S566" s="14" t="s">
        <v>92</v>
      </c>
      <c r="T566" s="14" t="s">
        <v>92</v>
      </c>
      <c r="U566" s="14" t="s">
        <v>93</v>
      </c>
      <c r="V566" s="14" t="s">
        <v>92</v>
      </c>
      <c r="W566" s="14" t="s">
        <v>92</v>
      </c>
      <c r="X566" s="14" t="s">
        <v>92</v>
      </c>
      <c r="Y566" s="14" t="s">
        <v>92</v>
      </c>
      <c r="Z566" s="14" t="s">
        <v>92</v>
      </c>
      <c r="AA566" s="14" t="s">
        <v>92</v>
      </c>
      <c r="AB566" s="8" t="s">
        <v>93</v>
      </c>
      <c r="AC566" s="8" t="s">
        <v>92</v>
      </c>
      <c r="AD566" s="8" t="s">
        <v>92</v>
      </c>
      <c r="AE566" s="14" t="s">
        <v>94</v>
      </c>
      <c r="AF566" s="14" t="s">
        <v>92</v>
      </c>
      <c r="AG566" s="14" t="s">
        <v>95</v>
      </c>
      <c r="AH566" s="8">
        <v>2021.0</v>
      </c>
      <c r="AI566" s="14" t="s">
        <v>105</v>
      </c>
      <c r="AJ566" s="14" t="s">
        <v>93</v>
      </c>
      <c r="AK566" s="14" t="s">
        <v>105</v>
      </c>
      <c r="AL566" s="14" t="s">
        <v>105</v>
      </c>
      <c r="AM566" s="8">
        <v>2021.0</v>
      </c>
      <c r="AN566" s="14" t="s">
        <v>96</v>
      </c>
      <c r="AO566" s="8" t="s">
        <v>92</v>
      </c>
      <c r="AP566" s="8" t="s">
        <v>92</v>
      </c>
      <c r="AQ566" s="14" t="s">
        <v>92</v>
      </c>
      <c r="AR566" s="14" t="s">
        <v>92</v>
      </c>
      <c r="AS566" s="14" t="s">
        <v>92</v>
      </c>
      <c r="AT566" s="14" t="s">
        <v>92</v>
      </c>
      <c r="AU566" s="14" t="s">
        <v>92</v>
      </c>
      <c r="AV566" s="14" t="s">
        <v>93</v>
      </c>
      <c r="AW566" s="14" t="s">
        <v>93</v>
      </c>
      <c r="AX566" s="14" t="s">
        <v>93</v>
      </c>
      <c r="AY566" s="8" t="s">
        <v>95</v>
      </c>
      <c r="AZ566" s="8" t="s">
        <v>95</v>
      </c>
      <c r="BA566" s="9" t="s">
        <v>2551</v>
      </c>
      <c r="BB566" s="8" t="s">
        <v>95</v>
      </c>
      <c r="BC566" s="8" t="s">
        <v>93</v>
      </c>
      <c r="BD566" s="14" t="s">
        <v>92</v>
      </c>
      <c r="BE566" s="14" t="s">
        <v>92</v>
      </c>
      <c r="BF566" s="14" t="s">
        <v>92</v>
      </c>
      <c r="BG566" s="14" t="s">
        <v>92</v>
      </c>
      <c r="BH566" s="14" t="s">
        <v>92</v>
      </c>
      <c r="BI566" s="14" t="s">
        <v>93</v>
      </c>
      <c r="BJ566" s="14" t="s">
        <v>92</v>
      </c>
      <c r="BK566" s="14" t="s">
        <v>2547</v>
      </c>
      <c r="BL566" s="14" t="s">
        <v>92</v>
      </c>
      <c r="BM566" s="14" t="s">
        <v>92</v>
      </c>
      <c r="BN566" s="14" t="s">
        <v>93</v>
      </c>
      <c r="BO566" s="14" t="s">
        <v>92</v>
      </c>
      <c r="BP566" s="14" t="s">
        <v>92</v>
      </c>
      <c r="BQ566" s="8" t="s">
        <v>93</v>
      </c>
      <c r="BR566" s="8" t="s">
        <v>92</v>
      </c>
      <c r="BS566" s="8" t="s">
        <v>92</v>
      </c>
      <c r="BT566" s="8" t="s">
        <v>92</v>
      </c>
      <c r="BU566" s="8" t="s">
        <v>92</v>
      </c>
      <c r="BV566" s="8" t="s">
        <v>92</v>
      </c>
      <c r="BW566" s="8" t="s">
        <v>92</v>
      </c>
      <c r="BX566" s="8" t="s">
        <v>92</v>
      </c>
      <c r="BY566" s="8" t="s">
        <v>92</v>
      </c>
      <c r="BZ566" s="8" t="s">
        <v>92</v>
      </c>
      <c r="CA566" s="8" t="s">
        <v>92</v>
      </c>
      <c r="CB566" s="20" t="s">
        <v>115</v>
      </c>
      <c r="CC566" s="17"/>
      <c r="CD566" s="18"/>
      <c r="CE566" s="18"/>
      <c r="CF566" s="18"/>
      <c r="CG566" s="18"/>
      <c r="CH566" s="18"/>
    </row>
    <row r="567">
      <c r="A567" s="8"/>
      <c r="B567" s="9" t="s">
        <v>2552</v>
      </c>
      <c r="C567" s="10" t="s">
        <v>2553</v>
      </c>
      <c r="D567" s="9" t="s">
        <v>2490</v>
      </c>
      <c r="E567" s="11" t="s">
        <v>2554</v>
      </c>
      <c r="F567" s="25"/>
      <c r="G567" s="14" t="s">
        <v>2555</v>
      </c>
      <c r="H567" s="14" t="s">
        <v>110</v>
      </c>
      <c r="I567" s="14" t="s">
        <v>2556</v>
      </c>
      <c r="J567" s="14" t="s">
        <v>92</v>
      </c>
      <c r="K567" s="14" t="s">
        <v>92</v>
      </c>
      <c r="L567" s="14" t="s">
        <v>92</v>
      </c>
      <c r="M567" s="14" t="s">
        <v>93</v>
      </c>
      <c r="N567" s="14" t="s">
        <v>92</v>
      </c>
      <c r="O567" s="14" t="s">
        <v>92</v>
      </c>
      <c r="P567" s="14" t="s">
        <v>92</v>
      </c>
      <c r="Q567" s="14" t="s">
        <v>92</v>
      </c>
      <c r="R567" s="14" t="s">
        <v>92</v>
      </c>
      <c r="S567" s="14" t="s">
        <v>92</v>
      </c>
      <c r="T567" s="14" t="s">
        <v>92</v>
      </c>
      <c r="U567" s="14" t="s">
        <v>93</v>
      </c>
      <c r="V567" s="14" t="s">
        <v>92</v>
      </c>
      <c r="W567" s="14" t="s">
        <v>93</v>
      </c>
      <c r="X567" s="14" t="s">
        <v>92</v>
      </c>
      <c r="Y567" s="14" t="s">
        <v>92</v>
      </c>
      <c r="Z567" s="14" t="s">
        <v>92</v>
      </c>
      <c r="AA567" s="14" t="s">
        <v>92</v>
      </c>
      <c r="AB567" s="8" t="s">
        <v>93</v>
      </c>
      <c r="AC567" s="8" t="s">
        <v>92</v>
      </c>
      <c r="AD567" s="8" t="s">
        <v>92</v>
      </c>
      <c r="AE567" s="14" t="s">
        <v>94</v>
      </c>
      <c r="AF567" s="14" t="s">
        <v>92</v>
      </c>
      <c r="AG567" s="14" t="s">
        <v>95</v>
      </c>
      <c r="AH567" s="8">
        <v>2022.0</v>
      </c>
      <c r="AI567" s="14" t="s">
        <v>105</v>
      </c>
      <c r="AJ567" s="14" t="s">
        <v>105</v>
      </c>
      <c r="AK567" s="14" t="s">
        <v>93</v>
      </c>
      <c r="AL567" s="14" t="s">
        <v>93</v>
      </c>
      <c r="AM567" s="8" t="s">
        <v>95</v>
      </c>
      <c r="AN567" s="14" t="s">
        <v>114</v>
      </c>
      <c r="AO567" s="8" t="s">
        <v>93</v>
      </c>
      <c r="AP567" s="8" t="s">
        <v>92</v>
      </c>
      <c r="AQ567" s="14" t="s">
        <v>92</v>
      </c>
      <c r="AR567" s="14" t="s">
        <v>92</v>
      </c>
      <c r="AS567" s="14" t="s">
        <v>92</v>
      </c>
      <c r="AT567" s="14" t="s">
        <v>92</v>
      </c>
      <c r="AU567" s="14" t="s">
        <v>92</v>
      </c>
      <c r="AV567" s="14" t="s">
        <v>93</v>
      </c>
      <c r="AW567" s="14" t="s">
        <v>93</v>
      </c>
      <c r="AX567" s="14" t="s">
        <v>93</v>
      </c>
      <c r="AY567" s="8" t="s">
        <v>2557</v>
      </c>
      <c r="AZ567" s="8" t="s">
        <v>93</v>
      </c>
      <c r="BA567" s="9" t="s">
        <v>2558</v>
      </c>
      <c r="BB567" s="8" t="s">
        <v>95</v>
      </c>
      <c r="BC567" s="8" t="s">
        <v>93</v>
      </c>
      <c r="BD567" s="14" t="s">
        <v>92</v>
      </c>
      <c r="BE567" s="14" t="s">
        <v>92</v>
      </c>
      <c r="BF567" s="14" t="s">
        <v>92</v>
      </c>
      <c r="BG567" s="14" t="s">
        <v>92</v>
      </c>
      <c r="BH567" s="14" t="s">
        <v>92</v>
      </c>
      <c r="BI567" s="14" t="s">
        <v>93</v>
      </c>
      <c r="BJ567" s="14" t="s">
        <v>92</v>
      </c>
      <c r="BK567" s="14" t="s">
        <v>2559</v>
      </c>
      <c r="BL567" s="14" t="s">
        <v>92</v>
      </c>
      <c r="BM567" s="14" t="s">
        <v>93</v>
      </c>
      <c r="BN567" s="14" t="s">
        <v>92</v>
      </c>
      <c r="BO567" s="14" t="s">
        <v>93</v>
      </c>
      <c r="BP567" s="14" t="s">
        <v>92</v>
      </c>
      <c r="BQ567" s="8" t="s">
        <v>93</v>
      </c>
      <c r="BR567" s="8" t="s">
        <v>92</v>
      </c>
      <c r="BS567" s="8" t="s">
        <v>92</v>
      </c>
      <c r="BT567" s="8" t="s">
        <v>92</v>
      </c>
      <c r="BU567" s="8" t="s">
        <v>92</v>
      </c>
      <c r="BV567" s="8" t="s">
        <v>92</v>
      </c>
      <c r="BW567" s="8" t="s">
        <v>93</v>
      </c>
      <c r="BX567" s="8" t="s">
        <v>92</v>
      </c>
      <c r="BY567" s="8" t="s">
        <v>92</v>
      </c>
      <c r="BZ567" s="8" t="s">
        <v>92</v>
      </c>
      <c r="CA567" s="8" t="s">
        <v>92</v>
      </c>
      <c r="CB567" s="20" t="s">
        <v>106</v>
      </c>
      <c r="CC567" s="20" t="s">
        <v>116</v>
      </c>
      <c r="CD567" s="18"/>
      <c r="CE567" s="18"/>
      <c r="CF567" s="18"/>
      <c r="CG567" s="18"/>
      <c r="CH567" s="18"/>
    </row>
    <row r="568">
      <c r="A568" s="8"/>
      <c r="B568" s="9" t="s">
        <v>2552</v>
      </c>
      <c r="C568" s="10" t="s">
        <v>2553</v>
      </c>
      <c r="D568" s="9" t="s">
        <v>2490</v>
      </c>
      <c r="E568" s="11" t="s">
        <v>2560</v>
      </c>
      <c r="F568" s="12"/>
      <c r="G568" s="14" t="s">
        <v>2561</v>
      </c>
      <c r="H568" s="14" t="s">
        <v>110</v>
      </c>
      <c r="I568" s="14" t="s">
        <v>2562</v>
      </c>
      <c r="J568" s="14" t="s">
        <v>92</v>
      </c>
      <c r="K568" s="14" t="s">
        <v>93</v>
      </c>
      <c r="L568" s="14" t="s">
        <v>92</v>
      </c>
      <c r="M568" s="14" t="s">
        <v>93</v>
      </c>
      <c r="N568" s="14" t="s">
        <v>92</v>
      </c>
      <c r="O568" s="14" t="s">
        <v>92</v>
      </c>
      <c r="P568" s="14" t="s">
        <v>93</v>
      </c>
      <c r="Q568" s="14" t="s">
        <v>93</v>
      </c>
      <c r="R568" s="14" t="s">
        <v>92</v>
      </c>
      <c r="S568" s="14" t="s">
        <v>92</v>
      </c>
      <c r="T568" s="14" t="s">
        <v>92</v>
      </c>
      <c r="U568" s="14" t="s">
        <v>93</v>
      </c>
      <c r="V568" s="14" t="s">
        <v>92</v>
      </c>
      <c r="W568" s="14" t="s">
        <v>92</v>
      </c>
      <c r="X568" s="14" t="s">
        <v>92</v>
      </c>
      <c r="Y568" s="14" t="s">
        <v>92</v>
      </c>
      <c r="Z568" s="14" t="s">
        <v>92</v>
      </c>
      <c r="AA568" s="14" t="s">
        <v>92</v>
      </c>
      <c r="AB568" s="8" t="s">
        <v>93</v>
      </c>
      <c r="AC568" s="8" t="s">
        <v>92</v>
      </c>
      <c r="AD568" s="8" t="s">
        <v>92</v>
      </c>
      <c r="AE568" s="14" t="s">
        <v>148</v>
      </c>
      <c r="AF568" s="14" t="s">
        <v>92</v>
      </c>
      <c r="AG568" s="14" t="s">
        <v>95</v>
      </c>
      <c r="AH568" s="8">
        <v>2022.0</v>
      </c>
      <c r="AI568" s="14" t="s">
        <v>105</v>
      </c>
      <c r="AJ568" s="14" t="s">
        <v>105</v>
      </c>
      <c r="AK568" s="14" t="s">
        <v>93</v>
      </c>
      <c r="AL568" s="14" t="s">
        <v>93</v>
      </c>
      <c r="AM568" s="8" t="s">
        <v>95</v>
      </c>
      <c r="AN568" s="14" t="s">
        <v>114</v>
      </c>
      <c r="AO568" s="8" t="s">
        <v>93</v>
      </c>
      <c r="AP568" s="8" t="s">
        <v>92</v>
      </c>
      <c r="AQ568" s="14" t="s">
        <v>92</v>
      </c>
      <c r="AR568" s="14" t="s">
        <v>92</v>
      </c>
      <c r="AS568" s="14" t="s">
        <v>92</v>
      </c>
      <c r="AT568" s="14" t="s">
        <v>92</v>
      </c>
      <c r="AU568" s="14" t="s">
        <v>92</v>
      </c>
      <c r="AV568" s="14" t="s">
        <v>93</v>
      </c>
      <c r="AW568" s="14" t="s">
        <v>93</v>
      </c>
      <c r="AX568" s="14" t="s">
        <v>93</v>
      </c>
      <c r="AY568" s="8" t="s">
        <v>2563</v>
      </c>
      <c r="AZ568" s="8" t="s">
        <v>92</v>
      </c>
      <c r="BA568" s="9" t="s">
        <v>2564</v>
      </c>
      <c r="BB568" s="8" t="s">
        <v>95</v>
      </c>
      <c r="BC568" s="8" t="s">
        <v>93</v>
      </c>
      <c r="BD568" s="14" t="s">
        <v>92</v>
      </c>
      <c r="BE568" s="14" t="s">
        <v>92</v>
      </c>
      <c r="BF568" s="14" t="s">
        <v>92</v>
      </c>
      <c r="BG568" s="14" t="s">
        <v>92</v>
      </c>
      <c r="BH568" s="14" t="s">
        <v>92</v>
      </c>
      <c r="BI568" s="14" t="s">
        <v>93</v>
      </c>
      <c r="BJ568" s="14" t="s">
        <v>93</v>
      </c>
      <c r="BK568" s="14" t="s">
        <v>2565</v>
      </c>
      <c r="BL568" s="14" t="s">
        <v>92</v>
      </c>
      <c r="BM568" s="14" t="s">
        <v>93</v>
      </c>
      <c r="BN568" s="14" t="s">
        <v>92</v>
      </c>
      <c r="BO568" s="14" t="s">
        <v>93</v>
      </c>
      <c r="BP568" s="14" t="s">
        <v>92</v>
      </c>
      <c r="BQ568" s="8" t="s">
        <v>93</v>
      </c>
      <c r="BR568" s="8" t="s">
        <v>92</v>
      </c>
      <c r="BS568" s="8" t="s">
        <v>92</v>
      </c>
      <c r="BT568" s="8" t="s">
        <v>92</v>
      </c>
      <c r="BU568" s="8" t="s">
        <v>92</v>
      </c>
      <c r="BV568" s="8" t="s">
        <v>92</v>
      </c>
      <c r="BW568" s="8" t="s">
        <v>92</v>
      </c>
      <c r="BX568" s="8" t="s">
        <v>92</v>
      </c>
      <c r="BY568" s="8" t="s">
        <v>92</v>
      </c>
      <c r="BZ568" s="8" t="s">
        <v>92</v>
      </c>
      <c r="CA568" s="8" t="s">
        <v>92</v>
      </c>
      <c r="CB568" s="20" t="s">
        <v>106</v>
      </c>
      <c r="CC568" s="20" t="s">
        <v>116</v>
      </c>
      <c r="CD568" s="18"/>
      <c r="CE568" s="18"/>
      <c r="CF568" s="18"/>
      <c r="CG568" s="18"/>
      <c r="CH568" s="18"/>
    </row>
    <row r="569">
      <c r="A569" s="8"/>
      <c r="B569" s="9" t="s">
        <v>2552</v>
      </c>
      <c r="C569" s="10" t="s">
        <v>2553</v>
      </c>
      <c r="D569" s="9" t="s">
        <v>2490</v>
      </c>
      <c r="E569" s="11" t="s">
        <v>2566</v>
      </c>
      <c r="F569" s="12"/>
      <c r="G569" s="14" t="s">
        <v>1362</v>
      </c>
      <c r="H569" s="14" t="s">
        <v>90</v>
      </c>
      <c r="I569" s="14" t="s">
        <v>2567</v>
      </c>
      <c r="J569" s="14" t="s">
        <v>92</v>
      </c>
      <c r="K569" s="14" t="s">
        <v>92</v>
      </c>
      <c r="L569" s="14" t="s">
        <v>92</v>
      </c>
      <c r="M569" s="14" t="s">
        <v>93</v>
      </c>
      <c r="N569" s="14" t="s">
        <v>92</v>
      </c>
      <c r="O569" s="14" t="s">
        <v>92</v>
      </c>
      <c r="P569" s="14" t="s">
        <v>92</v>
      </c>
      <c r="Q569" s="14" t="s">
        <v>93</v>
      </c>
      <c r="R569" s="14" t="s">
        <v>92</v>
      </c>
      <c r="S569" s="14" t="s">
        <v>92</v>
      </c>
      <c r="T569" s="14" t="s">
        <v>92</v>
      </c>
      <c r="U569" s="14" t="s">
        <v>93</v>
      </c>
      <c r="V569" s="14" t="s">
        <v>92</v>
      </c>
      <c r="W569" s="14" t="s">
        <v>92</v>
      </c>
      <c r="X569" s="14" t="s">
        <v>92</v>
      </c>
      <c r="Y569" s="14" t="s">
        <v>92</v>
      </c>
      <c r="Z569" s="14" t="s">
        <v>92</v>
      </c>
      <c r="AA569" s="14" t="s">
        <v>92</v>
      </c>
      <c r="AB569" s="8" t="s">
        <v>93</v>
      </c>
      <c r="AC569" s="8" t="s">
        <v>92</v>
      </c>
      <c r="AD569" s="8" t="s">
        <v>92</v>
      </c>
      <c r="AE569" s="14" t="s">
        <v>94</v>
      </c>
      <c r="AF569" s="14" t="s">
        <v>92</v>
      </c>
      <c r="AG569" s="14" t="s">
        <v>95</v>
      </c>
      <c r="AH569" s="8" t="s">
        <v>105</v>
      </c>
      <c r="AI569" s="14" t="s">
        <v>105</v>
      </c>
      <c r="AJ569" s="14" t="s">
        <v>105</v>
      </c>
      <c r="AK569" s="14" t="s">
        <v>92</v>
      </c>
      <c r="AL569" s="14" t="s">
        <v>93</v>
      </c>
      <c r="AM569" s="8" t="s">
        <v>95</v>
      </c>
      <c r="AN569" s="14" t="s">
        <v>114</v>
      </c>
      <c r="AO569" s="8" t="s">
        <v>92</v>
      </c>
      <c r="AP569" s="8" t="s">
        <v>92</v>
      </c>
      <c r="AQ569" s="14" t="s">
        <v>92</v>
      </c>
      <c r="AR569" s="14" t="s">
        <v>92</v>
      </c>
      <c r="AS569" s="14" t="s">
        <v>92</v>
      </c>
      <c r="AT569" s="14" t="s">
        <v>92</v>
      </c>
      <c r="AU569" s="14" t="s">
        <v>92</v>
      </c>
      <c r="AV569" s="14" t="s">
        <v>93</v>
      </c>
      <c r="AW569" s="14" t="s">
        <v>93</v>
      </c>
      <c r="AX569" s="14" t="s">
        <v>93</v>
      </c>
      <c r="AY569" s="8" t="s">
        <v>95</v>
      </c>
      <c r="AZ569" s="8" t="s">
        <v>95</v>
      </c>
      <c r="BA569" s="30" t="s">
        <v>2552</v>
      </c>
      <c r="BB569" s="8" t="s">
        <v>213</v>
      </c>
      <c r="BC569" s="8" t="s">
        <v>92</v>
      </c>
      <c r="BD569" s="14" t="s">
        <v>92</v>
      </c>
      <c r="BE569" s="14" t="s">
        <v>92</v>
      </c>
      <c r="BF569" s="14" t="s">
        <v>92</v>
      </c>
      <c r="BG569" s="14" t="s">
        <v>92</v>
      </c>
      <c r="BH569" s="14" t="s">
        <v>92</v>
      </c>
      <c r="BI569" s="14" t="s">
        <v>93</v>
      </c>
      <c r="BJ569" s="14" t="s">
        <v>92</v>
      </c>
      <c r="BK569" s="14" t="s">
        <v>2568</v>
      </c>
      <c r="BL569" s="14" t="s">
        <v>93</v>
      </c>
      <c r="BM569" s="14" t="s">
        <v>93</v>
      </c>
      <c r="BN569" s="14" t="s">
        <v>92</v>
      </c>
      <c r="BO569" s="14" t="s">
        <v>93</v>
      </c>
      <c r="BP569" s="14" t="s">
        <v>92</v>
      </c>
      <c r="BQ569" s="8" t="s">
        <v>93</v>
      </c>
      <c r="BR569" s="8" t="s">
        <v>92</v>
      </c>
      <c r="BS569" s="8" t="s">
        <v>92</v>
      </c>
      <c r="BT569" s="8" t="s">
        <v>92</v>
      </c>
      <c r="BU569" s="8" t="s">
        <v>92</v>
      </c>
      <c r="BV569" s="8" t="s">
        <v>92</v>
      </c>
      <c r="BW569" s="8" t="s">
        <v>92</v>
      </c>
      <c r="BX569" s="8" t="s">
        <v>92</v>
      </c>
      <c r="BY569" s="8" t="s">
        <v>92</v>
      </c>
      <c r="BZ569" s="8" t="s">
        <v>92</v>
      </c>
      <c r="CA569" s="8" t="s">
        <v>92</v>
      </c>
      <c r="CB569" s="20" t="s">
        <v>116</v>
      </c>
      <c r="CC569" s="17"/>
      <c r="CD569" s="18"/>
      <c r="CE569" s="18"/>
      <c r="CF569" s="18"/>
      <c r="CG569" s="18"/>
      <c r="CH569" s="18"/>
    </row>
    <row r="570">
      <c r="A570" s="8"/>
      <c r="B570" s="62" t="s">
        <v>2569</v>
      </c>
      <c r="C570" s="10" t="s">
        <v>2570</v>
      </c>
      <c r="D570" s="9" t="s">
        <v>2490</v>
      </c>
      <c r="E570" s="11" t="s">
        <v>2571</v>
      </c>
      <c r="F570" s="12"/>
      <c r="G570" s="14" t="s">
        <v>2572</v>
      </c>
      <c r="H570" s="14" t="s">
        <v>110</v>
      </c>
      <c r="I570" s="14" t="s">
        <v>2573</v>
      </c>
      <c r="J570" s="14" t="s">
        <v>92</v>
      </c>
      <c r="K570" s="14" t="s">
        <v>92</v>
      </c>
      <c r="L570" s="14" t="s">
        <v>92</v>
      </c>
      <c r="M570" s="14" t="s">
        <v>92</v>
      </c>
      <c r="N570" s="14" t="s">
        <v>92</v>
      </c>
      <c r="O570" s="14" t="s">
        <v>92</v>
      </c>
      <c r="P570" s="14" t="s">
        <v>92</v>
      </c>
      <c r="Q570" s="14" t="s">
        <v>92</v>
      </c>
      <c r="R570" s="14" t="s">
        <v>92</v>
      </c>
      <c r="S570" s="14" t="s">
        <v>92</v>
      </c>
      <c r="T570" s="14" t="s">
        <v>92</v>
      </c>
      <c r="U570" s="14" t="s">
        <v>93</v>
      </c>
      <c r="V570" s="14" t="s">
        <v>92</v>
      </c>
      <c r="W570" s="14" t="s">
        <v>93</v>
      </c>
      <c r="X570" s="14" t="s">
        <v>92</v>
      </c>
      <c r="Y570" s="14" t="s">
        <v>92</v>
      </c>
      <c r="Z570" s="14" t="s">
        <v>92</v>
      </c>
      <c r="AA570" s="14" t="s">
        <v>92</v>
      </c>
      <c r="AB570" s="8" t="s">
        <v>93</v>
      </c>
      <c r="AC570" s="8" t="s">
        <v>92</v>
      </c>
      <c r="AD570" s="8" t="s">
        <v>92</v>
      </c>
      <c r="AE570" s="14" t="s">
        <v>94</v>
      </c>
      <c r="AF570" s="14" t="s">
        <v>92</v>
      </c>
      <c r="AG570" s="14" t="s">
        <v>95</v>
      </c>
      <c r="AH570" s="8">
        <v>2023.0</v>
      </c>
      <c r="AI570" s="14" t="s">
        <v>105</v>
      </c>
      <c r="AJ570" s="14" t="s">
        <v>105</v>
      </c>
      <c r="AK570" s="14" t="s">
        <v>105</v>
      </c>
      <c r="AL570" s="14" t="s">
        <v>93</v>
      </c>
      <c r="AM570" s="8" t="s">
        <v>95</v>
      </c>
      <c r="AN570" s="14" t="s">
        <v>114</v>
      </c>
      <c r="AO570" s="8" t="s">
        <v>92</v>
      </c>
      <c r="AP570" s="8" t="s">
        <v>92</v>
      </c>
      <c r="AQ570" s="14" t="s">
        <v>92</v>
      </c>
      <c r="AR570" s="14" t="s">
        <v>92</v>
      </c>
      <c r="AS570" s="14" t="s">
        <v>92</v>
      </c>
      <c r="AT570" s="14" t="s">
        <v>92</v>
      </c>
      <c r="AU570" s="14" t="s">
        <v>92</v>
      </c>
      <c r="AV570" s="14" t="s">
        <v>92</v>
      </c>
      <c r="AW570" s="14" t="s">
        <v>93</v>
      </c>
      <c r="AX570" s="14" t="s">
        <v>93</v>
      </c>
      <c r="AY570" s="8" t="s">
        <v>95</v>
      </c>
      <c r="AZ570" s="8" t="s">
        <v>95</v>
      </c>
      <c r="BA570" s="9" t="s">
        <v>532</v>
      </c>
      <c r="BB570" s="8" t="s">
        <v>533</v>
      </c>
      <c r="BC570" s="8" t="s">
        <v>92</v>
      </c>
      <c r="BD570" s="14" t="s">
        <v>92</v>
      </c>
      <c r="BE570" s="14" t="s">
        <v>92</v>
      </c>
      <c r="BF570" s="14" t="s">
        <v>92</v>
      </c>
      <c r="BG570" s="14" t="s">
        <v>92</v>
      </c>
      <c r="BH570" s="14" t="s">
        <v>92</v>
      </c>
      <c r="BI570" s="14" t="s">
        <v>93</v>
      </c>
      <c r="BJ570" s="14" t="s">
        <v>92</v>
      </c>
      <c r="BK570" s="14" t="s">
        <v>105</v>
      </c>
      <c r="BL570" s="14" t="s">
        <v>105</v>
      </c>
      <c r="BM570" s="14" t="s">
        <v>105</v>
      </c>
      <c r="BN570" s="14" t="s">
        <v>105</v>
      </c>
      <c r="BO570" s="14" t="s">
        <v>105</v>
      </c>
      <c r="BP570" s="14" t="s">
        <v>105</v>
      </c>
      <c r="BQ570" s="8" t="s">
        <v>93</v>
      </c>
      <c r="BR570" s="8" t="s">
        <v>92</v>
      </c>
      <c r="BS570" s="8" t="s">
        <v>92</v>
      </c>
      <c r="BT570" s="8" t="s">
        <v>92</v>
      </c>
      <c r="BU570" s="8" t="s">
        <v>92</v>
      </c>
      <c r="BV570" s="8" t="s">
        <v>92</v>
      </c>
      <c r="BW570" s="8" t="s">
        <v>93</v>
      </c>
      <c r="BX570" s="8" t="s">
        <v>92</v>
      </c>
      <c r="BY570" s="8" t="s">
        <v>92</v>
      </c>
      <c r="BZ570" s="8" t="s">
        <v>92</v>
      </c>
      <c r="CA570" s="8" t="s">
        <v>92</v>
      </c>
      <c r="CB570" s="20" t="s">
        <v>2574</v>
      </c>
      <c r="CC570" s="17"/>
      <c r="CD570" s="18"/>
      <c r="CE570" s="18"/>
      <c r="CF570" s="18"/>
      <c r="CG570" s="18"/>
      <c r="CH570" s="18"/>
    </row>
    <row r="571">
      <c r="A571" s="8"/>
      <c r="B571" s="62" t="s">
        <v>2569</v>
      </c>
      <c r="C571" s="10" t="s">
        <v>2570</v>
      </c>
      <c r="D571" s="9" t="s">
        <v>2490</v>
      </c>
      <c r="E571" s="11" t="s">
        <v>2575</v>
      </c>
      <c r="F571" s="12"/>
      <c r="G571" s="14" t="s">
        <v>2576</v>
      </c>
      <c r="H571" s="14" t="s">
        <v>189</v>
      </c>
      <c r="I571" s="14" t="s">
        <v>2577</v>
      </c>
      <c r="J571" s="14" t="s">
        <v>92</v>
      </c>
      <c r="K571" s="14" t="s">
        <v>93</v>
      </c>
      <c r="L571" s="14" t="s">
        <v>93</v>
      </c>
      <c r="M571" s="14" t="s">
        <v>93</v>
      </c>
      <c r="N571" s="14" t="s">
        <v>92</v>
      </c>
      <c r="O571" s="14" t="s">
        <v>92</v>
      </c>
      <c r="P571" s="14" t="s">
        <v>92</v>
      </c>
      <c r="Q571" s="14" t="s">
        <v>92</v>
      </c>
      <c r="R571" s="14" t="s">
        <v>92</v>
      </c>
      <c r="S571" s="14" t="s">
        <v>92</v>
      </c>
      <c r="T571" s="14" t="s">
        <v>92</v>
      </c>
      <c r="U571" s="14" t="s">
        <v>93</v>
      </c>
      <c r="V571" s="14" t="s">
        <v>92</v>
      </c>
      <c r="W571" s="14" t="s">
        <v>92</v>
      </c>
      <c r="X571" s="14" t="s">
        <v>92</v>
      </c>
      <c r="Y571" s="14" t="s">
        <v>92</v>
      </c>
      <c r="Z571" s="14" t="s">
        <v>92</v>
      </c>
      <c r="AA571" s="14" t="s">
        <v>92</v>
      </c>
      <c r="AB571" s="8" t="s">
        <v>93</v>
      </c>
      <c r="AC571" s="8" t="s">
        <v>92</v>
      </c>
      <c r="AD571" s="8" t="s">
        <v>92</v>
      </c>
      <c r="AE571" s="14" t="s">
        <v>148</v>
      </c>
      <c r="AF571" s="14" t="s">
        <v>92</v>
      </c>
      <c r="AG571" s="14" t="s">
        <v>95</v>
      </c>
      <c r="AH571" s="8">
        <v>2007.0</v>
      </c>
      <c r="AI571" s="14" t="s">
        <v>93</v>
      </c>
      <c r="AJ571" s="14" t="s">
        <v>93</v>
      </c>
      <c r="AK571" s="14" t="s">
        <v>93</v>
      </c>
      <c r="AL571" s="14" t="s">
        <v>93</v>
      </c>
      <c r="AM571" s="8" t="s">
        <v>95</v>
      </c>
      <c r="AN571" s="14" t="s">
        <v>114</v>
      </c>
      <c r="AO571" s="8" t="s">
        <v>93</v>
      </c>
      <c r="AP571" s="8" t="s">
        <v>92</v>
      </c>
      <c r="AQ571" s="14" t="s">
        <v>92</v>
      </c>
      <c r="AR571" s="14" t="s">
        <v>92</v>
      </c>
      <c r="AS571" s="14" t="s">
        <v>92</v>
      </c>
      <c r="AT571" s="14" t="s">
        <v>92</v>
      </c>
      <c r="AU571" s="14" t="s">
        <v>92</v>
      </c>
      <c r="AV571" s="14" t="s">
        <v>92</v>
      </c>
      <c r="AW571" s="14" t="s">
        <v>93</v>
      </c>
      <c r="AX571" s="14" t="s">
        <v>93</v>
      </c>
      <c r="AY571" s="8" t="s">
        <v>95</v>
      </c>
      <c r="AZ571" s="8" t="s">
        <v>95</v>
      </c>
      <c r="BA571" s="9" t="s">
        <v>1983</v>
      </c>
      <c r="BB571" s="8" t="s">
        <v>105</v>
      </c>
      <c r="BC571" s="8" t="s">
        <v>105</v>
      </c>
      <c r="BD571" s="14" t="s">
        <v>92</v>
      </c>
      <c r="BE571" s="14" t="s">
        <v>92</v>
      </c>
      <c r="BF571" s="14" t="s">
        <v>92</v>
      </c>
      <c r="BG571" s="14" t="s">
        <v>92</v>
      </c>
      <c r="BH571" s="14" t="s">
        <v>92</v>
      </c>
      <c r="BI571" s="14" t="s">
        <v>93</v>
      </c>
      <c r="BJ571" s="14" t="s">
        <v>92</v>
      </c>
      <c r="BK571" s="14" t="s">
        <v>2578</v>
      </c>
      <c r="BL571" s="14" t="s">
        <v>92</v>
      </c>
      <c r="BM571" s="14" t="s">
        <v>92</v>
      </c>
      <c r="BN571" s="14" t="s">
        <v>92</v>
      </c>
      <c r="BO571" s="14" t="s">
        <v>92</v>
      </c>
      <c r="BP571" s="14" t="s">
        <v>93</v>
      </c>
      <c r="BQ571" s="8" t="s">
        <v>93</v>
      </c>
      <c r="BR571" s="8" t="s">
        <v>92</v>
      </c>
      <c r="BS571" s="8" t="s">
        <v>92</v>
      </c>
      <c r="BT571" s="8" t="s">
        <v>92</v>
      </c>
      <c r="BU571" s="8" t="s">
        <v>92</v>
      </c>
      <c r="BV571" s="8" t="s">
        <v>92</v>
      </c>
      <c r="BW571" s="8" t="s">
        <v>92</v>
      </c>
      <c r="BX571" s="8" t="s">
        <v>92</v>
      </c>
      <c r="BY571" s="8" t="s">
        <v>92</v>
      </c>
      <c r="BZ571" s="8" t="s">
        <v>92</v>
      </c>
      <c r="CA571" s="8" t="s">
        <v>92</v>
      </c>
      <c r="CB571" s="20" t="s">
        <v>2579</v>
      </c>
      <c r="CC571" s="20" t="s">
        <v>2574</v>
      </c>
      <c r="CD571" s="18"/>
      <c r="CE571" s="18"/>
      <c r="CF571" s="18"/>
      <c r="CG571" s="18"/>
      <c r="CH571" s="18"/>
    </row>
    <row r="572">
      <c r="A572" s="8"/>
      <c r="B572" s="9" t="s">
        <v>2580</v>
      </c>
      <c r="C572" s="10" t="s">
        <v>2581</v>
      </c>
      <c r="D572" s="9" t="s">
        <v>2490</v>
      </c>
      <c r="E572" s="11" t="s">
        <v>2582</v>
      </c>
      <c r="F572" s="12"/>
      <c r="G572" s="14" t="s">
        <v>2583</v>
      </c>
      <c r="H572" s="14" t="s">
        <v>110</v>
      </c>
      <c r="I572" s="14" t="s">
        <v>2584</v>
      </c>
      <c r="J572" s="14" t="s">
        <v>92</v>
      </c>
      <c r="K572" s="14" t="s">
        <v>92</v>
      </c>
      <c r="L572" s="14" t="s">
        <v>92</v>
      </c>
      <c r="M572" s="14" t="s">
        <v>92</v>
      </c>
      <c r="N572" s="14" t="s">
        <v>93</v>
      </c>
      <c r="O572" s="14" t="s">
        <v>92</v>
      </c>
      <c r="P572" s="14" t="s">
        <v>92</v>
      </c>
      <c r="Q572" s="14" t="s">
        <v>92</v>
      </c>
      <c r="R572" s="14" t="s">
        <v>92</v>
      </c>
      <c r="S572" s="14" t="s">
        <v>92</v>
      </c>
      <c r="T572" s="14" t="s">
        <v>93</v>
      </c>
      <c r="U572" s="14" t="s">
        <v>92</v>
      </c>
      <c r="V572" s="14" t="s">
        <v>92</v>
      </c>
      <c r="W572" s="14" t="s">
        <v>92</v>
      </c>
      <c r="X572" s="14" t="s">
        <v>92</v>
      </c>
      <c r="Y572" s="14" t="s">
        <v>92</v>
      </c>
      <c r="Z572" s="14" t="s">
        <v>92</v>
      </c>
      <c r="AA572" s="14" t="s">
        <v>92</v>
      </c>
      <c r="AB572" s="8" t="s">
        <v>93</v>
      </c>
      <c r="AC572" s="8" t="s">
        <v>92</v>
      </c>
      <c r="AD572" s="8" t="s">
        <v>92</v>
      </c>
      <c r="AE572" s="14" t="s">
        <v>148</v>
      </c>
      <c r="AF572" s="14" t="s">
        <v>93</v>
      </c>
      <c r="AG572" s="14" t="s">
        <v>2585</v>
      </c>
      <c r="AH572" s="8">
        <v>2022.0</v>
      </c>
      <c r="AI572" s="14" t="s">
        <v>92</v>
      </c>
      <c r="AJ572" s="14" t="s">
        <v>92</v>
      </c>
      <c r="AK572" s="14" t="s">
        <v>93</v>
      </c>
      <c r="AL572" s="14" t="s">
        <v>93</v>
      </c>
      <c r="AM572" s="8" t="s">
        <v>95</v>
      </c>
      <c r="AN572" s="14" t="s">
        <v>114</v>
      </c>
      <c r="AO572" s="8" t="s">
        <v>93</v>
      </c>
      <c r="AP572" s="8" t="s">
        <v>92</v>
      </c>
      <c r="AQ572" s="14" t="s">
        <v>92</v>
      </c>
      <c r="AR572" s="14" t="s">
        <v>92</v>
      </c>
      <c r="AS572" s="14" t="s">
        <v>92</v>
      </c>
      <c r="AT572" s="14" t="s">
        <v>92</v>
      </c>
      <c r="AU572" s="14" t="s">
        <v>92</v>
      </c>
      <c r="AV572" s="14" t="s">
        <v>92</v>
      </c>
      <c r="AW572" s="14" t="s">
        <v>93</v>
      </c>
      <c r="AX572" s="14" t="s">
        <v>93</v>
      </c>
      <c r="AY572" s="8" t="s">
        <v>95</v>
      </c>
      <c r="AZ572" s="8" t="s">
        <v>95</v>
      </c>
      <c r="BA572" s="9" t="s">
        <v>2586</v>
      </c>
      <c r="BB572" s="8" t="s">
        <v>97</v>
      </c>
      <c r="BC572" s="8" t="s">
        <v>92</v>
      </c>
      <c r="BD572" s="14" t="s">
        <v>92</v>
      </c>
      <c r="BE572" s="14" t="s">
        <v>92</v>
      </c>
      <c r="BF572" s="14" t="s">
        <v>92</v>
      </c>
      <c r="BG572" s="14" t="s">
        <v>92</v>
      </c>
      <c r="BH572" s="14" t="s">
        <v>92</v>
      </c>
      <c r="BI572" s="14" t="s">
        <v>93</v>
      </c>
      <c r="BJ572" s="14" t="s">
        <v>92</v>
      </c>
      <c r="BK572" s="14" t="s">
        <v>2587</v>
      </c>
      <c r="BL572" s="14" t="s">
        <v>92</v>
      </c>
      <c r="BM572" s="14" t="s">
        <v>92</v>
      </c>
      <c r="BN572" s="14" t="s">
        <v>92</v>
      </c>
      <c r="BO572" s="14" t="s">
        <v>93</v>
      </c>
      <c r="BP572" s="14" t="s">
        <v>93</v>
      </c>
      <c r="BQ572" s="8" t="s">
        <v>92</v>
      </c>
      <c r="BR572" s="8" t="s">
        <v>93</v>
      </c>
      <c r="BS572" s="8" t="s">
        <v>92</v>
      </c>
      <c r="BT572" s="8" t="s">
        <v>92</v>
      </c>
      <c r="BU572" s="8" t="s">
        <v>92</v>
      </c>
      <c r="BV572" s="8" t="s">
        <v>92</v>
      </c>
      <c r="BW572" s="8" t="s">
        <v>92</v>
      </c>
      <c r="BX572" s="8" t="s">
        <v>92</v>
      </c>
      <c r="BY572" s="8" t="s">
        <v>92</v>
      </c>
      <c r="BZ572" s="8" t="s">
        <v>92</v>
      </c>
      <c r="CA572" s="8" t="s">
        <v>92</v>
      </c>
      <c r="CB572" s="20" t="s">
        <v>106</v>
      </c>
      <c r="CC572" s="20" t="s">
        <v>116</v>
      </c>
      <c r="CD572" s="18"/>
      <c r="CE572" s="18"/>
      <c r="CF572" s="18"/>
      <c r="CG572" s="18"/>
      <c r="CH572" s="18"/>
    </row>
    <row r="573">
      <c r="A573" s="8"/>
      <c r="B573" s="9" t="s">
        <v>2580</v>
      </c>
      <c r="C573" s="10" t="s">
        <v>2581</v>
      </c>
      <c r="D573" s="9" t="s">
        <v>2490</v>
      </c>
      <c r="E573" s="11" t="s">
        <v>2588</v>
      </c>
      <c r="F573" s="25"/>
      <c r="G573" s="14" t="s">
        <v>2589</v>
      </c>
      <c r="H573" s="14" t="s">
        <v>189</v>
      </c>
      <c r="I573" s="14" t="s">
        <v>2590</v>
      </c>
      <c r="J573" s="14" t="s">
        <v>92</v>
      </c>
      <c r="K573" s="14" t="s">
        <v>92</v>
      </c>
      <c r="L573" s="14" t="s">
        <v>92</v>
      </c>
      <c r="M573" s="14" t="s">
        <v>93</v>
      </c>
      <c r="N573" s="14" t="s">
        <v>92</v>
      </c>
      <c r="O573" s="14" t="s">
        <v>92</v>
      </c>
      <c r="P573" s="14" t="s">
        <v>93</v>
      </c>
      <c r="Q573" s="14" t="s">
        <v>92</v>
      </c>
      <c r="R573" s="14" t="s">
        <v>92</v>
      </c>
      <c r="S573" s="14" t="s">
        <v>92</v>
      </c>
      <c r="T573" s="14" t="s">
        <v>92</v>
      </c>
      <c r="U573" s="14" t="s">
        <v>93</v>
      </c>
      <c r="V573" s="14" t="s">
        <v>92</v>
      </c>
      <c r="W573" s="14" t="s">
        <v>92</v>
      </c>
      <c r="X573" s="14" t="s">
        <v>92</v>
      </c>
      <c r="Y573" s="14" t="s">
        <v>92</v>
      </c>
      <c r="Z573" s="14" t="s">
        <v>92</v>
      </c>
      <c r="AA573" s="14" t="s">
        <v>92</v>
      </c>
      <c r="AB573" s="8" t="s">
        <v>93</v>
      </c>
      <c r="AC573" s="8" t="s">
        <v>92</v>
      </c>
      <c r="AD573" s="8" t="s">
        <v>92</v>
      </c>
      <c r="AE573" s="14" t="s">
        <v>94</v>
      </c>
      <c r="AF573" s="14" t="s">
        <v>92</v>
      </c>
      <c r="AG573" s="14" t="s">
        <v>95</v>
      </c>
      <c r="AH573" s="8">
        <v>2023.0</v>
      </c>
      <c r="AI573" s="14" t="s">
        <v>92</v>
      </c>
      <c r="AJ573" s="14" t="s">
        <v>92</v>
      </c>
      <c r="AK573" s="14" t="s">
        <v>92</v>
      </c>
      <c r="AL573" s="14" t="s">
        <v>93</v>
      </c>
      <c r="AM573" s="8">
        <v>2023.0</v>
      </c>
      <c r="AN573" s="14" t="s">
        <v>96</v>
      </c>
      <c r="AO573" s="8" t="s">
        <v>92</v>
      </c>
      <c r="AP573" s="8" t="s">
        <v>93</v>
      </c>
      <c r="AQ573" s="14" t="s">
        <v>92</v>
      </c>
      <c r="AR573" s="14" t="s">
        <v>92</v>
      </c>
      <c r="AS573" s="14" t="s">
        <v>92</v>
      </c>
      <c r="AT573" s="14" t="s">
        <v>92</v>
      </c>
      <c r="AU573" s="14" t="s">
        <v>92</v>
      </c>
      <c r="AV573" s="14" t="s">
        <v>92</v>
      </c>
      <c r="AW573" s="14" t="s">
        <v>93</v>
      </c>
      <c r="AX573" s="14" t="s">
        <v>93</v>
      </c>
      <c r="AY573" s="8" t="s">
        <v>95</v>
      </c>
      <c r="AZ573" s="8" t="s">
        <v>95</v>
      </c>
      <c r="BA573" s="9" t="s">
        <v>2586</v>
      </c>
      <c r="BB573" s="8" t="s">
        <v>97</v>
      </c>
      <c r="BC573" s="8" t="s">
        <v>92</v>
      </c>
      <c r="BD573" s="14" t="s">
        <v>92</v>
      </c>
      <c r="BE573" s="14" t="s">
        <v>92</v>
      </c>
      <c r="BF573" s="14" t="s">
        <v>92</v>
      </c>
      <c r="BG573" s="14" t="s">
        <v>92</v>
      </c>
      <c r="BH573" s="14" t="s">
        <v>92</v>
      </c>
      <c r="BI573" s="14" t="s">
        <v>93</v>
      </c>
      <c r="BJ573" s="14" t="s">
        <v>92</v>
      </c>
      <c r="BK573" s="14" t="s">
        <v>98</v>
      </c>
      <c r="BL573" s="14" t="s">
        <v>92</v>
      </c>
      <c r="BM573" s="14" t="s">
        <v>92</v>
      </c>
      <c r="BN573" s="14" t="s">
        <v>92</v>
      </c>
      <c r="BO573" s="14" t="s">
        <v>92</v>
      </c>
      <c r="BP573" s="14" t="s">
        <v>93</v>
      </c>
      <c r="BQ573" s="8" t="s">
        <v>93</v>
      </c>
      <c r="BR573" s="8" t="s">
        <v>92</v>
      </c>
      <c r="BS573" s="8" t="s">
        <v>92</v>
      </c>
      <c r="BT573" s="8" t="s">
        <v>92</v>
      </c>
      <c r="BU573" s="8" t="s">
        <v>92</v>
      </c>
      <c r="BV573" s="8" t="s">
        <v>92</v>
      </c>
      <c r="BW573" s="8" t="s">
        <v>92</v>
      </c>
      <c r="BX573" s="8" t="s">
        <v>92</v>
      </c>
      <c r="BY573" s="8" t="s">
        <v>92</v>
      </c>
      <c r="BZ573" s="8" t="s">
        <v>92</v>
      </c>
      <c r="CA573" s="8" t="s">
        <v>92</v>
      </c>
      <c r="CB573" s="20" t="s">
        <v>116</v>
      </c>
      <c r="CC573" s="17"/>
      <c r="CD573" s="18"/>
      <c r="CE573" s="18"/>
      <c r="CF573" s="18"/>
      <c r="CG573" s="18"/>
      <c r="CH573" s="18"/>
    </row>
    <row r="574">
      <c r="A574" s="8"/>
      <c r="B574" s="9" t="s">
        <v>2591</v>
      </c>
      <c r="C574" s="10" t="s">
        <v>2592</v>
      </c>
      <c r="D574" s="9" t="s">
        <v>2490</v>
      </c>
      <c r="E574" s="11" t="s">
        <v>2593</v>
      </c>
      <c r="F574" s="25"/>
      <c r="G574" s="9" t="s">
        <v>2594</v>
      </c>
      <c r="H574" s="14" t="s">
        <v>90</v>
      </c>
      <c r="I574" s="14" t="s">
        <v>2595</v>
      </c>
      <c r="J574" s="14" t="s">
        <v>92</v>
      </c>
      <c r="K574" s="14" t="s">
        <v>93</v>
      </c>
      <c r="L574" s="14" t="s">
        <v>92</v>
      </c>
      <c r="M574" s="14" t="s">
        <v>93</v>
      </c>
      <c r="N574" s="14" t="s">
        <v>92</v>
      </c>
      <c r="O574" s="14" t="s">
        <v>92</v>
      </c>
      <c r="P574" s="14" t="s">
        <v>92</v>
      </c>
      <c r="Q574" s="14" t="s">
        <v>92</v>
      </c>
      <c r="R574" s="14" t="s">
        <v>92</v>
      </c>
      <c r="S574" s="14" t="s">
        <v>93</v>
      </c>
      <c r="T574" s="14" t="s">
        <v>92</v>
      </c>
      <c r="U574" s="14" t="s">
        <v>92</v>
      </c>
      <c r="V574" s="14" t="s">
        <v>92</v>
      </c>
      <c r="W574" s="14" t="s">
        <v>92</v>
      </c>
      <c r="X574" s="14" t="s">
        <v>92</v>
      </c>
      <c r="Y574" s="14" t="s">
        <v>93</v>
      </c>
      <c r="Z574" s="14" t="s">
        <v>93</v>
      </c>
      <c r="AA574" s="14" t="s">
        <v>92</v>
      </c>
      <c r="AB574" s="8" t="s">
        <v>93</v>
      </c>
      <c r="AC574" s="8" t="s">
        <v>93</v>
      </c>
      <c r="AD574" s="8" t="s">
        <v>92</v>
      </c>
      <c r="AE574" s="14" t="s">
        <v>112</v>
      </c>
      <c r="AF574" s="14" t="s">
        <v>92</v>
      </c>
      <c r="AG574" s="14" t="s">
        <v>95</v>
      </c>
      <c r="AH574" s="8" t="s">
        <v>105</v>
      </c>
      <c r="AI574" s="14" t="s">
        <v>105</v>
      </c>
      <c r="AJ574" s="14" t="s">
        <v>92</v>
      </c>
      <c r="AK574" s="14" t="s">
        <v>93</v>
      </c>
      <c r="AL574" s="14" t="s">
        <v>105</v>
      </c>
      <c r="AM574" s="8" t="s">
        <v>105</v>
      </c>
      <c r="AN574" s="14" t="s">
        <v>105</v>
      </c>
      <c r="AO574" s="8" t="s">
        <v>105</v>
      </c>
      <c r="AP574" s="8" t="s">
        <v>92</v>
      </c>
      <c r="AQ574" s="14" t="s">
        <v>92</v>
      </c>
      <c r="AR574" s="14" t="s">
        <v>92</v>
      </c>
      <c r="AS574" s="14" t="s">
        <v>93</v>
      </c>
      <c r="AT574" s="14" t="s">
        <v>92</v>
      </c>
      <c r="AU574" s="14" t="s">
        <v>92</v>
      </c>
      <c r="AV574" s="14" t="s">
        <v>92</v>
      </c>
      <c r="AW574" s="14" t="s">
        <v>92</v>
      </c>
      <c r="AX574" s="14" t="s">
        <v>92</v>
      </c>
      <c r="AY574" s="8" t="s">
        <v>2596</v>
      </c>
      <c r="AZ574" s="8" t="s">
        <v>92</v>
      </c>
      <c r="BA574" s="9" t="s">
        <v>2597</v>
      </c>
      <c r="BB574" s="8" t="s">
        <v>261</v>
      </c>
      <c r="BC574" s="8" t="s">
        <v>92</v>
      </c>
      <c r="BD574" s="14" t="s">
        <v>93</v>
      </c>
      <c r="BE574" s="14" t="s">
        <v>92</v>
      </c>
      <c r="BF574" s="14" t="s">
        <v>92</v>
      </c>
      <c r="BG574" s="14" t="s">
        <v>92</v>
      </c>
      <c r="BH574" s="14" t="s">
        <v>92</v>
      </c>
      <c r="BI574" s="14" t="s">
        <v>92</v>
      </c>
      <c r="BJ574" s="14" t="s">
        <v>92</v>
      </c>
      <c r="BK574" s="14" t="s">
        <v>2598</v>
      </c>
      <c r="BL574" s="14" t="s">
        <v>92</v>
      </c>
      <c r="BM574" s="14" t="s">
        <v>92</v>
      </c>
      <c r="BN574" s="14" t="s">
        <v>92</v>
      </c>
      <c r="BO574" s="14" t="s">
        <v>93</v>
      </c>
      <c r="BP574" s="14" t="s">
        <v>92</v>
      </c>
      <c r="BQ574" s="8" t="s">
        <v>92</v>
      </c>
      <c r="BR574" s="8" t="s">
        <v>92</v>
      </c>
      <c r="BS574" s="8" t="s">
        <v>93</v>
      </c>
      <c r="BT574" s="8" t="s">
        <v>93</v>
      </c>
      <c r="BU574" s="8" t="s">
        <v>93</v>
      </c>
      <c r="BV574" s="8" t="s">
        <v>93</v>
      </c>
      <c r="BW574" s="8" t="s">
        <v>92</v>
      </c>
      <c r="BX574" s="8" t="s">
        <v>92</v>
      </c>
      <c r="BY574" s="8" t="s">
        <v>92</v>
      </c>
      <c r="BZ574" s="8" t="s">
        <v>93</v>
      </c>
      <c r="CA574" s="8" t="s">
        <v>92</v>
      </c>
      <c r="CB574" s="20" t="s">
        <v>106</v>
      </c>
      <c r="CC574" s="17"/>
      <c r="CD574" s="18"/>
      <c r="CE574" s="18"/>
      <c r="CF574" s="18"/>
      <c r="CG574" s="18"/>
      <c r="CH574" s="18"/>
    </row>
    <row r="575">
      <c r="A575" s="8"/>
      <c r="B575" s="9" t="s">
        <v>2591</v>
      </c>
      <c r="C575" s="10" t="s">
        <v>2592</v>
      </c>
      <c r="D575" s="9" t="s">
        <v>2490</v>
      </c>
      <c r="E575" s="11" t="s">
        <v>2599</v>
      </c>
      <c r="F575" s="12"/>
      <c r="G575" s="14" t="s">
        <v>2600</v>
      </c>
      <c r="H575" s="14" t="s">
        <v>90</v>
      </c>
      <c r="I575" s="14" t="s">
        <v>2601</v>
      </c>
      <c r="J575" s="14" t="s">
        <v>93</v>
      </c>
      <c r="K575" s="14" t="s">
        <v>92</v>
      </c>
      <c r="L575" s="14" t="s">
        <v>92</v>
      </c>
      <c r="M575" s="14" t="s">
        <v>92</v>
      </c>
      <c r="N575" s="14" t="s">
        <v>92</v>
      </c>
      <c r="O575" s="14" t="s">
        <v>92</v>
      </c>
      <c r="P575" s="14" t="s">
        <v>92</v>
      </c>
      <c r="Q575" s="14" t="s">
        <v>92</v>
      </c>
      <c r="R575" s="14" t="s">
        <v>92</v>
      </c>
      <c r="S575" s="14" t="s">
        <v>93</v>
      </c>
      <c r="T575" s="14" t="s">
        <v>92</v>
      </c>
      <c r="U575" s="14" t="s">
        <v>92</v>
      </c>
      <c r="V575" s="14" t="s">
        <v>92</v>
      </c>
      <c r="W575" s="14" t="s">
        <v>92</v>
      </c>
      <c r="X575" s="14" t="s">
        <v>92</v>
      </c>
      <c r="Y575" s="14" t="s">
        <v>92</v>
      </c>
      <c r="Z575" s="14" t="s">
        <v>93</v>
      </c>
      <c r="AA575" s="14" t="s">
        <v>92</v>
      </c>
      <c r="AB575" s="8" t="s">
        <v>92</v>
      </c>
      <c r="AC575" s="8" t="s">
        <v>93</v>
      </c>
      <c r="AD575" s="8" t="s">
        <v>92</v>
      </c>
      <c r="AE575" s="14" t="s">
        <v>112</v>
      </c>
      <c r="AF575" s="14" t="s">
        <v>92</v>
      </c>
      <c r="AG575" s="14" t="s">
        <v>95</v>
      </c>
      <c r="AH575" s="8">
        <v>2022.0</v>
      </c>
      <c r="AI575" s="14" t="s">
        <v>105</v>
      </c>
      <c r="AJ575" s="14" t="s">
        <v>92</v>
      </c>
      <c r="AK575" s="14" t="s">
        <v>93</v>
      </c>
      <c r="AL575" s="14" t="s">
        <v>105</v>
      </c>
      <c r="AM575" s="8" t="s">
        <v>105</v>
      </c>
      <c r="AN575" s="14" t="s">
        <v>105</v>
      </c>
      <c r="AO575" s="8" t="s">
        <v>105</v>
      </c>
      <c r="AP575" s="8" t="s">
        <v>92</v>
      </c>
      <c r="AQ575" s="14" t="s">
        <v>92</v>
      </c>
      <c r="AR575" s="14" t="s">
        <v>92</v>
      </c>
      <c r="AS575" s="14" t="s">
        <v>93</v>
      </c>
      <c r="AT575" s="14" t="s">
        <v>92</v>
      </c>
      <c r="AU575" s="14" t="s">
        <v>92</v>
      </c>
      <c r="AV575" s="14" t="s">
        <v>92</v>
      </c>
      <c r="AW575" s="14" t="s">
        <v>92</v>
      </c>
      <c r="AX575" s="14" t="s">
        <v>92</v>
      </c>
      <c r="AY575" s="8" t="s">
        <v>95</v>
      </c>
      <c r="AZ575" s="8" t="s">
        <v>95</v>
      </c>
      <c r="BA575" s="9" t="s">
        <v>2597</v>
      </c>
      <c r="BB575" s="8" t="s">
        <v>261</v>
      </c>
      <c r="BC575" s="8" t="s">
        <v>92</v>
      </c>
      <c r="BD575" s="14" t="s">
        <v>93</v>
      </c>
      <c r="BE575" s="14" t="s">
        <v>92</v>
      </c>
      <c r="BF575" s="14" t="s">
        <v>92</v>
      </c>
      <c r="BG575" s="14" t="s">
        <v>92</v>
      </c>
      <c r="BH575" s="14" t="s">
        <v>92</v>
      </c>
      <c r="BI575" s="14" t="s">
        <v>92</v>
      </c>
      <c r="BJ575" s="14" t="s">
        <v>92</v>
      </c>
      <c r="BK575" s="14" t="s">
        <v>2598</v>
      </c>
      <c r="BL575" s="14" t="s">
        <v>92</v>
      </c>
      <c r="BM575" s="14" t="s">
        <v>92</v>
      </c>
      <c r="BN575" s="14" t="s">
        <v>92</v>
      </c>
      <c r="BO575" s="14" t="s">
        <v>93</v>
      </c>
      <c r="BP575" s="14" t="s">
        <v>92</v>
      </c>
      <c r="BQ575" s="8" t="s">
        <v>92</v>
      </c>
      <c r="BR575" s="8" t="s">
        <v>92</v>
      </c>
      <c r="BS575" s="8" t="s">
        <v>92</v>
      </c>
      <c r="BT575" s="8" t="s">
        <v>93</v>
      </c>
      <c r="BU575" s="8" t="s">
        <v>92</v>
      </c>
      <c r="BV575" s="8" t="s">
        <v>93</v>
      </c>
      <c r="BW575" s="8" t="s">
        <v>92</v>
      </c>
      <c r="BX575" s="8" t="s">
        <v>92</v>
      </c>
      <c r="BY575" s="8" t="s">
        <v>92</v>
      </c>
      <c r="BZ575" s="8" t="s">
        <v>92</v>
      </c>
      <c r="CA575" s="8" t="s">
        <v>92</v>
      </c>
      <c r="CB575" s="20" t="s">
        <v>106</v>
      </c>
      <c r="CC575" s="20" t="s">
        <v>115</v>
      </c>
      <c r="CD575" s="24" t="s">
        <v>2602</v>
      </c>
      <c r="CE575" s="18"/>
      <c r="CF575" s="18"/>
      <c r="CG575" s="18"/>
      <c r="CH575" s="18"/>
    </row>
    <row r="576">
      <c r="A576" s="8"/>
      <c r="B576" s="9" t="s">
        <v>2591</v>
      </c>
      <c r="C576" s="10" t="s">
        <v>2592</v>
      </c>
      <c r="D576" s="9" t="s">
        <v>2490</v>
      </c>
      <c r="E576" s="11" t="s">
        <v>2603</v>
      </c>
      <c r="F576" s="12"/>
      <c r="G576" s="14" t="s">
        <v>2604</v>
      </c>
      <c r="H576" s="14" t="s">
        <v>90</v>
      </c>
      <c r="I576" s="14" t="s">
        <v>2605</v>
      </c>
      <c r="J576" s="14" t="s">
        <v>92</v>
      </c>
      <c r="K576" s="14" t="s">
        <v>92</v>
      </c>
      <c r="L576" s="14" t="s">
        <v>92</v>
      </c>
      <c r="M576" s="14" t="s">
        <v>92</v>
      </c>
      <c r="N576" s="14" t="s">
        <v>92</v>
      </c>
      <c r="O576" s="14" t="s">
        <v>92</v>
      </c>
      <c r="P576" s="14" t="s">
        <v>92</v>
      </c>
      <c r="Q576" s="14" t="s">
        <v>92</v>
      </c>
      <c r="R576" s="14" t="s">
        <v>92</v>
      </c>
      <c r="S576" s="14" t="s">
        <v>92</v>
      </c>
      <c r="T576" s="14" t="s">
        <v>92</v>
      </c>
      <c r="U576" s="14" t="s">
        <v>92</v>
      </c>
      <c r="V576" s="14" t="s">
        <v>92</v>
      </c>
      <c r="W576" s="14" t="s">
        <v>92</v>
      </c>
      <c r="X576" s="14" t="s">
        <v>92</v>
      </c>
      <c r="Y576" s="14" t="s">
        <v>92</v>
      </c>
      <c r="Z576" s="14" t="s">
        <v>93</v>
      </c>
      <c r="AA576" s="14" t="s">
        <v>92</v>
      </c>
      <c r="AB576" s="8" t="s">
        <v>92</v>
      </c>
      <c r="AC576" s="8" t="s">
        <v>93</v>
      </c>
      <c r="AD576" s="8" t="s">
        <v>92</v>
      </c>
      <c r="AE576" s="14" t="s">
        <v>112</v>
      </c>
      <c r="AF576" s="14" t="s">
        <v>92</v>
      </c>
      <c r="AG576" s="14" t="s">
        <v>95</v>
      </c>
      <c r="AH576" s="8">
        <v>2022.0</v>
      </c>
      <c r="AI576" s="14" t="s">
        <v>105</v>
      </c>
      <c r="AJ576" s="14" t="s">
        <v>92</v>
      </c>
      <c r="AK576" s="14" t="s">
        <v>93</v>
      </c>
      <c r="AL576" s="14" t="s">
        <v>93</v>
      </c>
      <c r="AM576" s="8" t="s">
        <v>95</v>
      </c>
      <c r="AN576" s="14" t="s">
        <v>114</v>
      </c>
      <c r="AO576" s="8" t="s">
        <v>93</v>
      </c>
      <c r="AP576" s="8" t="s">
        <v>92</v>
      </c>
      <c r="AQ576" s="14" t="s">
        <v>92</v>
      </c>
      <c r="AR576" s="14" t="s">
        <v>92</v>
      </c>
      <c r="AS576" s="14" t="s">
        <v>93</v>
      </c>
      <c r="AT576" s="14" t="s">
        <v>92</v>
      </c>
      <c r="AU576" s="14" t="s">
        <v>92</v>
      </c>
      <c r="AV576" s="14" t="s">
        <v>92</v>
      </c>
      <c r="AW576" s="14" t="s">
        <v>92</v>
      </c>
      <c r="AX576" s="14" t="s">
        <v>92</v>
      </c>
      <c r="AY576" s="8" t="s">
        <v>95</v>
      </c>
      <c r="AZ576" s="8" t="s">
        <v>95</v>
      </c>
      <c r="BA576" s="9" t="s">
        <v>2597</v>
      </c>
      <c r="BB576" s="8" t="s">
        <v>261</v>
      </c>
      <c r="BC576" s="8" t="s">
        <v>92</v>
      </c>
      <c r="BD576" s="14" t="s">
        <v>93</v>
      </c>
      <c r="BE576" s="14" t="s">
        <v>92</v>
      </c>
      <c r="BF576" s="14" t="s">
        <v>92</v>
      </c>
      <c r="BG576" s="14" t="s">
        <v>92</v>
      </c>
      <c r="BH576" s="14" t="s">
        <v>92</v>
      </c>
      <c r="BI576" s="14" t="s">
        <v>92</v>
      </c>
      <c r="BJ576" s="14" t="s">
        <v>92</v>
      </c>
      <c r="BK576" s="14" t="s">
        <v>2598</v>
      </c>
      <c r="BL576" s="14" t="s">
        <v>92</v>
      </c>
      <c r="BM576" s="14" t="s">
        <v>92</v>
      </c>
      <c r="BN576" s="14" t="s">
        <v>92</v>
      </c>
      <c r="BO576" s="14" t="s">
        <v>93</v>
      </c>
      <c r="BP576" s="14" t="s">
        <v>92</v>
      </c>
      <c r="BQ576" s="8" t="s">
        <v>92</v>
      </c>
      <c r="BR576" s="8" t="s">
        <v>92</v>
      </c>
      <c r="BS576" s="8" t="s">
        <v>92</v>
      </c>
      <c r="BT576" s="8" t="s">
        <v>93</v>
      </c>
      <c r="BU576" s="8" t="s">
        <v>92</v>
      </c>
      <c r="BV576" s="8" t="s">
        <v>92</v>
      </c>
      <c r="BW576" s="8" t="s">
        <v>92</v>
      </c>
      <c r="BX576" s="8" t="s">
        <v>92</v>
      </c>
      <c r="BY576" s="8" t="s">
        <v>92</v>
      </c>
      <c r="BZ576" s="8" t="s">
        <v>92</v>
      </c>
      <c r="CA576" s="8" t="s">
        <v>92</v>
      </c>
      <c r="CB576" s="20" t="s">
        <v>106</v>
      </c>
      <c r="CC576" s="31"/>
      <c r="CD576" s="18"/>
      <c r="CE576" s="18"/>
      <c r="CF576" s="18"/>
      <c r="CG576" s="18"/>
      <c r="CH576" s="18"/>
    </row>
    <row r="577">
      <c r="A577" s="8"/>
      <c r="B577" s="43" t="s">
        <v>2606</v>
      </c>
      <c r="C577" s="10" t="s">
        <v>2607</v>
      </c>
      <c r="D577" s="9" t="s">
        <v>2490</v>
      </c>
      <c r="E577" s="11" t="s">
        <v>2608</v>
      </c>
      <c r="F577" s="12"/>
      <c r="G577" s="14" t="s">
        <v>2609</v>
      </c>
      <c r="H577" s="14" t="s">
        <v>90</v>
      </c>
      <c r="I577" s="14" t="s">
        <v>2610</v>
      </c>
      <c r="J577" s="14" t="s">
        <v>92</v>
      </c>
      <c r="K577" s="14" t="s">
        <v>92</v>
      </c>
      <c r="L577" s="14" t="s">
        <v>92</v>
      </c>
      <c r="M577" s="14" t="s">
        <v>93</v>
      </c>
      <c r="N577" s="14" t="s">
        <v>92</v>
      </c>
      <c r="O577" s="14" t="s">
        <v>92</v>
      </c>
      <c r="P577" s="14" t="s">
        <v>92</v>
      </c>
      <c r="Q577" s="14" t="s">
        <v>92</v>
      </c>
      <c r="R577" s="14" t="s">
        <v>93</v>
      </c>
      <c r="S577" s="14" t="s">
        <v>92</v>
      </c>
      <c r="T577" s="14" t="s">
        <v>92</v>
      </c>
      <c r="U577" s="14" t="s">
        <v>93</v>
      </c>
      <c r="V577" s="14" t="s">
        <v>92</v>
      </c>
      <c r="W577" s="14" t="s">
        <v>92</v>
      </c>
      <c r="X577" s="14" t="s">
        <v>92</v>
      </c>
      <c r="Y577" s="14" t="s">
        <v>92</v>
      </c>
      <c r="Z577" s="14" t="s">
        <v>92</v>
      </c>
      <c r="AA577" s="14" t="s">
        <v>92</v>
      </c>
      <c r="AB577" s="8" t="s">
        <v>93</v>
      </c>
      <c r="AC577" s="8" t="s">
        <v>92</v>
      </c>
      <c r="AD577" s="8" t="s">
        <v>92</v>
      </c>
      <c r="AE577" s="14" t="s">
        <v>94</v>
      </c>
      <c r="AF577" s="14" t="s">
        <v>92</v>
      </c>
      <c r="AG577" s="14" t="s">
        <v>95</v>
      </c>
      <c r="AH577" s="8" t="s">
        <v>105</v>
      </c>
      <c r="AI577" s="14" t="s">
        <v>105</v>
      </c>
      <c r="AJ577" s="14" t="s">
        <v>105</v>
      </c>
      <c r="AK577" s="14" t="s">
        <v>93</v>
      </c>
      <c r="AL577" s="14" t="s">
        <v>92</v>
      </c>
      <c r="AM577" s="8" t="s">
        <v>105</v>
      </c>
      <c r="AN577" s="14" t="s">
        <v>105</v>
      </c>
      <c r="AO577" s="8" t="s">
        <v>105</v>
      </c>
      <c r="AP577" s="8" t="s">
        <v>92</v>
      </c>
      <c r="AQ577" s="14" t="s">
        <v>92</v>
      </c>
      <c r="AR577" s="14" t="s">
        <v>92</v>
      </c>
      <c r="AS577" s="14" t="s">
        <v>92</v>
      </c>
      <c r="AT577" s="14" t="s">
        <v>92</v>
      </c>
      <c r="AU577" s="14" t="s">
        <v>92</v>
      </c>
      <c r="AV577" s="14" t="s">
        <v>92</v>
      </c>
      <c r="AW577" s="14" t="s">
        <v>93</v>
      </c>
      <c r="AX577" s="14" t="s">
        <v>93</v>
      </c>
      <c r="AY577" s="8" t="s">
        <v>2611</v>
      </c>
      <c r="AZ577" s="8" t="s">
        <v>93</v>
      </c>
      <c r="BA577" s="9" t="s">
        <v>2612</v>
      </c>
      <c r="BB577" s="8" t="s">
        <v>105</v>
      </c>
      <c r="BC577" s="8" t="s">
        <v>105</v>
      </c>
      <c r="BD577" s="14" t="s">
        <v>92</v>
      </c>
      <c r="BE577" s="14" t="s">
        <v>92</v>
      </c>
      <c r="BF577" s="14" t="s">
        <v>92</v>
      </c>
      <c r="BG577" s="14" t="s">
        <v>92</v>
      </c>
      <c r="BH577" s="14" t="s">
        <v>92</v>
      </c>
      <c r="BI577" s="14" t="s">
        <v>93</v>
      </c>
      <c r="BJ577" s="14" t="s">
        <v>92</v>
      </c>
      <c r="BK577" s="14" t="s">
        <v>2613</v>
      </c>
      <c r="BL577" s="14" t="s">
        <v>92</v>
      </c>
      <c r="BM577" s="14" t="s">
        <v>92</v>
      </c>
      <c r="BN577" s="14" t="s">
        <v>92</v>
      </c>
      <c r="BO577" s="14" t="s">
        <v>93</v>
      </c>
      <c r="BP577" s="14" t="s">
        <v>92</v>
      </c>
      <c r="BQ577" s="8" t="s">
        <v>93</v>
      </c>
      <c r="BR577" s="8" t="s">
        <v>92</v>
      </c>
      <c r="BS577" s="8" t="s">
        <v>92</v>
      </c>
      <c r="BT577" s="8" t="s">
        <v>92</v>
      </c>
      <c r="BU577" s="8" t="s">
        <v>92</v>
      </c>
      <c r="BV577" s="8" t="s">
        <v>92</v>
      </c>
      <c r="BW577" s="8" t="s">
        <v>92</v>
      </c>
      <c r="BX577" s="8" t="s">
        <v>92</v>
      </c>
      <c r="BY577" s="8" t="s">
        <v>92</v>
      </c>
      <c r="BZ577" s="8" t="s">
        <v>92</v>
      </c>
      <c r="CA577" s="8" t="s">
        <v>92</v>
      </c>
      <c r="CB577" s="20" t="s">
        <v>2614</v>
      </c>
      <c r="CC577" s="17"/>
      <c r="CD577" s="18"/>
      <c r="CE577" s="18"/>
      <c r="CF577" s="18"/>
      <c r="CG577" s="18"/>
      <c r="CH577" s="18"/>
    </row>
    <row r="578">
      <c r="A578" s="8"/>
      <c r="B578" s="9" t="s">
        <v>2606</v>
      </c>
      <c r="C578" s="10" t="s">
        <v>2607</v>
      </c>
      <c r="D578" s="9" t="s">
        <v>2490</v>
      </c>
      <c r="E578" s="11" t="s">
        <v>2615</v>
      </c>
      <c r="F578" s="12"/>
      <c r="G578" s="14" t="s">
        <v>2616</v>
      </c>
      <c r="H578" s="14" t="s">
        <v>90</v>
      </c>
      <c r="I578" s="14" t="s">
        <v>2617</v>
      </c>
      <c r="J578" s="14" t="s">
        <v>92</v>
      </c>
      <c r="K578" s="14" t="s">
        <v>92</v>
      </c>
      <c r="L578" s="14" t="s">
        <v>92</v>
      </c>
      <c r="M578" s="14" t="s">
        <v>93</v>
      </c>
      <c r="N578" s="14" t="s">
        <v>92</v>
      </c>
      <c r="O578" s="14" t="s">
        <v>92</v>
      </c>
      <c r="P578" s="14" t="s">
        <v>93</v>
      </c>
      <c r="Q578" s="14" t="s">
        <v>92</v>
      </c>
      <c r="R578" s="14" t="s">
        <v>92</v>
      </c>
      <c r="S578" s="14" t="s">
        <v>93</v>
      </c>
      <c r="T578" s="14" t="s">
        <v>93</v>
      </c>
      <c r="U578" s="14" t="s">
        <v>92</v>
      </c>
      <c r="V578" s="14" t="s">
        <v>92</v>
      </c>
      <c r="W578" s="14" t="s">
        <v>92</v>
      </c>
      <c r="X578" s="14" t="s">
        <v>92</v>
      </c>
      <c r="Y578" s="14" t="s">
        <v>92</v>
      </c>
      <c r="Z578" s="14" t="s">
        <v>93</v>
      </c>
      <c r="AA578" s="14" t="s">
        <v>92</v>
      </c>
      <c r="AB578" s="8" t="s">
        <v>93</v>
      </c>
      <c r="AC578" s="8" t="s">
        <v>92</v>
      </c>
      <c r="AD578" s="8" t="s">
        <v>92</v>
      </c>
      <c r="AE578" s="14" t="s">
        <v>287</v>
      </c>
      <c r="AF578" s="14" t="s">
        <v>92</v>
      </c>
      <c r="AG578" s="14" t="s">
        <v>95</v>
      </c>
      <c r="AH578" s="8" t="s">
        <v>105</v>
      </c>
      <c r="AI578" s="14" t="s">
        <v>105</v>
      </c>
      <c r="AJ578" s="14" t="s">
        <v>105</v>
      </c>
      <c r="AK578" s="14" t="s">
        <v>92</v>
      </c>
      <c r="AL578" s="14" t="s">
        <v>93</v>
      </c>
      <c r="AM578" s="8" t="s">
        <v>95</v>
      </c>
      <c r="AN578" s="14" t="s">
        <v>114</v>
      </c>
      <c r="AO578" s="8" t="s">
        <v>92</v>
      </c>
      <c r="AP578" s="8" t="s">
        <v>92</v>
      </c>
      <c r="AQ578" s="14" t="s">
        <v>92</v>
      </c>
      <c r="AR578" s="14" t="s">
        <v>92</v>
      </c>
      <c r="AS578" s="14" t="s">
        <v>92</v>
      </c>
      <c r="AT578" s="14" t="s">
        <v>92</v>
      </c>
      <c r="AU578" s="14" t="s">
        <v>92</v>
      </c>
      <c r="AV578" s="14" t="s">
        <v>92</v>
      </c>
      <c r="AW578" s="14" t="s">
        <v>93</v>
      </c>
      <c r="AX578" s="14" t="s">
        <v>93</v>
      </c>
      <c r="AY578" s="8" t="s">
        <v>95</v>
      </c>
      <c r="AZ578" s="8" t="s">
        <v>95</v>
      </c>
      <c r="BA578" s="9" t="s">
        <v>2606</v>
      </c>
      <c r="BB578" s="8" t="s">
        <v>213</v>
      </c>
      <c r="BC578" s="8" t="s">
        <v>92</v>
      </c>
      <c r="BD578" s="14" t="s">
        <v>93</v>
      </c>
      <c r="BE578" s="14" t="s">
        <v>92</v>
      </c>
      <c r="BF578" s="14" t="s">
        <v>92</v>
      </c>
      <c r="BG578" s="14" t="s">
        <v>92</v>
      </c>
      <c r="BH578" s="14" t="s">
        <v>92</v>
      </c>
      <c r="BI578" s="14" t="s">
        <v>93</v>
      </c>
      <c r="BJ578" s="14" t="s">
        <v>92</v>
      </c>
      <c r="BK578" s="14" t="s">
        <v>105</v>
      </c>
      <c r="BL578" s="14" t="s">
        <v>105</v>
      </c>
      <c r="BM578" s="14" t="s">
        <v>105</v>
      </c>
      <c r="BN578" s="14" t="s">
        <v>105</v>
      </c>
      <c r="BO578" s="14" t="s">
        <v>105</v>
      </c>
      <c r="BP578" s="14" t="s">
        <v>105</v>
      </c>
      <c r="BQ578" s="8" t="s">
        <v>93</v>
      </c>
      <c r="BR578" s="8" t="s">
        <v>93</v>
      </c>
      <c r="BS578" s="8" t="s">
        <v>92</v>
      </c>
      <c r="BT578" s="8" t="s">
        <v>93</v>
      </c>
      <c r="BU578" s="8" t="s">
        <v>92</v>
      </c>
      <c r="BV578" s="8" t="s">
        <v>92</v>
      </c>
      <c r="BW578" s="8" t="s">
        <v>92</v>
      </c>
      <c r="BX578" s="8" t="s">
        <v>92</v>
      </c>
      <c r="BY578" s="8" t="s">
        <v>92</v>
      </c>
      <c r="BZ578" s="8" t="s">
        <v>92</v>
      </c>
      <c r="CA578" s="8" t="s">
        <v>92</v>
      </c>
      <c r="CB578" s="20" t="s">
        <v>2618</v>
      </c>
      <c r="CC578" s="17"/>
      <c r="CD578" s="18"/>
      <c r="CE578" s="18"/>
      <c r="CF578" s="18"/>
      <c r="CG578" s="18"/>
      <c r="CH578" s="18"/>
    </row>
    <row r="579">
      <c r="A579" s="8"/>
      <c r="B579" s="9" t="s">
        <v>2606</v>
      </c>
      <c r="C579" s="10" t="s">
        <v>2607</v>
      </c>
      <c r="D579" s="9" t="s">
        <v>2490</v>
      </c>
      <c r="E579" s="11" t="s">
        <v>2619</v>
      </c>
      <c r="F579" s="12"/>
      <c r="G579" s="14" t="s">
        <v>2620</v>
      </c>
      <c r="H579" s="14" t="s">
        <v>90</v>
      </c>
      <c r="I579" s="14" t="s">
        <v>2621</v>
      </c>
      <c r="J579" s="14" t="s">
        <v>92</v>
      </c>
      <c r="K579" s="14" t="s">
        <v>92</v>
      </c>
      <c r="L579" s="14" t="s">
        <v>92</v>
      </c>
      <c r="M579" s="14" t="s">
        <v>92</v>
      </c>
      <c r="N579" s="14" t="s">
        <v>92</v>
      </c>
      <c r="O579" s="14" t="s">
        <v>92</v>
      </c>
      <c r="P579" s="14" t="s">
        <v>93</v>
      </c>
      <c r="Q579" s="14" t="s">
        <v>92</v>
      </c>
      <c r="R579" s="14" t="s">
        <v>92</v>
      </c>
      <c r="S579" s="14" t="s">
        <v>92</v>
      </c>
      <c r="T579" s="14" t="s">
        <v>92</v>
      </c>
      <c r="U579" s="14" t="s">
        <v>93</v>
      </c>
      <c r="V579" s="14" t="s">
        <v>92</v>
      </c>
      <c r="W579" s="14" t="s">
        <v>92</v>
      </c>
      <c r="X579" s="14" t="s">
        <v>92</v>
      </c>
      <c r="Y579" s="14" t="s">
        <v>92</v>
      </c>
      <c r="Z579" s="14" t="s">
        <v>92</v>
      </c>
      <c r="AA579" s="14" t="s">
        <v>92</v>
      </c>
      <c r="AB579" s="8" t="s">
        <v>93</v>
      </c>
      <c r="AC579" s="8" t="s">
        <v>92</v>
      </c>
      <c r="AD579" s="8" t="s">
        <v>92</v>
      </c>
      <c r="AE579" s="14" t="s">
        <v>94</v>
      </c>
      <c r="AF579" s="14" t="s">
        <v>92</v>
      </c>
      <c r="AG579" s="14" t="s">
        <v>95</v>
      </c>
      <c r="AH579" s="8">
        <v>2023.0</v>
      </c>
      <c r="AI579" s="14" t="s">
        <v>105</v>
      </c>
      <c r="AJ579" s="14" t="s">
        <v>105</v>
      </c>
      <c r="AK579" s="14" t="s">
        <v>92</v>
      </c>
      <c r="AL579" s="14" t="s">
        <v>93</v>
      </c>
      <c r="AM579" s="8">
        <v>2023.0</v>
      </c>
      <c r="AN579" s="14" t="s">
        <v>96</v>
      </c>
      <c r="AO579" s="8" t="s">
        <v>92</v>
      </c>
      <c r="AP579" s="8" t="s">
        <v>92</v>
      </c>
      <c r="AQ579" s="14" t="s">
        <v>92</v>
      </c>
      <c r="AR579" s="14" t="s">
        <v>92</v>
      </c>
      <c r="AS579" s="14" t="s">
        <v>92</v>
      </c>
      <c r="AT579" s="14" t="s">
        <v>92</v>
      </c>
      <c r="AU579" s="14" t="s">
        <v>92</v>
      </c>
      <c r="AV579" s="14" t="s">
        <v>92</v>
      </c>
      <c r="AW579" s="14" t="s">
        <v>93</v>
      </c>
      <c r="AX579" s="14" t="s">
        <v>93</v>
      </c>
      <c r="AY579" s="8" t="s">
        <v>95</v>
      </c>
      <c r="AZ579" s="8" t="s">
        <v>95</v>
      </c>
      <c r="BA579" s="9" t="s">
        <v>2606</v>
      </c>
      <c r="BB579" s="8" t="s">
        <v>213</v>
      </c>
      <c r="BC579" s="8" t="s">
        <v>92</v>
      </c>
      <c r="BD579" s="14" t="s">
        <v>92</v>
      </c>
      <c r="BE579" s="14" t="s">
        <v>92</v>
      </c>
      <c r="BF579" s="14" t="s">
        <v>92</v>
      </c>
      <c r="BG579" s="14" t="s">
        <v>92</v>
      </c>
      <c r="BH579" s="14" t="s">
        <v>92</v>
      </c>
      <c r="BI579" s="14" t="s">
        <v>93</v>
      </c>
      <c r="BJ579" s="14" t="s">
        <v>92</v>
      </c>
      <c r="BK579" s="14" t="s">
        <v>482</v>
      </c>
      <c r="BL579" s="14" t="s">
        <v>92</v>
      </c>
      <c r="BM579" s="14" t="s">
        <v>92</v>
      </c>
      <c r="BN579" s="14" t="s">
        <v>92</v>
      </c>
      <c r="BO579" s="14" t="s">
        <v>93</v>
      </c>
      <c r="BP579" s="14" t="s">
        <v>92</v>
      </c>
      <c r="BQ579" s="8" t="s">
        <v>93</v>
      </c>
      <c r="BR579" s="8" t="s">
        <v>92</v>
      </c>
      <c r="BS579" s="8" t="s">
        <v>92</v>
      </c>
      <c r="BT579" s="8" t="s">
        <v>92</v>
      </c>
      <c r="BU579" s="8" t="s">
        <v>92</v>
      </c>
      <c r="BV579" s="8" t="s">
        <v>92</v>
      </c>
      <c r="BW579" s="8" t="s">
        <v>92</v>
      </c>
      <c r="BX579" s="8" t="s">
        <v>92</v>
      </c>
      <c r="BY579" s="8" t="s">
        <v>92</v>
      </c>
      <c r="BZ579" s="8" t="s">
        <v>92</v>
      </c>
      <c r="CA579" s="8" t="s">
        <v>92</v>
      </c>
      <c r="CB579" s="20" t="s">
        <v>2618</v>
      </c>
      <c r="CC579" s="17"/>
      <c r="CD579" s="18"/>
      <c r="CE579" s="18"/>
      <c r="CF579" s="18"/>
      <c r="CG579" s="18"/>
      <c r="CH579" s="18"/>
    </row>
    <row r="580">
      <c r="A580" s="8"/>
      <c r="B580" s="9" t="s">
        <v>2622</v>
      </c>
      <c r="C580" s="10" t="s">
        <v>2623</v>
      </c>
      <c r="D580" s="9" t="s">
        <v>2490</v>
      </c>
      <c r="E580" s="11" t="s">
        <v>2624</v>
      </c>
      <c r="F580" s="12"/>
      <c r="G580" s="14" t="s">
        <v>2625</v>
      </c>
      <c r="H580" s="14" t="s">
        <v>90</v>
      </c>
      <c r="I580" s="14" t="s">
        <v>2626</v>
      </c>
      <c r="J580" s="14" t="s">
        <v>92</v>
      </c>
      <c r="K580" s="14" t="s">
        <v>92</v>
      </c>
      <c r="L580" s="14" t="s">
        <v>92</v>
      </c>
      <c r="M580" s="14" t="s">
        <v>93</v>
      </c>
      <c r="N580" s="14" t="s">
        <v>93</v>
      </c>
      <c r="O580" s="14" t="s">
        <v>92</v>
      </c>
      <c r="P580" s="14" t="s">
        <v>93</v>
      </c>
      <c r="Q580" s="14" t="s">
        <v>92</v>
      </c>
      <c r="R580" s="14" t="s">
        <v>93</v>
      </c>
      <c r="S580" s="14" t="s">
        <v>92</v>
      </c>
      <c r="T580" s="14" t="s">
        <v>92</v>
      </c>
      <c r="U580" s="14" t="s">
        <v>93</v>
      </c>
      <c r="V580" s="14" t="s">
        <v>92</v>
      </c>
      <c r="W580" s="14" t="s">
        <v>92</v>
      </c>
      <c r="X580" s="14" t="s">
        <v>92</v>
      </c>
      <c r="Y580" s="14" t="s">
        <v>92</v>
      </c>
      <c r="Z580" s="14" t="s">
        <v>92</v>
      </c>
      <c r="AA580" s="14" t="s">
        <v>92</v>
      </c>
      <c r="AB580" s="8" t="s">
        <v>93</v>
      </c>
      <c r="AC580" s="8" t="s">
        <v>92</v>
      </c>
      <c r="AD580" s="8" t="s">
        <v>92</v>
      </c>
      <c r="AE580" s="14" t="s">
        <v>94</v>
      </c>
      <c r="AF580" s="14" t="s">
        <v>92</v>
      </c>
      <c r="AG580" s="14" t="s">
        <v>95</v>
      </c>
      <c r="AH580" s="8">
        <v>2022.0</v>
      </c>
      <c r="AI580" s="14" t="s">
        <v>105</v>
      </c>
      <c r="AJ580" s="14" t="s">
        <v>92</v>
      </c>
      <c r="AK580" s="14" t="s">
        <v>93</v>
      </c>
      <c r="AL580" s="14" t="s">
        <v>92</v>
      </c>
      <c r="AM580" s="8">
        <v>2022.0</v>
      </c>
      <c r="AN580" s="14" t="s">
        <v>96</v>
      </c>
      <c r="AO580" s="8" t="s">
        <v>92</v>
      </c>
      <c r="AP580" s="8" t="s">
        <v>92</v>
      </c>
      <c r="AQ580" s="14" t="s">
        <v>92</v>
      </c>
      <c r="AR580" s="14" t="s">
        <v>92</v>
      </c>
      <c r="AS580" s="14" t="s">
        <v>92</v>
      </c>
      <c r="AT580" s="14" t="s">
        <v>92</v>
      </c>
      <c r="AU580" s="14" t="s">
        <v>92</v>
      </c>
      <c r="AV580" s="14" t="s">
        <v>93</v>
      </c>
      <c r="AW580" s="14" t="s">
        <v>93</v>
      </c>
      <c r="AX580" s="14" t="s">
        <v>93</v>
      </c>
      <c r="AY580" s="8" t="s">
        <v>95</v>
      </c>
      <c r="AZ580" s="8" t="s">
        <v>95</v>
      </c>
      <c r="BA580" s="9" t="s">
        <v>2627</v>
      </c>
      <c r="BB580" s="8" t="s">
        <v>95</v>
      </c>
      <c r="BC580" s="8" t="s">
        <v>93</v>
      </c>
      <c r="BD580" s="14" t="s">
        <v>92</v>
      </c>
      <c r="BE580" s="14" t="s">
        <v>92</v>
      </c>
      <c r="BF580" s="14" t="s">
        <v>92</v>
      </c>
      <c r="BG580" s="14" t="s">
        <v>92</v>
      </c>
      <c r="BH580" s="14" t="s">
        <v>92</v>
      </c>
      <c r="BI580" s="14" t="s">
        <v>93</v>
      </c>
      <c r="BJ580" s="14" t="s">
        <v>92</v>
      </c>
      <c r="BK580" s="14" t="s">
        <v>1716</v>
      </c>
      <c r="BL580" s="14" t="s">
        <v>92</v>
      </c>
      <c r="BM580" s="14" t="s">
        <v>93</v>
      </c>
      <c r="BN580" s="14" t="s">
        <v>92</v>
      </c>
      <c r="BO580" s="14" t="s">
        <v>92</v>
      </c>
      <c r="BP580" s="14" t="s">
        <v>92</v>
      </c>
      <c r="BQ580" s="8" t="s">
        <v>93</v>
      </c>
      <c r="BR580" s="8" t="s">
        <v>92</v>
      </c>
      <c r="BS580" s="8" t="s">
        <v>92</v>
      </c>
      <c r="BT580" s="8" t="s">
        <v>92</v>
      </c>
      <c r="BU580" s="8" t="s">
        <v>92</v>
      </c>
      <c r="BV580" s="8" t="s">
        <v>92</v>
      </c>
      <c r="BW580" s="8" t="s">
        <v>92</v>
      </c>
      <c r="BX580" s="8" t="s">
        <v>92</v>
      </c>
      <c r="BY580" s="8" t="s">
        <v>92</v>
      </c>
      <c r="BZ580" s="8" t="s">
        <v>92</v>
      </c>
      <c r="CA580" s="8" t="s">
        <v>92</v>
      </c>
      <c r="CB580" s="20" t="s">
        <v>106</v>
      </c>
      <c r="CC580" s="17"/>
      <c r="CD580" s="18"/>
      <c r="CE580" s="18"/>
      <c r="CF580" s="18"/>
      <c r="CG580" s="18"/>
      <c r="CH580" s="18"/>
    </row>
    <row r="581">
      <c r="A581" s="8"/>
      <c r="B581" s="9" t="s">
        <v>2622</v>
      </c>
      <c r="C581" s="10" t="s">
        <v>2623</v>
      </c>
      <c r="D581" s="9" t="s">
        <v>2490</v>
      </c>
      <c r="E581" s="11" t="s">
        <v>2628</v>
      </c>
      <c r="F581" s="12"/>
      <c r="G581" s="14" t="s">
        <v>2629</v>
      </c>
      <c r="H581" s="14" t="s">
        <v>90</v>
      </c>
      <c r="I581" s="14" t="s">
        <v>2630</v>
      </c>
      <c r="J581" s="14" t="s">
        <v>92</v>
      </c>
      <c r="K581" s="14" t="s">
        <v>92</v>
      </c>
      <c r="L581" s="14" t="s">
        <v>92</v>
      </c>
      <c r="M581" s="14" t="s">
        <v>93</v>
      </c>
      <c r="N581" s="14" t="s">
        <v>93</v>
      </c>
      <c r="O581" s="14" t="s">
        <v>92</v>
      </c>
      <c r="P581" s="14" t="s">
        <v>92</v>
      </c>
      <c r="Q581" s="14" t="s">
        <v>93</v>
      </c>
      <c r="R581" s="14" t="s">
        <v>93</v>
      </c>
      <c r="S581" s="14" t="s">
        <v>92</v>
      </c>
      <c r="T581" s="14" t="s">
        <v>92</v>
      </c>
      <c r="U581" s="14" t="s">
        <v>93</v>
      </c>
      <c r="V581" s="14" t="s">
        <v>92</v>
      </c>
      <c r="W581" s="14" t="s">
        <v>92</v>
      </c>
      <c r="X581" s="14" t="s">
        <v>92</v>
      </c>
      <c r="Y581" s="14" t="s">
        <v>92</v>
      </c>
      <c r="Z581" s="14" t="s">
        <v>92</v>
      </c>
      <c r="AA581" s="14" t="s">
        <v>92</v>
      </c>
      <c r="AB581" s="8" t="s">
        <v>93</v>
      </c>
      <c r="AC581" s="8" t="s">
        <v>92</v>
      </c>
      <c r="AD581" s="8" t="s">
        <v>92</v>
      </c>
      <c r="AE581" s="14" t="s">
        <v>94</v>
      </c>
      <c r="AF581" s="14" t="s">
        <v>92</v>
      </c>
      <c r="AG581" s="14" t="s">
        <v>95</v>
      </c>
      <c r="AH581" s="8">
        <v>2022.0</v>
      </c>
      <c r="AI581" s="14" t="s">
        <v>105</v>
      </c>
      <c r="AJ581" s="14" t="s">
        <v>92</v>
      </c>
      <c r="AK581" s="14" t="s">
        <v>93</v>
      </c>
      <c r="AL581" s="14" t="s">
        <v>93</v>
      </c>
      <c r="AM581" s="8" t="s">
        <v>95</v>
      </c>
      <c r="AN581" s="14" t="s">
        <v>114</v>
      </c>
      <c r="AO581" s="8" t="s">
        <v>93</v>
      </c>
      <c r="AP581" s="8" t="s">
        <v>92</v>
      </c>
      <c r="AQ581" s="14" t="s">
        <v>92</v>
      </c>
      <c r="AR581" s="14" t="s">
        <v>92</v>
      </c>
      <c r="AS581" s="14" t="s">
        <v>92</v>
      </c>
      <c r="AT581" s="14" t="s">
        <v>92</v>
      </c>
      <c r="AU581" s="14" t="s">
        <v>92</v>
      </c>
      <c r="AV581" s="14" t="s">
        <v>93</v>
      </c>
      <c r="AW581" s="14" t="s">
        <v>93</v>
      </c>
      <c r="AX581" s="14" t="s">
        <v>93</v>
      </c>
      <c r="AY581" s="8" t="s">
        <v>95</v>
      </c>
      <c r="AZ581" s="8" t="s">
        <v>95</v>
      </c>
      <c r="BA581" s="9" t="s">
        <v>2622</v>
      </c>
      <c r="BB581" s="8" t="s">
        <v>213</v>
      </c>
      <c r="BC581" s="8" t="s">
        <v>92</v>
      </c>
      <c r="BD581" s="14" t="s">
        <v>92</v>
      </c>
      <c r="BE581" s="14" t="s">
        <v>92</v>
      </c>
      <c r="BF581" s="14" t="s">
        <v>92</v>
      </c>
      <c r="BG581" s="14" t="s">
        <v>92</v>
      </c>
      <c r="BH581" s="14" t="s">
        <v>92</v>
      </c>
      <c r="BI581" s="14" t="s">
        <v>93</v>
      </c>
      <c r="BJ581" s="14" t="s">
        <v>92</v>
      </c>
      <c r="BK581" s="14" t="s">
        <v>2631</v>
      </c>
      <c r="BL581" s="14" t="s">
        <v>93</v>
      </c>
      <c r="BM581" s="14" t="s">
        <v>93</v>
      </c>
      <c r="BN581" s="14" t="s">
        <v>92</v>
      </c>
      <c r="BO581" s="14" t="s">
        <v>93</v>
      </c>
      <c r="BP581" s="14" t="s">
        <v>92</v>
      </c>
      <c r="BQ581" s="8" t="s">
        <v>93</v>
      </c>
      <c r="BR581" s="8" t="s">
        <v>92</v>
      </c>
      <c r="BS581" s="8" t="s">
        <v>92</v>
      </c>
      <c r="BT581" s="8" t="s">
        <v>92</v>
      </c>
      <c r="BU581" s="8" t="s">
        <v>92</v>
      </c>
      <c r="BV581" s="8" t="s">
        <v>92</v>
      </c>
      <c r="BW581" s="8" t="s">
        <v>92</v>
      </c>
      <c r="BX581" s="8" t="s">
        <v>92</v>
      </c>
      <c r="BY581" s="8" t="s">
        <v>92</v>
      </c>
      <c r="BZ581" s="8" t="s">
        <v>92</v>
      </c>
      <c r="CA581" s="8" t="s">
        <v>92</v>
      </c>
      <c r="CB581" s="20" t="s">
        <v>106</v>
      </c>
      <c r="CC581" s="20" t="s">
        <v>116</v>
      </c>
      <c r="CD581" s="18"/>
      <c r="CE581" s="18"/>
      <c r="CF581" s="18"/>
      <c r="CG581" s="18"/>
      <c r="CH581" s="18"/>
    </row>
    <row r="582">
      <c r="A582" s="8"/>
      <c r="B582" s="9" t="s">
        <v>2622</v>
      </c>
      <c r="C582" s="10" t="s">
        <v>2623</v>
      </c>
      <c r="D582" s="9" t="s">
        <v>2490</v>
      </c>
      <c r="E582" s="11" t="s">
        <v>2632</v>
      </c>
      <c r="F582" s="12"/>
      <c r="G582" s="14" t="s">
        <v>2633</v>
      </c>
      <c r="H582" s="14" t="s">
        <v>90</v>
      </c>
      <c r="I582" s="14" t="s">
        <v>2634</v>
      </c>
      <c r="J582" s="14" t="s">
        <v>92</v>
      </c>
      <c r="K582" s="14" t="s">
        <v>92</v>
      </c>
      <c r="L582" s="14" t="s">
        <v>92</v>
      </c>
      <c r="M582" s="14" t="s">
        <v>92</v>
      </c>
      <c r="N582" s="14" t="s">
        <v>92</v>
      </c>
      <c r="O582" s="14" t="s">
        <v>92</v>
      </c>
      <c r="P582" s="14" t="s">
        <v>92</v>
      </c>
      <c r="Q582" s="14" t="s">
        <v>92</v>
      </c>
      <c r="R582" s="14" t="s">
        <v>92</v>
      </c>
      <c r="S582" s="14" t="s">
        <v>92</v>
      </c>
      <c r="T582" s="14" t="s">
        <v>93</v>
      </c>
      <c r="U582" s="14" t="s">
        <v>92</v>
      </c>
      <c r="V582" s="14" t="s">
        <v>92</v>
      </c>
      <c r="W582" s="14" t="s">
        <v>92</v>
      </c>
      <c r="X582" s="14" t="s">
        <v>92</v>
      </c>
      <c r="Y582" s="14" t="s">
        <v>92</v>
      </c>
      <c r="Z582" s="14" t="s">
        <v>92</v>
      </c>
      <c r="AA582" s="14" t="s">
        <v>92</v>
      </c>
      <c r="AB582" s="8" t="s">
        <v>93</v>
      </c>
      <c r="AC582" s="8" t="s">
        <v>92</v>
      </c>
      <c r="AD582" s="8" t="s">
        <v>92</v>
      </c>
      <c r="AE582" s="14" t="s">
        <v>103</v>
      </c>
      <c r="AF582" s="14" t="s">
        <v>93</v>
      </c>
      <c r="AG582" s="14" t="s">
        <v>2635</v>
      </c>
      <c r="AH582" s="8" t="s">
        <v>105</v>
      </c>
      <c r="AI582" s="14" t="s">
        <v>105</v>
      </c>
      <c r="AJ582" s="14" t="s">
        <v>92</v>
      </c>
      <c r="AK582" s="14" t="s">
        <v>93</v>
      </c>
      <c r="AL582" s="14" t="s">
        <v>93</v>
      </c>
      <c r="AM582" s="8" t="s">
        <v>95</v>
      </c>
      <c r="AN582" s="14" t="s">
        <v>114</v>
      </c>
      <c r="AO582" s="8" t="s">
        <v>93</v>
      </c>
      <c r="AP582" s="8" t="s">
        <v>92</v>
      </c>
      <c r="AQ582" s="14" t="s">
        <v>92</v>
      </c>
      <c r="AR582" s="14" t="s">
        <v>92</v>
      </c>
      <c r="AS582" s="14" t="s">
        <v>92</v>
      </c>
      <c r="AT582" s="14" t="s">
        <v>92</v>
      </c>
      <c r="AU582" s="14" t="s">
        <v>92</v>
      </c>
      <c r="AV582" s="14" t="s">
        <v>93</v>
      </c>
      <c r="AW582" s="14" t="s">
        <v>93</v>
      </c>
      <c r="AX582" s="14" t="s">
        <v>93</v>
      </c>
      <c r="AY582" s="8" t="s">
        <v>95</v>
      </c>
      <c r="AZ582" s="8" t="s">
        <v>95</v>
      </c>
      <c r="BA582" s="9" t="s">
        <v>2622</v>
      </c>
      <c r="BB582" s="8" t="s">
        <v>213</v>
      </c>
      <c r="BC582" s="8" t="s">
        <v>92</v>
      </c>
      <c r="BD582" s="14" t="s">
        <v>92</v>
      </c>
      <c r="BE582" s="14" t="s">
        <v>92</v>
      </c>
      <c r="BF582" s="14" t="s">
        <v>92</v>
      </c>
      <c r="BG582" s="14" t="s">
        <v>92</v>
      </c>
      <c r="BH582" s="14" t="s">
        <v>92</v>
      </c>
      <c r="BI582" s="14" t="s">
        <v>93</v>
      </c>
      <c r="BJ582" s="14" t="s">
        <v>92</v>
      </c>
      <c r="BK582" s="14" t="s">
        <v>95</v>
      </c>
      <c r="BL582" s="14" t="s">
        <v>93</v>
      </c>
      <c r="BM582" s="14" t="s">
        <v>93</v>
      </c>
      <c r="BN582" s="14" t="s">
        <v>93</v>
      </c>
      <c r="BO582" s="14" t="s">
        <v>93</v>
      </c>
      <c r="BP582" s="14" t="s">
        <v>93</v>
      </c>
      <c r="BQ582" s="8" t="s">
        <v>92</v>
      </c>
      <c r="BR582" s="8" t="s">
        <v>93</v>
      </c>
      <c r="BS582" s="8" t="s">
        <v>92</v>
      </c>
      <c r="BT582" s="8" t="s">
        <v>92</v>
      </c>
      <c r="BU582" s="8" t="s">
        <v>92</v>
      </c>
      <c r="BV582" s="8" t="s">
        <v>92</v>
      </c>
      <c r="BW582" s="8" t="s">
        <v>92</v>
      </c>
      <c r="BX582" s="8" t="s">
        <v>92</v>
      </c>
      <c r="BY582" s="8" t="s">
        <v>92</v>
      </c>
      <c r="BZ582" s="8" t="s">
        <v>92</v>
      </c>
      <c r="CA582" s="8" t="s">
        <v>92</v>
      </c>
      <c r="CB582" s="20" t="s">
        <v>106</v>
      </c>
      <c r="CC582" s="20" t="s">
        <v>116</v>
      </c>
      <c r="CD582" s="18"/>
      <c r="CE582" s="18"/>
      <c r="CF582" s="18"/>
      <c r="CG582" s="18"/>
      <c r="CH582" s="18"/>
    </row>
    <row r="583">
      <c r="A583" s="8"/>
      <c r="B583" s="9" t="s">
        <v>2636</v>
      </c>
      <c r="C583" s="10" t="s">
        <v>2637</v>
      </c>
      <c r="D583" s="9" t="s">
        <v>2490</v>
      </c>
      <c r="E583" s="11" t="s">
        <v>2638</v>
      </c>
      <c r="F583" s="25"/>
      <c r="G583" s="14" t="s">
        <v>2639</v>
      </c>
      <c r="H583" s="14" t="s">
        <v>90</v>
      </c>
      <c r="I583" s="14" t="s">
        <v>2640</v>
      </c>
      <c r="J583" s="14" t="s">
        <v>92</v>
      </c>
      <c r="K583" s="14" t="s">
        <v>92</v>
      </c>
      <c r="L583" s="14" t="s">
        <v>92</v>
      </c>
      <c r="M583" s="14" t="s">
        <v>93</v>
      </c>
      <c r="N583" s="14" t="s">
        <v>92</v>
      </c>
      <c r="O583" s="14" t="s">
        <v>92</v>
      </c>
      <c r="P583" s="14" t="s">
        <v>93</v>
      </c>
      <c r="Q583" s="14" t="s">
        <v>92</v>
      </c>
      <c r="R583" s="14" t="s">
        <v>93</v>
      </c>
      <c r="S583" s="14" t="s">
        <v>92</v>
      </c>
      <c r="T583" s="14" t="s">
        <v>92</v>
      </c>
      <c r="U583" s="14" t="s">
        <v>93</v>
      </c>
      <c r="V583" s="14" t="s">
        <v>92</v>
      </c>
      <c r="W583" s="14" t="s">
        <v>92</v>
      </c>
      <c r="X583" s="14" t="s">
        <v>92</v>
      </c>
      <c r="Y583" s="14" t="s">
        <v>92</v>
      </c>
      <c r="Z583" s="14" t="s">
        <v>93</v>
      </c>
      <c r="AA583" s="14" t="s">
        <v>92</v>
      </c>
      <c r="AB583" s="8" t="s">
        <v>93</v>
      </c>
      <c r="AC583" s="8" t="s">
        <v>93</v>
      </c>
      <c r="AD583" s="8" t="s">
        <v>92</v>
      </c>
      <c r="AE583" s="14" t="s">
        <v>148</v>
      </c>
      <c r="AF583" s="14" t="s">
        <v>92</v>
      </c>
      <c r="AG583" s="14" t="s">
        <v>95</v>
      </c>
      <c r="AH583" s="8" t="s">
        <v>105</v>
      </c>
      <c r="AI583" s="14" t="s">
        <v>93</v>
      </c>
      <c r="AJ583" s="14" t="s">
        <v>93</v>
      </c>
      <c r="AK583" s="14" t="s">
        <v>93</v>
      </c>
      <c r="AL583" s="14" t="s">
        <v>93</v>
      </c>
      <c r="AM583" s="8" t="s">
        <v>95</v>
      </c>
      <c r="AN583" s="14" t="s">
        <v>114</v>
      </c>
      <c r="AO583" s="8" t="s">
        <v>93</v>
      </c>
      <c r="AP583" s="8" t="s">
        <v>92</v>
      </c>
      <c r="AQ583" s="14" t="s">
        <v>92</v>
      </c>
      <c r="AR583" s="14" t="s">
        <v>92</v>
      </c>
      <c r="AS583" s="14" t="s">
        <v>93</v>
      </c>
      <c r="AT583" s="14" t="s">
        <v>92</v>
      </c>
      <c r="AU583" s="14" t="s">
        <v>92</v>
      </c>
      <c r="AV583" s="14" t="s">
        <v>92</v>
      </c>
      <c r="AW583" s="14" t="s">
        <v>93</v>
      </c>
      <c r="AX583" s="14" t="s">
        <v>93</v>
      </c>
      <c r="AY583" s="8" t="s">
        <v>95</v>
      </c>
      <c r="AZ583" s="8" t="s">
        <v>95</v>
      </c>
      <c r="BA583" s="9" t="s">
        <v>2641</v>
      </c>
      <c r="BB583" s="8" t="s">
        <v>261</v>
      </c>
      <c r="BC583" s="8" t="s">
        <v>92</v>
      </c>
      <c r="BD583" s="14" t="s">
        <v>92</v>
      </c>
      <c r="BE583" s="14" t="s">
        <v>92</v>
      </c>
      <c r="BF583" s="14" t="s">
        <v>92</v>
      </c>
      <c r="BG583" s="14" t="s">
        <v>92</v>
      </c>
      <c r="BH583" s="14" t="s">
        <v>92</v>
      </c>
      <c r="BI583" s="14" t="s">
        <v>93</v>
      </c>
      <c r="BJ583" s="14" t="s">
        <v>92</v>
      </c>
      <c r="BK583" s="14" t="s">
        <v>156</v>
      </c>
      <c r="BL583" s="14" t="s">
        <v>92</v>
      </c>
      <c r="BM583" s="14" t="s">
        <v>92</v>
      </c>
      <c r="BN583" s="14" t="s">
        <v>92</v>
      </c>
      <c r="BO583" s="14" t="s">
        <v>92</v>
      </c>
      <c r="BP583" s="14" t="s">
        <v>93</v>
      </c>
      <c r="BQ583" s="8" t="s">
        <v>93</v>
      </c>
      <c r="BR583" s="8" t="s">
        <v>92</v>
      </c>
      <c r="BS583" s="8" t="s">
        <v>93</v>
      </c>
      <c r="BT583" s="8" t="s">
        <v>92</v>
      </c>
      <c r="BU583" s="8" t="s">
        <v>93</v>
      </c>
      <c r="BV583" s="8" t="s">
        <v>92</v>
      </c>
      <c r="BW583" s="8" t="s">
        <v>92</v>
      </c>
      <c r="BX583" s="8" t="s">
        <v>92</v>
      </c>
      <c r="BY583" s="8" t="s">
        <v>92</v>
      </c>
      <c r="BZ583" s="8" t="s">
        <v>92</v>
      </c>
      <c r="CA583" s="8" t="s">
        <v>93</v>
      </c>
      <c r="CB583" s="20" t="s">
        <v>178</v>
      </c>
      <c r="CC583" s="20" t="s">
        <v>2642</v>
      </c>
      <c r="CD583" s="20" t="s">
        <v>2643</v>
      </c>
      <c r="CE583" s="20" t="s">
        <v>106</v>
      </c>
      <c r="CF583" s="18"/>
      <c r="CG583" s="18"/>
      <c r="CH583" s="18"/>
    </row>
    <row r="584">
      <c r="A584" s="8"/>
      <c r="B584" s="9" t="s">
        <v>2636</v>
      </c>
      <c r="C584" s="10" t="s">
        <v>2637</v>
      </c>
      <c r="D584" s="9" t="s">
        <v>2490</v>
      </c>
      <c r="E584" s="11" t="s">
        <v>2644</v>
      </c>
      <c r="F584" s="25"/>
      <c r="G584" s="14" t="s">
        <v>2645</v>
      </c>
      <c r="H584" s="14" t="s">
        <v>90</v>
      </c>
      <c r="I584" s="14" t="s">
        <v>2646</v>
      </c>
      <c r="J584" s="14" t="s">
        <v>92</v>
      </c>
      <c r="K584" s="14" t="s">
        <v>92</v>
      </c>
      <c r="L584" s="14" t="s">
        <v>92</v>
      </c>
      <c r="M584" s="14" t="s">
        <v>93</v>
      </c>
      <c r="N584" s="14" t="s">
        <v>92</v>
      </c>
      <c r="O584" s="14" t="s">
        <v>92</v>
      </c>
      <c r="P584" s="14" t="s">
        <v>92</v>
      </c>
      <c r="Q584" s="14" t="s">
        <v>93</v>
      </c>
      <c r="R584" s="14" t="s">
        <v>92</v>
      </c>
      <c r="S584" s="14" t="s">
        <v>92</v>
      </c>
      <c r="T584" s="14" t="s">
        <v>92</v>
      </c>
      <c r="U584" s="14" t="s">
        <v>93</v>
      </c>
      <c r="V584" s="14" t="s">
        <v>92</v>
      </c>
      <c r="W584" s="14" t="s">
        <v>92</v>
      </c>
      <c r="X584" s="14" t="s">
        <v>92</v>
      </c>
      <c r="Y584" s="14" t="s">
        <v>92</v>
      </c>
      <c r="Z584" s="14" t="s">
        <v>92</v>
      </c>
      <c r="AA584" s="14" t="s">
        <v>92</v>
      </c>
      <c r="AB584" s="8" t="s">
        <v>93</v>
      </c>
      <c r="AC584" s="8" t="s">
        <v>92</v>
      </c>
      <c r="AD584" s="8" t="s">
        <v>92</v>
      </c>
      <c r="AE584" s="14" t="s">
        <v>94</v>
      </c>
      <c r="AF584" s="14" t="s">
        <v>92</v>
      </c>
      <c r="AG584" s="14" t="s">
        <v>95</v>
      </c>
      <c r="AH584" s="8" t="s">
        <v>105</v>
      </c>
      <c r="AI584" s="14" t="s">
        <v>92</v>
      </c>
      <c r="AJ584" s="14" t="s">
        <v>93</v>
      </c>
      <c r="AK584" s="14" t="s">
        <v>93</v>
      </c>
      <c r="AL584" s="14" t="s">
        <v>93</v>
      </c>
      <c r="AM584" s="8" t="s">
        <v>95</v>
      </c>
      <c r="AN584" s="14" t="s">
        <v>114</v>
      </c>
      <c r="AO584" s="8" t="s">
        <v>93</v>
      </c>
      <c r="AP584" s="8" t="s">
        <v>92</v>
      </c>
      <c r="AQ584" s="14" t="s">
        <v>92</v>
      </c>
      <c r="AR584" s="14" t="s">
        <v>92</v>
      </c>
      <c r="AS584" s="14" t="s">
        <v>93</v>
      </c>
      <c r="AT584" s="14" t="s">
        <v>92</v>
      </c>
      <c r="AU584" s="14" t="s">
        <v>92</v>
      </c>
      <c r="AV584" s="14" t="s">
        <v>92</v>
      </c>
      <c r="AW584" s="14" t="s">
        <v>93</v>
      </c>
      <c r="AX584" s="14" t="s">
        <v>93</v>
      </c>
      <c r="AY584" s="8" t="s">
        <v>95</v>
      </c>
      <c r="AZ584" s="8" t="s">
        <v>95</v>
      </c>
      <c r="BA584" s="9" t="s">
        <v>2636</v>
      </c>
      <c r="BB584" s="8" t="s">
        <v>213</v>
      </c>
      <c r="BC584" s="8" t="s">
        <v>92</v>
      </c>
      <c r="BD584" s="14" t="s">
        <v>92</v>
      </c>
      <c r="BE584" s="14" t="s">
        <v>92</v>
      </c>
      <c r="BF584" s="14" t="s">
        <v>92</v>
      </c>
      <c r="BG584" s="14" t="s">
        <v>92</v>
      </c>
      <c r="BH584" s="14" t="s">
        <v>92</v>
      </c>
      <c r="BI584" s="14" t="s">
        <v>93</v>
      </c>
      <c r="BJ584" s="14" t="s">
        <v>92</v>
      </c>
      <c r="BK584" s="14" t="s">
        <v>156</v>
      </c>
      <c r="BL584" s="14" t="s">
        <v>92</v>
      </c>
      <c r="BM584" s="14" t="s">
        <v>92</v>
      </c>
      <c r="BN584" s="14" t="s">
        <v>92</v>
      </c>
      <c r="BO584" s="14" t="s">
        <v>92</v>
      </c>
      <c r="BP584" s="14" t="s">
        <v>93</v>
      </c>
      <c r="BQ584" s="8" t="s">
        <v>93</v>
      </c>
      <c r="BR584" s="8" t="s">
        <v>92</v>
      </c>
      <c r="BS584" s="8" t="s">
        <v>92</v>
      </c>
      <c r="BT584" s="8" t="s">
        <v>92</v>
      </c>
      <c r="BU584" s="8" t="s">
        <v>92</v>
      </c>
      <c r="BV584" s="8" t="s">
        <v>92</v>
      </c>
      <c r="BW584" s="8" t="s">
        <v>92</v>
      </c>
      <c r="BX584" s="8" t="s">
        <v>92</v>
      </c>
      <c r="BY584" s="8" t="s">
        <v>92</v>
      </c>
      <c r="BZ584" s="8" t="s">
        <v>92</v>
      </c>
      <c r="CA584" s="8" t="s">
        <v>92</v>
      </c>
      <c r="CB584" s="20" t="s">
        <v>2642</v>
      </c>
      <c r="CC584" s="20" t="s">
        <v>106</v>
      </c>
      <c r="CD584" s="18"/>
      <c r="CE584" s="18"/>
      <c r="CF584" s="18"/>
      <c r="CG584" s="18"/>
      <c r="CH584" s="18"/>
    </row>
    <row r="585" ht="15.75" customHeight="1">
      <c r="A585" s="8"/>
      <c r="B585" s="9" t="s">
        <v>2636</v>
      </c>
      <c r="C585" s="10" t="s">
        <v>2637</v>
      </c>
      <c r="D585" s="9" t="s">
        <v>2490</v>
      </c>
      <c r="E585" s="11" t="s">
        <v>2647</v>
      </c>
      <c r="F585" s="12"/>
      <c r="G585" s="14" t="s">
        <v>2648</v>
      </c>
      <c r="H585" s="14" t="s">
        <v>90</v>
      </c>
      <c r="I585" s="14" t="s">
        <v>2649</v>
      </c>
      <c r="J585" s="14" t="s">
        <v>92</v>
      </c>
      <c r="K585" s="14" t="s">
        <v>92</v>
      </c>
      <c r="L585" s="14" t="s">
        <v>92</v>
      </c>
      <c r="M585" s="14" t="s">
        <v>92</v>
      </c>
      <c r="N585" s="14" t="s">
        <v>93</v>
      </c>
      <c r="O585" s="14" t="s">
        <v>92</v>
      </c>
      <c r="P585" s="14" t="s">
        <v>92</v>
      </c>
      <c r="Q585" s="14" t="s">
        <v>92</v>
      </c>
      <c r="R585" s="14" t="s">
        <v>92</v>
      </c>
      <c r="S585" s="14" t="s">
        <v>92</v>
      </c>
      <c r="T585" s="14" t="s">
        <v>93</v>
      </c>
      <c r="U585" s="14" t="s">
        <v>92</v>
      </c>
      <c r="V585" s="14" t="s">
        <v>92</v>
      </c>
      <c r="W585" s="14" t="s">
        <v>92</v>
      </c>
      <c r="X585" s="14" t="s">
        <v>92</v>
      </c>
      <c r="Y585" s="14" t="s">
        <v>92</v>
      </c>
      <c r="Z585" s="14" t="s">
        <v>92</v>
      </c>
      <c r="AA585" s="14" t="s">
        <v>92</v>
      </c>
      <c r="AB585" s="8" t="s">
        <v>93</v>
      </c>
      <c r="AC585" s="8" t="s">
        <v>92</v>
      </c>
      <c r="AD585" s="8" t="s">
        <v>92</v>
      </c>
      <c r="AE585" s="14" t="s">
        <v>103</v>
      </c>
      <c r="AF585" s="14" t="s">
        <v>92</v>
      </c>
      <c r="AG585" s="14" t="s">
        <v>95</v>
      </c>
      <c r="AH585" s="8" t="s">
        <v>105</v>
      </c>
      <c r="AI585" s="14" t="s">
        <v>105</v>
      </c>
      <c r="AJ585" s="14" t="s">
        <v>105</v>
      </c>
      <c r="AK585" s="14" t="s">
        <v>105</v>
      </c>
      <c r="AL585" s="14" t="s">
        <v>105</v>
      </c>
      <c r="AM585" s="8" t="s">
        <v>105</v>
      </c>
      <c r="AN585" s="14" t="s">
        <v>105</v>
      </c>
      <c r="AO585" s="8" t="s">
        <v>105</v>
      </c>
      <c r="AP585" s="8" t="s">
        <v>105</v>
      </c>
      <c r="AQ585" s="14" t="s">
        <v>92</v>
      </c>
      <c r="AR585" s="14" t="s">
        <v>92</v>
      </c>
      <c r="AS585" s="14" t="s">
        <v>93</v>
      </c>
      <c r="AT585" s="14" t="s">
        <v>92</v>
      </c>
      <c r="AU585" s="14" t="s">
        <v>92</v>
      </c>
      <c r="AV585" s="14" t="s">
        <v>92</v>
      </c>
      <c r="AW585" s="14" t="s">
        <v>93</v>
      </c>
      <c r="AX585" s="14" t="s">
        <v>93</v>
      </c>
      <c r="AY585" s="8" t="s">
        <v>95</v>
      </c>
      <c r="AZ585" s="8" t="s">
        <v>95</v>
      </c>
      <c r="BA585" s="9" t="s">
        <v>2636</v>
      </c>
      <c r="BB585" s="8" t="s">
        <v>213</v>
      </c>
      <c r="BC585" s="8" t="s">
        <v>92</v>
      </c>
      <c r="BD585" s="14" t="s">
        <v>92</v>
      </c>
      <c r="BE585" s="14" t="s">
        <v>92</v>
      </c>
      <c r="BF585" s="14" t="s">
        <v>92</v>
      </c>
      <c r="BG585" s="14" t="s">
        <v>92</v>
      </c>
      <c r="BH585" s="14" t="s">
        <v>92</v>
      </c>
      <c r="BI585" s="14" t="s">
        <v>93</v>
      </c>
      <c r="BJ585" s="14" t="s">
        <v>92</v>
      </c>
      <c r="BK585" s="14" t="s">
        <v>2650</v>
      </c>
      <c r="BL585" s="14" t="s">
        <v>93</v>
      </c>
      <c r="BM585" s="14" t="s">
        <v>93</v>
      </c>
      <c r="BN585" s="14" t="s">
        <v>93</v>
      </c>
      <c r="BO585" s="14" t="s">
        <v>93</v>
      </c>
      <c r="BP585" s="14" t="s">
        <v>93</v>
      </c>
      <c r="BQ585" s="8" t="s">
        <v>92</v>
      </c>
      <c r="BR585" s="8" t="s">
        <v>93</v>
      </c>
      <c r="BS585" s="8" t="s">
        <v>92</v>
      </c>
      <c r="BT585" s="8" t="s">
        <v>92</v>
      </c>
      <c r="BU585" s="8" t="s">
        <v>92</v>
      </c>
      <c r="BV585" s="8" t="s">
        <v>92</v>
      </c>
      <c r="BW585" s="8" t="s">
        <v>92</v>
      </c>
      <c r="BX585" s="8" t="s">
        <v>92</v>
      </c>
      <c r="BY585" s="8" t="s">
        <v>92</v>
      </c>
      <c r="BZ585" s="8" t="s">
        <v>92</v>
      </c>
      <c r="CA585" s="8" t="s">
        <v>92</v>
      </c>
      <c r="CB585" s="20" t="s">
        <v>2651</v>
      </c>
      <c r="CC585" s="20" t="s">
        <v>106</v>
      </c>
      <c r="CD585" s="18"/>
      <c r="CE585" s="18"/>
      <c r="CF585" s="18"/>
      <c r="CG585" s="18"/>
      <c r="CH585" s="18"/>
    </row>
    <row r="586">
      <c r="A586" s="8"/>
      <c r="B586" s="9" t="s">
        <v>2636</v>
      </c>
      <c r="C586" s="10" t="s">
        <v>2637</v>
      </c>
      <c r="D586" s="9" t="s">
        <v>2490</v>
      </c>
      <c r="E586" s="11" t="s">
        <v>2652</v>
      </c>
      <c r="F586" s="12"/>
      <c r="G586" s="14" t="s">
        <v>2653</v>
      </c>
      <c r="H586" s="14" t="s">
        <v>90</v>
      </c>
      <c r="I586" s="14" t="s">
        <v>2654</v>
      </c>
      <c r="J586" s="14" t="s">
        <v>92</v>
      </c>
      <c r="K586" s="14" t="s">
        <v>92</v>
      </c>
      <c r="L586" s="14" t="s">
        <v>92</v>
      </c>
      <c r="M586" s="14" t="s">
        <v>92</v>
      </c>
      <c r="N586" s="14" t="s">
        <v>93</v>
      </c>
      <c r="O586" s="14" t="s">
        <v>92</v>
      </c>
      <c r="P586" s="14" t="s">
        <v>92</v>
      </c>
      <c r="Q586" s="14" t="s">
        <v>92</v>
      </c>
      <c r="R586" s="14" t="s">
        <v>92</v>
      </c>
      <c r="S586" s="14" t="s">
        <v>92</v>
      </c>
      <c r="T586" s="14" t="s">
        <v>93</v>
      </c>
      <c r="U586" s="14" t="s">
        <v>92</v>
      </c>
      <c r="V586" s="14" t="s">
        <v>92</v>
      </c>
      <c r="W586" s="14" t="s">
        <v>92</v>
      </c>
      <c r="X586" s="14" t="s">
        <v>92</v>
      </c>
      <c r="Y586" s="14" t="s">
        <v>92</v>
      </c>
      <c r="Z586" s="14" t="s">
        <v>92</v>
      </c>
      <c r="AA586" s="14" t="s">
        <v>92</v>
      </c>
      <c r="AB586" s="8" t="s">
        <v>93</v>
      </c>
      <c r="AC586" s="8" t="s">
        <v>92</v>
      </c>
      <c r="AD586" s="8" t="s">
        <v>92</v>
      </c>
      <c r="AE586" s="14" t="s">
        <v>103</v>
      </c>
      <c r="AF586" s="14" t="s">
        <v>92</v>
      </c>
      <c r="AG586" s="14" t="s">
        <v>95</v>
      </c>
      <c r="AH586" s="8" t="s">
        <v>105</v>
      </c>
      <c r="AI586" s="14" t="s">
        <v>105</v>
      </c>
      <c r="AJ586" s="14" t="s">
        <v>105</v>
      </c>
      <c r="AK586" s="14" t="s">
        <v>105</v>
      </c>
      <c r="AL586" s="14" t="s">
        <v>105</v>
      </c>
      <c r="AM586" s="8" t="s">
        <v>105</v>
      </c>
      <c r="AN586" s="14" t="s">
        <v>105</v>
      </c>
      <c r="AO586" s="8" t="s">
        <v>105</v>
      </c>
      <c r="AP586" s="8" t="s">
        <v>105</v>
      </c>
      <c r="AQ586" s="14" t="s">
        <v>92</v>
      </c>
      <c r="AR586" s="14" t="s">
        <v>92</v>
      </c>
      <c r="AS586" s="14" t="s">
        <v>93</v>
      </c>
      <c r="AT586" s="14" t="s">
        <v>92</v>
      </c>
      <c r="AU586" s="14" t="s">
        <v>92</v>
      </c>
      <c r="AV586" s="14" t="s">
        <v>92</v>
      </c>
      <c r="AW586" s="14" t="s">
        <v>93</v>
      </c>
      <c r="AX586" s="14" t="s">
        <v>93</v>
      </c>
      <c r="AY586" s="8" t="s">
        <v>95</v>
      </c>
      <c r="AZ586" s="8" t="s">
        <v>95</v>
      </c>
      <c r="BA586" s="9" t="s">
        <v>2636</v>
      </c>
      <c r="BB586" s="8" t="s">
        <v>213</v>
      </c>
      <c r="BC586" s="8" t="s">
        <v>92</v>
      </c>
      <c r="BD586" s="14" t="s">
        <v>92</v>
      </c>
      <c r="BE586" s="14" t="s">
        <v>92</v>
      </c>
      <c r="BF586" s="14" t="s">
        <v>92</v>
      </c>
      <c r="BG586" s="14" t="s">
        <v>92</v>
      </c>
      <c r="BH586" s="14" t="s">
        <v>92</v>
      </c>
      <c r="BI586" s="14" t="s">
        <v>93</v>
      </c>
      <c r="BJ586" s="14" t="s">
        <v>92</v>
      </c>
      <c r="BK586" s="14" t="s">
        <v>2650</v>
      </c>
      <c r="BL586" s="14" t="s">
        <v>93</v>
      </c>
      <c r="BM586" s="14" t="s">
        <v>93</v>
      </c>
      <c r="BN586" s="14" t="s">
        <v>93</v>
      </c>
      <c r="BO586" s="14" t="s">
        <v>93</v>
      </c>
      <c r="BP586" s="14" t="s">
        <v>93</v>
      </c>
      <c r="BQ586" s="8" t="s">
        <v>92</v>
      </c>
      <c r="BR586" s="8" t="s">
        <v>93</v>
      </c>
      <c r="BS586" s="8" t="s">
        <v>92</v>
      </c>
      <c r="BT586" s="8" t="s">
        <v>92</v>
      </c>
      <c r="BU586" s="8" t="s">
        <v>92</v>
      </c>
      <c r="BV586" s="8" t="s">
        <v>92</v>
      </c>
      <c r="BW586" s="8" t="s">
        <v>92</v>
      </c>
      <c r="BX586" s="8" t="s">
        <v>92</v>
      </c>
      <c r="BY586" s="8" t="s">
        <v>92</v>
      </c>
      <c r="BZ586" s="8" t="s">
        <v>92</v>
      </c>
      <c r="CA586" s="8" t="s">
        <v>92</v>
      </c>
      <c r="CB586" s="20" t="s">
        <v>2655</v>
      </c>
      <c r="CC586" s="20" t="s">
        <v>106</v>
      </c>
      <c r="CD586" s="18"/>
      <c r="CE586" s="18"/>
      <c r="CF586" s="18"/>
      <c r="CG586" s="18"/>
      <c r="CH586" s="18"/>
    </row>
    <row r="587">
      <c r="A587" s="8"/>
      <c r="B587" s="43" t="s">
        <v>2494</v>
      </c>
      <c r="C587" s="10" t="s">
        <v>2495</v>
      </c>
      <c r="D587" s="9" t="s">
        <v>2490</v>
      </c>
      <c r="E587" s="11" t="s">
        <v>2656</v>
      </c>
      <c r="F587" s="25"/>
      <c r="G587" s="14" t="s">
        <v>2657</v>
      </c>
      <c r="H587" s="14" t="s">
        <v>110</v>
      </c>
      <c r="I587" s="14" t="s">
        <v>2658</v>
      </c>
      <c r="J587" s="14" t="s">
        <v>92</v>
      </c>
      <c r="K587" s="14" t="s">
        <v>92</v>
      </c>
      <c r="L587" s="14" t="s">
        <v>93</v>
      </c>
      <c r="M587" s="14" t="s">
        <v>92</v>
      </c>
      <c r="N587" s="14" t="s">
        <v>92</v>
      </c>
      <c r="O587" s="14" t="s">
        <v>92</v>
      </c>
      <c r="P587" s="14" t="s">
        <v>93</v>
      </c>
      <c r="Q587" s="14" t="s">
        <v>92</v>
      </c>
      <c r="R587" s="14" t="s">
        <v>92</v>
      </c>
      <c r="S587" s="14" t="s">
        <v>93</v>
      </c>
      <c r="T587" s="14" t="s">
        <v>92</v>
      </c>
      <c r="U587" s="14" t="s">
        <v>92</v>
      </c>
      <c r="V587" s="14" t="s">
        <v>92</v>
      </c>
      <c r="W587" s="14" t="s">
        <v>92</v>
      </c>
      <c r="X587" s="14" t="s">
        <v>92</v>
      </c>
      <c r="Y587" s="14" t="s">
        <v>92</v>
      </c>
      <c r="Z587" s="14" t="s">
        <v>93</v>
      </c>
      <c r="AA587" s="14" t="s">
        <v>92</v>
      </c>
      <c r="AB587" s="8" t="s">
        <v>93</v>
      </c>
      <c r="AC587" s="8" t="s">
        <v>93</v>
      </c>
      <c r="AD587" s="8" t="s">
        <v>92</v>
      </c>
      <c r="AE587" s="14" t="s">
        <v>1135</v>
      </c>
      <c r="AF587" s="14" t="s">
        <v>92</v>
      </c>
      <c r="AG587" s="14" t="s">
        <v>95</v>
      </c>
      <c r="AH587" s="8">
        <v>1999.0</v>
      </c>
      <c r="AI587" s="14" t="s">
        <v>93</v>
      </c>
      <c r="AJ587" s="14" t="s">
        <v>93</v>
      </c>
      <c r="AK587" s="14" t="s">
        <v>93</v>
      </c>
      <c r="AL587" s="14" t="s">
        <v>93</v>
      </c>
      <c r="AM587" s="8" t="s">
        <v>95</v>
      </c>
      <c r="AN587" s="14" t="s">
        <v>114</v>
      </c>
      <c r="AO587" s="8" t="s">
        <v>93</v>
      </c>
      <c r="AP587" s="8" t="s">
        <v>92</v>
      </c>
      <c r="AQ587" s="14" t="s">
        <v>92</v>
      </c>
      <c r="AR587" s="14" t="s">
        <v>92</v>
      </c>
      <c r="AS587" s="14" t="s">
        <v>92</v>
      </c>
      <c r="AT587" s="14" t="s">
        <v>92</v>
      </c>
      <c r="AU587" s="14" t="s">
        <v>92</v>
      </c>
      <c r="AV587" s="14" t="s">
        <v>93</v>
      </c>
      <c r="AW587" s="14" t="s">
        <v>93</v>
      </c>
      <c r="AX587" s="14" t="s">
        <v>93</v>
      </c>
      <c r="AY587" s="8" t="s">
        <v>2659</v>
      </c>
      <c r="AZ587" s="8" t="s">
        <v>92</v>
      </c>
      <c r="BA587" s="9" t="s">
        <v>2660</v>
      </c>
      <c r="BB587" s="8" t="s">
        <v>97</v>
      </c>
      <c r="BC587" s="8" t="s">
        <v>92</v>
      </c>
      <c r="BD587" s="14" t="s">
        <v>93</v>
      </c>
      <c r="BE587" s="14" t="s">
        <v>92</v>
      </c>
      <c r="BF587" s="14" t="s">
        <v>92</v>
      </c>
      <c r="BG587" s="14" t="s">
        <v>92</v>
      </c>
      <c r="BH587" s="14" t="s">
        <v>92</v>
      </c>
      <c r="BI587" s="14" t="s">
        <v>92</v>
      </c>
      <c r="BJ587" s="14" t="s">
        <v>92</v>
      </c>
      <c r="BK587" s="14" t="s">
        <v>2661</v>
      </c>
      <c r="BL587" s="14" t="s">
        <v>93</v>
      </c>
      <c r="BM587" s="14" t="s">
        <v>93</v>
      </c>
      <c r="BN587" s="14" t="s">
        <v>93</v>
      </c>
      <c r="BO587" s="14" t="s">
        <v>93</v>
      </c>
      <c r="BP587" s="14" t="s">
        <v>92</v>
      </c>
      <c r="BQ587" s="8" t="s">
        <v>92</v>
      </c>
      <c r="BR587" s="8" t="s">
        <v>92</v>
      </c>
      <c r="BS587" s="8" t="s">
        <v>93</v>
      </c>
      <c r="BT587" s="8" t="s">
        <v>93</v>
      </c>
      <c r="BU587" s="8" t="s">
        <v>92</v>
      </c>
      <c r="BV587" s="8" t="s">
        <v>93</v>
      </c>
      <c r="BW587" s="8" t="s">
        <v>92</v>
      </c>
      <c r="BX587" s="8" t="s">
        <v>92</v>
      </c>
      <c r="BY587" s="8" t="s">
        <v>92</v>
      </c>
      <c r="BZ587" s="8" t="s">
        <v>93</v>
      </c>
      <c r="CA587" s="8" t="s">
        <v>92</v>
      </c>
      <c r="CB587" s="20" t="s">
        <v>1189</v>
      </c>
      <c r="CC587" s="20" t="s">
        <v>2662</v>
      </c>
      <c r="CD587" s="20" t="s">
        <v>2663</v>
      </c>
      <c r="CE587" s="20" t="s">
        <v>2664</v>
      </c>
      <c r="CF587" s="18"/>
      <c r="CG587" s="18"/>
      <c r="CH587" s="18"/>
    </row>
    <row r="588">
      <c r="A588" s="8"/>
      <c r="B588" s="9" t="s">
        <v>2494</v>
      </c>
      <c r="C588" s="10" t="s">
        <v>2495</v>
      </c>
      <c r="D588" s="9" t="s">
        <v>2490</v>
      </c>
      <c r="E588" s="11" t="s">
        <v>2665</v>
      </c>
      <c r="F588" s="25"/>
      <c r="G588" s="30" t="s">
        <v>2497</v>
      </c>
      <c r="H588" s="14" t="s">
        <v>110</v>
      </c>
      <c r="I588" s="14" t="s">
        <v>2666</v>
      </c>
      <c r="J588" s="14" t="s">
        <v>92</v>
      </c>
      <c r="K588" s="14" t="s">
        <v>92</v>
      </c>
      <c r="L588" s="14" t="s">
        <v>92</v>
      </c>
      <c r="M588" s="14" t="s">
        <v>93</v>
      </c>
      <c r="N588" s="14" t="s">
        <v>92</v>
      </c>
      <c r="O588" s="14" t="s">
        <v>92</v>
      </c>
      <c r="P588" s="14" t="s">
        <v>92</v>
      </c>
      <c r="Q588" s="14" t="s">
        <v>92</v>
      </c>
      <c r="R588" s="14" t="s">
        <v>92</v>
      </c>
      <c r="S588" s="14" t="s">
        <v>92</v>
      </c>
      <c r="T588" s="14" t="s">
        <v>92</v>
      </c>
      <c r="U588" s="14" t="s">
        <v>93</v>
      </c>
      <c r="V588" s="14" t="s">
        <v>92</v>
      </c>
      <c r="W588" s="14" t="s">
        <v>93</v>
      </c>
      <c r="X588" s="14" t="s">
        <v>92</v>
      </c>
      <c r="Y588" s="14" t="s">
        <v>92</v>
      </c>
      <c r="Z588" s="14" t="s">
        <v>92</v>
      </c>
      <c r="AA588" s="14" t="s">
        <v>92</v>
      </c>
      <c r="AB588" s="8" t="s">
        <v>93</v>
      </c>
      <c r="AC588" s="8" t="s">
        <v>92</v>
      </c>
      <c r="AD588" s="8" t="s">
        <v>92</v>
      </c>
      <c r="AE588" s="14" t="s">
        <v>94</v>
      </c>
      <c r="AF588" s="14" t="s">
        <v>92</v>
      </c>
      <c r="AG588" s="14" t="s">
        <v>95</v>
      </c>
      <c r="AH588" s="8">
        <v>1995.0</v>
      </c>
      <c r="AI588" s="14" t="s">
        <v>93</v>
      </c>
      <c r="AJ588" s="14" t="s">
        <v>93</v>
      </c>
      <c r="AK588" s="14" t="s">
        <v>93</v>
      </c>
      <c r="AL588" s="14" t="s">
        <v>93</v>
      </c>
      <c r="AM588" s="8" t="s">
        <v>95</v>
      </c>
      <c r="AN588" s="14" t="s">
        <v>114</v>
      </c>
      <c r="AO588" s="8" t="s">
        <v>93</v>
      </c>
      <c r="AP588" s="8" t="s">
        <v>92</v>
      </c>
      <c r="AQ588" s="14" t="s">
        <v>92</v>
      </c>
      <c r="AR588" s="14" t="s">
        <v>92</v>
      </c>
      <c r="AS588" s="14" t="s">
        <v>92</v>
      </c>
      <c r="AT588" s="14" t="s">
        <v>92</v>
      </c>
      <c r="AU588" s="14" t="s">
        <v>92</v>
      </c>
      <c r="AV588" s="14" t="s">
        <v>93</v>
      </c>
      <c r="AW588" s="14" t="s">
        <v>93</v>
      </c>
      <c r="AX588" s="14" t="s">
        <v>93</v>
      </c>
      <c r="AY588" s="8" t="s">
        <v>2667</v>
      </c>
      <c r="AZ588" s="8" t="s">
        <v>93</v>
      </c>
      <c r="BA588" s="9" t="s">
        <v>2668</v>
      </c>
      <c r="BB588" s="8" t="s">
        <v>97</v>
      </c>
      <c r="BC588" s="8" t="s">
        <v>92</v>
      </c>
      <c r="BD588" s="14" t="s">
        <v>92</v>
      </c>
      <c r="BE588" s="14" t="s">
        <v>92</v>
      </c>
      <c r="BF588" s="14" t="s">
        <v>92</v>
      </c>
      <c r="BG588" s="14" t="s">
        <v>92</v>
      </c>
      <c r="BH588" s="14" t="s">
        <v>92</v>
      </c>
      <c r="BI588" s="14" t="s">
        <v>93</v>
      </c>
      <c r="BJ588" s="14" t="s">
        <v>92</v>
      </c>
      <c r="BK588" s="14" t="s">
        <v>2669</v>
      </c>
      <c r="BL588" s="14" t="s">
        <v>93</v>
      </c>
      <c r="BM588" s="14" t="s">
        <v>93</v>
      </c>
      <c r="BN588" s="14" t="s">
        <v>92</v>
      </c>
      <c r="BO588" s="14" t="s">
        <v>93</v>
      </c>
      <c r="BP588" s="14" t="s">
        <v>93</v>
      </c>
      <c r="BQ588" s="8" t="s">
        <v>93</v>
      </c>
      <c r="BR588" s="8" t="s">
        <v>92</v>
      </c>
      <c r="BS588" s="8" t="s">
        <v>92</v>
      </c>
      <c r="BT588" s="8" t="s">
        <v>92</v>
      </c>
      <c r="BU588" s="8" t="s">
        <v>92</v>
      </c>
      <c r="BV588" s="8" t="s">
        <v>92</v>
      </c>
      <c r="BW588" s="8" t="s">
        <v>93</v>
      </c>
      <c r="BX588" s="8" t="s">
        <v>92</v>
      </c>
      <c r="BY588" s="8" t="s">
        <v>92</v>
      </c>
      <c r="BZ588" s="8" t="s">
        <v>92</v>
      </c>
      <c r="CA588" s="8" t="s">
        <v>92</v>
      </c>
      <c r="CB588" s="20" t="s">
        <v>1189</v>
      </c>
      <c r="CC588" s="20" t="s">
        <v>2662</v>
      </c>
      <c r="CD588" s="20" t="s">
        <v>2663</v>
      </c>
      <c r="CE588" s="20" t="s">
        <v>2664</v>
      </c>
      <c r="CF588" s="18"/>
      <c r="CG588" s="18"/>
      <c r="CH588" s="18"/>
    </row>
    <row r="589">
      <c r="A589" s="8"/>
      <c r="B589" s="9" t="s">
        <v>2494</v>
      </c>
      <c r="C589" s="10" t="s">
        <v>2495</v>
      </c>
      <c r="D589" s="9" t="s">
        <v>2490</v>
      </c>
      <c r="E589" s="11" t="s">
        <v>2670</v>
      </c>
      <c r="F589" s="12"/>
      <c r="G589" s="14" t="s">
        <v>2671</v>
      </c>
      <c r="H589" s="14" t="s">
        <v>110</v>
      </c>
      <c r="I589" s="14" t="s">
        <v>2672</v>
      </c>
      <c r="J589" s="14" t="s">
        <v>93</v>
      </c>
      <c r="K589" s="14" t="s">
        <v>92</v>
      </c>
      <c r="L589" s="14" t="s">
        <v>93</v>
      </c>
      <c r="M589" s="14" t="s">
        <v>92</v>
      </c>
      <c r="N589" s="14" t="s">
        <v>92</v>
      </c>
      <c r="O589" s="14" t="s">
        <v>92</v>
      </c>
      <c r="P589" s="14" t="s">
        <v>92</v>
      </c>
      <c r="Q589" s="14" t="s">
        <v>92</v>
      </c>
      <c r="R589" s="14" t="s">
        <v>92</v>
      </c>
      <c r="S589" s="14" t="s">
        <v>92</v>
      </c>
      <c r="T589" s="14" t="s">
        <v>92</v>
      </c>
      <c r="U589" s="14" t="s">
        <v>92</v>
      </c>
      <c r="V589" s="14" t="s">
        <v>92</v>
      </c>
      <c r="W589" s="14" t="s">
        <v>92</v>
      </c>
      <c r="X589" s="14" t="s">
        <v>92</v>
      </c>
      <c r="Y589" s="14" t="s">
        <v>92</v>
      </c>
      <c r="Z589" s="14" t="s">
        <v>93</v>
      </c>
      <c r="AA589" s="14" t="s">
        <v>92</v>
      </c>
      <c r="AB589" s="8" t="s">
        <v>92</v>
      </c>
      <c r="AC589" s="8" t="s">
        <v>93</v>
      </c>
      <c r="AD589" s="8" t="s">
        <v>93</v>
      </c>
      <c r="AE589" s="14" t="s">
        <v>112</v>
      </c>
      <c r="AF589" s="14" t="s">
        <v>92</v>
      </c>
      <c r="AG589" s="14" t="s">
        <v>95</v>
      </c>
      <c r="AH589" s="8">
        <v>2009.0</v>
      </c>
      <c r="AI589" s="14" t="s">
        <v>93</v>
      </c>
      <c r="AJ589" s="14" t="s">
        <v>93</v>
      </c>
      <c r="AK589" s="14" t="s">
        <v>93</v>
      </c>
      <c r="AL589" s="14" t="s">
        <v>93</v>
      </c>
      <c r="AM589" s="8" t="s">
        <v>95</v>
      </c>
      <c r="AN589" s="14" t="s">
        <v>114</v>
      </c>
      <c r="AO589" s="8" t="s">
        <v>93</v>
      </c>
      <c r="AP589" s="8" t="s">
        <v>92</v>
      </c>
      <c r="AQ589" s="14" t="s">
        <v>92</v>
      </c>
      <c r="AR589" s="14" t="s">
        <v>92</v>
      </c>
      <c r="AS589" s="14" t="s">
        <v>92</v>
      </c>
      <c r="AT589" s="14" t="s">
        <v>92</v>
      </c>
      <c r="AU589" s="14" t="s">
        <v>92</v>
      </c>
      <c r="AV589" s="14" t="s">
        <v>93</v>
      </c>
      <c r="AW589" s="14" t="s">
        <v>93</v>
      </c>
      <c r="AX589" s="14" t="s">
        <v>93</v>
      </c>
      <c r="AY589" s="8" t="s">
        <v>95</v>
      </c>
      <c r="AZ589" s="8" t="s">
        <v>95</v>
      </c>
      <c r="BA589" s="9" t="s">
        <v>2494</v>
      </c>
      <c r="BB589" s="8" t="s">
        <v>97</v>
      </c>
      <c r="BC589" s="8" t="s">
        <v>92</v>
      </c>
      <c r="BD589" s="14" t="s">
        <v>93</v>
      </c>
      <c r="BE589" s="14" t="s">
        <v>92</v>
      </c>
      <c r="BF589" s="14" t="s">
        <v>92</v>
      </c>
      <c r="BG589" s="14" t="s">
        <v>92</v>
      </c>
      <c r="BH589" s="14" t="s">
        <v>92</v>
      </c>
      <c r="BI589" s="14" t="s">
        <v>92</v>
      </c>
      <c r="BJ589" s="14" t="s">
        <v>92</v>
      </c>
      <c r="BK589" s="14" t="s">
        <v>105</v>
      </c>
      <c r="BL589" s="14" t="s">
        <v>105</v>
      </c>
      <c r="BM589" s="14" t="s">
        <v>105</v>
      </c>
      <c r="BN589" s="14" t="s">
        <v>105</v>
      </c>
      <c r="BO589" s="14" t="s">
        <v>105</v>
      </c>
      <c r="BP589" s="14" t="s">
        <v>105</v>
      </c>
      <c r="BQ589" s="8" t="s">
        <v>92</v>
      </c>
      <c r="BR589" s="8" t="s">
        <v>92</v>
      </c>
      <c r="BS589" s="8" t="s">
        <v>92</v>
      </c>
      <c r="BT589" s="8" t="s">
        <v>93</v>
      </c>
      <c r="BU589" s="8" t="s">
        <v>92</v>
      </c>
      <c r="BV589" s="8" t="s">
        <v>93</v>
      </c>
      <c r="BW589" s="8" t="s">
        <v>92</v>
      </c>
      <c r="BX589" s="8" t="s">
        <v>92</v>
      </c>
      <c r="BY589" s="8" t="s">
        <v>92</v>
      </c>
      <c r="BZ589" s="8" t="s">
        <v>93</v>
      </c>
      <c r="CA589" s="8" t="s">
        <v>92</v>
      </c>
      <c r="CB589" s="20" t="s">
        <v>1189</v>
      </c>
      <c r="CC589" s="20" t="s">
        <v>2664</v>
      </c>
      <c r="CD589" s="18"/>
      <c r="CE589" s="18"/>
      <c r="CF589" s="18"/>
      <c r="CG589" s="18"/>
      <c r="CH589" s="18"/>
    </row>
    <row r="590">
      <c r="A590" s="8"/>
      <c r="B590" s="9" t="s">
        <v>2494</v>
      </c>
      <c r="C590" s="10" t="s">
        <v>2495</v>
      </c>
      <c r="D590" s="9" t="s">
        <v>2490</v>
      </c>
      <c r="E590" s="11" t="s">
        <v>2673</v>
      </c>
      <c r="F590" s="12"/>
      <c r="G590" s="14" t="s">
        <v>2674</v>
      </c>
      <c r="H590" s="14" t="s">
        <v>90</v>
      </c>
      <c r="I590" s="14" t="s">
        <v>2675</v>
      </c>
      <c r="J590" s="14" t="s">
        <v>92</v>
      </c>
      <c r="K590" s="14" t="s">
        <v>92</v>
      </c>
      <c r="L590" s="14" t="s">
        <v>93</v>
      </c>
      <c r="M590" s="14" t="s">
        <v>92</v>
      </c>
      <c r="N590" s="14" t="s">
        <v>92</v>
      </c>
      <c r="O590" s="14" t="s">
        <v>92</v>
      </c>
      <c r="P590" s="14" t="s">
        <v>92</v>
      </c>
      <c r="Q590" s="14" t="s">
        <v>92</v>
      </c>
      <c r="R590" s="14" t="s">
        <v>92</v>
      </c>
      <c r="S590" s="14" t="s">
        <v>92</v>
      </c>
      <c r="T590" s="14" t="s">
        <v>92</v>
      </c>
      <c r="U590" s="14" t="s">
        <v>92</v>
      </c>
      <c r="V590" s="14" t="s">
        <v>92</v>
      </c>
      <c r="W590" s="14" t="s">
        <v>92</v>
      </c>
      <c r="X590" s="14" t="s">
        <v>92</v>
      </c>
      <c r="Y590" s="14" t="s">
        <v>92</v>
      </c>
      <c r="Z590" s="14" t="s">
        <v>93</v>
      </c>
      <c r="AA590" s="14" t="s">
        <v>92</v>
      </c>
      <c r="AB590" s="8" t="s">
        <v>92</v>
      </c>
      <c r="AC590" s="8" t="s">
        <v>93</v>
      </c>
      <c r="AD590" s="8" t="s">
        <v>93</v>
      </c>
      <c r="AE590" s="14" t="s">
        <v>112</v>
      </c>
      <c r="AF590" s="14" t="s">
        <v>92</v>
      </c>
      <c r="AG590" s="14" t="s">
        <v>95</v>
      </c>
      <c r="AH590" s="8" t="s">
        <v>105</v>
      </c>
      <c r="AI590" s="14" t="s">
        <v>93</v>
      </c>
      <c r="AJ590" s="14" t="s">
        <v>92</v>
      </c>
      <c r="AK590" s="14" t="s">
        <v>92</v>
      </c>
      <c r="AL590" s="14" t="s">
        <v>92</v>
      </c>
      <c r="AM590" s="8" t="s">
        <v>105</v>
      </c>
      <c r="AN590" s="14" t="s">
        <v>105</v>
      </c>
      <c r="AO590" s="8" t="s">
        <v>105</v>
      </c>
      <c r="AP590" s="8" t="s">
        <v>92</v>
      </c>
      <c r="AQ590" s="14" t="s">
        <v>92</v>
      </c>
      <c r="AR590" s="14" t="s">
        <v>92</v>
      </c>
      <c r="AS590" s="14" t="s">
        <v>92</v>
      </c>
      <c r="AT590" s="14" t="s">
        <v>92</v>
      </c>
      <c r="AU590" s="14" t="s">
        <v>92</v>
      </c>
      <c r="AV590" s="14" t="s">
        <v>93</v>
      </c>
      <c r="AW590" s="14" t="s">
        <v>93</v>
      </c>
      <c r="AX590" s="14" t="s">
        <v>93</v>
      </c>
      <c r="AY590" s="8" t="s">
        <v>2676</v>
      </c>
      <c r="AZ590" s="8" t="s">
        <v>92</v>
      </c>
      <c r="BA590" s="9" t="s">
        <v>2494</v>
      </c>
      <c r="BB590" s="8" t="s">
        <v>97</v>
      </c>
      <c r="BC590" s="8" t="s">
        <v>92</v>
      </c>
      <c r="BD590" s="14" t="s">
        <v>93</v>
      </c>
      <c r="BE590" s="14" t="s">
        <v>92</v>
      </c>
      <c r="BF590" s="14" t="s">
        <v>92</v>
      </c>
      <c r="BG590" s="14" t="s">
        <v>92</v>
      </c>
      <c r="BH590" s="14" t="s">
        <v>92</v>
      </c>
      <c r="BI590" s="14" t="s">
        <v>92</v>
      </c>
      <c r="BJ590" s="14" t="s">
        <v>92</v>
      </c>
      <c r="BK590" s="14" t="s">
        <v>105</v>
      </c>
      <c r="BL590" s="14" t="s">
        <v>105</v>
      </c>
      <c r="BM590" s="14" t="s">
        <v>105</v>
      </c>
      <c r="BN590" s="14" t="s">
        <v>105</v>
      </c>
      <c r="BO590" s="14" t="s">
        <v>105</v>
      </c>
      <c r="BP590" s="14" t="s">
        <v>105</v>
      </c>
      <c r="BQ590" s="8" t="s">
        <v>92</v>
      </c>
      <c r="BR590" s="8" t="s">
        <v>92</v>
      </c>
      <c r="BS590" s="8" t="s">
        <v>92</v>
      </c>
      <c r="BT590" s="8" t="s">
        <v>93</v>
      </c>
      <c r="BU590" s="8" t="s">
        <v>92</v>
      </c>
      <c r="BV590" s="8" t="s">
        <v>93</v>
      </c>
      <c r="BW590" s="8" t="s">
        <v>92</v>
      </c>
      <c r="BX590" s="8" t="s">
        <v>92</v>
      </c>
      <c r="BY590" s="8" t="s">
        <v>92</v>
      </c>
      <c r="BZ590" s="8" t="s">
        <v>93</v>
      </c>
      <c r="CA590" s="8" t="s">
        <v>92</v>
      </c>
      <c r="CB590" s="20" t="s">
        <v>1189</v>
      </c>
      <c r="CC590" s="17"/>
      <c r="CD590" s="18"/>
      <c r="CE590" s="18"/>
      <c r="CF590" s="18"/>
      <c r="CG590" s="18"/>
      <c r="CH590" s="18"/>
    </row>
    <row r="591">
      <c r="A591" s="8"/>
      <c r="B591" s="9" t="s">
        <v>2494</v>
      </c>
      <c r="C591" s="10" t="s">
        <v>2495</v>
      </c>
      <c r="D591" s="9" t="s">
        <v>2490</v>
      </c>
      <c r="E591" s="11" t="s">
        <v>2677</v>
      </c>
      <c r="F591" s="12"/>
      <c r="G591" s="14" t="s">
        <v>2678</v>
      </c>
      <c r="H591" s="14" t="s">
        <v>90</v>
      </c>
      <c r="I591" s="14" t="s">
        <v>2679</v>
      </c>
      <c r="J591" s="14" t="s">
        <v>92</v>
      </c>
      <c r="K591" s="14" t="s">
        <v>92</v>
      </c>
      <c r="L591" s="14" t="s">
        <v>93</v>
      </c>
      <c r="M591" s="14" t="s">
        <v>93</v>
      </c>
      <c r="N591" s="14" t="s">
        <v>92</v>
      </c>
      <c r="O591" s="14" t="s">
        <v>93</v>
      </c>
      <c r="P591" s="14" t="s">
        <v>93</v>
      </c>
      <c r="Q591" s="14" t="s">
        <v>92</v>
      </c>
      <c r="R591" s="14" t="s">
        <v>93</v>
      </c>
      <c r="S591" s="14" t="s">
        <v>93</v>
      </c>
      <c r="T591" s="14" t="s">
        <v>92</v>
      </c>
      <c r="U591" s="14" t="s">
        <v>92</v>
      </c>
      <c r="V591" s="14" t="s">
        <v>92</v>
      </c>
      <c r="W591" s="14" t="s">
        <v>92</v>
      </c>
      <c r="X591" s="14" t="s">
        <v>92</v>
      </c>
      <c r="Y591" s="14" t="s">
        <v>92</v>
      </c>
      <c r="Z591" s="14" t="s">
        <v>93</v>
      </c>
      <c r="AA591" s="14" t="s">
        <v>93</v>
      </c>
      <c r="AB591" s="8" t="s">
        <v>93</v>
      </c>
      <c r="AC591" s="8" t="s">
        <v>93</v>
      </c>
      <c r="AD591" s="8" t="s">
        <v>92</v>
      </c>
      <c r="AE591" s="14" t="s">
        <v>1135</v>
      </c>
      <c r="AF591" s="14" t="s">
        <v>93</v>
      </c>
      <c r="AG591" s="14" t="s">
        <v>105</v>
      </c>
      <c r="AH591" s="8">
        <v>2021.0</v>
      </c>
      <c r="AI591" s="14" t="s">
        <v>92</v>
      </c>
      <c r="AJ591" s="14" t="s">
        <v>93</v>
      </c>
      <c r="AK591" s="14" t="s">
        <v>92</v>
      </c>
      <c r="AL591" s="14" t="s">
        <v>92</v>
      </c>
      <c r="AM591" s="8" t="s">
        <v>105</v>
      </c>
      <c r="AN591" s="14" t="s">
        <v>105</v>
      </c>
      <c r="AO591" s="8" t="s">
        <v>105</v>
      </c>
      <c r="AP591" s="8" t="s">
        <v>92</v>
      </c>
      <c r="AQ591" s="14" t="s">
        <v>92</v>
      </c>
      <c r="AR591" s="14" t="s">
        <v>92</v>
      </c>
      <c r="AS591" s="14" t="s">
        <v>92</v>
      </c>
      <c r="AT591" s="14" t="s">
        <v>92</v>
      </c>
      <c r="AU591" s="14" t="s">
        <v>92</v>
      </c>
      <c r="AV591" s="14" t="s">
        <v>93</v>
      </c>
      <c r="AW591" s="14" t="s">
        <v>93</v>
      </c>
      <c r="AX591" s="14" t="s">
        <v>93</v>
      </c>
      <c r="AY591" s="8" t="s">
        <v>95</v>
      </c>
      <c r="AZ591" s="8" t="s">
        <v>95</v>
      </c>
      <c r="BA591" s="9" t="s">
        <v>2680</v>
      </c>
      <c r="BB591" s="8" t="s">
        <v>97</v>
      </c>
      <c r="BC591" s="8" t="s">
        <v>92</v>
      </c>
      <c r="BD591" s="14" t="s">
        <v>93</v>
      </c>
      <c r="BE591" s="14" t="s">
        <v>92</v>
      </c>
      <c r="BF591" s="14" t="s">
        <v>92</v>
      </c>
      <c r="BG591" s="14" t="s">
        <v>92</v>
      </c>
      <c r="BH591" s="14" t="s">
        <v>92</v>
      </c>
      <c r="BI591" s="14" t="s">
        <v>92</v>
      </c>
      <c r="BJ591" s="14" t="s">
        <v>92</v>
      </c>
      <c r="BK591" s="14" t="s">
        <v>1199</v>
      </c>
      <c r="BL591" s="14" t="s">
        <v>92</v>
      </c>
      <c r="BM591" s="14" t="s">
        <v>93</v>
      </c>
      <c r="BN591" s="14" t="s">
        <v>92</v>
      </c>
      <c r="BO591" s="14" t="s">
        <v>92</v>
      </c>
      <c r="BP591" s="14" t="s">
        <v>92</v>
      </c>
      <c r="BQ591" s="8" t="s">
        <v>92</v>
      </c>
      <c r="BR591" s="8" t="s">
        <v>92</v>
      </c>
      <c r="BS591" s="8" t="s">
        <v>93</v>
      </c>
      <c r="BT591" s="8" t="s">
        <v>93</v>
      </c>
      <c r="BU591" s="8" t="s">
        <v>92</v>
      </c>
      <c r="BV591" s="8" t="s">
        <v>92</v>
      </c>
      <c r="BW591" s="8" t="s">
        <v>93</v>
      </c>
      <c r="BX591" s="8" t="s">
        <v>92</v>
      </c>
      <c r="BY591" s="8" t="s">
        <v>92</v>
      </c>
      <c r="BZ591" s="8" t="s">
        <v>93</v>
      </c>
      <c r="CA591" s="8" t="s">
        <v>92</v>
      </c>
      <c r="CB591" s="20" t="s">
        <v>2662</v>
      </c>
      <c r="CC591" s="17"/>
      <c r="CD591" s="18"/>
      <c r="CE591" s="18"/>
      <c r="CF591" s="18"/>
      <c r="CG591" s="18"/>
      <c r="CH591" s="18"/>
    </row>
    <row r="592">
      <c r="A592" s="8"/>
      <c r="B592" s="9" t="s">
        <v>2494</v>
      </c>
      <c r="C592" s="10" t="s">
        <v>2495</v>
      </c>
      <c r="D592" s="9" t="s">
        <v>2490</v>
      </c>
      <c r="E592" s="11" t="s">
        <v>2681</v>
      </c>
      <c r="F592" s="12"/>
      <c r="G592" s="14" t="s">
        <v>2682</v>
      </c>
      <c r="H592" s="14" t="s">
        <v>90</v>
      </c>
      <c r="I592" s="14" t="s">
        <v>2683</v>
      </c>
      <c r="J592" s="14" t="s">
        <v>92</v>
      </c>
      <c r="K592" s="14" t="s">
        <v>92</v>
      </c>
      <c r="L592" s="14" t="s">
        <v>93</v>
      </c>
      <c r="M592" s="14" t="s">
        <v>93</v>
      </c>
      <c r="N592" s="14" t="s">
        <v>93</v>
      </c>
      <c r="O592" s="14" t="s">
        <v>92</v>
      </c>
      <c r="P592" s="14" t="s">
        <v>93</v>
      </c>
      <c r="Q592" s="14" t="s">
        <v>93</v>
      </c>
      <c r="R592" s="14" t="s">
        <v>92</v>
      </c>
      <c r="S592" s="14" t="s">
        <v>93</v>
      </c>
      <c r="T592" s="14" t="s">
        <v>92</v>
      </c>
      <c r="U592" s="14" t="s">
        <v>92</v>
      </c>
      <c r="V592" s="14" t="s">
        <v>92</v>
      </c>
      <c r="W592" s="14" t="s">
        <v>92</v>
      </c>
      <c r="X592" s="14" t="s">
        <v>92</v>
      </c>
      <c r="Y592" s="14" t="s">
        <v>92</v>
      </c>
      <c r="Z592" s="14" t="s">
        <v>92</v>
      </c>
      <c r="AA592" s="14" t="s">
        <v>92</v>
      </c>
      <c r="AB592" s="8" t="s">
        <v>93</v>
      </c>
      <c r="AC592" s="8" t="s">
        <v>92</v>
      </c>
      <c r="AD592" s="8" t="s">
        <v>92</v>
      </c>
      <c r="AE592" s="14" t="s">
        <v>148</v>
      </c>
      <c r="AF592" s="14" t="s">
        <v>92</v>
      </c>
      <c r="AG592" s="14" t="s">
        <v>95</v>
      </c>
      <c r="AH592" s="8">
        <v>2018.0</v>
      </c>
      <c r="AI592" s="14" t="s">
        <v>93</v>
      </c>
      <c r="AJ592" s="14" t="s">
        <v>93</v>
      </c>
      <c r="AK592" s="14" t="s">
        <v>93</v>
      </c>
      <c r="AL592" s="14" t="s">
        <v>93</v>
      </c>
      <c r="AM592" s="8" t="s">
        <v>95</v>
      </c>
      <c r="AN592" s="14" t="s">
        <v>114</v>
      </c>
      <c r="AO592" s="8" t="s">
        <v>93</v>
      </c>
      <c r="AP592" s="8" t="s">
        <v>92</v>
      </c>
      <c r="AQ592" s="14" t="s">
        <v>92</v>
      </c>
      <c r="AR592" s="14" t="s">
        <v>92</v>
      </c>
      <c r="AS592" s="14" t="s">
        <v>92</v>
      </c>
      <c r="AT592" s="14" t="s">
        <v>92</v>
      </c>
      <c r="AU592" s="14" t="s">
        <v>92</v>
      </c>
      <c r="AV592" s="14" t="s">
        <v>93</v>
      </c>
      <c r="AW592" s="14" t="s">
        <v>93</v>
      </c>
      <c r="AX592" s="14" t="s">
        <v>93</v>
      </c>
      <c r="AY592" s="8" t="s">
        <v>2684</v>
      </c>
      <c r="AZ592" s="8" t="s">
        <v>92</v>
      </c>
      <c r="BA592" s="9" t="s">
        <v>2685</v>
      </c>
      <c r="BB592" s="8" t="s">
        <v>95</v>
      </c>
      <c r="BC592" s="8" t="s">
        <v>93</v>
      </c>
      <c r="BD592" s="14" t="s">
        <v>93</v>
      </c>
      <c r="BE592" s="14" t="s">
        <v>92</v>
      </c>
      <c r="BF592" s="14" t="s">
        <v>92</v>
      </c>
      <c r="BG592" s="14" t="s">
        <v>92</v>
      </c>
      <c r="BH592" s="14" t="s">
        <v>92</v>
      </c>
      <c r="BI592" s="14" t="s">
        <v>92</v>
      </c>
      <c r="BJ592" s="14" t="s">
        <v>92</v>
      </c>
      <c r="BK592" s="14" t="s">
        <v>482</v>
      </c>
      <c r="BL592" s="14" t="s">
        <v>92</v>
      </c>
      <c r="BM592" s="14" t="s">
        <v>92</v>
      </c>
      <c r="BN592" s="14" t="s">
        <v>92</v>
      </c>
      <c r="BO592" s="14" t="s">
        <v>93</v>
      </c>
      <c r="BP592" s="14" t="s">
        <v>92</v>
      </c>
      <c r="BQ592" s="8" t="s">
        <v>92</v>
      </c>
      <c r="BR592" s="8" t="s">
        <v>92</v>
      </c>
      <c r="BS592" s="8" t="s">
        <v>93</v>
      </c>
      <c r="BT592" s="8" t="s">
        <v>92</v>
      </c>
      <c r="BU592" s="8" t="s">
        <v>92</v>
      </c>
      <c r="BV592" s="8" t="s">
        <v>92</v>
      </c>
      <c r="BW592" s="8" t="s">
        <v>92</v>
      </c>
      <c r="BX592" s="8" t="s">
        <v>92</v>
      </c>
      <c r="BY592" s="8" t="s">
        <v>92</v>
      </c>
      <c r="BZ592" s="8" t="s">
        <v>92</v>
      </c>
      <c r="CA592" s="8" t="s">
        <v>93</v>
      </c>
      <c r="CB592" s="20" t="s">
        <v>2662</v>
      </c>
      <c r="CC592" s="20" t="s">
        <v>2663</v>
      </c>
      <c r="CD592" s="20" t="s">
        <v>2664</v>
      </c>
      <c r="CE592" s="20" t="s">
        <v>1189</v>
      </c>
      <c r="CF592" s="18"/>
      <c r="CG592" s="18"/>
      <c r="CH592" s="18"/>
    </row>
    <row r="593">
      <c r="A593" s="8"/>
      <c r="B593" s="9" t="s">
        <v>2494</v>
      </c>
      <c r="C593" s="10" t="s">
        <v>2495</v>
      </c>
      <c r="D593" s="9" t="s">
        <v>2490</v>
      </c>
      <c r="E593" s="11" t="s">
        <v>2686</v>
      </c>
      <c r="F593" s="12"/>
      <c r="G593" s="14" t="s">
        <v>2687</v>
      </c>
      <c r="H593" s="14" t="s">
        <v>189</v>
      </c>
      <c r="I593" s="14" t="s">
        <v>2688</v>
      </c>
      <c r="J593" s="14" t="s">
        <v>92</v>
      </c>
      <c r="K593" s="14" t="s">
        <v>93</v>
      </c>
      <c r="L593" s="14" t="s">
        <v>92</v>
      </c>
      <c r="M593" s="14" t="s">
        <v>92</v>
      </c>
      <c r="N593" s="14" t="s">
        <v>92</v>
      </c>
      <c r="O593" s="14" t="s">
        <v>92</v>
      </c>
      <c r="P593" s="14" t="s">
        <v>93</v>
      </c>
      <c r="Q593" s="14" t="s">
        <v>92</v>
      </c>
      <c r="R593" s="14" t="s">
        <v>92</v>
      </c>
      <c r="S593" s="14" t="s">
        <v>92</v>
      </c>
      <c r="T593" s="14" t="s">
        <v>92</v>
      </c>
      <c r="U593" s="14" t="s">
        <v>93</v>
      </c>
      <c r="V593" s="14" t="s">
        <v>92</v>
      </c>
      <c r="W593" s="14" t="s">
        <v>92</v>
      </c>
      <c r="X593" s="14" t="s">
        <v>92</v>
      </c>
      <c r="Y593" s="14" t="s">
        <v>92</v>
      </c>
      <c r="Z593" s="14" t="s">
        <v>92</v>
      </c>
      <c r="AA593" s="14" t="s">
        <v>92</v>
      </c>
      <c r="AB593" s="8" t="s">
        <v>93</v>
      </c>
      <c r="AC593" s="8" t="s">
        <v>92</v>
      </c>
      <c r="AD593" s="8" t="s">
        <v>92</v>
      </c>
      <c r="AE593" s="14" t="s">
        <v>94</v>
      </c>
      <c r="AF593" s="14" t="s">
        <v>92</v>
      </c>
      <c r="AG593" s="14" t="s">
        <v>95</v>
      </c>
      <c r="AH593" s="8">
        <v>2021.0</v>
      </c>
      <c r="AI593" s="14" t="s">
        <v>92</v>
      </c>
      <c r="AJ593" s="14" t="s">
        <v>93</v>
      </c>
      <c r="AK593" s="14" t="s">
        <v>93</v>
      </c>
      <c r="AL593" s="14" t="s">
        <v>92</v>
      </c>
      <c r="AM593" s="8">
        <v>2022.0</v>
      </c>
      <c r="AN593" s="14" t="s">
        <v>96</v>
      </c>
      <c r="AO593" s="8" t="s">
        <v>93</v>
      </c>
      <c r="AP593" s="8" t="s">
        <v>92</v>
      </c>
      <c r="AQ593" s="14" t="s">
        <v>92</v>
      </c>
      <c r="AR593" s="14" t="s">
        <v>92</v>
      </c>
      <c r="AS593" s="14" t="s">
        <v>92</v>
      </c>
      <c r="AT593" s="14" t="s">
        <v>92</v>
      </c>
      <c r="AU593" s="14" t="s">
        <v>92</v>
      </c>
      <c r="AV593" s="14" t="s">
        <v>93</v>
      </c>
      <c r="AW593" s="14" t="s">
        <v>93</v>
      </c>
      <c r="AX593" s="14" t="s">
        <v>93</v>
      </c>
      <c r="AY593" s="8" t="s">
        <v>95</v>
      </c>
      <c r="AZ593" s="8" t="s">
        <v>95</v>
      </c>
      <c r="BA593" s="9" t="s">
        <v>2689</v>
      </c>
      <c r="BB593" s="8" t="s">
        <v>95</v>
      </c>
      <c r="BC593" s="8" t="s">
        <v>93</v>
      </c>
      <c r="BD593" s="14" t="s">
        <v>92</v>
      </c>
      <c r="BE593" s="14" t="s">
        <v>92</v>
      </c>
      <c r="BF593" s="14" t="s">
        <v>92</v>
      </c>
      <c r="BG593" s="14" t="s">
        <v>92</v>
      </c>
      <c r="BH593" s="14" t="s">
        <v>92</v>
      </c>
      <c r="BI593" s="14" t="s">
        <v>93</v>
      </c>
      <c r="BJ593" s="14" t="s">
        <v>92</v>
      </c>
      <c r="BK593" s="14" t="s">
        <v>1751</v>
      </c>
      <c r="BL593" s="14" t="s">
        <v>92</v>
      </c>
      <c r="BM593" s="14" t="s">
        <v>92</v>
      </c>
      <c r="BN593" s="14" t="s">
        <v>92</v>
      </c>
      <c r="BO593" s="14" t="s">
        <v>93</v>
      </c>
      <c r="BP593" s="14" t="s">
        <v>92</v>
      </c>
      <c r="BQ593" s="8" t="s">
        <v>93</v>
      </c>
      <c r="BR593" s="8" t="s">
        <v>92</v>
      </c>
      <c r="BS593" s="8" t="s">
        <v>92</v>
      </c>
      <c r="BT593" s="8" t="s">
        <v>92</v>
      </c>
      <c r="BU593" s="8" t="s">
        <v>92</v>
      </c>
      <c r="BV593" s="8" t="s">
        <v>92</v>
      </c>
      <c r="BW593" s="8" t="s">
        <v>92</v>
      </c>
      <c r="BX593" s="8" t="s">
        <v>92</v>
      </c>
      <c r="BY593" s="8" t="s">
        <v>92</v>
      </c>
      <c r="BZ593" s="8" t="s">
        <v>92</v>
      </c>
      <c r="CA593" s="8" t="s">
        <v>92</v>
      </c>
      <c r="CB593" s="20" t="s">
        <v>2662</v>
      </c>
      <c r="CC593" s="17"/>
      <c r="CD593" s="18"/>
      <c r="CE593" s="18"/>
      <c r="CF593" s="18"/>
      <c r="CG593" s="18"/>
      <c r="CH593" s="18"/>
    </row>
    <row r="594">
      <c r="A594" s="8"/>
      <c r="B594" s="9" t="s">
        <v>2494</v>
      </c>
      <c r="C594" s="10" t="s">
        <v>2495</v>
      </c>
      <c r="D594" s="9" t="s">
        <v>2490</v>
      </c>
      <c r="E594" s="11" t="s">
        <v>2690</v>
      </c>
      <c r="F594" s="12"/>
      <c r="G594" s="14" t="s">
        <v>2691</v>
      </c>
      <c r="H594" s="14" t="s">
        <v>110</v>
      </c>
      <c r="I594" s="14" t="s">
        <v>2692</v>
      </c>
      <c r="J594" s="14" t="s">
        <v>93</v>
      </c>
      <c r="K594" s="14" t="s">
        <v>92</v>
      </c>
      <c r="L594" s="14" t="s">
        <v>93</v>
      </c>
      <c r="M594" s="14" t="s">
        <v>92</v>
      </c>
      <c r="N594" s="14" t="s">
        <v>92</v>
      </c>
      <c r="O594" s="14" t="s">
        <v>92</v>
      </c>
      <c r="P594" s="14" t="s">
        <v>92</v>
      </c>
      <c r="Q594" s="14" t="s">
        <v>92</v>
      </c>
      <c r="R594" s="14" t="s">
        <v>92</v>
      </c>
      <c r="S594" s="14" t="s">
        <v>93</v>
      </c>
      <c r="T594" s="14" t="s">
        <v>92</v>
      </c>
      <c r="U594" s="14" t="s">
        <v>92</v>
      </c>
      <c r="V594" s="14" t="s">
        <v>92</v>
      </c>
      <c r="W594" s="14" t="s">
        <v>92</v>
      </c>
      <c r="X594" s="14" t="s">
        <v>92</v>
      </c>
      <c r="Y594" s="14" t="s">
        <v>92</v>
      </c>
      <c r="Z594" s="14" t="s">
        <v>93</v>
      </c>
      <c r="AA594" s="14" t="s">
        <v>92</v>
      </c>
      <c r="AB594" s="8" t="s">
        <v>92</v>
      </c>
      <c r="AC594" s="8" t="s">
        <v>93</v>
      </c>
      <c r="AD594" s="8" t="s">
        <v>93</v>
      </c>
      <c r="AE594" s="14" t="s">
        <v>112</v>
      </c>
      <c r="AF594" s="14" t="s">
        <v>92</v>
      </c>
      <c r="AG594" s="14" t="s">
        <v>95</v>
      </c>
      <c r="AH594" s="8">
        <v>2016.0</v>
      </c>
      <c r="AI594" s="14" t="s">
        <v>93</v>
      </c>
      <c r="AJ594" s="14" t="s">
        <v>93</v>
      </c>
      <c r="AK594" s="14" t="s">
        <v>93</v>
      </c>
      <c r="AL594" s="14" t="s">
        <v>93</v>
      </c>
      <c r="AM594" s="8" t="s">
        <v>95</v>
      </c>
      <c r="AN594" s="14" t="s">
        <v>114</v>
      </c>
      <c r="AO594" s="8" t="s">
        <v>93</v>
      </c>
      <c r="AP594" s="8" t="s">
        <v>92</v>
      </c>
      <c r="AQ594" s="14" t="s">
        <v>92</v>
      </c>
      <c r="AR594" s="14" t="s">
        <v>92</v>
      </c>
      <c r="AS594" s="14" t="s">
        <v>92</v>
      </c>
      <c r="AT594" s="14" t="s">
        <v>92</v>
      </c>
      <c r="AU594" s="14" t="s">
        <v>92</v>
      </c>
      <c r="AV594" s="14" t="s">
        <v>93</v>
      </c>
      <c r="AW594" s="14" t="s">
        <v>93</v>
      </c>
      <c r="AX594" s="14" t="s">
        <v>93</v>
      </c>
      <c r="AY594" s="8" t="s">
        <v>95</v>
      </c>
      <c r="AZ594" s="8" t="s">
        <v>95</v>
      </c>
      <c r="BA594" s="9" t="s">
        <v>2494</v>
      </c>
      <c r="BB594" s="8" t="s">
        <v>97</v>
      </c>
      <c r="BC594" s="8" t="s">
        <v>92</v>
      </c>
      <c r="BD594" s="14" t="s">
        <v>93</v>
      </c>
      <c r="BE594" s="14" t="s">
        <v>92</v>
      </c>
      <c r="BF594" s="14" t="s">
        <v>92</v>
      </c>
      <c r="BG594" s="14" t="s">
        <v>92</v>
      </c>
      <c r="BH594" s="14" t="s">
        <v>92</v>
      </c>
      <c r="BI594" s="14" t="s">
        <v>92</v>
      </c>
      <c r="BJ594" s="14" t="s">
        <v>92</v>
      </c>
      <c r="BK594" s="14" t="s">
        <v>546</v>
      </c>
      <c r="BL594" s="14" t="s">
        <v>92</v>
      </c>
      <c r="BM594" s="14" t="s">
        <v>92</v>
      </c>
      <c r="BN594" s="14" t="s">
        <v>93</v>
      </c>
      <c r="BO594" s="14" t="s">
        <v>92</v>
      </c>
      <c r="BP594" s="14" t="s">
        <v>92</v>
      </c>
      <c r="BQ594" s="8" t="s">
        <v>92</v>
      </c>
      <c r="BR594" s="8" t="s">
        <v>92</v>
      </c>
      <c r="BS594" s="8" t="s">
        <v>92</v>
      </c>
      <c r="BT594" s="8" t="s">
        <v>93</v>
      </c>
      <c r="BU594" s="8" t="s">
        <v>92</v>
      </c>
      <c r="BV594" s="8" t="s">
        <v>93</v>
      </c>
      <c r="BW594" s="8" t="s">
        <v>92</v>
      </c>
      <c r="BX594" s="8" t="s">
        <v>92</v>
      </c>
      <c r="BY594" s="8" t="s">
        <v>92</v>
      </c>
      <c r="BZ594" s="8" t="s">
        <v>93</v>
      </c>
      <c r="CA594" s="8" t="s">
        <v>92</v>
      </c>
      <c r="CB594" s="20" t="s">
        <v>2662</v>
      </c>
      <c r="CC594" s="20" t="s">
        <v>2663</v>
      </c>
      <c r="CD594" s="20" t="s">
        <v>2664</v>
      </c>
      <c r="CE594" s="20" t="s">
        <v>1189</v>
      </c>
      <c r="CF594" s="18"/>
      <c r="CG594" s="18"/>
      <c r="CH594" s="18"/>
    </row>
    <row r="595">
      <c r="A595" s="8"/>
      <c r="B595" s="19" t="s">
        <v>2494</v>
      </c>
      <c r="C595" s="10" t="s">
        <v>2495</v>
      </c>
      <c r="D595" s="9" t="s">
        <v>2490</v>
      </c>
      <c r="E595" s="11" t="s">
        <v>2693</v>
      </c>
      <c r="F595" s="12"/>
      <c r="G595" s="14" t="s">
        <v>2694</v>
      </c>
      <c r="H595" s="14" t="s">
        <v>90</v>
      </c>
      <c r="I595" s="14" t="s">
        <v>2695</v>
      </c>
      <c r="J595" s="14" t="s">
        <v>93</v>
      </c>
      <c r="K595" s="14" t="s">
        <v>92</v>
      </c>
      <c r="L595" s="14" t="s">
        <v>93</v>
      </c>
      <c r="M595" s="14" t="s">
        <v>92</v>
      </c>
      <c r="N595" s="14" t="s">
        <v>92</v>
      </c>
      <c r="O595" s="14" t="s">
        <v>92</v>
      </c>
      <c r="P595" s="14" t="s">
        <v>93</v>
      </c>
      <c r="Q595" s="14" t="s">
        <v>92</v>
      </c>
      <c r="R595" s="14" t="s">
        <v>92</v>
      </c>
      <c r="S595" s="14" t="s">
        <v>93</v>
      </c>
      <c r="T595" s="14" t="s">
        <v>92</v>
      </c>
      <c r="U595" s="14" t="s">
        <v>92</v>
      </c>
      <c r="V595" s="14" t="s">
        <v>92</v>
      </c>
      <c r="W595" s="14" t="s">
        <v>92</v>
      </c>
      <c r="X595" s="14" t="s">
        <v>92</v>
      </c>
      <c r="Y595" s="14" t="s">
        <v>92</v>
      </c>
      <c r="Z595" s="14" t="s">
        <v>93</v>
      </c>
      <c r="AA595" s="14" t="s">
        <v>92</v>
      </c>
      <c r="AB595" s="8" t="s">
        <v>93</v>
      </c>
      <c r="AC595" s="8" t="s">
        <v>93</v>
      </c>
      <c r="AD595" s="8" t="s">
        <v>92</v>
      </c>
      <c r="AE595" s="14" t="s">
        <v>1135</v>
      </c>
      <c r="AF595" s="14" t="s">
        <v>92</v>
      </c>
      <c r="AG595" s="14" t="s">
        <v>95</v>
      </c>
      <c r="AH595" s="8">
        <v>2022.0</v>
      </c>
      <c r="AI595" s="14" t="s">
        <v>92</v>
      </c>
      <c r="AJ595" s="14" t="s">
        <v>92</v>
      </c>
      <c r="AK595" s="14" t="s">
        <v>93</v>
      </c>
      <c r="AL595" s="14" t="s">
        <v>93</v>
      </c>
      <c r="AM595" s="8" t="s">
        <v>95</v>
      </c>
      <c r="AN595" s="14" t="s">
        <v>114</v>
      </c>
      <c r="AO595" s="8" t="s">
        <v>93</v>
      </c>
      <c r="AP595" s="8" t="s">
        <v>92</v>
      </c>
      <c r="AQ595" s="14" t="s">
        <v>92</v>
      </c>
      <c r="AR595" s="14" t="s">
        <v>92</v>
      </c>
      <c r="AS595" s="14" t="s">
        <v>92</v>
      </c>
      <c r="AT595" s="14" t="s">
        <v>92</v>
      </c>
      <c r="AU595" s="14" t="s">
        <v>92</v>
      </c>
      <c r="AV595" s="14" t="s">
        <v>93</v>
      </c>
      <c r="AW595" s="14" t="s">
        <v>93</v>
      </c>
      <c r="AX595" s="14" t="s">
        <v>93</v>
      </c>
      <c r="AY595" s="8" t="s">
        <v>95</v>
      </c>
      <c r="AZ595" s="8" t="s">
        <v>95</v>
      </c>
      <c r="BA595" s="9" t="s">
        <v>2680</v>
      </c>
      <c r="BB595" s="8" t="s">
        <v>97</v>
      </c>
      <c r="BC595" s="8" t="s">
        <v>92</v>
      </c>
      <c r="BD595" s="14" t="s">
        <v>93</v>
      </c>
      <c r="BE595" s="14" t="s">
        <v>92</v>
      </c>
      <c r="BF595" s="14" t="s">
        <v>92</v>
      </c>
      <c r="BG595" s="14" t="s">
        <v>92</v>
      </c>
      <c r="BH595" s="14" t="s">
        <v>92</v>
      </c>
      <c r="BI595" s="14" t="s">
        <v>92</v>
      </c>
      <c r="BJ595" s="14" t="s">
        <v>92</v>
      </c>
      <c r="BK595" s="14" t="s">
        <v>105</v>
      </c>
      <c r="BL595" s="14" t="s">
        <v>105</v>
      </c>
      <c r="BM595" s="14" t="s">
        <v>105</v>
      </c>
      <c r="BN595" s="14" t="s">
        <v>105</v>
      </c>
      <c r="BO595" s="14" t="s">
        <v>105</v>
      </c>
      <c r="BP595" s="14" t="s">
        <v>105</v>
      </c>
      <c r="BQ595" s="8" t="s">
        <v>92</v>
      </c>
      <c r="BR595" s="8" t="s">
        <v>92</v>
      </c>
      <c r="BS595" s="8" t="s">
        <v>93</v>
      </c>
      <c r="BT595" s="8" t="s">
        <v>93</v>
      </c>
      <c r="BU595" s="8" t="s">
        <v>92</v>
      </c>
      <c r="BV595" s="8" t="s">
        <v>92</v>
      </c>
      <c r="BW595" s="8" t="s">
        <v>92</v>
      </c>
      <c r="BX595" s="8" t="s">
        <v>92</v>
      </c>
      <c r="BY595" s="8" t="s">
        <v>92</v>
      </c>
      <c r="BZ595" s="8" t="s">
        <v>93</v>
      </c>
      <c r="CA595" s="8" t="s">
        <v>92</v>
      </c>
      <c r="CB595" s="20" t="s">
        <v>2663</v>
      </c>
      <c r="CC595" s="20" t="s">
        <v>2664</v>
      </c>
      <c r="CD595" s="18"/>
      <c r="CE595" s="18"/>
      <c r="CF595" s="18"/>
      <c r="CG595" s="18"/>
      <c r="CH595" s="18"/>
    </row>
    <row r="596">
      <c r="A596" s="8"/>
      <c r="B596" s="9" t="s">
        <v>2494</v>
      </c>
      <c r="C596" s="10" t="s">
        <v>2495</v>
      </c>
      <c r="D596" s="9" t="s">
        <v>2490</v>
      </c>
      <c r="E596" s="11" t="s">
        <v>2696</v>
      </c>
      <c r="F596" s="12"/>
      <c r="G596" s="14" t="s">
        <v>342</v>
      </c>
      <c r="H596" s="14" t="s">
        <v>90</v>
      </c>
      <c r="I596" s="14" t="s">
        <v>2697</v>
      </c>
      <c r="J596" s="14" t="s">
        <v>92</v>
      </c>
      <c r="K596" s="14" t="s">
        <v>92</v>
      </c>
      <c r="L596" s="14" t="s">
        <v>93</v>
      </c>
      <c r="M596" s="14" t="s">
        <v>92</v>
      </c>
      <c r="N596" s="14" t="s">
        <v>92</v>
      </c>
      <c r="O596" s="14" t="s">
        <v>93</v>
      </c>
      <c r="P596" s="14" t="s">
        <v>93</v>
      </c>
      <c r="Q596" s="14" t="s">
        <v>93</v>
      </c>
      <c r="R596" s="14" t="s">
        <v>92</v>
      </c>
      <c r="S596" s="14" t="s">
        <v>93</v>
      </c>
      <c r="T596" s="14" t="s">
        <v>92</v>
      </c>
      <c r="U596" s="14" t="s">
        <v>92</v>
      </c>
      <c r="V596" s="14" t="s">
        <v>92</v>
      </c>
      <c r="W596" s="14" t="s">
        <v>92</v>
      </c>
      <c r="X596" s="14" t="s">
        <v>92</v>
      </c>
      <c r="Y596" s="14" t="s">
        <v>92</v>
      </c>
      <c r="Z596" s="14" t="s">
        <v>92</v>
      </c>
      <c r="AA596" s="14" t="s">
        <v>93</v>
      </c>
      <c r="AB596" s="8" t="s">
        <v>93</v>
      </c>
      <c r="AC596" s="8" t="s">
        <v>92</v>
      </c>
      <c r="AD596" s="8" t="s">
        <v>92</v>
      </c>
      <c r="AE596" s="14" t="s">
        <v>1135</v>
      </c>
      <c r="AF596" s="14" t="s">
        <v>92</v>
      </c>
      <c r="AG596" s="14" t="s">
        <v>95</v>
      </c>
      <c r="AH596" s="8" t="s">
        <v>105</v>
      </c>
      <c r="AI596" s="14" t="s">
        <v>92</v>
      </c>
      <c r="AJ596" s="14" t="s">
        <v>93</v>
      </c>
      <c r="AK596" s="14" t="s">
        <v>93</v>
      </c>
      <c r="AL596" s="14" t="s">
        <v>93</v>
      </c>
      <c r="AM596" s="8" t="s">
        <v>95</v>
      </c>
      <c r="AN596" s="14" t="s">
        <v>114</v>
      </c>
      <c r="AO596" s="8" t="s">
        <v>93</v>
      </c>
      <c r="AP596" s="8" t="s">
        <v>92</v>
      </c>
      <c r="AQ596" s="14" t="s">
        <v>92</v>
      </c>
      <c r="AR596" s="14" t="s">
        <v>92</v>
      </c>
      <c r="AS596" s="14" t="s">
        <v>92</v>
      </c>
      <c r="AT596" s="14" t="s">
        <v>92</v>
      </c>
      <c r="AU596" s="14" t="s">
        <v>92</v>
      </c>
      <c r="AV596" s="14" t="s">
        <v>93</v>
      </c>
      <c r="AW596" s="14" t="s">
        <v>93</v>
      </c>
      <c r="AX596" s="14" t="s">
        <v>93</v>
      </c>
      <c r="AY596" s="8" t="s">
        <v>95</v>
      </c>
      <c r="AZ596" s="8" t="s">
        <v>95</v>
      </c>
      <c r="BA596" s="9" t="s">
        <v>2698</v>
      </c>
      <c r="BB596" s="8" t="s">
        <v>95</v>
      </c>
      <c r="BC596" s="8" t="s">
        <v>93</v>
      </c>
      <c r="BD596" s="14" t="s">
        <v>93</v>
      </c>
      <c r="BE596" s="14" t="s">
        <v>92</v>
      </c>
      <c r="BF596" s="14" t="s">
        <v>92</v>
      </c>
      <c r="BG596" s="14" t="s">
        <v>92</v>
      </c>
      <c r="BH596" s="14" t="s">
        <v>92</v>
      </c>
      <c r="BI596" s="14" t="s">
        <v>92</v>
      </c>
      <c r="BJ596" s="14" t="s">
        <v>92</v>
      </c>
      <c r="BK596" s="14" t="s">
        <v>2699</v>
      </c>
      <c r="BL596" s="14" t="s">
        <v>92</v>
      </c>
      <c r="BM596" s="14" t="s">
        <v>93</v>
      </c>
      <c r="BN596" s="14" t="s">
        <v>92</v>
      </c>
      <c r="BO596" s="14" t="s">
        <v>92</v>
      </c>
      <c r="BP596" s="14" t="s">
        <v>92</v>
      </c>
      <c r="BQ596" s="8" t="s">
        <v>92</v>
      </c>
      <c r="BR596" s="8" t="s">
        <v>92</v>
      </c>
      <c r="BS596" s="8" t="s">
        <v>93</v>
      </c>
      <c r="BT596" s="8" t="s">
        <v>92</v>
      </c>
      <c r="BU596" s="8" t="s">
        <v>92</v>
      </c>
      <c r="BV596" s="8" t="s">
        <v>92</v>
      </c>
      <c r="BW596" s="8" t="s">
        <v>92</v>
      </c>
      <c r="BX596" s="8" t="s">
        <v>92</v>
      </c>
      <c r="BY596" s="8" t="s">
        <v>92</v>
      </c>
      <c r="BZ596" s="8" t="s">
        <v>92</v>
      </c>
      <c r="CA596" s="8" t="s">
        <v>92</v>
      </c>
      <c r="CB596" s="20" t="s">
        <v>2663</v>
      </c>
      <c r="CC596" s="20" t="s">
        <v>2664</v>
      </c>
      <c r="CD596" s="20" t="s">
        <v>2662</v>
      </c>
      <c r="CE596" s="18"/>
      <c r="CF596" s="18"/>
      <c r="CG596" s="18"/>
      <c r="CH596" s="18"/>
    </row>
    <row r="597">
      <c r="A597" s="8"/>
      <c r="B597" s="9" t="s">
        <v>2494</v>
      </c>
      <c r="C597" s="10" t="s">
        <v>2495</v>
      </c>
      <c r="D597" s="9" t="s">
        <v>2490</v>
      </c>
      <c r="E597" s="11" t="s">
        <v>2700</v>
      </c>
      <c r="F597" s="12"/>
      <c r="G597" s="14" t="s">
        <v>2701</v>
      </c>
      <c r="H597" s="14" t="s">
        <v>189</v>
      </c>
      <c r="I597" s="14" t="s">
        <v>2702</v>
      </c>
      <c r="J597" s="14" t="s">
        <v>92</v>
      </c>
      <c r="K597" s="14" t="s">
        <v>93</v>
      </c>
      <c r="L597" s="14" t="s">
        <v>92</v>
      </c>
      <c r="M597" s="14" t="s">
        <v>92</v>
      </c>
      <c r="N597" s="14" t="s">
        <v>92</v>
      </c>
      <c r="O597" s="14" t="s">
        <v>92</v>
      </c>
      <c r="P597" s="14" t="s">
        <v>92</v>
      </c>
      <c r="Q597" s="14" t="s">
        <v>93</v>
      </c>
      <c r="R597" s="14" t="s">
        <v>92</v>
      </c>
      <c r="S597" s="14" t="s">
        <v>92</v>
      </c>
      <c r="T597" s="14" t="s">
        <v>92</v>
      </c>
      <c r="U597" s="14" t="s">
        <v>93</v>
      </c>
      <c r="V597" s="14" t="s">
        <v>92</v>
      </c>
      <c r="W597" s="14" t="s">
        <v>92</v>
      </c>
      <c r="X597" s="14" t="s">
        <v>92</v>
      </c>
      <c r="Y597" s="14" t="s">
        <v>92</v>
      </c>
      <c r="Z597" s="14" t="s">
        <v>92</v>
      </c>
      <c r="AA597" s="14" t="s">
        <v>92</v>
      </c>
      <c r="AB597" s="8" t="s">
        <v>93</v>
      </c>
      <c r="AC597" s="8" t="s">
        <v>92</v>
      </c>
      <c r="AD597" s="8" t="s">
        <v>92</v>
      </c>
      <c r="AE597" s="14" t="s">
        <v>94</v>
      </c>
      <c r="AF597" s="14" t="s">
        <v>92</v>
      </c>
      <c r="AG597" s="14" t="s">
        <v>95</v>
      </c>
      <c r="AH597" s="8">
        <v>2021.0</v>
      </c>
      <c r="AI597" s="14" t="s">
        <v>92</v>
      </c>
      <c r="AJ597" s="14" t="s">
        <v>93</v>
      </c>
      <c r="AK597" s="14" t="s">
        <v>93</v>
      </c>
      <c r="AL597" s="14" t="s">
        <v>93</v>
      </c>
      <c r="AM597" s="8" t="s">
        <v>95</v>
      </c>
      <c r="AN597" s="14" t="s">
        <v>114</v>
      </c>
      <c r="AO597" s="8" t="s">
        <v>93</v>
      </c>
      <c r="AP597" s="8" t="s">
        <v>92</v>
      </c>
      <c r="AQ597" s="14" t="s">
        <v>92</v>
      </c>
      <c r="AR597" s="14" t="s">
        <v>92</v>
      </c>
      <c r="AS597" s="14" t="s">
        <v>92</v>
      </c>
      <c r="AT597" s="14" t="s">
        <v>92</v>
      </c>
      <c r="AU597" s="14" t="s">
        <v>92</v>
      </c>
      <c r="AV597" s="14" t="s">
        <v>93</v>
      </c>
      <c r="AW597" s="14" t="s">
        <v>93</v>
      </c>
      <c r="AX597" s="14" t="s">
        <v>93</v>
      </c>
      <c r="AY597" s="8" t="s">
        <v>2703</v>
      </c>
      <c r="AZ597" s="8" t="s">
        <v>92</v>
      </c>
      <c r="BA597" s="9" t="s">
        <v>2704</v>
      </c>
      <c r="BB597" s="8" t="s">
        <v>95</v>
      </c>
      <c r="BC597" s="8" t="s">
        <v>93</v>
      </c>
      <c r="BD597" s="14" t="s">
        <v>92</v>
      </c>
      <c r="BE597" s="14" t="s">
        <v>92</v>
      </c>
      <c r="BF597" s="14" t="s">
        <v>92</v>
      </c>
      <c r="BG597" s="14" t="s">
        <v>92</v>
      </c>
      <c r="BH597" s="14" t="s">
        <v>92</v>
      </c>
      <c r="BI597" s="14" t="s">
        <v>93</v>
      </c>
      <c r="BJ597" s="14" t="s">
        <v>92</v>
      </c>
      <c r="BK597" s="14" t="s">
        <v>2705</v>
      </c>
      <c r="BL597" s="14" t="s">
        <v>92</v>
      </c>
      <c r="BM597" s="14" t="s">
        <v>93</v>
      </c>
      <c r="BN597" s="14" t="s">
        <v>92</v>
      </c>
      <c r="BO597" s="14" t="s">
        <v>93</v>
      </c>
      <c r="BP597" s="14" t="s">
        <v>92</v>
      </c>
      <c r="BQ597" s="8" t="s">
        <v>93</v>
      </c>
      <c r="BR597" s="8" t="s">
        <v>92</v>
      </c>
      <c r="BS597" s="8" t="s">
        <v>92</v>
      </c>
      <c r="BT597" s="8" t="s">
        <v>92</v>
      </c>
      <c r="BU597" s="8" t="s">
        <v>92</v>
      </c>
      <c r="BV597" s="8" t="s">
        <v>92</v>
      </c>
      <c r="BW597" s="8" t="s">
        <v>92</v>
      </c>
      <c r="BX597" s="8" t="s">
        <v>92</v>
      </c>
      <c r="BY597" s="8" t="s">
        <v>92</v>
      </c>
      <c r="BZ597" s="8" t="s">
        <v>92</v>
      </c>
      <c r="CA597" s="8" t="s">
        <v>92</v>
      </c>
      <c r="CB597" s="20" t="s">
        <v>2663</v>
      </c>
      <c r="CC597" s="20" t="s">
        <v>2664</v>
      </c>
      <c r="CD597" s="18"/>
      <c r="CE597" s="18"/>
      <c r="CF597" s="18"/>
      <c r="CG597" s="18"/>
      <c r="CH597" s="18"/>
    </row>
    <row r="598">
      <c r="A598" s="8"/>
      <c r="B598" s="9" t="s">
        <v>2494</v>
      </c>
      <c r="C598" s="10" t="s">
        <v>2495</v>
      </c>
      <c r="D598" s="9" t="s">
        <v>2490</v>
      </c>
      <c r="E598" s="11" t="s">
        <v>2706</v>
      </c>
      <c r="F598" s="25"/>
      <c r="G598" s="14" t="s">
        <v>2707</v>
      </c>
      <c r="H598" s="14" t="s">
        <v>189</v>
      </c>
      <c r="I598" s="14" t="s">
        <v>2708</v>
      </c>
      <c r="J598" s="14" t="s">
        <v>92</v>
      </c>
      <c r="K598" s="14" t="s">
        <v>93</v>
      </c>
      <c r="L598" s="14" t="s">
        <v>92</v>
      </c>
      <c r="M598" s="14" t="s">
        <v>92</v>
      </c>
      <c r="N598" s="14" t="s">
        <v>92</v>
      </c>
      <c r="O598" s="14" t="s">
        <v>92</v>
      </c>
      <c r="P598" s="14" t="s">
        <v>93</v>
      </c>
      <c r="Q598" s="14" t="s">
        <v>92</v>
      </c>
      <c r="R598" s="14" t="s">
        <v>92</v>
      </c>
      <c r="S598" s="14" t="s">
        <v>92</v>
      </c>
      <c r="T598" s="14" t="s">
        <v>92</v>
      </c>
      <c r="U598" s="14" t="s">
        <v>93</v>
      </c>
      <c r="V598" s="14" t="s">
        <v>92</v>
      </c>
      <c r="W598" s="14" t="s">
        <v>92</v>
      </c>
      <c r="X598" s="14" t="s">
        <v>92</v>
      </c>
      <c r="Y598" s="14" t="s">
        <v>92</v>
      </c>
      <c r="Z598" s="14" t="s">
        <v>92</v>
      </c>
      <c r="AA598" s="14" t="s">
        <v>92</v>
      </c>
      <c r="AB598" s="8" t="s">
        <v>93</v>
      </c>
      <c r="AC598" s="8" t="s">
        <v>92</v>
      </c>
      <c r="AD598" s="8" t="s">
        <v>92</v>
      </c>
      <c r="AE598" s="14" t="s">
        <v>94</v>
      </c>
      <c r="AF598" s="14" t="s">
        <v>92</v>
      </c>
      <c r="AG598" s="14" t="s">
        <v>95</v>
      </c>
      <c r="AH598" s="8">
        <v>2022.0</v>
      </c>
      <c r="AI598" s="14" t="s">
        <v>92</v>
      </c>
      <c r="AJ598" s="14" t="s">
        <v>92</v>
      </c>
      <c r="AK598" s="14" t="s">
        <v>93</v>
      </c>
      <c r="AL598" s="14" t="s">
        <v>92</v>
      </c>
      <c r="AM598" s="8">
        <v>2022.0</v>
      </c>
      <c r="AN598" s="14" t="s">
        <v>96</v>
      </c>
      <c r="AO598" s="8" t="s">
        <v>92</v>
      </c>
      <c r="AP598" s="8" t="s">
        <v>93</v>
      </c>
      <c r="AQ598" s="14" t="s">
        <v>92</v>
      </c>
      <c r="AR598" s="14" t="s">
        <v>92</v>
      </c>
      <c r="AS598" s="14" t="s">
        <v>92</v>
      </c>
      <c r="AT598" s="14" t="s">
        <v>92</v>
      </c>
      <c r="AU598" s="14" t="s">
        <v>92</v>
      </c>
      <c r="AV598" s="14" t="s">
        <v>93</v>
      </c>
      <c r="AW598" s="14" t="s">
        <v>93</v>
      </c>
      <c r="AX598" s="14" t="s">
        <v>93</v>
      </c>
      <c r="AY598" s="8" t="s">
        <v>95</v>
      </c>
      <c r="AZ598" s="8" t="s">
        <v>95</v>
      </c>
      <c r="BA598" s="44" t="s">
        <v>2703</v>
      </c>
      <c r="BB598" s="8" t="s">
        <v>97</v>
      </c>
      <c r="BC598" s="8" t="s">
        <v>92</v>
      </c>
      <c r="BD598" s="14" t="s">
        <v>92</v>
      </c>
      <c r="BE598" s="14" t="s">
        <v>92</v>
      </c>
      <c r="BF598" s="14" t="s">
        <v>92</v>
      </c>
      <c r="BG598" s="14" t="s">
        <v>92</v>
      </c>
      <c r="BH598" s="14" t="s">
        <v>92</v>
      </c>
      <c r="BI598" s="14" t="s">
        <v>93</v>
      </c>
      <c r="BJ598" s="14" t="s">
        <v>92</v>
      </c>
      <c r="BK598" s="14" t="s">
        <v>1751</v>
      </c>
      <c r="BL598" s="14" t="s">
        <v>92</v>
      </c>
      <c r="BM598" s="14" t="s">
        <v>92</v>
      </c>
      <c r="BN598" s="14" t="s">
        <v>92</v>
      </c>
      <c r="BO598" s="14" t="s">
        <v>93</v>
      </c>
      <c r="BP598" s="14" t="s">
        <v>92</v>
      </c>
      <c r="BQ598" s="8" t="s">
        <v>93</v>
      </c>
      <c r="BR598" s="8" t="s">
        <v>92</v>
      </c>
      <c r="BS598" s="8" t="s">
        <v>92</v>
      </c>
      <c r="BT598" s="8" t="s">
        <v>92</v>
      </c>
      <c r="BU598" s="8" t="s">
        <v>92</v>
      </c>
      <c r="BV598" s="8" t="s">
        <v>92</v>
      </c>
      <c r="BW598" s="8" t="s">
        <v>92</v>
      </c>
      <c r="BX598" s="8" t="s">
        <v>92</v>
      </c>
      <c r="BY598" s="8" t="s">
        <v>92</v>
      </c>
      <c r="BZ598" s="8" t="s">
        <v>92</v>
      </c>
      <c r="CA598" s="8" t="s">
        <v>92</v>
      </c>
      <c r="CB598" s="20" t="s">
        <v>2663</v>
      </c>
      <c r="CC598" s="34"/>
      <c r="CD598" s="18"/>
      <c r="CE598" s="18"/>
      <c r="CF598" s="18"/>
      <c r="CG598" s="18"/>
      <c r="CH598" s="18"/>
    </row>
    <row r="599">
      <c r="A599" s="8"/>
      <c r="B599" s="43" t="s">
        <v>2494</v>
      </c>
      <c r="C599" s="10" t="s">
        <v>2495</v>
      </c>
      <c r="D599" s="9" t="s">
        <v>2490</v>
      </c>
      <c r="E599" s="11" t="s">
        <v>2709</v>
      </c>
      <c r="F599" s="12"/>
      <c r="G599" s="14" t="s">
        <v>2707</v>
      </c>
      <c r="H599" s="14" t="s">
        <v>189</v>
      </c>
      <c r="I599" s="14" t="s">
        <v>2710</v>
      </c>
      <c r="J599" s="14" t="s">
        <v>92</v>
      </c>
      <c r="K599" s="14" t="s">
        <v>93</v>
      </c>
      <c r="L599" s="14" t="s">
        <v>92</v>
      </c>
      <c r="M599" s="14" t="s">
        <v>92</v>
      </c>
      <c r="N599" s="14" t="s">
        <v>92</v>
      </c>
      <c r="O599" s="14" t="s">
        <v>92</v>
      </c>
      <c r="P599" s="14" t="s">
        <v>93</v>
      </c>
      <c r="Q599" s="14" t="s">
        <v>92</v>
      </c>
      <c r="R599" s="14" t="s">
        <v>92</v>
      </c>
      <c r="S599" s="14" t="s">
        <v>92</v>
      </c>
      <c r="T599" s="14" t="s">
        <v>92</v>
      </c>
      <c r="U599" s="14" t="s">
        <v>93</v>
      </c>
      <c r="V599" s="14" t="s">
        <v>92</v>
      </c>
      <c r="W599" s="14" t="s">
        <v>92</v>
      </c>
      <c r="X599" s="14" t="s">
        <v>92</v>
      </c>
      <c r="Y599" s="14" t="s">
        <v>92</v>
      </c>
      <c r="Z599" s="14" t="s">
        <v>92</v>
      </c>
      <c r="AA599" s="14" t="s">
        <v>92</v>
      </c>
      <c r="AB599" s="8" t="s">
        <v>93</v>
      </c>
      <c r="AC599" s="8" t="s">
        <v>92</v>
      </c>
      <c r="AD599" s="8" t="s">
        <v>92</v>
      </c>
      <c r="AE599" s="14" t="s">
        <v>94</v>
      </c>
      <c r="AF599" s="14" t="s">
        <v>92</v>
      </c>
      <c r="AG599" s="14" t="s">
        <v>95</v>
      </c>
      <c r="AH599" s="8">
        <v>2022.0</v>
      </c>
      <c r="AI599" s="14" t="s">
        <v>92</v>
      </c>
      <c r="AJ599" s="14" t="s">
        <v>92</v>
      </c>
      <c r="AK599" s="14" t="s">
        <v>93</v>
      </c>
      <c r="AL599" s="14" t="s">
        <v>92</v>
      </c>
      <c r="AM599" s="8">
        <v>2022.0</v>
      </c>
      <c r="AN599" s="14" t="s">
        <v>96</v>
      </c>
      <c r="AO599" s="8" t="s">
        <v>92</v>
      </c>
      <c r="AP599" s="8" t="s">
        <v>93</v>
      </c>
      <c r="AQ599" s="14" t="s">
        <v>92</v>
      </c>
      <c r="AR599" s="14" t="s">
        <v>92</v>
      </c>
      <c r="AS599" s="14" t="s">
        <v>92</v>
      </c>
      <c r="AT599" s="14" t="s">
        <v>92</v>
      </c>
      <c r="AU599" s="14" t="s">
        <v>92</v>
      </c>
      <c r="AV599" s="14" t="s">
        <v>93</v>
      </c>
      <c r="AW599" s="14" t="s">
        <v>93</v>
      </c>
      <c r="AX599" s="14" t="s">
        <v>93</v>
      </c>
      <c r="AY599" s="8" t="s">
        <v>95</v>
      </c>
      <c r="AZ599" s="8" t="s">
        <v>95</v>
      </c>
      <c r="BA599" s="44" t="s">
        <v>2703</v>
      </c>
      <c r="BB599" s="8" t="s">
        <v>97</v>
      </c>
      <c r="BC599" s="8" t="s">
        <v>92</v>
      </c>
      <c r="BD599" s="14" t="s">
        <v>92</v>
      </c>
      <c r="BE599" s="14" t="s">
        <v>92</v>
      </c>
      <c r="BF599" s="14" t="s">
        <v>92</v>
      </c>
      <c r="BG599" s="14" t="s">
        <v>92</v>
      </c>
      <c r="BH599" s="14" t="s">
        <v>92</v>
      </c>
      <c r="BI599" s="14" t="s">
        <v>93</v>
      </c>
      <c r="BJ599" s="14" t="s">
        <v>92</v>
      </c>
      <c r="BK599" s="14" t="s">
        <v>1755</v>
      </c>
      <c r="BL599" s="14" t="s">
        <v>92</v>
      </c>
      <c r="BM599" s="14" t="s">
        <v>93</v>
      </c>
      <c r="BN599" s="14" t="s">
        <v>92</v>
      </c>
      <c r="BO599" s="14" t="s">
        <v>92</v>
      </c>
      <c r="BP599" s="14" t="s">
        <v>92</v>
      </c>
      <c r="BQ599" s="8" t="s">
        <v>93</v>
      </c>
      <c r="BR599" s="8" t="s">
        <v>92</v>
      </c>
      <c r="BS599" s="8" t="s">
        <v>92</v>
      </c>
      <c r="BT599" s="8" t="s">
        <v>92</v>
      </c>
      <c r="BU599" s="8" t="s">
        <v>92</v>
      </c>
      <c r="BV599" s="8" t="s">
        <v>92</v>
      </c>
      <c r="BW599" s="8" t="s">
        <v>92</v>
      </c>
      <c r="BX599" s="8" t="s">
        <v>92</v>
      </c>
      <c r="BY599" s="8" t="s">
        <v>92</v>
      </c>
      <c r="BZ599" s="8" t="s">
        <v>92</v>
      </c>
      <c r="CA599" s="8" t="s">
        <v>92</v>
      </c>
      <c r="CB599" s="20" t="s">
        <v>2663</v>
      </c>
      <c r="CC599" s="17"/>
      <c r="CD599" s="18"/>
      <c r="CE599" s="18"/>
      <c r="CF599" s="18"/>
      <c r="CG599" s="18"/>
      <c r="CH599" s="18"/>
    </row>
    <row r="600">
      <c r="A600" s="8"/>
      <c r="B600" s="9" t="s">
        <v>2494</v>
      </c>
      <c r="C600" s="10" t="s">
        <v>2495</v>
      </c>
      <c r="D600" s="9" t="s">
        <v>2490</v>
      </c>
      <c r="E600" s="11" t="s">
        <v>2711</v>
      </c>
      <c r="F600" s="12"/>
      <c r="G600" s="14" t="s">
        <v>2712</v>
      </c>
      <c r="H600" s="14" t="s">
        <v>189</v>
      </c>
      <c r="I600" s="14" t="s">
        <v>2713</v>
      </c>
      <c r="J600" s="14" t="s">
        <v>92</v>
      </c>
      <c r="K600" s="14" t="s">
        <v>93</v>
      </c>
      <c r="L600" s="14" t="s">
        <v>92</v>
      </c>
      <c r="M600" s="14" t="s">
        <v>92</v>
      </c>
      <c r="N600" s="14" t="s">
        <v>92</v>
      </c>
      <c r="O600" s="14" t="s">
        <v>92</v>
      </c>
      <c r="P600" s="14" t="s">
        <v>93</v>
      </c>
      <c r="Q600" s="14" t="s">
        <v>92</v>
      </c>
      <c r="R600" s="14" t="s">
        <v>92</v>
      </c>
      <c r="S600" s="14" t="s">
        <v>92</v>
      </c>
      <c r="T600" s="14" t="s">
        <v>92</v>
      </c>
      <c r="U600" s="14" t="s">
        <v>93</v>
      </c>
      <c r="V600" s="14" t="s">
        <v>92</v>
      </c>
      <c r="W600" s="14" t="s">
        <v>92</v>
      </c>
      <c r="X600" s="14" t="s">
        <v>92</v>
      </c>
      <c r="Y600" s="14" t="s">
        <v>92</v>
      </c>
      <c r="Z600" s="14" t="s">
        <v>92</v>
      </c>
      <c r="AA600" s="14" t="s">
        <v>92</v>
      </c>
      <c r="AB600" s="8" t="s">
        <v>93</v>
      </c>
      <c r="AC600" s="8" t="s">
        <v>92</v>
      </c>
      <c r="AD600" s="8" t="s">
        <v>92</v>
      </c>
      <c r="AE600" s="14" t="s">
        <v>94</v>
      </c>
      <c r="AF600" s="14" t="s">
        <v>92</v>
      </c>
      <c r="AG600" s="14" t="s">
        <v>95</v>
      </c>
      <c r="AH600" s="8">
        <v>2023.0</v>
      </c>
      <c r="AI600" s="14" t="s">
        <v>92</v>
      </c>
      <c r="AJ600" s="14" t="s">
        <v>92</v>
      </c>
      <c r="AK600" s="14" t="s">
        <v>92</v>
      </c>
      <c r="AL600" s="14" t="s">
        <v>93</v>
      </c>
      <c r="AM600" s="8">
        <v>2023.0</v>
      </c>
      <c r="AN600" s="14" t="s">
        <v>96</v>
      </c>
      <c r="AO600" s="8" t="s">
        <v>92</v>
      </c>
      <c r="AP600" s="8" t="s">
        <v>93</v>
      </c>
      <c r="AQ600" s="14" t="s">
        <v>92</v>
      </c>
      <c r="AR600" s="14" t="s">
        <v>92</v>
      </c>
      <c r="AS600" s="14" t="s">
        <v>92</v>
      </c>
      <c r="AT600" s="14" t="s">
        <v>92</v>
      </c>
      <c r="AU600" s="14" t="s">
        <v>92</v>
      </c>
      <c r="AV600" s="14" t="s">
        <v>93</v>
      </c>
      <c r="AW600" s="14" t="s">
        <v>93</v>
      </c>
      <c r="AX600" s="14" t="s">
        <v>93</v>
      </c>
      <c r="AY600" s="71" t="s">
        <v>2714</v>
      </c>
      <c r="AZ600" s="8" t="s">
        <v>93</v>
      </c>
      <c r="BA600" s="9" t="s">
        <v>2715</v>
      </c>
      <c r="BB600" s="8" t="s">
        <v>95</v>
      </c>
      <c r="BC600" s="8" t="s">
        <v>93</v>
      </c>
      <c r="BD600" s="14" t="s">
        <v>92</v>
      </c>
      <c r="BE600" s="14" t="s">
        <v>92</v>
      </c>
      <c r="BF600" s="14" t="s">
        <v>92</v>
      </c>
      <c r="BG600" s="14" t="s">
        <v>92</v>
      </c>
      <c r="BH600" s="14" t="s">
        <v>92</v>
      </c>
      <c r="BI600" s="14" t="s">
        <v>93</v>
      </c>
      <c r="BJ600" s="14" t="s">
        <v>92</v>
      </c>
      <c r="BK600" s="14" t="s">
        <v>482</v>
      </c>
      <c r="BL600" s="14" t="s">
        <v>92</v>
      </c>
      <c r="BM600" s="14" t="s">
        <v>92</v>
      </c>
      <c r="BN600" s="14" t="s">
        <v>92</v>
      </c>
      <c r="BO600" s="14" t="s">
        <v>93</v>
      </c>
      <c r="BP600" s="14" t="s">
        <v>92</v>
      </c>
      <c r="BQ600" s="8" t="s">
        <v>93</v>
      </c>
      <c r="BR600" s="8" t="s">
        <v>92</v>
      </c>
      <c r="BS600" s="8" t="s">
        <v>92</v>
      </c>
      <c r="BT600" s="8" t="s">
        <v>92</v>
      </c>
      <c r="BU600" s="8" t="s">
        <v>92</v>
      </c>
      <c r="BV600" s="8" t="s">
        <v>92</v>
      </c>
      <c r="BW600" s="8" t="s">
        <v>92</v>
      </c>
      <c r="BX600" s="8" t="s">
        <v>92</v>
      </c>
      <c r="BY600" s="8" t="s">
        <v>92</v>
      </c>
      <c r="BZ600" s="8" t="s">
        <v>92</v>
      </c>
      <c r="CA600" s="8" t="s">
        <v>92</v>
      </c>
      <c r="CB600" s="20" t="s">
        <v>2664</v>
      </c>
      <c r="CC600" s="17"/>
      <c r="CD600" s="18"/>
      <c r="CE600" s="18"/>
      <c r="CF600" s="18"/>
      <c r="CG600" s="18"/>
      <c r="CH600" s="18"/>
    </row>
    <row r="601">
      <c r="A601" s="8"/>
      <c r="B601" s="19" t="s">
        <v>2494</v>
      </c>
      <c r="C601" s="10" t="s">
        <v>2495</v>
      </c>
      <c r="D601" s="9" t="s">
        <v>2490</v>
      </c>
      <c r="E601" s="11" t="s">
        <v>2716</v>
      </c>
      <c r="F601" s="12"/>
      <c r="G601" s="14" t="s">
        <v>2717</v>
      </c>
      <c r="H601" s="14" t="s">
        <v>189</v>
      </c>
      <c r="I601" s="14" t="s">
        <v>2718</v>
      </c>
      <c r="J601" s="14" t="s">
        <v>92</v>
      </c>
      <c r="K601" s="14" t="s">
        <v>92</v>
      </c>
      <c r="L601" s="14" t="s">
        <v>92</v>
      </c>
      <c r="M601" s="14" t="s">
        <v>92</v>
      </c>
      <c r="N601" s="14" t="s">
        <v>92</v>
      </c>
      <c r="O601" s="14" t="s">
        <v>92</v>
      </c>
      <c r="P601" s="14" t="s">
        <v>93</v>
      </c>
      <c r="Q601" s="14" t="s">
        <v>92</v>
      </c>
      <c r="R601" s="14" t="s">
        <v>92</v>
      </c>
      <c r="S601" s="14" t="s">
        <v>92</v>
      </c>
      <c r="T601" s="14" t="s">
        <v>92</v>
      </c>
      <c r="U601" s="14" t="s">
        <v>93</v>
      </c>
      <c r="V601" s="14" t="s">
        <v>92</v>
      </c>
      <c r="W601" s="14" t="s">
        <v>92</v>
      </c>
      <c r="X601" s="14" t="s">
        <v>92</v>
      </c>
      <c r="Y601" s="14" t="s">
        <v>92</v>
      </c>
      <c r="Z601" s="14" t="s">
        <v>92</v>
      </c>
      <c r="AA601" s="14" t="s">
        <v>92</v>
      </c>
      <c r="AB601" s="8" t="s">
        <v>93</v>
      </c>
      <c r="AC601" s="8" t="s">
        <v>92</v>
      </c>
      <c r="AD601" s="8" t="s">
        <v>92</v>
      </c>
      <c r="AE601" s="14" t="s">
        <v>94</v>
      </c>
      <c r="AF601" s="14" t="s">
        <v>92</v>
      </c>
      <c r="AG601" s="14" t="s">
        <v>95</v>
      </c>
      <c r="AH601" s="8">
        <v>2023.0</v>
      </c>
      <c r="AI601" s="14" t="s">
        <v>92</v>
      </c>
      <c r="AJ601" s="14" t="s">
        <v>92</v>
      </c>
      <c r="AK601" s="14" t="s">
        <v>92</v>
      </c>
      <c r="AL601" s="14" t="s">
        <v>93</v>
      </c>
      <c r="AM601" s="8">
        <v>2023.0</v>
      </c>
      <c r="AN601" s="14" t="s">
        <v>96</v>
      </c>
      <c r="AO601" s="8" t="s">
        <v>92</v>
      </c>
      <c r="AP601" s="8" t="s">
        <v>93</v>
      </c>
      <c r="AQ601" s="14" t="s">
        <v>92</v>
      </c>
      <c r="AR601" s="14" t="s">
        <v>92</v>
      </c>
      <c r="AS601" s="14" t="s">
        <v>92</v>
      </c>
      <c r="AT601" s="14" t="s">
        <v>92</v>
      </c>
      <c r="AU601" s="14" t="s">
        <v>92</v>
      </c>
      <c r="AV601" s="14" t="s">
        <v>93</v>
      </c>
      <c r="AW601" s="14" t="s">
        <v>93</v>
      </c>
      <c r="AX601" s="14" t="s">
        <v>93</v>
      </c>
      <c r="AY601" s="8" t="s">
        <v>95</v>
      </c>
      <c r="AZ601" s="8" t="s">
        <v>95</v>
      </c>
      <c r="BA601" s="9" t="s">
        <v>1850</v>
      </c>
      <c r="BB601" s="8" t="s">
        <v>143</v>
      </c>
      <c r="BC601" s="8" t="s">
        <v>92</v>
      </c>
      <c r="BD601" s="14" t="s">
        <v>92</v>
      </c>
      <c r="BE601" s="14" t="s">
        <v>92</v>
      </c>
      <c r="BF601" s="14" t="s">
        <v>92</v>
      </c>
      <c r="BG601" s="14" t="s">
        <v>92</v>
      </c>
      <c r="BH601" s="14" t="s">
        <v>92</v>
      </c>
      <c r="BI601" s="14" t="s">
        <v>93</v>
      </c>
      <c r="BJ601" s="14" t="s">
        <v>92</v>
      </c>
      <c r="BK601" s="14" t="s">
        <v>482</v>
      </c>
      <c r="BL601" s="14" t="s">
        <v>92</v>
      </c>
      <c r="BM601" s="14" t="s">
        <v>92</v>
      </c>
      <c r="BN601" s="14" t="s">
        <v>92</v>
      </c>
      <c r="BO601" s="14" t="s">
        <v>93</v>
      </c>
      <c r="BP601" s="14" t="s">
        <v>92</v>
      </c>
      <c r="BQ601" s="8" t="s">
        <v>93</v>
      </c>
      <c r="BR601" s="8" t="s">
        <v>92</v>
      </c>
      <c r="BS601" s="8" t="s">
        <v>92</v>
      </c>
      <c r="BT601" s="8" t="s">
        <v>92</v>
      </c>
      <c r="BU601" s="8" t="s">
        <v>92</v>
      </c>
      <c r="BV601" s="8" t="s">
        <v>92</v>
      </c>
      <c r="BW601" s="8" t="s">
        <v>92</v>
      </c>
      <c r="BX601" s="8" t="s">
        <v>92</v>
      </c>
      <c r="BY601" s="8" t="s">
        <v>92</v>
      </c>
      <c r="BZ601" s="8" t="s">
        <v>92</v>
      </c>
      <c r="CA601" s="8" t="s">
        <v>92</v>
      </c>
      <c r="CB601" s="20" t="s">
        <v>2664</v>
      </c>
      <c r="CC601" s="17"/>
      <c r="CD601" s="18"/>
      <c r="CE601" s="18"/>
      <c r="CF601" s="18"/>
      <c r="CG601" s="18"/>
      <c r="CH601" s="18"/>
    </row>
    <row r="602" ht="13.5" customHeight="1">
      <c r="A602" s="8"/>
      <c r="B602" s="19" t="s">
        <v>2494</v>
      </c>
      <c r="C602" s="10" t="s">
        <v>2495</v>
      </c>
      <c r="D602" s="9" t="s">
        <v>2490</v>
      </c>
      <c r="E602" s="11" t="s">
        <v>2719</v>
      </c>
      <c r="F602" s="12"/>
      <c r="G602" s="14" t="s">
        <v>2720</v>
      </c>
      <c r="H602" s="14" t="s">
        <v>90</v>
      </c>
      <c r="I602" s="14" t="s">
        <v>2721</v>
      </c>
      <c r="J602" s="14" t="s">
        <v>92</v>
      </c>
      <c r="K602" s="14" t="s">
        <v>92</v>
      </c>
      <c r="L602" s="14" t="s">
        <v>92</v>
      </c>
      <c r="M602" s="14" t="s">
        <v>92</v>
      </c>
      <c r="N602" s="14" t="s">
        <v>92</v>
      </c>
      <c r="O602" s="14" t="s">
        <v>92</v>
      </c>
      <c r="P602" s="14" t="s">
        <v>92</v>
      </c>
      <c r="Q602" s="14" t="s">
        <v>93</v>
      </c>
      <c r="R602" s="14" t="s">
        <v>92</v>
      </c>
      <c r="S602" s="14" t="s">
        <v>92</v>
      </c>
      <c r="T602" s="14" t="s">
        <v>93</v>
      </c>
      <c r="U602" s="14" t="s">
        <v>92</v>
      </c>
      <c r="V602" s="14" t="s">
        <v>92</v>
      </c>
      <c r="W602" s="14" t="s">
        <v>93</v>
      </c>
      <c r="X602" s="14" t="s">
        <v>92</v>
      </c>
      <c r="Y602" s="14" t="s">
        <v>92</v>
      </c>
      <c r="Z602" s="14" t="s">
        <v>92</v>
      </c>
      <c r="AA602" s="14" t="s">
        <v>92</v>
      </c>
      <c r="AB602" s="8" t="s">
        <v>93</v>
      </c>
      <c r="AC602" s="8" t="s">
        <v>92</v>
      </c>
      <c r="AD602" s="8" t="s">
        <v>92</v>
      </c>
      <c r="AE602" s="14" t="s">
        <v>103</v>
      </c>
      <c r="AF602" s="14" t="s">
        <v>92</v>
      </c>
      <c r="AG602" s="14" t="s">
        <v>95</v>
      </c>
      <c r="AH602" s="8" t="s">
        <v>105</v>
      </c>
      <c r="AI602" s="14" t="s">
        <v>92</v>
      </c>
      <c r="AJ602" s="14" t="s">
        <v>92</v>
      </c>
      <c r="AK602" s="14" t="s">
        <v>92</v>
      </c>
      <c r="AL602" s="14" t="s">
        <v>93</v>
      </c>
      <c r="AM602" s="8" t="s">
        <v>95</v>
      </c>
      <c r="AN602" s="14" t="s">
        <v>114</v>
      </c>
      <c r="AO602" s="8" t="s">
        <v>92</v>
      </c>
      <c r="AP602" s="8" t="s">
        <v>92</v>
      </c>
      <c r="AQ602" s="14" t="s">
        <v>92</v>
      </c>
      <c r="AR602" s="14" t="s">
        <v>92</v>
      </c>
      <c r="AS602" s="14" t="s">
        <v>92</v>
      </c>
      <c r="AT602" s="14" t="s">
        <v>92</v>
      </c>
      <c r="AU602" s="14" t="s">
        <v>92</v>
      </c>
      <c r="AV602" s="14" t="s">
        <v>93</v>
      </c>
      <c r="AW602" s="14" t="s">
        <v>93</v>
      </c>
      <c r="AX602" s="14" t="s">
        <v>93</v>
      </c>
      <c r="AY602" s="8" t="s">
        <v>2722</v>
      </c>
      <c r="AZ602" s="8" t="s">
        <v>93</v>
      </c>
      <c r="BA602" s="9" t="s">
        <v>2723</v>
      </c>
      <c r="BB602" s="8" t="s">
        <v>185</v>
      </c>
      <c r="BC602" s="8" t="s">
        <v>92</v>
      </c>
      <c r="BD602" s="14" t="s">
        <v>92</v>
      </c>
      <c r="BE602" s="14" t="s">
        <v>92</v>
      </c>
      <c r="BF602" s="14" t="s">
        <v>92</v>
      </c>
      <c r="BG602" s="14" t="s">
        <v>92</v>
      </c>
      <c r="BH602" s="14" t="s">
        <v>92</v>
      </c>
      <c r="BI602" s="14" t="s">
        <v>93</v>
      </c>
      <c r="BJ602" s="14" t="s">
        <v>92</v>
      </c>
      <c r="BK602" s="14" t="s">
        <v>95</v>
      </c>
      <c r="BL602" s="14" t="s">
        <v>93</v>
      </c>
      <c r="BM602" s="14" t="s">
        <v>93</v>
      </c>
      <c r="BN602" s="14" t="s">
        <v>93</v>
      </c>
      <c r="BO602" s="14" t="s">
        <v>93</v>
      </c>
      <c r="BP602" s="14" t="s">
        <v>93</v>
      </c>
      <c r="BQ602" s="8" t="s">
        <v>92</v>
      </c>
      <c r="BR602" s="8" t="s">
        <v>93</v>
      </c>
      <c r="BS602" s="8" t="s">
        <v>92</v>
      </c>
      <c r="BT602" s="8" t="s">
        <v>92</v>
      </c>
      <c r="BU602" s="8" t="s">
        <v>92</v>
      </c>
      <c r="BV602" s="8" t="s">
        <v>92</v>
      </c>
      <c r="BW602" s="8" t="s">
        <v>93</v>
      </c>
      <c r="BX602" s="8" t="s">
        <v>92</v>
      </c>
      <c r="BY602" s="8" t="s">
        <v>92</v>
      </c>
      <c r="BZ602" s="8" t="s">
        <v>92</v>
      </c>
      <c r="CA602" s="8" t="s">
        <v>92</v>
      </c>
      <c r="CB602" s="20" t="s">
        <v>2664</v>
      </c>
      <c r="CC602" s="17"/>
      <c r="CD602" s="18"/>
      <c r="CE602" s="18"/>
      <c r="CF602" s="18"/>
      <c r="CG602" s="18"/>
      <c r="CH602" s="18"/>
    </row>
    <row r="603">
      <c r="A603" s="8"/>
      <c r="B603" s="9" t="s">
        <v>2494</v>
      </c>
      <c r="C603" s="10" t="s">
        <v>2495</v>
      </c>
      <c r="D603" s="9" t="s">
        <v>2490</v>
      </c>
      <c r="E603" s="11" t="s">
        <v>2724</v>
      </c>
      <c r="F603" s="12"/>
      <c r="G603" s="14" t="s">
        <v>2725</v>
      </c>
      <c r="H603" s="14" t="s">
        <v>253</v>
      </c>
      <c r="I603" s="14" t="s">
        <v>2726</v>
      </c>
      <c r="J603" s="14" t="s">
        <v>92</v>
      </c>
      <c r="K603" s="14" t="s">
        <v>93</v>
      </c>
      <c r="L603" s="14" t="s">
        <v>92</v>
      </c>
      <c r="M603" s="14" t="s">
        <v>92</v>
      </c>
      <c r="N603" s="14" t="s">
        <v>92</v>
      </c>
      <c r="O603" s="14" t="s">
        <v>92</v>
      </c>
      <c r="P603" s="14" t="s">
        <v>93</v>
      </c>
      <c r="Q603" s="14" t="s">
        <v>93</v>
      </c>
      <c r="R603" s="14" t="s">
        <v>92</v>
      </c>
      <c r="S603" s="14" t="s">
        <v>92</v>
      </c>
      <c r="T603" s="14" t="s">
        <v>92</v>
      </c>
      <c r="U603" s="14" t="s">
        <v>93</v>
      </c>
      <c r="V603" s="14" t="s">
        <v>92</v>
      </c>
      <c r="W603" s="14" t="s">
        <v>92</v>
      </c>
      <c r="X603" s="14" t="s">
        <v>92</v>
      </c>
      <c r="Y603" s="14" t="s">
        <v>92</v>
      </c>
      <c r="Z603" s="14" t="s">
        <v>92</v>
      </c>
      <c r="AA603" s="14" t="s">
        <v>92</v>
      </c>
      <c r="AB603" s="8" t="s">
        <v>93</v>
      </c>
      <c r="AC603" s="8" t="s">
        <v>92</v>
      </c>
      <c r="AD603" s="8" t="s">
        <v>92</v>
      </c>
      <c r="AE603" s="14" t="s">
        <v>148</v>
      </c>
      <c r="AF603" s="14" t="s">
        <v>92</v>
      </c>
      <c r="AG603" s="14" t="s">
        <v>95</v>
      </c>
      <c r="AH603" s="8" t="s">
        <v>95</v>
      </c>
      <c r="AI603" s="14" t="s">
        <v>92</v>
      </c>
      <c r="AJ603" s="14" t="s">
        <v>92</v>
      </c>
      <c r="AK603" s="14" t="s">
        <v>92</v>
      </c>
      <c r="AL603" s="14" t="s">
        <v>93</v>
      </c>
      <c r="AM603" s="15" t="s">
        <v>95</v>
      </c>
      <c r="AN603" s="14" t="s">
        <v>95</v>
      </c>
      <c r="AO603" s="8" t="s">
        <v>95</v>
      </c>
      <c r="AP603" s="8" t="s">
        <v>92</v>
      </c>
      <c r="AQ603" s="14" t="s">
        <v>92</v>
      </c>
      <c r="AR603" s="14" t="s">
        <v>92</v>
      </c>
      <c r="AS603" s="14" t="s">
        <v>92</v>
      </c>
      <c r="AT603" s="14" t="s">
        <v>92</v>
      </c>
      <c r="AU603" s="14" t="s">
        <v>92</v>
      </c>
      <c r="AV603" s="14" t="s">
        <v>93</v>
      </c>
      <c r="AW603" s="14" t="s">
        <v>93</v>
      </c>
      <c r="AX603" s="14" t="s">
        <v>93</v>
      </c>
      <c r="AY603" s="8" t="s">
        <v>2727</v>
      </c>
      <c r="AZ603" s="8" t="s">
        <v>92</v>
      </c>
      <c r="BA603" s="9" t="s">
        <v>2728</v>
      </c>
      <c r="BB603" s="8" t="s">
        <v>143</v>
      </c>
      <c r="BC603" s="8" t="s">
        <v>92</v>
      </c>
      <c r="BD603" s="14" t="s">
        <v>92</v>
      </c>
      <c r="BE603" s="14" t="s">
        <v>92</v>
      </c>
      <c r="BF603" s="14" t="s">
        <v>92</v>
      </c>
      <c r="BG603" s="14" t="s">
        <v>92</v>
      </c>
      <c r="BH603" s="14" t="s">
        <v>92</v>
      </c>
      <c r="BI603" s="14" t="s">
        <v>93</v>
      </c>
      <c r="BJ603" s="14" t="s">
        <v>93</v>
      </c>
      <c r="BK603" s="14" t="s">
        <v>95</v>
      </c>
      <c r="BL603" s="14" t="s">
        <v>93</v>
      </c>
      <c r="BM603" s="14" t="s">
        <v>93</v>
      </c>
      <c r="BN603" s="14" t="s">
        <v>93</v>
      </c>
      <c r="BO603" s="14" t="s">
        <v>93</v>
      </c>
      <c r="BP603" s="14" t="s">
        <v>93</v>
      </c>
      <c r="BQ603" s="8" t="s">
        <v>93</v>
      </c>
      <c r="BR603" s="8" t="s">
        <v>93</v>
      </c>
      <c r="BS603" s="8" t="s">
        <v>92</v>
      </c>
      <c r="BT603" s="8" t="s">
        <v>92</v>
      </c>
      <c r="BU603" s="8" t="s">
        <v>92</v>
      </c>
      <c r="BV603" s="8" t="s">
        <v>92</v>
      </c>
      <c r="BW603" s="8" t="s">
        <v>92</v>
      </c>
      <c r="BX603" s="8" t="s">
        <v>92</v>
      </c>
      <c r="BY603" s="8" t="s">
        <v>92</v>
      </c>
      <c r="BZ603" s="8" t="s">
        <v>92</v>
      </c>
      <c r="CA603" s="8" t="s">
        <v>92</v>
      </c>
      <c r="CB603" s="20" t="s">
        <v>2664</v>
      </c>
      <c r="CC603" s="17"/>
      <c r="CD603" s="18"/>
      <c r="CE603" s="18"/>
      <c r="CF603" s="18"/>
      <c r="CG603" s="18"/>
      <c r="CH603" s="18"/>
    </row>
    <row r="604">
      <c r="A604" s="8"/>
      <c r="B604" s="9" t="s">
        <v>2729</v>
      </c>
      <c r="C604" s="10" t="s">
        <v>2730</v>
      </c>
      <c r="D604" s="9" t="s">
        <v>2490</v>
      </c>
      <c r="E604" s="11" t="s">
        <v>2731</v>
      </c>
      <c r="F604" s="12"/>
      <c r="G604" s="14" t="s">
        <v>2732</v>
      </c>
      <c r="H604" s="14" t="s">
        <v>90</v>
      </c>
      <c r="I604" s="14" t="s">
        <v>2733</v>
      </c>
      <c r="J604" s="14" t="s">
        <v>92</v>
      </c>
      <c r="K604" s="14" t="s">
        <v>93</v>
      </c>
      <c r="L604" s="14" t="s">
        <v>92</v>
      </c>
      <c r="M604" s="14" t="s">
        <v>93</v>
      </c>
      <c r="N604" s="14" t="s">
        <v>92</v>
      </c>
      <c r="O604" s="14" t="s">
        <v>92</v>
      </c>
      <c r="P604" s="14" t="s">
        <v>93</v>
      </c>
      <c r="Q604" s="14" t="s">
        <v>93</v>
      </c>
      <c r="R604" s="14" t="s">
        <v>92</v>
      </c>
      <c r="S604" s="14" t="s">
        <v>92</v>
      </c>
      <c r="T604" s="14" t="s">
        <v>92</v>
      </c>
      <c r="U604" s="14" t="s">
        <v>93</v>
      </c>
      <c r="V604" s="14" t="s">
        <v>92</v>
      </c>
      <c r="W604" s="14" t="s">
        <v>92</v>
      </c>
      <c r="X604" s="14" t="s">
        <v>92</v>
      </c>
      <c r="Y604" s="14" t="s">
        <v>92</v>
      </c>
      <c r="Z604" s="14" t="s">
        <v>92</v>
      </c>
      <c r="AA604" s="14" t="s">
        <v>92</v>
      </c>
      <c r="AB604" s="8" t="s">
        <v>93</v>
      </c>
      <c r="AC604" s="8" t="s">
        <v>92</v>
      </c>
      <c r="AD604" s="8" t="s">
        <v>92</v>
      </c>
      <c r="AE604" s="14" t="s">
        <v>94</v>
      </c>
      <c r="AF604" s="14" t="s">
        <v>92</v>
      </c>
      <c r="AG604" s="14" t="s">
        <v>95</v>
      </c>
      <c r="AH604" s="8">
        <v>2013.0</v>
      </c>
      <c r="AI604" s="14" t="s">
        <v>93</v>
      </c>
      <c r="AJ604" s="14" t="s">
        <v>93</v>
      </c>
      <c r="AK604" s="14" t="s">
        <v>92</v>
      </c>
      <c r="AL604" s="14" t="s">
        <v>93</v>
      </c>
      <c r="AM604" s="8" t="s">
        <v>95</v>
      </c>
      <c r="AN604" s="14" t="s">
        <v>114</v>
      </c>
      <c r="AO604" s="8" t="s">
        <v>93</v>
      </c>
      <c r="AP604" s="8" t="s">
        <v>92</v>
      </c>
      <c r="AQ604" s="14" t="s">
        <v>92</v>
      </c>
      <c r="AR604" s="14" t="s">
        <v>93</v>
      </c>
      <c r="AS604" s="14" t="s">
        <v>92</v>
      </c>
      <c r="AT604" s="14" t="s">
        <v>92</v>
      </c>
      <c r="AU604" s="14" t="s">
        <v>92</v>
      </c>
      <c r="AV604" s="14" t="s">
        <v>93</v>
      </c>
      <c r="AW604" s="14" t="s">
        <v>93</v>
      </c>
      <c r="AX604" s="14" t="s">
        <v>93</v>
      </c>
      <c r="AY604" s="8" t="s">
        <v>95</v>
      </c>
      <c r="AZ604" s="8" t="s">
        <v>95</v>
      </c>
      <c r="BA604" s="9" t="s">
        <v>2118</v>
      </c>
      <c r="BB604" s="8" t="s">
        <v>143</v>
      </c>
      <c r="BC604" s="8" t="s">
        <v>92</v>
      </c>
      <c r="BD604" s="14" t="s">
        <v>92</v>
      </c>
      <c r="BE604" s="14" t="s">
        <v>92</v>
      </c>
      <c r="BF604" s="14" t="s">
        <v>92</v>
      </c>
      <c r="BG604" s="14" t="s">
        <v>92</v>
      </c>
      <c r="BH604" s="14" t="s">
        <v>93</v>
      </c>
      <c r="BI604" s="14" t="s">
        <v>93</v>
      </c>
      <c r="BJ604" s="14" t="s">
        <v>92</v>
      </c>
      <c r="BK604" s="14" t="s">
        <v>343</v>
      </c>
      <c r="BL604" s="14" t="s">
        <v>92</v>
      </c>
      <c r="BM604" s="14" t="s">
        <v>93</v>
      </c>
      <c r="BN604" s="14" t="s">
        <v>92</v>
      </c>
      <c r="BO604" s="14" t="s">
        <v>92</v>
      </c>
      <c r="BP604" s="14" t="s">
        <v>92</v>
      </c>
      <c r="BQ604" s="8" t="s">
        <v>93</v>
      </c>
      <c r="BR604" s="8" t="s">
        <v>92</v>
      </c>
      <c r="BS604" s="8" t="s">
        <v>92</v>
      </c>
      <c r="BT604" s="8" t="s">
        <v>92</v>
      </c>
      <c r="BU604" s="8" t="s">
        <v>92</v>
      </c>
      <c r="BV604" s="8" t="s">
        <v>92</v>
      </c>
      <c r="BW604" s="8" t="s">
        <v>92</v>
      </c>
      <c r="BX604" s="8" t="s">
        <v>92</v>
      </c>
      <c r="BY604" s="8" t="s">
        <v>92</v>
      </c>
      <c r="BZ604" s="8" t="s">
        <v>92</v>
      </c>
      <c r="CA604" s="8" t="s">
        <v>92</v>
      </c>
      <c r="CB604" s="20" t="s">
        <v>157</v>
      </c>
      <c r="CC604" s="20" t="s">
        <v>1371</v>
      </c>
      <c r="CD604" s="20" t="s">
        <v>170</v>
      </c>
      <c r="CE604" s="18"/>
      <c r="CF604" s="18"/>
      <c r="CG604" s="18"/>
      <c r="CH604" s="18"/>
    </row>
    <row r="605">
      <c r="A605" s="8"/>
      <c r="B605" s="9" t="s">
        <v>2729</v>
      </c>
      <c r="C605" s="10" t="s">
        <v>2730</v>
      </c>
      <c r="D605" s="9" t="s">
        <v>2490</v>
      </c>
      <c r="E605" s="11" t="s">
        <v>2734</v>
      </c>
      <c r="F605" s="12"/>
      <c r="G605" s="14" t="s">
        <v>2735</v>
      </c>
      <c r="H605" s="14" t="s">
        <v>90</v>
      </c>
      <c r="I605" s="14" t="s">
        <v>2736</v>
      </c>
      <c r="J605" s="14" t="s">
        <v>92</v>
      </c>
      <c r="K605" s="14" t="s">
        <v>92</v>
      </c>
      <c r="L605" s="14" t="s">
        <v>92</v>
      </c>
      <c r="M605" s="14" t="s">
        <v>92</v>
      </c>
      <c r="N605" s="14" t="s">
        <v>92</v>
      </c>
      <c r="O605" s="14" t="s">
        <v>92</v>
      </c>
      <c r="P605" s="14" t="s">
        <v>92</v>
      </c>
      <c r="Q605" s="14" t="s">
        <v>92</v>
      </c>
      <c r="R605" s="14" t="s">
        <v>93</v>
      </c>
      <c r="S605" s="14" t="s">
        <v>93</v>
      </c>
      <c r="T605" s="14" t="s">
        <v>93</v>
      </c>
      <c r="U605" s="14" t="s">
        <v>92</v>
      </c>
      <c r="V605" s="14" t="s">
        <v>92</v>
      </c>
      <c r="W605" s="14" t="s">
        <v>93</v>
      </c>
      <c r="X605" s="14" t="s">
        <v>93</v>
      </c>
      <c r="Y605" s="14" t="s">
        <v>92</v>
      </c>
      <c r="Z605" s="14" t="s">
        <v>93</v>
      </c>
      <c r="AA605" s="14" t="s">
        <v>92</v>
      </c>
      <c r="AB605" s="8" t="s">
        <v>93</v>
      </c>
      <c r="AC605" s="8" t="s">
        <v>93</v>
      </c>
      <c r="AD605" s="8" t="s">
        <v>92</v>
      </c>
      <c r="AE605" s="14" t="s">
        <v>103</v>
      </c>
      <c r="AF605" s="14" t="s">
        <v>92</v>
      </c>
      <c r="AG605" s="14" t="s">
        <v>95</v>
      </c>
      <c r="AH605" s="8" t="s">
        <v>105</v>
      </c>
      <c r="AI605" s="14" t="s">
        <v>92</v>
      </c>
      <c r="AJ605" s="14" t="s">
        <v>93</v>
      </c>
      <c r="AK605" s="14" t="s">
        <v>93</v>
      </c>
      <c r="AL605" s="14" t="s">
        <v>92</v>
      </c>
      <c r="AM605" s="8" t="s">
        <v>105</v>
      </c>
      <c r="AN605" s="14" t="s">
        <v>105</v>
      </c>
      <c r="AO605" s="8" t="s">
        <v>93</v>
      </c>
      <c r="AP605" s="8" t="s">
        <v>92</v>
      </c>
      <c r="AQ605" s="14" t="s">
        <v>92</v>
      </c>
      <c r="AR605" s="14" t="s">
        <v>93</v>
      </c>
      <c r="AS605" s="14" t="s">
        <v>92</v>
      </c>
      <c r="AT605" s="14" t="s">
        <v>92</v>
      </c>
      <c r="AU605" s="14" t="s">
        <v>92</v>
      </c>
      <c r="AV605" s="14" t="s">
        <v>93</v>
      </c>
      <c r="AW605" s="14" t="s">
        <v>93</v>
      </c>
      <c r="AX605" s="14" t="s">
        <v>93</v>
      </c>
      <c r="AY605" s="8" t="s">
        <v>95</v>
      </c>
      <c r="AZ605" s="8" t="s">
        <v>95</v>
      </c>
      <c r="BA605" s="9" t="s">
        <v>2729</v>
      </c>
      <c r="BB605" s="8" t="s">
        <v>97</v>
      </c>
      <c r="BC605" s="8" t="s">
        <v>92</v>
      </c>
      <c r="BD605" s="14" t="s">
        <v>93</v>
      </c>
      <c r="BE605" s="14" t="s">
        <v>92</v>
      </c>
      <c r="BF605" s="14" t="s">
        <v>92</v>
      </c>
      <c r="BG605" s="14" t="s">
        <v>92</v>
      </c>
      <c r="BH605" s="14" t="s">
        <v>92</v>
      </c>
      <c r="BI605" s="14" t="s">
        <v>93</v>
      </c>
      <c r="BJ605" s="14" t="s">
        <v>92</v>
      </c>
      <c r="BK605" s="14" t="s">
        <v>1755</v>
      </c>
      <c r="BL605" s="14" t="s">
        <v>92</v>
      </c>
      <c r="BM605" s="14" t="s">
        <v>93</v>
      </c>
      <c r="BN605" s="14" t="s">
        <v>92</v>
      </c>
      <c r="BO605" s="14" t="s">
        <v>92</v>
      </c>
      <c r="BP605" s="14" t="s">
        <v>92</v>
      </c>
      <c r="BQ605" s="8" t="s">
        <v>92</v>
      </c>
      <c r="BR605" s="8" t="s">
        <v>93</v>
      </c>
      <c r="BS605" s="8" t="s">
        <v>92</v>
      </c>
      <c r="BT605" s="8" t="s">
        <v>93</v>
      </c>
      <c r="BU605" s="8" t="s">
        <v>92</v>
      </c>
      <c r="BV605" s="8" t="s">
        <v>92</v>
      </c>
      <c r="BW605" s="8" t="s">
        <v>93</v>
      </c>
      <c r="BX605" s="8" t="s">
        <v>92</v>
      </c>
      <c r="BY605" s="8" t="s">
        <v>93</v>
      </c>
      <c r="BZ605" s="8" t="s">
        <v>92</v>
      </c>
      <c r="CA605" s="8" t="s">
        <v>93</v>
      </c>
      <c r="CB605" s="20" t="s">
        <v>157</v>
      </c>
      <c r="CC605" s="20" t="s">
        <v>170</v>
      </c>
      <c r="CD605" s="18"/>
      <c r="CE605" s="18"/>
      <c r="CF605" s="18"/>
      <c r="CG605" s="18"/>
      <c r="CH605" s="18"/>
    </row>
    <row r="606">
      <c r="A606" s="8"/>
      <c r="B606" s="9" t="s">
        <v>2729</v>
      </c>
      <c r="C606" s="10" t="s">
        <v>2730</v>
      </c>
      <c r="D606" s="9" t="s">
        <v>2490</v>
      </c>
      <c r="E606" s="11" t="s">
        <v>2737</v>
      </c>
      <c r="F606" s="25"/>
      <c r="G606" s="14" t="s">
        <v>2738</v>
      </c>
      <c r="H606" s="14" t="s">
        <v>90</v>
      </c>
      <c r="I606" s="14" t="s">
        <v>2739</v>
      </c>
      <c r="J606" s="14" t="s">
        <v>92</v>
      </c>
      <c r="K606" s="14" t="s">
        <v>92</v>
      </c>
      <c r="L606" s="14" t="s">
        <v>92</v>
      </c>
      <c r="M606" s="14" t="s">
        <v>92</v>
      </c>
      <c r="N606" s="14" t="s">
        <v>92</v>
      </c>
      <c r="O606" s="14" t="s">
        <v>92</v>
      </c>
      <c r="P606" s="14" t="s">
        <v>93</v>
      </c>
      <c r="Q606" s="14" t="s">
        <v>93</v>
      </c>
      <c r="R606" s="14" t="s">
        <v>93</v>
      </c>
      <c r="S606" s="14" t="s">
        <v>92</v>
      </c>
      <c r="T606" s="14" t="s">
        <v>93</v>
      </c>
      <c r="U606" s="14" t="s">
        <v>93</v>
      </c>
      <c r="V606" s="14" t="s">
        <v>92</v>
      </c>
      <c r="W606" s="14" t="s">
        <v>92</v>
      </c>
      <c r="X606" s="14" t="s">
        <v>92</v>
      </c>
      <c r="Y606" s="14" t="s">
        <v>92</v>
      </c>
      <c r="Z606" s="14" t="s">
        <v>92</v>
      </c>
      <c r="AA606" s="14" t="s">
        <v>92</v>
      </c>
      <c r="AB606" s="8" t="s">
        <v>93</v>
      </c>
      <c r="AC606" s="8" t="s">
        <v>92</v>
      </c>
      <c r="AD606" s="8" t="s">
        <v>92</v>
      </c>
      <c r="AE606" s="14" t="s">
        <v>94</v>
      </c>
      <c r="AF606" s="14" t="s">
        <v>92</v>
      </c>
      <c r="AG606" s="14" t="s">
        <v>95</v>
      </c>
      <c r="AH606" s="8" t="s">
        <v>105</v>
      </c>
      <c r="AI606" s="14" t="s">
        <v>93</v>
      </c>
      <c r="AJ606" s="14" t="s">
        <v>92</v>
      </c>
      <c r="AK606" s="14" t="s">
        <v>92</v>
      </c>
      <c r="AL606" s="14" t="s">
        <v>92</v>
      </c>
      <c r="AM606" s="8" t="s">
        <v>105</v>
      </c>
      <c r="AN606" s="14" t="s">
        <v>105</v>
      </c>
      <c r="AO606" s="8" t="s">
        <v>105</v>
      </c>
      <c r="AP606" s="8" t="s">
        <v>92</v>
      </c>
      <c r="AQ606" s="14" t="s">
        <v>92</v>
      </c>
      <c r="AR606" s="14" t="s">
        <v>93</v>
      </c>
      <c r="AS606" s="14" t="s">
        <v>92</v>
      </c>
      <c r="AT606" s="14" t="s">
        <v>92</v>
      </c>
      <c r="AU606" s="14" t="s">
        <v>92</v>
      </c>
      <c r="AV606" s="14" t="s">
        <v>93</v>
      </c>
      <c r="AW606" s="14" t="s">
        <v>93</v>
      </c>
      <c r="AX606" s="14" t="s">
        <v>93</v>
      </c>
      <c r="AY606" s="8" t="s">
        <v>2740</v>
      </c>
      <c r="AZ606" s="8" t="s">
        <v>92</v>
      </c>
      <c r="BA606" s="9" t="s">
        <v>1204</v>
      </c>
      <c r="BB606" s="8" t="s">
        <v>143</v>
      </c>
      <c r="BC606" s="8" t="s">
        <v>92</v>
      </c>
      <c r="BD606" s="14" t="s">
        <v>92</v>
      </c>
      <c r="BE606" s="14" t="s">
        <v>92</v>
      </c>
      <c r="BF606" s="14" t="s">
        <v>92</v>
      </c>
      <c r="BG606" s="14" t="s">
        <v>92</v>
      </c>
      <c r="BH606" s="14" t="s">
        <v>92</v>
      </c>
      <c r="BI606" s="14" t="s">
        <v>93</v>
      </c>
      <c r="BJ606" s="14" t="s">
        <v>92</v>
      </c>
      <c r="BK606" s="14" t="s">
        <v>1751</v>
      </c>
      <c r="BL606" s="14" t="s">
        <v>92</v>
      </c>
      <c r="BM606" s="14" t="s">
        <v>92</v>
      </c>
      <c r="BN606" s="14" t="s">
        <v>92</v>
      </c>
      <c r="BO606" s="14" t="s">
        <v>93</v>
      </c>
      <c r="BP606" s="14" t="s">
        <v>92</v>
      </c>
      <c r="BQ606" s="8" t="s">
        <v>93</v>
      </c>
      <c r="BR606" s="8" t="s">
        <v>93</v>
      </c>
      <c r="BS606" s="8" t="s">
        <v>92</v>
      </c>
      <c r="BT606" s="8" t="s">
        <v>92</v>
      </c>
      <c r="BU606" s="8" t="s">
        <v>92</v>
      </c>
      <c r="BV606" s="8" t="s">
        <v>92</v>
      </c>
      <c r="BW606" s="8" t="s">
        <v>92</v>
      </c>
      <c r="BX606" s="8" t="s">
        <v>92</v>
      </c>
      <c r="BY606" s="8" t="s">
        <v>92</v>
      </c>
      <c r="BZ606" s="8" t="s">
        <v>92</v>
      </c>
      <c r="CA606" s="8" t="s">
        <v>92</v>
      </c>
      <c r="CB606" s="20" t="s">
        <v>157</v>
      </c>
      <c r="CC606" s="17"/>
      <c r="CD606" s="18"/>
      <c r="CE606" s="18"/>
      <c r="CF606" s="18"/>
      <c r="CG606" s="18"/>
      <c r="CH606" s="18"/>
    </row>
    <row r="607">
      <c r="A607" s="8"/>
      <c r="B607" s="9" t="s">
        <v>2729</v>
      </c>
      <c r="C607" s="10" t="s">
        <v>2730</v>
      </c>
      <c r="D607" s="9" t="s">
        <v>2490</v>
      </c>
      <c r="E607" s="11" t="s">
        <v>2741</v>
      </c>
      <c r="F607" s="12"/>
      <c r="G607" s="14" t="s">
        <v>2742</v>
      </c>
      <c r="H607" s="14" t="s">
        <v>110</v>
      </c>
      <c r="I607" s="14" t="s">
        <v>2743</v>
      </c>
      <c r="J607" s="14" t="s">
        <v>92</v>
      </c>
      <c r="K607" s="14" t="s">
        <v>92</v>
      </c>
      <c r="L607" s="14" t="s">
        <v>92</v>
      </c>
      <c r="M607" s="14" t="s">
        <v>92</v>
      </c>
      <c r="N607" s="14" t="s">
        <v>92</v>
      </c>
      <c r="O607" s="14" t="s">
        <v>92</v>
      </c>
      <c r="P607" s="14" t="s">
        <v>92</v>
      </c>
      <c r="Q607" s="14" t="s">
        <v>92</v>
      </c>
      <c r="R607" s="14" t="s">
        <v>93</v>
      </c>
      <c r="S607" s="14" t="s">
        <v>93</v>
      </c>
      <c r="T607" s="14" t="s">
        <v>93</v>
      </c>
      <c r="U607" s="14" t="s">
        <v>92</v>
      </c>
      <c r="V607" s="14" t="s">
        <v>92</v>
      </c>
      <c r="W607" s="14" t="s">
        <v>92</v>
      </c>
      <c r="X607" s="14" t="s">
        <v>92</v>
      </c>
      <c r="Y607" s="14" t="s">
        <v>92</v>
      </c>
      <c r="Z607" s="14" t="s">
        <v>92</v>
      </c>
      <c r="AA607" s="14" t="s">
        <v>92</v>
      </c>
      <c r="AB607" s="8" t="s">
        <v>93</v>
      </c>
      <c r="AC607" s="8" t="s">
        <v>92</v>
      </c>
      <c r="AD607" s="8" t="s">
        <v>92</v>
      </c>
      <c r="AE607" s="14" t="s">
        <v>103</v>
      </c>
      <c r="AF607" s="14" t="s">
        <v>92</v>
      </c>
      <c r="AG607" s="14" t="s">
        <v>95</v>
      </c>
      <c r="AH607" s="8">
        <v>2004.0</v>
      </c>
      <c r="AI607" s="14" t="s">
        <v>93</v>
      </c>
      <c r="AJ607" s="14" t="s">
        <v>92</v>
      </c>
      <c r="AK607" s="14" t="s">
        <v>92</v>
      </c>
      <c r="AL607" s="14" t="s">
        <v>92</v>
      </c>
      <c r="AM607" s="8" t="s">
        <v>105</v>
      </c>
      <c r="AN607" s="14" t="s">
        <v>105</v>
      </c>
      <c r="AO607" s="8" t="s">
        <v>105</v>
      </c>
      <c r="AP607" s="8" t="s">
        <v>92</v>
      </c>
      <c r="AQ607" s="14" t="s">
        <v>92</v>
      </c>
      <c r="AR607" s="14" t="s">
        <v>93</v>
      </c>
      <c r="AS607" s="14" t="s">
        <v>92</v>
      </c>
      <c r="AT607" s="14" t="s">
        <v>92</v>
      </c>
      <c r="AU607" s="14" t="s">
        <v>92</v>
      </c>
      <c r="AV607" s="14" t="s">
        <v>93</v>
      </c>
      <c r="AW607" s="14" t="s">
        <v>93</v>
      </c>
      <c r="AX607" s="14" t="s">
        <v>93</v>
      </c>
      <c r="AY607" s="8" t="s">
        <v>2744</v>
      </c>
      <c r="AZ607" s="8" t="s">
        <v>92</v>
      </c>
      <c r="BA607" s="9" t="s">
        <v>2745</v>
      </c>
      <c r="BB607" s="8" t="s">
        <v>95</v>
      </c>
      <c r="BC607" s="8" t="s">
        <v>93</v>
      </c>
      <c r="BD607" s="14" t="s">
        <v>93</v>
      </c>
      <c r="BE607" s="14" t="s">
        <v>92</v>
      </c>
      <c r="BF607" s="14" t="s">
        <v>92</v>
      </c>
      <c r="BG607" s="14" t="s">
        <v>92</v>
      </c>
      <c r="BH607" s="14" t="s">
        <v>92</v>
      </c>
      <c r="BI607" s="14" t="s">
        <v>93</v>
      </c>
      <c r="BJ607" s="14" t="s">
        <v>92</v>
      </c>
      <c r="BK607" s="14" t="s">
        <v>482</v>
      </c>
      <c r="BL607" s="14" t="s">
        <v>92</v>
      </c>
      <c r="BM607" s="14" t="s">
        <v>92</v>
      </c>
      <c r="BN607" s="14" t="s">
        <v>92</v>
      </c>
      <c r="BO607" s="14" t="s">
        <v>93</v>
      </c>
      <c r="BP607" s="14" t="s">
        <v>92</v>
      </c>
      <c r="BQ607" s="8" t="s">
        <v>92</v>
      </c>
      <c r="BR607" s="8" t="s">
        <v>93</v>
      </c>
      <c r="BS607" s="8" t="s">
        <v>92</v>
      </c>
      <c r="BT607" s="8" t="s">
        <v>92</v>
      </c>
      <c r="BU607" s="8" t="s">
        <v>92</v>
      </c>
      <c r="BV607" s="8" t="s">
        <v>92</v>
      </c>
      <c r="BW607" s="8" t="s">
        <v>92</v>
      </c>
      <c r="BX607" s="8" t="s">
        <v>92</v>
      </c>
      <c r="BY607" s="8" t="s">
        <v>92</v>
      </c>
      <c r="BZ607" s="8" t="s">
        <v>92</v>
      </c>
      <c r="CA607" s="8" t="s">
        <v>92</v>
      </c>
      <c r="CB607" s="20" t="s">
        <v>157</v>
      </c>
      <c r="CC607" s="17"/>
      <c r="CD607" s="18"/>
      <c r="CE607" s="18"/>
      <c r="CF607" s="18"/>
      <c r="CG607" s="18"/>
      <c r="CH607" s="18"/>
    </row>
    <row r="608">
      <c r="A608" s="8"/>
      <c r="B608" s="9" t="s">
        <v>2729</v>
      </c>
      <c r="C608" s="10" t="s">
        <v>2730</v>
      </c>
      <c r="D608" s="9" t="s">
        <v>2490</v>
      </c>
      <c r="E608" s="11" t="s">
        <v>2746</v>
      </c>
      <c r="F608" s="12"/>
      <c r="G608" s="14" t="s">
        <v>2747</v>
      </c>
      <c r="H608" s="14" t="s">
        <v>90</v>
      </c>
      <c r="I608" s="14" t="s">
        <v>2748</v>
      </c>
      <c r="J608" s="14" t="s">
        <v>92</v>
      </c>
      <c r="K608" s="14" t="s">
        <v>92</v>
      </c>
      <c r="L608" s="14" t="s">
        <v>92</v>
      </c>
      <c r="M608" s="14" t="s">
        <v>93</v>
      </c>
      <c r="N608" s="14" t="s">
        <v>92</v>
      </c>
      <c r="O608" s="14" t="s">
        <v>92</v>
      </c>
      <c r="P608" s="14" t="s">
        <v>92</v>
      </c>
      <c r="Q608" s="14" t="s">
        <v>93</v>
      </c>
      <c r="R608" s="14" t="s">
        <v>92</v>
      </c>
      <c r="S608" s="14" t="s">
        <v>92</v>
      </c>
      <c r="T608" s="14" t="s">
        <v>92</v>
      </c>
      <c r="U608" s="14" t="s">
        <v>93</v>
      </c>
      <c r="V608" s="14" t="s">
        <v>92</v>
      </c>
      <c r="W608" s="14" t="s">
        <v>92</v>
      </c>
      <c r="X608" s="14" t="s">
        <v>92</v>
      </c>
      <c r="Y608" s="14" t="s">
        <v>92</v>
      </c>
      <c r="Z608" s="14" t="s">
        <v>92</v>
      </c>
      <c r="AA608" s="14" t="s">
        <v>92</v>
      </c>
      <c r="AB608" s="8" t="s">
        <v>93</v>
      </c>
      <c r="AC608" s="8" t="s">
        <v>92</v>
      </c>
      <c r="AD608" s="8" t="s">
        <v>92</v>
      </c>
      <c r="AE608" s="14" t="s">
        <v>94</v>
      </c>
      <c r="AF608" s="14" t="s">
        <v>92</v>
      </c>
      <c r="AG608" s="14" t="s">
        <v>95</v>
      </c>
      <c r="AH608" s="8">
        <v>2020.0</v>
      </c>
      <c r="AI608" s="14" t="s">
        <v>93</v>
      </c>
      <c r="AJ608" s="14" t="s">
        <v>92</v>
      </c>
      <c r="AK608" s="14" t="s">
        <v>92</v>
      </c>
      <c r="AL608" s="14" t="s">
        <v>92</v>
      </c>
      <c r="AM608" s="8">
        <v>2020.0</v>
      </c>
      <c r="AN608" s="14" t="s">
        <v>96</v>
      </c>
      <c r="AO608" s="8" t="s">
        <v>92</v>
      </c>
      <c r="AP608" s="8" t="s">
        <v>93</v>
      </c>
      <c r="AQ608" s="14" t="s">
        <v>92</v>
      </c>
      <c r="AR608" s="14" t="s">
        <v>93</v>
      </c>
      <c r="AS608" s="14" t="s">
        <v>92</v>
      </c>
      <c r="AT608" s="14" t="s">
        <v>92</v>
      </c>
      <c r="AU608" s="14" t="s">
        <v>92</v>
      </c>
      <c r="AV608" s="14" t="s">
        <v>93</v>
      </c>
      <c r="AW608" s="14" t="s">
        <v>93</v>
      </c>
      <c r="AX608" s="14" t="s">
        <v>93</v>
      </c>
      <c r="AY608" s="8" t="s">
        <v>95</v>
      </c>
      <c r="AZ608" s="8" t="s">
        <v>95</v>
      </c>
      <c r="BA608" s="9" t="s">
        <v>2749</v>
      </c>
      <c r="BB608" s="8" t="s">
        <v>95</v>
      </c>
      <c r="BC608" s="8" t="s">
        <v>93</v>
      </c>
      <c r="BD608" s="14" t="s">
        <v>92</v>
      </c>
      <c r="BE608" s="14" t="s">
        <v>92</v>
      </c>
      <c r="BF608" s="14" t="s">
        <v>92</v>
      </c>
      <c r="BG608" s="14" t="s">
        <v>92</v>
      </c>
      <c r="BH608" s="14" t="s">
        <v>92</v>
      </c>
      <c r="BI608" s="14" t="s">
        <v>93</v>
      </c>
      <c r="BJ608" s="14" t="s">
        <v>92</v>
      </c>
      <c r="BK608" s="14" t="s">
        <v>105</v>
      </c>
      <c r="BL608" s="14" t="s">
        <v>105</v>
      </c>
      <c r="BM608" s="14" t="s">
        <v>105</v>
      </c>
      <c r="BN608" s="14" t="s">
        <v>105</v>
      </c>
      <c r="BO608" s="14" t="s">
        <v>105</v>
      </c>
      <c r="BP608" s="14" t="s">
        <v>105</v>
      </c>
      <c r="BQ608" s="8" t="s">
        <v>93</v>
      </c>
      <c r="BR608" s="8" t="s">
        <v>92</v>
      </c>
      <c r="BS608" s="8" t="s">
        <v>92</v>
      </c>
      <c r="BT608" s="8" t="s">
        <v>92</v>
      </c>
      <c r="BU608" s="8" t="s">
        <v>92</v>
      </c>
      <c r="BV608" s="8" t="s">
        <v>92</v>
      </c>
      <c r="BW608" s="8" t="s">
        <v>92</v>
      </c>
      <c r="BX608" s="8" t="s">
        <v>92</v>
      </c>
      <c r="BY608" s="8" t="s">
        <v>92</v>
      </c>
      <c r="BZ608" s="8" t="s">
        <v>92</v>
      </c>
      <c r="CA608" s="8" t="s">
        <v>92</v>
      </c>
      <c r="CB608" s="20" t="s">
        <v>157</v>
      </c>
      <c r="CC608" s="17"/>
      <c r="CD608" s="18"/>
      <c r="CE608" s="18"/>
      <c r="CF608" s="18"/>
      <c r="CG608" s="18"/>
      <c r="CH608" s="18"/>
    </row>
    <row r="609">
      <c r="A609" s="8"/>
      <c r="B609" s="9" t="s">
        <v>2729</v>
      </c>
      <c r="C609" s="10" t="s">
        <v>2730</v>
      </c>
      <c r="D609" s="9" t="s">
        <v>2490</v>
      </c>
      <c r="E609" s="11" t="s">
        <v>2750</v>
      </c>
      <c r="F609" s="12"/>
      <c r="G609" s="14" t="s">
        <v>2751</v>
      </c>
      <c r="H609" s="14" t="s">
        <v>90</v>
      </c>
      <c r="I609" s="14" t="s">
        <v>2752</v>
      </c>
      <c r="J609" s="14" t="s">
        <v>92</v>
      </c>
      <c r="K609" s="14" t="s">
        <v>92</v>
      </c>
      <c r="L609" s="14" t="s">
        <v>92</v>
      </c>
      <c r="M609" s="14" t="s">
        <v>93</v>
      </c>
      <c r="N609" s="14" t="s">
        <v>92</v>
      </c>
      <c r="O609" s="14" t="s">
        <v>92</v>
      </c>
      <c r="P609" s="14" t="s">
        <v>93</v>
      </c>
      <c r="Q609" s="14" t="s">
        <v>93</v>
      </c>
      <c r="R609" s="14" t="s">
        <v>92</v>
      </c>
      <c r="S609" s="14" t="s">
        <v>92</v>
      </c>
      <c r="T609" s="14" t="s">
        <v>92</v>
      </c>
      <c r="U609" s="14" t="s">
        <v>93</v>
      </c>
      <c r="V609" s="14" t="s">
        <v>92</v>
      </c>
      <c r="W609" s="14" t="s">
        <v>92</v>
      </c>
      <c r="X609" s="14" t="s">
        <v>92</v>
      </c>
      <c r="Y609" s="14" t="s">
        <v>92</v>
      </c>
      <c r="Z609" s="14" t="s">
        <v>92</v>
      </c>
      <c r="AA609" s="14" t="s">
        <v>92</v>
      </c>
      <c r="AB609" s="8" t="s">
        <v>93</v>
      </c>
      <c r="AC609" s="8" t="s">
        <v>92</v>
      </c>
      <c r="AD609" s="8" t="s">
        <v>92</v>
      </c>
      <c r="AE609" s="14" t="s">
        <v>94</v>
      </c>
      <c r="AF609" s="14" t="s">
        <v>92</v>
      </c>
      <c r="AG609" s="14" t="s">
        <v>95</v>
      </c>
      <c r="AH609" s="8">
        <v>2020.0</v>
      </c>
      <c r="AI609" s="14" t="s">
        <v>93</v>
      </c>
      <c r="AJ609" s="14" t="s">
        <v>92</v>
      </c>
      <c r="AK609" s="14" t="s">
        <v>92</v>
      </c>
      <c r="AL609" s="14" t="s">
        <v>92</v>
      </c>
      <c r="AM609" s="8">
        <v>2020.0</v>
      </c>
      <c r="AN609" s="14" t="s">
        <v>96</v>
      </c>
      <c r="AO609" s="8" t="s">
        <v>92</v>
      </c>
      <c r="AP609" s="8" t="s">
        <v>92</v>
      </c>
      <c r="AQ609" s="14" t="s">
        <v>92</v>
      </c>
      <c r="AR609" s="14" t="s">
        <v>93</v>
      </c>
      <c r="AS609" s="14" t="s">
        <v>92</v>
      </c>
      <c r="AT609" s="14" t="s">
        <v>92</v>
      </c>
      <c r="AU609" s="14" t="s">
        <v>92</v>
      </c>
      <c r="AV609" s="14" t="s">
        <v>93</v>
      </c>
      <c r="AW609" s="14" t="s">
        <v>93</v>
      </c>
      <c r="AX609" s="14" t="s">
        <v>93</v>
      </c>
      <c r="AY609" s="8" t="s">
        <v>95</v>
      </c>
      <c r="AZ609" s="8" t="s">
        <v>95</v>
      </c>
      <c r="BA609" s="9" t="s">
        <v>2729</v>
      </c>
      <c r="BB609" s="8" t="s">
        <v>97</v>
      </c>
      <c r="BC609" s="8" t="s">
        <v>92</v>
      </c>
      <c r="BD609" s="14" t="s">
        <v>92</v>
      </c>
      <c r="BE609" s="14" t="s">
        <v>92</v>
      </c>
      <c r="BF609" s="14" t="s">
        <v>92</v>
      </c>
      <c r="BG609" s="14" t="s">
        <v>92</v>
      </c>
      <c r="BH609" s="14" t="s">
        <v>92</v>
      </c>
      <c r="BI609" s="14" t="s">
        <v>93</v>
      </c>
      <c r="BJ609" s="14" t="s">
        <v>92</v>
      </c>
      <c r="BK609" s="14" t="s">
        <v>482</v>
      </c>
      <c r="BL609" s="14" t="s">
        <v>92</v>
      </c>
      <c r="BM609" s="14" t="s">
        <v>92</v>
      </c>
      <c r="BN609" s="14" t="s">
        <v>92</v>
      </c>
      <c r="BO609" s="14" t="s">
        <v>93</v>
      </c>
      <c r="BP609" s="14" t="s">
        <v>92</v>
      </c>
      <c r="BQ609" s="8" t="s">
        <v>93</v>
      </c>
      <c r="BR609" s="8" t="s">
        <v>92</v>
      </c>
      <c r="BS609" s="8" t="s">
        <v>92</v>
      </c>
      <c r="BT609" s="8" t="s">
        <v>92</v>
      </c>
      <c r="BU609" s="8" t="s">
        <v>92</v>
      </c>
      <c r="BV609" s="8" t="s">
        <v>92</v>
      </c>
      <c r="BW609" s="8" t="s">
        <v>92</v>
      </c>
      <c r="BX609" s="8" t="s">
        <v>92</v>
      </c>
      <c r="BY609" s="8" t="s">
        <v>92</v>
      </c>
      <c r="BZ609" s="8" t="s">
        <v>92</v>
      </c>
      <c r="CA609" s="8" t="s">
        <v>92</v>
      </c>
      <c r="CB609" s="20" t="s">
        <v>157</v>
      </c>
      <c r="CC609" s="17"/>
      <c r="CD609" s="18"/>
      <c r="CE609" s="18"/>
      <c r="CF609" s="18"/>
      <c r="CG609" s="18"/>
      <c r="CH609" s="18"/>
    </row>
    <row r="610">
      <c r="A610" s="8"/>
      <c r="B610" s="9" t="s">
        <v>2729</v>
      </c>
      <c r="C610" s="10" t="s">
        <v>2730</v>
      </c>
      <c r="D610" s="9" t="s">
        <v>2490</v>
      </c>
      <c r="E610" s="11" t="s">
        <v>2753</v>
      </c>
      <c r="F610" s="12"/>
      <c r="G610" s="14" t="s">
        <v>2754</v>
      </c>
      <c r="H610" s="14" t="s">
        <v>90</v>
      </c>
      <c r="I610" s="14" t="s">
        <v>2755</v>
      </c>
      <c r="J610" s="14" t="s">
        <v>92</v>
      </c>
      <c r="K610" s="14" t="s">
        <v>92</v>
      </c>
      <c r="L610" s="14" t="s">
        <v>92</v>
      </c>
      <c r="M610" s="14" t="s">
        <v>92</v>
      </c>
      <c r="N610" s="14" t="s">
        <v>92</v>
      </c>
      <c r="O610" s="14" t="s">
        <v>92</v>
      </c>
      <c r="P610" s="14" t="s">
        <v>93</v>
      </c>
      <c r="Q610" s="14" t="s">
        <v>93</v>
      </c>
      <c r="R610" s="14" t="s">
        <v>92</v>
      </c>
      <c r="S610" s="14" t="s">
        <v>92</v>
      </c>
      <c r="T610" s="14" t="s">
        <v>92</v>
      </c>
      <c r="U610" s="14" t="s">
        <v>93</v>
      </c>
      <c r="V610" s="14" t="s">
        <v>92</v>
      </c>
      <c r="W610" s="14" t="s">
        <v>92</v>
      </c>
      <c r="X610" s="14" t="s">
        <v>92</v>
      </c>
      <c r="Y610" s="14" t="s">
        <v>92</v>
      </c>
      <c r="Z610" s="14" t="s">
        <v>92</v>
      </c>
      <c r="AA610" s="14" t="s">
        <v>92</v>
      </c>
      <c r="AB610" s="8" t="s">
        <v>93</v>
      </c>
      <c r="AC610" s="8" t="s">
        <v>92</v>
      </c>
      <c r="AD610" s="8" t="s">
        <v>92</v>
      </c>
      <c r="AE610" s="14" t="s">
        <v>148</v>
      </c>
      <c r="AF610" s="14" t="s">
        <v>92</v>
      </c>
      <c r="AG610" s="14" t="s">
        <v>95</v>
      </c>
      <c r="AH610" s="8">
        <v>2020.0</v>
      </c>
      <c r="AI610" s="14" t="s">
        <v>93</v>
      </c>
      <c r="AJ610" s="14" t="s">
        <v>92</v>
      </c>
      <c r="AK610" s="14" t="s">
        <v>92</v>
      </c>
      <c r="AL610" s="14" t="s">
        <v>92</v>
      </c>
      <c r="AM610" s="8">
        <v>2020.0</v>
      </c>
      <c r="AN610" s="14" t="s">
        <v>96</v>
      </c>
      <c r="AO610" s="8" t="s">
        <v>92</v>
      </c>
      <c r="AP610" s="8" t="s">
        <v>93</v>
      </c>
      <c r="AQ610" s="14" t="s">
        <v>92</v>
      </c>
      <c r="AR610" s="14" t="s">
        <v>93</v>
      </c>
      <c r="AS610" s="14" t="s">
        <v>92</v>
      </c>
      <c r="AT610" s="14" t="s">
        <v>92</v>
      </c>
      <c r="AU610" s="14" t="s">
        <v>92</v>
      </c>
      <c r="AV610" s="14" t="s">
        <v>93</v>
      </c>
      <c r="AW610" s="14" t="s">
        <v>93</v>
      </c>
      <c r="AX610" s="14" t="s">
        <v>93</v>
      </c>
      <c r="AY610" s="8" t="s">
        <v>95</v>
      </c>
      <c r="AZ610" s="8" t="s">
        <v>95</v>
      </c>
      <c r="BA610" s="9" t="s">
        <v>2729</v>
      </c>
      <c r="BB610" s="8" t="s">
        <v>97</v>
      </c>
      <c r="BC610" s="8" t="s">
        <v>92</v>
      </c>
      <c r="BD610" s="14" t="s">
        <v>92</v>
      </c>
      <c r="BE610" s="14" t="s">
        <v>92</v>
      </c>
      <c r="BF610" s="14" t="s">
        <v>92</v>
      </c>
      <c r="BG610" s="14" t="s">
        <v>92</v>
      </c>
      <c r="BH610" s="14" t="s">
        <v>92</v>
      </c>
      <c r="BI610" s="14" t="s">
        <v>93</v>
      </c>
      <c r="BJ610" s="14" t="s">
        <v>92</v>
      </c>
      <c r="BK610" s="14" t="s">
        <v>2756</v>
      </c>
      <c r="BL610" s="14" t="s">
        <v>93</v>
      </c>
      <c r="BM610" s="14" t="s">
        <v>93</v>
      </c>
      <c r="BN610" s="14" t="s">
        <v>93</v>
      </c>
      <c r="BO610" s="14" t="s">
        <v>92</v>
      </c>
      <c r="BP610" s="14" t="s">
        <v>92</v>
      </c>
      <c r="BQ610" s="8" t="s">
        <v>93</v>
      </c>
      <c r="BR610" s="8" t="s">
        <v>92</v>
      </c>
      <c r="BS610" s="8" t="s">
        <v>92</v>
      </c>
      <c r="BT610" s="8" t="s">
        <v>92</v>
      </c>
      <c r="BU610" s="8" t="s">
        <v>92</v>
      </c>
      <c r="BV610" s="8" t="s">
        <v>92</v>
      </c>
      <c r="BW610" s="8" t="s">
        <v>92</v>
      </c>
      <c r="BX610" s="8" t="s">
        <v>92</v>
      </c>
      <c r="BY610" s="8" t="s">
        <v>92</v>
      </c>
      <c r="BZ610" s="8" t="s">
        <v>92</v>
      </c>
      <c r="CA610" s="8" t="s">
        <v>92</v>
      </c>
      <c r="CB610" s="20" t="s">
        <v>157</v>
      </c>
      <c r="CC610" s="20" t="s">
        <v>170</v>
      </c>
      <c r="CD610" s="18"/>
      <c r="CE610" s="18"/>
      <c r="CF610" s="18"/>
      <c r="CG610" s="18"/>
      <c r="CH610" s="18"/>
    </row>
    <row r="611">
      <c r="A611" s="8"/>
      <c r="B611" s="9" t="s">
        <v>2729</v>
      </c>
      <c r="C611" s="10" t="s">
        <v>2730</v>
      </c>
      <c r="D611" s="9" t="s">
        <v>2490</v>
      </c>
      <c r="E611" s="11" t="s">
        <v>2757</v>
      </c>
      <c r="F611" s="12"/>
      <c r="G611" s="14" t="s">
        <v>2758</v>
      </c>
      <c r="H611" s="14" t="s">
        <v>90</v>
      </c>
      <c r="I611" s="14" t="s">
        <v>2759</v>
      </c>
      <c r="J611" s="14" t="s">
        <v>92</v>
      </c>
      <c r="K611" s="14" t="s">
        <v>92</v>
      </c>
      <c r="L611" s="14" t="s">
        <v>93</v>
      </c>
      <c r="M611" s="14" t="s">
        <v>92</v>
      </c>
      <c r="N611" s="14" t="s">
        <v>92</v>
      </c>
      <c r="O611" s="14" t="s">
        <v>93</v>
      </c>
      <c r="P611" s="14" t="s">
        <v>92</v>
      </c>
      <c r="Q611" s="14" t="s">
        <v>93</v>
      </c>
      <c r="R611" s="14" t="s">
        <v>92</v>
      </c>
      <c r="S611" s="14" t="s">
        <v>93</v>
      </c>
      <c r="T611" s="14" t="s">
        <v>92</v>
      </c>
      <c r="U611" s="14" t="s">
        <v>92</v>
      </c>
      <c r="V611" s="14" t="s">
        <v>92</v>
      </c>
      <c r="W611" s="14" t="s">
        <v>92</v>
      </c>
      <c r="X611" s="14" t="s">
        <v>92</v>
      </c>
      <c r="Y611" s="14" t="s">
        <v>92</v>
      </c>
      <c r="Z611" s="14" t="s">
        <v>92</v>
      </c>
      <c r="AA611" s="14" t="s">
        <v>93</v>
      </c>
      <c r="AB611" s="8" t="s">
        <v>93</v>
      </c>
      <c r="AC611" s="8" t="s">
        <v>92</v>
      </c>
      <c r="AD611" s="8" t="s">
        <v>92</v>
      </c>
      <c r="AE611" s="14" t="s">
        <v>1135</v>
      </c>
      <c r="AF611" s="14" t="s">
        <v>92</v>
      </c>
      <c r="AG611" s="14" t="s">
        <v>95</v>
      </c>
      <c r="AH611" s="8" t="s">
        <v>105</v>
      </c>
      <c r="AI611" s="14" t="s">
        <v>93</v>
      </c>
      <c r="AJ611" s="14" t="s">
        <v>92</v>
      </c>
      <c r="AK611" s="14" t="s">
        <v>92</v>
      </c>
      <c r="AL611" s="14" t="s">
        <v>93</v>
      </c>
      <c r="AM611" s="8" t="s">
        <v>95</v>
      </c>
      <c r="AN611" s="14" t="s">
        <v>114</v>
      </c>
      <c r="AO611" s="8" t="s">
        <v>93</v>
      </c>
      <c r="AP611" s="8" t="s">
        <v>92</v>
      </c>
      <c r="AQ611" s="14" t="s">
        <v>92</v>
      </c>
      <c r="AR611" s="14" t="s">
        <v>93</v>
      </c>
      <c r="AS611" s="14" t="s">
        <v>92</v>
      </c>
      <c r="AT611" s="14" t="s">
        <v>92</v>
      </c>
      <c r="AU611" s="14" t="s">
        <v>92</v>
      </c>
      <c r="AV611" s="14" t="s">
        <v>93</v>
      </c>
      <c r="AW611" s="14" t="s">
        <v>93</v>
      </c>
      <c r="AX611" s="14" t="s">
        <v>93</v>
      </c>
      <c r="AY611" s="8" t="s">
        <v>95</v>
      </c>
      <c r="AZ611" s="8" t="s">
        <v>95</v>
      </c>
      <c r="BA611" s="9" t="s">
        <v>2760</v>
      </c>
      <c r="BB611" s="8" t="s">
        <v>95</v>
      </c>
      <c r="BC611" s="8" t="s">
        <v>93</v>
      </c>
      <c r="BD611" s="14" t="s">
        <v>93</v>
      </c>
      <c r="BE611" s="14" t="s">
        <v>92</v>
      </c>
      <c r="BF611" s="14" t="s">
        <v>92</v>
      </c>
      <c r="BG611" s="14" t="s">
        <v>92</v>
      </c>
      <c r="BH611" s="14" t="s">
        <v>93</v>
      </c>
      <c r="BI611" s="14" t="s">
        <v>92</v>
      </c>
      <c r="BJ611" s="14" t="s">
        <v>92</v>
      </c>
      <c r="BK611" s="14" t="s">
        <v>2761</v>
      </c>
      <c r="BL611" s="14" t="s">
        <v>92</v>
      </c>
      <c r="BM611" s="14" t="s">
        <v>93</v>
      </c>
      <c r="BN611" s="14" t="s">
        <v>92</v>
      </c>
      <c r="BO611" s="14" t="s">
        <v>92</v>
      </c>
      <c r="BP611" s="14" t="s">
        <v>92</v>
      </c>
      <c r="BQ611" s="8" t="s">
        <v>92</v>
      </c>
      <c r="BR611" s="8" t="s">
        <v>92</v>
      </c>
      <c r="BS611" s="8" t="s">
        <v>93</v>
      </c>
      <c r="BT611" s="8" t="s">
        <v>92</v>
      </c>
      <c r="BU611" s="8" t="s">
        <v>92</v>
      </c>
      <c r="BV611" s="8" t="s">
        <v>92</v>
      </c>
      <c r="BW611" s="8" t="s">
        <v>92</v>
      </c>
      <c r="BX611" s="8" t="s">
        <v>92</v>
      </c>
      <c r="BY611" s="8" t="s">
        <v>92</v>
      </c>
      <c r="BZ611" s="8" t="s">
        <v>92</v>
      </c>
      <c r="CA611" s="8" t="s">
        <v>92</v>
      </c>
      <c r="CB611" s="20" t="s">
        <v>157</v>
      </c>
      <c r="CC611" s="20" t="s">
        <v>1371</v>
      </c>
      <c r="CD611" s="18"/>
      <c r="CE611" s="18"/>
      <c r="CF611" s="18"/>
      <c r="CG611" s="18"/>
      <c r="CH611" s="18"/>
    </row>
    <row r="612">
      <c r="A612" s="8"/>
      <c r="B612" s="9" t="s">
        <v>2729</v>
      </c>
      <c r="C612" s="10" t="s">
        <v>2730</v>
      </c>
      <c r="D612" s="9" t="s">
        <v>2490</v>
      </c>
      <c r="E612" s="11" t="s">
        <v>2762</v>
      </c>
      <c r="F612" s="25"/>
      <c r="G612" s="9" t="s">
        <v>2763</v>
      </c>
      <c r="H612" s="14" t="s">
        <v>110</v>
      </c>
      <c r="I612" s="14" t="s">
        <v>2764</v>
      </c>
      <c r="J612" s="14" t="s">
        <v>92</v>
      </c>
      <c r="K612" s="14" t="s">
        <v>92</v>
      </c>
      <c r="L612" s="14" t="s">
        <v>93</v>
      </c>
      <c r="M612" s="14" t="s">
        <v>92</v>
      </c>
      <c r="N612" s="14" t="s">
        <v>92</v>
      </c>
      <c r="O612" s="14" t="s">
        <v>93</v>
      </c>
      <c r="P612" s="14" t="s">
        <v>92</v>
      </c>
      <c r="Q612" s="14" t="s">
        <v>92</v>
      </c>
      <c r="R612" s="14" t="s">
        <v>92</v>
      </c>
      <c r="S612" s="14" t="s">
        <v>93</v>
      </c>
      <c r="T612" s="14" t="s">
        <v>92</v>
      </c>
      <c r="U612" s="14" t="s">
        <v>92</v>
      </c>
      <c r="V612" s="14" t="s">
        <v>92</v>
      </c>
      <c r="W612" s="14" t="s">
        <v>92</v>
      </c>
      <c r="X612" s="14" t="s">
        <v>92</v>
      </c>
      <c r="Y612" s="14" t="s">
        <v>92</v>
      </c>
      <c r="Z612" s="14" t="s">
        <v>93</v>
      </c>
      <c r="AA612" s="14" t="s">
        <v>93</v>
      </c>
      <c r="AB612" s="8" t="s">
        <v>93</v>
      </c>
      <c r="AC612" s="8" t="s">
        <v>93</v>
      </c>
      <c r="AD612" s="8" t="s">
        <v>92</v>
      </c>
      <c r="AE612" s="14" t="s">
        <v>1135</v>
      </c>
      <c r="AF612" s="14" t="s">
        <v>92</v>
      </c>
      <c r="AG612" s="14" t="s">
        <v>95</v>
      </c>
      <c r="AH612" s="8" t="s">
        <v>105</v>
      </c>
      <c r="AI612" s="14" t="s">
        <v>93</v>
      </c>
      <c r="AJ612" s="14" t="s">
        <v>93</v>
      </c>
      <c r="AK612" s="14" t="s">
        <v>93</v>
      </c>
      <c r="AL612" s="14" t="s">
        <v>92</v>
      </c>
      <c r="AM612" s="8" t="s">
        <v>105</v>
      </c>
      <c r="AN612" s="14" t="s">
        <v>105</v>
      </c>
      <c r="AO612" s="8" t="s">
        <v>93</v>
      </c>
      <c r="AP612" s="8" t="s">
        <v>92</v>
      </c>
      <c r="AQ612" s="14" t="s">
        <v>92</v>
      </c>
      <c r="AR612" s="14" t="s">
        <v>93</v>
      </c>
      <c r="AS612" s="14" t="s">
        <v>92</v>
      </c>
      <c r="AT612" s="14" t="s">
        <v>92</v>
      </c>
      <c r="AU612" s="14" t="s">
        <v>92</v>
      </c>
      <c r="AV612" s="14" t="s">
        <v>93</v>
      </c>
      <c r="AW612" s="14" t="s">
        <v>93</v>
      </c>
      <c r="AX612" s="14" t="s">
        <v>93</v>
      </c>
      <c r="AY612" s="8" t="s">
        <v>2765</v>
      </c>
      <c r="AZ612" s="8" t="s">
        <v>92</v>
      </c>
      <c r="BA612" s="9" t="s">
        <v>2766</v>
      </c>
      <c r="BB612" s="8" t="s">
        <v>95</v>
      </c>
      <c r="BC612" s="8" t="s">
        <v>93</v>
      </c>
      <c r="BD612" s="14" t="s">
        <v>93</v>
      </c>
      <c r="BE612" s="14" t="s">
        <v>92</v>
      </c>
      <c r="BF612" s="14" t="s">
        <v>92</v>
      </c>
      <c r="BG612" s="14" t="s">
        <v>92</v>
      </c>
      <c r="BH612" s="14" t="s">
        <v>92</v>
      </c>
      <c r="BI612" s="14" t="s">
        <v>92</v>
      </c>
      <c r="BJ612" s="14" t="s">
        <v>92</v>
      </c>
      <c r="BK612" s="14" t="s">
        <v>2767</v>
      </c>
      <c r="BL612" s="14" t="s">
        <v>93</v>
      </c>
      <c r="BM612" s="14" t="s">
        <v>93</v>
      </c>
      <c r="BN612" s="14" t="s">
        <v>92</v>
      </c>
      <c r="BO612" s="14" t="s">
        <v>93</v>
      </c>
      <c r="BP612" s="14" t="s">
        <v>92</v>
      </c>
      <c r="BQ612" s="8" t="s">
        <v>92</v>
      </c>
      <c r="BR612" s="8" t="s">
        <v>92</v>
      </c>
      <c r="BS612" s="8" t="s">
        <v>93</v>
      </c>
      <c r="BT612" s="8" t="s">
        <v>93</v>
      </c>
      <c r="BU612" s="8" t="s">
        <v>93</v>
      </c>
      <c r="BV612" s="8" t="s">
        <v>93</v>
      </c>
      <c r="BW612" s="8" t="s">
        <v>92</v>
      </c>
      <c r="BX612" s="8" t="s">
        <v>92</v>
      </c>
      <c r="BY612" s="8" t="s">
        <v>92</v>
      </c>
      <c r="BZ612" s="8" t="s">
        <v>93</v>
      </c>
      <c r="CA612" s="8" t="s">
        <v>92</v>
      </c>
      <c r="CB612" s="20" t="s">
        <v>157</v>
      </c>
      <c r="CC612" s="20" t="s">
        <v>170</v>
      </c>
      <c r="CD612" s="20" t="s">
        <v>1307</v>
      </c>
      <c r="CE612" s="18"/>
      <c r="CF612" s="18"/>
      <c r="CG612" s="18"/>
      <c r="CH612" s="18"/>
    </row>
    <row r="613">
      <c r="A613" s="8"/>
      <c r="B613" s="19" t="s">
        <v>2729</v>
      </c>
      <c r="C613" s="10" t="s">
        <v>2730</v>
      </c>
      <c r="D613" s="9" t="s">
        <v>2490</v>
      </c>
      <c r="E613" s="11" t="s">
        <v>2768</v>
      </c>
      <c r="F613" s="12"/>
      <c r="G613" s="14" t="s">
        <v>2769</v>
      </c>
      <c r="H613" s="14" t="s">
        <v>90</v>
      </c>
      <c r="I613" s="14" t="s">
        <v>2770</v>
      </c>
      <c r="J613" s="14" t="s">
        <v>92</v>
      </c>
      <c r="K613" s="14" t="s">
        <v>92</v>
      </c>
      <c r="L613" s="14" t="s">
        <v>92</v>
      </c>
      <c r="M613" s="14" t="s">
        <v>93</v>
      </c>
      <c r="N613" s="14" t="s">
        <v>92</v>
      </c>
      <c r="O613" s="14" t="s">
        <v>92</v>
      </c>
      <c r="P613" s="14" t="s">
        <v>92</v>
      </c>
      <c r="Q613" s="14" t="s">
        <v>92</v>
      </c>
      <c r="R613" s="14" t="s">
        <v>92</v>
      </c>
      <c r="S613" s="14" t="s">
        <v>93</v>
      </c>
      <c r="T613" s="14" t="s">
        <v>93</v>
      </c>
      <c r="U613" s="14" t="s">
        <v>92</v>
      </c>
      <c r="V613" s="14" t="s">
        <v>92</v>
      </c>
      <c r="W613" s="14" t="s">
        <v>92</v>
      </c>
      <c r="X613" s="14" t="s">
        <v>92</v>
      </c>
      <c r="Y613" s="14" t="s">
        <v>92</v>
      </c>
      <c r="Z613" s="14" t="s">
        <v>93</v>
      </c>
      <c r="AA613" s="14" t="s">
        <v>92</v>
      </c>
      <c r="AB613" s="8" t="s">
        <v>93</v>
      </c>
      <c r="AC613" s="8" t="s">
        <v>93</v>
      </c>
      <c r="AD613" s="8" t="s">
        <v>92</v>
      </c>
      <c r="AE613" s="14" t="s">
        <v>112</v>
      </c>
      <c r="AF613" s="14" t="s">
        <v>92</v>
      </c>
      <c r="AG613" s="14" t="s">
        <v>95</v>
      </c>
      <c r="AH613" s="8" t="s">
        <v>105</v>
      </c>
      <c r="AI613" s="14" t="s">
        <v>93</v>
      </c>
      <c r="AJ613" s="14" t="s">
        <v>92</v>
      </c>
      <c r="AK613" s="14" t="s">
        <v>92</v>
      </c>
      <c r="AL613" s="14" t="s">
        <v>92</v>
      </c>
      <c r="AM613" s="8" t="s">
        <v>105</v>
      </c>
      <c r="AN613" s="14" t="s">
        <v>105</v>
      </c>
      <c r="AO613" s="8" t="s">
        <v>105</v>
      </c>
      <c r="AP613" s="8" t="s">
        <v>92</v>
      </c>
      <c r="AQ613" s="14" t="s">
        <v>92</v>
      </c>
      <c r="AR613" s="14" t="s">
        <v>93</v>
      </c>
      <c r="AS613" s="14" t="s">
        <v>92</v>
      </c>
      <c r="AT613" s="14" t="s">
        <v>92</v>
      </c>
      <c r="AU613" s="14" t="s">
        <v>92</v>
      </c>
      <c r="AV613" s="14" t="s">
        <v>93</v>
      </c>
      <c r="AW613" s="14" t="s">
        <v>93</v>
      </c>
      <c r="AX613" s="14" t="s">
        <v>93</v>
      </c>
      <c r="AY613" s="8" t="s">
        <v>2771</v>
      </c>
      <c r="AZ613" s="8" t="s">
        <v>92</v>
      </c>
      <c r="BA613" s="9" t="s">
        <v>2772</v>
      </c>
      <c r="BB613" s="8" t="s">
        <v>95</v>
      </c>
      <c r="BC613" s="8" t="s">
        <v>93</v>
      </c>
      <c r="BD613" s="14" t="s">
        <v>93</v>
      </c>
      <c r="BE613" s="14" t="s">
        <v>92</v>
      </c>
      <c r="BF613" s="14" t="s">
        <v>92</v>
      </c>
      <c r="BG613" s="14" t="s">
        <v>92</v>
      </c>
      <c r="BH613" s="14" t="s">
        <v>92</v>
      </c>
      <c r="BI613" s="14" t="s">
        <v>92</v>
      </c>
      <c r="BJ613" s="14" t="s">
        <v>92</v>
      </c>
      <c r="BK613" s="14" t="s">
        <v>482</v>
      </c>
      <c r="BL613" s="14" t="s">
        <v>92</v>
      </c>
      <c r="BM613" s="14" t="s">
        <v>92</v>
      </c>
      <c r="BN613" s="14" t="s">
        <v>92</v>
      </c>
      <c r="BO613" s="14" t="s">
        <v>93</v>
      </c>
      <c r="BP613" s="14" t="s">
        <v>92</v>
      </c>
      <c r="BQ613" s="8" t="s">
        <v>92</v>
      </c>
      <c r="BR613" s="8" t="s">
        <v>93</v>
      </c>
      <c r="BS613" s="8" t="s">
        <v>93</v>
      </c>
      <c r="BT613" s="8" t="s">
        <v>93</v>
      </c>
      <c r="BU613" s="8" t="s">
        <v>92</v>
      </c>
      <c r="BV613" s="8" t="s">
        <v>92</v>
      </c>
      <c r="BW613" s="8" t="s">
        <v>92</v>
      </c>
      <c r="BX613" s="8" t="s">
        <v>92</v>
      </c>
      <c r="BY613" s="8" t="s">
        <v>92</v>
      </c>
      <c r="BZ613" s="8" t="s">
        <v>93</v>
      </c>
      <c r="CA613" s="8" t="s">
        <v>92</v>
      </c>
      <c r="CB613" s="20" t="s">
        <v>157</v>
      </c>
      <c r="CC613" s="17"/>
      <c r="CD613" s="18"/>
      <c r="CE613" s="18"/>
      <c r="CF613" s="18"/>
      <c r="CG613" s="18"/>
      <c r="CH613" s="18"/>
    </row>
    <row r="614">
      <c r="A614" s="8"/>
      <c r="B614" s="9" t="s">
        <v>2729</v>
      </c>
      <c r="C614" s="10" t="s">
        <v>2730</v>
      </c>
      <c r="D614" s="9" t="s">
        <v>2490</v>
      </c>
      <c r="E614" s="11" t="s">
        <v>2773</v>
      </c>
      <c r="F614" s="12"/>
      <c r="G614" s="14" t="s">
        <v>2774</v>
      </c>
      <c r="H614" s="14" t="s">
        <v>110</v>
      </c>
      <c r="I614" s="14" t="s">
        <v>2775</v>
      </c>
      <c r="J614" s="14" t="s">
        <v>93</v>
      </c>
      <c r="K614" s="14" t="s">
        <v>92</v>
      </c>
      <c r="L614" s="14" t="s">
        <v>93</v>
      </c>
      <c r="M614" s="14" t="s">
        <v>92</v>
      </c>
      <c r="N614" s="14" t="s">
        <v>92</v>
      </c>
      <c r="O614" s="14" t="s">
        <v>92</v>
      </c>
      <c r="P614" s="14" t="s">
        <v>92</v>
      </c>
      <c r="Q614" s="14" t="s">
        <v>92</v>
      </c>
      <c r="R614" s="14" t="s">
        <v>92</v>
      </c>
      <c r="S614" s="14" t="s">
        <v>93</v>
      </c>
      <c r="T614" s="14" t="s">
        <v>92</v>
      </c>
      <c r="U614" s="14" t="s">
        <v>92</v>
      </c>
      <c r="V614" s="14" t="s">
        <v>92</v>
      </c>
      <c r="W614" s="14" t="s">
        <v>92</v>
      </c>
      <c r="X614" s="14" t="s">
        <v>92</v>
      </c>
      <c r="Y614" s="14" t="s">
        <v>92</v>
      </c>
      <c r="Z614" s="14" t="s">
        <v>93</v>
      </c>
      <c r="AA614" s="14" t="s">
        <v>92</v>
      </c>
      <c r="AB614" s="8" t="s">
        <v>93</v>
      </c>
      <c r="AC614" s="8" t="s">
        <v>93</v>
      </c>
      <c r="AD614" s="8" t="s">
        <v>92</v>
      </c>
      <c r="AE614" s="14" t="s">
        <v>148</v>
      </c>
      <c r="AF614" s="14" t="s">
        <v>93</v>
      </c>
      <c r="AG614" s="14" t="s">
        <v>105</v>
      </c>
      <c r="AH614" s="8">
        <v>2018.0</v>
      </c>
      <c r="AI614" s="14" t="s">
        <v>93</v>
      </c>
      <c r="AJ614" s="14" t="s">
        <v>93</v>
      </c>
      <c r="AK614" s="14" t="s">
        <v>93</v>
      </c>
      <c r="AL614" s="14" t="s">
        <v>93</v>
      </c>
      <c r="AM614" s="8" t="s">
        <v>95</v>
      </c>
      <c r="AN614" s="14" t="s">
        <v>114</v>
      </c>
      <c r="AO614" s="8" t="s">
        <v>93</v>
      </c>
      <c r="AP614" s="8" t="s">
        <v>92</v>
      </c>
      <c r="AQ614" s="14" t="s">
        <v>92</v>
      </c>
      <c r="AR614" s="14" t="s">
        <v>93</v>
      </c>
      <c r="AS614" s="14" t="s">
        <v>92</v>
      </c>
      <c r="AT614" s="14" t="s">
        <v>92</v>
      </c>
      <c r="AU614" s="14" t="s">
        <v>92</v>
      </c>
      <c r="AV614" s="14" t="s">
        <v>93</v>
      </c>
      <c r="AW614" s="14" t="s">
        <v>93</v>
      </c>
      <c r="AX614" s="14" t="s">
        <v>93</v>
      </c>
      <c r="AY614" s="8" t="s">
        <v>2765</v>
      </c>
      <c r="AZ614" s="8" t="s">
        <v>92</v>
      </c>
      <c r="BA614" s="9" t="s">
        <v>2776</v>
      </c>
      <c r="BB614" s="8" t="s">
        <v>95</v>
      </c>
      <c r="BC614" s="8" t="s">
        <v>93</v>
      </c>
      <c r="BD614" s="14" t="s">
        <v>93</v>
      </c>
      <c r="BE614" s="14" t="s">
        <v>92</v>
      </c>
      <c r="BF614" s="14" t="s">
        <v>92</v>
      </c>
      <c r="BG614" s="14" t="s">
        <v>92</v>
      </c>
      <c r="BH614" s="14" t="s">
        <v>92</v>
      </c>
      <c r="BI614" s="14" t="s">
        <v>92</v>
      </c>
      <c r="BJ614" s="14" t="s">
        <v>92</v>
      </c>
      <c r="BK614" s="30" t="s">
        <v>2777</v>
      </c>
      <c r="BL614" s="14" t="s">
        <v>93</v>
      </c>
      <c r="BM614" s="14" t="s">
        <v>92</v>
      </c>
      <c r="BN614" s="14" t="s">
        <v>93</v>
      </c>
      <c r="BO614" s="14" t="s">
        <v>92</v>
      </c>
      <c r="BP614" s="14" t="s">
        <v>92</v>
      </c>
      <c r="BQ614" s="8" t="s">
        <v>92</v>
      </c>
      <c r="BR614" s="8" t="s">
        <v>92</v>
      </c>
      <c r="BS614" s="8" t="s">
        <v>93</v>
      </c>
      <c r="BT614" s="8" t="s">
        <v>93</v>
      </c>
      <c r="BU614" s="8" t="s">
        <v>92</v>
      </c>
      <c r="BV614" s="8" t="s">
        <v>93</v>
      </c>
      <c r="BW614" s="8" t="s">
        <v>92</v>
      </c>
      <c r="BX614" s="8" t="s">
        <v>92</v>
      </c>
      <c r="BY614" s="8" t="s">
        <v>92</v>
      </c>
      <c r="BZ614" s="8" t="s">
        <v>93</v>
      </c>
      <c r="CA614" s="8" t="s">
        <v>92</v>
      </c>
      <c r="CB614" s="20" t="s">
        <v>157</v>
      </c>
      <c r="CC614" s="20" t="s">
        <v>170</v>
      </c>
      <c r="CD614" s="20" t="s">
        <v>1307</v>
      </c>
      <c r="CE614" s="20" t="s">
        <v>1371</v>
      </c>
      <c r="CF614" s="18"/>
      <c r="CG614" s="18"/>
      <c r="CH614" s="18"/>
    </row>
    <row r="615">
      <c r="A615" s="8"/>
      <c r="B615" s="9" t="s">
        <v>2729</v>
      </c>
      <c r="C615" s="10" t="s">
        <v>2730</v>
      </c>
      <c r="D615" s="9" t="s">
        <v>2490</v>
      </c>
      <c r="E615" s="11" t="s">
        <v>2778</v>
      </c>
      <c r="F615" s="12"/>
      <c r="G615" s="14" t="s">
        <v>2779</v>
      </c>
      <c r="H615" s="14" t="s">
        <v>90</v>
      </c>
      <c r="I615" s="14" t="s">
        <v>2780</v>
      </c>
      <c r="J615" s="14" t="s">
        <v>92</v>
      </c>
      <c r="K615" s="14" t="s">
        <v>92</v>
      </c>
      <c r="L615" s="14" t="s">
        <v>93</v>
      </c>
      <c r="M615" s="14" t="s">
        <v>93</v>
      </c>
      <c r="N615" s="14" t="s">
        <v>92</v>
      </c>
      <c r="O615" s="14" t="s">
        <v>92</v>
      </c>
      <c r="P615" s="14" t="s">
        <v>93</v>
      </c>
      <c r="Q615" s="14" t="s">
        <v>92</v>
      </c>
      <c r="R615" s="14" t="s">
        <v>92</v>
      </c>
      <c r="S615" s="14" t="s">
        <v>93</v>
      </c>
      <c r="T615" s="14" t="s">
        <v>92</v>
      </c>
      <c r="U615" s="14" t="s">
        <v>92</v>
      </c>
      <c r="V615" s="14" t="s">
        <v>92</v>
      </c>
      <c r="W615" s="14" t="s">
        <v>92</v>
      </c>
      <c r="X615" s="14" t="s">
        <v>92</v>
      </c>
      <c r="Y615" s="14" t="s">
        <v>92</v>
      </c>
      <c r="Z615" s="14" t="s">
        <v>93</v>
      </c>
      <c r="AA615" s="14" t="s">
        <v>92</v>
      </c>
      <c r="AB615" s="8" t="s">
        <v>93</v>
      </c>
      <c r="AC615" s="8" t="s">
        <v>93</v>
      </c>
      <c r="AD615" s="8" t="s">
        <v>92</v>
      </c>
      <c r="AE615" s="14" t="s">
        <v>103</v>
      </c>
      <c r="AF615" s="14" t="s">
        <v>92</v>
      </c>
      <c r="AG615" s="14" t="s">
        <v>95</v>
      </c>
      <c r="AH615" s="8" t="s">
        <v>105</v>
      </c>
      <c r="AI615" s="14" t="s">
        <v>93</v>
      </c>
      <c r="AJ615" s="14" t="s">
        <v>92</v>
      </c>
      <c r="AK615" s="14" t="s">
        <v>92</v>
      </c>
      <c r="AL615" s="14" t="s">
        <v>92</v>
      </c>
      <c r="AM615" s="8" t="s">
        <v>105</v>
      </c>
      <c r="AN615" s="14" t="s">
        <v>105</v>
      </c>
      <c r="AO615" s="8" t="s">
        <v>105</v>
      </c>
      <c r="AP615" s="8" t="s">
        <v>93</v>
      </c>
      <c r="AQ615" s="14" t="s">
        <v>92</v>
      </c>
      <c r="AR615" s="14" t="s">
        <v>93</v>
      </c>
      <c r="AS615" s="14" t="s">
        <v>92</v>
      </c>
      <c r="AT615" s="14" t="s">
        <v>92</v>
      </c>
      <c r="AU615" s="14" t="s">
        <v>92</v>
      </c>
      <c r="AV615" s="14" t="s">
        <v>93</v>
      </c>
      <c r="AW615" s="14" t="s">
        <v>93</v>
      </c>
      <c r="AX615" s="14" t="s">
        <v>93</v>
      </c>
      <c r="AY615" s="8" t="s">
        <v>95</v>
      </c>
      <c r="AZ615" s="8" t="s">
        <v>95</v>
      </c>
      <c r="BA615" s="9" t="s">
        <v>2729</v>
      </c>
      <c r="BB615" s="8" t="s">
        <v>97</v>
      </c>
      <c r="BC615" s="8" t="s">
        <v>92</v>
      </c>
      <c r="BD615" s="14" t="s">
        <v>93</v>
      </c>
      <c r="BE615" s="14" t="s">
        <v>92</v>
      </c>
      <c r="BF615" s="14" t="s">
        <v>92</v>
      </c>
      <c r="BG615" s="14" t="s">
        <v>92</v>
      </c>
      <c r="BH615" s="14" t="s">
        <v>92</v>
      </c>
      <c r="BI615" s="14" t="s">
        <v>93</v>
      </c>
      <c r="BJ615" s="14" t="s">
        <v>92</v>
      </c>
      <c r="BK615" s="14" t="s">
        <v>332</v>
      </c>
      <c r="BL615" s="14" t="s">
        <v>92</v>
      </c>
      <c r="BM615" s="14" t="s">
        <v>92</v>
      </c>
      <c r="BN615" s="14" t="s">
        <v>92</v>
      </c>
      <c r="BO615" s="14" t="s">
        <v>93</v>
      </c>
      <c r="BP615" s="14" t="s">
        <v>92</v>
      </c>
      <c r="BQ615" s="8" t="s">
        <v>92</v>
      </c>
      <c r="BR615" s="8" t="s">
        <v>92</v>
      </c>
      <c r="BS615" s="8" t="s">
        <v>93</v>
      </c>
      <c r="BT615" s="8" t="s">
        <v>93</v>
      </c>
      <c r="BU615" s="8" t="s">
        <v>92</v>
      </c>
      <c r="BV615" s="8" t="s">
        <v>92</v>
      </c>
      <c r="BW615" s="8" t="s">
        <v>92</v>
      </c>
      <c r="BX615" s="8" t="s">
        <v>92</v>
      </c>
      <c r="BY615" s="8" t="s">
        <v>92</v>
      </c>
      <c r="BZ615" s="8" t="s">
        <v>92</v>
      </c>
      <c r="CA615" s="8" t="s">
        <v>92</v>
      </c>
      <c r="CB615" s="20" t="s">
        <v>157</v>
      </c>
      <c r="CC615" s="17"/>
      <c r="CD615" s="18"/>
      <c r="CE615" s="18"/>
      <c r="CF615" s="18"/>
      <c r="CG615" s="18"/>
      <c r="CH615" s="18"/>
    </row>
    <row r="616">
      <c r="A616" s="8"/>
      <c r="B616" s="9" t="s">
        <v>2729</v>
      </c>
      <c r="C616" s="10" t="s">
        <v>2730</v>
      </c>
      <c r="D616" s="9" t="s">
        <v>2490</v>
      </c>
      <c r="E616" s="11" t="s">
        <v>2781</v>
      </c>
      <c r="F616" s="12"/>
      <c r="G616" s="14" t="s">
        <v>2782</v>
      </c>
      <c r="H616" s="14" t="s">
        <v>90</v>
      </c>
      <c r="I616" s="14" t="s">
        <v>2783</v>
      </c>
      <c r="J616" s="14" t="s">
        <v>92</v>
      </c>
      <c r="K616" s="14" t="s">
        <v>92</v>
      </c>
      <c r="L616" s="14" t="s">
        <v>92</v>
      </c>
      <c r="M616" s="14" t="s">
        <v>92</v>
      </c>
      <c r="N616" s="14" t="s">
        <v>92</v>
      </c>
      <c r="O616" s="14" t="s">
        <v>92</v>
      </c>
      <c r="P616" s="14" t="s">
        <v>92</v>
      </c>
      <c r="Q616" s="14" t="s">
        <v>93</v>
      </c>
      <c r="R616" s="14" t="s">
        <v>93</v>
      </c>
      <c r="S616" s="14" t="s">
        <v>92</v>
      </c>
      <c r="T616" s="14" t="s">
        <v>93</v>
      </c>
      <c r="U616" s="14" t="s">
        <v>92</v>
      </c>
      <c r="V616" s="14" t="s">
        <v>92</v>
      </c>
      <c r="W616" s="14" t="s">
        <v>92</v>
      </c>
      <c r="X616" s="14" t="s">
        <v>92</v>
      </c>
      <c r="Y616" s="14" t="s">
        <v>92</v>
      </c>
      <c r="Z616" s="14" t="s">
        <v>92</v>
      </c>
      <c r="AA616" s="14" t="s">
        <v>92</v>
      </c>
      <c r="AB616" s="8" t="s">
        <v>93</v>
      </c>
      <c r="AC616" s="8" t="s">
        <v>92</v>
      </c>
      <c r="AD616" s="8" t="s">
        <v>92</v>
      </c>
      <c r="AE616" s="14" t="s">
        <v>103</v>
      </c>
      <c r="AF616" s="14" t="s">
        <v>93</v>
      </c>
      <c r="AG616" s="14" t="s">
        <v>2784</v>
      </c>
      <c r="AH616" s="8">
        <v>2020.0</v>
      </c>
      <c r="AI616" s="14" t="s">
        <v>93</v>
      </c>
      <c r="AJ616" s="14" t="s">
        <v>92</v>
      </c>
      <c r="AK616" s="14" t="s">
        <v>92</v>
      </c>
      <c r="AL616" s="14" t="s">
        <v>92</v>
      </c>
      <c r="AM616" s="8" t="s">
        <v>105</v>
      </c>
      <c r="AN616" s="14" t="s">
        <v>105</v>
      </c>
      <c r="AO616" s="8" t="s">
        <v>105</v>
      </c>
      <c r="AP616" s="8" t="s">
        <v>92</v>
      </c>
      <c r="AQ616" s="14" t="s">
        <v>92</v>
      </c>
      <c r="AR616" s="14" t="s">
        <v>93</v>
      </c>
      <c r="AS616" s="14" t="s">
        <v>92</v>
      </c>
      <c r="AT616" s="14" t="s">
        <v>92</v>
      </c>
      <c r="AU616" s="14" t="s">
        <v>92</v>
      </c>
      <c r="AV616" s="14" t="s">
        <v>93</v>
      </c>
      <c r="AW616" s="14" t="s">
        <v>93</v>
      </c>
      <c r="AX616" s="14" t="s">
        <v>93</v>
      </c>
      <c r="AY616" s="8" t="s">
        <v>95</v>
      </c>
      <c r="AZ616" s="8" t="s">
        <v>95</v>
      </c>
      <c r="BA616" s="9" t="s">
        <v>2785</v>
      </c>
      <c r="BB616" s="8" t="s">
        <v>95</v>
      </c>
      <c r="BC616" s="8" t="s">
        <v>93</v>
      </c>
      <c r="BD616" s="14" t="s">
        <v>92</v>
      </c>
      <c r="BE616" s="14" t="s">
        <v>92</v>
      </c>
      <c r="BF616" s="14" t="s">
        <v>92</v>
      </c>
      <c r="BG616" s="14" t="s">
        <v>92</v>
      </c>
      <c r="BH616" s="14" t="s">
        <v>92</v>
      </c>
      <c r="BI616" s="14" t="s">
        <v>93</v>
      </c>
      <c r="BJ616" s="14" t="s">
        <v>92</v>
      </c>
      <c r="BK616" s="14" t="s">
        <v>482</v>
      </c>
      <c r="BL616" s="14" t="s">
        <v>92</v>
      </c>
      <c r="BM616" s="14" t="s">
        <v>92</v>
      </c>
      <c r="BN616" s="14" t="s">
        <v>92</v>
      </c>
      <c r="BO616" s="14" t="s">
        <v>93</v>
      </c>
      <c r="BP616" s="14" t="s">
        <v>92</v>
      </c>
      <c r="BQ616" s="8" t="s">
        <v>92</v>
      </c>
      <c r="BR616" s="8" t="s">
        <v>93</v>
      </c>
      <c r="BS616" s="8" t="s">
        <v>92</v>
      </c>
      <c r="BT616" s="8" t="s">
        <v>92</v>
      </c>
      <c r="BU616" s="8" t="s">
        <v>92</v>
      </c>
      <c r="BV616" s="8" t="s">
        <v>92</v>
      </c>
      <c r="BW616" s="8" t="s">
        <v>92</v>
      </c>
      <c r="BX616" s="8" t="s">
        <v>92</v>
      </c>
      <c r="BY616" s="8" t="s">
        <v>92</v>
      </c>
      <c r="BZ616" s="8" t="s">
        <v>92</v>
      </c>
      <c r="CA616" s="8" t="s">
        <v>92</v>
      </c>
      <c r="CB616" s="20" t="s">
        <v>157</v>
      </c>
      <c r="CC616" s="17"/>
      <c r="CD616" s="18"/>
      <c r="CE616" s="18"/>
      <c r="CF616" s="18"/>
      <c r="CG616" s="18"/>
      <c r="CH616" s="18"/>
    </row>
    <row r="617">
      <c r="A617" s="8"/>
      <c r="B617" s="9" t="s">
        <v>2729</v>
      </c>
      <c r="C617" s="10" t="s">
        <v>2730</v>
      </c>
      <c r="D617" s="9" t="s">
        <v>2490</v>
      </c>
      <c r="E617" s="11" t="s">
        <v>2786</v>
      </c>
      <c r="F617" s="12"/>
      <c r="G617" s="14" t="s">
        <v>2787</v>
      </c>
      <c r="H617" s="14" t="s">
        <v>90</v>
      </c>
      <c r="I617" s="14" t="s">
        <v>2788</v>
      </c>
      <c r="J617" s="14" t="s">
        <v>92</v>
      </c>
      <c r="K617" s="14" t="s">
        <v>92</v>
      </c>
      <c r="L617" s="14" t="s">
        <v>92</v>
      </c>
      <c r="M617" s="14" t="s">
        <v>92</v>
      </c>
      <c r="N617" s="14" t="s">
        <v>92</v>
      </c>
      <c r="O617" s="14" t="s">
        <v>92</v>
      </c>
      <c r="P617" s="14" t="s">
        <v>92</v>
      </c>
      <c r="Q617" s="14" t="s">
        <v>92</v>
      </c>
      <c r="R617" s="14" t="s">
        <v>92</v>
      </c>
      <c r="S617" s="14" t="s">
        <v>92</v>
      </c>
      <c r="T617" s="14" t="s">
        <v>93</v>
      </c>
      <c r="U617" s="14" t="s">
        <v>92</v>
      </c>
      <c r="V617" s="14" t="s">
        <v>92</v>
      </c>
      <c r="W617" s="14" t="s">
        <v>92</v>
      </c>
      <c r="X617" s="14" t="s">
        <v>92</v>
      </c>
      <c r="Y617" s="14" t="s">
        <v>92</v>
      </c>
      <c r="Z617" s="14" t="s">
        <v>92</v>
      </c>
      <c r="AA617" s="14" t="s">
        <v>92</v>
      </c>
      <c r="AB617" s="8" t="s">
        <v>93</v>
      </c>
      <c r="AC617" s="8" t="s">
        <v>92</v>
      </c>
      <c r="AD617" s="8" t="s">
        <v>92</v>
      </c>
      <c r="AE617" s="14" t="s">
        <v>103</v>
      </c>
      <c r="AF617" s="14" t="s">
        <v>93</v>
      </c>
      <c r="AG617" s="14" t="s">
        <v>2789</v>
      </c>
      <c r="AH617" s="8">
        <v>2019.0</v>
      </c>
      <c r="AI617" s="14" t="s">
        <v>93</v>
      </c>
      <c r="AJ617" s="14" t="s">
        <v>92</v>
      </c>
      <c r="AK617" s="14" t="s">
        <v>92</v>
      </c>
      <c r="AL617" s="14" t="s">
        <v>92</v>
      </c>
      <c r="AM617" s="8" t="s">
        <v>105</v>
      </c>
      <c r="AN617" s="14" t="s">
        <v>105</v>
      </c>
      <c r="AO617" s="8" t="s">
        <v>105</v>
      </c>
      <c r="AP617" s="8" t="s">
        <v>92</v>
      </c>
      <c r="AQ617" s="14" t="s">
        <v>92</v>
      </c>
      <c r="AR617" s="14" t="s">
        <v>93</v>
      </c>
      <c r="AS617" s="14" t="s">
        <v>92</v>
      </c>
      <c r="AT617" s="14" t="s">
        <v>92</v>
      </c>
      <c r="AU617" s="14" t="s">
        <v>92</v>
      </c>
      <c r="AV617" s="14" t="s">
        <v>93</v>
      </c>
      <c r="AW617" s="14" t="s">
        <v>93</v>
      </c>
      <c r="AX617" s="14" t="s">
        <v>93</v>
      </c>
      <c r="AY617" s="8" t="s">
        <v>95</v>
      </c>
      <c r="AZ617" s="8" t="s">
        <v>95</v>
      </c>
      <c r="BA617" s="9" t="s">
        <v>2790</v>
      </c>
      <c r="BB617" s="8" t="s">
        <v>97</v>
      </c>
      <c r="BC617" s="8" t="s">
        <v>92</v>
      </c>
      <c r="BD617" s="14" t="s">
        <v>92</v>
      </c>
      <c r="BE617" s="14" t="s">
        <v>92</v>
      </c>
      <c r="BF617" s="14" t="s">
        <v>92</v>
      </c>
      <c r="BG617" s="14" t="s">
        <v>92</v>
      </c>
      <c r="BH617" s="14" t="s">
        <v>92</v>
      </c>
      <c r="BI617" s="14" t="s">
        <v>93</v>
      </c>
      <c r="BJ617" s="14" t="s">
        <v>92</v>
      </c>
      <c r="BK617" s="14" t="s">
        <v>95</v>
      </c>
      <c r="BL617" s="14" t="s">
        <v>93</v>
      </c>
      <c r="BM617" s="14" t="s">
        <v>93</v>
      </c>
      <c r="BN617" s="14" t="s">
        <v>93</v>
      </c>
      <c r="BO617" s="14" t="s">
        <v>93</v>
      </c>
      <c r="BP617" s="14" t="s">
        <v>93</v>
      </c>
      <c r="BQ617" s="8" t="s">
        <v>92</v>
      </c>
      <c r="BR617" s="8" t="s">
        <v>93</v>
      </c>
      <c r="BS617" s="8" t="s">
        <v>92</v>
      </c>
      <c r="BT617" s="8" t="s">
        <v>92</v>
      </c>
      <c r="BU617" s="8" t="s">
        <v>92</v>
      </c>
      <c r="BV617" s="8" t="s">
        <v>92</v>
      </c>
      <c r="BW617" s="8" t="s">
        <v>92</v>
      </c>
      <c r="BX617" s="8" t="s">
        <v>92</v>
      </c>
      <c r="BY617" s="8" t="s">
        <v>92</v>
      </c>
      <c r="BZ617" s="8" t="s">
        <v>92</v>
      </c>
      <c r="CA617" s="8" t="s">
        <v>92</v>
      </c>
      <c r="CB617" s="20" t="s">
        <v>157</v>
      </c>
      <c r="CC617" s="17"/>
      <c r="CD617" s="18"/>
      <c r="CE617" s="18"/>
      <c r="CF617" s="18"/>
      <c r="CG617" s="18"/>
      <c r="CH617" s="18"/>
    </row>
    <row r="618">
      <c r="A618" s="8"/>
      <c r="B618" s="9" t="s">
        <v>2729</v>
      </c>
      <c r="C618" s="10" t="s">
        <v>2730</v>
      </c>
      <c r="D618" s="9" t="s">
        <v>2490</v>
      </c>
      <c r="E618" s="11" t="s">
        <v>2791</v>
      </c>
      <c r="F618" s="12"/>
      <c r="G618" s="14" t="s">
        <v>2792</v>
      </c>
      <c r="H618" s="14" t="s">
        <v>90</v>
      </c>
      <c r="I618" s="14" t="s">
        <v>2793</v>
      </c>
      <c r="J618" s="14" t="s">
        <v>92</v>
      </c>
      <c r="K618" s="14" t="s">
        <v>93</v>
      </c>
      <c r="L618" s="14" t="s">
        <v>92</v>
      </c>
      <c r="M618" s="14" t="s">
        <v>92</v>
      </c>
      <c r="N618" s="14" t="s">
        <v>92</v>
      </c>
      <c r="O618" s="14" t="s">
        <v>92</v>
      </c>
      <c r="P618" s="14" t="s">
        <v>92</v>
      </c>
      <c r="Q618" s="14" t="s">
        <v>93</v>
      </c>
      <c r="R618" s="14" t="s">
        <v>92</v>
      </c>
      <c r="S618" s="14" t="s">
        <v>92</v>
      </c>
      <c r="T618" s="14" t="s">
        <v>92</v>
      </c>
      <c r="U618" s="14" t="s">
        <v>93</v>
      </c>
      <c r="V618" s="14" t="s">
        <v>92</v>
      </c>
      <c r="W618" s="14" t="s">
        <v>92</v>
      </c>
      <c r="X618" s="14" t="s">
        <v>92</v>
      </c>
      <c r="Y618" s="14" t="s">
        <v>92</v>
      </c>
      <c r="Z618" s="14" t="s">
        <v>92</v>
      </c>
      <c r="AA618" s="14" t="s">
        <v>92</v>
      </c>
      <c r="AB618" s="8" t="s">
        <v>93</v>
      </c>
      <c r="AC618" s="8" t="s">
        <v>92</v>
      </c>
      <c r="AD618" s="8" t="s">
        <v>92</v>
      </c>
      <c r="AE618" s="14" t="s">
        <v>94</v>
      </c>
      <c r="AF618" s="14" t="s">
        <v>92</v>
      </c>
      <c r="AG618" s="14" t="s">
        <v>95</v>
      </c>
      <c r="AH618" s="8" t="s">
        <v>105</v>
      </c>
      <c r="AI618" s="14" t="s">
        <v>93</v>
      </c>
      <c r="AJ618" s="14" t="s">
        <v>92</v>
      </c>
      <c r="AK618" s="14" t="s">
        <v>92</v>
      </c>
      <c r="AL618" s="14" t="s">
        <v>92</v>
      </c>
      <c r="AM618" s="8" t="s">
        <v>105</v>
      </c>
      <c r="AN618" s="14" t="s">
        <v>105</v>
      </c>
      <c r="AO618" s="8" t="s">
        <v>105</v>
      </c>
      <c r="AP618" s="8" t="s">
        <v>92</v>
      </c>
      <c r="AQ618" s="14" t="s">
        <v>92</v>
      </c>
      <c r="AR618" s="14" t="s">
        <v>93</v>
      </c>
      <c r="AS618" s="14" t="s">
        <v>92</v>
      </c>
      <c r="AT618" s="14" t="s">
        <v>92</v>
      </c>
      <c r="AU618" s="14" t="s">
        <v>92</v>
      </c>
      <c r="AV618" s="14" t="s">
        <v>93</v>
      </c>
      <c r="AW618" s="14" t="s">
        <v>93</v>
      </c>
      <c r="AX618" s="14" t="s">
        <v>93</v>
      </c>
      <c r="AY618" s="8" t="s">
        <v>95</v>
      </c>
      <c r="AZ618" s="8" t="s">
        <v>95</v>
      </c>
      <c r="BA618" s="9" t="s">
        <v>2794</v>
      </c>
      <c r="BB618" s="8" t="s">
        <v>95</v>
      </c>
      <c r="BC618" s="8" t="s">
        <v>93</v>
      </c>
      <c r="BD618" s="14" t="s">
        <v>92</v>
      </c>
      <c r="BE618" s="14" t="s">
        <v>92</v>
      </c>
      <c r="BF618" s="14" t="s">
        <v>92</v>
      </c>
      <c r="BG618" s="14" t="s">
        <v>92</v>
      </c>
      <c r="BH618" s="14" t="s">
        <v>92</v>
      </c>
      <c r="BI618" s="14" t="s">
        <v>93</v>
      </c>
      <c r="BJ618" s="14" t="s">
        <v>92</v>
      </c>
      <c r="BK618" s="14" t="s">
        <v>105</v>
      </c>
      <c r="BL618" s="14" t="s">
        <v>105</v>
      </c>
      <c r="BM618" s="14" t="s">
        <v>105</v>
      </c>
      <c r="BN618" s="14" t="s">
        <v>105</v>
      </c>
      <c r="BO618" s="14" t="s">
        <v>105</v>
      </c>
      <c r="BP618" s="14" t="s">
        <v>105</v>
      </c>
      <c r="BQ618" s="8" t="s">
        <v>93</v>
      </c>
      <c r="BR618" s="8" t="s">
        <v>92</v>
      </c>
      <c r="BS618" s="8" t="s">
        <v>92</v>
      </c>
      <c r="BT618" s="8" t="s">
        <v>92</v>
      </c>
      <c r="BU618" s="8" t="s">
        <v>92</v>
      </c>
      <c r="BV618" s="8" t="s">
        <v>92</v>
      </c>
      <c r="BW618" s="8" t="s">
        <v>92</v>
      </c>
      <c r="BX618" s="8" t="s">
        <v>92</v>
      </c>
      <c r="BY618" s="8" t="s">
        <v>92</v>
      </c>
      <c r="BZ618" s="8" t="s">
        <v>92</v>
      </c>
      <c r="CA618" s="8" t="s">
        <v>92</v>
      </c>
      <c r="CB618" s="20" t="s">
        <v>157</v>
      </c>
      <c r="CC618" s="17"/>
      <c r="CD618" s="18"/>
      <c r="CE618" s="18"/>
      <c r="CF618" s="18"/>
      <c r="CG618" s="18"/>
      <c r="CH618" s="18"/>
    </row>
    <row r="619" ht="15.75" customHeight="1">
      <c r="A619" s="8"/>
      <c r="B619" s="19" t="s">
        <v>2729</v>
      </c>
      <c r="C619" s="10" t="s">
        <v>2730</v>
      </c>
      <c r="D619" s="9" t="s">
        <v>2490</v>
      </c>
      <c r="E619" s="11" t="s">
        <v>2795</v>
      </c>
      <c r="F619" s="12"/>
      <c r="G619" s="14" t="s">
        <v>2796</v>
      </c>
      <c r="H619" s="14" t="s">
        <v>110</v>
      </c>
      <c r="I619" s="14" t="s">
        <v>2797</v>
      </c>
      <c r="J619" s="14" t="s">
        <v>92</v>
      </c>
      <c r="K619" s="14" t="s">
        <v>92</v>
      </c>
      <c r="L619" s="14" t="s">
        <v>93</v>
      </c>
      <c r="M619" s="14" t="s">
        <v>92</v>
      </c>
      <c r="N619" s="14" t="s">
        <v>92</v>
      </c>
      <c r="O619" s="14" t="s">
        <v>92</v>
      </c>
      <c r="P619" s="14" t="s">
        <v>92</v>
      </c>
      <c r="Q619" s="14" t="s">
        <v>92</v>
      </c>
      <c r="R619" s="14" t="s">
        <v>92</v>
      </c>
      <c r="S619" s="14" t="s">
        <v>93</v>
      </c>
      <c r="T619" s="14" t="s">
        <v>93</v>
      </c>
      <c r="U619" s="14" t="s">
        <v>93</v>
      </c>
      <c r="V619" s="14" t="s">
        <v>92</v>
      </c>
      <c r="W619" s="14" t="s">
        <v>93</v>
      </c>
      <c r="X619" s="14" t="s">
        <v>92</v>
      </c>
      <c r="Y619" s="14" t="s">
        <v>92</v>
      </c>
      <c r="Z619" s="14" t="s">
        <v>93</v>
      </c>
      <c r="AA619" s="14" t="s">
        <v>92</v>
      </c>
      <c r="AB619" s="8" t="s">
        <v>93</v>
      </c>
      <c r="AC619" s="8" t="s">
        <v>93</v>
      </c>
      <c r="AD619" s="8" t="s">
        <v>92</v>
      </c>
      <c r="AE619" s="14" t="s">
        <v>103</v>
      </c>
      <c r="AF619" s="14" t="s">
        <v>92</v>
      </c>
      <c r="AG619" s="14" t="s">
        <v>95</v>
      </c>
      <c r="AH619" s="8" t="s">
        <v>105</v>
      </c>
      <c r="AI619" s="14" t="s">
        <v>93</v>
      </c>
      <c r="AJ619" s="14" t="s">
        <v>93</v>
      </c>
      <c r="AK619" s="14" t="s">
        <v>92</v>
      </c>
      <c r="AL619" s="14" t="s">
        <v>92</v>
      </c>
      <c r="AM619" s="8" t="s">
        <v>105</v>
      </c>
      <c r="AN619" s="14" t="s">
        <v>105</v>
      </c>
      <c r="AO619" s="8" t="s">
        <v>93</v>
      </c>
      <c r="AP619" s="8" t="s">
        <v>92</v>
      </c>
      <c r="AQ619" s="14" t="s">
        <v>92</v>
      </c>
      <c r="AR619" s="14" t="s">
        <v>93</v>
      </c>
      <c r="AS619" s="14" t="s">
        <v>92</v>
      </c>
      <c r="AT619" s="14" t="s">
        <v>92</v>
      </c>
      <c r="AU619" s="14" t="s">
        <v>92</v>
      </c>
      <c r="AV619" s="14" t="s">
        <v>93</v>
      </c>
      <c r="AW619" s="14" t="s">
        <v>93</v>
      </c>
      <c r="AX619" s="14" t="s">
        <v>93</v>
      </c>
      <c r="AY619" s="8" t="s">
        <v>95</v>
      </c>
      <c r="AZ619" s="8" t="s">
        <v>95</v>
      </c>
      <c r="BA619" s="9" t="s">
        <v>2790</v>
      </c>
      <c r="BB619" s="8" t="s">
        <v>95</v>
      </c>
      <c r="BC619" s="8" t="s">
        <v>93</v>
      </c>
      <c r="BD619" s="14" t="s">
        <v>93</v>
      </c>
      <c r="BE619" s="14" t="s">
        <v>92</v>
      </c>
      <c r="BF619" s="14" t="s">
        <v>92</v>
      </c>
      <c r="BG619" s="14" t="s">
        <v>92</v>
      </c>
      <c r="BH619" s="14" t="s">
        <v>93</v>
      </c>
      <c r="BI619" s="14" t="s">
        <v>93</v>
      </c>
      <c r="BJ619" s="14" t="s">
        <v>92</v>
      </c>
      <c r="BK619" s="14" t="s">
        <v>105</v>
      </c>
      <c r="BL619" s="14" t="s">
        <v>105</v>
      </c>
      <c r="BM619" s="14" t="s">
        <v>105</v>
      </c>
      <c r="BN619" s="14" t="s">
        <v>105</v>
      </c>
      <c r="BO619" s="14" t="s">
        <v>105</v>
      </c>
      <c r="BP619" s="14" t="s">
        <v>105</v>
      </c>
      <c r="BQ619" s="8" t="s">
        <v>93</v>
      </c>
      <c r="BR619" s="8" t="s">
        <v>93</v>
      </c>
      <c r="BS619" s="8" t="s">
        <v>93</v>
      </c>
      <c r="BT619" s="8" t="s">
        <v>93</v>
      </c>
      <c r="BU619" s="8" t="s">
        <v>92</v>
      </c>
      <c r="BV619" s="8" t="s">
        <v>92</v>
      </c>
      <c r="BW619" s="8" t="s">
        <v>93</v>
      </c>
      <c r="BX619" s="8" t="s">
        <v>92</v>
      </c>
      <c r="BY619" s="8" t="s">
        <v>92</v>
      </c>
      <c r="BZ619" s="8" t="s">
        <v>93</v>
      </c>
      <c r="CA619" s="8" t="s">
        <v>93</v>
      </c>
      <c r="CB619" s="20" t="s">
        <v>157</v>
      </c>
      <c r="CC619" s="20" t="s">
        <v>170</v>
      </c>
      <c r="CD619" s="18"/>
      <c r="CE619" s="18"/>
      <c r="CF619" s="18"/>
      <c r="CG619" s="18"/>
      <c r="CH619" s="18"/>
    </row>
    <row r="620">
      <c r="A620" s="8"/>
      <c r="B620" s="9" t="s">
        <v>2729</v>
      </c>
      <c r="C620" s="10" t="s">
        <v>2730</v>
      </c>
      <c r="D620" s="9" t="s">
        <v>2490</v>
      </c>
      <c r="E620" s="11" t="s">
        <v>2798</v>
      </c>
      <c r="F620" s="12"/>
      <c r="G620" s="14" t="s">
        <v>2799</v>
      </c>
      <c r="H620" s="14" t="s">
        <v>110</v>
      </c>
      <c r="I620" s="14" t="s">
        <v>2800</v>
      </c>
      <c r="J620" s="14" t="s">
        <v>93</v>
      </c>
      <c r="K620" s="14" t="s">
        <v>92</v>
      </c>
      <c r="L620" s="14" t="s">
        <v>93</v>
      </c>
      <c r="M620" s="14" t="s">
        <v>92</v>
      </c>
      <c r="N620" s="14" t="s">
        <v>92</v>
      </c>
      <c r="O620" s="14" t="s">
        <v>92</v>
      </c>
      <c r="P620" s="14" t="s">
        <v>92</v>
      </c>
      <c r="Q620" s="14" t="s">
        <v>92</v>
      </c>
      <c r="R620" s="14" t="s">
        <v>92</v>
      </c>
      <c r="S620" s="14" t="s">
        <v>93</v>
      </c>
      <c r="T620" s="14" t="s">
        <v>92</v>
      </c>
      <c r="U620" s="14" t="s">
        <v>92</v>
      </c>
      <c r="V620" s="14" t="s">
        <v>92</v>
      </c>
      <c r="W620" s="14" t="s">
        <v>92</v>
      </c>
      <c r="X620" s="14" t="s">
        <v>92</v>
      </c>
      <c r="Y620" s="14" t="s">
        <v>92</v>
      </c>
      <c r="Z620" s="14" t="s">
        <v>93</v>
      </c>
      <c r="AA620" s="14" t="s">
        <v>92</v>
      </c>
      <c r="AB620" s="8" t="s">
        <v>92</v>
      </c>
      <c r="AC620" s="8" t="s">
        <v>93</v>
      </c>
      <c r="AD620" s="8" t="s">
        <v>93</v>
      </c>
      <c r="AE620" s="14" t="s">
        <v>112</v>
      </c>
      <c r="AF620" s="14" t="s">
        <v>92</v>
      </c>
      <c r="AG620" s="14" t="s">
        <v>95</v>
      </c>
      <c r="AH620" s="8">
        <v>2014.0</v>
      </c>
      <c r="AI620" s="14" t="s">
        <v>93</v>
      </c>
      <c r="AJ620" s="14" t="s">
        <v>93</v>
      </c>
      <c r="AK620" s="14" t="s">
        <v>93</v>
      </c>
      <c r="AL620" s="14" t="s">
        <v>93</v>
      </c>
      <c r="AM620" s="8" t="s">
        <v>95</v>
      </c>
      <c r="AN620" s="14" t="s">
        <v>114</v>
      </c>
      <c r="AO620" s="8" t="s">
        <v>93</v>
      </c>
      <c r="AP620" s="8" t="s">
        <v>92</v>
      </c>
      <c r="AQ620" s="14" t="s">
        <v>92</v>
      </c>
      <c r="AR620" s="14" t="s">
        <v>93</v>
      </c>
      <c r="AS620" s="14" t="s">
        <v>92</v>
      </c>
      <c r="AT620" s="14" t="s">
        <v>92</v>
      </c>
      <c r="AU620" s="14" t="s">
        <v>92</v>
      </c>
      <c r="AV620" s="14" t="s">
        <v>93</v>
      </c>
      <c r="AW620" s="14" t="s">
        <v>93</v>
      </c>
      <c r="AX620" s="14" t="s">
        <v>93</v>
      </c>
      <c r="AY620" s="8" t="s">
        <v>2801</v>
      </c>
      <c r="AZ620" s="8" t="s">
        <v>92</v>
      </c>
      <c r="BA620" s="9" t="s">
        <v>2802</v>
      </c>
      <c r="BB620" s="8" t="s">
        <v>97</v>
      </c>
      <c r="BC620" s="8" t="s">
        <v>92</v>
      </c>
      <c r="BD620" s="14" t="s">
        <v>93</v>
      </c>
      <c r="BE620" s="14" t="s">
        <v>92</v>
      </c>
      <c r="BF620" s="14" t="s">
        <v>92</v>
      </c>
      <c r="BG620" s="14" t="s">
        <v>92</v>
      </c>
      <c r="BH620" s="14" t="s">
        <v>92</v>
      </c>
      <c r="BI620" s="14" t="s">
        <v>93</v>
      </c>
      <c r="BJ620" s="14" t="s">
        <v>92</v>
      </c>
      <c r="BK620" s="14" t="s">
        <v>105</v>
      </c>
      <c r="BL620" s="14" t="s">
        <v>105</v>
      </c>
      <c r="BM620" s="14" t="s">
        <v>105</v>
      </c>
      <c r="BN620" s="14" t="s">
        <v>105</v>
      </c>
      <c r="BO620" s="14" t="s">
        <v>105</v>
      </c>
      <c r="BP620" s="14" t="s">
        <v>105</v>
      </c>
      <c r="BQ620" s="8" t="s">
        <v>92</v>
      </c>
      <c r="BR620" s="8" t="s">
        <v>92</v>
      </c>
      <c r="BS620" s="8" t="s">
        <v>92</v>
      </c>
      <c r="BT620" s="8" t="s">
        <v>93</v>
      </c>
      <c r="BU620" s="8" t="s">
        <v>92</v>
      </c>
      <c r="BV620" s="8" t="s">
        <v>92</v>
      </c>
      <c r="BW620" s="8" t="s">
        <v>92</v>
      </c>
      <c r="BX620" s="8" t="s">
        <v>92</v>
      </c>
      <c r="BY620" s="8" t="s">
        <v>92</v>
      </c>
      <c r="BZ620" s="8" t="s">
        <v>93</v>
      </c>
      <c r="CA620" s="8" t="s">
        <v>92</v>
      </c>
      <c r="CB620" s="20" t="s">
        <v>157</v>
      </c>
      <c r="CC620" s="20" t="s">
        <v>170</v>
      </c>
      <c r="CD620" s="20" t="s">
        <v>1307</v>
      </c>
      <c r="CE620" s="20" t="s">
        <v>1371</v>
      </c>
      <c r="CF620" s="18"/>
      <c r="CG620" s="18"/>
      <c r="CH620" s="18"/>
    </row>
    <row r="621">
      <c r="A621" s="8"/>
      <c r="B621" s="9" t="s">
        <v>2729</v>
      </c>
      <c r="C621" s="10" t="s">
        <v>2730</v>
      </c>
      <c r="D621" s="9" t="s">
        <v>2490</v>
      </c>
      <c r="E621" s="11" t="s">
        <v>2803</v>
      </c>
      <c r="F621" s="12"/>
      <c r="G621" s="14" t="s">
        <v>2804</v>
      </c>
      <c r="H621" s="14" t="s">
        <v>110</v>
      </c>
      <c r="I621" s="14" t="s">
        <v>2805</v>
      </c>
      <c r="J621" s="14" t="s">
        <v>92</v>
      </c>
      <c r="K621" s="14" t="s">
        <v>92</v>
      </c>
      <c r="L621" s="14" t="s">
        <v>92</v>
      </c>
      <c r="M621" s="14" t="s">
        <v>92</v>
      </c>
      <c r="N621" s="14" t="s">
        <v>92</v>
      </c>
      <c r="O621" s="14" t="s">
        <v>92</v>
      </c>
      <c r="P621" s="14" t="s">
        <v>92</v>
      </c>
      <c r="Q621" s="14" t="s">
        <v>93</v>
      </c>
      <c r="R621" s="14" t="s">
        <v>92</v>
      </c>
      <c r="S621" s="14" t="s">
        <v>92</v>
      </c>
      <c r="T621" s="14" t="s">
        <v>92</v>
      </c>
      <c r="U621" s="14" t="s">
        <v>93</v>
      </c>
      <c r="V621" s="14" t="s">
        <v>92</v>
      </c>
      <c r="W621" s="14" t="s">
        <v>93</v>
      </c>
      <c r="X621" s="14" t="s">
        <v>92</v>
      </c>
      <c r="Y621" s="14" t="s">
        <v>92</v>
      </c>
      <c r="Z621" s="14" t="s">
        <v>92</v>
      </c>
      <c r="AA621" s="14" t="s">
        <v>92</v>
      </c>
      <c r="AB621" s="8" t="s">
        <v>93</v>
      </c>
      <c r="AC621" s="8" t="s">
        <v>92</v>
      </c>
      <c r="AD621" s="8" t="s">
        <v>92</v>
      </c>
      <c r="AE621" s="14" t="s">
        <v>94</v>
      </c>
      <c r="AF621" s="14" t="s">
        <v>92</v>
      </c>
      <c r="AG621" s="14" t="s">
        <v>95</v>
      </c>
      <c r="AH621" s="8">
        <v>2001.0</v>
      </c>
      <c r="AI621" s="14" t="s">
        <v>93</v>
      </c>
      <c r="AJ621" s="14" t="s">
        <v>93</v>
      </c>
      <c r="AK621" s="14" t="s">
        <v>93</v>
      </c>
      <c r="AL621" s="14" t="s">
        <v>93</v>
      </c>
      <c r="AM621" s="8" t="s">
        <v>95</v>
      </c>
      <c r="AN621" s="14" t="s">
        <v>114</v>
      </c>
      <c r="AO621" s="8" t="s">
        <v>93</v>
      </c>
      <c r="AP621" s="8" t="s">
        <v>92</v>
      </c>
      <c r="AQ621" s="14" t="s">
        <v>92</v>
      </c>
      <c r="AR621" s="14" t="s">
        <v>93</v>
      </c>
      <c r="AS621" s="14" t="s">
        <v>92</v>
      </c>
      <c r="AT621" s="14" t="s">
        <v>92</v>
      </c>
      <c r="AU621" s="14" t="s">
        <v>92</v>
      </c>
      <c r="AV621" s="14" t="s">
        <v>93</v>
      </c>
      <c r="AW621" s="14" t="s">
        <v>93</v>
      </c>
      <c r="AX621" s="14" t="s">
        <v>93</v>
      </c>
      <c r="AY621" s="8" t="s">
        <v>2806</v>
      </c>
      <c r="AZ621" s="8" t="s">
        <v>92</v>
      </c>
      <c r="BA621" s="9" t="s">
        <v>2802</v>
      </c>
      <c r="BB621" s="8" t="s">
        <v>97</v>
      </c>
      <c r="BC621" s="8" t="s">
        <v>92</v>
      </c>
      <c r="BD621" s="14" t="s">
        <v>92</v>
      </c>
      <c r="BE621" s="14" t="s">
        <v>92</v>
      </c>
      <c r="BF621" s="14" t="s">
        <v>92</v>
      </c>
      <c r="BG621" s="14" t="s">
        <v>92</v>
      </c>
      <c r="BH621" s="14" t="s">
        <v>92</v>
      </c>
      <c r="BI621" s="14" t="s">
        <v>93</v>
      </c>
      <c r="BJ621" s="14" t="s">
        <v>92</v>
      </c>
      <c r="BK621" s="14" t="s">
        <v>105</v>
      </c>
      <c r="BL621" s="14" t="s">
        <v>105</v>
      </c>
      <c r="BM621" s="14" t="s">
        <v>105</v>
      </c>
      <c r="BN621" s="14" t="s">
        <v>105</v>
      </c>
      <c r="BO621" s="14" t="s">
        <v>105</v>
      </c>
      <c r="BP621" s="14" t="s">
        <v>105</v>
      </c>
      <c r="BQ621" s="8" t="s">
        <v>93</v>
      </c>
      <c r="BR621" s="8" t="s">
        <v>92</v>
      </c>
      <c r="BS621" s="8" t="s">
        <v>92</v>
      </c>
      <c r="BT621" s="8" t="s">
        <v>92</v>
      </c>
      <c r="BU621" s="8" t="s">
        <v>92</v>
      </c>
      <c r="BV621" s="8" t="s">
        <v>92</v>
      </c>
      <c r="BW621" s="8" t="s">
        <v>93</v>
      </c>
      <c r="BX621" s="8" t="s">
        <v>92</v>
      </c>
      <c r="BY621" s="8" t="s">
        <v>92</v>
      </c>
      <c r="BZ621" s="8" t="s">
        <v>92</v>
      </c>
      <c r="CA621" s="8" t="s">
        <v>92</v>
      </c>
      <c r="CB621" s="20" t="s">
        <v>157</v>
      </c>
      <c r="CC621" s="20" t="s">
        <v>170</v>
      </c>
      <c r="CD621" s="20" t="s">
        <v>1307</v>
      </c>
      <c r="CE621" s="20" t="s">
        <v>1371</v>
      </c>
      <c r="CF621" s="18"/>
      <c r="CG621" s="18"/>
      <c r="CH621" s="18"/>
    </row>
    <row r="622">
      <c r="A622" s="8"/>
      <c r="B622" s="9" t="s">
        <v>2729</v>
      </c>
      <c r="C622" s="10" t="s">
        <v>2730</v>
      </c>
      <c r="D622" s="9" t="s">
        <v>2490</v>
      </c>
      <c r="E622" s="11" t="s">
        <v>2807</v>
      </c>
      <c r="F622" s="12"/>
      <c r="G622" s="14" t="s">
        <v>2808</v>
      </c>
      <c r="H622" s="14" t="s">
        <v>90</v>
      </c>
      <c r="I622" s="14" t="s">
        <v>2809</v>
      </c>
      <c r="J622" s="14" t="s">
        <v>92</v>
      </c>
      <c r="K622" s="14" t="s">
        <v>92</v>
      </c>
      <c r="L622" s="14" t="s">
        <v>92</v>
      </c>
      <c r="M622" s="14" t="s">
        <v>92</v>
      </c>
      <c r="N622" s="14" t="s">
        <v>92</v>
      </c>
      <c r="O622" s="14" t="s">
        <v>92</v>
      </c>
      <c r="P622" s="14" t="s">
        <v>92</v>
      </c>
      <c r="Q622" s="14" t="s">
        <v>92</v>
      </c>
      <c r="R622" s="14" t="s">
        <v>92</v>
      </c>
      <c r="S622" s="14" t="s">
        <v>92</v>
      </c>
      <c r="T622" s="14" t="s">
        <v>92</v>
      </c>
      <c r="U622" s="14" t="s">
        <v>92</v>
      </c>
      <c r="V622" s="14" t="s">
        <v>92</v>
      </c>
      <c r="W622" s="14" t="s">
        <v>92</v>
      </c>
      <c r="X622" s="14" t="s">
        <v>93</v>
      </c>
      <c r="Y622" s="14" t="s">
        <v>92</v>
      </c>
      <c r="Z622" s="14" t="s">
        <v>93</v>
      </c>
      <c r="AA622" s="14" t="s">
        <v>92</v>
      </c>
      <c r="AB622" s="8" t="s">
        <v>92</v>
      </c>
      <c r="AC622" s="8" t="s">
        <v>93</v>
      </c>
      <c r="AD622" s="8" t="s">
        <v>92</v>
      </c>
      <c r="AE622" s="14" t="s">
        <v>112</v>
      </c>
      <c r="AF622" s="14" t="s">
        <v>92</v>
      </c>
      <c r="AG622" s="14" t="s">
        <v>95</v>
      </c>
      <c r="AH622" s="8" t="s">
        <v>105</v>
      </c>
      <c r="AI622" s="14" t="s">
        <v>93</v>
      </c>
      <c r="AJ622" s="14" t="s">
        <v>93</v>
      </c>
      <c r="AK622" s="14" t="s">
        <v>93</v>
      </c>
      <c r="AL622" s="14" t="s">
        <v>93</v>
      </c>
      <c r="AM622" s="8" t="s">
        <v>95</v>
      </c>
      <c r="AN622" s="14" t="s">
        <v>114</v>
      </c>
      <c r="AO622" s="8" t="s">
        <v>93</v>
      </c>
      <c r="AP622" s="8" t="s">
        <v>92</v>
      </c>
      <c r="AQ622" s="14" t="s">
        <v>92</v>
      </c>
      <c r="AR622" s="14" t="s">
        <v>93</v>
      </c>
      <c r="AS622" s="14" t="s">
        <v>92</v>
      </c>
      <c r="AT622" s="14" t="s">
        <v>92</v>
      </c>
      <c r="AU622" s="14" t="s">
        <v>92</v>
      </c>
      <c r="AV622" s="14" t="s">
        <v>93</v>
      </c>
      <c r="AW622" s="14" t="s">
        <v>93</v>
      </c>
      <c r="AX622" s="14" t="s">
        <v>93</v>
      </c>
      <c r="AY622" s="8" t="s">
        <v>95</v>
      </c>
      <c r="AZ622" s="8" t="s">
        <v>95</v>
      </c>
      <c r="BA622" s="9" t="s">
        <v>2790</v>
      </c>
      <c r="BB622" s="8" t="s">
        <v>97</v>
      </c>
      <c r="BC622" s="8" t="s">
        <v>92</v>
      </c>
      <c r="BD622" s="14" t="s">
        <v>92</v>
      </c>
      <c r="BE622" s="14" t="s">
        <v>92</v>
      </c>
      <c r="BF622" s="14" t="s">
        <v>92</v>
      </c>
      <c r="BG622" s="14" t="s">
        <v>93</v>
      </c>
      <c r="BH622" s="14" t="s">
        <v>92</v>
      </c>
      <c r="BI622" s="14" t="s">
        <v>92</v>
      </c>
      <c r="BJ622" s="14" t="s">
        <v>92</v>
      </c>
      <c r="BK622" s="14" t="s">
        <v>105</v>
      </c>
      <c r="BL622" s="14" t="s">
        <v>105</v>
      </c>
      <c r="BM622" s="14" t="s">
        <v>105</v>
      </c>
      <c r="BN622" s="14" t="s">
        <v>105</v>
      </c>
      <c r="BO622" s="14" t="s">
        <v>105</v>
      </c>
      <c r="BP622" s="14" t="s">
        <v>105</v>
      </c>
      <c r="BQ622" s="8" t="s">
        <v>92</v>
      </c>
      <c r="BR622" s="8" t="s">
        <v>92</v>
      </c>
      <c r="BS622" s="8" t="s">
        <v>92</v>
      </c>
      <c r="BT622" s="8" t="s">
        <v>93</v>
      </c>
      <c r="BU622" s="8" t="s">
        <v>92</v>
      </c>
      <c r="BV622" s="8" t="s">
        <v>92</v>
      </c>
      <c r="BW622" s="8" t="s">
        <v>92</v>
      </c>
      <c r="BX622" s="8" t="s">
        <v>92</v>
      </c>
      <c r="BY622" s="8" t="s">
        <v>93</v>
      </c>
      <c r="BZ622" s="8" t="s">
        <v>92</v>
      </c>
      <c r="CA622" s="8" t="s">
        <v>92</v>
      </c>
      <c r="CB622" s="20" t="s">
        <v>157</v>
      </c>
      <c r="CC622" s="20" t="s">
        <v>170</v>
      </c>
      <c r="CD622" s="20" t="s">
        <v>1307</v>
      </c>
      <c r="CE622" s="20" t="s">
        <v>1371</v>
      </c>
      <c r="CF622" s="18"/>
      <c r="CG622" s="18"/>
      <c r="CH622" s="18"/>
    </row>
    <row r="623">
      <c r="A623" s="8"/>
      <c r="B623" s="43" t="s">
        <v>2729</v>
      </c>
      <c r="C623" s="10" t="s">
        <v>2730</v>
      </c>
      <c r="D623" s="9" t="s">
        <v>2490</v>
      </c>
      <c r="E623" s="11" t="s">
        <v>2810</v>
      </c>
      <c r="F623" s="12"/>
      <c r="G623" s="14" t="s">
        <v>2811</v>
      </c>
      <c r="H623" s="14" t="s">
        <v>90</v>
      </c>
      <c r="I623" s="14" t="s">
        <v>2812</v>
      </c>
      <c r="J623" s="14" t="s">
        <v>93</v>
      </c>
      <c r="K623" s="14" t="s">
        <v>92</v>
      </c>
      <c r="L623" s="14" t="s">
        <v>93</v>
      </c>
      <c r="M623" s="14" t="s">
        <v>92</v>
      </c>
      <c r="N623" s="14" t="s">
        <v>92</v>
      </c>
      <c r="O623" s="14" t="s">
        <v>92</v>
      </c>
      <c r="P623" s="14" t="s">
        <v>92</v>
      </c>
      <c r="Q623" s="14" t="s">
        <v>92</v>
      </c>
      <c r="R623" s="14" t="s">
        <v>92</v>
      </c>
      <c r="S623" s="14" t="s">
        <v>93</v>
      </c>
      <c r="T623" s="14" t="s">
        <v>92</v>
      </c>
      <c r="U623" s="14" t="s">
        <v>92</v>
      </c>
      <c r="V623" s="14" t="s">
        <v>92</v>
      </c>
      <c r="W623" s="14" t="s">
        <v>92</v>
      </c>
      <c r="X623" s="14" t="s">
        <v>92</v>
      </c>
      <c r="Y623" s="14" t="s">
        <v>92</v>
      </c>
      <c r="Z623" s="14" t="s">
        <v>93</v>
      </c>
      <c r="AA623" s="14" t="s">
        <v>92</v>
      </c>
      <c r="AB623" s="8" t="s">
        <v>93</v>
      </c>
      <c r="AC623" s="8" t="s">
        <v>93</v>
      </c>
      <c r="AD623" s="8" t="s">
        <v>92</v>
      </c>
      <c r="AE623" s="14" t="s">
        <v>112</v>
      </c>
      <c r="AF623" s="14" t="s">
        <v>92</v>
      </c>
      <c r="AG623" s="14" t="s">
        <v>95</v>
      </c>
      <c r="AH623" s="8" t="s">
        <v>105</v>
      </c>
      <c r="AI623" s="14" t="s">
        <v>93</v>
      </c>
      <c r="AJ623" s="14" t="s">
        <v>93</v>
      </c>
      <c r="AK623" s="14" t="s">
        <v>93</v>
      </c>
      <c r="AL623" s="14" t="s">
        <v>93</v>
      </c>
      <c r="AM623" s="8" t="s">
        <v>95</v>
      </c>
      <c r="AN623" s="14" t="s">
        <v>114</v>
      </c>
      <c r="AO623" s="8" t="s">
        <v>93</v>
      </c>
      <c r="AP623" s="8" t="s">
        <v>92</v>
      </c>
      <c r="AQ623" s="14" t="s">
        <v>92</v>
      </c>
      <c r="AR623" s="14" t="s">
        <v>93</v>
      </c>
      <c r="AS623" s="14" t="s">
        <v>92</v>
      </c>
      <c r="AT623" s="14" t="s">
        <v>92</v>
      </c>
      <c r="AU623" s="14" t="s">
        <v>92</v>
      </c>
      <c r="AV623" s="14" t="s">
        <v>93</v>
      </c>
      <c r="AW623" s="14" t="s">
        <v>93</v>
      </c>
      <c r="AX623" s="14" t="s">
        <v>93</v>
      </c>
      <c r="AY623" s="8" t="s">
        <v>95</v>
      </c>
      <c r="AZ623" s="8" t="s">
        <v>95</v>
      </c>
      <c r="BA623" s="9" t="s">
        <v>2729</v>
      </c>
      <c r="BB623" s="8" t="s">
        <v>97</v>
      </c>
      <c r="BC623" s="8" t="s">
        <v>92</v>
      </c>
      <c r="BD623" s="14" t="s">
        <v>93</v>
      </c>
      <c r="BE623" s="14" t="s">
        <v>92</v>
      </c>
      <c r="BF623" s="14" t="s">
        <v>92</v>
      </c>
      <c r="BG623" s="14" t="s">
        <v>92</v>
      </c>
      <c r="BH623" s="14" t="s">
        <v>93</v>
      </c>
      <c r="BI623" s="14" t="s">
        <v>92</v>
      </c>
      <c r="BJ623" s="14" t="s">
        <v>92</v>
      </c>
      <c r="BK623" s="14" t="s">
        <v>105</v>
      </c>
      <c r="BL623" s="14" t="s">
        <v>105</v>
      </c>
      <c r="BM623" s="14" t="s">
        <v>105</v>
      </c>
      <c r="BN623" s="14" t="s">
        <v>105</v>
      </c>
      <c r="BO623" s="14" t="s">
        <v>105</v>
      </c>
      <c r="BP623" s="14" t="s">
        <v>105</v>
      </c>
      <c r="BQ623" s="8" t="s">
        <v>92</v>
      </c>
      <c r="BR623" s="8" t="s">
        <v>92</v>
      </c>
      <c r="BS623" s="8" t="s">
        <v>93</v>
      </c>
      <c r="BT623" s="8" t="s">
        <v>93</v>
      </c>
      <c r="BU623" s="8" t="s">
        <v>92</v>
      </c>
      <c r="BV623" s="8" t="s">
        <v>93</v>
      </c>
      <c r="BW623" s="8" t="s">
        <v>92</v>
      </c>
      <c r="BX623" s="8" t="s">
        <v>92</v>
      </c>
      <c r="BY623" s="8" t="s">
        <v>92</v>
      </c>
      <c r="BZ623" s="8" t="s">
        <v>93</v>
      </c>
      <c r="CA623" s="8" t="s">
        <v>92</v>
      </c>
      <c r="CB623" s="20" t="s">
        <v>157</v>
      </c>
      <c r="CC623" s="20" t="s">
        <v>170</v>
      </c>
      <c r="CD623" s="20" t="s">
        <v>1307</v>
      </c>
      <c r="CE623" s="20" t="s">
        <v>1371</v>
      </c>
      <c r="CF623" s="18"/>
      <c r="CG623" s="18"/>
      <c r="CH623" s="18"/>
    </row>
    <row r="624">
      <c r="A624" s="8"/>
      <c r="B624" s="43" t="s">
        <v>2729</v>
      </c>
      <c r="C624" s="10" t="s">
        <v>2730</v>
      </c>
      <c r="D624" s="9" t="s">
        <v>2490</v>
      </c>
      <c r="E624" s="11" t="s">
        <v>2813</v>
      </c>
      <c r="F624" s="12"/>
      <c r="G624" s="14" t="s">
        <v>2814</v>
      </c>
      <c r="H624" s="14" t="s">
        <v>189</v>
      </c>
      <c r="I624" s="14" t="s">
        <v>2815</v>
      </c>
      <c r="J624" s="14" t="s">
        <v>92</v>
      </c>
      <c r="K624" s="14" t="s">
        <v>92</v>
      </c>
      <c r="L624" s="14" t="s">
        <v>92</v>
      </c>
      <c r="M624" s="14" t="s">
        <v>92</v>
      </c>
      <c r="N624" s="14" t="s">
        <v>93</v>
      </c>
      <c r="O624" s="14" t="s">
        <v>92</v>
      </c>
      <c r="P624" s="14" t="s">
        <v>92</v>
      </c>
      <c r="Q624" s="14" t="s">
        <v>92</v>
      </c>
      <c r="R624" s="14" t="s">
        <v>92</v>
      </c>
      <c r="S624" s="14" t="s">
        <v>92</v>
      </c>
      <c r="T624" s="14" t="s">
        <v>93</v>
      </c>
      <c r="U624" s="14" t="s">
        <v>92</v>
      </c>
      <c r="V624" s="14" t="s">
        <v>92</v>
      </c>
      <c r="W624" s="14" t="s">
        <v>92</v>
      </c>
      <c r="X624" s="14" t="s">
        <v>92</v>
      </c>
      <c r="Y624" s="14" t="s">
        <v>92</v>
      </c>
      <c r="Z624" s="14" t="s">
        <v>92</v>
      </c>
      <c r="AA624" s="14" t="s">
        <v>92</v>
      </c>
      <c r="AB624" s="8" t="s">
        <v>93</v>
      </c>
      <c r="AC624" s="8" t="s">
        <v>92</v>
      </c>
      <c r="AD624" s="8" t="s">
        <v>92</v>
      </c>
      <c r="AE624" s="14" t="s">
        <v>103</v>
      </c>
      <c r="AF624" s="14" t="s">
        <v>92</v>
      </c>
      <c r="AG624" s="14" t="s">
        <v>95</v>
      </c>
      <c r="AH624" s="8">
        <v>2020.0</v>
      </c>
      <c r="AI624" s="14" t="s">
        <v>93</v>
      </c>
      <c r="AJ624" s="14" t="s">
        <v>92</v>
      </c>
      <c r="AK624" s="14" t="s">
        <v>92</v>
      </c>
      <c r="AL624" s="14" t="s">
        <v>92</v>
      </c>
      <c r="AM624" s="8">
        <v>2020.0</v>
      </c>
      <c r="AN624" s="14" t="s">
        <v>96</v>
      </c>
      <c r="AO624" s="8" t="s">
        <v>92</v>
      </c>
      <c r="AP624" s="8" t="s">
        <v>92</v>
      </c>
      <c r="AQ624" s="14" t="s">
        <v>92</v>
      </c>
      <c r="AR624" s="14" t="s">
        <v>93</v>
      </c>
      <c r="AS624" s="14" t="s">
        <v>92</v>
      </c>
      <c r="AT624" s="14" t="s">
        <v>92</v>
      </c>
      <c r="AU624" s="14" t="s">
        <v>92</v>
      </c>
      <c r="AV624" s="14" t="s">
        <v>93</v>
      </c>
      <c r="AW624" s="14" t="s">
        <v>93</v>
      </c>
      <c r="AX624" s="14" t="s">
        <v>93</v>
      </c>
      <c r="AY624" s="8" t="s">
        <v>95</v>
      </c>
      <c r="AZ624" s="8" t="s">
        <v>95</v>
      </c>
      <c r="BA624" s="9" t="s">
        <v>2816</v>
      </c>
      <c r="BB624" s="8" t="s">
        <v>97</v>
      </c>
      <c r="BC624" s="8" t="s">
        <v>92</v>
      </c>
      <c r="BD624" s="14" t="s">
        <v>92</v>
      </c>
      <c r="BE624" s="14" t="s">
        <v>92</v>
      </c>
      <c r="BF624" s="14" t="s">
        <v>92</v>
      </c>
      <c r="BG624" s="14" t="s">
        <v>92</v>
      </c>
      <c r="BH624" s="14" t="s">
        <v>92</v>
      </c>
      <c r="BI624" s="14" t="s">
        <v>93</v>
      </c>
      <c r="BJ624" s="14" t="s">
        <v>92</v>
      </c>
      <c r="BK624" s="14" t="s">
        <v>105</v>
      </c>
      <c r="BL624" s="14" t="s">
        <v>105</v>
      </c>
      <c r="BM624" s="14" t="s">
        <v>105</v>
      </c>
      <c r="BN624" s="14" t="s">
        <v>105</v>
      </c>
      <c r="BO624" s="14" t="s">
        <v>105</v>
      </c>
      <c r="BP624" s="14" t="s">
        <v>105</v>
      </c>
      <c r="BQ624" s="8" t="s">
        <v>92</v>
      </c>
      <c r="BR624" s="8" t="s">
        <v>93</v>
      </c>
      <c r="BS624" s="8" t="s">
        <v>92</v>
      </c>
      <c r="BT624" s="8" t="s">
        <v>92</v>
      </c>
      <c r="BU624" s="8" t="s">
        <v>92</v>
      </c>
      <c r="BV624" s="8" t="s">
        <v>92</v>
      </c>
      <c r="BW624" s="8" t="s">
        <v>92</v>
      </c>
      <c r="BX624" s="8" t="s">
        <v>92</v>
      </c>
      <c r="BY624" s="8" t="s">
        <v>92</v>
      </c>
      <c r="BZ624" s="8" t="s">
        <v>92</v>
      </c>
      <c r="CA624" s="8" t="s">
        <v>92</v>
      </c>
      <c r="CB624" s="20" t="s">
        <v>157</v>
      </c>
      <c r="CC624" s="31"/>
      <c r="CD624" s="18"/>
      <c r="CE624" s="18"/>
      <c r="CF624" s="18"/>
      <c r="CG624" s="18"/>
      <c r="CH624" s="18"/>
    </row>
    <row r="625">
      <c r="A625" s="8"/>
      <c r="B625" s="9" t="s">
        <v>2729</v>
      </c>
      <c r="C625" s="10" t="s">
        <v>2730</v>
      </c>
      <c r="D625" s="9" t="s">
        <v>2490</v>
      </c>
      <c r="E625" s="11" t="s">
        <v>2817</v>
      </c>
      <c r="F625" s="12"/>
      <c r="G625" s="14" t="s">
        <v>2818</v>
      </c>
      <c r="H625" s="14" t="s">
        <v>90</v>
      </c>
      <c r="I625" s="14" t="s">
        <v>2819</v>
      </c>
      <c r="J625" s="14" t="s">
        <v>92</v>
      </c>
      <c r="K625" s="14" t="s">
        <v>93</v>
      </c>
      <c r="L625" s="14" t="s">
        <v>93</v>
      </c>
      <c r="M625" s="14" t="s">
        <v>92</v>
      </c>
      <c r="N625" s="14" t="s">
        <v>92</v>
      </c>
      <c r="O625" s="14" t="s">
        <v>92</v>
      </c>
      <c r="P625" s="14" t="s">
        <v>92</v>
      </c>
      <c r="Q625" s="14" t="s">
        <v>93</v>
      </c>
      <c r="R625" s="14" t="s">
        <v>92</v>
      </c>
      <c r="S625" s="14" t="s">
        <v>92</v>
      </c>
      <c r="T625" s="14" t="s">
        <v>92</v>
      </c>
      <c r="U625" s="14" t="s">
        <v>93</v>
      </c>
      <c r="V625" s="14" t="s">
        <v>92</v>
      </c>
      <c r="W625" s="14" t="s">
        <v>92</v>
      </c>
      <c r="X625" s="14" t="s">
        <v>92</v>
      </c>
      <c r="Y625" s="14" t="s">
        <v>92</v>
      </c>
      <c r="Z625" s="14" t="s">
        <v>92</v>
      </c>
      <c r="AA625" s="14" t="s">
        <v>92</v>
      </c>
      <c r="AB625" s="8" t="s">
        <v>93</v>
      </c>
      <c r="AC625" s="8" t="s">
        <v>92</v>
      </c>
      <c r="AD625" s="8" t="s">
        <v>92</v>
      </c>
      <c r="AE625" s="14" t="s">
        <v>148</v>
      </c>
      <c r="AF625" s="14" t="s">
        <v>93</v>
      </c>
      <c r="AG625" s="14" t="s">
        <v>2820</v>
      </c>
      <c r="AH625" s="8" t="s">
        <v>105</v>
      </c>
      <c r="AI625" s="14" t="s">
        <v>93</v>
      </c>
      <c r="AJ625" s="14" t="s">
        <v>92</v>
      </c>
      <c r="AK625" s="14" t="s">
        <v>92</v>
      </c>
      <c r="AL625" s="14" t="s">
        <v>92</v>
      </c>
      <c r="AM625" s="8" t="s">
        <v>105</v>
      </c>
      <c r="AN625" s="14" t="s">
        <v>105</v>
      </c>
      <c r="AO625" s="8" t="s">
        <v>105</v>
      </c>
      <c r="AP625" s="8" t="s">
        <v>93</v>
      </c>
      <c r="AQ625" s="14" t="s">
        <v>92</v>
      </c>
      <c r="AR625" s="14" t="s">
        <v>93</v>
      </c>
      <c r="AS625" s="14" t="s">
        <v>92</v>
      </c>
      <c r="AT625" s="14" t="s">
        <v>92</v>
      </c>
      <c r="AU625" s="14" t="s">
        <v>92</v>
      </c>
      <c r="AV625" s="14" t="s">
        <v>93</v>
      </c>
      <c r="AW625" s="14" t="s">
        <v>93</v>
      </c>
      <c r="AX625" s="14" t="s">
        <v>93</v>
      </c>
      <c r="AY625" s="8" t="s">
        <v>2740</v>
      </c>
      <c r="AZ625" s="8" t="s">
        <v>92</v>
      </c>
      <c r="BA625" s="9" t="s">
        <v>2821</v>
      </c>
      <c r="BB625" s="8" t="s">
        <v>95</v>
      </c>
      <c r="BC625" s="8" t="s">
        <v>93</v>
      </c>
      <c r="BD625" s="14" t="s">
        <v>92</v>
      </c>
      <c r="BE625" s="14" t="s">
        <v>92</v>
      </c>
      <c r="BF625" s="14" t="s">
        <v>92</v>
      </c>
      <c r="BG625" s="14" t="s">
        <v>92</v>
      </c>
      <c r="BH625" s="14" t="s">
        <v>92</v>
      </c>
      <c r="BI625" s="14" t="s">
        <v>93</v>
      </c>
      <c r="BJ625" s="14" t="s">
        <v>92</v>
      </c>
      <c r="BK625" s="14" t="s">
        <v>105</v>
      </c>
      <c r="BL625" s="14" t="s">
        <v>105</v>
      </c>
      <c r="BM625" s="14" t="s">
        <v>105</v>
      </c>
      <c r="BN625" s="14" t="s">
        <v>105</v>
      </c>
      <c r="BO625" s="14" t="s">
        <v>105</v>
      </c>
      <c r="BP625" s="14" t="s">
        <v>105</v>
      </c>
      <c r="BQ625" s="8" t="s">
        <v>93</v>
      </c>
      <c r="BR625" s="8" t="s">
        <v>92</v>
      </c>
      <c r="BS625" s="8" t="s">
        <v>92</v>
      </c>
      <c r="BT625" s="8" t="s">
        <v>92</v>
      </c>
      <c r="BU625" s="8" t="s">
        <v>92</v>
      </c>
      <c r="BV625" s="8" t="s">
        <v>92</v>
      </c>
      <c r="BW625" s="8" t="s">
        <v>92</v>
      </c>
      <c r="BX625" s="8" t="s">
        <v>92</v>
      </c>
      <c r="BY625" s="8" t="s">
        <v>92</v>
      </c>
      <c r="BZ625" s="8" t="s">
        <v>92</v>
      </c>
      <c r="CA625" s="8" t="s">
        <v>92</v>
      </c>
      <c r="CB625" s="20" t="s">
        <v>157</v>
      </c>
      <c r="CC625" s="17"/>
      <c r="CD625" s="18"/>
      <c r="CE625" s="18"/>
      <c r="CF625" s="18"/>
      <c r="CG625" s="18"/>
      <c r="CH625" s="18"/>
    </row>
    <row r="626">
      <c r="A626" s="8"/>
      <c r="B626" s="9" t="s">
        <v>2729</v>
      </c>
      <c r="C626" s="10" t="s">
        <v>2730</v>
      </c>
      <c r="D626" s="9" t="s">
        <v>2490</v>
      </c>
      <c r="E626" s="11" t="s">
        <v>2822</v>
      </c>
      <c r="F626" s="12"/>
      <c r="G626" s="14" t="s">
        <v>2823</v>
      </c>
      <c r="H626" s="14" t="s">
        <v>90</v>
      </c>
      <c r="I626" s="14" t="s">
        <v>2824</v>
      </c>
      <c r="J626" s="14" t="s">
        <v>92</v>
      </c>
      <c r="K626" s="14" t="s">
        <v>92</v>
      </c>
      <c r="L626" s="14" t="s">
        <v>92</v>
      </c>
      <c r="M626" s="14" t="s">
        <v>92</v>
      </c>
      <c r="N626" s="14" t="s">
        <v>92</v>
      </c>
      <c r="O626" s="14" t="s">
        <v>92</v>
      </c>
      <c r="P626" s="14" t="s">
        <v>92</v>
      </c>
      <c r="Q626" s="14" t="s">
        <v>92</v>
      </c>
      <c r="R626" s="14" t="s">
        <v>93</v>
      </c>
      <c r="S626" s="14" t="s">
        <v>92</v>
      </c>
      <c r="T626" s="14" t="s">
        <v>93</v>
      </c>
      <c r="U626" s="14" t="s">
        <v>92</v>
      </c>
      <c r="V626" s="14" t="s">
        <v>92</v>
      </c>
      <c r="W626" s="14" t="s">
        <v>92</v>
      </c>
      <c r="X626" s="14" t="s">
        <v>92</v>
      </c>
      <c r="Y626" s="14" t="s">
        <v>92</v>
      </c>
      <c r="Z626" s="14" t="s">
        <v>92</v>
      </c>
      <c r="AA626" s="14" t="s">
        <v>92</v>
      </c>
      <c r="AB626" s="8" t="s">
        <v>93</v>
      </c>
      <c r="AC626" s="8" t="s">
        <v>92</v>
      </c>
      <c r="AD626" s="8" t="s">
        <v>92</v>
      </c>
      <c r="AE626" s="14" t="s">
        <v>103</v>
      </c>
      <c r="AF626" s="14" t="s">
        <v>92</v>
      </c>
      <c r="AG626" s="14" t="s">
        <v>95</v>
      </c>
      <c r="AH626" s="8" t="s">
        <v>105</v>
      </c>
      <c r="AI626" s="14" t="s">
        <v>92</v>
      </c>
      <c r="AJ626" s="14" t="s">
        <v>93</v>
      </c>
      <c r="AK626" s="14" t="s">
        <v>92</v>
      </c>
      <c r="AL626" s="14" t="s">
        <v>92</v>
      </c>
      <c r="AM626" s="8" t="s">
        <v>105</v>
      </c>
      <c r="AN626" s="14" t="s">
        <v>105</v>
      </c>
      <c r="AO626" s="8" t="s">
        <v>105</v>
      </c>
      <c r="AP626" s="8" t="s">
        <v>92</v>
      </c>
      <c r="AQ626" s="14" t="s">
        <v>92</v>
      </c>
      <c r="AR626" s="14" t="s">
        <v>93</v>
      </c>
      <c r="AS626" s="14" t="s">
        <v>92</v>
      </c>
      <c r="AT626" s="14" t="s">
        <v>92</v>
      </c>
      <c r="AU626" s="14" t="s">
        <v>92</v>
      </c>
      <c r="AV626" s="14" t="s">
        <v>93</v>
      </c>
      <c r="AW626" s="14" t="s">
        <v>93</v>
      </c>
      <c r="AX626" s="14" t="s">
        <v>93</v>
      </c>
      <c r="AY626" s="8" t="s">
        <v>95</v>
      </c>
      <c r="AZ626" s="8" t="s">
        <v>95</v>
      </c>
      <c r="BA626" s="9" t="s">
        <v>2729</v>
      </c>
      <c r="BB626" s="8" t="s">
        <v>97</v>
      </c>
      <c r="BC626" s="8" t="s">
        <v>92</v>
      </c>
      <c r="BD626" s="14" t="s">
        <v>92</v>
      </c>
      <c r="BE626" s="14" t="s">
        <v>92</v>
      </c>
      <c r="BF626" s="14" t="s">
        <v>92</v>
      </c>
      <c r="BG626" s="14" t="s">
        <v>92</v>
      </c>
      <c r="BH626" s="14" t="s">
        <v>92</v>
      </c>
      <c r="BI626" s="14" t="s">
        <v>93</v>
      </c>
      <c r="BJ626" s="14" t="s">
        <v>92</v>
      </c>
      <c r="BK626" s="14" t="s">
        <v>105</v>
      </c>
      <c r="BL626" s="14" t="s">
        <v>105</v>
      </c>
      <c r="BM626" s="14" t="s">
        <v>105</v>
      </c>
      <c r="BN626" s="14" t="s">
        <v>105</v>
      </c>
      <c r="BO626" s="14" t="s">
        <v>105</v>
      </c>
      <c r="BP626" s="14" t="s">
        <v>105</v>
      </c>
      <c r="BQ626" s="8" t="s">
        <v>92</v>
      </c>
      <c r="BR626" s="8" t="s">
        <v>93</v>
      </c>
      <c r="BS626" s="8" t="s">
        <v>92</v>
      </c>
      <c r="BT626" s="8" t="s">
        <v>92</v>
      </c>
      <c r="BU626" s="8" t="s">
        <v>92</v>
      </c>
      <c r="BV626" s="8" t="s">
        <v>92</v>
      </c>
      <c r="BW626" s="8" t="s">
        <v>92</v>
      </c>
      <c r="BX626" s="8" t="s">
        <v>92</v>
      </c>
      <c r="BY626" s="8" t="s">
        <v>92</v>
      </c>
      <c r="BZ626" s="8" t="s">
        <v>92</v>
      </c>
      <c r="CA626" s="8" t="s">
        <v>92</v>
      </c>
      <c r="CB626" s="20" t="s">
        <v>170</v>
      </c>
      <c r="CC626" s="17"/>
      <c r="CD626" s="18"/>
      <c r="CE626" s="18"/>
      <c r="CF626" s="18"/>
      <c r="CG626" s="18"/>
      <c r="CH626" s="18"/>
    </row>
    <row r="627">
      <c r="A627" s="8"/>
      <c r="B627" s="9" t="s">
        <v>2729</v>
      </c>
      <c r="C627" s="10" t="s">
        <v>2730</v>
      </c>
      <c r="D627" s="9" t="s">
        <v>2490</v>
      </c>
      <c r="E627" s="11" t="s">
        <v>2825</v>
      </c>
      <c r="F627" s="12"/>
      <c r="G627" s="14" t="s">
        <v>2826</v>
      </c>
      <c r="H627" s="14" t="s">
        <v>110</v>
      </c>
      <c r="I627" s="14" t="s">
        <v>2827</v>
      </c>
      <c r="J627" s="14" t="s">
        <v>92</v>
      </c>
      <c r="K627" s="14" t="s">
        <v>92</v>
      </c>
      <c r="L627" s="14" t="s">
        <v>93</v>
      </c>
      <c r="M627" s="14" t="s">
        <v>92</v>
      </c>
      <c r="N627" s="14" t="s">
        <v>92</v>
      </c>
      <c r="O627" s="14" t="s">
        <v>92</v>
      </c>
      <c r="P627" s="14" t="s">
        <v>92</v>
      </c>
      <c r="Q627" s="14" t="s">
        <v>92</v>
      </c>
      <c r="R627" s="14" t="s">
        <v>92</v>
      </c>
      <c r="S627" s="14" t="s">
        <v>93</v>
      </c>
      <c r="T627" s="14" t="s">
        <v>92</v>
      </c>
      <c r="U627" s="14" t="s">
        <v>92</v>
      </c>
      <c r="V627" s="14" t="s">
        <v>92</v>
      </c>
      <c r="W627" s="14" t="s">
        <v>92</v>
      </c>
      <c r="X627" s="14" t="s">
        <v>92</v>
      </c>
      <c r="Y627" s="14" t="s">
        <v>92</v>
      </c>
      <c r="Z627" s="14" t="s">
        <v>93</v>
      </c>
      <c r="AA627" s="14" t="s">
        <v>92</v>
      </c>
      <c r="AB627" s="8" t="s">
        <v>93</v>
      </c>
      <c r="AC627" s="8" t="s">
        <v>93</v>
      </c>
      <c r="AD627" s="8" t="s">
        <v>92</v>
      </c>
      <c r="AE627" s="14" t="s">
        <v>1135</v>
      </c>
      <c r="AF627" s="14" t="s">
        <v>92</v>
      </c>
      <c r="AG627" s="14" t="s">
        <v>95</v>
      </c>
      <c r="AH627" s="8">
        <v>2020.0</v>
      </c>
      <c r="AI627" s="14" t="s">
        <v>93</v>
      </c>
      <c r="AJ627" s="14" t="s">
        <v>93</v>
      </c>
      <c r="AK627" s="14" t="s">
        <v>93</v>
      </c>
      <c r="AL627" s="14" t="s">
        <v>92</v>
      </c>
      <c r="AM627" s="8" t="s">
        <v>105</v>
      </c>
      <c r="AN627" s="14" t="s">
        <v>105</v>
      </c>
      <c r="AO627" s="8" t="s">
        <v>93</v>
      </c>
      <c r="AP627" s="8" t="s">
        <v>92</v>
      </c>
      <c r="AQ627" s="14" t="s">
        <v>92</v>
      </c>
      <c r="AR627" s="14" t="s">
        <v>93</v>
      </c>
      <c r="AS627" s="14" t="s">
        <v>92</v>
      </c>
      <c r="AT627" s="14" t="s">
        <v>92</v>
      </c>
      <c r="AU627" s="14" t="s">
        <v>92</v>
      </c>
      <c r="AV627" s="14" t="s">
        <v>93</v>
      </c>
      <c r="AW627" s="14" t="s">
        <v>93</v>
      </c>
      <c r="AX627" s="14" t="s">
        <v>93</v>
      </c>
      <c r="AY627" s="8" t="s">
        <v>2828</v>
      </c>
      <c r="AZ627" s="8" t="s">
        <v>92</v>
      </c>
      <c r="BA627" s="9" t="s">
        <v>2729</v>
      </c>
      <c r="BB627" s="8" t="s">
        <v>97</v>
      </c>
      <c r="BC627" s="8" t="s">
        <v>92</v>
      </c>
      <c r="BD627" s="14" t="s">
        <v>93</v>
      </c>
      <c r="BE627" s="14" t="s">
        <v>92</v>
      </c>
      <c r="BF627" s="14" t="s">
        <v>92</v>
      </c>
      <c r="BG627" s="14" t="s">
        <v>92</v>
      </c>
      <c r="BH627" s="14" t="s">
        <v>92</v>
      </c>
      <c r="BI627" s="14" t="s">
        <v>92</v>
      </c>
      <c r="BJ627" s="14" t="s">
        <v>92</v>
      </c>
      <c r="BK627" s="14" t="s">
        <v>105</v>
      </c>
      <c r="BL627" s="14" t="s">
        <v>105</v>
      </c>
      <c r="BM627" s="14" t="s">
        <v>105</v>
      </c>
      <c r="BN627" s="14" t="s">
        <v>105</v>
      </c>
      <c r="BO627" s="14" t="s">
        <v>105</v>
      </c>
      <c r="BP627" s="14" t="s">
        <v>105</v>
      </c>
      <c r="BQ627" s="8" t="s">
        <v>92</v>
      </c>
      <c r="BR627" s="8" t="s">
        <v>92</v>
      </c>
      <c r="BS627" s="8" t="s">
        <v>93</v>
      </c>
      <c r="BT627" s="8" t="s">
        <v>93</v>
      </c>
      <c r="BU627" s="8" t="s">
        <v>92</v>
      </c>
      <c r="BV627" s="8" t="s">
        <v>92</v>
      </c>
      <c r="BW627" s="8" t="s">
        <v>92</v>
      </c>
      <c r="BX627" s="8" t="s">
        <v>92</v>
      </c>
      <c r="BY627" s="8" t="s">
        <v>92</v>
      </c>
      <c r="BZ627" s="8" t="s">
        <v>93</v>
      </c>
      <c r="CA627" s="8" t="s">
        <v>92</v>
      </c>
      <c r="CB627" s="20" t="s">
        <v>170</v>
      </c>
      <c r="CC627" s="20" t="s">
        <v>1307</v>
      </c>
      <c r="CD627" s="18"/>
      <c r="CE627" s="18"/>
      <c r="CF627" s="18"/>
      <c r="CG627" s="18"/>
      <c r="CH627" s="18"/>
    </row>
    <row r="628">
      <c r="A628" s="8"/>
      <c r="B628" s="9" t="s">
        <v>2729</v>
      </c>
      <c r="C628" s="10" t="s">
        <v>2730</v>
      </c>
      <c r="D628" s="9" t="s">
        <v>2490</v>
      </c>
      <c r="E628" s="11" t="s">
        <v>2829</v>
      </c>
      <c r="F628" s="12"/>
      <c r="G628" s="14" t="s">
        <v>2830</v>
      </c>
      <c r="H628" s="14" t="s">
        <v>110</v>
      </c>
      <c r="I628" s="14" t="s">
        <v>2831</v>
      </c>
      <c r="J628" s="14" t="s">
        <v>92</v>
      </c>
      <c r="K628" s="14" t="s">
        <v>92</v>
      </c>
      <c r="L628" s="14" t="s">
        <v>92</v>
      </c>
      <c r="M628" s="14" t="s">
        <v>93</v>
      </c>
      <c r="N628" s="14" t="s">
        <v>92</v>
      </c>
      <c r="O628" s="14" t="s">
        <v>92</v>
      </c>
      <c r="P628" s="14" t="s">
        <v>92</v>
      </c>
      <c r="Q628" s="14" t="s">
        <v>92</v>
      </c>
      <c r="R628" s="14" t="s">
        <v>92</v>
      </c>
      <c r="S628" s="14" t="s">
        <v>92</v>
      </c>
      <c r="T628" s="14" t="s">
        <v>92</v>
      </c>
      <c r="U628" s="14" t="s">
        <v>93</v>
      </c>
      <c r="V628" s="14" t="s">
        <v>92</v>
      </c>
      <c r="W628" s="14" t="s">
        <v>92</v>
      </c>
      <c r="X628" s="14" t="s">
        <v>92</v>
      </c>
      <c r="Y628" s="14" t="s">
        <v>92</v>
      </c>
      <c r="Z628" s="14" t="s">
        <v>92</v>
      </c>
      <c r="AA628" s="14" t="s">
        <v>92</v>
      </c>
      <c r="AB628" s="8" t="s">
        <v>93</v>
      </c>
      <c r="AC628" s="8" t="s">
        <v>92</v>
      </c>
      <c r="AD628" s="8" t="s">
        <v>92</v>
      </c>
      <c r="AE628" s="14" t="s">
        <v>94</v>
      </c>
      <c r="AF628" s="14" t="s">
        <v>92</v>
      </c>
      <c r="AG628" s="14" t="s">
        <v>95</v>
      </c>
      <c r="AH628" s="8" t="s">
        <v>105</v>
      </c>
      <c r="AI628" s="14" t="s">
        <v>92</v>
      </c>
      <c r="AJ628" s="14" t="s">
        <v>93</v>
      </c>
      <c r="AK628" s="14" t="s">
        <v>92</v>
      </c>
      <c r="AL628" s="14" t="s">
        <v>93</v>
      </c>
      <c r="AM628" s="8" t="s">
        <v>95</v>
      </c>
      <c r="AN628" s="14" t="s">
        <v>114</v>
      </c>
      <c r="AO628" s="8" t="s">
        <v>93</v>
      </c>
      <c r="AP628" s="8" t="s">
        <v>92</v>
      </c>
      <c r="AQ628" s="14" t="s">
        <v>92</v>
      </c>
      <c r="AR628" s="14" t="s">
        <v>93</v>
      </c>
      <c r="AS628" s="14" t="s">
        <v>92</v>
      </c>
      <c r="AT628" s="14" t="s">
        <v>92</v>
      </c>
      <c r="AU628" s="14" t="s">
        <v>92</v>
      </c>
      <c r="AV628" s="14" t="s">
        <v>93</v>
      </c>
      <c r="AW628" s="14" t="s">
        <v>93</v>
      </c>
      <c r="AX628" s="14" t="s">
        <v>93</v>
      </c>
      <c r="AY628" s="8" t="s">
        <v>2832</v>
      </c>
      <c r="AZ628" s="8" t="s">
        <v>92</v>
      </c>
      <c r="BA628" s="9" t="s">
        <v>2833</v>
      </c>
      <c r="BB628" s="8" t="s">
        <v>95</v>
      </c>
      <c r="BC628" s="8" t="s">
        <v>93</v>
      </c>
      <c r="BD628" s="14" t="s">
        <v>92</v>
      </c>
      <c r="BE628" s="14" t="s">
        <v>92</v>
      </c>
      <c r="BF628" s="14" t="s">
        <v>92</v>
      </c>
      <c r="BG628" s="14" t="s">
        <v>92</v>
      </c>
      <c r="BH628" s="14" t="s">
        <v>92</v>
      </c>
      <c r="BI628" s="14" t="s">
        <v>93</v>
      </c>
      <c r="BJ628" s="14" t="s">
        <v>92</v>
      </c>
      <c r="BK628" s="14" t="s">
        <v>105</v>
      </c>
      <c r="BL628" s="14" t="s">
        <v>105</v>
      </c>
      <c r="BM628" s="14" t="s">
        <v>105</v>
      </c>
      <c r="BN628" s="14" t="s">
        <v>105</v>
      </c>
      <c r="BO628" s="14" t="s">
        <v>105</v>
      </c>
      <c r="BP628" s="14" t="s">
        <v>105</v>
      </c>
      <c r="BQ628" s="8" t="s">
        <v>93</v>
      </c>
      <c r="BR628" s="8" t="s">
        <v>92</v>
      </c>
      <c r="BS628" s="8" t="s">
        <v>92</v>
      </c>
      <c r="BT628" s="8" t="s">
        <v>92</v>
      </c>
      <c r="BU628" s="8" t="s">
        <v>92</v>
      </c>
      <c r="BV628" s="8" t="s">
        <v>92</v>
      </c>
      <c r="BW628" s="8" t="s">
        <v>92</v>
      </c>
      <c r="BX628" s="8" t="s">
        <v>92</v>
      </c>
      <c r="BY628" s="8" t="s">
        <v>92</v>
      </c>
      <c r="BZ628" s="8" t="s">
        <v>92</v>
      </c>
      <c r="CA628" s="8" t="s">
        <v>92</v>
      </c>
      <c r="CB628" s="20" t="s">
        <v>170</v>
      </c>
      <c r="CC628" s="20" t="s">
        <v>1371</v>
      </c>
      <c r="CD628" s="18"/>
      <c r="CE628" s="18"/>
      <c r="CF628" s="18"/>
      <c r="CG628" s="18"/>
      <c r="CH628" s="18"/>
    </row>
    <row r="629">
      <c r="A629" s="8"/>
      <c r="B629" s="9" t="s">
        <v>2729</v>
      </c>
      <c r="C629" s="10" t="s">
        <v>2730</v>
      </c>
      <c r="D629" s="9" t="s">
        <v>2490</v>
      </c>
      <c r="E629" s="11" t="s">
        <v>2834</v>
      </c>
      <c r="F629" s="12"/>
      <c r="G629" s="14" t="s">
        <v>2835</v>
      </c>
      <c r="H629" s="14" t="s">
        <v>253</v>
      </c>
      <c r="I629" s="14" t="s">
        <v>2836</v>
      </c>
      <c r="J629" s="14" t="s">
        <v>92</v>
      </c>
      <c r="K629" s="14" t="s">
        <v>92</v>
      </c>
      <c r="L629" s="14" t="s">
        <v>92</v>
      </c>
      <c r="M629" s="14" t="s">
        <v>92</v>
      </c>
      <c r="N629" s="14" t="s">
        <v>92</v>
      </c>
      <c r="O629" s="14" t="s">
        <v>92</v>
      </c>
      <c r="P629" s="14" t="s">
        <v>93</v>
      </c>
      <c r="Q629" s="14" t="s">
        <v>93</v>
      </c>
      <c r="R629" s="14" t="s">
        <v>93</v>
      </c>
      <c r="S629" s="14" t="s">
        <v>92</v>
      </c>
      <c r="T629" s="14" t="s">
        <v>92</v>
      </c>
      <c r="U629" s="14" t="s">
        <v>93</v>
      </c>
      <c r="V629" s="14" t="s">
        <v>92</v>
      </c>
      <c r="W629" s="14" t="s">
        <v>92</v>
      </c>
      <c r="X629" s="14" t="s">
        <v>92</v>
      </c>
      <c r="Y629" s="14" t="s">
        <v>92</v>
      </c>
      <c r="Z629" s="14" t="s">
        <v>92</v>
      </c>
      <c r="AA629" s="14" t="s">
        <v>92</v>
      </c>
      <c r="AB629" s="8" t="s">
        <v>93</v>
      </c>
      <c r="AC629" s="8" t="s">
        <v>92</v>
      </c>
      <c r="AD629" s="8" t="s">
        <v>92</v>
      </c>
      <c r="AE629" s="14" t="s">
        <v>148</v>
      </c>
      <c r="AF629" s="14" t="s">
        <v>92</v>
      </c>
      <c r="AG629" s="14" t="s">
        <v>95</v>
      </c>
      <c r="AH629" s="8" t="s">
        <v>95</v>
      </c>
      <c r="AI629" s="14" t="s">
        <v>93</v>
      </c>
      <c r="AJ629" s="14" t="s">
        <v>93</v>
      </c>
      <c r="AK629" s="14" t="s">
        <v>92</v>
      </c>
      <c r="AL629" s="14" t="s">
        <v>92</v>
      </c>
      <c r="AM629" s="15" t="s">
        <v>95</v>
      </c>
      <c r="AN629" s="14" t="s">
        <v>95</v>
      </c>
      <c r="AO629" s="8" t="s">
        <v>95</v>
      </c>
      <c r="AP629" s="8" t="s">
        <v>92</v>
      </c>
      <c r="AQ629" s="14" t="s">
        <v>92</v>
      </c>
      <c r="AR629" s="14" t="s">
        <v>93</v>
      </c>
      <c r="AS629" s="14" t="s">
        <v>92</v>
      </c>
      <c r="AT629" s="14" t="s">
        <v>92</v>
      </c>
      <c r="AU629" s="14" t="s">
        <v>92</v>
      </c>
      <c r="AV629" s="14" t="s">
        <v>93</v>
      </c>
      <c r="AW629" s="14" t="s">
        <v>93</v>
      </c>
      <c r="AX629" s="14" t="s">
        <v>93</v>
      </c>
      <c r="AY629" s="8" t="s">
        <v>95</v>
      </c>
      <c r="AZ629" s="8" t="s">
        <v>95</v>
      </c>
      <c r="BA629" s="9" t="s">
        <v>2837</v>
      </c>
      <c r="BB629" s="8" t="s">
        <v>95</v>
      </c>
      <c r="BC629" s="8" t="s">
        <v>93</v>
      </c>
      <c r="BD629" s="14" t="s">
        <v>92</v>
      </c>
      <c r="BE629" s="14" t="s">
        <v>92</v>
      </c>
      <c r="BF629" s="14" t="s">
        <v>92</v>
      </c>
      <c r="BG629" s="14" t="s">
        <v>92</v>
      </c>
      <c r="BH629" s="14" t="s">
        <v>92</v>
      </c>
      <c r="BI629" s="14" t="s">
        <v>93</v>
      </c>
      <c r="BJ629" s="14" t="s">
        <v>93</v>
      </c>
      <c r="BK629" s="14" t="s">
        <v>105</v>
      </c>
      <c r="BL629" s="14" t="s">
        <v>105</v>
      </c>
      <c r="BM629" s="14" t="s">
        <v>105</v>
      </c>
      <c r="BN629" s="14" t="s">
        <v>105</v>
      </c>
      <c r="BO629" s="14" t="s">
        <v>105</v>
      </c>
      <c r="BP629" s="14" t="s">
        <v>105</v>
      </c>
      <c r="BQ629" s="8" t="s">
        <v>93</v>
      </c>
      <c r="BR629" s="8" t="s">
        <v>92</v>
      </c>
      <c r="BS629" s="8" t="s">
        <v>92</v>
      </c>
      <c r="BT629" s="8" t="s">
        <v>92</v>
      </c>
      <c r="BU629" s="8" t="s">
        <v>92</v>
      </c>
      <c r="BV629" s="8" t="s">
        <v>92</v>
      </c>
      <c r="BW629" s="8" t="s">
        <v>92</v>
      </c>
      <c r="BX629" s="8" t="s">
        <v>92</v>
      </c>
      <c r="BY629" s="8" t="s">
        <v>92</v>
      </c>
      <c r="BZ629" s="8" t="s">
        <v>92</v>
      </c>
      <c r="CA629" s="8" t="s">
        <v>92</v>
      </c>
      <c r="CB629" s="20" t="s">
        <v>170</v>
      </c>
      <c r="CC629" s="17"/>
      <c r="CD629" s="18"/>
      <c r="CE629" s="18"/>
      <c r="CF629" s="18"/>
      <c r="CG629" s="18"/>
      <c r="CH629" s="18"/>
    </row>
    <row r="630">
      <c r="A630" s="8"/>
      <c r="B630" s="9" t="s">
        <v>2729</v>
      </c>
      <c r="C630" s="10" t="s">
        <v>2730</v>
      </c>
      <c r="D630" s="9" t="s">
        <v>2490</v>
      </c>
      <c r="E630" s="11" t="s">
        <v>2838</v>
      </c>
      <c r="F630" s="12"/>
      <c r="G630" s="14" t="s">
        <v>2839</v>
      </c>
      <c r="H630" s="14" t="s">
        <v>189</v>
      </c>
      <c r="I630" s="14" t="s">
        <v>2840</v>
      </c>
      <c r="J630" s="14" t="s">
        <v>92</v>
      </c>
      <c r="K630" s="14" t="s">
        <v>93</v>
      </c>
      <c r="L630" s="14" t="s">
        <v>93</v>
      </c>
      <c r="M630" s="14" t="s">
        <v>92</v>
      </c>
      <c r="N630" s="14" t="s">
        <v>92</v>
      </c>
      <c r="O630" s="14" t="s">
        <v>92</v>
      </c>
      <c r="P630" s="14" t="s">
        <v>93</v>
      </c>
      <c r="Q630" s="14" t="s">
        <v>93</v>
      </c>
      <c r="R630" s="14" t="s">
        <v>92</v>
      </c>
      <c r="S630" s="14" t="s">
        <v>92</v>
      </c>
      <c r="T630" s="14" t="s">
        <v>92</v>
      </c>
      <c r="U630" s="14" t="s">
        <v>93</v>
      </c>
      <c r="V630" s="14" t="s">
        <v>92</v>
      </c>
      <c r="W630" s="14" t="s">
        <v>92</v>
      </c>
      <c r="X630" s="14" t="s">
        <v>92</v>
      </c>
      <c r="Y630" s="14" t="s">
        <v>92</v>
      </c>
      <c r="Z630" s="14" t="s">
        <v>92</v>
      </c>
      <c r="AA630" s="14" t="s">
        <v>92</v>
      </c>
      <c r="AB630" s="8" t="s">
        <v>93</v>
      </c>
      <c r="AC630" s="8" t="s">
        <v>92</v>
      </c>
      <c r="AD630" s="8" t="s">
        <v>92</v>
      </c>
      <c r="AE630" s="14" t="s">
        <v>148</v>
      </c>
      <c r="AF630" s="14" t="s">
        <v>92</v>
      </c>
      <c r="AG630" s="14" t="s">
        <v>95</v>
      </c>
      <c r="AH630" s="8">
        <v>2021.0</v>
      </c>
      <c r="AI630" s="14" t="s">
        <v>92</v>
      </c>
      <c r="AJ630" s="14" t="s">
        <v>93</v>
      </c>
      <c r="AK630" s="14" t="s">
        <v>92</v>
      </c>
      <c r="AL630" s="14" t="s">
        <v>92</v>
      </c>
      <c r="AM630" s="8">
        <v>2021.0</v>
      </c>
      <c r="AN630" s="14" t="s">
        <v>96</v>
      </c>
      <c r="AO630" s="8" t="s">
        <v>92</v>
      </c>
      <c r="AP630" s="8" t="s">
        <v>93</v>
      </c>
      <c r="AQ630" s="14" t="s">
        <v>92</v>
      </c>
      <c r="AR630" s="14" t="s">
        <v>93</v>
      </c>
      <c r="AS630" s="14" t="s">
        <v>92</v>
      </c>
      <c r="AT630" s="14" t="s">
        <v>92</v>
      </c>
      <c r="AU630" s="14" t="s">
        <v>92</v>
      </c>
      <c r="AV630" s="14" t="s">
        <v>93</v>
      </c>
      <c r="AW630" s="14" t="s">
        <v>93</v>
      </c>
      <c r="AX630" s="14" t="s">
        <v>93</v>
      </c>
      <c r="AY630" s="8" t="s">
        <v>95</v>
      </c>
      <c r="AZ630" s="8" t="s">
        <v>95</v>
      </c>
      <c r="BA630" s="9" t="s">
        <v>2841</v>
      </c>
      <c r="BB630" s="8" t="s">
        <v>143</v>
      </c>
      <c r="BC630" s="8" t="s">
        <v>93</v>
      </c>
      <c r="BD630" s="14" t="s">
        <v>92</v>
      </c>
      <c r="BE630" s="14" t="s">
        <v>92</v>
      </c>
      <c r="BF630" s="14" t="s">
        <v>92</v>
      </c>
      <c r="BG630" s="14" t="s">
        <v>92</v>
      </c>
      <c r="BH630" s="14" t="s">
        <v>92</v>
      </c>
      <c r="BI630" s="14" t="s">
        <v>93</v>
      </c>
      <c r="BJ630" s="14" t="s">
        <v>92</v>
      </c>
      <c r="BK630" s="14" t="s">
        <v>105</v>
      </c>
      <c r="BL630" s="14" t="s">
        <v>105</v>
      </c>
      <c r="BM630" s="14" t="s">
        <v>105</v>
      </c>
      <c r="BN630" s="14" t="s">
        <v>105</v>
      </c>
      <c r="BO630" s="14" t="s">
        <v>105</v>
      </c>
      <c r="BP630" s="14" t="s">
        <v>105</v>
      </c>
      <c r="BQ630" s="8" t="s">
        <v>93</v>
      </c>
      <c r="BR630" s="8" t="s">
        <v>92</v>
      </c>
      <c r="BS630" s="8" t="s">
        <v>92</v>
      </c>
      <c r="BT630" s="8" t="s">
        <v>92</v>
      </c>
      <c r="BU630" s="8" t="s">
        <v>92</v>
      </c>
      <c r="BV630" s="8" t="s">
        <v>92</v>
      </c>
      <c r="BW630" s="8" t="s">
        <v>92</v>
      </c>
      <c r="BX630" s="8" t="s">
        <v>92</v>
      </c>
      <c r="BY630" s="8" t="s">
        <v>92</v>
      </c>
      <c r="BZ630" s="8" t="s">
        <v>92</v>
      </c>
      <c r="CA630" s="8" t="s">
        <v>92</v>
      </c>
      <c r="CB630" s="20" t="s">
        <v>170</v>
      </c>
      <c r="CC630" s="17"/>
      <c r="CD630" s="18"/>
      <c r="CE630" s="18"/>
      <c r="CF630" s="18"/>
      <c r="CG630" s="18"/>
      <c r="CH630" s="18"/>
    </row>
    <row r="631">
      <c r="A631" s="8"/>
      <c r="B631" s="9" t="s">
        <v>2729</v>
      </c>
      <c r="C631" s="10" t="s">
        <v>2730</v>
      </c>
      <c r="D631" s="9" t="s">
        <v>2490</v>
      </c>
      <c r="E631" s="11" t="s">
        <v>2842</v>
      </c>
      <c r="F631" s="12"/>
      <c r="G631" s="14" t="s">
        <v>2843</v>
      </c>
      <c r="H631" s="14" t="s">
        <v>90</v>
      </c>
      <c r="I631" s="14" t="s">
        <v>2844</v>
      </c>
      <c r="J631" s="14" t="s">
        <v>92</v>
      </c>
      <c r="K631" s="14" t="s">
        <v>92</v>
      </c>
      <c r="L631" s="14" t="s">
        <v>92</v>
      </c>
      <c r="M631" s="14" t="s">
        <v>92</v>
      </c>
      <c r="N631" s="14" t="s">
        <v>92</v>
      </c>
      <c r="O631" s="14" t="s">
        <v>92</v>
      </c>
      <c r="P631" s="14" t="s">
        <v>92</v>
      </c>
      <c r="Q631" s="14" t="s">
        <v>92</v>
      </c>
      <c r="R631" s="14" t="s">
        <v>92</v>
      </c>
      <c r="S631" s="14" t="s">
        <v>92</v>
      </c>
      <c r="T631" s="14" t="s">
        <v>93</v>
      </c>
      <c r="U631" s="14" t="s">
        <v>92</v>
      </c>
      <c r="V631" s="14" t="s">
        <v>92</v>
      </c>
      <c r="W631" s="14" t="s">
        <v>92</v>
      </c>
      <c r="X631" s="14" t="s">
        <v>92</v>
      </c>
      <c r="Y631" s="14" t="s">
        <v>92</v>
      </c>
      <c r="Z631" s="14" t="s">
        <v>92</v>
      </c>
      <c r="AA631" s="14" t="s">
        <v>92</v>
      </c>
      <c r="AB631" s="8" t="s">
        <v>93</v>
      </c>
      <c r="AC631" s="8" t="s">
        <v>92</v>
      </c>
      <c r="AD631" s="8" t="s">
        <v>92</v>
      </c>
      <c r="AE631" s="14" t="s">
        <v>103</v>
      </c>
      <c r="AF631" s="14" t="s">
        <v>92</v>
      </c>
      <c r="AG631" s="14" t="s">
        <v>95</v>
      </c>
      <c r="AH631" s="8">
        <v>2018.0</v>
      </c>
      <c r="AI631" s="14" t="s">
        <v>93</v>
      </c>
      <c r="AJ631" s="14" t="s">
        <v>92</v>
      </c>
      <c r="AK631" s="14" t="s">
        <v>92</v>
      </c>
      <c r="AL631" s="14" t="s">
        <v>92</v>
      </c>
      <c r="AM631" s="8" t="s">
        <v>105</v>
      </c>
      <c r="AN631" s="14" t="s">
        <v>105</v>
      </c>
      <c r="AO631" s="8" t="s">
        <v>105</v>
      </c>
      <c r="AP631" s="8" t="s">
        <v>92</v>
      </c>
      <c r="AQ631" s="14" t="s">
        <v>92</v>
      </c>
      <c r="AR631" s="14" t="s">
        <v>93</v>
      </c>
      <c r="AS631" s="14" t="s">
        <v>92</v>
      </c>
      <c r="AT631" s="14" t="s">
        <v>92</v>
      </c>
      <c r="AU631" s="14" t="s">
        <v>92</v>
      </c>
      <c r="AV631" s="14" t="s">
        <v>93</v>
      </c>
      <c r="AW631" s="14" t="s">
        <v>93</v>
      </c>
      <c r="AX631" s="14" t="s">
        <v>93</v>
      </c>
      <c r="AY631" s="8" t="s">
        <v>95</v>
      </c>
      <c r="AZ631" s="8" t="s">
        <v>95</v>
      </c>
      <c r="BA631" s="9" t="s">
        <v>2729</v>
      </c>
      <c r="BB631" s="8" t="s">
        <v>97</v>
      </c>
      <c r="BC631" s="8" t="s">
        <v>92</v>
      </c>
      <c r="BD631" s="14" t="s">
        <v>92</v>
      </c>
      <c r="BE631" s="14" t="s">
        <v>92</v>
      </c>
      <c r="BF631" s="14" t="s">
        <v>92</v>
      </c>
      <c r="BG631" s="14" t="s">
        <v>92</v>
      </c>
      <c r="BH631" s="14" t="s">
        <v>92</v>
      </c>
      <c r="BI631" s="14" t="s">
        <v>93</v>
      </c>
      <c r="BJ631" s="14" t="s">
        <v>92</v>
      </c>
      <c r="BK631" s="14" t="s">
        <v>1581</v>
      </c>
      <c r="BL631" s="14" t="s">
        <v>92</v>
      </c>
      <c r="BM631" s="14" t="s">
        <v>92</v>
      </c>
      <c r="BN631" s="14" t="s">
        <v>92</v>
      </c>
      <c r="BO631" s="14" t="s">
        <v>93</v>
      </c>
      <c r="BP631" s="14" t="s">
        <v>93</v>
      </c>
      <c r="BQ631" s="8" t="s">
        <v>92</v>
      </c>
      <c r="BR631" s="8" t="s">
        <v>93</v>
      </c>
      <c r="BS631" s="8" t="s">
        <v>92</v>
      </c>
      <c r="BT631" s="8" t="s">
        <v>92</v>
      </c>
      <c r="BU631" s="8" t="s">
        <v>92</v>
      </c>
      <c r="BV631" s="8" t="s">
        <v>92</v>
      </c>
      <c r="BW631" s="8" t="s">
        <v>92</v>
      </c>
      <c r="BX631" s="8" t="s">
        <v>92</v>
      </c>
      <c r="BY631" s="8" t="s">
        <v>92</v>
      </c>
      <c r="BZ631" s="8" t="s">
        <v>92</v>
      </c>
      <c r="CA631" s="8" t="s">
        <v>92</v>
      </c>
      <c r="CB631" s="20" t="s">
        <v>157</v>
      </c>
      <c r="CC631" s="17"/>
      <c r="CD631" s="18"/>
      <c r="CE631" s="18"/>
      <c r="CF631" s="18"/>
      <c r="CG631" s="18"/>
      <c r="CH631" s="18"/>
    </row>
    <row r="632">
      <c r="A632" s="8"/>
      <c r="B632" s="19" t="s">
        <v>2729</v>
      </c>
      <c r="C632" s="10" t="s">
        <v>2730</v>
      </c>
      <c r="D632" s="9" t="s">
        <v>2490</v>
      </c>
      <c r="E632" s="11" t="s">
        <v>2845</v>
      </c>
      <c r="F632" s="25"/>
      <c r="G632" s="14" t="s">
        <v>2846</v>
      </c>
      <c r="H632" s="14" t="s">
        <v>90</v>
      </c>
      <c r="I632" s="14" t="s">
        <v>2847</v>
      </c>
      <c r="J632" s="14" t="s">
        <v>92</v>
      </c>
      <c r="K632" s="14" t="s">
        <v>92</v>
      </c>
      <c r="L632" s="14" t="s">
        <v>92</v>
      </c>
      <c r="M632" s="14" t="s">
        <v>92</v>
      </c>
      <c r="N632" s="14" t="s">
        <v>92</v>
      </c>
      <c r="O632" s="14" t="s">
        <v>92</v>
      </c>
      <c r="P632" s="14" t="s">
        <v>93</v>
      </c>
      <c r="Q632" s="14" t="s">
        <v>92</v>
      </c>
      <c r="R632" s="14" t="s">
        <v>92</v>
      </c>
      <c r="S632" s="14" t="s">
        <v>92</v>
      </c>
      <c r="T632" s="14" t="s">
        <v>92</v>
      </c>
      <c r="U632" s="14" t="s">
        <v>93</v>
      </c>
      <c r="V632" s="14" t="s">
        <v>92</v>
      </c>
      <c r="W632" s="14" t="s">
        <v>92</v>
      </c>
      <c r="X632" s="14" t="s">
        <v>92</v>
      </c>
      <c r="Y632" s="14" t="s">
        <v>92</v>
      </c>
      <c r="Z632" s="14" t="s">
        <v>92</v>
      </c>
      <c r="AA632" s="14" t="s">
        <v>92</v>
      </c>
      <c r="AB632" s="8" t="s">
        <v>93</v>
      </c>
      <c r="AC632" s="8" t="s">
        <v>92</v>
      </c>
      <c r="AD632" s="8" t="s">
        <v>92</v>
      </c>
      <c r="AE632" s="14" t="s">
        <v>148</v>
      </c>
      <c r="AF632" s="14" t="s">
        <v>92</v>
      </c>
      <c r="AG632" s="14" t="s">
        <v>95</v>
      </c>
      <c r="AH632" s="8">
        <v>2022.0</v>
      </c>
      <c r="AI632" s="14" t="s">
        <v>92</v>
      </c>
      <c r="AJ632" s="14" t="s">
        <v>92</v>
      </c>
      <c r="AK632" s="14" t="s">
        <v>93</v>
      </c>
      <c r="AL632" s="14" t="s">
        <v>92</v>
      </c>
      <c r="AM632" s="8">
        <v>2022.0</v>
      </c>
      <c r="AN632" s="14" t="s">
        <v>96</v>
      </c>
      <c r="AO632" s="8" t="s">
        <v>92</v>
      </c>
      <c r="AP632" s="8" t="s">
        <v>93</v>
      </c>
      <c r="AQ632" s="14" t="s">
        <v>92</v>
      </c>
      <c r="AR632" s="14" t="s">
        <v>93</v>
      </c>
      <c r="AS632" s="14" t="s">
        <v>92</v>
      </c>
      <c r="AT632" s="14" t="s">
        <v>92</v>
      </c>
      <c r="AU632" s="14" t="s">
        <v>92</v>
      </c>
      <c r="AV632" s="14" t="s">
        <v>93</v>
      </c>
      <c r="AW632" s="14" t="s">
        <v>93</v>
      </c>
      <c r="AX632" s="14" t="s">
        <v>93</v>
      </c>
      <c r="AY632" s="8" t="s">
        <v>95</v>
      </c>
      <c r="AZ632" s="8" t="s">
        <v>95</v>
      </c>
      <c r="BA632" s="9" t="s">
        <v>2848</v>
      </c>
      <c r="BB632" s="8" t="s">
        <v>143</v>
      </c>
      <c r="BC632" s="8" t="s">
        <v>92</v>
      </c>
      <c r="BD632" s="14" t="s">
        <v>92</v>
      </c>
      <c r="BE632" s="14" t="s">
        <v>92</v>
      </c>
      <c r="BF632" s="14" t="s">
        <v>92</v>
      </c>
      <c r="BG632" s="14" t="s">
        <v>92</v>
      </c>
      <c r="BH632" s="14" t="s">
        <v>92</v>
      </c>
      <c r="BI632" s="14" t="s">
        <v>93</v>
      </c>
      <c r="BJ632" s="14" t="s">
        <v>92</v>
      </c>
      <c r="BK632" s="14" t="s">
        <v>2849</v>
      </c>
      <c r="BL632" s="14" t="s">
        <v>92</v>
      </c>
      <c r="BM632" s="14" t="s">
        <v>93</v>
      </c>
      <c r="BN632" s="14" t="s">
        <v>92</v>
      </c>
      <c r="BO632" s="14" t="s">
        <v>93</v>
      </c>
      <c r="BP632" s="14" t="s">
        <v>92</v>
      </c>
      <c r="BQ632" s="8" t="s">
        <v>93</v>
      </c>
      <c r="BR632" s="8" t="s">
        <v>92</v>
      </c>
      <c r="BS632" s="8" t="s">
        <v>92</v>
      </c>
      <c r="BT632" s="8" t="s">
        <v>92</v>
      </c>
      <c r="BU632" s="8" t="s">
        <v>92</v>
      </c>
      <c r="BV632" s="8" t="s">
        <v>92</v>
      </c>
      <c r="BW632" s="8" t="s">
        <v>92</v>
      </c>
      <c r="BX632" s="8" t="s">
        <v>92</v>
      </c>
      <c r="BY632" s="8" t="s">
        <v>92</v>
      </c>
      <c r="BZ632" s="8" t="s">
        <v>92</v>
      </c>
      <c r="CA632" s="8" t="s">
        <v>92</v>
      </c>
      <c r="CB632" s="20" t="s">
        <v>1307</v>
      </c>
      <c r="CC632" s="17"/>
      <c r="CD632" s="18"/>
      <c r="CE632" s="18"/>
      <c r="CF632" s="18"/>
      <c r="CG632" s="18"/>
      <c r="CH632" s="18"/>
    </row>
    <row r="633">
      <c r="A633" s="8"/>
      <c r="B633" s="9" t="s">
        <v>2729</v>
      </c>
      <c r="C633" s="10" t="s">
        <v>2730</v>
      </c>
      <c r="D633" s="9" t="s">
        <v>2490</v>
      </c>
      <c r="E633" s="11" t="s">
        <v>2850</v>
      </c>
      <c r="F633" s="12"/>
      <c r="G633" s="14" t="s">
        <v>2851</v>
      </c>
      <c r="H633" s="14" t="s">
        <v>90</v>
      </c>
      <c r="I633" s="14" t="s">
        <v>2852</v>
      </c>
      <c r="J633" s="14" t="s">
        <v>92</v>
      </c>
      <c r="K633" s="14" t="s">
        <v>92</v>
      </c>
      <c r="L633" s="14" t="s">
        <v>92</v>
      </c>
      <c r="M633" s="14" t="s">
        <v>92</v>
      </c>
      <c r="N633" s="14" t="s">
        <v>92</v>
      </c>
      <c r="O633" s="14" t="s">
        <v>92</v>
      </c>
      <c r="P633" s="14" t="s">
        <v>92</v>
      </c>
      <c r="Q633" s="14" t="s">
        <v>92</v>
      </c>
      <c r="R633" s="14" t="s">
        <v>92</v>
      </c>
      <c r="S633" s="14" t="s">
        <v>92</v>
      </c>
      <c r="T633" s="14" t="s">
        <v>92</v>
      </c>
      <c r="U633" s="14" t="s">
        <v>93</v>
      </c>
      <c r="V633" s="14" t="s">
        <v>92</v>
      </c>
      <c r="W633" s="14" t="s">
        <v>92</v>
      </c>
      <c r="X633" s="14" t="s">
        <v>92</v>
      </c>
      <c r="Y633" s="14" t="s">
        <v>92</v>
      </c>
      <c r="Z633" s="14" t="s">
        <v>92</v>
      </c>
      <c r="AA633" s="14" t="s">
        <v>92</v>
      </c>
      <c r="AB633" s="8" t="s">
        <v>93</v>
      </c>
      <c r="AC633" s="8" t="s">
        <v>92</v>
      </c>
      <c r="AD633" s="8" t="s">
        <v>92</v>
      </c>
      <c r="AE633" s="14" t="s">
        <v>94</v>
      </c>
      <c r="AF633" s="14" t="s">
        <v>92</v>
      </c>
      <c r="AG633" s="14" t="s">
        <v>95</v>
      </c>
      <c r="AH633" s="8">
        <v>2022.0</v>
      </c>
      <c r="AI633" s="14" t="s">
        <v>92</v>
      </c>
      <c r="AJ633" s="14" t="s">
        <v>92</v>
      </c>
      <c r="AK633" s="14" t="s">
        <v>93</v>
      </c>
      <c r="AL633" s="14" t="s">
        <v>92</v>
      </c>
      <c r="AM633" s="8">
        <v>2022.0</v>
      </c>
      <c r="AN633" s="14" t="s">
        <v>96</v>
      </c>
      <c r="AO633" s="8" t="s">
        <v>92</v>
      </c>
      <c r="AP633" s="8" t="s">
        <v>92</v>
      </c>
      <c r="AQ633" s="14" t="s">
        <v>92</v>
      </c>
      <c r="AR633" s="14" t="s">
        <v>93</v>
      </c>
      <c r="AS633" s="14" t="s">
        <v>92</v>
      </c>
      <c r="AT633" s="14" t="s">
        <v>92</v>
      </c>
      <c r="AU633" s="14" t="s">
        <v>92</v>
      </c>
      <c r="AV633" s="14" t="s">
        <v>93</v>
      </c>
      <c r="AW633" s="14" t="s">
        <v>93</v>
      </c>
      <c r="AX633" s="14" t="s">
        <v>93</v>
      </c>
      <c r="AY633" s="8" t="s">
        <v>95</v>
      </c>
      <c r="AZ633" s="8" t="s">
        <v>95</v>
      </c>
      <c r="BA633" s="9" t="s">
        <v>2729</v>
      </c>
      <c r="BB633" s="8" t="s">
        <v>97</v>
      </c>
      <c r="BC633" s="8" t="s">
        <v>92</v>
      </c>
      <c r="BD633" s="14" t="s">
        <v>92</v>
      </c>
      <c r="BE633" s="14" t="s">
        <v>92</v>
      </c>
      <c r="BF633" s="14" t="s">
        <v>92</v>
      </c>
      <c r="BG633" s="14" t="s">
        <v>92</v>
      </c>
      <c r="BH633" s="14" t="s">
        <v>92</v>
      </c>
      <c r="BI633" s="14" t="s">
        <v>93</v>
      </c>
      <c r="BJ633" s="14" t="s">
        <v>92</v>
      </c>
      <c r="BK633" s="14" t="s">
        <v>95</v>
      </c>
      <c r="BL633" s="14" t="s">
        <v>93</v>
      </c>
      <c r="BM633" s="14" t="s">
        <v>93</v>
      </c>
      <c r="BN633" s="14" t="s">
        <v>93</v>
      </c>
      <c r="BO633" s="14" t="s">
        <v>93</v>
      </c>
      <c r="BP633" s="14" t="s">
        <v>93</v>
      </c>
      <c r="BQ633" s="8" t="s">
        <v>93</v>
      </c>
      <c r="BR633" s="8" t="s">
        <v>92</v>
      </c>
      <c r="BS633" s="8" t="s">
        <v>92</v>
      </c>
      <c r="BT633" s="8" t="s">
        <v>92</v>
      </c>
      <c r="BU633" s="8" t="s">
        <v>92</v>
      </c>
      <c r="BV633" s="8" t="s">
        <v>92</v>
      </c>
      <c r="BW633" s="8" t="s">
        <v>92</v>
      </c>
      <c r="BX633" s="8" t="s">
        <v>92</v>
      </c>
      <c r="BY633" s="8" t="s">
        <v>92</v>
      </c>
      <c r="BZ633" s="8" t="s">
        <v>92</v>
      </c>
      <c r="CA633" s="8" t="s">
        <v>92</v>
      </c>
      <c r="CB633" s="20" t="s">
        <v>1307</v>
      </c>
      <c r="CC633" s="17"/>
      <c r="CD633" s="18"/>
      <c r="CE633" s="18"/>
      <c r="CF633" s="18"/>
      <c r="CG633" s="18"/>
      <c r="CH633" s="18"/>
    </row>
    <row r="634">
      <c r="A634" s="8"/>
      <c r="B634" s="9" t="s">
        <v>2729</v>
      </c>
      <c r="C634" s="10" t="s">
        <v>2730</v>
      </c>
      <c r="D634" s="9" t="s">
        <v>2490</v>
      </c>
      <c r="E634" s="11" t="s">
        <v>2853</v>
      </c>
      <c r="F634" s="25"/>
      <c r="G634" s="14" t="s">
        <v>2854</v>
      </c>
      <c r="H634" s="14" t="s">
        <v>90</v>
      </c>
      <c r="I634" s="14" t="s">
        <v>2855</v>
      </c>
      <c r="J634" s="14" t="s">
        <v>92</v>
      </c>
      <c r="K634" s="14" t="s">
        <v>93</v>
      </c>
      <c r="L634" s="14" t="s">
        <v>92</v>
      </c>
      <c r="M634" s="14" t="s">
        <v>92</v>
      </c>
      <c r="N634" s="14" t="s">
        <v>92</v>
      </c>
      <c r="O634" s="14" t="s">
        <v>92</v>
      </c>
      <c r="P634" s="14" t="s">
        <v>93</v>
      </c>
      <c r="Q634" s="14" t="s">
        <v>93</v>
      </c>
      <c r="R634" s="14" t="s">
        <v>92</v>
      </c>
      <c r="S634" s="14" t="s">
        <v>92</v>
      </c>
      <c r="T634" s="14" t="s">
        <v>92</v>
      </c>
      <c r="U634" s="14" t="s">
        <v>93</v>
      </c>
      <c r="V634" s="14" t="s">
        <v>92</v>
      </c>
      <c r="W634" s="14" t="s">
        <v>93</v>
      </c>
      <c r="X634" s="14" t="s">
        <v>92</v>
      </c>
      <c r="Y634" s="14" t="s">
        <v>92</v>
      </c>
      <c r="Z634" s="14" t="s">
        <v>92</v>
      </c>
      <c r="AA634" s="14" t="s">
        <v>92</v>
      </c>
      <c r="AB634" s="8" t="s">
        <v>93</v>
      </c>
      <c r="AC634" s="8" t="s">
        <v>92</v>
      </c>
      <c r="AD634" s="8" t="s">
        <v>92</v>
      </c>
      <c r="AE634" s="14" t="s">
        <v>94</v>
      </c>
      <c r="AF634" s="14" t="s">
        <v>92</v>
      </c>
      <c r="AG634" s="14" t="s">
        <v>95</v>
      </c>
      <c r="AH634" s="8">
        <v>2023.0</v>
      </c>
      <c r="AI634" s="14" t="s">
        <v>92</v>
      </c>
      <c r="AJ634" s="14" t="s">
        <v>92</v>
      </c>
      <c r="AK634" s="14" t="s">
        <v>92</v>
      </c>
      <c r="AL634" s="14" t="s">
        <v>93</v>
      </c>
      <c r="AM634" s="8" t="s">
        <v>95</v>
      </c>
      <c r="AN634" s="14" t="s">
        <v>114</v>
      </c>
      <c r="AO634" s="8" t="s">
        <v>92</v>
      </c>
      <c r="AP634" s="8" t="s">
        <v>93</v>
      </c>
      <c r="AQ634" s="14" t="s">
        <v>92</v>
      </c>
      <c r="AR634" s="14" t="s">
        <v>93</v>
      </c>
      <c r="AS634" s="14" t="s">
        <v>92</v>
      </c>
      <c r="AT634" s="14" t="s">
        <v>92</v>
      </c>
      <c r="AU634" s="14" t="s">
        <v>92</v>
      </c>
      <c r="AV634" s="14" t="s">
        <v>93</v>
      </c>
      <c r="AW634" s="14" t="s">
        <v>93</v>
      </c>
      <c r="AX634" s="14" t="s">
        <v>93</v>
      </c>
      <c r="AY634" s="8" t="s">
        <v>95</v>
      </c>
      <c r="AZ634" s="8" t="s">
        <v>95</v>
      </c>
      <c r="BA634" s="9" t="s">
        <v>1850</v>
      </c>
      <c r="BB634" s="8" t="s">
        <v>143</v>
      </c>
      <c r="BC634" s="8" t="s">
        <v>92</v>
      </c>
      <c r="BD634" s="14" t="s">
        <v>92</v>
      </c>
      <c r="BE634" s="14" t="s">
        <v>92</v>
      </c>
      <c r="BF634" s="14" t="s">
        <v>92</v>
      </c>
      <c r="BG634" s="14" t="s">
        <v>92</v>
      </c>
      <c r="BH634" s="14" t="s">
        <v>92</v>
      </c>
      <c r="BI634" s="14" t="s">
        <v>93</v>
      </c>
      <c r="BJ634" s="14" t="s">
        <v>92</v>
      </c>
      <c r="BK634" s="14" t="s">
        <v>2856</v>
      </c>
      <c r="BL634" s="14" t="s">
        <v>92</v>
      </c>
      <c r="BM634" s="14" t="s">
        <v>93</v>
      </c>
      <c r="BN634" s="14" t="s">
        <v>93</v>
      </c>
      <c r="BO634" s="14" t="s">
        <v>93</v>
      </c>
      <c r="BP634" s="14" t="s">
        <v>93</v>
      </c>
      <c r="BQ634" s="8" t="s">
        <v>93</v>
      </c>
      <c r="BR634" s="8" t="s">
        <v>92</v>
      </c>
      <c r="BS634" s="8" t="s">
        <v>92</v>
      </c>
      <c r="BT634" s="8" t="s">
        <v>92</v>
      </c>
      <c r="BU634" s="8" t="s">
        <v>92</v>
      </c>
      <c r="BV634" s="8" t="s">
        <v>92</v>
      </c>
      <c r="BW634" s="8" t="s">
        <v>93</v>
      </c>
      <c r="BX634" s="8" t="s">
        <v>92</v>
      </c>
      <c r="BY634" s="8" t="s">
        <v>92</v>
      </c>
      <c r="BZ634" s="8" t="s">
        <v>92</v>
      </c>
      <c r="CA634" s="8" t="s">
        <v>92</v>
      </c>
      <c r="CB634" s="20" t="s">
        <v>1371</v>
      </c>
      <c r="CC634" s="17"/>
      <c r="CD634" s="18"/>
      <c r="CE634" s="18"/>
      <c r="CF634" s="18"/>
      <c r="CG634" s="18"/>
      <c r="CH634" s="18"/>
    </row>
    <row r="635">
      <c r="A635" s="8"/>
      <c r="B635" s="9" t="s">
        <v>2729</v>
      </c>
      <c r="C635" s="10" t="s">
        <v>2730</v>
      </c>
      <c r="D635" s="9" t="s">
        <v>2490</v>
      </c>
      <c r="E635" s="11" t="s">
        <v>2857</v>
      </c>
      <c r="F635" s="12"/>
      <c r="G635" s="14" t="s">
        <v>2858</v>
      </c>
      <c r="H635" s="14" t="s">
        <v>90</v>
      </c>
      <c r="I635" s="14" t="s">
        <v>2859</v>
      </c>
      <c r="J635" s="14" t="s">
        <v>92</v>
      </c>
      <c r="K635" s="14" t="s">
        <v>92</v>
      </c>
      <c r="L635" s="14" t="s">
        <v>93</v>
      </c>
      <c r="M635" s="14" t="s">
        <v>92</v>
      </c>
      <c r="N635" s="14" t="s">
        <v>92</v>
      </c>
      <c r="O635" s="14" t="s">
        <v>93</v>
      </c>
      <c r="P635" s="14" t="s">
        <v>92</v>
      </c>
      <c r="Q635" s="14" t="s">
        <v>92</v>
      </c>
      <c r="R635" s="14" t="s">
        <v>92</v>
      </c>
      <c r="S635" s="14" t="s">
        <v>93</v>
      </c>
      <c r="T635" s="14" t="s">
        <v>92</v>
      </c>
      <c r="U635" s="14" t="s">
        <v>92</v>
      </c>
      <c r="V635" s="14" t="s">
        <v>92</v>
      </c>
      <c r="W635" s="14" t="s">
        <v>92</v>
      </c>
      <c r="X635" s="14" t="s">
        <v>92</v>
      </c>
      <c r="Y635" s="14" t="s">
        <v>92</v>
      </c>
      <c r="Z635" s="14" t="s">
        <v>93</v>
      </c>
      <c r="AA635" s="14" t="s">
        <v>93</v>
      </c>
      <c r="AB635" s="8" t="s">
        <v>93</v>
      </c>
      <c r="AC635" s="8" t="s">
        <v>93</v>
      </c>
      <c r="AD635" s="8" t="s">
        <v>92</v>
      </c>
      <c r="AE635" s="14" t="s">
        <v>1135</v>
      </c>
      <c r="AF635" s="14" t="s">
        <v>92</v>
      </c>
      <c r="AG635" s="14" t="s">
        <v>95</v>
      </c>
      <c r="AH635" s="8">
        <v>2002.0</v>
      </c>
      <c r="AI635" s="14" t="s">
        <v>92</v>
      </c>
      <c r="AJ635" s="14" t="s">
        <v>92</v>
      </c>
      <c r="AK635" s="14" t="s">
        <v>93</v>
      </c>
      <c r="AL635" s="14" t="s">
        <v>93</v>
      </c>
      <c r="AM635" s="8" t="s">
        <v>95</v>
      </c>
      <c r="AN635" s="14" t="s">
        <v>114</v>
      </c>
      <c r="AO635" s="8" t="s">
        <v>93</v>
      </c>
      <c r="AP635" s="8" t="s">
        <v>92</v>
      </c>
      <c r="AQ635" s="14" t="s">
        <v>92</v>
      </c>
      <c r="AR635" s="14" t="s">
        <v>93</v>
      </c>
      <c r="AS635" s="14" t="s">
        <v>92</v>
      </c>
      <c r="AT635" s="14" t="s">
        <v>92</v>
      </c>
      <c r="AU635" s="14" t="s">
        <v>92</v>
      </c>
      <c r="AV635" s="14" t="s">
        <v>93</v>
      </c>
      <c r="AW635" s="14" t="s">
        <v>93</v>
      </c>
      <c r="AX635" s="14" t="s">
        <v>93</v>
      </c>
      <c r="AY635" s="8" t="s">
        <v>2860</v>
      </c>
      <c r="AZ635" s="8" t="s">
        <v>92</v>
      </c>
      <c r="BA635" s="9" t="s">
        <v>2729</v>
      </c>
      <c r="BB635" s="8" t="s">
        <v>97</v>
      </c>
      <c r="BC635" s="8" t="s">
        <v>92</v>
      </c>
      <c r="BD635" s="14" t="s">
        <v>93</v>
      </c>
      <c r="BE635" s="14" t="s">
        <v>92</v>
      </c>
      <c r="BF635" s="14" t="s">
        <v>92</v>
      </c>
      <c r="BG635" s="14" t="s">
        <v>92</v>
      </c>
      <c r="BH635" s="14" t="s">
        <v>92</v>
      </c>
      <c r="BI635" s="14" t="s">
        <v>92</v>
      </c>
      <c r="BJ635" s="14" t="s">
        <v>92</v>
      </c>
      <c r="BK635" s="14" t="s">
        <v>105</v>
      </c>
      <c r="BL635" s="14" t="s">
        <v>105</v>
      </c>
      <c r="BM635" s="14" t="s">
        <v>105</v>
      </c>
      <c r="BN635" s="14" t="s">
        <v>105</v>
      </c>
      <c r="BO635" s="14" t="s">
        <v>105</v>
      </c>
      <c r="BP635" s="14" t="s">
        <v>105</v>
      </c>
      <c r="BQ635" s="8" t="s">
        <v>92</v>
      </c>
      <c r="BR635" s="8" t="s">
        <v>92</v>
      </c>
      <c r="BS635" s="8" t="s">
        <v>93</v>
      </c>
      <c r="BT635" s="8" t="s">
        <v>93</v>
      </c>
      <c r="BU635" s="8" t="s">
        <v>92</v>
      </c>
      <c r="BV635" s="8" t="s">
        <v>93</v>
      </c>
      <c r="BW635" s="8" t="s">
        <v>92</v>
      </c>
      <c r="BX635" s="8" t="s">
        <v>92</v>
      </c>
      <c r="BY635" s="8" t="s">
        <v>92</v>
      </c>
      <c r="BZ635" s="8" t="s">
        <v>93</v>
      </c>
      <c r="CA635" s="8" t="s">
        <v>92</v>
      </c>
      <c r="CB635" s="20" t="s">
        <v>1371</v>
      </c>
      <c r="CC635" s="17"/>
      <c r="CD635" s="18"/>
      <c r="CE635" s="18"/>
      <c r="CF635" s="18"/>
      <c r="CG635" s="18"/>
      <c r="CH635" s="18"/>
    </row>
    <row r="636">
      <c r="A636" s="8"/>
      <c r="B636" s="9" t="s">
        <v>2729</v>
      </c>
      <c r="C636" s="10" t="s">
        <v>2730</v>
      </c>
      <c r="D636" s="9" t="s">
        <v>2490</v>
      </c>
      <c r="E636" s="11" t="s">
        <v>2861</v>
      </c>
      <c r="F636" s="25"/>
      <c r="G636" s="14" t="s">
        <v>2862</v>
      </c>
      <c r="H636" s="14" t="s">
        <v>90</v>
      </c>
      <c r="I636" s="14" t="s">
        <v>2863</v>
      </c>
      <c r="J636" s="14" t="s">
        <v>92</v>
      </c>
      <c r="K636" s="14" t="s">
        <v>92</v>
      </c>
      <c r="L636" s="14" t="s">
        <v>92</v>
      </c>
      <c r="M636" s="14" t="s">
        <v>92</v>
      </c>
      <c r="N636" s="14" t="s">
        <v>92</v>
      </c>
      <c r="O636" s="14" t="s">
        <v>92</v>
      </c>
      <c r="P636" s="14" t="s">
        <v>92</v>
      </c>
      <c r="Q636" s="14" t="s">
        <v>92</v>
      </c>
      <c r="R636" s="14" t="s">
        <v>93</v>
      </c>
      <c r="S636" s="14" t="s">
        <v>92</v>
      </c>
      <c r="T636" s="14" t="s">
        <v>93</v>
      </c>
      <c r="U636" s="14" t="s">
        <v>92</v>
      </c>
      <c r="V636" s="14" t="s">
        <v>92</v>
      </c>
      <c r="W636" s="14" t="s">
        <v>92</v>
      </c>
      <c r="X636" s="14" t="s">
        <v>93</v>
      </c>
      <c r="Y636" s="14" t="s">
        <v>92</v>
      </c>
      <c r="Z636" s="14" t="s">
        <v>92</v>
      </c>
      <c r="AA636" s="14" t="s">
        <v>92</v>
      </c>
      <c r="AB636" s="8" t="s">
        <v>93</v>
      </c>
      <c r="AC636" s="8" t="s">
        <v>92</v>
      </c>
      <c r="AD636" s="8" t="s">
        <v>92</v>
      </c>
      <c r="AE636" s="14" t="s">
        <v>103</v>
      </c>
      <c r="AF636" s="14" t="s">
        <v>92</v>
      </c>
      <c r="AG636" s="14" t="s">
        <v>95</v>
      </c>
      <c r="AH636" s="8">
        <v>2021.0</v>
      </c>
      <c r="AI636" s="14" t="s">
        <v>92</v>
      </c>
      <c r="AJ636" s="14" t="s">
        <v>92</v>
      </c>
      <c r="AK636" s="14" t="s">
        <v>93</v>
      </c>
      <c r="AL636" s="14" t="s">
        <v>93</v>
      </c>
      <c r="AM636" s="8" t="s">
        <v>95</v>
      </c>
      <c r="AN636" s="14" t="s">
        <v>114</v>
      </c>
      <c r="AO636" s="8" t="s">
        <v>93</v>
      </c>
      <c r="AP636" s="8" t="s">
        <v>92</v>
      </c>
      <c r="AQ636" s="14" t="s">
        <v>92</v>
      </c>
      <c r="AR636" s="14" t="s">
        <v>93</v>
      </c>
      <c r="AS636" s="14" t="s">
        <v>92</v>
      </c>
      <c r="AT636" s="14" t="s">
        <v>92</v>
      </c>
      <c r="AU636" s="14" t="s">
        <v>92</v>
      </c>
      <c r="AV636" s="14" t="s">
        <v>93</v>
      </c>
      <c r="AW636" s="14" t="s">
        <v>93</v>
      </c>
      <c r="AX636" s="14" t="s">
        <v>93</v>
      </c>
      <c r="AY636" s="8" t="s">
        <v>2864</v>
      </c>
      <c r="AZ636" s="8" t="s">
        <v>93</v>
      </c>
      <c r="BA636" s="9" t="s">
        <v>2865</v>
      </c>
      <c r="BB636" s="8" t="s">
        <v>143</v>
      </c>
      <c r="BC636" s="8" t="s">
        <v>92</v>
      </c>
      <c r="BD636" s="14" t="s">
        <v>92</v>
      </c>
      <c r="BE636" s="14" t="s">
        <v>92</v>
      </c>
      <c r="BF636" s="14" t="s">
        <v>92</v>
      </c>
      <c r="BG636" s="14" t="s">
        <v>92</v>
      </c>
      <c r="BH636" s="14" t="s">
        <v>92</v>
      </c>
      <c r="BI636" s="14" t="s">
        <v>93</v>
      </c>
      <c r="BJ636" s="14" t="s">
        <v>92</v>
      </c>
      <c r="BK636" s="14" t="s">
        <v>1728</v>
      </c>
      <c r="BL636" s="14" t="s">
        <v>92</v>
      </c>
      <c r="BM636" s="14" t="s">
        <v>92</v>
      </c>
      <c r="BN636" s="14" t="s">
        <v>92</v>
      </c>
      <c r="BO636" s="14" t="s">
        <v>93</v>
      </c>
      <c r="BP636" s="14" t="s">
        <v>92</v>
      </c>
      <c r="BQ636" s="8" t="s">
        <v>92</v>
      </c>
      <c r="BR636" s="8" t="s">
        <v>93</v>
      </c>
      <c r="BS636" s="8" t="s">
        <v>92</v>
      </c>
      <c r="BT636" s="8" t="s">
        <v>92</v>
      </c>
      <c r="BU636" s="8" t="s">
        <v>92</v>
      </c>
      <c r="BV636" s="8" t="s">
        <v>92</v>
      </c>
      <c r="BW636" s="8" t="s">
        <v>93</v>
      </c>
      <c r="BX636" s="8" t="s">
        <v>92</v>
      </c>
      <c r="BY636" s="8" t="s">
        <v>92</v>
      </c>
      <c r="BZ636" s="8" t="s">
        <v>92</v>
      </c>
      <c r="CA636" s="8" t="s">
        <v>92</v>
      </c>
      <c r="CB636" s="20" t="s">
        <v>1371</v>
      </c>
      <c r="CC636" s="20" t="s">
        <v>2866</v>
      </c>
      <c r="CD636" s="18"/>
      <c r="CE636" s="18"/>
      <c r="CF636" s="18"/>
      <c r="CG636" s="18"/>
      <c r="CH636" s="18"/>
    </row>
    <row r="637">
      <c r="A637" s="8"/>
      <c r="B637" s="9" t="s">
        <v>2729</v>
      </c>
      <c r="C637" s="10" t="s">
        <v>2730</v>
      </c>
      <c r="D637" s="9" t="s">
        <v>2490</v>
      </c>
      <c r="E637" s="11" t="s">
        <v>2867</v>
      </c>
      <c r="F637" s="12"/>
      <c r="G637" s="14" t="s">
        <v>2868</v>
      </c>
      <c r="H637" s="14" t="s">
        <v>90</v>
      </c>
      <c r="I637" s="14" t="s">
        <v>2869</v>
      </c>
      <c r="J637" s="14" t="s">
        <v>92</v>
      </c>
      <c r="K637" s="14" t="s">
        <v>92</v>
      </c>
      <c r="L637" s="14" t="s">
        <v>92</v>
      </c>
      <c r="M637" s="14" t="s">
        <v>93</v>
      </c>
      <c r="N637" s="14" t="s">
        <v>92</v>
      </c>
      <c r="O637" s="14" t="s">
        <v>92</v>
      </c>
      <c r="P637" s="14" t="s">
        <v>93</v>
      </c>
      <c r="Q637" s="14" t="s">
        <v>93</v>
      </c>
      <c r="R637" s="14" t="s">
        <v>92</v>
      </c>
      <c r="S637" s="14" t="s">
        <v>92</v>
      </c>
      <c r="T637" s="14" t="s">
        <v>92</v>
      </c>
      <c r="U637" s="14" t="s">
        <v>93</v>
      </c>
      <c r="V637" s="14" t="s">
        <v>92</v>
      </c>
      <c r="W637" s="14" t="s">
        <v>92</v>
      </c>
      <c r="X637" s="14" t="s">
        <v>92</v>
      </c>
      <c r="Y637" s="14" t="s">
        <v>92</v>
      </c>
      <c r="Z637" s="14" t="s">
        <v>92</v>
      </c>
      <c r="AA637" s="14" t="s">
        <v>92</v>
      </c>
      <c r="AB637" s="8" t="s">
        <v>93</v>
      </c>
      <c r="AC637" s="8" t="s">
        <v>92</v>
      </c>
      <c r="AD637" s="8" t="s">
        <v>92</v>
      </c>
      <c r="AE637" s="14" t="s">
        <v>94</v>
      </c>
      <c r="AF637" s="14" t="s">
        <v>92</v>
      </c>
      <c r="AG637" s="14" t="s">
        <v>95</v>
      </c>
      <c r="AH637" s="8" t="s">
        <v>105</v>
      </c>
      <c r="AI637" s="14" t="s">
        <v>92</v>
      </c>
      <c r="AJ637" s="14" t="s">
        <v>92</v>
      </c>
      <c r="AK637" s="14" t="s">
        <v>92</v>
      </c>
      <c r="AL637" s="14" t="s">
        <v>93</v>
      </c>
      <c r="AM637" s="8" t="s">
        <v>95</v>
      </c>
      <c r="AN637" s="14" t="s">
        <v>114</v>
      </c>
      <c r="AO637" s="8" t="s">
        <v>92</v>
      </c>
      <c r="AP637" s="8" t="s">
        <v>92</v>
      </c>
      <c r="AQ637" s="14" t="s">
        <v>92</v>
      </c>
      <c r="AR637" s="14" t="s">
        <v>93</v>
      </c>
      <c r="AS637" s="14" t="s">
        <v>92</v>
      </c>
      <c r="AT637" s="14" t="s">
        <v>92</v>
      </c>
      <c r="AU637" s="14" t="s">
        <v>92</v>
      </c>
      <c r="AV637" s="14" t="s">
        <v>93</v>
      </c>
      <c r="AW637" s="14" t="s">
        <v>93</v>
      </c>
      <c r="AX637" s="14" t="s">
        <v>93</v>
      </c>
      <c r="AY637" s="8" t="s">
        <v>95</v>
      </c>
      <c r="AZ637" s="8" t="s">
        <v>95</v>
      </c>
      <c r="BA637" s="9" t="s">
        <v>2729</v>
      </c>
      <c r="BB637" s="8" t="s">
        <v>97</v>
      </c>
      <c r="BC637" s="8" t="s">
        <v>92</v>
      </c>
      <c r="BD637" s="14" t="s">
        <v>92</v>
      </c>
      <c r="BE637" s="14" t="s">
        <v>92</v>
      </c>
      <c r="BF637" s="14" t="s">
        <v>92</v>
      </c>
      <c r="BG637" s="14" t="s">
        <v>92</v>
      </c>
      <c r="BH637" s="14" t="s">
        <v>92</v>
      </c>
      <c r="BI637" s="14" t="s">
        <v>93</v>
      </c>
      <c r="BJ637" s="14" t="s">
        <v>92</v>
      </c>
      <c r="BK637" s="14" t="s">
        <v>95</v>
      </c>
      <c r="BL637" s="14" t="s">
        <v>93</v>
      </c>
      <c r="BM637" s="14" t="s">
        <v>93</v>
      </c>
      <c r="BN637" s="14" t="s">
        <v>93</v>
      </c>
      <c r="BO637" s="14" t="s">
        <v>93</v>
      </c>
      <c r="BP637" s="14" t="s">
        <v>93</v>
      </c>
      <c r="BQ637" s="8" t="s">
        <v>93</v>
      </c>
      <c r="BR637" s="8" t="s">
        <v>92</v>
      </c>
      <c r="BS637" s="8" t="s">
        <v>92</v>
      </c>
      <c r="BT637" s="8" t="s">
        <v>92</v>
      </c>
      <c r="BU637" s="8" t="s">
        <v>92</v>
      </c>
      <c r="BV637" s="8" t="s">
        <v>92</v>
      </c>
      <c r="BW637" s="8" t="s">
        <v>93</v>
      </c>
      <c r="BX637" s="8" t="s">
        <v>92</v>
      </c>
      <c r="BY637" s="8" t="s">
        <v>92</v>
      </c>
      <c r="BZ637" s="8" t="s">
        <v>92</v>
      </c>
      <c r="CA637" s="8" t="s">
        <v>92</v>
      </c>
      <c r="CB637" s="20" t="s">
        <v>1371</v>
      </c>
      <c r="CC637" s="17"/>
      <c r="CD637" s="18"/>
      <c r="CE637" s="18"/>
      <c r="CF637" s="18"/>
      <c r="CG637" s="18"/>
      <c r="CH637" s="18"/>
    </row>
    <row r="638">
      <c r="A638" s="8"/>
      <c r="B638" s="9" t="s">
        <v>2870</v>
      </c>
      <c r="C638" s="10" t="s">
        <v>2871</v>
      </c>
      <c r="D638" s="9" t="s">
        <v>2490</v>
      </c>
      <c r="E638" s="11" t="s">
        <v>2872</v>
      </c>
      <c r="F638" s="12"/>
      <c r="G638" s="14" t="s">
        <v>2873</v>
      </c>
      <c r="H638" s="14" t="s">
        <v>90</v>
      </c>
      <c r="I638" s="14" t="s">
        <v>2874</v>
      </c>
      <c r="J638" s="14" t="s">
        <v>92</v>
      </c>
      <c r="K638" s="14" t="s">
        <v>92</v>
      </c>
      <c r="L638" s="14" t="s">
        <v>92</v>
      </c>
      <c r="M638" s="14" t="s">
        <v>92</v>
      </c>
      <c r="N638" s="14" t="s">
        <v>92</v>
      </c>
      <c r="O638" s="14" t="s">
        <v>92</v>
      </c>
      <c r="P638" s="14" t="s">
        <v>93</v>
      </c>
      <c r="Q638" s="14" t="s">
        <v>92</v>
      </c>
      <c r="R638" s="14" t="s">
        <v>93</v>
      </c>
      <c r="S638" s="14" t="s">
        <v>92</v>
      </c>
      <c r="T638" s="14" t="s">
        <v>92</v>
      </c>
      <c r="U638" s="14" t="s">
        <v>93</v>
      </c>
      <c r="V638" s="14" t="s">
        <v>92</v>
      </c>
      <c r="W638" s="14" t="s">
        <v>93</v>
      </c>
      <c r="X638" s="14" t="s">
        <v>92</v>
      </c>
      <c r="Y638" s="14" t="s">
        <v>92</v>
      </c>
      <c r="Z638" s="14" t="s">
        <v>92</v>
      </c>
      <c r="AA638" s="14" t="s">
        <v>92</v>
      </c>
      <c r="AB638" s="8" t="s">
        <v>93</v>
      </c>
      <c r="AC638" s="8" t="s">
        <v>92</v>
      </c>
      <c r="AD638" s="8" t="s">
        <v>92</v>
      </c>
      <c r="AE638" s="14" t="s">
        <v>94</v>
      </c>
      <c r="AF638" s="14" t="s">
        <v>92</v>
      </c>
      <c r="AG638" s="14" t="s">
        <v>95</v>
      </c>
      <c r="AH638" s="8" t="s">
        <v>105</v>
      </c>
      <c r="AI638" s="14" t="s">
        <v>105</v>
      </c>
      <c r="AJ638" s="14" t="s">
        <v>105</v>
      </c>
      <c r="AK638" s="14" t="s">
        <v>92</v>
      </c>
      <c r="AL638" s="14" t="s">
        <v>105</v>
      </c>
      <c r="AM638" s="8" t="s">
        <v>95</v>
      </c>
      <c r="AN638" s="14" t="s">
        <v>114</v>
      </c>
      <c r="AO638" s="8" t="s">
        <v>105</v>
      </c>
      <c r="AP638" s="8" t="s">
        <v>92</v>
      </c>
      <c r="AQ638" s="14" t="s">
        <v>92</v>
      </c>
      <c r="AR638" s="14" t="s">
        <v>92</v>
      </c>
      <c r="AS638" s="14" t="s">
        <v>92</v>
      </c>
      <c r="AT638" s="14" t="s">
        <v>92</v>
      </c>
      <c r="AU638" s="14" t="s">
        <v>92</v>
      </c>
      <c r="AV638" s="14" t="s">
        <v>92</v>
      </c>
      <c r="AW638" s="14" t="s">
        <v>93</v>
      </c>
      <c r="AX638" s="14" t="s">
        <v>93</v>
      </c>
      <c r="AY638" s="8" t="s">
        <v>95</v>
      </c>
      <c r="AZ638" s="8" t="s">
        <v>95</v>
      </c>
      <c r="BA638" s="9" t="s">
        <v>532</v>
      </c>
      <c r="BB638" s="8" t="s">
        <v>533</v>
      </c>
      <c r="BC638" s="8" t="s">
        <v>92</v>
      </c>
      <c r="BD638" s="14" t="s">
        <v>92</v>
      </c>
      <c r="BE638" s="14" t="s">
        <v>92</v>
      </c>
      <c r="BF638" s="14" t="s">
        <v>92</v>
      </c>
      <c r="BG638" s="14" t="s">
        <v>92</v>
      </c>
      <c r="BH638" s="14" t="s">
        <v>92</v>
      </c>
      <c r="BI638" s="14" t="s">
        <v>93</v>
      </c>
      <c r="BJ638" s="14" t="s">
        <v>92</v>
      </c>
      <c r="BK638" s="14" t="s">
        <v>482</v>
      </c>
      <c r="BL638" s="14" t="s">
        <v>92</v>
      </c>
      <c r="BM638" s="14" t="s">
        <v>92</v>
      </c>
      <c r="BN638" s="14" t="s">
        <v>92</v>
      </c>
      <c r="BO638" s="14" t="s">
        <v>93</v>
      </c>
      <c r="BP638" s="14" t="s">
        <v>92</v>
      </c>
      <c r="BQ638" s="8" t="s">
        <v>93</v>
      </c>
      <c r="BR638" s="8" t="s">
        <v>92</v>
      </c>
      <c r="BS638" s="8" t="s">
        <v>92</v>
      </c>
      <c r="BT638" s="8" t="s">
        <v>92</v>
      </c>
      <c r="BU638" s="8" t="s">
        <v>92</v>
      </c>
      <c r="BV638" s="8" t="s">
        <v>92</v>
      </c>
      <c r="BW638" s="8" t="s">
        <v>93</v>
      </c>
      <c r="BX638" s="8" t="s">
        <v>92</v>
      </c>
      <c r="BY638" s="8" t="s">
        <v>92</v>
      </c>
      <c r="BZ638" s="8" t="s">
        <v>92</v>
      </c>
      <c r="CA638" s="8" t="s">
        <v>92</v>
      </c>
      <c r="CB638" s="20" t="s">
        <v>2875</v>
      </c>
      <c r="CC638" s="24" t="s">
        <v>2876</v>
      </c>
      <c r="CD638" s="18"/>
      <c r="CE638" s="18"/>
      <c r="CF638" s="18"/>
      <c r="CG638" s="18"/>
      <c r="CH638" s="18"/>
    </row>
    <row r="639">
      <c r="A639" s="8"/>
      <c r="B639" s="9" t="s">
        <v>2877</v>
      </c>
      <c r="C639" s="10" t="s">
        <v>2878</v>
      </c>
      <c r="D639" s="9" t="s">
        <v>2490</v>
      </c>
      <c r="E639" s="11" t="s">
        <v>2879</v>
      </c>
      <c r="F639" s="12"/>
      <c r="G639" s="14" t="s">
        <v>2880</v>
      </c>
      <c r="H639" s="14" t="s">
        <v>110</v>
      </c>
      <c r="I639" s="14" t="s">
        <v>2881</v>
      </c>
      <c r="J639" s="14" t="s">
        <v>92</v>
      </c>
      <c r="K639" s="14" t="s">
        <v>92</v>
      </c>
      <c r="L639" s="14" t="s">
        <v>92</v>
      </c>
      <c r="M639" s="14" t="s">
        <v>92</v>
      </c>
      <c r="N639" s="14" t="s">
        <v>92</v>
      </c>
      <c r="O639" s="14" t="s">
        <v>92</v>
      </c>
      <c r="P639" s="14" t="s">
        <v>92</v>
      </c>
      <c r="Q639" s="14" t="s">
        <v>92</v>
      </c>
      <c r="R639" s="14" t="s">
        <v>93</v>
      </c>
      <c r="S639" s="14" t="s">
        <v>92</v>
      </c>
      <c r="T639" s="14" t="s">
        <v>92</v>
      </c>
      <c r="U639" s="14" t="s">
        <v>93</v>
      </c>
      <c r="V639" s="14" t="s">
        <v>92</v>
      </c>
      <c r="W639" s="14" t="s">
        <v>92</v>
      </c>
      <c r="X639" s="14" t="s">
        <v>92</v>
      </c>
      <c r="Y639" s="14" t="s">
        <v>92</v>
      </c>
      <c r="Z639" s="14" t="s">
        <v>92</v>
      </c>
      <c r="AA639" s="14" t="s">
        <v>92</v>
      </c>
      <c r="AB639" s="8" t="s">
        <v>93</v>
      </c>
      <c r="AC639" s="8" t="s">
        <v>92</v>
      </c>
      <c r="AD639" s="8" t="s">
        <v>92</v>
      </c>
      <c r="AE639" s="14" t="s">
        <v>94</v>
      </c>
      <c r="AF639" s="14" t="s">
        <v>92</v>
      </c>
      <c r="AG639" s="14" t="s">
        <v>95</v>
      </c>
      <c r="AH639" s="8">
        <v>2022.0</v>
      </c>
      <c r="AI639" s="14" t="s">
        <v>105</v>
      </c>
      <c r="AJ639" s="14" t="s">
        <v>105</v>
      </c>
      <c r="AK639" s="14" t="s">
        <v>93</v>
      </c>
      <c r="AL639" s="14" t="s">
        <v>92</v>
      </c>
      <c r="AM639" s="8" t="s">
        <v>105</v>
      </c>
      <c r="AN639" s="14" t="s">
        <v>105</v>
      </c>
      <c r="AO639" s="8" t="s">
        <v>105</v>
      </c>
      <c r="AP639" s="8" t="s">
        <v>105</v>
      </c>
      <c r="AQ639" s="14" t="s">
        <v>92</v>
      </c>
      <c r="AR639" s="14" t="s">
        <v>92</v>
      </c>
      <c r="AS639" s="14" t="s">
        <v>92</v>
      </c>
      <c r="AT639" s="14" t="s">
        <v>92</v>
      </c>
      <c r="AU639" s="14" t="s">
        <v>92</v>
      </c>
      <c r="AV639" s="14" t="s">
        <v>92</v>
      </c>
      <c r="AW639" s="14" t="s">
        <v>93</v>
      </c>
      <c r="AX639" s="14" t="s">
        <v>93</v>
      </c>
      <c r="AY639" s="8" t="s">
        <v>95</v>
      </c>
      <c r="AZ639" s="8" t="s">
        <v>95</v>
      </c>
      <c r="BA639" s="9" t="s">
        <v>2882</v>
      </c>
      <c r="BB639" s="8" t="s">
        <v>143</v>
      </c>
      <c r="BC639" s="8" t="s">
        <v>92</v>
      </c>
      <c r="BD639" s="14" t="s">
        <v>92</v>
      </c>
      <c r="BE639" s="14" t="s">
        <v>92</v>
      </c>
      <c r="BF639" s="14" t="s">
        <v>92</v>
      </c>
      <c r="BG639" s="14" t="s">
        <v>92</v>
      </c>
      <c r="BH639" s="14" t="s">
        <v>92</v>
      </c>
      <c r="BI639" s="14" t="s">
        <v>93</v>
      </c>
      <c r="BJ639" s="14" t="s">
        <v>92</v>
      </c>
      <c r="BK639" s="14" t="s">
        <v>1075</v>
      </c>
      <c r="BL639" s="14" t="s">
        <v>92</v>
      </c>
      <c r="BM639" s="14" t="s">
        <v>92</v>
      </c>
      <c r="BN639" s="14" t="s">
        <v>92</v>
      </c>
      <c r="BO639" s="14" t="s">
        <v>92</v>
      </c>
      <c r="BP639" s="14" t="s">
        <v>93</v>
      </c>
      <c r="BQ639" s="8" t="s">
        <v>93</v>
      </c>
      <c r="BR639" s="8" t="s">
        <v>92</v>
      </c>
      <c r="BS639" s="8" t="s">
        <v>92</v>
      </c>
      <c r="BT639" s="8" t="s">
        <v>92</v>
      </c>
      <c r="BU639" s="8" t="s">
        <v>92</v>
      </c>
      <c r="BV639" s="8" t="s">
        <v>92</v>
      </c>
      <c r="BW639" s="8" t="s">
        <v>92</v>
      </c>
      <c r="BX639" s="8" t="s">
        <v>92</v>
      </c>
      <c r="BY639" s="8" t="s">
        <v>92</v>
      </c>
      <c r="BZ639" s="8" t="s">
        <v>92</v>
      </c>
      <c r="CA639" s="8" t="s">
        <v>92</v>
      </c>
      <c r="CB639" s="20" t="s">
        <v>106</v>
      </c>
      <c r="CC639" s="24" t="s">
        <v>2883</v>
      </c>
      <c r="CD639" s="18"/>
      <c r="CE639" s="18"/>
      <c r="CF639" s="18"/>
      <c r="CG639" s="18"/>
      <c r="CH639" s="18"/>
    </row>
    <row r="640">
      <c r="A640" s="8"/>
      <c r="B640" s="9" t="s">
        <v>2884</v>
      </c>
      <c r="C640" s="10" t="s">
        <v>2885</v>
      </c>
      <c r="D640" s="9" t="s">
        <v>2490</v>
      </c>
      <c r="E640" s="11" t="s">
        <v>2886</v>
      </c>
      <c r="F640" s="12"/>
      <c r="G640" s="14" t="s">
        <v>2887</v>
      </c>
      <c r="H640" s="14" t="s">
        <v>90</v>
      </c>
      <c r="I640" s="14" t="s">
        <v>2888</v>
      </c>
      <c r="J640" s="14" t="s">
        <v>92</v>
      </c>
      <c r="K640" s="14" t="s">
        <v>92</v>
      </c>
      <c r="L640" s="14" t="s">
        <v>92</v>
      </c>
      <c r="M640" s="14" t="s">
        <v>93</v>
      </c>
      <c r="N640" s="14" t="s">
        <v>92</v>
      </c>
      <c r="O640" s="14" t="s">
        <v>92</v>
      </c>
      <c r="P640" s="14" t="s">
        <v>93</v>
      </c>
      <c r="Q640" s="14" t="s">
        <v>93</v>
      </c>
      <c r="R640" s="14" t="s">
        <v>93</v>
      </c>
      <c r="S640" s="14" t="s">
        <v>92</v>
      </c>
      <c r="T640" s="14" t="s">
        <v>93</v>
      </c>
      <c r="U640" s="14" t="s">
        <v>93</v>
      </c>
      <c r="V640" s="14" t="s">
        <v>92</v>
      </c>
      <c r="W640" s="14" t="s">
        <v>92</v>
      </c>
      <c r="X640" s="14" t="s">
        <v>92</v>
      </c>
      <c r="Y640" s="14" t="s">
        <v>92</v>
      </c>
      <c r="Z640" s="14" t="s">
        <v>92</v>
      </c>
      <c r="AA640" s="14" t="s">
        <v>92</v>
      </c>
      <c r="AB640" s="8" t="s">
        <v>93</v>
      </c>
      <c r="AC640" s="8" t="s">
        <v>92</v>
      </c>
      <c r="AD640" s="8" t="s">
        <v>92</v>
      </c>
      <c r="AE640" s="14" t="s">
        <v>148</v>
      </c>
      <c r="AF640" s="14" t="s">
        <v>92</v>
      </c>
      <c r="AG640" s="14" t="s">
        <v>95</v>
      </c>
      <c r="AH640" s="8" t="s">
        <v>105</v>
      </c>
      <c r="AI640" s="14" t="s">
        <v>105</v>
      </c>
      <c r="AJ640" s="14" t="s">
        <v>105</v>
      </c>
      <c r="AK640" s="14" t="s">
        <v>105</v>
      </c>
      <c r="AL640" s="14" t="s">
        <v>105</v>
      </c>
      <c r="AM640" s="8" t="s">
        <v>105</v>
      </c>
      <c r="AN640" s="14" t="s">
        <v>105</v>
      </c>
      <c r="AO640" s="8" t="s">
        <v>105</v>
      </c>
      <c r="AP640" s="8" t="s">
        <v>105</v>
      </c>
      <c r="AQ640" s="14" t="s">
        <v>92</v>
      </c>
      <c r="AR640" s="14" t="s">
        <v>93</v>
      </c>
      <c r="AS640" s="14" t="s">
        <v>93</v>
      </c>
      <c r="AT640" s="14" t="s">
        <v>93</v>
      </c>
      <c r="AU640" s="14" t="s">
        <v>93</v>
      </c>
      <c r="AV640" s="14" t="s">
        <v>93</v>
      </c>
      <c r="AW640" s="14" t="s">
        <v>93</v>
      </c>
      <c r="AX640" s="14" t="s">
        <v>93</v>
      </c>
      <c r="AY640" s="8" t="s">
        <v>2889</v>
      </c>
      <c r="AZ640" s="8" t="s">
        <v>92</v>
      </c>
      <c r="BA640" s="9" t="s">
        <v>2887</v>
      </c>
      <c r="BB640" s="8" t="s">
        <v>143</v>
      </c>
      <c r="BC640" s="8" t="s">
        <v>92</v>
      </c>
      <c r="BD640" s="14" t="s">
        <v>92</v>
      </c>
      <c r="BE640" s="14" t="s">
        <v>92</v>
      </c>
      <c r="BF640" s="14" t="s">
        <v>92</v>
      </c>
      <c r="BG640" s="14" t="s">
        <v>92</v>
      </c>
      <c r="BH640" s="14" t="s">
        <v>92</v>
      </c>
      <c r="BI640" s="14" t="s">
        <v>93</v>
      </c>
      <c r="BJ640" s="14" t="s">
        <v>92</v>
      </c>
      <c r="BK640" s="14" t="s">
        <v>546</v>
      </c>
      <c r="BL640" s="14" t="s">
        <v>92</v>
      </c>
      <c r="BM640" s="14" t="s">
        <v>92</v>
      </c>
      <c r="BN640" s="14" t="s">
        <v>93</v>
      </c>
      <c r="BO640" s="14" t="s">
        <v>92</v>
      </c>
      <c r="BP640" s="14" t="s">
        <v>92</v>
      </c>
      <c r="BQ640" s="8" t="s">
        <v>93</v>
      </c>
      <c r="BR640" s="8" t="s">
        <v>93</v>
      </c>
      <c r="BS640" s="8" t="s">
        <v>92</v>
      </c>
      <c r="BT640" s="8" t="s">
        <v>92</v>
      </c>
      <c r="BU640" s="8" t="s">
        <v>92</v>
      </c>
      <c r="BV640" s="8" t="s">
        <v>92</v>
      </c>
      <c r="BW640" s="8" t="s">
        <v>92</v>
      </c>
      <c r="BX640" s="8" t="s">
        <v>92</v>
      </c>
      <c r="BY640" s="8" t="s">
        <v>92</v>
      </c>
      <c r="BZ640" s="8" t="s">
        <v>92</v>
      </c>
      <c r="CA640" s="8" t="s">
        <v>92</v>
      </c>
      <c r="CB640" s="20" t="s">
        <v>2875</v>
      </c>
      <c r="CC640" s="24" t="s">
        <v>2890</v>
      </c>
      <c r="CD640" s="18"/>
      <c r="CE640" s="18"/>
      <c r="CF640" s="18"/>
      <c r="CG640" s="18"/>
      <c r="CH640" s="18"/>
    </row>
    <row r="641">
      <c r="A641" s="8"/>
      <c r="B641" s="9" t="s">
        <v>2884</v>
      </c>
      <c r="C641" s="10" t="s">
        <v>2885</v>
      </c>
      <c r="D641" s="9" t="s">
        <v>2490</v>
      </c>
      <c r="E641" s="11" t="s">
        <v>2891</v>
      </c>
      <c r="F641" s="12"/>
      <c r="G641" s="14" t="s">
        <v>2892</v>
      </c>
      <c r="H641" s="14" t="s">
        <v>90</v>
      </c>
      <c r="I641" s="14" t="s">
        <v>2893</v>
      </c>
      <c r="J641" s="14" t="s">
        <v>92</v>
      </c>
      <c r="K641" s="14" t="s">
        <v>92</v>
      </c>
      <c r="L641" s="14" t="s">
        <v>92</v>
      </c>
      <c r="M641" s="14" t="s">
        <v>92</v>
      </c>
      <c r="N641" s="14" t="s">
        <v>92</v>
      </c>
      <c r="O641" s="14" t="s">
        <v>92</v>
      </c>
      <c r="P641" s="14" t="s">
        <v>92</v>
      </c>
      <c r="Q641" s="14" t="s">
        <v>92</v>
      </c>
      <c r="R641" s="14" t="s">
        <v>92</v>
      </c>
      <c r="S641" s="14" t="s">
        <v>92</v>
      </c>
      <c r="T641" s="14" t="s">
        <v>92</v>
      </c>
      <c r="U641" s="14" t="s">
        <v>92</v>
      </c>
      <c r="V641" s="14" t="s">
        <v>92</v>
      </c>
      <c r="W641" s="14" t="s">
        <v>92</v>
      </c>
      <c r="X641" s="14" t="s">
        <v>93</v>
      </c>
      <c r="Y641" s="14" t="s">
        <v>92</v>
      </c>
      <c r="Z641" s="14" t="s">
        <v>93</v>
      </c>
      <c r="AA641" s="14" t="s">
        <v>92</v>
      </c>
      <c r="AB641" s="8" t="s">
        <v>92</v>
      </c>
      <c r="AC641" s="8" t="s">
        <v>93</v>
      </c>
      <c r="AD641" s="8" t="s">
        <v>92</v>
      </c>
      <c r="AE641" s="14" t="s">
        <v>112</v>
      </c>
      <c r="AF641" s="14" t="s">
        <v>92</v>
      </c>
      <c r="AG641" s="14" t="s">
        <v>95</v>
      </c>
      <c r="AH641" s="8" t="s">
        <v>105</v>
      </c>
      <c r="AI641" s="14" t="s">
        <v>105</v>
      </c>
      <c r="AJ641" s="14" t="s">
        <v>105</v>
      </c>
      <c r="AK641" s="14" t="s">
        <v>105</v>
      </c>
      <c r="AL641" s="14" t="s">
        <v>105</v>
      </c>
      <c r="AM641" s="8" t="s">
        <v>105</v>
      </c>
      <c r="AN641" s="14" t="s">
        <v>105</v>
      </c>
      <c r="AO641" s="8" t="s">
        <v>105</v>
      </c>
      <c r="AP641" s="8" t="s">
        <v>105</v>
      </c>
      <c r="AQ641" s="14" t="s">
        <v>92</v>
      </c>
      <c r="AR641" s="14" t="s">
        <v>93</v>
      </c>
      <c r="AS641" s="14" t="s">
        <v>93</v>
      </c>
      <c r="AT641" s="14" t="s">
        <v>93</v>
      </c>
      <c r="AU641" s="14" t="s">
        <v>93</v>
      </c>
      <c r="AV641" s="14" t="s">
        <v>93</v>
      </c>
      <c r="AW641" s="14" t="s">
        <v>93</v>
      </c>
      <c r="AX641" s="14" t="s">
        <v>93</v>
      </c>
      <c r="AY641" s="8" t="s">
        <v>95</v>
      </c>
      <c r="AZ641" s="8" t="s">
        <v>95</v>
      </c>
      <c r="BA641" s="9" t="s">
        <v>2884</v>
      </c>
      <c r="BB641" s="8" t="s">
        <v>261</v>
      </c>
      <c r="BC641" s="8" t="s">
        <v>92</v>
      </c>
      <c r="BD641" s="14" t="s">
        <v>92</v>
      </c>
      <c r="BE641" s="14" t="s">
        <v>92</v>
      </c>
      <c r="BF641" s="14" t="s">
        <v>92</v>
      </c>
      <c r="BG641" s="14" t="s">
        <v>93</v>
      </c>
      <c r="BH641" s="14" t="s">
        <v>92</v>
      </c>
      <c r="BI641" s="14" t="s">
        <v>92</v>
      </c>
      <c r="BJ641" s="14" t="s">
        <v>92</v>
      </c>
      <c r="BK641" s="14" t="s">
        <v>546</v>
      </c>
      <c r="BL641" s="14" t="s">
        <v>92</v>
      </c>
      <c r="BM641" s="14" t="s">
        <v>92</v>
      </c>
      <c r="BN641" s="14" t="s">
        <v>93</v>
      </c>
      <c r="BO641" s="14" t="s">
        <v>92</v>
      </c>
      <c r="BP641" s="14" t="s">
        <v>92</v>
      </c>
      <c r="BQ641" s="8" t="s">
        <v>92</v>
      </c>
      <c r="BR641" s="8" t="s">
        <v>92</v>
      </c>
      <c r="BS641" s="8" t="s">
        <v>92</v>
      </c>
      <c r="BT641" s="8" t="s">
        <v>93</v>
      </c>
      <c r="BU641" s="8" t="s">
        <v>92</v>
      </c>
      <c r="BV641" s="8" t="s">
        <v>92</v>
      </c>
      <c r="BW641" s="8" t="s">
        <v>92</v>
      </c>
      <c r="BX641" s="8" t="s">
        <v>92</v>
      </c>
      <c r="BY641" s="8" t="s">
        <v>93</v>
      </c>
      <c r="BZ641" s="8" t="s">
        <v>92</v>
      </c>
      <c r="CA641" s="8" t="s">
        <v>92</v>
      </c>
      <c r="CB641" s="20" t="s">
        <v>2892</v>
      </c>
      <c r="CC641" s="17"/>
      <c r="CD641" s="18"/>
      <c r="CE641" s="18"/>
      <c r="CF641" s="18"/>
      <c r="CG641" s="18"/>
      <c r="CH641" s="18"/>
    </row>
    <row r="642">
      <c r="A642" s="8"/>
      <c r="B642" s="19" t="s">
        <v>2894</v>
      </c>
      <c r="C642" s="10" t="s">
        <v>2895</v>
      </c>
      <c r="D642" s="9" t="s">
        <v>2490</v>
      </c>
      <c r="E642" s="11" t="s">
        <v>2896</v>
      </c>
      <c r="F642" s="12"/>
      <c r="G642" s="14" t="s">
        <v>2897</v>
      </c>
      <c r="H642" s="14" t="s">
        <v>189</v>
      </c>
      <c r="I642" s="14" t="s">
        <v>2898</v>
      </c>
      <c r="J642" s="14" t="s">
        <v>92</v>
      </c>
      <c r="K642" s="14" t="s">
        <v>93</v>
      </c>
      <c r="L642" s="14" t="s">
        <v>92</v>
      </c>
      <c r="M642" s="14" t="s">
        <v>93</v>
      </c>
      <c r="N642" s="14" t="s">
        <v>92</v>
      </c>
      <c r="O642" s="14" t="s">
        <v>92</v>
      </c>
      <c r="P642" s="14" t="s">
        <v>92</v>
      </c>
      <c r="Q642" s="14" t="s">
        <v>93</v>
      </c>
      <c r="R642" s="14" t="s">
        <v>92</v>
      </c>
      <c r="S642" s="14" t="s">
        <v>92</v>
      </c>
      <c r="T642" s="14" t="s">
        <v>92</v>
      </c>
      <c r="U642" s="14" t="s">
        <v>93</v>
      </c>
      <c r="V642" s="14" t="s">
        <v>92</v>
      </c>
      <c r="W642" s="14" t="s">
        <v>92</v>
      </c>
      <c r="X642" s="14" t="s">
        <v>92</v>
      </c>
      <c r="Y642" s="14" t="s">
        <v>92</v>
      </c>
      <c r="Z642" s="14" t="s">
        <v>92</v>
      </c>
      <c r="AA642" s="14" t="s">
        <v>92</v>
      </c>
      <c r="AB642" s="8" t="s">
        <v>93</v>
      </c>
      <c r="AC642" s="8" t="s">
        <v>92</v>
      </c>
      <c r="AD642" s="8" t="s">
        <v>92</v>
      </c>
      <c r="AE642" s="14" t="s">
        <v>94</v>
      </c>
      <c r="AF642" s="14" t="s">
        <v>92</v>
      </c>
      <c r="AG642" s="14" t="s">
        <v>95</v>
      </c>
      <c r="AH642" s="8">
        <v>2020.0</v>
      </c>
      <c r="AI642" s="14" t="s">
        <v>93</v>
      </c>
      <c r="AJ642" s="14" t="s">
        <v>92</v>
      </c>
      <c r="AK642" s="14" t="s">
        <v>92</v>
      </c>
      <c r="AL642" s="14" t="s">
        <v>92</v>
      </c>
      <c r="AM642" s="8">
        <v>2020.0</v>
      </c>
      <c r="AN642" s="14" t="s">
        <v>96</v>
      </c>
      <c r="AO642" s="8" t="s">
        <v>92</v>
      </c>
      <c r="AP642" s="8" t="s">
        <v>92</v>
      </c>
      <c r="AQ642" s="14" t="s">
        <v>92</v>
      </c>
      <c r="AR642" s="14" t="s">
        <v>92</v>
      </c>
      <c r="AS642" s="14" t="s">
        <v>92</v>
      </c>
      <c r="AT642" s="14" t="s">
        <v>92</v>
      </c>
      <c r="AU642" s="14" t="s">
        <v>92</v>
      </c>
      <c r="AV642" s="14" t="s">
        <v>92</v>
      </c>
      <c r="AW642" s="14" t="s">
        <v>93</v>
      </c>
      <c r="AX642" s="14" t="s">
        <v>93</v>
      </c>
      <c r="AY642" s="8" t="s">
        <v>2899</v>
      </c>
      <c r="AZ642" s="8" t="s">
        <v>92</v>
      </c>
      <c r="BA642" s="9" t="s">
        <v>2894</v>
      </c>
      <c r="BB642" s="8" t="s">
        <v>97</v>
      </c>
      <c r="BC642" s="8" t="s">
        <v>92</v>
      </c>
      <c r="BD642" s="14" t="s">
        <v>92</v>
      </c>
      <c r="BE642" s="14" t="s">
        <v>92</v>
      </c>
      <c r="BF642" s="14" t="s">
        <v>92</v>
      </c>
      <c r="BG642" s="14" t="s">
        <v>92</v>
      </c>
      <c r="BH642" s="14" t="s">
        <v>92</v>
      </c>
      <c r="BI642" s="14" t="s">
        <v>93</v>
      </c>
      <c r="BJ642" s="14" t="s">
        <v>92</v>
      </c>
      <c r="BK642" s="14" t="s">
        <v>2900</v>
      </c>
      <c r="BL642" s="14" t="s">
        <v>93</v>
      </c>
      <c r="BM642" s="14" t="s">
        <v>92</v>
      </c>
      <c r="BN642" s="14" t="s">
        <v>92</v>
      </c>
      <c r="BO642" s="14" t="s">
        <v>93</v>
      </c>
      <c r="BP642" s="14" t="s">
        <v>93</v>
      </c>
      <c r="BQ642" s="8" t="s">
        <v>93</v>
      </c>
      <c r="BR642" s="8" t="s">
        <v>92</v>
      </c>
      <c r="BS642" s="8" t="s">
        <v>92</v>
      </c>
      <c r="BT642" s="8" t="s">
        <v>92</v>
      </c>
      <c r="BU642" s="8" t="s">
        <v>92</v>
      </c>
      <c r="BV642" s="8" t="s">
        <v>92</v>
      </c>
      <c r="BW642" s="8" t="s">
        <v>92</v>
      </c>
      <c r="BX642" s="8" t="s">
        <v>92</v>
      </c>
      <c r="BY642" s="8" t="s">
        <v>92</v>
      </c>
      <c r="BZ642" s="8" t="s">
        <v>92</v>
      </c>
      <c r="CA642" s="8" t="s">
        <v>92</v>
      </c>
      <c r="CB642" s="20" t="s">
        <v>178</v>
      </c>
      <c r="CC642" s="20" t="s">
        <v>115</v>
      </c>
      <c r="CD642" s="18"/>
      <c r="CE642" s="18"/>
      <c r="CF642" s="18"/>
      <c r="CG642" s="18"/>
      <c r="CH642" s="18"/>
    </row>
    <row r="643">
      <c r="A643" s="8"/>
      <c r="B643" s="9" t="s">
        <v>2894</v>
      </c>
      <c r="C643" s="10" t="s">
        <v>2895</v>
      </c>
      <c r="D643" s="9" t="s">
        <v>2490</v>
      </c>
      <c r="E643" s="11" t="s">
        <v>2901</v>
      </c>
      <c r="F643" s="12"/>
      <c r="G643" s="14" t="s">
        <v>2902</v>
      </c>
      <c r="H643" s="14" t="s">
        <v>189</v>
      </c>
      <c r="I643" s="14" t="s">
        <v>2903</v>
      </c>
      <c r="J643" s="14" t="s">
        <v>92</v>
      </c>
      <c r="K643" s="14" t="s">
        <v>92</v>
      </c>
      <c r="L643" s="14" t="s">
        <v>92</v>
      </c>
      <c r="M643" s="14" t="s">
        <v>93</v>
      </c>
      <c r="N643" s="14" t="s">
        <v>92</v>
      </c>
      <c r="O643" s="14" t="s">
        <v>92</v>
      </c>
      <c r="P643" s="14" t="s">
        <v>92</v>
      </c>
      <c r="Q643" s="14" t="s">
        <v>92</v>
      </c>
      <c r="R643" s="14" t="s">
        <v>92</v>
      </c>
      <c r="S643" s="14" t="s">
        <v>92</v>
      </c>
      <c r="T643" s="14" t="s">
        <v>92</v>
      </c>
      <c r="U643" s="14" t="s">
        <v>93</v>
      </c>
      <c r="V643" s="14" t="s">
        <v>92</v>
      </c>
      <c r="W643" s="14" t="s">
        <v>92</v>
      </c>
      <c r="X643" s="14" t="s">
        <v>92</v>
      </c>
      <c r="Y643" s="14" t="s">
        <v>92</v>
      </c>
      <c r="Z643" s="14" t="s">
        <v>92</v>
      </c>
      <c r="AA643" s="14" t="s">
        <v>92</v>
      </c>
      <c r="AB643" s="8" t="s">
        <v>93</v>
      </c>
      <c r="AC643" s="8" t="s">
        <v>92</v>
      </c>
      <c r="AD643" s="8" t="s">
        <v>92</v>
      </c>
      <c r="AE643" s="14" t="s">
        <v>94</v>
      </c>
      <c r="AF643" s="14" t="s">
        <v>92</v>
      </c>
      <c r="AG643" s="14" t="s">
        <v>95</v>
      </c>
      <c r="AH643" s="8">
        <v>2021.0</v>
      </c>
      <c r="AI643" s="14" t="s">
        <v>92</v>
      </c>
      <c r="AJ643" s="14" t="s">
        <v>93</v>
      </c>
      <c r="AK643" s="14" t="s">
        <v>92</v>
      </c>
      <c r="AL643" s="14" t="s">
        <v>92</v>
      </c>
      <c r="AM643" s="8">
        <v>2021.0</v>
      </c>
      <c r="AN643" s="14" t="s">
        <v>96</v>
      </c>
      <c r="AO643" s="8" t="s">
        <v>92</v>
      </c>
      <c r="AP643" s="8" t="s">
        <v>93</v>
      </c>
      <c r="AQ643" s="14" t="s">
        <v>92</v>
      </c>
      <c r="AR643" s="14" t="s">
        <v>92</v>
      </c>
      <c r="AS643" s="14" t="s">
        <v>92</v>
      </c>
      <c r="AT643" s="14" t="s">
        <v>92</v>
      </c>
      <c r="AU643" s="14" t="s">
        <v>92</v>
      </c>
      <c r="AV643" s="14" t="s">
        <v>92</v>
      </c>
      <c r="AW643" s="14" t="s">
        <v>93</v>
      </c>
      <c r="AX643" s="14" t="s">
        <v>93</v>
      </c>
      <c r="AY643" s="8" t="s">
        <v>95</v>
      </c>
      <c r="AZ643" s="8" t="s">
        <v>95</v>
      </c>
      <c r="BA643" s="9" t="s">
        <v>2894</v>
      </c>
      <c r="BB643" s="8" t="s">
        <v>97</v>
      </c>
      <c r="BC643" s="8" t="s">
        <v>92</v>
      </c>
      <c r="BD643" s="14" t="s">
        <v>92</v>
      </c>
      <c r="BE643" s="14" t="s">
        <v>92</v>
      </c>
      <c r="BF643" s="14" t="s">
        <v>92</v>
      </c>
      <c r="BG643" s="14" t="s">
        <v>92</v>
      </c>
      <c r="BH643" s="14" t="s">
        <v>92</v>
      </c>
      <c r="BI643" s="14" t="s">
        <v>93</v>
      </c>
      <c r="BJ643" s="14" t="s">
        <v>92</v>
      </c>
      <c r="BK643" s="14" t="s">
        <v>2900</v>
      </c>
      <c r="BL643" s="14" t="s">
        <v>93</v>
      </c>
      <c r="BM643" s="14" t="s">
        <v>92</v>
      </c>
      <c r="BN643" s="14" t="s">
        <v>92</v>
      </c>
      <c r="BO643" s="14" t="s">
        <v>93</v>
      </c>
      <c r="BP643" s="14" t="s">
        <v>93</v>
      </c>
      <c r="BQ643" s="8" t="s">
        <v>93</v>
      </c>
      <c r="BR643" s="8" t="s">
        <v>92</v>
      </c>
      <c r="BS643" s="8" t="s">
        <v>92</v>
      </c>
      <c r="BT643" s="8" t="s">
        <v>92</v>
      </c>
      <c r="BU643" s="8" t="s">
        <v>92</v>
      </c>
      <c r="BV643" s="8" t="s">
        <v>92</v>
      </c>
      <c r="BW643" s="8" t="s">
        <v>92</v>
      </c>
      <c r="BX643" s="8" t="s">
        <v>92</v>
      </c>
      <c r="BY643" s="8" t="s">
        <v>92</v>
      </c>
      <c r="BZ643" s="8" t="s">
        <v>92</v>
      </c>
      <c r="CA643" s="8" t="s">
        <v>92</v>
      </c>
      <c r="CB643" s="20" t="s">
        <v>178</v>
      </c>
      <c r="CC643" s="20" t="s">
        <v>115</v>
      </c>
      <c r="CD643" s="18"/>
      <c r="CE643" s="18"/>
      <c r="CF643" s="18"/>
      <c r="CG643" s="18"/>
      <c r="CH643" s="18"/>
    </row>
    <row r="644">
      <c r="A644" s="8"/>
      <c r="B644" s="9" t="s">
        <v>2894</v>
      </c>
      <c r="C644" s="10" t="s">
        <v>2895</v>
      </c>
      <c r="D644" s="9" t="s">
        <v>2490</v>
      </c>
      <c r="E644" s="11" t="s">
        <v>2904</v>
      </c>
      <c r="F644" s="12"/>
      <c r="G644" s="14" t="s">
        <v>2905</v>
      </c>
      <c r="H644" s="14" t="s">
        <v>189</v>
      </c>
      <c r="I644" s="14" t="s">
        <v>2906</v>
      </c>
      <c r="J644" s="14" t="s">
        <v>92</v>
      </c>
      <c r="K644" s="14" t="s">
        <v>93</v>
      </c>
      <c r="L644" s="14" t="s">
        <v>92</v>
      </c>
      <c r="M644" s="14" t="s">
        <v>92</v>
      </c>
      <c r="N644" s="14" t="s">
        <v>92</v>
      </c>
      <c r="O644" s="14" t="s">
        <v>92</v>
      </c>
      <c r="P644" s="14" t="s">
        <v>92</v>
      </c>
      <c r="Q644" s="14" t="s">
        <v>92</v>
      </c>
      <c r="R644" s="14" t="s">
        <v>92</v>
      </c>
      <c r="S644" s="14" t="s">
        <v>92</v>
      </c>
      <c r="T644" s="14" t="s">
        <v>92</v>
      </c>
      <c r="U644" s="14" t="s">
        <v>93</v>
      </c>
      <c r="V644" s="14" t="s">
        <v>92</v>
      </c>
      <c r="W644" s="14" t="s">
        <v>92</v>
      </c>
      <c r="X644" s="14" t="s">
        <v>92</v>
      </c>
      <c r="Y644" s="14" t="s">
        <v>92</v>
      </c>
      <c r="Z644" s="14" t="s">
        <v>92</v>
      </c>
      <c r="AA644" s="14" t="s">
        <v>92</v>
      </c>
      <c r="AB644" s="8" t="s">
        <v>93</v>
      </c>
      <c r="AC644" s="8" t="s">
        <v>92</v>
      </c>
      <c r="AD644" s="8" t="s">
        <v>92</v>
      </c>
      <c r="AE644" s="14" t="s">
        <v>94</v>
      </c>
      <c r="AF644" s="14" t="s">
        <v>92</v>
      </c>
      <c r="AG644" s="14" t="s">
        <v>95</v>
      </c>
      <c r="AH644" s="8" t="s">
        <v>105</v>
      </c>
      <c r="AI644" s="14" t="s">
        <v>92</v>
      </c>
      <c r="AJ644" s="14" t="s">
        <v>92</v>
      </c>
      <c r="AK644" s="14" t="s">
        <v>93</v>
      </c>
      <c r="AL644" s="14" t="s">
        <v>92</v>
      </c>
      <c r="AM644" s="8" t="s">
        <v>105</v>
      </c>
      <c r="AN644" s="14" t="s">
        <v>105</v>
      </c>
      <c r="AO644" s="8" t="s">
        <v>105</v>
      </c>
      <c r="AP644" s="8" t="s">
        <v>92</v>
      </c>
      <c r="AQ644" s="14" t="s">
        <v>92</v>
      </c>
      <c r="AR644" s="14" t="s">
        <v>92</v>
      </c>
      <c r="AS644" s="14" t="s">
        <v>92</v>
      </c>
      <c r="AT644" s="14" t="s">
        <v>92</v>
      </c>
      <c r="AU644" s="14" t="s">
        <v>92</v>
      </c>
      <c r="AV644" s="14" t="s">
        <v>92</v>
      </c>
      <c r="AW644" s="14" t="s">
        <v>93</v>
      </c>
      <c r="AX644" s="14" t="s">
        <v>93</v>
      </c>
      <c r="AY644" s="8" t="s">
        <v>95</v>
      </c>
      <c r="AZ644" s="8" t="s">
        <v>95</v>
      </c>
      <c r="BA644" s="9" t="s">
        <v>2894</v>
      </c>
      <c r="BB644" s="8" t="s">
        <v>97</v>
      </c>
      <c r="BC644" s="8" t="s">
        <v>92</v>
      </c>
      <c r="BD644" s="14" t="s">
        <v>92</v>
      </c>
      <c r="BE644" s="14" t="s">
        <v>92</v>
      </c>
      <c r="BF644" s="14" t="s">
        <v>92</v>
      </c>
      <c r="BG644" s="14" t="s">
        <v>92</v>
      </c>
      <c r="BH644" s="14" t="s">
        <v>92</v>
      </c>
      <c r="BI644" s="14" t="s">
        <v>93</v>
      </c>
      <c r="BJ644" s="14" t="s">
        <v>92</v>
      </c>
      <c r="BK644" s="14" t="s">
        <v>105</v>
      </c>
      <c r="BL644" s="14" t="s">
        <v>105</v>
      </c>
      <c r="BM644" s="14" t="s">
        <v>105</v>
      </c>
      <c r="BN644" s="14" t="s">
        <v>105</v>
      </c>
      <c r="BO644" s="14" t="s">
        <v>105</v>
      </c>
      <c r="BP644" s="14" t="s">
        <v>105</v>
      </c>
      <c r="BQ644" s="8" t="s">
        <v>93</v>
      </c>
      <c r="BR644" s="8" t="s">
        <v>92</v>
      </c>
      <c r="BS644" s="8" t="s">
        <v>92</v>
      </c>
      <c r="BT644" s="8" t="s">
        <v>92</v>
      </c>
      <c r="BU644" s="8" t="s">
        <v>92</v>
      </c>
      <c r="BV644" s="8" t="s">
        <v>92</v>
      </c>
      <c r="BW644" s="8" t="s">
        <v>92</v>
      </c>
      <c r="BX644" s="8" t="s">
        <v>92</v>
      </c>
      <c r="BY644" s="8" t="s">
        <v>92</v>
      </c>
      <c r="BZ644" s="8" t="s">
        <v>92</v>
      </c>
      <c r="CA644" s="8" t="s">
        <v>92</v>
      </c>
      <c r="CB644" s="20" t="s">
        <v>106</v>
      </c>
      <c r="CC644" s="17"/>
      <c r="CD644" s="18"/>
      <c r="CE644" s="18"/>
      <c r="CF644" s="18"/>
      <c r="CG644" s="18"/>
      <c r="CH644" s="18"/>
    </row>
    <row r="645">
      <c r="A645" s="8"/>
      <c r="B645" s="9" t="s">
        <v>2894</v>
      </c>
      <c r="C645" s="10" t="s">
        <v>2895</v>
      </c>
      <c r="D645" s="9" t="s">
        <v>2490</v>
      </c>
      <c r="E645" s="11" t="s">
        <v>2907</v>
      </c>
      <c r="F645" s="12"/>
      <c r="G645" s="14" t="s">
        <v>2908</v>
      </c>
      <c r="H645" s="14" t="s">
        <v>189</v>
      </c>
      <c r="I645" s="14" t="s">
        <v>2909</v>
      </c>
      <c r="J645" s="14" t="s">
        <v>92</v>
      </c>
      <c r="K645" s="14" t="s">
        <v>92</v>
      </c>
      <c r="L645" s="14" t="s">
        <v>92</v>
      </c>
      <c r="M645" s="14" t="s">
        <v>93</v>
      </c>
      <c r="N645" s="14" t="s">
        <v>92</v>
      </c>
      <c r="O645" s="14" t="s">
        <v>92</v>
      </c>
      <c r="P645" s="14" t="s">
        <v>92</v>
      </c>
      <c r="Q645" s="14" t="s">
        <v>92</v>
      </c>
      <c r="R645" s="14" t="s">
        <v>93</v>
      </c>
      <c r="S645" s="14" t="s">
        <v>92</v>
      </c>
      <c r="T645" s="14" t="s">
        <v>92</v>
      </c>
      <c r="U645" s="14" t="s">
        <v>93</v>
      </c>
      <c r="V645" s="14" t="s">
        <v>92</v>
      </c>
      <c r="W645" s="14" t="s">
        <v>92</v>
      </c>
      <c r="X645" s="14" t="s">
        <v>92</v>
      </c>
      <c r="Y645" s="14" t="s">
        <v>92</v>
      </c>
      <c r="Z645" s="14" t="s">
        <v>92</v>
      </c>
      <c r="AA645" s="14" t="s">
        <v>92</v>
      </c>
      <c r="AB645" s="8" t="s">
        <v>93</v>
      </c>
      <c r="AC645" s="8" t="s">
        <v>92</v>
      </c>
      <c r="AD645" s="8" t="s">
        <v>92</v>
      </c>
      <c r="AE645" s="14" t="s">
        <v>94</v>
      </c>
      <c r="AF645" s="14" t="s">
        <v>92</v>
      </c>
      <c r="AG645" s="14" t="s">
        <v>95</v>
      </c>
      <c r="AH645" s="8" t="s">
        <v>105</v>
      </c>
      <c r="AI645" s="14" t="s">
        <v>92</v>
      </c>
      <c r="AJ645" s="14" t="s">
        <v>92</v>
      </c>
      <c r="AK645" s="14" t="s">
        <v>92</v>
      </c>
      <c r="AL645" s="14" t="s">
        <v>93</v>
      </c>
      <c r="AM645" s="8" t="s">
        <v>105</v>
      </c>
      <c r="AN645" s="14" t="s">
        <v>105</v>
      </c>
      <c r="AO645" s="8" t="s">
        <v>105</v>
      </c>
      <c r="AP645" s="8" t="s">
        <v>92</v>
      </c>
      <c r="AQ645" s="14" t="s">
        <v>92</v>
      </c>
      <c r="AR645" s="14" t="s">
        <v>92</v>
      </c>
      <c r="AS645" s="14" t="s">
        <v>92</v>
      </c>
      <c r="AT645" s="14" t="s">
        <v>92</v>
      </c>
      <c r="AU645" s="14" t="s">
        <v>92</v>
      </c>
      <c r="AV645" s="14" t="s">
        <v>92</v>
      </c>
      <c r="AW645" s="14" t="s">
        <v>93</v>
      </c>
      <c r="AX645" s="14" t="s">
        <v>93</v>
      </c>
      <c r="AY645" s="8" t="s">
        <v>95</v>
      </c>
      <c r="AZ645" s="8" t="s">
        <v>95</v>
      </c>
      <c r="BA645" s="9" t="s">
        <v>2894</v>
      </c>
      <c r="BB645" s="8" t="s">
        <v>97</v>
      </c>
      <c r="BC645" s="8" t="s">
        <v>92</v>
      </c>
      <c r="BD645" s="14" t="s">
        <v>92</v>
      </c>
      <c r="BE645" s="14" t="s">
        <v>92</v>
      </c>
      <c r="BF645" s="14" t="s">
        <v>92</v>
      </c>
      <c r="BG645" s="14" t="s">
        <v>92</v>
      </c>
      <c r="BH645" s="14" t="s">
        <v>92</v>
      </c>
      <c r="BI645" s="14" t="s">
        <v>93</v>
      </c>
      <c r="BJ645" s="14" t="s">
        <v>92</v>
      </c>
      <c r="BK645" s="14" t="s">
        <v>1075</v>
      </c>
      <c r="BL645" s="14" t="s">
        <v>92</v>
      </c>
      <c r="BM645" s="14" t="s">
        <v>92</v>
      </c>
      <c r="BN645" s="14" t="s">
        <v>92</v>
      </c>
      <c r="BO645" s="14" t="s">
        <v>92</v>
      </c>
      <c r="BP645" s="14" t="s">
        <v>93</v>
      </c>
      <c r="BQ645" s="8" t="s">
        <v>93</v>
      </c>
      <c r="BR645" s="8" t="s">
        <v>92</v>
      </c>
      <c r="BS645" s="8" t="s">
        <v>92</v>
      </c>
      <c r="BT645" s="8" t="s">
        <v>92</v>
      </c>
      <c r="BU645" s="8" t="s">
        <v>92</v>
      </c>
      <c r="BV645" s="8" t="s">
        <v>92</v>
      </c>
      <c r="BW645" s="8" t="s">
        <v>92</v>
      </c>
      <c r="BX645" s="8" t="s">
        <v>92</v>
      </c>
      <c r="BY645" s="8" t="s">
        <v>92</v>
      </c>
      <c r="BZ645" s="8" t="s">
        <v>92</v>
      </c>
      <c r="CA645" s="8" t="s">
        <v>92</v>
      </c>
      <c r="CB645" s="20" t="s">
        <v>116</v>
      </c>
      <c r="CC645" s="17"/>
      <c r="CD645" s="18"/>
      <c r="CE645" s="18"/>
      <c r="CF645" s="18"/>
      <c r="CG645" s="18"/>
      <c r="CH645" s="18"/>
    </row>
    <row r="646">
      <c r="A646" s="8"/>
      <c r="B646" s="9" t="s">
        <v>2894</v>
      </c>
      <c r="C646" s="10" t="s">
        <v>2895</v>
      </c>
      <c r="D646" s="9" t="s">
        <v>2490</v>
      </c>
      <c r="E646" s="11" t="s">
        <v>2910</v>
      </c>
      <c r="F646" s="25"/>
      <c r="G646" s="14" t="s">
        <v>2911</v>
      </c>
      <c r="H646" s="14" t="s">
        <v>189</v>
      </c>
      <c r="I646" s="14" t="s">
        <v>2912</v>
      </c>
      <c r="J646" s="14" t="s">
        <v>92</v>
      </c>
      <c r="K646" s="14" t="s">
        <v>92</v>
      </c>
      <c r="L646" s="14" t="s">
        <v>92</v>
      </c>
      <c r="M646" s="14" t="s">
        <v>93</v>
      </c>
      <c r="N646" s="14" t="s">
        <v>93</v>
      </c>
      <c r="O646" s="14" t="s">
        <v>92</v>
      </c>
      <c r="P646" s="14" t="s">
        <v>93</v>
      </c>
      <c r="Q646" s="14" t="s">
        <v>92</v>
      </c>
      <c r="R646" s="14" t="s">
        <v>92</v>
      </c>
      <c r="S646" s="14" t="s">
        <v>92</v>
      </c>
      <c r="T646" s="14" t="s">
        <v>92</v>
      </c>
      <c r="U646" s="14" t="s">
        <v>93</v>
      </c>
      <c r="V646" s="14" t="s">
        <v>92</v>
      </c>
      <c r="W646" s="14" t="s">
        <v>92</v>
      </c>
      <c r="X646" s="14" t="s">
        <v>92</v>
      </c>
      <c r="Y646" s="14" t="s">
        <v>92</v>
      </c>
      <c r="Z646" s="14" t="s">
        <v>92</v>
      </c>
      <c r="AA646" s="14" t="s">
        <v>92</v>
      </c>
      <c r="AB646" s="8" t="s">
        <v>93</v>
      </c>
      <c r="AC646" s="8" t="s">
        <v>92</v>
      </c>
      <c r="AD646" s="8" t="s">
        <v>92</v>
      </c>
      <c r="AE646" s="14" t="s">
        <v>94</v>
      </c>
      <c r="AF646" s="14" t="s">
        <v>92</v>
      </c>
      <c r="AG646" s="14" t="s">
        <v>95</v>
      </c>
      <c r="AH646" s="8">
        <v>2023.0</v>
      </c>
      <c r="AI646" s="14" t="s">
        <v>92</v>
      </c>
      <c r="AJ646" s="14" t="s">
        <v>92</v>
      </c>
      <c r="AK646" s="14" t="s">
        <v>92</v>
      </c>
      <c r="AL646" s="14" t="s">
        <v>93</v>
      </c>
      <c r="AM646" s="8" t="s">
        <v>95</v>
      </c>
      <c r="AN646" s="14" t="s">
        <v>114</v>
      </c>
      <c r="AO646" s="8" t="s">
        <v>92</v>
      </c>
      <c r="AP646" s="8" t="s">
        <v>93</v>
      </c>
      <c r="AQ646" s="14" t="s">
        <v>92</v>
      </c>
      <c r="AR646" s="14" t="s">
        <v>92</v>
      </c>
      <c r="AS646" s="14" t="s">
        <v>92</v>
      </c>
      <c r="AT646" s="14" t="s">
        <v>92</v>
      </c>
      <c r="AU646" s="14" t="s">
        <v>92</v>
      </c>
      <c r="AV646" s="14" t="s">
        <v>92</v>
      </c>
      <c r="AW646" s="14" t="s">
        <v>93</v>
      </c>
      <c r="AX646" s="14" t="s">
        <v>93</v>
      </c>
      <c r="AY646" s="8" t="s">
        <v>95</v>
      </c>
      <c r="AZ646" s="8" t="s">
        <v>95</v>
      </c>
      <c r="BA646" s="9" t="s">
        <v>2894</v>
      </c>
      <c r="BB646" s="8" t="s">
        <v>97</v>
      </c>
      <c r="BC646" s="8" t="s">
        <v>92</v>
      </c>
      <c r="BD646" s="14" t="s">
        <v>92</v>
      </c>
      <c r="BE646" s="14" t="s">
        <v>92</v>
      </c>
      <c r="BF646" s="14" t="s">
        <v>92</v>
      </c>
      <c r="BG646" s="14" t="s">
        <v>92</v>
      </c>
      <c r="BH646" s="14" t="s">
        <v>92</v>
      </c>
      <c r="BI646" s="14" t="s">
        <v>93</v>
      </c>
      <c r="BJ646" s="14" t="s">
        <v>92</v>
      </c>
      <c r="BK646" s="14" t="s">
        <v>98</v>
      </c>
      <c r="BL646" s="14" t="s">
        <v>92</v>
      </c>
      <c r="BM646" s="14" t="s">
        <v>92</v>
      </c>
      <c r="BN646" s="14" t="s">
        <v>92</v>
      </c>
      <c r="BO646" s="14" t="s">
        <v>92</v>
      </c>
      <c r="BP646" s="14" t="s">
        <v>93</v>
      </c>
      <c r="BQ646" s="8" t="s">
        <v>93</v>
      </c>
      <c r="BR646" s="8" t="s">
        <v>92</v>
      </c>
      <c r="BS646" s="8" t="s">
        <v>92</v>
      </c>
      <c r="BT646" s="8" t="s">
        <v>92</v>
      </c>
      <c r="BU646" s="8" t="s">
        <v>92</v>
      </c>
      <c r="BV646" s="8" t="s">
        <v>92</v>
      </c>
      <c r="BW646" s="8" t="s">
        <v>92</v>
      </c>
      <c r="BX646" s="8" t="s">
        <v>92</v>
      </c>
      <c r="BY646" s="8" t="s">
        <v>92</v>
      </c>
      <c r="BZ646" s="8" t="s">
        <v>92</v>
      </c>
      <c r="CA646" s="8" t="s">
        <v>92</v>
      </c>
      <c r="CB646" s="20" t="s">
        <v>116</v>
      </c>
      <c r="CC646" s="17"/>
      <c r="CD646" s="18"/>
      <c r="CE646" s="18"/>
      <c r="CF646" s="18"/>
      <c r="CG646" s="18"/>
      <c r="CH646" s="18"/>
    </row>
    <row r="647">
      <c r="A647" s="8"/>
      <c r="B647" s="9" t="s">
        <v>2913</v>
      </c>
      <c r="C647" s="10" t="s">
        <v>2914</v>
      </c>
      <c r="D647" s="9" t="s">
        <v>2490</v>
      </c>
      <c r="E647" s="11" t="s">
        <v>2915</v>
      </c>
      <c r="F647" s="12"/>
      <c r="G647" s="14" t="s">
        <v>1362</v>
      </c>
      <c r="H647" s="14" t="s">
        <v>90</v>
      </c>
      <c r="I647" s="14" t="s">
        <v>2916</v>
      </c>
      <c r="J647" s="14" t="s">
        <v>92</v>
      </c>
      <c r="K647" s="14" t="s">
        <v>92</v>
      </c>
      <c r="L647" s="14" t="s">
        <v>92</v>
      </c>
      <c r="M647" s="14" t="s">
        <v>92</v>
      </c>
      <c r="N647" s="14" t="s">
        <v>92</v>
      </c>
      <c r="O647" s="14" t="s">
        <v>92</v>
      </c>
      <c r="P647" s="14" t="s">
        <v>92</v>
      </c>
      <c r="Q647" s="14" t="s">
        <v>93</v>
      </c>
      <c r="R647" s="14" t="s">
        <v>92</v>
      </c>
      <c r="S647" s="14" t="s">
        <v>92</v>
      </c>
      <c r="T647" s="14" t="s">
        <v>92</v>
      </c>
      <c r="U647" s="14" t="s">
        <v>93</v>
      </c>
      <c r="V647" s="14" t="s">
        <v>92</v>
      </c>
      <c r="W647" s="14" t="s">
        <v>92</v>
      </c>
      <c r="X647" s="14" t="s">
        <v>92</v>
      </c>
      <c r="Y647" s="14" t="s">
        <v>92</v>
      </c>
      <c r="Z647" s="14" t="s">
        <v>92</v>
      </c>
      <c r="AA647" s="14" t="s">
        <v>92</v>
      </c>
      <c r="AB647" s="8" t="s">
        <v>93</v>
      </c>
      <c r="AC647" s="8" t="s">
        <v>92</v>
      </c>
      <c r="AD647" s="8" t="s">
        <v>92</v>
      </c>
      <c r="AE647" s="14" t="s">
        <v>148</v>
      </c>
      <c r="AF647" s="14" t="s">
        <v>92</v>
      </c>
      <c r="AG647" s="14" t="s">
        <v>95</v>
      </c>
      <c r="AH647" s="8">
        <v>2020.0</v>
      </c>
      <c r="AI647" s="14" t="s">
        <v>93</v>
      </c>
      <c r="AJ647" s="14" t="s">
        <v>92</v>
      </c>
      <c r="AK647" s="14" t="s">
        <v>92</v>
      </c>
      <c r="AL647" s="14" t="s">
        <v>92</v>
      </c>
      <c r="AM647" s="8">
        <v>2020.0</v>
      </c>
      <c r="AN647" s="14" t="s">
        <v>96</v>
      </c>
      <c r="AO647" s="8" t="s">
        <v>92</v>
      </c>
      <c r="AP647" s="8" t="s">
        <v>93</v>
      </c>
      <c r="AQ647" s="14" t="s">
        <v>92</v>
      </c>
      <c r="AR647" s="14" t="s">
        <v>92</v>
      </c>
      <c r="AS647" s="14" t="s">
        <v>92</v>
      </c>
      <c r="AT647" s="14" t="s">
        <v>92</v>
      </c>
      <c r="AU647" s="14" t="s">
        <v>92</v>
      </c>
      <c r="AV647" s="14" t="s">
        <v>92</v>
      </c>
      <c r="AW647" s="14" t="s">
        <v>93</v>
      </c>
      <c r="AX647" s="14" t="s">
        <v>93</v>
      </c>
      <c r="AY647" s="8" t="s">
        <v>95</v>
      </c>
      <c r="AZ647" s="8" t="s">
        <v>95</v>
      </c>
      <c r="BA647" s="9" t="s">
        <v>2913</v>
      </c>
      <c r="BB647" s="8" t="s">
        <v>97</v>
      </c>
      <c r="BC647" s="8" t="s">
        <v>92</v>
      </c>
      <c r="BD647" s="14" t="s">
        <v>92</v>
      </c>
      <c r="BE647" s="14" t="s">
        <v>92</v>
      </c>
      <c r="BF647" s="14" t="s">
        <v>92</v>
      </c>
      <c r="BG647" s="14" t="s">
        <v>92</v>
      </c>
      <c r="BH647" s="14" t="s">
        <v>92</v>
      </c>
      <c r="BI647" s="14" t="s">
        <v>93</v>
      </c>
      <c r="BJ647" s="14" t="s">
        <v>92</v>
      </c>
      <c r="BK647" s="14" t="s">
        <v>95</v>
      </c>
      <c r="BL647" s="14" t="s">
        <v>93</v>
      </c>
      <c r="BM647" s="14" t="s">
        <v>93</v>
      </c>
      <c r="BN647" s="14" t="s">
        <v>93</v>
      </c>
      <c r="BO647" s="14" t="s">
        <v>93</v>
      </c>
      <c r="BP647" s="14" t="s">
        <v>93</v>
      </c>
      <c r="BQ647" s="8" t="s">
        <v>93</v>
      </c>
      <c r="BR647" s="8" t="s">
        <v>92</v>
      </c>
      <c r="BS647" s="8" t="s">
        <v>92</v>
      </c>
      <c r="BT647" s="8" t="s">
        <v>92</v>
      </c>
      <c r="BU647" s="8" t="s">
        <v>92</v>
      </c>
      <c r="BV647" s="8" t="s">
        <v>92</v>
      </c>
      <c r="BW647" s="8" t="s">
        <v>92</v>
      </c>
      <c r="BX647" s="8" t="s">
        <v>92</v>
      </c>
      <c r="BY647" s="8" t="s">
        <v>92</v>
      </c>
      <c r="BZ647" s="8" t="s">
        <v>92</v>
      </c>
      <c r="CA647" s="8" t="s">
        <v>92</v>
      </c>
      <c r="CB647" s="20" t="s">
        <v>157</v>
      </c>
      <c r="CC647" s="17"/>
      <c r="CD647" s="18"/>
      <c r="CE647" s="18"/>
      <c r="CF647" s="18"/>
      <c r="CG647" s="18"/>
      <c r="CH647" s="18"/>
    </row>
    <row r="648">
      <c r="A648" s="8"/>
      <c r="B648" s="9" t="s">
        <v>2913</v>
      </c>
      <c r="C648" s="10" t="s">
        <v>2914</v>
      </c>
      <c r="D648" s="9" t="s">
        <v>2490</v>
      </c>
      <c r="E648" s="11" t="s">
        <v>2917</v>
      </c>
      <c r="F648" s="12"/>
      <c r="G648" s="14" t="s">
        <v>2918</v>
      </c>
      <c r="H648" s="14" t="s">
        <v>90</v>
      </c>
      <c r="I648" s="14" t="s">
        <v>2919</v>
      </c>
      <c r="J648" s="14" t="s">
        <v>92</v>
      </c>
      <c r="K648" s="14" t="s">
        <v>92</v>
      </c>
      <c r="L648" s="14" t="s">
        <v>92</v>
      </c>
      <c r="M648" s="14" t="s">
        <v>92</v>
      </c>
      <c r="N648" s="14" t="s">
        <v>92</v>
      </c>
      <c r="O648" s="14" t="s">
        <v>92</v>
      </c>
      <c r="P648" s="14" t="s">
        <v>92</v>
      </c>
      <c r="Q648" s="14" t="s">
        <v>92</v>
      </c>
      <c r="R648" s="14" t="s">
        <v>92</v>
      </c>
      <c r="S648" s="14" t="s">
        <v>92</v>
      </c>
      <c r="T648" s="14" t="s">
        <v>92</v>
      </c>
      <c r="U648" s="14" t="s">
        <v>93</v>
      </c>
      <c r="V648" s="14" t="s">
        <v>92</v>
      </c>
      <c r="W648" s="14" t="s">
        <v>92</v>
      </c>
      <c r="X648" s="14" t="s">
        <v>92</v>
      </c>
      <c r="Y648" s="14" t="s">
        <v>92</v>
      </c>
      <c r="Z648" s="14" t="s">
        <v>92</v>
      </c>
      <c r="AA648" s="14" t="s">
        <v>92</v>
      </c>
      <c r="AB648" s="8" t="s">
        <v>93</v>
      </c>
      <c r="AC648" s="8" t="s">
        <v>92</v>
      </c>
      <c r="AD648" s="8" t="s">
        <v>92</v>
      </c>
      <c r="AE648" s="14" t="s">
        <v>94</v>
      </c>
      <c r="AF648" s="14" t="s">
        <v>92</v>
      </c>
      <c r="AG648" s="14" t="s">
        <v>95</v>
      </c>
      <c r="AH648" s="8">
        <v>2021.0</v>
      </c>
      <c r="AI648" s="14" t="s">
        <v>92</v>
      </c>
      <c r="AJ648" s="14" t="s">
        <v>93</v>
      </c>
      <c r="AK648" s="14" t="s">
        <v>92</v>
      </c>
      <c r="AL648" s="14" t="s">
        <v>92</v>
      </c>
      <c r="AM648" s="8">
        <v>2021.0</v>
      </c>
      <c r="AN648" s="14" t="s">
        <v>96</v>
      </c>
      <c r="AO648" s="8" t="s">
        <v>92</v>
      </c>
      <c r="AP648" s="8" t="s">
        <v>93</v>
      </c>
      <c r="AQ648" s="14" t="s">
        <v>92</v>
      </c>
      <c r="AR648" s="14" t="s">
        <v>92</v>
      </c>
      <c r="AS648" s="14" t="s">
        <v>92</v>
      </c>
      <c r="AT648" s="14" t="s">
        <v>92</v>
      </c>
      <c r="AU648" s="14" t="s">
        <v>92</v>
      </c>
      <c r="AV648" s="14" t="s">
        <v>92</v>
      </c>
      <c r="AW648" s="14" t="s">
        <v>93</v>
      </c>
      <c r="AX648" s="14" t="s">
        <v>93</v>
      </c>
      <c r="AY648" s="8" t="s">
        <v>95</v>
      </c>
      <c r="AZ648" s="8" t="s">
        <v>95</v>
      </c>
      <c r="BA648" s="9" t="s">
        <v>2913</v>
      </c>
      <c r="BB648" s="8" t="s">
        <v>97</v>
      </c>
      <c r="BC648" s="8" t="s">
        <v>92</v>
      </c>
      <c r="BD648" s="14" t="s">
        <v>92</v>
      </c>
      <c r="BE648" s="14" t="s">
        <v>92</v>
      </c>
      <c r="BF648" s="14" t="s">
        <v>92</v>
      </c>
      <c r="BG648" s="14" t="s">
        <v>92</v>
      </c>
      <c r="BH648" s="14" t="s">
        <v>92</v>
      </c>
      <c r="BI648" s="14" t="s">
        <v>93</v>
      </c>
      <c r="BJ648" s="14" t="s">
        <v>92</v>
      </c>
      <c r="BK648" s="14" t="s">
        <v>105</v>
      </c>
      <c r="BL648" s="14" t="s">
        <v>105</v>
      </c>
      <c r="BM648" s="14" t="s">
        <v>105</v>
      </c>
      <c r="BN648" s="14" t="s">
        <v>105</v>
      </c>
      <c r="BO648" s="14" t="s">
        <v>105</v>
      </c>
      <c r="BP648" s="14" t="s">
        <v>105</v>
      </c>
      <c r="BQ648" s="8" t="s">
        <v>93</v>
      </c>
      <c r="BR648" s="8" t="s">
        <v>92</v>
      </c>
      <c r="BS648" s="8" t="s">
        <v>92</v>
      </c>
      <c r="BT648" s="8" t="s">
        <v>92</v>
      </c>
      <c r="BU648" s="8" t="s">
        <v>92</v>
      </c>
      <c r="BV648" s="8" t="s">
        <v>92</v>
      </c>
      <c r="BW648" s="8" t="s">
        <v>92</v>
      </c>
      <c r="BX648" s="8" t="s">
        <v>92</v>
      </c>
      <c r="BY648" s="8" t="s">
        <v>92</v>
      </c>
      <c r="BZ648" s="8" t="s">
        <v>92</v>
      </c>
      <c r="CA648" s="8" t="s">
        <v>92</v>
      </c>
      <c r="CB648" s="20" t="s">
        <v>170</v>
      </c>
      <c r="CC648" s="17"/>
      <c r="CD648" s="18"/>
      <c r="CE648" s="18"/>
      <c r="CF648" s="18"/>
      <c r="CG648" s="18"/>
      <c r="CH648" s="18"/>
    </row>
    <row r="649">
      <c r="A649" s="8"/>
      <c r="B649" s="9" t="s">
        <v>2913</v>
      </c>
      <c r="C649" s="10" t="s">
        <v>2914</v>
      </c>
      <c r="D649" s="9" t="s">
        <v>2490</v>
      </c>
      <c r="E649" s="11" t="s">
        <v>2920</v>
      </c>
      <c r="F649" s="12"/>
      <c r="G649" s="14" t="s">
        <v>94</v>
      </c>
      <c r="H649" s="14" t="s">
        <v>90</v>
      </c>
      <c r="I649" s="14" t="s">
        <v>2921</v>
      </c>
      <c r="J649" s="14" t="s">
        <v>92</v>
      </c>
      <c r="K649" s="14" t="s">
        <v>92</v>
      </c>
      <c r="L649" s="14" t="s">
        <v>92</v>
      </c>
      <c r="M649" s="14" t="s">
        <v>92</v>
      </c>
      <c r="N649" s="14" t="s">
        <v>92</v>
      </c>
      <c r="O649" s="14" t="s">
        <v>92</v>
      </c>
      <c r="P649" s="14" t="s">
        <v>92</v>
      </c>
      <c r="Q649" s="14" t="s">
        <v>92</v>
      </c>
      <c r="R649" s="14" t="s">
        <v>92</v>
      </c>
      <c r="S649" s="14" t="s">
        <v>92</v>
      </c>
      <c r="T649" s="14" t="s">
        <v>92</v>
      </c>
      <c r="U649" s="14" t="s">
        <v>93</v>
      </c>
      <c r="V649" s="14" t="s">
        <v>92</v>
      </c>
      <c r="W649" s="14" t="s">
        <v>92</v>
      </c>
      <c r="X649" s="14" t="s">
        <v>92</v>
      </c>
      <c r="Y649" s="14" t="s">
        <v>92</v>
      </c>
      <c r="Z649" s="14" t="s">
        <v>92</v>
      </c>
      <c r="AA649" s="14" t="s">
        <v>92</v>
      </c>
      <c r="AB649" s="8" t="s">
        <v>93</v>
      </c>
      <c r="AC649" s="8" t="s">
        <v>92</v>
      </c>
      <c r="AD649" s="8" t="s">
        <v>92</v>
      </c>
      <c r="AE649" s="14" t="s">
        <v>94</v>
      </c>
      <c r="AF649" s="14" t="s">
        <v>92</v>
      </c>
      <c r="AG649" s="14" t="s">
        <v>95</v>
      </c>
      <c r="AH649" s="8" t="s">
        <v>105</v>
      </c>
      <c r="AI649" s="14" t="s">
        <v>92</v>
      </c>
      <c r="AJ649" s="14" t="s">
        <v>92</v>
      </c>
      <c r="AK649" s="14" t="s">
        <v>93</v>
      </c>
      <c r="AL649" s="14" t="s">
        <v>92</v>
      </c>
      <c r="AM649" s="8" t="s">
        <v>105</v>
      </c>
      <c r="AN649" s="14" t="s">
        <v>105</v>
      </c>
      <c r="AO649" s="8" t="s">
        <v>105</v>
      </c>
      <c r="AP649" s="8" t="s">
        <v>92</v>
      </c>
      <c r="AQ649" s="14" t="s">
        <v>92</v>
      </c>
      <c r="AR649" s="14" t="s">
        <v>92</v>
      </c>
      <c r="AS649" s="14" t="s">
        <v>92</v>
      </c>
      <c r="AT649" s="14" t="s">
        <v>92</v>
      </c>
      <c r="AU649" s="14" t="s">
        <v>92</v>
      </c>
      <c r="AV649" s="14" t="s">
        <v>92</v>
      </c>
      <c r="AW649" s="14" t="s">
        <v>93</v>
      </c>
      <c r="AX649" s="14" t="s">
        <v>93</v>
      </c>
      <c r="AY649" s="8" t="s">
        <v>95</v>
      </c>
      <c r="AZ649" s="8" t="s">
        <v>95</v>
      </c>
      <c r="BA649" s="9" t="s">
        <v>2913</v>
      </c>
      <c r="BB649" s="8" t="s">
        <v>97</v>
      </c>
      <c r="BC649" s="8" t="s">
        <v>92</v>
      </c>
      <c r="BD649" s="14" t="s">
        <v>92</v>
      </c>
      <c r="BE649" s="14" t="s">
        <v>92</v>
      </c>
      <c r="BF649" s="14" t="s">
        <v>92</v>
      </c>
      <c r="BG649" s="14" t="s">
        <v>92</v>
      </c>
      <c r="BH649" s="14" t="s">
        <v>92</v>
      </c>
      <c r="BI649" s="14" t="s">
        <v>93</v>
      </c>
      <c r="BJ649" s="14" t="s">
        <v>92</v>
      </c>
      <c r="BK649" s="14" t="s">
        <v>105</v>
      </c>
      <c r="BL649" s="14" t="s">
        <v>105</v>
      </c>
      <c r="BM649" s="14" t="s">
        <v>105</v>
      </c>
      <c r="BN649" s="14" t="s">
        <v>105</v>
      </c>
      <c r="BO649" s="14" t="s">
        <v>105</v>
      </c>
      <c r="BP649" s="14" t="s">
        <v>105</v>
      </c>
      <c r="BQ649" s="8" t="s">
        <v>93</v>
      </c>
      <c r="BR649" s="8" t="s">
        <v>92</v>
      </c>
      <c r="BS649" s="8" t="s">
        <v>92</v>
      </c>
      <c r="BT649" s="8" t="s">
        <v>92</v>
      </c>
      <c r="BU649" s="8" t="s">
        <v>92</v>
      </c>
      <c r="BV649" s="8" t="s">
        <v>92</v>
      </c>
      <c r="BW649" s="8" t="s">
        <v>92</v>
      </c>
      <c r="BX649" s="8" t="s">
        <v>92</v>
      </c>
      <c r="BY649" s="8" t="s">
        <v>92</v>
      </c>
      <c r="BZ649" s="8" t="s">
        <v>92</v>
      </c>
      <c r="CA649" s="8" t="s">
        <v>92</v>
      </c>
      <c r="CB649" s="20" t="s">
        <v>1307</v>
      </c>
      <c r="CC649" s="17"/>
      <c r="CD649" s="18"/>
      <c r="CE649" s="18"/>
      <c r="CF649" s="18"/>
      <c r="CG649" s="18"/>
      <c r="CH649" s="18"/>
    </row>
    <row r="650">
      <c r="A650" s="8"/>
      <c r="B650" s="9" t="s">
        <v>2922</v>
      </c>
      <c r="C650" s="10" t="s">
        <v>2923</v>
      </c>
      <c r="D650" s="9" t="s">
        <v>2490</v>
      </c>
      <c r="E650" s="11" t="s">
        <v>2924</v>
      </c>
      <c r="F650" s="12"/>
      <c r="G650" s="14" t="s">
        <v>2925</v>
      </c>
      <c r="H650" s="14" t="s">
        <v>90</v>
      </c>
      <c r="I650" s="14" t="s">
        <v>2926</v>
      </c>
      <c r="J650" s="14" t="s">
        <v>92</v>
      </c>
      <c r="K650" s="14" t="s">
        <v>92</v>
      </c>
      <c r="L650" s="14" t="s">
        <v>92</v>
      </c>
      <c r="M650" s="14" t="s">
        <v>92</v>
      </c>
      <c r="N650" s="14" t="s">
        <v>92</v>
      </c>
      <c r="O650" s="14" t="s">
        <v>92</v>
      </c>
      <c r="P650" s="14" t="s">
        <v>93</v>
      </c>
      <c r="Q650" s="14" t="s">
        <v>92</v>
      </c>
      <c r="R650" s="14" t="s">
        <v>92</v>
      </c>
      <c r="S650" s="14" t="s">
        <v>92</v>
      </c>
      <c r="T650" s="14" t="s">
        <v>92</v>
      </c>
      <c r="U650" s="14" t="s">
        <v>93</v>
      </c>
      <c r="V650" s="14" t="s">
        <v>92</v>
      </c>
      <c r="W650" s="14" t="s">
        <v>92</v>
      </c>
      <c r="X650" s="14" t="s">
        <v>92</v>
      </c>
      <c r="Y650" s="14" t="s">
        <v>92</v>
      </c>
      <c r="Z650" s="14" t="s">
        <v>92</v>
      </c>
      <c r="AA650" s="14" t="s">
        <v>92</v>
      </c>
      <c r="AB650" s="8" t="s">
        <v>93</v>
      </c>
      <c r="AC650" s="8" t="s">
        <v>92</v>
      </c>
      <c r="AD650" s="8" t="s">
        <v>92</v>
      </c>
      <c r="AE650" s="14" t="s">
        <v>94</v>
      </c>
      <c r="AF650" s="14" t="s">
        <v>92</v>
      </c>
      <c r="AG650" s="14" t="s">
        <v>95</v>
      </c>
      <c r="AH650" s="8">
        <v>2020.0</v>
      </c>
      <c r="AI650" s="14" t="s">
        <v>93</v>
      </c>
      <c r="AJ650" s="14" t="s">
        <v>92</v>
      </c>
      <c r="AK650" s="14" t="s">
        <v>92</v>
      </c>
      <c r="AL650" s="14" t="s">
        <v>92</v>
      </c>
      <c r="AM650" s="8">
        <v>2020.0</v>
      </c>
      <c r="AN650" s="14" t="s">
        <v>96</v>
      </c>
      <c r="AO650" s="8" t="s">
        <v>92</v>
      </c>
      <c r="AP650" s="8" t="s">
        <v>93</v>
      </c>
      <c r="AQ650" s="14" t="s">
        <v>92</v>
      </c>
      <c r="AR650" s="14" t="s">
        <v>92</v>
      </c>
      <c r="AS650" s="14" t="s">
        <v>92</v>
      </c>
      <c r="AT650" s="14" t="s">
        <v>93</v>
      </c>
      <c r="AU650" s="14" t="s">
        <v>93</v>
      </c>
      <c r="AV650" s="14" t="s">
        <v>93</v>
      </c>
      <c r="AW650" s="14" t="s">
        <v>93</v>
      </c>
      <c r="AX650" s="14" t="s">
        <v>93</v>
      </c>
      <c r="AY650" s="8" t="s">
        <v>95</v>
      </c>
      <c r="AZ650" s="8" t="s">
        <v>95</v>
      </c>
      <c r="BA650" s="9" t="s">
        <v>2927</v>
      </c>
      <c r="BB650" s="8" t="s">
        <v>95</v>
      </c>
      <c r="BC650" s="8" t="s">
        <v>93</v>
      </c>
      <c r="BD650" s="14" t="s">
        <v>92</v>
      </c>
      <c r="BE650" s="14" t="s">
        <v>92</v>
      </c>
      <c r="BF650" s="14" t="s">
        <v>92</v>
      </c>
      <c r="BG650" s="14" t="s">
        <v>92</v>
      </c>
      <c r="BH650" s="14" t="s">
        <v>92</v>
      </c>
      <c r="BI650" s="14" t="s">
        <v>93</v>
      </c>
      <c r="BJ650" s="14" t="s">
        <v>92</v>
      </c>
      <c r="BK650" s="14" t="s">
        <v>105</v>
      </c>
      <c r="BL650" s="14" t="s">
        <v>93</v>
      </c>
      <c r="BM650" s="14" t="s">
        <v>93</v>
      </c>
      <c r="BN650" s="14" t="s">
        <v>93</v>
      </c>
      <c r="BO650" s="14" t="s">
        <v>93</v>
      </c>
      <c r="BP650" s="14" t="s">
        <v>93</v>
      </c>
      <c r="BQ650" s="8" t="s">
        <v>93</v>
      </c>
      <c r="BR650" s="8" t="s">
        <v>92</v>
      </c>
      <c r="BS650" s="8" t="s">
        <v>92</v>
      </c>
      <c r="BT650" s="8" t="s">
        <v>92</v>
      </c>
      <c r="BU650" s="8" t="s">
        <v>92</v>
      </c>
      <c r="BV650" s="8" t="s">
        <v>92</v>
      </c>
      <c r="BW650" s="8" t="s">
        <v>92</v>
      </c>
      <c r="BX650" s="8" t="s">
        <v>92</v>
      </c>
      <c r="BY650" s="8" t="s">
        <v>92</v>
      </c>
      <c r="BZ650" s="8" t="s">
        <v>92</v>
      </c>
      <c r="CA650" s="8" t="s">
        <v>92</v>
      </c>
      <c r="CB650" s="20" t="s">
        <v>2928</v>
      </c>
      <c r="CC650" s="17"/>
      <c r="CD650" s="18"/>
      <c r="CE650" s="18"/>
      <c r="CF650" s="18"/>
      <c r="CG650" s="18"/>
      <c r="CH650" s="18"/>
    </row>
    <row r="651">
      <c r="A651" s="8"/>
      <c r="B651" s="9" t="s">
        <v>2922</v>
      </c>
      <c r="C651" s="10" t="s">
        <v>2923</v>
      </c>
      <c r="D651" s="9" t="s">
        <v>2490</v>
      </c>
      <c r="E651" s="11" t="s">
        <v>2929</v>
      </c>
      <c r="F651" s="12"/>
      <c r="G651" s="14" t="s">
        <v>94</v>
      </c>
      <c r="H651" s="14" t="s">
        <v>90</v>
      </c>
      <c r="I651" s="14" t="s">
        <v>2930</v>
      </c>
      <c r="J651" s="14" t="s">
        <v>92</v>
      </c>
      <c r="K651" s="14" t="s">
        <v>92</v>
      </c>
      <c r="L651" s="14" t="s">
        <v>92</v>
      </c>
      <c r="M651" s="14" t="s">
        <v>92</v>
      </c>
      <c r="N651" s="14" t="s">
        <v>92</v>
      </c>
      <c r="O651" s="14" t="s">
        <v>92</v>
      </c>
      <c r="P651" s="14" t="s">
        <v>92</v>
      </c>
      <c r="Q651" s="14" t="s">
        <v>92</v>
      </c>
      <c r="R651" s="14" t="s">
        <v>92</v>
      </c>
      <c r="S651" s="14" t="s">
        <v>92</v>
      </c>
      <c r="T651" s="14" t="s">
        <v>92</v>
      </c>
      <c r="U651" s="14" t="s">
        <v>93</v>
      </c>
      <c r="V651" s="14" t="s">
        <v>92</v>
      </c>
      <c r="W651" s="14" t="s">
        <v>92</v>
      </c>
      <c r="X651" s="14" t="s">
        <v>92</v>
      </c>
      <c r="Y651" s="14" t="s">
        <v>92</v>
      </c>
      <c r="Z651" s="14" t="s">
        <v>92</v>
      </c>
      <c r="AA651" s="14" t="s">
        <v>92</v>
      </c>
      <c r="AB651" s="8" t="s">
        <v>93</v>
      </c>
      <c r="AC651" s="8" t="s">
        <v>92</v>
      </c>
      <c r="AD651" s="8" t="s">
        <v>92</v>
      </c>
      <c r="AE651" s="14" t="s">
        <v>94</v>
      </c>
      <c r="AF651" s="14" t="s">
        <v>92</v>
      </c>
      <c r="AG651" s="14" t="s">
        <v>95</v>
      </c>
      <c r="AH651" s="8" t="s">
        <v>105</v>
      </c>
      <c r="AI651" s="14" t="s">
        <v>93</v>
      </c>
      <c r="AJ651" s="14" t="s">
        <v>92</v>
      </c>
      <c r="AK651" s="14" t="s">
        <v>92</v>
      </c>
      <c r="AL651" s="14" t="s">
        <v>92</v>
      </c>
      <c r="AM651" s="8" t="s">
        <v>105</v>
      </c>
      <c r="AN651" s="14" t="s">
        <v>105</v>
      </c>
      <c r="AO651" s="8" t="s">
        <v>105</v>
      </c>
      <c r="AP651" s="8" t="s">
        <v>92</v>
      </c>
      <c r="AQ651" s="14" t="s">
        <v>92</v>
      </c>
      <c r="AR651" s="14" t="s">
        <v>92</v>
      </c>
      <c r="AS651" s="14" t="s">
        <v>92</v>
      </c>
      <c r="AT651" s="14" t="s">
        <v>93</v>
      </c>
      <c r="AU651" s="14" t="s">
        <v>93</v>
      </c>
      <c r="AV651" s="14" t="s">
        <v>93</v>
      </c>
      <c r="AW651" s="14" t="s">
        <v>93</v>
      </c>
      <c r="AX651" s="14" t="s">
        <v>93</v>
      </c>
      <c r="AY651" s="8" t="s">
        <v>95</v>
      </c>
      <c r="AZ651" s="8" t="s">
        <v>95</v>
      </c>
      <c r="BA651" s="9" t="s">
        <v>2931</v>
      </c>
      <c r="BB651" s="8" t="s">
        <v>105</v>
      </c>
      <c r="BC651" s="8" t="s">
        <v>93</v>
      </c>
      <c r="BD651" s="14" t="s">
        <v>92</v>
      </c>
      <c r="BE651" s="14" t="s">
        <v>92</v>
      </c>
      <c r="BF651" s="14" t="s">
        <v>92</v>
      </c>
      <c r="BG651" s="14" t="s">
        <v>92</v>
      </c>
      <c r="BH651" s="14" t="s">
        <v>92</v>
      </c>
      <c r="BI651" s="14" t="s">
        <v>93</v>
      </c>
      <c r="BJ651" s="14" t="s">
        <v>92</v>
      </c>
      <c r="BK651" s="14" t="s">
        <v>105</v>
      </c>
      <c r="BL651" s="14" t="s">
        <v>105</v>
      </c>
      <c r="BM651" s="14" t="s">
        <v>105</v>
      </c>
      <c r="BN651" s="14" t="s">
        <v>105</v>
      </c>
      <c r="BO651" s="14" t="s">
        <v>105</v>
      </c>
      <c r="BP651" s="14" t="s">
        <v>105</v>
      </c>
      <c r="BQ651" s="8" t="s">
        <v>93</v>
      </c>
      <c r="BR651" s="8" t="s">
        <v>92</v>
      </c>
      <c r="BS651" s="8" t="s">
        <v>92</v>
      </c>
      <c r="BT651" s="8" t="s">
        <v>92</v>
      </c>
      <c r="BU651" s="8" t="s">
        <v>92</v>
      </c>
      <c r="BV651" s="8" t="s">
        <v>92</v>
      </c>
      <c r="BW651" s="8" t="s">
        <v>92</v>
      </c>
      <c r="BX651" s="8" t="s">
        <v>92</v>
      </c>
      <c r="BY651" s="8" t="s">
        <v>92</v>
      </c>
      <c r="BZ651" s="8" t="s">
        <v>92</v>
      </c>
      <c r="CA651" s="8" t="s">
        <v>92</v>
      </c>
      <c r="CB651" s="20" t="s">
        <v>2928</v>
      </c>
      <c r="CC651" s="17"/>
      <c r="CD651" s="18"/>
      <c r="CE651" s="18"/>
      <c r="CF651" s="18"/>
      <c r="CG651" s="18"/>
      <c r="CH651" s="18"/>
    </row>
    <row r="652">
      <c r="A652" s="8"/>
      <c r="B652" s="9" t="s">
        <v>2922</v>
      </c>
      <c r="C652" s="10" t="s">
        <v>2923</v>
      </c>
      <c r="D652" s="9" t="s">
        <v>2490</v>
      </c>
      <c r="E652" s="11" t="s">
        <v>2932</v>
      </c>
      <c r="F652" s="12"/>
      <c r="G652" s="14" t="s">
        <v>2933</v>
      </c>
      <c r="H652" s="14" t="s">
        <v>90</v>
      </c>
      <c r="I652" s="14" t="s">
        <v>2934</v>
      </c>
      <c r="J652" s="14" t="s">
        <v>92</v>
      </c>
      <c r="K652" s="14" t="s">
        <v>92</v>
      </c>
      <c r="L652" s="14" t="s">
        <v>92</v>
      </c>
      <c r="M652" s="14" t="s">
        <v>92</v>
      </c>
      <c r="N652" s="14" t="s">
        <v>92</v>
      </c>
      <c r="O652" s="14" t="s">
        <v>92</v>
      </c>
      <c r="P652" s="14" t="s">
        <v>92</v>
      </c>
      <c r="Q652" s="14" t="s">
        <v>92</v>
      </c>
      <c r="R652" s="14" t="s">
        <v>92</v>
      </c>
      <c r="S652" s="14" t="s">
        <v>92</v>
      </c>
      <c r="T652" s="14" t="s">
        <v>92</v>
      </c>
      <c r="U652" s="14" t="s">
        <v>93</v>
      </c>
      <c r="V652" s="14" t="s">
        <v>92</v>
      </c>
      <c r="W652" s="14" t="s">
        <v>92</v>
      </c>
      <c r="X652" s="14" t="s">
        <v>92</v>
      </c>
      <c r="Y652" s="14" t="s">
        <v>92</v>
      </c>
      <c r="Z652" s="14" t="s">
        <v>92</v>
      </c>
      <c r="AA652" s="14" t="s">
        <v>92</v>
      </c>
      <c r="AB652" s="8" t="s">
        <v>93</v>
      </c>
      <c r="AC652" s="8" t="s">
        <v>92</v>
      </c>
      <c r="AD652" s="8" t="s">
        <v>92</v>
      </c>
      <c r="AE652" s="14" t="s">
        <v>94</v>
      </c>
      <c r="AF652" s="14" t="s">
        <v>92</v>
      </c>
      <c r="AG652" s="14" t="s">
        <v>95</v>
      </c>
      <c r="AH652" s="8" t="s">
        <v>105</v>
      </c>
      <c r="AI652" s="14" t="s">
        <v>93</v>
      </c>
      <c r="AJ652" s="14" t="s">
        <v>92</v>
      </c>
      <c r="AK652" s="14" t="s">
        <v>92</v>
      </c>
      <c r="AL652" s="14" t="s">
        <v>92</v>
      </c>
      <c r="AM652" s="8" t="s">
        <v>105</v>
      </c>
      <c r="AN652" s="14" t="s">
        <v>105</v>
      </c>
      <c r="AO652" s="8" t="s">
        <v>105</v>
      </c>
      <c r="AP652" s="8" t="s">
        <v>92</v>
      </c>
      <c r="AQ652" s="14" t="s">
        <v>92</v>
      </c>
      <c r="AR652" s="14" t="s">
        <v>92</v>
      </c>
      <c r="AS652" s="14" t="s">
        <v>92</v>
      </c>
      <c r="AT652" s="14" t="s">
        <v>93</v>
      </c>
      <c r="AU652" s="14" t="s">
        <v>93</v>
      </c>
      <c r="AV652" s="14" t="s">
        <v>93</v>
      </c>
      <c r="AW652" s="14" t="s">
        <v>93</v>
      </c>
      <c r="AX652" s="14" t="s">
        <v>93</v>
      </c>
      <c r="AY652" s="8" t="s">
        <v>95</v>
      </c>
      <c r="AZ652" s="8" t="s">
        <v>95</v>
      </c>
      <c r="BA652" s="9" t="s">
        <v>2935</v>
      </c>
      <c r="BB652" s="8" t="s">
        <v>105</v>
      </c>
      <c r="BC652" s="8" t="s">
        <v>93</v>
      </c>
      <c r="BD652" s="14" t="s">
        <v>92</v>
      </c>
      <c r="BE652" s="14" t="s">
        <v>92</v>
      </c>
      <c r="BF652" s="14" t="s">
        <v>92</v>
      </c>
      <c r="BG652" s="14" t="s">
        <v>92</v>
      </c>
      <c r="BH652" s="14" t="s">
        <v>92</v>
      </c>
      <c r="BI652" s="14" t="s">
        <v>93</v>
      </c>
      <c r="BJ652" s="14" t="s">
        <v>92</v>
      </c>
      <c r="BK652" s="14" t="s">
        <v>105</v>
      </c>
      <c r="BL652" s="14" t="s">
        <v>105</v>
      </c>
      <c r="BM652" s="14" t="s">
        <v>105</v>
      </c>
      <c r="BN652" s="14" t="s">
        <v>105</v>
      </c>
      <c r="BO652" s="14" t="s">
        <v>105</v>
      </c>
      <c r="BP652" s="14" t="s">
        <v>105</v>
      </c>
      <c r="BQ652" s="8" t="s">
        <v>93</v>
      </c>
      <c r="BR652" s="8" t="s">
        <v>92</v>
      </c>
      <c r="BS652" s="8" t="s">
        <v>92</v>
      </c>
      <c r="BT652" s="8" t="s">
        <v>92</v>
      </c>
      <c r="BU652" s="8" t="s">
        <v>92</v>
      </c>
      <c r="BV652" s="8" t="s">
        <v>92</v>
      </c>
      <c r="BW652" s="8" t="s">
        <v>92</v>
      </c>
      <c r="BX652" s="8" t="s">
        <v>92</v>
      </c>
      <c r="BY652" s="8" t="s">
        <v>92</v>
      </c>
      <c r="BZ652" s="8" t="s">
        <v>92</v>
      </c>
      <c r="CA652" s="8" t="s">
        <v>92</v>
      </c>
      <c r="CB652" s="20" t="s">
        <v>2928</v>
      </c>
      <c r="CC652" s="17"/>
      <c r="CD652" s="18"/>
      <c r="CE652" s="18"/>
      <c r="CF652" s="18"/>
      <c r="CG652" s="18"/>
      <c r="CH652" s="18"/>
    </row>
    <row r="653">
      <c r="A653" s="8"/>
      <c r="B653" s="9" t="s">
        <v>2922</v>
      </c>
      <c r="C653" s="10" t="s">
        <v>2923</v>
      </c>
      <c r="D653" s="9" t="s">
        <v>2490</v>
      </c>
      <c r="E653" s="11" t="s">
        <v>2936</v>
      </c>
      <c r="F653" s="12"/>
      <c r="G653" s="14" t="s">
        <v>2937</v>
      </c>
      <c r="H653" s="14" t="s">
        <v>90</v>
      </c>
      <c r="I653" s="14" t="s">
        <v>2938</v>
      </c>
      <c r="J653" s="14" t="s">
        <v>92</v>
      </c>
      <c r="K653" s="14" t="s">
        <v>92</v>
      </c>
      <c r="L653" s="14" t="s">
        <v>92</v>
      </c>
      <c r="M653" s="14" t="s">
        <v>92</v>
      </c>
      <c r="N653" s="14" t="s">
        <v>92</v>
      </c>
      <c r="O653" s="14" t="s">
        <v>92</v>
      </c>
      <c r="P653" s="14" t="s">
        <v>92</v>
      </c>
      <c r="Q653" s="14" t="s">
        <v>92</v>
      </c>
      <c r="R653" s="14" t="s">
        <v>92</v>
      </c>
      <c r="S653" s="14" t="s">
        <v>93</v>
      </c>
      <c r="T653" s="14" t="s">
        <v>92</v>
      </c>
      <c r="U653" s="14" t="s">
        <v>92</v>
      </c>
      <c r="V653" s="14" t="s">
        <v>92</v>
      </c>
      <c r="W653" s="14" t="s">
        <v>93</v>
      </c>
      <c r="X653" s="14" t="s">
        <v>92</v>
      </c>
      <c r="Y653" s="14" t="s">
        <v>92</v>
      </c>
      <c r="Z653" s="14" t="s">
        <v>93</v>
      </c>
      <c r="AA653" s="14" t="s">
        <v>92</v>
      </c>
      <c r="AB653" s="8" t="s">
        <v>93</v>
      </c>
      <c r="AC653" s="8" t="s">
        <v>92</v>
      </c>
      <c r="AD653" s="8" t="s">
        <v>92</v>
      </c>
      <c r="AE653" s="14" t="s">
        <v>103</v>
      </c>
      <c r="AF653" s="14" t="s">
        <v>93</v>
      </c>
      <c r="AG653" s="14" t="s">
        <v>2939</v>
      </c>
      <c r="AH653" s="8" t="s">
        <v>105</v>
      </c>
      <c r="AI653" s="14" t="s">
        <v>93</v>
      </c>
      <c r="AJ653" s="14" t="s">
        <v>92</v>
      </c>
      <c r="AK653" s="14" t="s">
        <v>92</v>
      </c>
      <c r="AL653" s="14" t="s">
        <v>92</v>
      </c>
      <c r="AM653" s="8" t="s">
        <v>105</v>
      </c>
      <c r="AN653" s="14" t="s">
        <v>105</v>
      </c>
      <c r="AO653" s="8" t="s">
        <v>105</v>
      </c>
      <c r="AP653" s="8" t="s">
        <v>92</v>
      </c>
      <c r="AQ653" s="14" t="s">
        <v>92</v>
      </c>
      <c r="AR653" s="14" t="s">
        <v>92</v>
      </c>
      <c r="AS653" s="14" t="s">
        <v>92</v>
      </c>
      <c r="AT653" s="14" t="s">
        <v>93</v>
      </c>
      <c r="AU653" s="14" t="s">
        <v>93</v>
      </c>
      <c r="AV653" s="14" t="s">
        <v>93</v>
      </c>
      <c r="AW653" s="14" t="s">
        <v>93</v>
      </c>
      <c r="AX653" s="14" t="s">
        <v>93</v>
      </c>
      <c r="AY653" s="8" t="s">
        <v>2940</v>
      </c>
      <c r="AZ653" s="8" t="s">
        <v>93</v>
      </c>
      <c r="BA653" s="30" t="s">
        <v>2922</v>
      </c>
      <c r="BB653" s="8" t="s">
        <v>213</v>
      </c>
      <c r="BC653" s="8" t="s">
        <v>92</v>
      </c>
      <c r="BD653" s="14" t="s">
        <v>93</v>
      </c>
      <c r="BE653" s="14" t="s">
        <v>92</v>
      </c>
      <c r="BF653" s="14" t="s">
        <v>92</v>
      </c>
      <c r="BG653" s="14" t="s">
        <v>92</v>
      </c>
      <c r="BH653" s="14" t="s">
        <v>92</v>
      </c>
      <c r="BI653" s="14" t="s">
        <v>93</v>
      </c>
      <c r="BJ653" s="14" t="s">
        <v>92</v>
      </c>
      <c r="BK653" s="14" t="s">
        <v>95</v>
      </c>
      <c r="BL653" s="14" t="s">
        <v>93</v>
      </c>
      <c r="BM653" s="14" t="s">
        <v>93</v>
      </c>
      <c r="BN653" s="14" t="s">
        <v>93</v>
      </c>
      <c r="BO653" s="14" t="s">
        <v>93</v>
      </c>
      <c r="BP653" s="14" t="s">
        <v>93</v>
      </c>
      <c r="BQ653" s="8" t="s">
        <v>92</v>
      </c>
      <c r="BR653" s="8" t="s">
        <v>92</v>
      </c>
      <c r="BS653" s="8" t="s">
        <v>92</v>
      </c>
      <c r="BT653" s="8" t="s">
        <v>93</v>
      </c>
      <c r="BU653" s="8" t="s">
        <v>92</v>
      </c>
      <c r="BV653" s="8" t="s">
        <v>93</v>
      </c>
      <c r="BW653" s="8" t="s">
        <v>93</v>
      </c>
      <c r="BX653" s="8" t="s">
        <v>92</v>
      </c>
      <c r="BY653" s="8" t="s">
        <v>93</v>
      </c>
      <c r="BZ653" s="8" t="s">
        <v>92</v>
      </c>
      <c r="CA653" s="8" t="s">
        <v>92</v>
      </c>
      <c r="CB653" s="20" t="s">
        <v>2928</v>
      </c>
      <c r="CC653" s="17"/>
      <c r="CD653" s="18"/>
      <c r="CE653" s="18"/>
      <c r="CF653" s="18"/>
      <c r="CG653" s="18"/>
      <c r="CH653" s="18"/>
    </row>
    <row r="654">
      <c r="A654" s="8"/>
      <c r="B654" s="9" t="s">
        <v>2922</v>
      </c>
      <c r="C654" s="10" t="s">
        <v>2923</v>
      </c>
      <c r="D654" s="9" t="s">
        <v>2490</v>
      </c>
      <c r="E654" s="11" t="s">
        <v>2941</v>
      </c>
      <c r="F654" s="12"/>
      <c r="G654" s="14" t="s">
        <v>2942</v>
      </c>
      <c r="H654" s="14" t="s">
        <v>90</v>
      </c>
      <c r="I654" s="14" t="s">
        <v>2943</v>
      </c>
      <c r="J654" s="14" t="s">
        <v>92</v>
      </c>
      <c r="K654" s="14" t="s">
        <v>92</v>
      </c>
      <c r="L654" s="14" t="s">
        <v>92</v>
      </c>
      <c r="M654" s="14" t="s">
        <v>92</v>
      </c>
      <c r="N654" s="14" t="s">
        <v>92</v>
      </c>
      <c r="O654" s="14" t="s">
        <v>92</v>
      </c>
      <c r="P654" s="14" t="s">
        <v>92</v>
      </c>
      <c r="Q654" s="14" t="s">
        <v>93</v>
      </c>
      <c r="R654" s="14" t="s">
        <v>92</v>
      </c>
      <c r="S654" s="14" t="s">
        <v>92</v>
      </c>
      <c r="T654" s="14" t="s">
        <v>92</v>
      </c>
      <c r="U654" s="14" t="s">
        <v>93</v>
      </c>
      <c r="V654" s="14" t="s">
        <v>92</v>
      </c>
      <c r="W654" s="14" t="s">
        <v>92</v>
      </c>
      <c r="X654" s="14" t="s">
        <v>92</v>
      </c>
      <c r="Y654" s="14" t="s">
        <v>92</v>
      </c>
      <c r="Z654" s="14" t="s">
        <v>92</v>
      </c>
      <c r="AA654" s="14" t="s">
        <v>92</v>
      </c>
      <c r="AB654" s="8" t="s">
        <v>93</v>
      </c>
      <c r="AC654" s="8" t="s">
        <v>92</v>
      </c>
      <c r="AD654" s="8" t="s">
        <v>92</v>
      </c>
      <c r="AE654" s="14" t="s">
        <v>94</v>
      </c>
      <c r="AF654" s="14" t="s">
        <v>92</v>
      </c>
      <c r="AG654" s="14" t="s">
        <v>95</v>
      </c>
      <c r="AH654" s="8">
        <v>2020.0</v>
      </c>
      <c r="AI654" s="14" t="s">
        <v>93</v>
      </c>
      <c r="AJ654" s="14" t="s">
        <v>92</v>
      </c>
      <c r="AK654" s="14" t="s">
        <v>92</v>
      </c>
      <c r="AL654" s="14" t="s">
        <v>92</v>
      </c>
      <c r="AM654" s="8">
        <v>2020.0</v>
      </c>
      <c r="AN654" s="14" t="s">
        <v>96</v>
      </c>
      <c r="AO654" s="8" t="s">
        <v>92</v>
      </c>
      <c r="AP654" s="8" t="s">
        <v>93</v>
      </c>
      <c r="AQ654" s="14" t="s">
        <v>92</v>
      </c>
      <c r="AR654" s="14" t="s">
        <v>92</v>
      </c>
      <c r="AS654" s="14" t="s">
        <v>92</v>
      </c>
      <c r="AT654" s="14" t="s">
        <v>93</v>
      </c>
      <c r="AU654" s="14" t="s">
        <v>93</v>
      </c>
      <c r="AV654" s="14" t="s">
        <v>93</v>
      </c>
      <c r="AW654" s="14" t="s">
        <v>93</v>
      </c>
      <c r="AX654" s="14" t="s">
        <v>93</v>
      </c>
      <c r="AY654" s="8" t="s">
        <v>95</v>
      </c>
      <c r="AZ654" s="8" t="s">
        <v>95</v>
      </c>
      <c r="BA654" s="9" t="s">
        <v>2944</v>
      </c>
      <c r="BB654" s="8" t="s">
        <v>105</v>
      </c>
      <c r="BC654" s="8" t="s">
        <v>105</v>
      </c>
      <c r="BD654" s="14" t="s">
        <v>92</v>
      </c>
      <c r="BE654" s="14" t="s">
        <v>92</v>
      </c>
      <c r="BF654" s="14" t="s">
        <v>92</v>
      </c>
      <c r="BG654" s="14" t="s">
        <v>92</v>
      </c>
      <c r="BH654" s="14" t="s">
        <v>92</v>
      </c>
      <c r="BI654" s="14" t="s">
        <v>93</v>
      </c>
      <c r="BJ654" s="14" t="s">
        <v>92</v>
      </c>
      <c r="BK654" s="14" t="s">
        <v>105</v>
      </c>
      <c r="BL654" s="14" t="s">
        <v>105</v>
      </c>
      <c r="BM654" s="14" t="s">
        <v>105</v>
      </c>
      <c r="BN654" s="14" t="s">
        <v>105</v>
      </c>
      <c r="BO654" s="14" t="s">
        <v>105</v>
      </c>
      <c r="BP654" s="14" t="s">
        <v>105</v>
      </c>
      <c r="BQ654" s="8" t="s">
        <v>93</v>
      </c>
      <c r="BR654" s="8" t="s">
        <v>92</v>
      </c>
      <c r="BS654" s="8" t="s">
        <v>92</v>
      </c>
      <c r="BT654" s="8" t="s">
        <v>92</v>
      </c>
      <c r="BU654" s="8" t="s">
        <v>92</v>
      </c>
      <c r="BV654" s="8" t="s">
        <v>92</v>
      </c>
      <c r="BW654" s="8" t="s">
        <v>92</v>
      </c>
      <c r="BX654" s="8" t="s">
        <v>92</v>
      </c>
      <c r="BY654" s="8" t="s">
        <v>92</v>
      </c>
      <c r="BZ654" s="8" t="s">
        <v>92</v>
      </c>
      <c r="CA654" s="8" t="s">
        <v>92</v>
      </c>
      <c r="CB654" s="20" t="s">
        <v>2928</v>
      </c>
      <c r="CC654" s="17"/>
      <c r="CD654" s="18"/>
      <c r="CE654" s="18"/>
      <c r="CF654" s="18"/>
      <c r="CG654" s="18"/>
      <c r="CH654" s="18"/>
    </row>
    <row r="655">
      <c r="A655" s="8"/>
      <c r="B655" s="9" t="s">
        <v>2922</v>
      </c>
      <c r="C655" s="10" t="s">
        <v>2923</v>
      </c>
      <c r="D655" s="9" t="s">
        <v>2490</v>
      </c>
      <c r="E655" s="11" t="s">
        <v>2945</v>
      </c>
      <c r="F655" s="12"/>
      <c r="G655" s="14" t="s">
        <v>2946</v>
      </c>
      <c r="H655" s="14" t="s">
        <v>110</v>
      </c>
      <c r="I655" s="14" t="s">
        <v>2947</v>
      </c>
      <c r="J655" s="14" t="s">
        <v>93</v>
      </c>
      <c r="K655" s="14" t="s">
        <v>92</v>
      </c>
      <c r="L655" s="14" t="s">
        <v>93</v>
      </c>
      <c r="M655" s="14" t="s">
        <v>92</v>
      </c>
      <c r="N655" s="14" t="s">
        <v>92</v>
      </c>
      <c r="O655" s="14" t="s">
        <v>92</v>
      </c>
      <c r="P655" s="14" t="s">
        <v>92</v>
      </c>
      <c r="Q655" s="14" t="s">
        <v>92</v>
      </c>
      <c r="R655" s="14" t="s">
        <v>92</v>
      </c>
      <c r="S655" s="14" t="s">
        <v>93</v>
      </c>
      <c r="T655" s="14" t="s">
        <v>92</v>
      </c>
      <c r="U655" s="14" t="s">
        <v>92</v>
      </c>
      <c r="V655" s="14" t="s">
        <v>92</v>
      </c>
      <c r="W655" s="14" t="s">
        <v>92</v>
      </c>
      <c r="X655" s="14" t="s">
        <v>92</v>
      </c>
      <c r="Y655" s="14" t="s">
        <v>92</v>
      </c>
      <c r="Z655" s="14" t="s">
        <v>93</v>
      </c>
      <c r="AA655" s="14" t="s">
        <v>92</v>
      </c>
      <c r="AB655" s="8" t="s">
        <v>92</v>
      </c>
      <c r="AC655" s="8" t="s">
        <v>93</v>
      </c>
      <c r="AD655" s="8" t="s">
        <v>93</v>
      </c>
      <c r="AE655" s="14" t="s">
        <v>112</v>
      </c>
      <c r="AF655" s="14" t="s">
        <v>92</v>
      </c>
      <c r="AG655" s="14" t="s">
        <v>95</v>
      </c>
      <c r="AH655" s="8" t="s">
        <v>105</v>
      </c>
      <c r="AI655" s="14" t="s">
        <v>93</v>
      </c>
      <c r="AJ655" s="14" t="s">
        <v>93</v>
      </c>
      <c r="AK655" s="14" t="s">
        <v>93</v>
      </c>
      <c r="AL655" s="14" t="s">
        <v>93</v>
      </c>
      <c r="AM655" s="8" t="s">
        <v>95</v>
      </c>
      <c r="AN655" s="14" t="s">
        <v>114</v>
      </c>
      <c r="AO655" s="8" t="s">
        <v>93</v>
      </c>
      <c r="AP655" s="8" t="s">
        <v>92</v>
      </c>
      <c r="AQ655" s="14" t="s">
        <v>92</v>
      </c>
      <c r="AR655" s="14" t="s">
        <v>92</v>
      </c>
      <c r="AS655" s="14" t="s">
        <v>92</v>
      </c>
      <c r="AT655" s="14" t="s">
        <v>93</v>
      </c>
      <c r="AU655" s="14" t="s">
        <v>93</v>
      </c>
      <c r="AV655" s="14" t="s">
        <v>93</v>
      </c>
      <c r="AW655" s="14" t="s">
        <v>93</v>
      </c>
      <c r="AX655" s="14" t="s">
        <v>93</v>
      </c>
      <c r="AY655" s="8" t="s">
        <v>95</v>
      </c>
      <c r="AZ655" s="8" t="s">
        <v>95</v>
      </c>
      <c r="BA655" s="30" t="s">
        <v>2922</v>
      </c>
      <c r="BB655" s="8" t="s">
        <v>213</v>
      </c>
      <c r="BC655" s="8" t="s">
        <v>92</v>
      </c>
      <c r="BD655" s="14" t="s">
        <v>93</v>
      </c>
      <c r="BE655" s="14" t="s">
        <v>92</v>
      </c>
      <c r="BF655" s="14" t="s">
        <v>92</v>
      </c>
      <c r="BG655" s="14" t="s">
        <v>92</v>
      </c>
      <c r="BH655" s="14" t="s">
        <v>92</v>
      </c>
      <c r="BI655" s="14" t="s">
        <v>92</v>
      </c>
      <c r="BJ655" s="14" t="s">
        <v>92</v>
      </c>
      <c r="BK655" s="14" t="s">
        <v>2948</v>
      </c>
      <c r="BL655" s="14" t="s">
        <v>93</v>
      </c>
      <c r="BM655" s="14" t="s">
        <v>93</v>
      </c>
      <c r="BN655" s="14" t="s">
        <v>93</v>
      </c>
      <c r="BO655" s="14" t="s">
        <v>93</v>
      </c>
      <c r="BP655" s="14" t="s">
        <v>93</v>
      </c>
      <c r="BQ655" s="8" t="s">
        <v>92</v>
      </c>
      <c r="BR655" s="8" t="s">
        <v>92</v>
      </c>
      <c r="BS655" s="8" t="s">
        <v>92</v>
      </c>
      <c r="BT655" s="8" t="s">
        <v>93</v>
      </c>
      <c r="BU655" s="8" t="s">
        <v>92</v>
      </c>
      <c r="BV655" s="8" t="s">
        <v>93</v>
      </c>
      <c r="BW655" s="8" t="s">
        <v>92</v>
      </c>
      <c r="BX655" s="8" t="s">
        <v>92</v>
      </c>
      <c r="BY655" s="8" t="s">
        <v>92</v>
      </c>
      <c r="BZ655" s="8" t="s">
        <v>93</v>
      </c>
      <c r="CA655" s="8" t="s">
        <v>92</v>
      </c>
      <c r="CB655" s="20" t="s">
        <v>2949</v>
      </c>
      <c r="CC655" s="20" t="s">
        <v>2928</v>
      </c>
      <c r="CD655" s="20" t="s">
        <v>2950</v>
      </c>
      <c r="CE655" s="20" t="s">
        <v>2951</v>
      </c>
      <c r="CF655" s="24" t="s">
        <v>2952</v>
      </c>
      <c r="CG655" s="18"/>
      <c r="CH655" s="18"/>
    </row>
    <row r="656">
      <c r="A656" s="8"/>
      <c r="B656" s="9" t="s">
        <v>2922</v>
      </c>
      <c r="C656" s="10" t="s">
        <v>2923</v>
      </c>
      <c r="D656" s="9" t="s">
        <v>2490</v>
      </c>
      <c r="E656" s="11" t="s">
        <v>2953</v>
      </c>
      <c r="F656" s="12"/>
      <c r="G656" s="14" t="s">
        <v>2954</v>
      </c>
      <c r="H656" s="14" t="s">
        <v>90</v>
      </c>
      <c r="I656" s="14" t="s">
        <v>2955</v>
      </c>
      <c r="J656" s="14" t="s">
        <v>92</v>
      </c>
      <c r="K656" s="14" t="s">
        <v>92</v>
      </c>
      <c r="L656" s="14" t="s">
        <v>92</v>
      </c>
      <c r="M656" s="14" t="s">
        <v>92</v>
      </c>
      <c r="N656" s="14" t="s">
        <v>93</v>
      </c>
      <c r="O656" s="14" t="s">
        <v>92</v>
      </c>
      <c r="P656" s="14" t="s">
        <v>92</v>
      </c>
      <c r="Q656" s="14" t="s">
        <v>92</v>
      </c>
      <c r="R656" s="14" t="s">
        <v>92</v>
      </c>
      <c r="S656" s="14" t="s">
        <v>92</v>
      </c>
      <c r="T656" s="14" t="s">
        <v>93</v>
      </c>
      <c r="U656" s="14" t="s">
        <v>92</v>
      </c>
      <c r="V656" s="14" t="s">
        <v>92</v>
      </c>
      <c r="W656" s="14" t="s">
        <v>92</v>
      </c>
      <c r="X656" s="14" t="s">
        <v>92</v>
      </c>
      <c r="Y656" s="14" t="s">
        <v>92</v>
      </c>
      <c r="Z656" s="14" t="s">
        <v>92</v>
      </c>
      <c r="AA656" s="14" t="s">
        <v>92</v>
      </c>
      <c r="AB656" s="8" t="s">
        <v>93</v>
      </c>
      <c r="AC656" s="8" t="s">
        <v>92</v>
      </c>
      <c r="AD656" s="8" t="s">
        <v>92</v>
      </c>
      <c r="AE656" s="14" t="s">
        <v>103</v>
      </c>
      <c r="AF656" s="14" t="s">
        <v>92</v>
      </c>
      <c r="AG656" s="14" t="s">
        <v>95</v>
      </c>
      <c r="AH656" s="8" t="s">
        <v>105</v>
      </c>
      <c r="AI656" s="14" t="s">
        <v>92</v>
      </c>
      <c r="AJ656" s="14" t="s">
        <v>93</v>
      </c>
      <c r="AK656" s="14" t="s">
        <v>92</v>
      </c>
      <c r="AL656" s="14" t="s">
        <v>92</v>
      </c>
      <c r="AM656" s="8" t="s">
        <v>105</v>
      </c>
      <c r="AN656" s="14" t="s">
        <v>105</v>
      </c>
      <c r="AO656" s="8" t="s">
        <v>105</v>
      </c>
      <c r="AP656" s="8" t="s">
        <v>92</v>
      </c>
      <c r="AQ656" s="14" t="s">
        <v>92</v>
      </c>
      <c r="AR656" s="14" t="s">
        <v>92</v>
      </c>
      <c r="AS656" s="14" t="s">
        <v>92</v>
      </c>
      <c r="AT656" s="14" t="s">
        <v>93</v>
      </c>
      <c r="AU656" s="14" t="s">
        <v>93</v>
      </c>
      <c r="AV656" s="14" t="s">
        <v>93</v>
      </c>
      <c r="AW656" s="14" t="s">
        <v>93</v>
      </c>
      <c r="AX656" s="14" t="s">
        <v>93</v>
      </c>
      <c r="AY656" s="8" t="s">
        <v>95</v>
      </c>
      <c r="AZ656" s="8" t="s">
        <v>95</v>
      </c>
      <c r="BA656" s="44" t="s">
        <v>643</v>
      </c>
      <c r="BB656" s="8" t="s">
        <v>261</v>
      </c>
      <c r="BC656" s="8" t="s">
        <v>92</v>
      </c>
      <c r="BD656" s="14" t="s">
        <v>92</v>
      </c>
      <c r="BE656" s="14" t="s">
        <v>92</v>
      </c>
      <c r="BF656" s="14" t="s">
        <v>92</v>
      </c>
      <c r="BG656" s="14" t="s">
        <v>92</v>
      </c>
      <c r="BH656" s="14" t="s">
        <v>92</v>
      </c>
      <c r="BI656" s="14" t="s">
        <v>93</v>
      </c>
      <c r="BJ656" s="14" t="s">
        <v>92</v>
      </c>
      <c r="BK656" s="14" t="s">
        <v>2948</v>
      </c>
      <c r="BL656" s="14" t="s">
        <v>93</v>
      </c>
      <c r="BM656" s="14" t="s">
        <v>93</v>
      </c>
      <c r="BN656" s="14" t="s">
        <v>93</v>
      </c>
      <c r="BO656" s="14" t="s">
        <v>93</v>
      </c>
      <c r="BP656" s="14" t="s">
        <v>93</v>
      </c>
      <c r="BQ656" s="8" t="s">
        <v>92</v>
      </c>
      <c r="BR656" s="8" t="s">
        <v>93</v>
      </c>
      <c r="BS656" s="8" t="s">
        <v>92</v>
      </c>
      <c r="BT656" s="8" t="s">
        <v>92</v>
      </c>
      <c r="BU656" s="8" t="s">
        <v>92</v>
      </c>
      <c r="BV656" s="8" t="s">
        <v>92</v>
      </c>
      <c r="BW656" s="8" t="s">
        <v>92</v>
      </c>
      <c r="BX656" s="8" t="s">
        <v>92</v>
      </c>
      <c r="BY656" s="8" t="s">
        <v>92</v>
      </c>
      <c r="BZ656" s="8" t="s">
        <v>92</v>
      </c>
      <c r="CA656" s="8" t="s">
        <v>92</v>
      </c>
      <c r="CB656" s="20" t="s">
        <v>2949</v>
      </c>
      <c r="CC656" s="17"/>
      <c r="CD656" s="18"/>
      <c r="CE656" s="18"/>
      <c r="CF656" s="18"/>
      <c r="CG656" s="18"/>
      <c r="CH656" s="18"/>
    </row>
    <row r="657">
      <c r="A657" s="8"/>
      <c r="B657" s="9" t="s">
        <v>2922</v>
      </c>
      <c r="C657" s="10" t="s">
        <v>2923</v>
      </c>
      <c r="D657" s="9" t="s">
        <v>2490</v>
      </c>
      <c r="E657" s="11" t="s">
        <v>2956</v>
      </c>
      <c r="F657" s="12"/>
      <c r="G657" s="14" t="s">
        <v>2957</v>
      </c>
      <c r="H657" s="14" t="s">
        <v>90</v>
      </c>
      <c r="I657" s="14" t="s">
        <v>2958</v>
      </c>
      <c r="J657" s="14" t="s">
        <v>92</v>
      </c>
      <c r="K657" s="14" t="s">
        <v>92</v>
      </c>
      <c r="L657" s="14" t="s">
        <v>92</v>
      </c>
      <c r="M657" s="14" t="s">
        <v>92</v>
      </c>
      <c r="N657" s="14" t="s">
        <v>92</v>
      </c>
      <c r="O657" s="14" t="s">
        <v>92</v>
      </c>
      <c r="P657" s="14" t="s">
        <v>92</v>
      </c>
      <c r="Q657" s="14" t="s">
        <v>92</v>
      </c>
      <c r="R657" s="14" t="s">
        <v>92</v>
      </c>
      <c r="S657" s="14" t="s">
        <v>92</v>
      </c>
      <c r="T657" s="14" t="s">
        <v>92</v>
      </c>
      <c r="U657" s="14" t="s">
        <v>93</v>
      </c>
      <c r="V657" s="14" t="s">
        <v>92</v>
      </c>
      <c r="W657" s="14" t="s">
        <v>92</v>
      </c>
      <c r="X657" s="14" t="s">
        <v>92</v>
      </c>
      <c r="Y657" s="14" t="s">
        <v>92</v>
      </c>
      <c r="Z657" s="14" t="s">
        <v>93</v>
      </c>
      <c r="AA657" s="14" t="s">
        <v>92</v>
      </c>
      <c r="AB657" s="8" t="s">
        <v>93</v>
      </c>
      <c r="AC657" s="8" t="s">
        <v>92</v>
      </c>
      <c r="AD657" s="8" t="s">
        <v>92</v>
      </c>
      <c r="AE657" s="14" t="s">
        <v>94</v>
      </c>
      <c r="AF657" s="14" t="s">
        <v>92</v>
      </c>
      <c r="AG657" s="14" t="s">
        <v>95</v>
      </c>
      <c r="AH657" s="8" t="s">
        <v>105</v>
      </c>
      <c r="AI657" s="14" t="s">
        <v>92</v>
      </c>
      <c r="AJ657" s="14" t="s">
        <v>92</v>
      </c>
      <c r="AK657" s="14" t="s">
        <v>92</v>
      </c>
      <c r="AL657" s="14" t="s">
        <v>93</v>
      </c>
      <c r="AM657" s="8" t="s">
        <v>95</v>
      </c>
      <c r="AN657" s="14" t="s">
        <v>114</v>
      </c>
      <c r="AO657" s="8" t="s">
        <v>92</v>
      </c>
      <c r="AP657" s="8" t="s">
        <v>92</v>
      </c>
      <c r="AQ657" s="14" t="s">
        <v>92</v>
      </c>
      <c r="AR657" s="14" t="s">
        <v>92</v>
      </c>
      <c r="AS657" s="14" t="s">
        <v>92</v>
      </c>
      <c r="AT657" s="14" t="s">
        <v>93</v>
      </c>
      <c r="AU657" s="14" t="s">
        <v>93</v>
      </c>
      <c r="AV657" s="14" t="s">
        <v>93</v>
      </c>
      <c r="AW657" s="14" t="s">
        <v>93</v>
      </c>
      <c r="AX657" s="14" t="s">
        <v>93</v>
      </c>
      <c r="AY657" s="8" t="s">
        <v>2959</v>
      </c>
      <c r="AZ657" s="8" t="s">
        <v>92</v>
      </c>
      <c r="BA657" s="9" t="s">
        <v>2960</v>
      </c>
      <c r="BB657" s="8" t="s">
        <v>261</v>
      </c>
      <c r="BC657" s="8" t="s">
        <v>92</v>
      </c>
      <c r="BD657" s="14" t="s">
        <v>92</v>
      </c>
      <c r="BE657" s="14" t="s">
        <v>92</v>
      </c>
      <c r="BF657" s="14" t="s">
        <v>93</v>
      </c>
      <c r="BG657" s="14" t="s">
        <v>92</v>
      </c>
      <c r="BH657" s="14" t="s">
        <v>92</v>
      </c>
      <c r="BI657" s="14" t="s">
        <v>93</v>
      </c>
      <c r="BJ657" s="14" t="s">
        <v>92</v>
      </c>
      <c r="BK657" s="14" t="s">
        <v>105</v>
      </c>
      <c r="BL657" s="14" t="s">
        <v>105</v>
      </c>
      <c r="BM657" s="14" t="s">
        <v>105</v>
      </c>
      <c r="BN657" s="14" t="s">
        <v>105</v>
      </c>
      <c r="BO657" s="14" t="s">
        <v>105</v>
      </c>
      <c r="BP657" s="14" t="s">
        <v>105</v>
      </c>
      <c r="BQ657" s="8" t="s">
        <v>93</v>
      </c>
      <c r="BR657" s="8" t="s">
        <v>92</v>
      </c>
      <c r="BS657" s="8" t="s">
        <v>92</v>
      </c>
      <c r="BT657" s="8" t="s">
        <v>92</v>
      </c>
      <c r="BU657" s="8" t="s">
        <v>92</v>
      </c>
      <c r="BV657" s="8" t="s">
        <v>92</v>
      </c>
      <c r="BW657" s="8" t="s">
        <v>92</v>
      </c>
      <c r="BX657" s="8" t="s">
        <v>92</v>
      </c>
      <c r="BY657" s="8" t="s">
        <v>92</v>
      </c>
      <c r="BZ657" s="8" t="s">
        <v>92</v>
      </c>
      <c r="CA657" s="8" t="s">
        <v>92</v>
      </c>
      <c r="CB657" s="20" t="s">
        <v>2951</v>
      </c>
      <c r="CC657" s="17"/>
      <c r="CD657" s="18"/>
      <c r="CE657" s="18"/>
      <c r="CF657" s="18"/>
      <c r="CG657" s="18"/>
      <c r="CH657" s="18"/>
    </row>
    <row r="658">
      <c r="A658" s="8"/>
      <c r="B658" s="9" t="s">
        <v>2922</v>
      </c>
      <c r="C658" s="10" t="s">
        <v>2923</v>
      </c>
      <c r="D658" s="9" t="s">
        <v>2490</v>
      </c>
      <c r="E658" s="11" t="s">
        <v>2961</v>
      </c>
      <c r="F658" s="12"/>
      <c r="G658" s="29" t="s">
        <v>2962</v>
      </c>
      <c r="H658" s="14" t="s">
        <v>90</v>
      </c>
      <c r="I658" s="14" t="s">
        <v>2963</v>
      </c>
      <c r="J658" s="14" t="s">
        <v>92</v>
      </c>
      <c r="K658" s="14" t="s">
        <v>92</v>
      </c>
      <c r="L658" s="14" t="s">
        <v>92</v>
      </c>
      <c r="M658" s="14" t="s">
        <v>92</v>
      </c>
      <c r="N658" s="14" t="s">
        <v>93</v>
      </c>
      <c r="O658" s="14" t="s">
        <v>92</v>
      </c>
      <c r="P658" s="14" t="s">
        <v>92</v>
      </c>
      <c r="Q658" s="14" t="s">
        <v>92</v>
      </c>
      <c r="R658" s="14" t="s">
        <v>93</v>
      </c>
      <c r="S658" s="14" t="s">
        <v>93</v>
      </c>
      <c r="T658" s="14" t="s">
        <v>92</v>
      </c>
      <c r="U658" s="14" t="s">
        <v>93</v>
      </c>
      <c r="V658" s="14" t="s">
        <v>92</v>
      </c>
      <c r="W658" s="14" t="s">
        <v>92</v>
      </c>
      <c r="X658" s="14" t="s">
        <v>92</v>
      </c>
      <c r="Y658" s="14" t="s">
        <v>92</v>
      </c>
      <c r="Z658" s="14" t="s">
        <v>93</v>
      </c>
      <c r="AA658" s="14" t="s">
        <v>92</v>
      </c>
      <c r="AB658" s="8" t="s">
        <v>93</v>
      </c>
      <c r="AC658" s="8" t="s">
        <v>92</v>
      </c>
      <c r="AD658" s="8" t="s">
        <v>92</v>
      </c>
      <c r="AE658" s="14" t="s">
        <v>287</v>
      </c>
      <c r="AF658" s="14" t="s">
        <v>92</v>
      </c>
      <c r="AG658" s="14" t="s">
        <v>95</v>
      </c>
      <c r="AH658" s="8" t="s">
        <v>105</v>
      </c>
      <c r="AI658" s="14" t="s">
        <v>92</v>
      </c>
      <c r="AJ658" s="14" t="s">
        <v>92</v>
      </c>
      <c r="AK658" s="14" t="s">
        <v>92</v>
      </c>
      <c r="AL658" s="14" t="s">
        <v>93</v>
      </c>
      <c r="AM658" s="8" t="s">
        <v>95</v>
      </c>
      <c r="AN658" s="14" t="s">
        <v>114</v>
      </c>
      <c r="AO658" s="8" t="s">
        <v>92</v>
      </c>
      <c r="AP658" s="8" t="s">
        <v>92</v>
      </c>
      <c r="AQ658" s="14" t="s">
        <v>92</v>
      </c>
      <c r="AR658" s="14" t="s">
        <v>92</v>
      </c>
      <c r="AS658" s="14" t="s">
        <v>92</v>
      </c>
      <c r="AT658" s="14" t="s">
        <v>93</v>
      </c>
      <c r="AU658" s="14" t="s">
        <v>93</v>
      </c>
      <c r="AV658" s="14" t="s">
        <v>93</v>
      </c>
      <c r="AW658" s="14" t="s">
        <v>93</v>
      </c>
      <c r="AX658" s="14" t="s">
        <v>93</v>
      </c>
      <c r="AY658" s="8" t="s">
        <v>95</v>
      </c>
      <c r="AZ658" s="8" t="s">
        <v>95</v>
      </c>
      <c r="BA658" s="9" t="s">
        <v>2964</v>
      </c>
      <c r="BB658" s="8" t="s">
        <v>143</v>
      </c>
      <c r="BC658" s="8" t="s">
        <v>92</v>
      </c>
      <c r="BD658" s="14" t="s">
        <v>93</v>
      </c>
      <c r="BE658" s="14" t="s">
        <v>92</v>
      </c>
      <c r="BF658" s="14" t="s">
        <v>92</v>
      </c>
      <c r="BG658" s="14" t="s">
        <v>92</v>
      </c>
      <c r="BH658" s="14" t="s">
        <v>92</v>
      </c>
      <c r="BI658" s="14" t="s">
        <v>93</v>
      </c>
      <c r="BJ658" s="14" t="s">
        <v>92</v>
      </c>
      <c r="BK658" s="14" t="s">
        <v>482</v>
      </c>
      <c r="BL658" s="14" t="s">
        <v>92</v>
      </c>
      <c r="BM658" s="14" t="s">
        <v>92</v>
      </c>
      <c r="BN658" s="14" t="s">
        <v>92</v>
      </c>
      <c r="BO658" s="14" t="s">
        <v>93</v>
      </c>
      <c r="BP658" s="14" t="s">
        <v>92</v>
      </c>
      <c r="BQ658" s="8" t="s">
        <v>93</v>
      </c>
      <c r="BR658" s="8" t="s">
        <v>92</v>
      </c>
      <c r="BS658" s="8" t="s">
        <v>92</v>
      </c>
      <c r="BT658" s="8" t="s">
        <v>93</v>
      </c>
      <c r="BU658" s="8" t="s">
        <v>92</v>
      </c>
      <c r="BV658" s="8" t="s">
        <v>92</v>
      </c>
      <c r="BW658" s="8" t="s">
        <v>92</v>
      </c>
      <c r="BX658" s="8" t="s">
        <v>92</v>
      </c>
      <c r="BY658" s="8" t="s">
        <v>92</v>
      </c>
      <c r="BZ658" s="8" t="s">
        <v>92</v>
      </c>
      <c r="CA658" s="8" t="s">
        <v>93</v>
      </c>
      <c r="CB658" s="20" t="s">
        <v>2951</v>
      </c>
      <c r="CC658" s="17"/>
      <c r="CD658" s="18"/>
      <c r="CE658" s="18"/>
      <c r="CF658" s="18"/>
      <c r="CG658" s="18"/>
      <c r="CH658" s="18"/>
    </row>
    <row r="659">
      <c r="A659" s="8"/>
      <c r="B659" s="43" t="s">
        <v>2922</v>
      </c>
      <c r="C659" s="10" t="s">
        <v>2923</v>
      </c>
      <c r="D659" s="9" t="s">
        <v>2490</v>
      </c>
      <c r="E659" s="11" t="s">
        <v>2965</v>
      </c>
      <c r="F659" s="12"/>
      <c r="G659" s="14" t="s">
        <v>2966</v>
      </c>
      <c r="H659" s="14" t="s">
        <v>90</v>
      </c>
      <c r="I659" s="14" t="s">
        <v>2967</v>
      </c>
      <c r="J659" s="14" t="s">
        <v>92</v>
      </c>
      <c r="K659" s="14" t="s">
        <v>92</v>
      </c>
      <c r="L659" s="14" t="s">
        <v>92</v>
      </c>
      <c r="M659" s="14" t="s">
        <v>92</v>
      </c>
      <c r="N659" s="14" t="s">
        <v>92</v>
      </c>
      <c r="O659" s="14" t="s">
        <v>92</v>
      </c>
      <c r="P659" s="14" t="s">
        <v>92</v>
      </c>
      <c r="Q659" s="14" t="s">
        <v>93</v>
      </c>
      <c r="R659" s="14" t="s">
        <v>92</v>
      </c>
      <c r="S659" s="14" t="s">
        <v>92</v>
      </c>
      <c r="T659" s="14" t="s">
        <v>92</v>
      </c>
      <c r="U659" s="14" t="s">
        <v>93</v>
      </c>
      <c r="V659" s="14" t="s">
        <v>92</v>
      </c>
      <c r="W659" s="14" t="s">
        <v>93</v>
      </c>
      <c r="X659" s="14" t="s">
        <v>92</v>
      </c>
      <c r="Y659" s="14" t="s">
        <v>92</v>
      </c>
      <c r="Z659" s="14" t="s">
        <v>93</v>
      </c>
      <c r="AA659" s="14" t="s">
        <v>92</v>
      </c>
      <c r="AB659" s="8" t="s">
        <v>93</v>
      </c>
      <c r="AC659" s="8" t="s">
        <v>92</v>
      </c>
      <c r="AD659" s="8" t="s">
        <v>92</v>
      </c>
      <c r="AE659" s="14" t="s">
        <v>94</v>
      </c>
      <c r="AF659" s="14" t="s">
        <v>92</v>
      </c>
      <c r="AG659" s="14" t="s">
        <v>95</v>
      </c>
      <c r="AH659" s="8">
        <v>2023.0</v>
      </c>
      <c r="AI659" s="14" t="s">
        <v>92</v>
      </c>
      <c r="AJ659" s="14" t="s">
        <v>92</v>
      </c>
      <c r="AK659" s="14" t="s">
        <v>92</v>
      </c>
      <c r="AL659" s="14" t="s">
        <v>93</v>
      </c>
      <c r="AM659" s="8" t="s">
        <v>95</v>
      </c>
      <c r="AN659" s="14" t="s">
        <v>114</v>
      </c>
      <c r="AO659" s="8" t="s">
        <v>92</v>
      </c>
      <c r="AP659" s="8" t="s">
        <v>92</v>
      </c>
      <c r="AQ659" s="14" t="s">
        <v>92</v>
      </c>
      <c r="AR659" s="14" t="s">
        <v>92</v>
      </c>
      <c r="AS659" s="14" t="s">
        <v>92</v>
      </c>
      <c r="AT659" s="14" t="s">
        <v>93</v>
      </c>
      <c r="AU659" s="14" t="s">
        <v>93</v>
      </c>
      <c r="AV659" s="14" t="s">
        <v>93</v>
      </c>
      <c r="AW659" s="14" t="s">
        <v>93</v>
      </c>
      <c r="AX659" s="14" t="s">
        <v>93</v>
      </c>
      <c r="AY659" s="8" t="s">
        <v>95</v>
      </c>
      <c r="AZ659" s="8" t="s">
        <v>95</v>
      </c>
      <c r="BA659" s="9" t="s">
        <v>1746</v>
      </c>
      <c r="BB659" s="8" t="s">
        <v>261</v>
      </c>
      <c r="BC659" s="8" t="s">
        <v>92</v>
      </c>
      <c r="BD659" s="14" t="s">
        <v>92</v>
      </c>
      <c r="BE659" s="14" t="s">
        <v>92</v>
      </c>
      <c r="BF659" s="14" t="s">
        <v>92</v>
      </c>
      <c r="BG659" s="14" t="s">
        <v>92</v>
      </c>
      <c r="BH659" s="14" t="s">
        <v>92</v>
      </c>
      <c r="BI659" s="14" t="s">
        <v>93</v>
      </c>
      <c r="BJ659" s="14" t="s">
        <v>92</v>
      </c>
      <c r="BK659" s="14" t="s">
        <v>105</v>
      </c>
      <c r="BL659" s="14" t="s">
        <v>105</v>
      </c>
      <c r="BM659" s="14" t="s">
        <v>105</v>
      </c>
      <c r="BN659" s="14" t="s">
        <v>105</v>
      </c>
      <c r="BO659" s="14" t="s">
        <v>105</v>
      </c>
      <c r="BP659" s="14" t="s">
        <v>105</v>
      </c>
      <c r="BQ659" s="8" t="s">
        <v>93</v>
      </c>
      <c r="BR659" s="8" t="s">
        <v>92</v>
      </c>
      <c r="BS659" s="8" t="s">
        <v>92</v>
      </c>
      <c r="BT659" s="8" t="s">
        <v>92</v>
      </c>
      <c r="BU659" s="8" t="s">
        <v>92</v>
      </c>
      <c r="BV659" s="8" t="s">
        <v>92</v>
      </c>
      <c r="BW659" s="8" t="s">
        <v>93</v>
      </c>
      <c r="BX659" s="8" t="s">
        <v>92</v>
      </c>
      <c r="BY659" s="8" t="s">
        <v>92</v>
      </c>
      <c r="BZ659" s="8" t="s">
        <v>92</v>
      </c>
      <c r="CA659" s="8" t="s">
        <v>92</v>
      </c>
      <c r="CB659" s="20" t="s">
        <v>2951</v>
      </c>
      <c r="CC659" s="17"/>
      <c r="CD659" s="18"/>
      <c r="CE659" s="18"/>
      <c r="CF659" s="18"/>
      <c r="CG659" s="18"/>
      <c r="CH659" s="18"/>
    </row>
    <row r="660">
      <c r="A660" s="8"/>
      <c r="B660" s="9" t="s">
        <v>2922</v>
      </c>
      <c r="C660" s="10" t="s">
        <v>2923</v>
      </c>
      <c r="D660" s="9" t="s">
        <v>2490</v>
      </c>
      <c r="E660" s="11" t="s">
        <v>2968</v>
      </c>
      <c r="F660" s="12"/>
      <c r="G660" s="14" t="s">
        <v>2969</v>
      </c>
      <c r="H660" s="14" t="s">
        <v>90</v>
      </c>
      <c r="I660" s="14" t="s">
        <v>2970</v>
      </c>
      <c r="J660" s="14" t="s">
        <v>92</v>
      </c>
      <c r="K660" s="14" t="s">
        <v>92</v>
      </c>
      <c r="L660" s="14" t="s">
        <v>92</v>
      </c>
      <c r="M660" s="14" t="s">
        <v>93</v>
      </c>
      <c r="N660" s="14" t="s">
        <v>93</v>
      </c>
      <c r="O660" s="14" t="s">
        <v>92</v>
      </c>
      <c r="P660" s="14" t="s">
        <v>92</v>
      </c>
      <c r="Q660" s="14" t="s">
        <v>92</v>
      </c>
      <c r="R660" s="14" t="s">
        <v>93</v>
      </c>
      <c r="S660" s="14" t="s">
        <v>92</v>
      </c>
      <c r="T660" s="14" t="s">
        <v>92</v>
      </c>
      <c r="U660" s="14" t="s">
        <v>93</v>
      </c>
      <c r="V660" s="14" t="s">
        <v>92</v>
      </c>
      <c r="W660" s="14" t="s">
        <v>92</v>
      </c>
      <c r="X660" s="14" t="s">
        <v>92</v>
      </c>
      <c r="Y660" s="14" t="s">
        <v>92</v>
      </c>
      <c r="Z660" s="14" t="s">
        <v>92</v>
      </c>
      <c r="AA660" s="14" t="s">
        <v>92</v>
      </c>
      <c r="AB660" s="8" t="s">
        <v>93</v>
      </c>
      <c r="AC660" s="8" t="s">
        <v>92</v>
      </c>
      <c r="AD660" s="8" t="s">
        <v>92</v>
      </c>
      <c r="AE660" s="14" t="s">
        <v>148</v>
      </c>
      <c r="AF660" s="14" t="s">
        <v>92</v>
      </c>
      <c r="AG660" s="14" t="s">
        <v>95</v>
      </c>
      <c r="AH660" s="8" t="s">
        <v>105</v>
      </c>
      <c r="AI660" s="14" t="s">
        <v>92</v>
      </c>
      <c r="AJ660" s="14" t="s">
        <v>92</v>
      </c>
      <c r="AK660" s="14" t="s">
        <v>92</v>
      </c>
      <c r="AL660" s="14" t="s">
        <v>93</v>
      </c>
      <c r="AM660" s="8">
        <v>2023.0</v>
      </c>
      <c r="AN660" s="14" t="s">
        <v>96</v>
      </c>
      <c r="AO660" s="8" t="s">
        <v>92</v>
      </c>
      <c r="AP660" s="8" t="s">
        <v>92</v>
      </c>
      <c r="AQ660" s="14" t="s">
        <v>92</v>
      </c>
      <c r="AR660" s="14" t="s">
        <v>92</v>
      </c>
      <c r="AS660" s="14" t="s">
        <v>92</v>
      </c>
      <c r="AT660" s="14" t="s">
        <v>93</v>
      </c>
      <c r="AU660" s="14" t="s">
        <v>93</v>
      </c>
      <c r="AV660" s="14" t="s">
        <v>93</v>
      </c>
      <c r="AW660" s="14" t="s">
        <v>93</v>
      </c>
      <c r="AX660" s="14" t="s">
        <v>93</v>
      </c>
      <c r="AY660" s="8" t="s">
        <v>95</v>
      </c>
      <c r="AZ660" s="8" t="s">
        <v>95</v>
      </c>
      <c r="BA660" s="30" t="s">
        <v>2922</v>
      </c>
      <c r="BB660" s="8" t="s">
        <v>213</v>
      </c>
      <c r="BC660" s="8" t="s">
        <v>92</v>
      </c>
      <c r="BD660" s="14" t="s">
        <v>92</v>
      </c>
      <c r="BE660" s="14" t="s">
        <v>92</v>
      </c>
      <c r="BF660" s="14" t="s">
        <v>92</v>
      </c>
      <c r="BG660" s="14" t="s">
        <v>92</v>
      </c>
      <c r="BH660" s="14" t="s">
        <v>92</v>
      </c>
      <c r="BI660" s="14" t="s">
        <v>93</v>
      </c>
      <c r="BJ660" s="14" t="s">
        <v>92</v>
      </c>
      <c r="BK660" s="14" t="s">
        <v>2948</v>
      </c>
      <c r="BL660" s="14" t="s">
        <v>93</v>
      </c>
      <c r="BM660" s="14" t="s">
        <v>93</v>
      </c>
      <c r="BN660" s="14" t="s">
        <v>93</v>
      </c>
      <c r="BO660" s="14" t="s">
        <v>93</v>
      </c>
      <c r="BP660" s="14" t="s">
        <v>93</v>
      </c>
      <c r="BQ660" s="8" t="s">
        <v>93</v>
      </c>
      <c r="BR660" s="8" t="s">
        <v>92</v>
      </c>
      <c r="BS660" s="8" t="s">
        <v>92</v>
      </c>
      <c r="BT660" s="8" t="s">
        <v>92</v>
      </c>
      <c r="BU660" s="8" t="s">
        <v>92</v>
      </c>
      <c r="BV660" s="8" t="s">
        <v>92</v>
      </c>
      <c r="BW660" s="8" t="s">
        <v>92</v>
      </c>
      <c r="BX660" s="8" t="s">
        <v>92</v>
      </c>
      <c r="BY660" s="8" t="s">
        <v>92</v>
      </c>
      <c r="BZ660" s="8" t="s">
        <v>92</v>
      </c>
      <c r="CA660" s="8" t="s">
        <v>92</v>
      </c>
      <c r="CB660" s="20" t="s">
        <v>2951</v>
      </c>
      <c r="CC660" s="24" t="s">
        <v>2952</v>
      </c>
      <c r="CD660" s="18"/>
      <c r="CE660" s="18"/>
      <c r="CF660" s="18"/>
      <c r="CG660" s="18"/>
      <c r="CH660" s="18"/>
    </row>
    <row r="661">
      <c r="A661" s="8"/>
      <c r="B661" s="9" t="s">
        <v>2971</v>
      </c>
      <c r="C661" s="10" t="s">
        <v>2972</v>
      </c>
      <c r="D661" s="9" t="s">
        <v>2490</v>
      </c>
      <c r="E661" s="11" t="s">
        <v>2973</v>
      </c>
      <c r="F661" s="12"/>
      <c r="G661" s="14" t="s">
        <v>2974</v>
      </c>
      <c r="H661" s="14" t="s">
        <v>90</v>
      </c>
      <c r="I661" s="14" t="s">
        <v>2975</v>
      </c>
      <c r="J661" s="14" t="s">
        <v>92</v>
      </c>
      <c r="K661" s="14" t="s">
        <v>93</v>
      </c>
      <c r="L661" s="14" t="s">
        <v>92</v>
      </c>
      <c r="M661" s="14" t="s">
        <v>92</v>
      </c>
      <c r="N661" s="14" t="s">
        <v>92</v>
      </c>
      <c r="O661" s="14" t="s">
        <v>92</v>
      </c>
      <c r="P661" s="14" t="s">
        <v>93</v>
      </c>
      <c r="Q661" s="14" t="s">
        <v>92</v>
      </c>
      <c r="R661" s="14" t="s">
        <v>92</v>
      </c>
      <c r="S661" s="14" t="s">
        <v>92</v>
      </c>
      <c r="T661" s="14" t="s">
        <v>92</v>
      </c>
      <c r="U661" s="14" t="s">
        <v>93</v>
      </c>
      <c r="V661" s="14" t="s">
        <v>92</v>
      </c>
      <c r="W661" s="14" t="s">
        <v>92</v>
      </c>
      <c r="X661" s="14" t="s">
        <v>92</v>
      </c>
      <c r="Y661" s="14" t="s">
        <v>92</v>
      </c>
      <c r="Z661" s="14" t="s">
        <v>92</v>
      </c>
      <c r="AA661" s="14" t="s">
        <v>92</v>
      </c>
      <c r="AB661" s="8" t="s">
        <v>93</v>
      </c>
      <c r="AC661" s="8" t="s">
        <v>92</v>
      </c>
      <c r="AD661" s="8" t="s">
        <v>92</v>
      </c>
      <c r="AE661" s="14" t="s">
        <v>94</v>
      </c>
      <c r="AF661" s="14" t="s">
        <v>93</v>
      </c>
      <c r="AG661" s="14" t="s">
        <v>2976</v>
      </c>
      <c r="AH661" s="8">
        <v>2020.0</v>
      </c>
      <c r="AI661" s="14" t="s">
        <v>93</v>
      </c>
      <c r="AJ661" s="14" t="s">
        <v>92</v>
      </c>
      <c r="AK661" s="14" t="s">
        <v>92</v>
      </c>
      <c r="AL661" s="14" t="s">
        <v>92</v>
      </c>
      <c r="AM661" s="8">
        <v>2020.0</v>
      </c>
      <c r="AN661" s="14" t="s">
        <v>96</v>
      </c>
      <c r="AO661" s="8" t="s">
        <v>92</v>
      </c>
      <c r="AP661" s="8" t="s">
        <v>93</v>
      </c>
      <c r="AQ661" s="14" t="s">
        <v>92</v>
      </c>
      <c r="AR661" s="14" t="s">
        <v>92</v>
      </c>
      <c r="AS661" s="14" t="s">
        <v>92</v>
      </c>
      <c r="AT661" s="14" t="s">
        <v>92</v>
      </c>
      <c r="AU661" s="14" t="s">
        <v>92</v>
      </c>
      <c r="AV661" s="14" t="s">
        <v>92</v>
      </c>
      <c r="AW661" s="14" t="s">
        <v>93</v>
      </c>
      <c r="AX661" s="14" t="s">
        <v>93</v>
      </c>
      <c r="AY661" s="8" t="s">
        <v>95</v>
      </c>
      <c r="AZ661" s="8" t="s">
        <v>95</v>
      </c>
      <c r="BA661" s="9" t="s">
        <v>2977</v>
      </c>
      <c r="BB661" s="8" t="s">
        <v>2978</v>
      </c>
      <c r="BC661" s="8" t="s">
        <v>92</v>
      </c>
      <c r="BD661" s="14" t="s">
        <v>92</v>
      </c>
      <c r="BE661" s="14" t="s">
        <v>92</v>
      </c>
      <c r="BF661" s="14" t="s">
        <v>92</v>
      </c>
      <c r="BG661" s="14" t="s">
        <v>92</v>
      </c>
      <c r="BH661" s="14" t="s">
        <v>92</v>
      </c>
      <c r="BI661" s="14" t="s">
        <v>93</v>
      </c>
      <c r="BJ661" s="14" t="s">
        <v>92</v>
      </c>
      <c r="BK661" s="14" t="s">
        <v>105</v>
      </c>
      <c r="BL661" s="14" t="s">
        <v>92</v>
      </c>
      <c r="BM661" s="14" t="s">
        <v>92</v>
      </c>
      <c r="BN661" s="14" t="s">
        <v>92</v>
      </c>
      <c r="BO661" s="14" t="s">
        <v>93</v>
      </c>
      <c r="BP661" s="14" t="s">
        <v>92</v>
      </c>
      <c r="BQ661" s="8" t="s">
        <v>93</v>
      </c>
      <c r="BR661" s="8" t="s">
        <v>92</v>
      </c>
      <c r="BS661" s="8" t="s">
        <v>92</v>
      </c>
      <c r="BT661" s="8" t="s">
        <v>92</v>
      </c>
      <c r="BU661" s="8" t="s">
        <v>92</v>
      </c>
      <c r="BV661" s="8" t="s">
        <v>92</v>
      </c>
      <c r="BW661" s="8" t="s">
        <v>92</v>
      </c>
      <c r="BX661" s="8" t="s">
        <v>92</v>
      </c>
      <c r="BY661" s="8" t="s">
        <v>92</v>
      </c>
      <c r="BZ661" s="8" t="s">
        <v>92</v>
      </c>
      <c r="CA661" s="8" t="s">
        <v>92</v>
      </c>
      <c r="CB661" s="20" t="s">
        <v>2979</v>
      </c>
      <c r="CC661" s="17"/>
      <c r="CD661" s="18"/>
      <c r="CE661" s="18"/>
      <c r="CF661" s="18"/>
      <c r="CG661" s="18"/>
      <c r="CH661" s="18"/>
    </row>
    <row r="662">
      <c r="A662" s="8"/>
      <c r="B662" s="9" t="s">
        <v>2971</v>
      </c>
      <c r="C662" s="10" t="s">
        <v>2972</v>
      </c>
      <c r="D662" s="9" t="s">
        <v>2490</v>
      </c>
      <c r="E662" s="11" t="s">
        <v>2980</v>
      </c>
      <c r="F662" s="10" t="s">
        <v>1854</v>
      </c>
      <c r="G662" s="14" t="s">
        <v>2981</v>
      </c>
      <c r="H662" s="14" t="s">
        <v>189</v>
      </c>
      <c r="I662" s="14" t="s">
        <v>2982</v>
      </c>
      <c r="J662" s="14" t="s">
        <v>92</v>
      </c>
      <c r="K662" s="14" t="s">
        <v>93</v>
      </c>
      <c r="L662" s="14" t="s">
        <v>92</v>
      </c>
      <c r="M662" s="14" t="s">
        <v>92</v>
      </c>
      <c r="N662" s="14" t="s">
        <v>92</v>
      </c>
      <c r="O662" s="14" t="s">
        <v>92</v>
      </c>
      <c r="P662" s="14" t="s">
        <v>93</v>
      </c>
      <c r="Q662" s="14" t="s">
        <v>93</v>
      </c>
      <c r="R662" s="14" t="s">
        <v>92</v>
      </c>
      <c r="S662" s="14" t="s">
        <v>92</v>
      </c>
      <c r="T662" s="14" t="s">
        <v>92</v>
      </c>
      <c r="U662" s="14" t="s">
        <v>93</v>
      </c>
      <c r="V662" s="14" t="s">
        <v>92</v>
      </c>
      <c r="W662" s="14" t="s">
        <v>92</v>
      </c>
      <c r="X662" s="14" t="s">
        <v>92</v>
      </c>
      <c r="Y662" s="14" t="s">
        <v>92</v>
      </c>
      <c r="Z662" s="14" t="s">
        <v>92</v>
      </c>
      <c r="AA662" s="14" t="s">
        <v>92</v>
      </c>
      <c r="AB662" s="8" t="s">
        <v>93</v>
      </c>
      <c r="AC662" s="8" t="s">
        <v>92</v>
      </c>
      <c r="AD662" s="8" t="s">
        <v>92</v>
      </c>
      <c r="AE662" s="14" t="s">
        <v>1135</v>
      </c>
      <c r="AF662" s="14" t="s">
        <v>93</v>
      </c>
      <c r="AG662" s="14" t="s">
        <v>2983</v>
      </c>
      <c r="AH662" s="8" t="s">
        <v>105</v>
      </c>
      <c r="AI662" s="14" t="s">
        <v>93</v>
      </c>
      <c r="AJ662" s="14" t="s">
        <v>92</v>
      </c>
      <c r="AK662" s="14" t="s">
        <v>92</v>
      </c>
      <c r="AL662" s="14" t="s">
        <v>92</v>
      </c>
      <c r="AM662" s="8" t="s">
        <v>105</v>
      </c>
      <c r="AN662" s="14" t="s">
        <v>105</v>
      </c>
      <c r="AO662" s="8" t="s">
        <v>105</v>
      </c>
      <c r="AP662" s="8" t="s">
        <v>92</v>
      </c>
      <c r="AQ662" s="14" t="s">
        <v>92</v>
      </c>
      <c r="AR662" s="14" t="s">
        <v>92</v>
      </c>
      <c r="AS662" s="14" t="s">
        <v>92</v>
      </c>
      <c r="AT662" s="14" t="s">
        <v>92</v>
      </c>
      <c r="AU662" s="14" t="s">
        <v>92</v>
      </c>
      <c r="AV662" s="14" t="s">
        <v>92</v>
      </c>
      <c r="AW662" s="14" t="s">
        <v>93</v>
      </c>
      <c r="AX662" s="14" t="s">
        <v>93</v>
      </c>
      <c r="AY662" s="8" t="s">
        <v>95</v>
      </c>
      <c r="AZ662" s="8" t="s">
        <v>95</v>
      </c>
      <c r="BA662" s="9" t="s">
        <v>2984</v>
      </c>
      <c r="BB662" s="8" t="s">
        <v>95</v>
      </c>
      <c r="BC662" s="8" t="s">
        <v>93</v>
      </c>
      <c r="BD662" s="14" t="s">
        <v>92</v>
      </c>
      <c r="BE662" s="14" t="s">
        <v>92</v>
      </c>
      <c r="BF662" s="14" t="s">
        <v>92</v>
      </c>
      <c r="BG662" s="14" t="s">
        <v>92</v>
      </c>
      <c r="BH662" s="14" t="s">
        <v>92</v>
      </c>
      <c r="BI662" s="14" t="s">
        <v>93</v>
      </c>
      <c r="BJ662" s="14" t="s">
        <v>92</v>
      </c>
      <c r="BK662" s="14" t="s">
        <v>105</v>
      </c>
      <c r="BL662" s="14" t="s">
        <v>105</v>
      </c>
      <c r="BM662" s="14" t="s">
        <v>105</v>
      </c>
      <c r="BN662" s="14" t="s">
        <v>105</v>
      </c>
      <c r="BO662" s="14" t="s">
        <v>105</v>
      </c>
      <c r="BP662" s="14" t="s">
        <v>105</v>
      </c>
      <c r="BQ662" s="8" t="s">
        <v>93</v>
      </c>
      <c r="BR662" s="8" t="s">
        <v>92</v>
      </c>
      <c r="BS662" s="8" t="s">
        <v>92</v>
      </c>
      <c r="BT662" s="8" t="s">
        <v>92</v>
      </c>
      <c r="BU662" s="8" t="s">
        <v>92</v>
      </c>
      <c r="BV662" s="8" t="s">
        <v>92</v>
      </c>
      <c r="BW662" s="8" t="s">
        <v>92</v>
      </c>
      <c r="BX662" s="8" t="s">
        <v>92</v>
      </c>
      <c r="BY662" s="8" t="s">
        <v>92</v>
      </c>
      <c r="BZ662" s="8" t="s">
        <v>92</v>
      </c>
      <c r="CA662" s="8" t="s">
        <v>92</v>
      </c>
      <c r="CB662" s="20" t="s">
        <v>2979</v>
      </c>
      <c r="CC662" s="17"/>
      <c r="CD662" s="18"/>
      <c r="CE662" s="18"/>
      <c r="CF662" s="18"/>
      <c r="CG662" s="18"/>
      <c r="CH662" s="18"/>
    </row>
    <row r="663">
      <c r="A663" s="8"/>
      <c r="B663" s="9" t="s">
        <v>2971</v>
      </c>
      <c r="C663" s="10" t="s">
        <v>2972</v>
      </c>
      <c r="D663" s="9" t="s">
        <v>2490</v>
      </c>
      <c r="E663" s="11" t="s">
        <v>2985</v>
      </c>
      <c r="F663" s="12"/>
      <c r="G663" s="14" t="s">
        <v>2986</v>
      </c>
      <c r="H663" s="14" t="s">
        <v>90</v>
      </c>
      <c r="I663" s="14" t="s">
        <v>2987</v>
      </c>
      <c r="J663" s="14" t="s">
        <v>92</v>
      </c>
      <c r="K663" s="14" t="s">
        <v>92</v>
      </c>
      <c r="L663" s="14" t="s">
        <v>92</v>
      </c>
      <c r="M663" s="14" t="s">
        <v>92</v>
      </c>
      <c r="N663" s="14" t="s">
        <v>92</v>
      </c>
      <c r="O663" s="14" t="s">
        <v>92</v>
      </c>
      <c r="P663" s="14" t="s">
        <v>92</v>
      </c>
      <c r="Q663" s="14" t="s">
        <v>92</v>
      </c>
      <c r="R663" s="14" t="s">
        <v>92</v>
      </c>
      <c r="S663" s="14" t="s">
        <v>92</v>
      </c>
      <c r="T663" s="14" t="s">
        <v>92</v>
      </c>
      <c r="U663" s="14" t="s">
        <v>93</v>
      </c>
      <c r="V663" s="14" t="s">
        <v>92</v>
      </c>
      <c r="W663" s="14" t="s">
        <v>92</v>
      </c>
      <c r="X663" s="14" t="s">
        <v>92</v>
      </c>
      <c r="Y663" s="14" t="s">
        <v>92</v>
      </c>
      <c r="Z663" s="14" t="s">
        <v>92</v>
      </c>
      <c r="AA663" s="14" t="s">
        <v>92</v>
      </c>
      <c r="AB663" s="8" t="s">
        <v>93</v>
      </c>
      <c r="AC663" s="8" t="s">
        <v>92</v>
      </c>
      <c r="AD663" s="8" t="s">
        <v>92</v>
      </c>
      <c r="AE663" s="14" t="s">
        <v>1135</v>
      </c>
      <c r="AF663" s="14" t="s">
        <v>92</v>
      </c>
      <c r="AG663" s="14" t="s">
        <v>95</v>
      </c>
      <c r="AH663" s="8">
        <v>2020.0</v>
      </c>
      <c r="AI663" s="14" t="s">
        <v>93</v>
      </c>
      <c r="AJ663" s="14" t="s">
        <v>92</v>
      </c>
      <c r="AK663" s="14" t="s">
        <v>92</v>
      </c>
      <c r="AL663" s="14" t="s">
        <v>92</v>
      </c>
      <c r="AM663" s="8">
        <v>2020.0</v>
      </c>
      <c r="AN663" s="14" t="s">
        <v>96</v>
      </c>
      <c r="AO663" s="8" t="s">
        <v>92</v>
      </c>
      <c r="AP663" s="8" t="s">
        <v>93</v>
      </c>
      <c r="AQ663" s="14" t="s">
        <v>92</v>
      </c>
      <c r="AR663" s="14" t="s">
        <v>92</v>
      </c>
      <c r="AS663" s="14" t="s">
        <v>92</v>
      </c>
      <c r="AT663" s="14" t="s">
        <v>92</v>
      </c>
      <c r="AU663" s="14" t="s">
        <v>92</v>
      </c>
      <c r="AV663" s="14" t="s">
        <v>92</v>
      </c>
      <c r="AW663" s="14" t="s">
        <v>93</v>
      </c>
      <c r="AX663" s="14" t="s">
        <v>93</v>
      </c>
      <c r="AY663" s="8" t="s">
        <v>2988</v>
      </c>
      <c r="AZ663" s="8" t="s">
        <v>92</v>
      </c>
      <c r="BA663" s="9" t="s">
        <v>2989</v>
      </c>
      <c r="BB663" s="8" t="s">
        <v>95</v>
      </c>
      <c r="BC663" s="8" t="s">
        <v>93</v>
      </c>
      <c r="BD663" s="14" t="s">
        <v>92</v>
      </c>
      <c r="BE663" s="14" t="s">
        <v>92</v>
      </c>
      <c r="BF663" s="14" t="s">
        <v>92</v>
      </c>
      <c r="BG663" s="14" t="s">
        <v>92</v>
      </c>
      <c r="BH663" s="14" t="s">
        <v>92</v>
      </c>
      <c r="BI663" s="14" t="s">
        <v>93</v>
      </c>
      <c r="BJ663" s="14" t="s">
        <v>92</v>
      </c>
      <c r="BK663" s="14" t="s">
        <v>105</v>
      </c>
      <c r="BL663" s="14" t="s">
        <v>105</v>
      </c>
      <c r="BM663" s="14" t="s">
        <v>105</v>
      </c>
      <c r="BN663" s="14" t="s">
        <v>105</v>
      </c>
      <c r="BO663" s="14" t="s">
        <v>105</v>
      </c>
      <c r="BP663" s="14" t="s">
        <v>105</v>
      </c>
      <c r="BQ663" s="8" t="s">
        <v>93</v>
      </c>
      <c r="BR663" s="8" t="s">
        <v>92</v>
      </c>
      <c r="BS663" s="8" t="s">
        <v>92</v>
      </c>
      <c r="BT663" s="8" t="s">
        <v>92</v>
      </c>
      <c r="BU663" s="8" t="s">
        <v>92</v>
      </c>
      <c r="BV663" s="8" t="s">
        <v>92</v>
      </c>
      <c r="BW663" s="8" t="s">
        <v>92</v>
      </c>
      <c r="BX663" s="8" t="s">
        <v>92</v>
      </c>
      <c r="BY663" s="8" t="s">
        <v>92</v>
      </c>
      <c r="BZ663" s="8" t="s">
        <v>92</v>
      </c>
      <c r="CA663" s="8" t="s">
        <v>92</v>
      </c>
      <c r="CB663" s="20" t="s">
        <v>2979</v>
      </c>
      <c r="CC663" s="17"/>
      <c r="CD663" s="18"/>
      <c r="CE663" s="18"/>
      <c r="CF663" s="18"/>
      <c r="CG663" s="18"/>
      <c r="CH663" s="18"/>
    </row>
    <row r="664">
      <c r="A664" s="8"/>
      <c r="B664" s="9" t="s">
        <v>2971</v>
      </c>
      <c r="C664" s="10" t="s">
        <v>2972</v>
      </c>
      <c r="D664" s="9" t="s">
        <v>2490</v>
      </c>
      <c r="E664" s="11" t="s">
        <v>2990</v>
      </c>
      <c r="F664" s="12"/>
      <c r="G664" s="14" t="s">
        <v>2991</v>
      </c>
      <c r="H664" s="14" t="s">
        <v>90</v>
      </c>
      <c r="I664" s="14" t="s">
        <v>2992</v>
      </c>
      <c r="J664" s="14" t="s">
        <v>92</v>
      </c>
      <c r="K664" s="14" t="s">
        <v>93</v>
      </c>
      <c r="L664" s="14" t="s">
        <v>92</v>
      </c>
      <c r="M664" s="14" t="s">
        <v>92</v>
      </c>
      <c r="N664" s="14" t="s">
        <v>92</v>
      </c>
      <c r="O664" s="14" t="s">
        <v>92</v>
      </c>
      <c r="P664" s="14" t="s">
        <v>92</v>
      </c>
      <c r="Q664" s="14" t="s">
        <v>93</v>
      </c>
      <c r="R664" s="14" t="s">
        <v>92</v>
      </c>
      <c r="S664" s="14" t="s">
        <v>92</v>
      </c>
      <c r="T664" s="14" t="s">
        <v>92</v>
      </c>
      <c r="U664" s="14" t="s">
        <v>93</v>
      </c>
      <c r="V664" s="14" t="s">
        <v>92</v>
      </c>
      <c r="W664" s="14" t="s">
        <v>92</v>
      </c>
      <c r="X664" s="14" t="s">
        <v>92</v>
      </c>
      <c r="Y664" s="14" t="s">
        <v>92</v>
      </c>
      <c r="Z664" s="14" t="s">
        <v>92</v>
      </c>
      <c r="AA664" s="14" t="s">
        <v>92</v>
      </c>
      <c r="AB664" s="8" t="s">
        <v>93</v>
      </c>
      <c r="AC664" s="8" t="s">
        <v>92</v>
      </c>
      <c r="AD664" s="8" t="s">
        <v>92</v>
      </c>
      <c r="AE664" s="14" t="s">
        <v>94</v>
      </c>
      <c r="AF664" s="14" t="s">
        <v>93</v>
      </c>
      <c r="AG664" s="14" t="s">
        <v>2983</v>
      </c>
      <c r="AH664" s="8">
        <v>2020.0</v>
      </c>
      <c r="AI664" s="14" t="s">
        <v>93</v>
      </c>
      <c r="AJ664" s="14" t="s">
        <v>92</v>
      </c>
      <c r="AK664" s="14" t="s">
        <v>92</v>
      </c>
      <c r="AL664" s="14" t="s">
        <v>92</v>
      </c>
      <c r="AM664" s="8">
        <v>2020.0</v>
      </c>
      <c r="AN664" s="14" t="s">
        <v>96</v>
      </c>
      <c r="AO664" s="8" t="s">
        <v>92</v>
      </c>
      <c r="AP664" s="8" t="s">
        <v>93</v>
      </c>
      <c r="AQ664" s="14" t="s">
        <v>92</v>
      </c>
      <c r="AR664" s="14" t="s">
        <v>92</v>
      </c>
      <c r="AS664" s="14" t="s">
        <v>92</v>
      </c>
      <c r="AT664" s="14" t="s">
        <v>92</v>
      </c>
      <c r="AU664" s="14" t="s">
        <v>92</v>
      </c>
      <c r="AV664" s="14" t="s">
        <v>92</v>
      </c>
      <c r="AW664" s="14" t="s">
        <v>93</v>
      </c>
      <c r="AX664" s="14" t="s">
        <v>93</v>
      </c>
      <c r="AY664" s="8" t="s">
        <v>95</v>
      </c>
      <c r="AZ664" s="8" t="s">
        <v>95</v>
      </c>
      <c r="BA664" s="9" t="s">
        <v>2993</v>
      </c>
      <c r="BB664" s="8" t="s">
        <v>95</v>
      </c>
      <c r="BC664" s="8" t="s">
        <v>93</v>
      </c>
      <c r="BD664" s="14" t="s">
        <v>92</v>
      </c>
      <c r="BE664" s="14" t="s">
        <v>92</v>
      </c>
      <c r="BF664" s="14" t="s">
        <v>92</v>
      </c>
      <c r="BG664" s="14" t="s">
        <v>92</v>
      </c>
      <c r="BH664" s="14" t="s">
        <v>92</v>
      </c>
      <c r="BI664" s="14" t="s">
        <v>93</v>
      </c>
      <c r="BJ664" s="14" t="s">
        <v>92</v>
      </c>
      <c r="BK664" s="14" t="s">
        <v>105</v>
      </c>
      <c r="BL664" s="14" t="s">
        <v>105</v>
      </c>
      <c r="BM664" s="14" t="s">
        <v>105</v>
      </c>
      <c r="BN664" s="14" t="s">
        <v>105</v>
      </c>
      <c r="BO664" s="14" t="s">
        <v>105</v>
      </c>
      <c r="BP664" s="14" t="s">
        <v>105</v>
      </c>
      <c r="BQ664" s="8" t="s">
        <v>93</v>
      </c>
      <c r="BR664" s="8" t="s">
        <v>92</v>
      </c>
      <c r="BS664" s="8" t="s">
        <v>92</v>
      </c>
      <c r="BT664" s="8" t="s">
        <v>92</v>
      </c>
      <c r="BU664" s="8" t="s">
        <v>92</v>
      </c>
      <c r="BV664" s="8" t="s">
        <v>92</v>
      </c>
      <c r="BW664" s="8" t="s">
        <v>92</v>
      </c>
      <c r="BX664" s="8" t="s">
        <v>92</v>
      </c>
      <c r="BY664" s="8" t="s">
        <v>92</v>
      </c>
      <c r="BZ664" s="8" t="s">
        <v>92</v>
      </c>
      <c r="CA664" s="8" t="s">
        <v>92</v>
      </c>
      <c r="CB664" s="20" t="s">
        <v>2979</v>
      </c>
      <c r="CC664" s="17"/>
      <c r="CD664" s="18"/>
      <c r="CE664" s="18"/>
      <c r="CF664" s="42"/>
      <c r="CG664" s="18"/>
      <c r="CH664" s="18"/>
    </row>
    <row r="665">
      <c r="A665" s="8"/>
      <c r="B665" s="9" t="s">
        <v>2971</v>
      </c>
      <c r="C665" s="10" t="s">
        <v>2972</v>
      </c>
      <c r="D665" s="9" t="s">
        <v>2490</v>
      </c>
      <c r="E665" s="11" t="s">
        <v>2994</v>
      </c>
      <c r="F665" s="12"/>
      <c r="G665" s="14" t="s">
        <v>2995</v>
      </c>
      <c r="H665" s="14" t="s">
        <v>90</v>
      </c>
      <c r="I665" s="14" t="s">
        <v>2996</v>
      </c>
      <c r="J665" s="14" t="s">
        <v>92</v>
      </c>
      <c r="K665" s="14" t="s">
        <v>92</v>
      </c>
      <c r="L665" s="14" t="s">
        <v>92</v>
      </c>
      <c r="M665" s="14" t="s">
        <v>92</v>
      </c>
      <c r="N665" s="14" t="s">
        <v>92</v>
      </c>
      <c r="O665" s="14" t="s">
        <v>92</v>
      </c>
      <c r="P665" s="14" t="s">
        <v>93</v>
      </c>
      <c r="Q665" s="14" t="s">
        <v>92</v>
      </c>
      <c r="R665" s="14" t="s">
        <v>92</v>
      </c>
      <c r="S665" s="14" t="s">
        <v>92</v>
      </c>
      <c r="T665" s="14" t="s">
        <v>92</v>
      </c>
      <c r="U665" s="14" t="s">
        <v>93</v>
      </c>
      <c r="V665" s="14" t="s">
        <v>92</v>
      </c>
      <c r="W665" s="14" t="s">
        <v>92</v>
      </c>
      <c r="X665" s="14" t="s">
        <v>92</v>
      </c>
      <c r="Y665" s="14" t="s">
        <v>92</v>
      </c>
      <c r="Z665" s="14" t="s">
        <v>92</v>
      </c>
      <c r="AA665" s="14" t="s">
        <v>92</v>
      </c>
      <c r="AB665" s="8" t="s">
        <v>93</v>
      </c>
      <c r="AC665" s="8" t="s">
        <v>92</v>
      </c>
      <c r="AD665" s="8" t="s">
        <v>92</v>
      </c>
      <c r="AE665" s="14" t="s">
        <v>94</v>
      </c>
      <c r="AF665" s="14" t="s">
        <v>92</v>
      </c>
      <c r="AG665" s="14" t="s">
        <v>95</v>
      </c>
      <c r="AH665" s="8" t="s">
        <v>105</v>
      </c>
      <c r="AI665" s="14" t="s">
        <v>93</v>
      </c>
      <c r="AJ665" s="14" t="s">
        <v>92</v>
      </c>
      <c r="AK665" s="14" t="s">
        <v>92</v>
      </c>
      <c r="AL665" s="14" t="s">
        <v>92</v>
      </c>
      <c r="AM665" s="8" t="s">
        <v>105</v>
      </c>
      <c r="AN665" s="14" t="s">
        <v>105</v>
      </c>
      <c r="AO665" s="8" t="s">
        <v>105</v>
      </c>
      <c r="AP665" s="8" t="s">
        <v>93</v>
      </c>
      <c r="AQ665" s="14" t="s">
        <v>92</v>
      </c>
      <c r="AR665" s="14" t="s">
        <v>92</v>
      </c>
      <c r="AS665" s="14" t="s">
        <v>92</v>
      </c>
      <c r="AT665" s="14" t="s">
        <v>92</v>
      </c>
      <c r="AU665" s="14" t="s">
        <v>92</v>
      </c>
      <c r="AV665" s="14" t="s">
        <v>92</v>
      </c>
      <c r="AW665" s="14" t="s">
        <v>93</v>
      </c>
      <c r="AX665" s="14" t="s">
        <v>93</v>
      </c>
      <c r="AY665" s="8" t="s">
        <v>95</v>
      </c>
      <c r="AZ665" s="8" t="s">
        <v>95</v>
      </c>
      <c r="BA665" s="9" t="s">
        <v>2997</v>
      </c>
      <c r="BB665" s="8" t="s">
        <v>143</v>
      </c>
      <c r="BC665" s="8" t="s">
        <v>92</v>
      </c>
      <c r="BD665" s="14" t="s">
        <v>92</v>
      </c>
      <c r="BE665" s="14" t="s">
        <v>92</v>
      </c>
      <c r="BF665" s="14" t="s">
        <v>92</v>
      </c>
      <c r="BG665" s="14" t="s">
        <v>92</v>
      </c>
      <c r="BH665" s="14" t="s">
        <v>92</v>
      </c>
      <c r="BI665" s="14" t="s">
        <v>93</v>
      </c>
      <c r="BJ665" s="14" t="s">
        <v>92</v>
      </c>
      <c r="BK665" s="14" t="s">
        <v>105</v>
      </c>
      <c r="BL665" s="14" t="s">
        <v>105</v>
      </c>
      <c r="BM665" s="14" t="s">
        <v>105</v>
      </c>
      <c r="BN665" s="14" t="s">
        <v>105</v>
      </c>
      <c r="BO665" s="14" t="s">
        <v>105</v>
      </c>
      <c r="BP665" s="14" t="s">
        <v>105</v>
      </c>
      <c r="BQ665" s="8" t="s">
        <v>93</v>
      </c>
      <c r="BR665" s="8" t="s">
        <v>92</v>
      </c>
      <c r="BS665" s="8" t="s">
        <v>92</v>
      </c>
      <c r="BT665" s="8" t="s">
        <v>92</v>
      </c>
      <c r="BU665" s="8" t="s">
        <v>92</v>
      </c>
      <c r="BV665" s="8" t="s">
        <v>92</v>
      </c>
      <c r="BW665" s="8" t="s">
        <v>92</v>
      </c>
      <c r="BX665" s="8" t="s">
        <v>92</v>
      </c>
      <c r="BY665" s="8" t="s">
        <v>92</v>
      </c>
      <c r="BZ665" s="8" t="s">
        <v>92</v>
      </c>
      <c r="CA665" s="8" t="s">
        <v>92</v>
      </c>
      <c r="CB665" s="20" t="s">
        <v>2979</v>
      </c>
      <c r="CC665" s="24" t="s">
        <v>2998</v>
      </c>
      <c r="CD665" s="18"/>
      <c r="CE665" s="18"/>
      <c r="CF665" s="18"/>
      <c r="CG665" s="18"/>
      <c r="CH665" s="18"/>
    </row>
    <row r="666">
      <c r="A666" s="8"/>
      <c r="B666" s="9" t="s">
        <v>2971</v>
      </c>
      <c r="C666" s="10" t="s">
        <v>2972</v>
      </c>
      <c r="D666" s="9" t="s">
        <v>2490</v>
      </c>
      <c r="E666" s="11" t="s">
        <v>2999</v>
      </c>
      <c r="F666" s="12"/>
      <c r="G666" s="14" t="s">
        <v>3000</v>
      </c>
      <c r="H666" s="14" t="s">
        <v>90</v>
      </c>
      <c r="I666" s="14" t="s">
        <v>3001</v>
      </c>
      <c r="J666" s="14" t="s">
        <v>92</v>
      </c>
      <c r="K666" s="14" t="s">
        <v>92</v>
      </c>
      <c r="L666" s="14" t="s">
        <v>93</v>
      </c>
      <c r="M666" s="14" t="s">
        <v>92</v>
      </c>
      <c r="N666" s="14" t="s">
        <v>92</v>
      </c>
      <c r="O666" s="14" t="s">
        <v>92</v>
      </c>
      <c r="P666" s="14" t="s">
        <v>93</v>
      </c>
      <c r="Q666" s="14" t="s">
        <v>92</v>
      </c>
      <c r="R666" s="14" t="s">
        <v>92</v>
      </c>
      <c r="S666" s="14" t="s">
        <v>93</v>
      </c>
      <c r="T666" s="14" t="s">
        <v>92</v>
      </c>
      <c r="U666" s="14" t="s">
        <v>92</v>
      </c>
      <c r="V666" s="14" t="s">
        <v>92</v>
      </c>
      <c r="W666" s="14" t="s">
        <v>92</v>
      </c>
      <c r="X666" s="14" t="s">
        <v>92</v>
      </c>
      <c r="Y666" s="14" t="s">
        <v>92</v>
      </c>
      <c r="Z666" s="14" t="s">
        <v>93</v>
      </c>
      <c r="AA666" s="14" t="s">
        <v>92</v>
      </c>
      <c r="AB666" s="8" t="s">
        <v>93</v>
      </c>
      <c r="AC666" s="8" t="s">
        <v>93</v>
      </c>
      <c r="AD666" s="8" t="s">
        <v>92</v>
      </c>
      <c r="AE666" s="14" t="s">
        <v>103</v>
      </c>
      <c r="AF666" s="14" t="s">
        <v>92</v>
      </c>
      <c r="AG666" s="14" t="s">
        <v>95</v>
      </c>
      <c r="AH666" s="8" t="s">
        <v>105</v>
      </c>
      <c r="AI666" s="14" t="s">
        <v>93</v>
      </c>
      <c r="AJ666" s="14" t="s">
        <v>92</v>
      </c>
      <c r="AK666" s="14" t="s">
        <v>92</v>
      </c>
      <c r="AL666" s="14" t="s">
        <v>92</v>
      </c>
      <c r="AM666" s="8" t="s">
        <v>105</v>
      </c>
      <c r="AN666" s="14" t="s">
        <v>105</v>
      </c>
      <c r="AO666" s="8" t="s">
        <v>105</v>
      </c>
      <c r="AP666" s="8" t="s">
        <v>92</v>
      </c>
      <c r="AQ666" s="14" t="s">
        <v>92</v>
      </c>
      <c r="AR666" s="14" t="s">
        <v>92</v>
      </c>
      <c r="AS666" s="14" t="s">
        <v>92</v>
      </c>
      <c r="AT666" s="14" t="s">
        <v>92</v>
      </c>
      <c r="AU666" s="14" t="s">
        <v>92</v>
      </c>
      <c r="AV666" s="14" t="s">
        <v>92</v>
      </c>
      <c r="AW666" s="14" t="s">
        <v>93</v>
      </c>
      <c r="AX666" s="14" t="s">
        <v>93</v>
      </c>
      <c r="AY666" s="8" t="s">
        <v>3002</v>
      </c>
      <c r="AZ666" s="8" t="s">
        <v>92</v>
      </c>
      <c r="BA666" s="9" t="s">
        <v>3003</v>
      </c>
      <c r="BB666" s="8" t="s">
        <v>95</v>
      </c>
      <c r="BC666" s="8" t="s">
        <v>93</v>
      </c>
      <c r="BD666" s="14" t="s">
        <v>93</v>
      </c>
      <c r="BE666" s="14" t="s">
        <v>92</v>
      </c>
      <c r="BF666" s="14" t="s">
        <v>92</v>
      </c>
      <c r="BG666" s="14" t="s">
        <v>92</v>
      </c>
      <c r="BH666" s="14" t="s">
        <v>92</v>
      </c>
      <c r="BI666" s="14" t="s">
        <v>92</v>
      </c>
      <c r="BJ666" s="14" t="s">
        <v>92</v>
      </c>
      <c r="BK666" s="14" t="s">
        <v>105</v>
      </c>
      <c r="BL666" s="14" t="s">
        <v>105</v>
      </c>
      <c r="BM666" s="14" t="s">
        <v>105</v>
      </c>
      <c r="BN666" s="14" t="s">
        <v>105</v>
      </c>
      <c r="BO666" s="14" t="s">
        <v>105</v>
      </c>
      <c r="BP666" s="14" t="s">
        <v>105</v>
      </c>
      <c r="BQ666" s="8" t="s">
        <v>92</v>
      </c>
      <c r="BR666" s="8" t="s">
        <v>92</v>
      </c>
      <c r="BS666" s="8" t="s">
        <v>93</v>
      </c>
      <c r="BT666" s="8" t="s">
        <v>93</v>
      </c>
      <c r="BU666" s="8" t="s">
        <v>93</v>
      </c>
      <c r="BV666" s="8" t="s">
        <v>92</v>
      </c>
      <c r="BW666" s="8" t="s">
        <v>92</v>
      </c>
      <c r="BX666" s="8" t="s">
        <v>92</v>
      </c>
      <c r="BY666" s="8" t="s">
        <v>92</v>
      </c>
      <c r="BZ666" s="8" t="s">
        <v>93</v>
      </c>
      <c r="CA666" s="8" t="s">
        <v>92</v>
      </c>
      <c r="CB666" s="20" t="s">
        <v>3004</v>
      </c>
      <c r="CC666" s="20" t="s">
        <v>2979</v>
      </c>
      <c r="CD666" s="18"/>
      <c r="CE666" s="18"/>
      <c r="CF666" s="18"/>
      <c r="CG666" s="18"/>
      <c r="CH666" s="18"/>
    </row>
    <row r="667">
      <c r="A667" s="8"/>
      <c r="B667" s="19" t="s">
        <v>2971</v>
      </c>
      <c r="C667" s="10" t="s">
        <v>2972</v>
      </c>
      <c r="D667" s="9" t="s">
        <v>2490</v>
      </c>
      <c r="E667" s="11" t="s">
        <v>3005</v>
      </c>
      <c r="F667" s="12"/>
      <c r="G667" s="14" t="s">
        <v>3006</v>
      </c>
      <c r="H667" s="14" t="s">
        <v>110</v>
      </c>
      <c r="I667" s="14" t="s">
        <v>3007</v>
      </c>
      <c r="J667" s="14" t="s">
        <v>92</v>
      </c>
      <c r="K667" s="14" t="s">
        <v>92</v>
      </c>
      <c r="L667" s="14" t="s">
        <v>92</v>
      </c>
      <c r="M667" s="14" t="s">
        <v>93</v>
      </c>
      <c r="N667" s="14" t="s">
        <v>92</v>
      </c>
      <c r="O667" s="14" t="s">
        <v>92</v>
      </c>
      <c r="P667" s="14" t="s">
        <v>92</v>
      </c>
      <c r="Q667" s="14" t="s">
        <v>92</v>
      </c>
      <c r="R667" s="14" t="s">
        <v>92</v>
      </c>
      <c r="S667" s="14" t="s">
        <v>93</v>
      </c>
      <c r="T667" s="14" t="s">
        <v>92</v>
      </c>
      <c r="U667" s="14" t="s">
        <v>92</v>
      </c>
      <c r="V667" s="14" t="s">
        <v>92</v>
      </c>
      <c r="W667" s="14" t="s">
        <v>92</v>
      </c>
      <c r="X667" s="14" t="s">
        <v>93</v>
      </c>
      <c r="Y667" s="14" t="s">
        <v>92</v>
      </c>
      <c r="Z667" s="14" t="s">
        <v>93</v>
      </c>
      <c r="AA667" s="14" t="s">
        <v>92</v>
      </c>
      <c r="AB667" s="8" t="s">
        <v>93</v>
      </c>
      <c r="AC667" s="8" t="s">
        <v>93</v>
      </c>
      <c r="AD667" s="8" t="s">
        <v>92</v>
      </c>
      <c r="AE667" s="14" t="s">
        <v>148</v>
      </c>
      <c r="AF667" s="14" t="s">
        <v>92</v>
      </c>
      <c r="AG667" s="14" t="s">
        <v>95</v>
      </c>
      <c r="AH667" s="8" t="s">
        <v>105</v>
      </c>
      <c r="AI667" s="14" t="s">
        <v>93</v>
      </c>
      <c r="AJ667" s="14" t="s">
        <v>93</v>
      </c>
      <c r="AK667" s="14" t="s">
        <v>93</v>
      </c>
      <c r="AL667" s="14" t="s">
        <v>92</v>
      </c>
      <c r="AM667" s="8" t="s">
        <v>105</v>
      </c>
      <c r="AN667" s="14" t="s">
        <v>105</v>
      </c>
      <c r="AO667" s="8" t="s">
        <v>93</v>
      </c>
      <c r="AP667" s="8" t="s">
        <v>92</v>
      </c>
      <c r="AQ667" s="14" t="s">
        <v>92</v>
      </c>
      <c r="AR667" s="14" t="s">
        <v>92</v>
      </c>
      <c r="AS667" s="14" t="s">
        <v>92</v>
      </c>
      <c r="AT667" s="14" t="s">
        <v>92</v>
      </c>
      <c r="AU667" s="14" t="s">
        <v>92</v>
      </c>
      <c r="AV667" s="14" t="s">
        <v>92</v>
      </c>
      <c r="AW667" s="14" t="s">
        <v>93</v>
      </c>
      <c r="AX667" s="14" t="s">
        <v>93</v>
      </c>
      <c r="AY667" s="8" t="s">
        <v>3008</v>
      </c>
      <c r="AZ667" s="8" t="s">
        <v>92</v>
      </c>
      <c r="BA667" s="9" t="s">
        <v>3009</v>
      </c>
      <c r="BB667" s="8" t="s">
        <v>155</v>
      </c>
      <c r="BC667" s="8" t="s">
        <v>92</v>
      </c>
      <c r="BD667" s="14" t="s">
        <v>93</v>
      </c>
      <c r="BE667" s="14" t="s">
        <v>92</v>
      </c>
      <c r="BF667" s="14" t="s">
        <v>92</v>
      </c>
      <c r="BG667" s="14" t="s">
        <v>92</v>
      </c>
      <c r="BH667" s="14" t="s">
        <v>92</v>
      </c>
      <c r="BI667" s="14" t="s">
        <v>93</v>
      </c>
      <c r="BJ667" s="14" t="s">
        <v>92</v>
      </c>
      <c r="BK667" s="14" t="s">
        <v>482</v>
      </c>
      <c r="BL667" s="14" t="s">
        <v>92</v>
      </c>
      <c r="BM667" s="14" t="s">
        <v>92</v>
      </c>
      <c r="BN667" s="14" t="s">
        <v>92</v>
      </c>
      <c r="BO667" s="14" t="s">
        <v>93</v>
      </c>
      <c r="BP667" s="14" t="s">
        <v>92</v>
      </c>
      <c r="BQ667" s="8" t="s">
        <v>92</v>
      </c>
      <c r="BR667" s="8" t="s">
        <v>92</v>
      </c>
      <c r="BS667" s="8" t="s">
        <v>92</v>
      </c>
      <c r="BT667" s="8" t="s">
        <v>93</v>
      </c>
      <c r="BU667" s="8" t="s">
        <v>92</v>
      </c>
      <c r="BV667" s="8" t="s">
        <v>92</v>
      </c>
      <c r="BW667" s="8" t="s">
        <v>93</v>
      </c>
      <c r="BX667" s="8" t="s">
        <v>92</v>
      </c>
      <c r="BY667" s="8" t="s">
        <v>93</v>
      </c>
      <c r="BZ667" s="8" t="s">
        <v>92</v>
      </c>
      <c r="CA667" s="8" t="s">
        <v>92</v>
      </c>
      <c r="CB667" s="20" t="s">
        <v>2979</v>
      </c>
      <c r="CC667" s="20" t="s">
        <v>3010</v>
      </c>
      <c r="CD667" s="20" t="s">
        <v>1195</v>
      </c>
      <c r="CE667" s="20" t="s">
        <v>3011</v>
      </c>
      <c r="CF667" s="18"/>
      <c r="CG667" s="18"/>
      <c r="CH667" s="18"/>
    </row>
    <row r="668">
      <c r="A668" s="8"/>
      <c r="B668" s="9" t="s">
        <v>2971</v>
      </c>
      <c r="C668" s="10" t="s">
        <v>2972</v>
      </c>
      <c r="D668" s="9" t="s">
        <v>2490</v>
      </c>
      <c r="E668" s="11" t="s">
        <v>3012</v>
      </c>
      <c r="F668" s="12"/>
      <c r="G668" s="14" t="s">
        <v>3013</v>
      </c>
      <c r="H668" s="14" t="s">
        <v>253</v>
      </c>
      <c r="I668" s="14" t="s">
        <v>3014</v>
      </c>
      <c r="J668" s="14" t="s">
        <v>92</v>
      </c>
      <c r="K668" s="14" t="s">
        <v>92</v>
      </c>
      <c r="L668" s="14" t="s">
        <v>92</v>
      </c>
      <c r="M668" s="14" t="s">
        <v>93</v>
      </c>
      <c r="N668" s="14" t="s">
        <v>92</v>
      </c>
      <c r="O668" s="14" t="s">
        <v>92</v>
      </c>
      <c r="P668" s="14" t="s">
        <v>92</v>
      </c>
      <c r="Q668" s="14" t="s">
        <v>93</v>
      </c>
      <c r="R668" s="14" t="s">
        <v>92</v>
      </c>
      <c r="S668" s="14" t="s">
        <v>92</v>
      </c>
      <c r="T668" s="14" t="s">
        <v>92</v>
      </c>
      <c r="U668" s="14" t="s">
        <v>93</v>
      </c>
      <c r="V668" s="14" t="s">
        <v>92</v>
      </c>
      <c r="W668" s="14" t="s">
        <v>92</v>
      </c>
      <c r="X668" s="14" t="s">
        <v>92</v>
      </c>
      <c r="Y668" s="14" t="s">
        <v>92</v>
      </c>
      <c r="Z668" s="14" t="s">
        <v>92</v>
      </c>
      <c r="AA668" s="14" t="s">
        <v>92</v>
      </c>
      <c r="AB668" s="8" t="s">
        <v>93</v>
      </c>
      <c r="AC668" s="8" t="s">
        <v>92</v>
      </c>
      <c r="AD668" s="8" t="s">
        <v>92</v>
      </c>
      <c r="AE668" s="14" t="s">
        <v>148</v>
      </c>
      <c r="AF668" s="14" t="s">
        <v>92</v>
      </c>
      <c r="AG668" s="14" t="s">
        <v>95</v>
      </c>
      <c r="AH668" s="8" t="s">
        <v>95</v>
      </c>
      <c r="AI668" s="14" t="s">
        <v>92</v>
      </c>
      <c r="AJ668" s="14" t="s">
        <v>93</v>
      </c>
      <c r="AK668" s="14" t="s">
        <v>92</v>
      </c>
      <c r="AL668" s="14" t="s">
        <v>92</v>
      </c>
      <c r="AM668" s="15" t="s">
        <v>95</v>
      </c>
      <c r="AN668" s="14" t="s">
        <v>95</v>
      </c>
      <c r="AO668" s="8" t="s">
        <v>95</v>
      </c>
      <c r="AP668" s="8" t="s">
        <v>93</v>
      </c>
      <c r="AQ668" s="14" t="s">
        <v>92</v>
      </c>
      <c r="AR668" s="14" t="s">
        <v>92</v>
      </c>
      <c r="AS668" s="14" t="s">
        <v>92</v>
      </c>
      <c r="AT668" s="14" t="s">
        <v>92</v>
      </c>
      <c r="AU668" s="14" t="s">
        <v>92</v>
      </c>
      <c r="AV668" s="14" t="s">
        <v>92</v>
      </c>
      <c r="AW668" s="14" t="s">
        <v>93</v>
      </c>
      <c r="AX668" s="14" t="s">
        <v>93</v>
      </c>
      <c r="AY668" s="8" t="s">
        <v>95</v>
      </c>
      <c r="AZ668" s="8" t="s">
        <v>95</v>
      </c>
      <c r="BA668" s="9" t="s">
        <v>3015</v>
      </c>
      <c r="BB668" s="8" t="s">
        <v>95</v>
      </c>
      <c r="BC668" s="8" t="s">
        <v>93</v>
      </c>
      <c r="BD668" s="14" t="s">
        <v>92</v>
      </c>
      <c r="BE668" s="14" t="s">
        <v>92</v>
      </c>
      <c r="BF668" s="14" t="s">
        <v>92</v>
      </c>
      <c r="BG668" s="14" t="s">
        <v>92</v>
      </c>
      <c r="BH668" s="14" t="s">
        <v>92</v>
      </c>
      <c r="BI668" s="14" t="s">
        <v>93</v>
      </c>
      <c r="BJ668" s="14" t="s">
        <v>93</v>
      </c>
      <c r="BK668" s="14" t="s">
        <v>3016</v>
      </c>
      <c r="BL668" s="14" t="s">
        <v>92</v>
      </c>
      <c r="BM668" s="14" t="s">
        <v>92</v>
      </c>
      <c r="BN668" s="14" t="s">
        <v>92</v>
      </c>
      <c r="BO668" s="14" t="s">
        <v>93</v>
      </c>
      <c r="BP668" s="14" t="s">
        <v>92</v>
      </c>
      <c r="BQ668" s="8" t="s">
        <v>93</v>
      </c>
      <c r="BR668" s="8" t="s">
        <v>92</v>
      </c>
      <c r="BS668" s="8" t="s">
        <v>92</v>
      </c>
      <c r="BT668" s="8" t="s">
        <v>92</v>
      </c>
      <c r="BU668" s="8" t="s">
        <v>92</v>
      </c>
      <c r="BV668" s="8" t="s">
        <v>92</v>
      </c>
      <c r="BW668" s="8" t="s">
        <v>92</v>
      </c>
      <c r="BX668" s="8" t="s">
        <v>92</v>
      </c>
      <c r="BY668" s="8" t="s">
        <v>92</v>
      </c>
      <c r="BZ668" s="8" t="s">
        <v>92</v>
      </c>
      <c r="CA668" s="8" t="s">
        <v>92</v>
      </c>
      <c r="CB668" s="20" t="s">
        <v>3010</v>
      </c>
      <c r="CC668" s="17"/>
      <c r="CD668" s="18"/>
      <c r="CE668" s="18"/>
      <c r="CF668" s="18"/>
      <c r="CG668" s="18"/>
      <c r="CH668" s="18"/>
    </row>
    <row r="669">
      <c r="A669" s="8"/>
      <c r="B669" s="9" t="s">
        <v>2971</v>
      </c>
      <c r="C669" s="10" t="s">
        <v>2972</v>
      </c>
      <c r="D669" s="9" t="s">
        <v>2490</v>
      </c>
      <c r="E669" s="11" t="s">
        <v>3017</v>
      </c>
      <c r="F669" s="12"/>
      <c r="G669" s="14" t="s">
        <v>3018</v>
      </c>
      <c r="H669" s="14" t="s">
        <v>90</v>
      </c>
      <c r="I669" s="14" t="s">
        <v>3019</v>
      </c>
      <c r="J669" s="14" t="s">
        <v>92</v>
      </c>
      <c r="K669" s="14" t="s">
        <v>92</v>
      </c>
      <c r="L669" s="14" t="s">
        <v>93</v>
      </c>
      <c r="M669" s="14" t="s">
        <v>92</v>
      </c>
      <c r="N669" s="14" t="s">
        <v>92</v>
      </c>
      <c r="O669" s="14" t="s">
        <v>92</v>
      </c>
      <c r="P669" s="14" t="s">
        <v>93</v>
      </c>
      <c r="Q669" s="14" t="s">
        <v>92</v>
      </c>
      <c r="R669" s="14" t="s">
        <v>92</v>
      </c>
      <c r="S669" s="14" t="s">
        <v>93</v>
      </c>
      <c r="T669" s="14" t="s">
        <v>92</v>
      </c>
      <c r="U669" s="14" t="s">
        <v>92</v>
      </c>
      <c r="V669" s="14" t="s">
        <v>92</v>
      </c>
      <c r="W669" s="14" t="s">
        <v>92</v>
      </c>
      <c r="X669" s="14" t="s">
        <v>92</v>
      </c>
      <c r="Y669" s="14" t="s">
        <v>92</v>
      </c>
      <c r="Z669" s="14" t="s">
        <v>93</v>
      </c>
      <c r="AA669" s="14" t="s">
        <v>92</v>
      </c>
      <c r="AB669" s="8" t="s">
        <v>93</v>
      </c>
      <c r="AC669" s="8" t="s">
        <v>93</v>
      </c>
      <c r="AD669" s="8" t="s">
        <v>92</v>
      </c>
      <c r="AE669" s="14" t="s">
        <v>103</v>
      </c>
      <c r="AF669" s="14" t="s">
        <v>92</v>
      </c>
      <c r="AG669" s="14" t="s">
        <v>95</v>
      </c>
      <c r="AH669" s="8">
        <v>2021.0</v>
      </c>
      <c r="AI669" s="14" t="s">
        <v>92</v>
      </c>
      <c r="AJ669" s="14" t="s">
        <v>93</v>
      </c>
      <c r="AK669" s="14" t="s">
        <v>93</v>
      </c>
      <c r="AL669" s="14" t="s">
        <v>93</v>
      </c>
      <c r="AM669" s="8" t="s">
        <v>95</v>
      </c>
      <c r="AN669" s="14" t="s">
        <v>114</v>
      </c>
      <c r="AO669" s="8" t="s">
        <v>93</v>
      </c>
      <c r="AP669" s="8" t="s">
        <v>92</v>
      </c>
      <c r="AQ669" s="14" t="s">
        <v>92</v>
      </c>
      <c r="AR669" s="14" t="s">
        <v>92</v>
      </c>
      <c r="AS669" s="14" t="s">
        <v>92</v>
      </c>
      <c r="AT669" s="14" t="s">
        <v>92</v>
      </c>
      <c r="AU669" s="14" t="s">
        <v>92</v>
      </c>
      <c r="AV669" s="14" t="s">
        <v>92</v>
      </c>
      <c r="AW669" s="14" t="s">
        <v>93</v>
      </c>
      <c r="AX669" s="14" t="s">
        <v>93</v>
      </c>
      <c r="AY669" s="8" t="s">
        <v>3020</v>
      </c>
      <c r="AZ669" s="8" t="s">
        <v>93</v>
      </c>
      <c r="BA669" s="9" t="s">
        <v>3021</v>
      </c>
      <c r="BB669" s="8" t="s">
        <v>261</v>
      </c>
      <c r="BC669" s="8" t="s">
        <v>92</v>
      </c>
      <c r="BD669" s="14" t="s">
        <v>93</v>
      </c>
      <c r="BE669" s="14" t="s">
        <v>92</v>
      </c>
      <c r="BF669" s="14" t="s">
        <v>92</v>
      </c>
      <c r="BG669" s="14" t="s">
        <v>92</v>
      </c>
      <c r="BH669" s="14" t="s">
        <v>92</v>
      </c>
      <c r="BI669" s="14" t="s">
        <v>92</v>
      </c>
      <c r="BJ669" s="14" t="s">
        <v>92</v>
      </c>
      <c r="BK669" s="14" t="s">
        <v>105</v>
      </c>
      <c r="BL669" s="14" t="s">
        <v>105</v>
      </c>
      <c r="BM669" s="14" t="s">
        <v>105</v>
      </c>
      <c r="BN669" s="14" t="s">
        <v>105</v>
      </c>
      <c r="BO669" s="14" t="s">
        <v>105</v>
      </c>
      <c r="BP669" s="14" t="s">
        <v>105</v>
      </c>
      <c r="BQ669" s="8" t="s">
        <v>92</v>
      </c>
      <c r="BR669" s="8" t="s">
        <v>92</v>
      </c>
      <c r="BS669" s="8" t="s">
        <v>93</v>
      </c>
      <c r="BT669" s="8" t="s">
        <v>93</v>
      </c>
      <c r="BU669" s="8" t="s">
        <v>93</v>
      </c>
      <c r="BV669" s="8" t="s">
        <v>92</v>
      </c>
      <c r="BW669" s="8" t="s">
        <v>92</v>
      </c>
      <c r="BX669" s="8" t="s">
        <v>92</v>
      </c>
      <c r="BY669" s="8" t="s">
        <v>92</v>
      </c>
      <c r="BZ669" s="8" t="s">
        <v>93</v>
      </c>
      <c r="CA669" s="8" t="s">
        <v>92</v>
      </c>
      <c r="CB669" s="20" t="s">
        <v>3010</v>
      </c>
      <c r="CC669" s="20" t="s">
        <v>3011</v>
      </c>
      <c r="CD669" s="20" t="s">
        <v>3022</v>
      </c>
      <c r="CE669" s="18"/>
      <c r="CF669" s="18"/>
      <c r="CG669" s="18"/>
      <c r="CH669" s="18"/>
    </row>
    <row r="670">
      <c r="A670" s="8"/>
      <c r="B670" s="9" t="s">
        <v>2971</v>
      </c>
      <c r="C670" s="10" t="s">
        <v>2972</v>
      </c>
      <c r="D670" s="9" t="s">
        <v>2490</v>
      </c>
      <c r="E670" s="11" t="s">
        <v>3023</v>
      </c>
      <c r="F670" s="12"/>
      <c r="G670" s="14" t="s">
        <v>3024</v>
      </c>
      <c r="H670" s="14" t="s">
        <v>90</v>
      </c>
      <c r="I670" s="14" t="s">
        <v>3025</v>
      </c>
      <c r="J670" s="14" t="s">
        <v>93</v>
      </c>
      <c r="K670" s="14" t="s">
        <v>92</v>
      </c>
      <c r="L670" s="14" t="s">
        <v>92</v>
      </c>
      <c r="M670" s="14" t="s">
        <v>92</v>
      </c>
      <c r="N670" s="14" t="s">
        <v>92</v>
      </c>
      <c r="O670" s="14" t="s">
        <v>93</v>
      </c>
      <c r="P670" s="14" t="s">
        <v>92</v>
      </c>
      <c r="Q670" s="14" t="s">
        <v>92</v>
      </c>
      <c r="R670" s="14" t="s">
        <v>92</v>
      </c>
      <c r="S670" s="14" t="s">
        <v>93</v>
      </c>
      <c r="T670" s="14" t="s">
        <v>92</v>
      </c>
      <c r="U670" s="14" t="s">
        <v>92</v>
      </c>
      <c r="V670" s="14" t="s">
        <v>92</v>
      </c>
      <c r="W670" s="14" t="s">
        <v>92</v>
      </c>
      <c r="X670" s="14" t="s">
        <v>92</v>
      </c>
      <c r="Y670" s="14" t="s">
        <v>92</v>
      </c>
      <c r="Z670" s="14" t="s">
        <v>93</v>
      </c>
      <c r="AA670" s="14" t="s">
        <v>93</v>
      </c>
      <c r="AB670" s="8" t="s">
        <v>93</v>
      </c>
      <c r="AC670" s="8" t="s">
        <v>93</v>
      </c>
      <c r="AD670" s="8" t="s">
        <v>92</v>
      </c>
      <c r="AE670" s="14" t="s">
        <v>112</v>
      </c>
      <c r="AF670" s="14" t="s">
        <v>92</v>
      </c>
      <c r="AG670" s="14" t="s">
        <v>95</v>
      </c>
      <c r="AH670" s="8" t="s">
        <v>105</v>
      </c>
      <c r="AI670" s="14" t="s">
        <v>92</v>
      </c>
      <c r="AJ670" s="14" t="s">
        <v>92</v>
      </c>
      <c r="AK670" s="14" t="s">
        <v>93</v>
      </c>
      <c r="AL670" s="14" t="s">
        <v>93</v>
      </c>
      <c r="AM670" s="8" t="s">
        <v>95</v>
      </c>
      <c r="AN670" s="14" t="s">
        <v>114</v>
      </c>
      <c r="AO670" s="8" t="s">
        <v>93</v>
      </c>
      <c r="AP670" s="8" t="s">
        <v>92</v>
      </c>
      <c r="AQ670" s="14" t="s">
        <v>92</v>
      </c>
      <c r="AR670" s="14" t="s">
        <v>92</v>
      </c>
      <c r="AS670" s="14" t="s">
        <v>92</v>
      </c>
      <c r="AT670" s="14" t="s">
        <v>92</v>
      </c>
      <c r="AU670" s="14" t="s">
        <v>92</v>
      </c>
      <c r="AV670" s="14" t="s">
        <v>92</v>
      </c>
      <c r="AW670" s="14" t="s">
        <v>93</v>
      </c>
      <c r="AX670" s="14" t="s">
        <v>93</v>
      </c>
      <c r="AY670" s="8" t="s">
        <v>95</v>
      </c>
      <c r="AZ670" s="8" t="s">
        <v>95</v>
      </c>
      <c r="BA670" s="9" t="s">
        <v>3026</v>
      </c>
      <c r="BB670" s="8" t="s">
        <v>185</v>
      </c>
      <c r="BC670" s="8" t="s">
        <v>92</v>
      </c>
      <c r="BD670" s="14" t="s">
        <v>93</v>
      </c>
      <c r="BE670" s="14" t="s">
        <v>92</v>
      </c>
      <c r="BF670" s="14" t="s">
        <v>92</v>
      </c>
      <c r="BG670" s="14" t="s">
        <v>92</v>
      </c>
      <c r="BH670" s="14" t="s">
        <v>92</v>
      </c>
      <c r="BI670" s="14" t="s">
        <v>92</v>
      </c>
      <c r="BJ670" s="14" t="s">
        <v>92</v>
      </c>
      <c r="BK670" s="14" t="s">
        <v>1708</v>
      </c>
      <c r="BL670" s="14" t="s">
        <v>92</v>
      </c>
      <c r="BM670" s="14" t="s">
        <v>92</v>
      </c>
      <c r="BN670" s="14" t="s">
        <v>93</v>
      </c>
      <c r="BO670" s="14" t="s">
        <v>92</v>
      </c>
      <c r="BP670" s="14" t="s">
        <v>92</v>
      </c>
      <c r="BQ670" s="8" t="s">
        <v>92</v>
      </c>
      <c r="BR670" s="8" t="s">
        <v>92</v>
      </c>
      <c r="BS670" s="8" t="s">
        <v>93</v>
      </c>
      <c r="BT670" s="8" t="s">
        <v>93</v>
      </c>
      <c r="BU670" s="8" t="s">
        <v>93</v>
      </c>
      <c r="BV670" s="8" t="s">
        <v>93</v>
      </c>
      <c r="BW670" s="8" t="s">
        <v>92</v>
      </c>
      <c r="BX670" s="8" t="s">
        <v>92</v>
      </c>
      <c r="BY670" s="8" t="s">
        <v>92</v>
      </c>
      <c r="BZ670" s="8" t="s">
        <v>92</v>
      </c>
      <c r="CA670" s="8" t="s">
        <v>93</v>
      </c>
      <c r="CB670" s="20" t="s">
        <v>3011</v>
      </c>
      <c r="CC670" s="20" t="s">
        <v>1195</v>
      </c>
      <c r="CD670" s="20" t="s">
        <v>3022</v>
      </c>
      <c r="CE670" s="24" t="s">
        <v>3027</v>
      </c>
      <c r="CF670" s="18"/>
      <c r="CG670" s="18"/>
      <c r="CH670" s="18"/>
    </row>
    <row r="671">
      <c r="A671" s="8"/>
      <c r="B671" s="9" t="s">
        <v>2971</v>
      </c>
      <c r="C671" s="10" t="s">
        <v>2972</v>
      </c>
      <c r="D671" s="9" t="s">
        <v>2490</v>
      </c>
      <c r="E671" s="11" t="s">
        <v>3028</v>
      </c>
      <c r="F671" s="12"/>
      <c r="G671" s="14" t="s">
        <v>3029</v>
      </c>
      <c r="H671" s="14" t="s">
        <v>90</v>
      </c>
      <c r="I671" s="14" t="s">
        <v>3030</v>
      </c>
      <c r="J671" s="14" t="s">
        <v>92</v>
      </c>
      <c r="K671" s="14" t="s">
        <v>92</v>
      </c>
      <c r="L671" s="14" t="s">
        <v>92</v>
      </c>
      <c r="M671" s="14" t="s">
        <v>92</v>
      </c>
      <c r="N671" s="14" t="s">
        <v>92</v>
      </c>
      <c r="O671" s="14" t="s">
        <v>92</v>
      </c>
      <c r="P671" s="14" t="s">
        <v>92</v>
      </c>
      <c r="Q671" s="14" t="s">
        <v>92</v>
      </c>
      <c r="R671" s="14" t="s">
        <v>92</v>
      </c>
      <c r="S671" s="14" t="s">
        <v>92</v>
      </c>
      <c r="T671" s="14" t="s">
        <v>93</v>
      </c>
      <c r="U671" s="14" t="s">
        <v>92</v>
      </c>
      <c r="V671" s="14" t="s">
        <v>92</v>
      </c>
      <c r="W671" s="14" t="s">
        <v>92</v>
      </c>
      <c r="X671" s="14" t="s">
        <v>92</v>
      </c>
      <c r="Y671" s="14" t="s">
        <v>93</v>
      </c>
      <c r="Z671" s="14" t="s">
        <v>93</v>
      </c>
      <c r="AA671" s="14" t="s">
        <v>92</v>
      </c>
      <c r="AB671" s="8" t="s">
        <v>93</v>
      </c>
      <c r="AC671" s="8" t="s">
        <v>93</v>
      </c>
      <c r="AD671" s="8" t="s">
        <v>92</v>
      </c>
      <c r="AE671" s="14" t="s">
        <v>148</v>
      </c>
      <c r="AF671" s="14" t="s">
        <v>92</v>
      </c>
      <c r="AG671" s="14" t="s">
        <v>95</v>
      </c>
      <c r="AH671" s="8" t="s">
        <v>105</v>
      </c>
      <c r="AI671" s="14" t="s">
        <v>92</v>
      </c>
      <c r="AJ671" s="14" t="s">
        <v>92</v>
      </c>
      <c r="AK671" s="14" t="s">
        <v>92</v>
      </c>
      <c r="AL671" s="14" t="s">
        <v>93</v>
      </c>
      <c r="AM671" s="8" t="s">
        <v>95</v>
      </c>
      <c r="AN671" s="14" t="s">
        <v>114</v>
      </c>
      <c r="AO671" s="8" t="s">
        <v>92</v>
      </c>
      <c r="AP671" s="8" t="s">
        <v>92</v>
      </c>
      <c r="AQ671" s="14" t="s">
        <v>92</v>
      </c>
      <c r="AR671" s="14" t="s">
        <v>92</v>
      </c>
      <c r="AS671" s="14" t="s">
        <v>92</v>
      </c>
      <c r="AT671" s="14" t="s">
        <v>92</v>
      </c>
      <c r="AU671" s="14" t="s">
        <v>92</v>
      </c>
      <c r="AV671" s="14" t="s">
        <v>92</v>
      </c>
      <c r="AW671" s="14" t="s">
        <v>93</v>
      </c>
      <c r="AX671" s="14" t="s">
        <v>93</v>
      </c>
      <c r="AY671" s="8" t="s">
        <v>95</v>
      </c>
      <c r="AZ671" s="8" t="s">
        <v>95</v>
      </c>
      <c r="BA671" s="9" t="s">
        <v>3031</v>
      </c>
      <c r="BB671" s="8" t="s">
        <v>143</v>
      </c>
      <c r="BC671" s="8" t="s">
        <v>92</v>
      </c>
      <c r="BD671" s="14" t="s">
        <v>92</v>
      </c>
      <c r="BE671" s="14" t="s">
        <v>92</v>
      </c>
      <c r="BF671" s="14" t="s">
        <v>92</v>
      </c>
      <c r="BG671" s="14" t="s">
        <v>92</v>
      </c>
      <c r="BH671" s="14" t="s">
        <v>92</v>
      </c>
      <c r="BI671" s="14" t="s">
        <v>93</v>
      </c>
      <c r="BJ671" s="14" t="s">
        <v>92</v>
      </c>
      <c r="BK671" s="14" t="s">
        <v>482</v>
      </c>
      <c r="BL671" s="14" t="s">
        <v>92</v>
      </c>
      <c r="BM671" s="14" t="s">
        <v>92</v>
      </c>
      <c r="BN671" s="14" t="s">
        <v>92</v>
      </c>
      <c r="BO671" s="14" t="s">
        <v>93</v>
      </c>
      <c r="BP671" s="14" t="s">
        <v>92</v>
      </c>
      <c r="BQ671" s="8" t="s">
        <v>92</v>
      </c>
      <c r="BR671" s="8" t="s">
        <v>93</v>
      </c>
      <c r="BS671" s="8" t="s">
        <v>92</v>
      </c>
      <c r="BT671" s="8" t="s">
        <v>92</v>
      </c>
      <c r="BU671" s="8" t="s">
        <v>93</v>
      </c>
      <c r="BV671" s="8" t="s">
        <v>93</v>
      </c>
      <c r="BW671" s="8" t="s">
        <v>92</v>
      </c>
      <c r="BX671" s="8" t="s">
        <v>92</v>
      </c>
      <c r="BY671" s="8" t="s">
        <v>92</v>
      </c>
      <c r="BZ671" s="8" t="s">
        <v>92</v>
      </c>
      <c r="CA671" s="8" t="s">
        <v>92</v>
      </c>
      <c r="CB671" s="20" t="s">
        <v>3022</v>
      </c>
      <c r="CC671" s="17"/>
      <c r="CD671" s="18"/>
      <c r="CE671" s="18"/>
      <c r="CF671" s="18"/>
      <c r="CG671" s="18"/>
      <c r="CH671" s="18"/>
    </row>
    <row r="672">
      <c r="A672" s="8"/>
      <c r="B672" s="9" t="s">
        <v>3032</v>
      </c>
      <c r="C672" s="10" t="s">
        <v>3033</v>
      </c>
      <c r="D672" s="9" t="s">
        <v>2490</v>
      </c>
      <c r="E672" s="11" t="s">
        <v>3034</v>
      </c>
      <c r="F672" s="25"/>
      <c r="G672" s="14" t="s">
        <v>3035</v>
      </c>
      <c r="H672" s="14" t="s">
        <v>90</v>
      </c>
      <c r="I672" s="14" t="s">
        <v>3036</v>
      </c>
      <c r="J672" s="14" t="s">
        <v>92</v>
      </c>
      <c r="K672" s="14" t="s">
        <v>93</v>
      </c>
      <c r="L672" s="14" t="s">
        <v>92</v>
      </c>
      <c r="M672" s="14" t="s">
        <v>92</v>
      </c>
      <c r="N672" s="14" t="s">
        <v>92</v>
      </c>
      <c r="O672" s="14" t="s">
        <v>92</v>
      </c>
      <c r="P672" s="14" t="s">
        <v>93</v>
      </c>
      <c r="Q672" s="14" t="s">
        <v>92</v>
      </c>
      <c r="R672" s="14" t="s">
        <v>92</v>
      </c>
      <c r="S672" s="14" t="s">
        <v>92</v>
      </c>
      <c r="T672" s="14" t="s">
        <v>92</v>
      </c>
      <c r="U672" s="14" t="s">
        <v>93</v>
      </c>
      <c r="V672" s="14" t="s">
        <v>92</v>
      </c>
      <c r="W672" s="14" t="s">
        <v>92</v>
      </c>
      <c r="X672" s="14" t="s">
        <v>92</v>
      </c>
      <c r="Y672" s="14" t="s">
        <v>92</v>
      </c>
      <c r="Z672" s="14" t="s">
        <v>92</v>
      </c>
      <c r="AA672" s="14" t="s">
        <v>92</v>
      </c>
      <c r="AB672" s="8" t="s">
        <v>93</v>
      </c>
      <c r="AC672" s="8" t="s">
        <v>92</v>
      </c>
      <c r="AD672" s="8" t="s">
        <v>92</v>
      </c>
      <c r="AE672" s="14" t="s">
        <v>94</v>
      </c>
      <c r="AF672" s="14" t="s">
        <v>92</v>
      </c>
      <c r="AG672" s="14" t="s">
        <v>95</v>
      </c>
      <c r="AH672" s="8">
        <v>2011.0</v>
      </c>
      <c r="AI672" s="14" t="s">
        <v>105</v>
      </c>
      <c r="AJ672" s="14" t="s">
        <v>105</v>
      </c>
      <c r="AK672" s="14" t="s">
        <v>93</v>
      </c>
      <c r="AL672" s="14" t="s">
        <v>93</v>
      </c>
      <c r="AM672" s="8" t="s">
        <v>95</v>
      </c>
      <c r="AN672" s="14" t="s">
        <v>114</v>
      </c>
      <c r="AO672" s="8" t="s">
        <v>93</v>
      </c>
      <c r="AP672" s="8" t="s">
        <v>92</v>
      </c>
      <c r="AQ672" s="14" t="s">
        <v>92</v>
      </c>
      <c r="AR672" s="14" t="s">
        <v>92</v>
      </c>
      <c r="AS672" s="14" t="s">
        <v>92</v>
      </c>
      <c r="AT672" s="14" t="s">
        <v>92</v>
      </c>
      <c r="AU672" s="14" t="s">
        <v>92</v>
      </c>
      <c r="AV672" s="14" t="s">
        <v>92</v>
      </c>
      <c r="AW672" s="14" t="s">
        <v>93</v>
      </c>
      <c r="AX672" s="14" t="s">
        <v>93</v>
      </c>
      <c r="AY672" s="8" t="s">
        <v>3037</v>
      </c>
      <c r="AZ672" s="8" t="s">
        <v>92</v>
      </c>
      <c r="BA672" s="9" t="s">
        <v>3038</v>
      </c>
      <c r="BB672" s="8" t="s">
        <v>143</v>
      </c>
      <c r="BC672" s="8" t="s">
        <v>92</v>
      </c>
      <c r="BD672" s="14" t="s">
        <v>92</v>
      </c>
      <c r="BE672" s="14" t="s">
        <v>92</v>
      </c>
      <c r="BF672" s="14" t="s">
        <v>92</v>
      </c>
      <c r="BG672" s="14" t="s">
        <v>92</v>
      </c>
      <c r="BH672" s="14" t="s">
        <v>92</v>
      </c>
      <c r="BI672" s="14" t="s">
        <v>93</v>
      </c>
      <c r="BJ672" s="14" t="s">
        <v>92</v>
      </c>
      <c r="BK672" s="14" t="s">
        <v>3039</v>
      </c>
      <c r="BL672" s="14" t="s">
        <v>92</v>
      </c>
      <c r="BM672" s="14" t="s">
        <v>93</v>
      </c>
      <c r="BN672" s="14" t="s">
        <v>92</v>
      </c>
      <c r="BO672" s="14" t="s">
        <v>93</v>
      </c>
      <c r="BP672" s="14" t="s">
        <v>93</v>
      </c>
      <c r="BQ672" s="8" t="s">
        <v>93</v>
      </c>
      <c r="BR672" s="8" t="s">
        <v>92</v>
      </c>
      <c r="BS672" s="8" t="s">
        <v>92</v>
      </c>
      <c r="BT672" s="8" t="s">
        <v>92</v>
      </c>
      <c r="BU672" s="8" t="s">
        <v>92</v>
      </c>
      <c r="BV672" s="8" t="s">
        <v>92</v>
      </c>
      <c r="BW672" s="8" t="s">
        <v>92</v>
      </c>
      <c r="BX672" s="8" t="s">
        <v>92</v>
      </c>
      <c r="BY672" s="8" t="s">
        <v>92</v>
      </c>
      <c r="BZ672" s="8" t="s">
        <v>92</v>
      </c>
      <c r="CA672" s="8" t="s">
        <v>92</v>
      </c>
      <c r="CB672" s="20" t="s">
        <v>106</v>
      </c>
      <c r="CC672" s="20" t="s">
        <v>116</v>
      </c>
      <c r="CD672" s="39" t="s">
        <v>3040</v>
      </c>
      <c r="CE672" s="24" t="s">
        <v>3041</v>
      </c>
      <c r="CF672" s="18"/>
      <c r="CG672" s="18"/>
      <c r="CH672" s="18"/>
    </row>
    <row r="673">
      <c r="A673" s="8"/>
      <c r="B673" s="43" t="s">
        <v>3032</v>
      </c>
      <c r="C673" s="10" t="s">
        <v>3033</v>
      </c>
      <c r="D673" s="9" t="s">
        <v>2490</v>
      </c>
      <c r="E673" s="11" t="s">
        <v>3042</v>
      </c>
      <c r="F673" s="12"/>
      <c r="G673" s="14" t="s">
        <v>3043</v>
      </c>
      <c r="H673" s="14" t="s">
        <v>189</v>
      </c>
      <c r="I673" s="14" t="s">
        <v>3044</v>
      </c>
      <c r="J673" s="14" t="s">
        <v>92</v>
      </c>
      <c r="K673" s="14" t="s">
        <v>93</v>
      </c>
      <c r="L673" s="14" t="s">
        <v>92</v>
      </c>
      <c r="M673" s="14" t="s">
        <v>92</v>
      </c>
      <c r="N673" s="14" t="s">
        <v>92</v>
      </c>
      <c r="O673" s="14" t="s">
        <v>92</v>
      </c>
      <c r="P673" s="14" t="s">
        <v>93</v>
      </c>
      <c r="Q673" s="14" t="s">
        <v>92</v>
      </c>
      <c r="R673" s="14" t="s">
        <v>92</v>
      </c>
      <c r="S673" s="14" t="s">
        <v>92</v>
      </c>
      <c r="T673" s="14" t="s">
        <v>92</v>
      </c>
      <c r="U673" s="14" t="s">
        <v>93</v>
      </c>
      <c r="V673" s="14" t="s">
        <v>92</v>
      </c>
      <c r="W673" s="14" t="s">
        <v>92</v>
      </c>
      <c r="X673" s="14" t="s">
        <v>92</v>
      </c>
      <c r="Y673" s="14" t="s">
        <v>92</v>
      </c>
      <c r="Z673" s="14" t="s">
        <v>92</v>
      </c>
      <c r="AA673" s="14" t="s">
        <v>92</v>
      </c>
      <c r="AB673" s="8" t="s">
        <v>93</v>
      </c>
      <c r="AC673" s="8" t="s">
        <v>92</v>
      </c>
      <c r="AD673" s="8" t="s">
        <v>92</v>
      </c>
      <c r="AE673" s="14" t="s">
        <v>94</v>
      </c>
      <c r="AF673" s="14" t="s">
        <v>92</v>
      </c>
      <c r="AG673" s="14" t="s">
        <v>95</v>
      </c>
      <c r="AH673" s="8" t="s">
        <v>105</v>
      </c>
      <c r="AI673" s="14" t="s">
        <v>105</v>
      </c>
      <c r="AJ673" s="14" t="s">
        <v>105</v>
      </c>
      <c r="AK673" s="14" t="s">
        <v>92</v>
      </c>
      <c r="AL673" s="14" t="s">
        <v>93</v>
      </c>
      <c r="AM673" s="8" t="s">
        <v>105</v>
      </c>
      <c r="AN673" s="14" t="s">
        <v>105</v>
      </c>
      <c r="AO673" s="8" t="s">
        <v>105</v>
      </c>
      <c r="AP673" s="8" t="s">
        <v>93</v>
      </c>
      <c r="AQ673" s="14" t="s">
        <v>92</v>
      </c>
      <c r="AR673" s="14" t="s">
        <v>92</v>
      </c>
      <c r="AS673" s="14" t="s">
        <v>92</v>
      </c>
      <c r="AT673" s="14" t="s">
        <v>92</v>
      </c>
      <c r="AU673" s="14" t="s">
        <v>92</v>
      </c>
      <c r="AV673" s="14" t="s">
        <v>92</v>
      </c>
      <c r="AW673" s="14" t="s">
        <v>93</v>
      </c>
      <c r="AX673" s="14" t="s">
        <v>93</v>
      </c>
      <c r="AY673" s="8" t="s">
        <v>95</v>
      </c>
      <c r="AZ673" s="8" t="s">
        <v>95</v>
      </c>
      <c r="BA673" s="9" t="s">
        <v>3045</v>
      </c>
      <c r="BB673" s="8" t="s">
        <v>97</v>
      </c>
      <c r="BC673" s="8" t="s">
        <v>92</v>
      </c>
      <c r="BD673" s="14" t="s">
        <v>92</v>
      </c>
      <c r="BE673" s="14" t="s">
        <v>92</v>
      </c>
      <c r="BF673" s="14" t="s">
        <v>92</v>
      </c>
      <c r="BG673" s="14" t="s">
        <v>92</v>
      </c>
      <c r="BH673" s="14" t="s">
        <v>92</v>
      </c>
      <c r="BI673" s="14" t="s">
        <v>93</v>
      </c>
      <c r="BJ673" s="14" t="s">
        <v>92</v>
      </c>
      <c r="BK673" s="14" t="s">
        <v>98</v>
      </c>
      <c r="BL673" s="14" t="s">
        <v>92</v>
      </c>
      <c r="BM673" s="14" t="s">
        <v>92</v>
      </c>
      <c r="BN673" s="14" t="s">
        <v>92</v>
      </c>
      <c r="BO673" s="14" t="s">
        <v>92</v>
      </c>
      <c r="BP673" s="14" t="s">
        <v>93</v>
      </c>
      <c r="BQ673" s="8" t="s">
        <v>93</v>
      </c>
      <c r="BR673" s="8" t="s">
        <v>92</v>
      </c>
      <c r="BS673" s="8" t="s">
        <v>92</v>
      </c>
      <c r="BT673" s="8" t="s">
        <v>92</v>
      </c>
      <c r="BU673" s="8" t="s">
        <v>92</v>
      </c>
      <c r="BV673" s="8" t="s">
        <v>92</v>
      </c>
      <c r="BW673" s="8" t="s">
        <v>92</v>
      </c>
      <c r="BX673" s="8" t="s">
        <v>92</v>
      </c>
      <c r="BY673" s="8" t="s">
        <v>92</v>
      </c>
      <c r="BZ673" s="8" t="s">
        <v>92</v>
      </c>
      <c r="CA673" s="8" t="s">
        <v>92</v>
      </c>
      <c r="CB673" s="20" t="s">
        <v>116</v>
      </c>
      <c r="CC673" s="17"/>
      <c r="CD673" s="18"/>
      <c r="CE673" s="18"/>
      <c r="CF673" s="18"/>
      <c r="CG673" s="18"/>
      <c r="CH673" s="18"/>
    </row>
    <row r="674">
      <c r="A674" s="8"/>
      <c r="B674" s="43" t="s">
        <v>3046</v>
      </c>
      <c r="C674" s="10" t="s">
        <v>3047</v>
      </c>
      <c r="D674" s="9" t="s">
        <v>2490</v>
      </c>
      <c r="E674" s="11" t="s">
        <v>3048</v>
      </c>
      <c r="F674" s="12"/>
      <c r="G674" s="14" t="s">
        <v>3049</v>
      </c>
      <c r="H674" s="14" t="s">
        <v>253</v>
      </c>
      <c r="I674" s="14" t="s">
        <v>3050</v>
      </c>
      <c r="J674" s="14" t="s">
        <v>92</v>
      </c>
      <c r="K674" s="14" t="s">
        <v>92</v>
      </c>
      <c r="L674" s="14" t="s">
        <v>92</v>
      </c>
      <c r="M674" s="14" t="s">
        <v>92</v>
      </c>
      <c r="N674" s="14" t="s">
        <v>92</v>
      </c>
      <c r="O674" s="14" t="s">
        <v>92</v>
      </c>
      <c r="P674" s="14" t="s">
        <v>92</v>
      </c>
      <c r="Q674" s="14" t="s">
        <v>93</v>
      </c>
      <c r="R674" s="14" t="s">
        <v>92</v>
      </c>
      <c r="S674" s="14" t="s">
        <v>92</v>
      </c>
      <c r="T674" s="14" t="s">
        <v>92</v>
      </c>
      <c r="U674" s="14" t="s">
        <v>93</v>
      </c>
      <c r="V674" s="14" t="s">
        <v>92</v>
      </c>
      <c r="W674" s="14" t="s">
        <v>92</v>
      </c>
      <c r="X674" s="14" t="s">
        <v>92</v>
      </c>
      <c r="Y674" s="14" t="s">
        <v>92</v>
      </c>
      <c r="Z674" s="14" t="s">
        <v>92</v>
      </c>
      <c r="AA674" s="14" t="s">
        <v>92</v>
      </c>
      <c r="AB674" s="8" t="s">
        <v>93</v>
      </c>
      <c r="AC674" s="8" t="s">
        <v>92</v>
      </c>
      <c r="AD674" s="8" t="s">
        <v>92</v>
      </c>
      <c r="AE674" s="14" t="s">
        <v>148</v>
      </c>
      <c r="AF674" s="14" t="s">
        <v>92</v>
      </c>
      <c r="AG674" s="14" t="s">
        <v>95</v>
      </c>
      <c r="AH674" s="8" t="s">
        <v>95</v>
      </c>
      <c r="AI674" s="14" t="s">
        <v>92</v>
      </c>
      <c r="AJ674" s="14" t="s">
        <v>92</v>
      </c>
      <c r="AK674" s="14" t="s">
        <v>93</v>
      </c>
      <c r="AL674" s="14" t="s">
        <v>92</v>
      </c>
      <c r="AM674" s="15" t="s">
        <v>95</v>
      </c>
      <c r="AN674" s="14" t="s">
        <v>95</v>
      </c>
      <c r="AO674" s="8" t="s">
        <v>95</v>
      </c>
      <c r="AP674" s="8" t="s">
        <v>92</v>
      </c>
      <c r="AQ674" s="14" t="s">
        <v>92</v>
      </c>
      <c r="AR674" s="14" t="s">
        <v>92</v>
      </c>
      <c r="AS674" s="14" t="s">
        <v>92</v>
      </c>
      <c r="AT674" s="14" t="s">
        <v>92</v>
      </c>
      <c r="AU674" s="14" t="s">
        <v>92</v>
      </c>
      <c r="AV674" s="14" t="s">
        <v>92</v>
      </c>
      <c r="AW674" s="14" t="s">
        <v>93</v>
      </c>
      <c r="AX674" s="14" t="s">
        <v>93</v>
      </c>
      <c r="AY674" s="8" t="s">
        <v>95</v>
      </c>
      <c r="AZ674" s="8" t="s">
        <v>95</v>
      </c>
      <c r="BA674" s="9" t="s">
        <v>1850</v>
      </c>
      <c r="BB674" s="8" t="s">
        <v>143</v>
      </c>
      <c r="BC674" s="8" t="s">
        <v>92</v>
      </c>
      <c r="BD674" s="14" t="s">
        <v>92</v>
      </c>
      <c r="BE674" s="14" t="s">
        <v>92</v>
      </c>
      <c r="BF674" s="14" t="s">
        <v>92</v>
      </c>
      <c r="BG674" s="14" t="s">
        <v>92</v>
      </c>
      <c r="BH674" s="14" t="s">
        <v>92</v>
      </c>
      <c r="BI674" s="14" t="s">
        <v>93</v>
      </c>
      <c r="BJ674" s="14" t="s">
        <v>93</v>
      </c>
      <c r="BK674" s="14" t="s">
        <v>95</v>
      </c>
      <c r="BL674" s="14" t="s">
        <v>93</v>
      </c>
      <c r="BM674" s="14" t="s">
        <v>93</v>
      </c>
      <c r="BN674" s="14" t="s">
        <v>93</v>
      </c>
      <c r="BO674" s="14" t="s">
        <v>93</v>
      </c>
      <c r="BP674" s="14" t="s">
        <v>93</v>
      </c>
      <c r="BQ674" s="8" t="s">
        <v>93</v>
      </c>
      <c r="BR674" s="8" t="s">
        <v>92</v>
      </c>
      <c r="BS674" s="8" t="s">
        <v>92</v>
      </c>
      <c r="BT674" s="8" t="s">
        <v>92</v>
      </c>
      <c r="BU674" s="8" t="s">
        <v>92</v>
      </c>
      <c r="BV674" s="8" t="s">
        <v>92</v>
      </c>
      <c r="BW674" s="8" t="s">
        <v>92</v>
      </c>
      <c r="BX674" s="8" t="s">
        <v>92</v>
      </c>
      <c r="BY674" s="8" t="s">
        <v>92</v>
      </c>
      <c r="BZ674" s="8" t="s">
        <v>92</v>
      </c>
      <c r="CA674" s="8" t="s">
        <v>92</v>
      </c>
      <c r="CB674" s="20" t="s">
        <v>106</v>
      </c>
      <c r="CC674" s="24" t="s">
        <v>3051</v>
      </c>
      <c r="CD674" s="18"/>
      <c r="CE674" s="18"/>
      <c r="CF674" s="18"/>
      <c r="CG674" s="18"/>
      <c r="CH674" s="18"/>
    </row>
    <row r="675">
      <c r="A675" s="8"/>
      <c r="B675" s="9" t="s">
        <v>3046</v>
      </c>
      <c r="C675" s="10" t="s">
        <v>3047</v>
      </c>
      <c r="D675" s="9" t="s">
        <v>2490</v>
      </c>
      <c r="E675" s="11" t="s">
        <v>3052</v>
      </c>
      <c r="F675" s="12"/>
      <c r="G675" s="14" t="s">
        <v>2561</v>
      </c>
      <c r="H675" s="14" t="s">
        <v>253</v>
      </c>
      <c r="I675" s="14" t="s">
        <v>3053</v>
      </c>
      <c r="J675" s="14" t="s">
        <v>92</v>
      </c>
      <c r="K675" s="14" t="s">
        <v>93</v>
      </c>
      <c r="L675" s="14" t="s">
        <v>92</v>
      </c>
      <c r="M675" s="14" t="s">
        <v>92</v>
      </c>
      <c r="N675" s="14" t="s">
        <v>92</v>
      </c>
      <c r="O675" s="14" t="s">
        <v>92</v>
      </c>
      <c r="P675" s="14" t="s">
        <v>92</v>
      </c>
      <c r="Q675" s="14" t="s">
        <v>93</v>
      </c>
      <c r="R675" s="14" t="s">
        <v>93</v>
      </c>
      <c r="S675" s="14" t="s">
        <v>92</v>
      </c>
      <c r="T675" s="14" t="s">
        <v>92</v>
      </c>
      <c r="U675" s="14" t="s">
        <v>93</v>
      </c>
      <c r="V675" s="14" t="s">
        <v>92</v>
      </c>
      <c r="W675" s="14" t="s">
        <v>92</v>
      </c>
      <c r="X675" s="14" t="s">
        <v>92</v>
      </c>
      <c r="Y675" s="14" t="s">
        <v>92</v>
      </c>
      <c r="Z675" s="14" t="s">
        <v>92</v>
      </c>
      <c r="AA675" s="14" t="s">
        <v>92</v>
      </c>
      <c r="AB675" s="8" t="s">
        <v>93</v>
      </c>
      <c r="AC675" s="8" t="s">
        <v>92</v>
      </c>
      <c r="AD675" s="8" t="s">
        <v>92</v>
      </c>
      <c r="AE675" s="14" t="s">
        <v>148</v>
      </c>
      <c r="AF675" s="14" t="s">
        <v>92</v>
      </c>
      <c r="AG675" s="14" t="s">
        <v>95</v>
      </c>
      <c r="AH675" s="8" t="s">
        <v>95</v>
      </c>
      <c r="AI675" s="14" t="s">
        <v>92</v>
      </c>
      <c r="AJ675" s="14" t="s">
        <v>92</v>
      </c>
      <c r="AK675" s="14" t="s">
        <v>93</v>
      </c>
      <c r="AL675" s="14" t="s">
        <v>93</v>
      </c>
      <c r="AM675" s="15" t="s">
        <v>95</v>
      </c>
      <c r="AN675" s="14" t="s">
        <v>95</v>
      </c>
      <c r="AO675" s="8" t="s">
        <v>95</v>
      </c>
      <c r="AP675" s="8" t="s">
        <v>92</v>
      </c>
      <c r="AQ675" s="14" t="s">
        <v>92</v>
      </c>
      <c r="AR675" s="14" t="s">
        <v>92</v>
      </c>
      <c r="AS675" s="14" t="s">
        <v>92</v>
      </c>
      <c r="AT675" s="14" t="s">
        <v>92</v>
      </c>
      <c r="AU675" s="14" t="s">
        <v>92</v>
      </c>
      <c r="AV675" s="14" t="s">
        <v>92</v>
      </c>
      <c r="AW675" s="14" t="s">
        <v>93</v>
      </c>
      <c r="AX675" s="14" t="s">
        <v>93</v>
      </c>
      <c r="AY675" s="8" t="s">
        <v>95</v>
      </c>
      <c r="AZ675" s="8" t="s">
        <v>95</v>
      </c>
      <c r="BA675" s="9" t="s">
        <v>3054</v>
      </c>
      <c r="BB675" s="8" t="s">
        <v>143</v>
      </c>
      <c r="BC675" s="8" t="s">
        <v>92</v>
      </c>
      <c r="BD675" s="14" t="s">
        <v>92</v>
      </c>
      <c r="BE675" s="14" t="s">
        <v>92</v>
      </c>
      <c r="BF675" s="14" t="s">
        <v>92</v>
      </c>
      <c r="BG675" s="14" t="s">
        <v>92</v>
      </c>
      <c r="BH675" s="14" t="s">
        <v>92</v>
      </c>
      <c r="BI675" s="14" t="s">
        <v>93</v>
      </c>
      <c r="BJ675" s="14" t="s">
        <v>93</v>
      </c>
      <c r="BK675" s="14" t="s">
        <v>1728</v>
      </c>
      <c r="BL675" s="14" t="s">
        <v>92</v>
      </c>
      <c r="BM675" s="14" t="s">
        <v>92</v>
      </c>
      <c r="BN675" s="14" t="s">
        <v>92</v>
      </c>
      <c r="BO675" s="14" t="s">
        <v>93</v>
      </c>
      <c r="BP675" s="14" t="s">
        <v>92</v>
      </c>
      <c r="BQ675" s="8" t="s">
        <v>93</v>
      </c>
      <c r="BR675" s="8" t="s">
        <v>92</v>
      </c>
      <c r="BS675" s="8" t="s">
        <v>92</v>
      </c>
      <c r="BT675" s="8" t="s">
        <v>92</v>
      </c>
      <c r="BU675" s="8" t="s">
        <v>92</v>
      </c>
      <c r="BV675" s="8" t="s">
        <v>92</v>
      </c>
      <c r="BW675" s="8" t="s">
        <v>92</v>
      </c>
      <c r="BX675" s="8" t="s">
        <v>92</v>
      </c>
      <c r="BY675" s="8" t="s">
        <v>92</v>
      </c>
      <c r="BZ675" s="8" t="s">
        <v>92</v>
      </c>
      <c r="CA675" s="8" t="s">
        <v>92</v>
      </c>
      <c r="CB675" s="20" t="s">
        <v>106</v>
      </c>
      <c r="CC675" s="20" t="s">
        <v>116</v>
      </c>
      <c r="CD675" s="24" t="s">
        <v>3051</v>
      </c>
      <c r="CE675" s="18"/>
      <c r="CF675" s="18"/>
      <c r="CG675" s="18"/>
      <c r="CH675" s="18"/>
    </row>
    <row r="676">
      <c r="A676" s="8"/>
      <c r="B676" s="9" t="s">
        <v>3046</v>
      </c>
      <c r="C676" s="10" t="s">
        <v>3047</v>
      </c>
      <c r="D676" s="9" t="s">
        <v>2490</v>
      </c>
      <c r="E676" s="11" t="s">
        <v>3055</v>
      </c>
      <c r="F676" s="12"/>
      <c r="G676" s="45" t="s">
        <v>3056</v>
      </c>
      <c r="H676" s="14" t="s">
        <v>90</v>
      </c>
      <c r="I676" s="14" t="s">
        <v>3057</v>
      </c>
      <c r="J676" s="14" t="s">
        <v>92</v>
      </c>
      <c r="K676" s="14" t="s">
        <v>93</v>
      </c>
      <c r="L676" s="14" t="s">
        <v>92</v>
      </c>
      <c r="M676" s="14" t="s">
        <v>92</v>
      </c>
      <c r="N676" s="14" t="s">
        <v>92</v>
      </c>
      <c r="O676" s="14" t="s">
        <v>92</v>
      </c>
      <c r="P676" s="14" t="s">
        <v>93</v>
      </c>
      <c r="Q676" s="14" t="s">
        <v>92</v>
      </c>
      <c r="R676" s="14" t="s">
        <v>92</v>
      </c>
      <c r="S676" s="14" t="s">
        <v>92</v>
      </c>
      <c r="T676" s="14" t="s">
        <v>92</v>
      </c>
      <c r="U676" s="14" t="s">
        <v>93</v>
      </c>
      <c r="V676" s="14" t="s">
        <v>92</v>
      </c>
      <c r="W676" s="14" t="s">
        <v>92</v>
      </c>
      <c r="X676" s="14" t="s">
        <v>92</v>
      </c>
      <c r="Y676" s="14" t="s">
        <v>92</v>
      </c>
      <c r="Z676" s="14" t="s">
        <v>92</v>
      </c>
      <c r="AA676" s="14" t="s">
        <v>92</v>
      </c>
      <c r="AB676" s="8" t="s">
        <v>93</v>
      </c>
      <c r="AC676" s="8" t="s">
        <v>92</v>
      </c>
      <c r="AD676" s="8" t="s">
        <v>92</v>
      </c>
      <c r="AE676" s="14" t="s">
        <v>148</v>
      </c>
      <c r="AF676" s="14" t="s">
        <v>92</v>
      </c>
      <c r="AG676" s="14" t="s">
        <v>95</v>
      </c>
      <c r="AH676" s="8" t="s">
        <v>105</v>
      </c>
      <c r="AI676" s="14" t="s">
        <v>92</v>
      </c>
      <c r="AJ676" s="14" t="s">
        <v>92</v>
      </c>
      <c r="AK676" s="14" t="s">
        <v>93</v>
      </c>
      <c r="AL676" s="14" t="s">
        <v>92</v>
      </c>
      <c r="AM676" s="8" t="s">
        <v>105</v>
      </c>
      <c r="AN676" s="14" t="s">
        <v>105</v>
      </c>
      <c r="AO676" s="8" t="s">
        <v>105</v>
      </c>
      <c r="AP676" s="8" t="s">
        <v>93</v>
      </c>
      <c r="AQ676" s="14" t="s">
        <v>92</v>
      </c>
      <c r="AR676" s="14" t="s">
        <v>92</v>
      </c>
      <c r="AS676" s="14" t="s">
        <v>92</v>
      </c>
      <c r="AT676" s="14" t="s">
        <v>92</v>
      </c>
      <c r="AU676" s="14" t="s">
        <v>92</v>
      </c>
      <c r="AV676" s="14" t="s">
        <v>92</v>
      </c>
      <c r="AW676" s="14" t="s">
        <v>93</v>
      </c>
      <c r="AX676" s="14" t="s">
        <v>93</v>
      </c>
      <c r="AY676" s="8" t="s">
        <v>95</v>
      </c>
      <c r="AZ676" s="8" t="s">
        <v>95</v>
      </c>
      <c r="BA676" s="9" t="s">
        <v>1850</v>
      </c>
      <c r="BB676" s="8" t="s">
        <v>143</v>
      </c>
      <c r="BC676" s="8" t="s">
        <v>92</v>
      </c>
      <c r="BD676" s="14" t="s">
        <v>92</v>
      </c>
      <c r="BE676" s="14" t="s">
        <v>92</v>
      </c>
      <c r="BF676" s="14" t="s">
        <v>92</v>
      </c>
      <c r="BG676" s="14" t="s">
        <v>92</v>
      </c>
      <c r="BH676" s="14" t="s">
        <v>92</v>
      </c>
      <c r="BI676" s="14" t="s">
        <v>93</v>
      </c>
      <c r="BJ676" s="14" t="s">
        <v>92</v>
      </c>
      <c r="BK676" s="14" t="s">
        <v>105</v>
      </c>
      <c r="BL676" s="14" t="s">
        <v>105</v>
      </c>
      <c r="BM676" s="14" t="s">
        <v>105</v>
      </c>
      <c r="BN676" s="14" t="s">
        <v>105</v>
      </c>
      <c r="BO676" s="14" t="s">
        <v>105</v>
      </c>
      <c r="BP676" s="14" t="s">
        <v>105</v>
      </c>
      <c r="BQ676" s="8" t="s">
        <v>93</v>
      </c>
      <c r="BR676" s="8" t="s">
        <v>92</v>
      </c>
      <c r="BS676" s="8" t="s">
        <v>92</v>
      </c>
      <c r="BT676" s="8" t="s">
        <v>92</v>
      </c>
      <c r="BU676" s="8" t="s">
        <v>92</v>
      </c>
      <c r="BV676" s="8" t="s">
        <v>92</v>
      </c>
      <c r="BW676" s="8" t="s">
        <v>92</v>
      </c>
      <c r="BX676" s="8" t="s">
        <v>92</v>
      </c>
      <c r="BY676" s="8" t="s">
        <v>92</v>
      </c>
      <c r="BZ676" s="8" t="s">
        <v>92</v>
      </c>
      <c r="CA676" s="8" t="s">
        <v>92</v>
      </c>
      <c r="CB676" s="20" t="s">
        <v>106</v>
      </c>
      <c r="CC676" s="24" t="s">
        <v>3051</v>
      </c>
      <c r="CD676" s="18"/>
      <c r="CE676" s="18"/>
      <c r="CF676" s="18"/>
      <c r="CG676" s="18"/>
      <c r="CH676" s="18"/>
    </row>
    <row r="677">
      <c r="A677" s="8"/>
      <c r="B677" s="9" t="s">
        <v>3046</v>
      </c>
      <c r="C677" s="10" t="s">
        <v>3047</v>
      </c>
      <c r="D677" s="9" t="s">
        <v>2490</v>
      </c>
      <c r="E677" s="11" t="s">
        <v>3058</v>
      </c>
      <c r="F677" s="12"/>
      <c r="G677" s="14" t="s">
        <v>3059</v>
      </c>
      <c r="H677" s="14" t="s">
        <v>90</v>
      </c>
      <c r="I677" s="14" t="s">
        <v>3060</v>
      </c>
      <c r="J677" s="14" t="s">
        <v>92</v>
      </c>
      <c r="K677" s="14" t="s">
        <v>92</v>
      </c>
      <c r="L677" s="14" t="s">
        <v>92</v>
      </c>
      <c r="M677" s="14" t="s">
        <v>92</v>
      </c>
      <c r="N677" s="14" t="s">
        <v>93</v>
      </c>
      <c r="O677" s="14" t="s">
        <v>92</v>
      </c>
      <c r="P677" s="14" t="s">
        <v>92</v>
      </c>
      <c r="Q677" s="14" t="s">
        <v>92</v>
      </c>
      <c r="R677" s="14" t="s">
        <v>92</v>
      </c>
      <c r="S677" s="14" t="s">
        <v>92</v>
      </c>
      <c r="T677" s="14" t="s">
        <v>92</v>
      </c>
      <c r="U677" s="14" t="s">
        <v>93</v>
      </c>
      <c r="V677" s="14" t="s">
        <v>92</v>
      </c>
      <c r="W677" s="14" t="s">
        <v>92</v>
      </c>
      <c r="X677" s="14" t="s">
        <v>92</v>
      </c>
      <c r="Y677" s="14" t="s">
        <v>92</v>
      </c>
      <c r="Z677" s="14" t="s">
        <v>92</v>
      </c>
      <c r="AA677" s="14" t="s">
        <v>92</v>
      </c>
      <c r="AB677" s="8" t="s">
        <v>93</v>
      </c>
      <c r="AC677" s="8" t="s">
        <v>92</v>
      </c>
      <c r="AD677" s="8" t="s">
        <v>92</v>
      </c>
      <c r="AE677" s="14" t="s">
        <v>94</v>
      </c>
      <c r="AF677" s="14" t="s">
        <v>92</v>
      </c>
      <c r="AG677" s="14" t="s">
        <v>95</v>
      </c>
      <c r="AH677" s="8" t="s">
        <v>105</v>
      </c>
      <c r="AI677" s="14" t="s">
        <v>92</v>
      </c>
      <c r="AJ677" s="14" t="s">
        <v>92</v>
      </c>
      <c r="AK677" s="14" t="s">
        <v>92</v>
      </c>
      <c r="AL677" s="14" t="s">
        <v>93</v>
      </c>
      <c r="AM677" s="8" t="s">
        <v>105</v>
      </c>
      <c r="AN677" s="14" t="s">
        <v>105</v>
      </c>
      <c r="AO677" s="8" t="s">
        <v>105</v>
      </c>
      <c r="AP677" s="8" t="s">
        <v>92</v>
      </c>
      <c r="AQ677" s="14" t="s">
        <v>92</v>
      </c>
      <c r="AR677" s="14" t="s">
        <v>92</v>
      </c>
      <c r="AS677" s="14" t="s">
        <v>92</v>
      </c>
      <c r="AT677" s="14" t="s">
        <v>92</v>
      </c>
      <c r="AU677" s="14" t="s">
        <v>92</v>
      </c>
      <c r="AV677" s="14" t="s">
        <v>92</v>
      </c>
      <c r="AW677" s="14" t="s">
        <v>93</v>
      </c>
      <c r="AX677" s="14" t="s">
        <v>93</v>
      </c>
      <c r="AY677" s="8" t="s">
        <v>95</v>
      </c>
      <c r="AZ677" s="8" t="s">
        <v>95</v>
      </c>
      <c r="BA677" s="9" t="s">
        <v>3046</v>
      </c>
      <c r="BB677" s="8" t="s">
        <v>97</v>
      </c>
      <c r="BC677" s="8" t="s">
        <v>92</v>
      </c>
      <c r="BD677" s="14" t="s">
        <v>92</v>
      </c>
      <c r="BE677" s="14" t="s">
        <v>92</v>
      </c>
      <c r="BF677" s="14" t="s">
        <v>92</v>
      </c>
      <c r="BG677" s="14" t="s">
        <v>92</v>
      </c>
      <c r="BH677" s="14" t="s">
        <v>92</v>
      </c>
      <c r="BI677" s="14" t="s">
        <v>93</v>
      </c>
      <c r="BJ677" s="14" t="s">
        <v>92</v>
      </c>
      <c r="BK677" s="14" t="s">
        <v>105</v>
      </c>
      <c r="BL677" s="14" t="s">
        <v>105</v>
      </c>
      <c r="BM677" s="14" t="s">
        <v>105</v>
      </c>
      <c r="BN677" s="14" t="s">
        <v>105</v>
      </c>
      <c r="BO677" s="14" t="s">
        <v>105</v>
      </c>
      <c r="BP677" s="14" t="s">
        <v>105</v>
      </c>
      <c r="BQ677" s="8" t="s">
        <v>93</v>
      </c>
      <c r="BR677" s="8" t="s">
        <v>92</v>
      </c>
      <c r="BS677" s="8" t="s">
        <v>92</v>
      </c>
      <c r="BT677" s="8" t="s">
        <v>92</v>
      </c>
      <c r="BU677" s="8" t="s">
        <v>92</v>
      </c>
      <c r="BV677" s="8" t="s">
        <v>92</v>
      </c>
      <c r="BW677" s="8" t="s">
        <v>92</v>
      </c>
      <c r="BX677" s="8" t="s">
        <v>92</v>
      </c>
      <c r="BY677" s="8" t="s">
        <v>92</v>
      </c>
      <c r="BZ677" s="8" t="s">
        <v>92</v>
      </c>
      <c r="CA677" s="8" t="s">
        <v>92</v>
      </c>
      <c r="CB677" s="20" t="s">
        <v>116</v>
      </c>
      <c r="CC677" s="17"/>
      <c r="CD677" s="18"/>
      <c r="CE677" s="18"/>
      <c r="CF677" s="18"/>
      <c r="CG677" s="18"/>
      <c r="CH677" s="18"/>
    </row>
    <row r="678">
      <c r="A678" s="8"/>
      <c r="B678" s="9" t="s">
        <v>3061</v>
      </c>
      <c r="C678" s="10" t="s">
        <v>3062</v>
      </c>
      <c r="D678" s="9" t="s">
        <v>2490</v>
      </c>
      <c r="E678" s="11" t="s">
        <v>3063</v>
      </c>
      <c r="F678" s="12"/>
      <c r="G678" s="14" t="s">
        <v>3064</v>
      </c>
      <c r="H678" s="14" t="s">
        <v>90</v>
      </c>
      <c r="I678" s="14" t="s">
        <v>3065</v>
      </c>
      <c r="J678" s="14" t="s">
        <v>92</v>
      </c>
      <c r="K678" s="14" t="s">
        <v>92</v>
      </c>
      <c r="L678" s="14" t="s">
        <v>93</v>
      </c>
      <c r="M678" s="14" t="s">
        <v>93</v>
      </c>
      <c r="N678" s="14" t="s">
        <v>93</v>
      </c>
      <c r="O678" s="14" t="s">
        <v>92</v>
      </c>
      <c r="P678" s="14" t="s">
        <v>92</v>
      </c>
      <c r="Q678" s="14" t="s">
        <v>92</v>
      </c>
      <c r="R678" s="14" t="s">
        <v>92</v>
      </c>
      <c r="S678" s="14" t="s">
        <v>92</v>
      </c>
      <c r="T678" s="14" t="s">
        <v>92</v>
      </c>
      <c r="U678" s="14" t="s">
        <v>93</v>
      </c>
      <c r="V678" s="14" t="s">
        <v>92</v>
      </c>
      <c r="W678" s="14" t="s">
        <v>92</v>
      </c>
      <c r="X678" s="14" t="s">
        <v>92</v>
      </c>
      <c r="Y678" s="14" t="s">
        <v>92</v>
      </c>
      <c r="Z678" s="14" t="s">
        <v>92</v>
      </c>
      <c r="AA678" s="14" t="s">
        <v>92</v>
      </c>
      <c r="AB678" s="8" t="s">
        <v>93</v>
      </c>
      <c r="AC678" s="8" t="s">
        <v>92</v>
      </c>
      <c r="AD678" s="8" t="s">
        <v>92</v>
      </c>
      <c r="AE678" s="14" t="s">
        <v>94</v>
      </c>
      <c r="AF678" s="14" t="s">
        <v>92</v>
      </c>
      <c r="AG678" s="14" t="s">
        <v>95</v>
      </c>
      <c r="AH678" s="8">
        <v>2021.0</v>
      </c>
      <c r="AI678" s="14" t="s">
        <v>105</v>
      </c>
      <c r="AJ678" s="14" t="s">
        <v>93</v>
      </c>
      <c r="AK678" s="14" t="s">
        <v>92</v>
      </c>
      <c r="AL678" s="14" t="s">
        <v>92</v>
      </c>
      <c r="AM678" s="8">
        <v>2021.0</v>
      </c>
      <c r="AN678" s="14" t="s">
        <v>96</v>
      </c>
      <c r="AO678" s="8" t="s">
        <v>105</v>
      </c>
      <c r="AP678" s="8" t="s">
        <v>93</v>
      </c>
      <c r="AQ678" s="14" t="s">
        <v>92</v>
      </c>
      <c r="AR678" s="14" t="s">
        <v>92</v>
      </c>
      <c r="AS678" s="14" t="s">
        <v>92</v>
      </c>
      <c r="AT678" s="14" t="s">
        <v>92</v>
      </c>
      <c r="AU678" s="14" t="s">
        <v>92</v>
      </c>
      <c r="AV678" s="14" t="s">
        <v>92</v>
      </c>
      <c r="AW678" s="14" t="s">
        <v>92</v>
      </c>
      <c r="AX678" s="14" t="s">
        <v>92</v>
      </c>
      <c r="AY678" s="8" t="s">
        <v>95</v>
      </c>
      <c r="AZ678" s="8" t="s">
        <v>95</v>
      </c>
      <c r="BA678" s="9" t="s">
        <v>3066</v>
      </c>
      <c r="BB678" s="8" t="s">
        <v>143</v>
      </c>
      <c r="BC678" s="8" t="s">
        <v>92</v>
      </c>
      <c r="BD678" s="14" t="s">
        <v>92</v>
      </c>
      <c r="BE678" s="14" t="s">
        <v>92</v>
      </c>
      <c r="BF678" s="14" t="s">
        <v>92</v>
      </c>
      <c r="BG678" s="14" t="s">
        <v>92</v>
      </c>
      <c r="BH678" s="14" t="s">
        <v>92</v>
      </c>
      <c r="BI678" s="14" t="s">
        <v>93</v>
      </c>
      <c r="BJ678" s="14" t="s">
        <v>92</v>
      </c>
      <c r="BK678" s="14" t="s">
        <v>95</v>
      </c>
      <c r="BL678" s="14" t="s">
        <v>93</v>
      </c>
      <c r="BM678" s="14" t="s">
        <v>93</v>
      </c>
      <c r="BN678" s="14" t="s">
        <v>93</v>
      </c>
      <c r="BO678" s="14" t="s">
        <v>93</v>
      </c>
      <c r="BP678" s="14" t="s">
        <v>93</v>
      </c>
      <c r="BQ678" s="8" t="s">
        <v>93</v>
      </c>
      <c r="BR678" s="8" t="s">
        <v>92</v>
      </c>
      <c r="BS678" s="8" t="s">
        <v>92</v>
      </c>
      <c r="BT678" s="8" t="s">
        <v>92</v>
      </c>
      <c r="BU678" s="8" t="s">
        <v>92</v>
      </c>
      <c r="BV678" s="8" t="s">
        <v>92</v>
      </c>
      <c r="BW678" s="8" t="s">
        <v>92</v>
      </c>
      <c r="BX678" s="8" t="s">
        <v>92</v>
      </c>
      <c r="BY678" s="8" t="s">
        <v>92</v>
      </c>
      <c r="BZ678" s="8" t="s">
        <v>92</v>
      </c>
      <c r="CA678" s="8" t="s">
        <v>92</v>
      </c>
      <c r="CB678" s="20" t="s">
        <v>115</v>
      </c>
      <c r="CC678" s="17"/>
      <c r="CD678" s="18"/>
      <c r="CE678" s="18"/>
      <c r="CF678" s="18"/>
      <c r="CG678" s="18"/>
      <c r="CH678" s="18"/>
    </row>
    <row r="679">
      <c r="A679" s="8"/>
      <c r="B679" s="9" t="s">
        <v>3061</v>
      </c>
      <c r="C679" s="10" t="s">
        <v>3062</v>
      </c>
      <c r="D679" s="9" t="s">
        <v>2490</v>
      </c>
      <c r="E679" s="11" t="s">
        <v>3067</v>
      </c>
      <c r="F679" s="25"/>
      <c r="G679" s="14" t="s">
        <v>3068</v>
      </c>
      <c r="H679" s="14" t="s">
        <v>90</v>
      </c>
      <c r="I679" s="14" t="s">
        <v>3069</v>
      </c>
      <c r="J679" s="14" t="s">
        <v>92</v>
      </c>
      <c r="K679" s="14" t="s">
        <v>93</v>
      </c>
      <c r="L679" s="14" t="s">
        <v>92</v>
      </c>
      <c r="M679" s="14" t="s">
        <v>92</v>
      </c>
      <c r="N679" s="14" t="s">
        <v>92</v>
      </c>
      <c r="O679" s="14" t="s">
        <v>92</v>
      </c>
      <c r="P679" s="14" t="s">
        <v>92</v>
      </c>
      <c r="Q679" s="14" t="s">
        <v>92</v>
      </c>
      <c r="R679" s="14" t="s">
        <v>93</v>
      </c>
      <c r="S679" s="14" t="s">
        <v>92</v>
      </c>
      <c r="T679" s="14" t="s">
        <v>92</v>
      </c>
      <c r="U679" s="14" t="s">
        <v>93</v>
      </c>
      <c r="V679" s="14" t="s">
        <v>92</v>
      </c>
      <c r="W679" s="14" t="s">
        <v>92</v>
      </c>
      <c r="X679" s="14" t="s">
        <v>92</v>
      </c>
      <c r="Y679" s="14" t="s">
        <v>92</v>
      </c>
      <c r="Z679" s="14" t="s">
        <v>92</v>
      </c>
      <c r="AA679" s="14" t="s">
        <v>92</v>
      </c>
      <c r="AB679" s="8" t="s">
        <v>93</v>
      </c>
      <c r="AC679" s="8" t="s">
        <v>92</v>
      </c>
      <c r="AD679" s="8" t="s">
        <v>92</v>
      </c>
      <c r="AE679" s="14" t="s">
        <v>94</v>
      </c>
      <c r="AF679" s="14" t="s">
        <v>92</v>
      </c>
      <c r="AG679" s="14" t="s">
        <v>95</v>
      </c>
      <c r="AH679" s="8">
        <v>2022.0</v>
      </c>
      <c r="AI679" s="14" t="s">
        <v>105</v>
      </c>
      <c r="AJ679" s="14" t="s">
        <v>92</v>
      </c>
      <c r="AK679" s="14" t="s">
        <v>93</v>
      </c>
      <c r="AL679" s="14" t="s">
        <v>92</v>
      </c>
      <c r="AM679" s="8" t="s">
        <v>105</v>
      </c>
      <c r="AN679" s="14" t="s">
        <v>105</v>
      </c>
      <c r="AO679" s="8" t="s">
        <v>105</v>
      </c>
      <c r="AP679" s="8" t="s">
        <v>105</v>
      </c>
      <c r="AQ679" s="14" t="s">
        <v>92</v>
      </c>
      <c r="AR679" s="14" t="s">
        <v>92</v>
      </c>
      <c r="AS679" s="14" t="s">
        <v>92</v>
      </c>
      <c r="AT679" s="14" t="s">
        <v>92</v>
      </c>
      <c r="AU679" s="14" t="s">
        <v>92</v>
      </c>
      <c r="AV679" s="14" t="s">
        <v>92</v>
      </c>
      <c r="AW679" s="14" t="s">
        <v>92</v>
      </c>
      <c r="AX679" s="14" t="s">
        <v>92</v>
      </c>
      <c r="AY679" s="8" t="s">
        <v>3070</v>
      </c>
      <c r="AZ679" s="8" t="s">
        <v>92</v>
      </c>
      <c r="BA679" s="9" t="s">
        <v>3071</v>
      </c>
      <c r="BB679" s="8" t="s">
        <v>143</v>
      </c>
      <c r="BC679" s="8" t="s">
        <v>92</v>
      </c>
      <c r="BD679" s="14" t="s">
        <v>92</v>
      </c>
      <c r="BE679" s="14" t="s">
        <v>92</v>
      </c>
      <c r="BF679" s="14" t="s">
        <v>92</v>
      </c>
      <c r="BG679" s="14" t="s">
        <v>92</v>
      </c>
      <c r="BH679" s="14" t="s">
        <v>92</v>
      </c>
      <c r="BI679" s="14" t="s">
        <v>93</v>
      </c>
      <c r="BJ679" s="14" t="s">
        <v>92</v>
      </c>
      <c r="BK679" s="14" t="s">
        <v>3072</v>
      </c>
      <c r="BL679" s="14" t="s">
        <v>93</v>
      </c>
      <c r="BM679" s="14" t="s">
        <v>92</v>
      </c>
      <c r="BN679" s="14" t="s">
        <v>93</v>
      </c>
      <c r="BO679" s="14" t="s">
        <v>93</v>
      </c>
      <c r="BP679" s="14" t="s">
        <v>92</v>
      </c>
      <c r="BQ679" s="8" t="s">
        <v>93</v>
      </c>
      <c r="BR679" s="8" t="s">
        <v>92</v>
      </c>
      <c r="BS679" s="8" t="s">
        <v>92</v>
      </c>
      <c r="BT679" s="8" t="s">
        <v>92</v>
      </c>
      <c r="BU679" s="8" t="s">
        <v>92</v>
      </c>
      <c r="BV679" s="8" t="s">
        <v>92</v>
      </c>
      <c r="BW679" s="8" t="s">
        <v>92</v>
      </c>
      <c r="BX679" s="8" t="s">
        <v>92</v>
      </c>
      <c r="BY679" s="8" t="s">
        <v>92</v>
      </c>
      <c r="BZ679" s="8" t="s">
        <v>92</v>
      </c>
      <c r="CA679" s="8" t="s">
        <v>92</v>
      </c>
      <c r="CB679" s="20" t="s">
        <v>106</v>
      </c>
      <c r="CC679" s="17"/>
      <c r="CD679" s="18"/>
      <c r="CE679" s="18"/>
      <c r="CF679" s="18"/>
      <c r="CG679" s="18"/>
      <c r="CH679" s="18"/>
    </row>
    <row r="680">
      <c r="A680" s="8"/>
      <c r="B680" s="9" t="s">
        <v>3061</v>
      </c>
      <c r="C680" s="10" t="s">
        <v>3062</v>
      </c>
      <c r="D680" s="9" t="s">
        <v>2490</v>
      </c>
      <c r="E680" s="11" t="s">
        <v>3073</v>
      </c>
      <c r="F680" s="25"/>
      <c r="G680" s="14" t="s">
        <v>3074</v>
      </c>
      <c r="H680" s="14" t="s">
        <v>90</v>
      </c>
      <c r="I680" s="14" t="s">
        <v>3075</v>
      </c>
      <c r="J680" s="14" t="s">
        <v>92</v>
      </c>
      <c r="K680" s="14" t="s">
        <v>92</v>
      </c>
      <c r="L680" s="14" t="s">
        <v>92</v>
      </c>
      <c r="M680" s="14" t="s">
        <v>93</v>
      </c>
      <c r="N680" s="14" t="s">
        <v>92</v>
      </c>
      <c r="O680" s="14" t="s">
        <v>92</v>
      </c>
      <c r="P680" s="14" t="s">
        <v>92</v>
      </c>
      <c r="Q680" s="14" t="s">
        <v>93</v>
      </c>
      <c r="R680" s="14" t="s">
        <v>92</v>
      </c>
      <c r="S680" s="14" t="s">
        <v>92</v>
      </c>
      <c r="T680" s="14" t="s">
        <v>92</v>
      </c>
      <c r="U680" s="14" t="s">
        <v>93</v>
      </c>
      <c r="V680" s="14" t="s">
        <v>92</v>
      </c>
      <c r="W680" s="14" t="s">
        <v>92</v>
      </c>
      <c r="X680" s="14" t="s">
        <v>92</v>
      </c>
      <c r="Y680" s="14" t="s">
        <v>92</v>
      </c>
      <c r="Z680" s="14" t="s">
        <v>92</v>
      </c>
      <c r="AA680" s="14" t="s">
        <v>92</v>
      </c>
      <c r="AB680" s="8" t="s">
        <v>93</v>
      </c>
      <c r="AC680" s="8" t="s">
        <v>92</v>
      </c>
      <c r="AD680" s="8" t="s">
        <v>92</v>
      </c>
      <c r="AE680" s="14" t="s">
        <v>94</v>
      </c>
      <c r="AF680" s="14" t="s">
        <v>92</v>
      </c>
      <c r="AG680" s="14" t="s">
        <v>95</v>
      </c>
      <c r="AH680" s="8">
        <v>2023.0</v>
      </c>
      <c r="AI680" s="14" t="s">
        <v>105</v>
      </c>
      <c r="AJ680" s="14" t="s">
        <v>92</v>
      </c>
      <c r="AK680" s="14" t="s">
        <v>92</v>
      </c>
      <c r="AL680" s="14" t="s">
        <v>93</v>
      </c>
      <c r="AM680" s="8">
        <v>2023.0</v>
      </c>
      <c r="AN680" s="14" t="s">
        <v>96</v>
      </c>
      <c r="AO680" s="8" t="s">
        <v>92</v>
      </c>
      <c r="AP680" s="8" t="s">
        <v>92</v>
      </c>
      <c r="AQ680" s="14" t="s">
        <v>92</v>
      </c>
      <c r="AR680" s="14" t="s">
        <v>92</v>
      </c>
      <c r="AS680" s="14" t="s">
        <v>92</v>
      </c>
      <c r="AT680" s="14" t="s">
        <v>92</v>
      </c>
      <c r="AU680" s="14" t="s">
        <v>92</v>
      </c>
      <c r="AV680" s="14" t="s">
        <v>92</v>
      </c>
      <c r="AW680" s="14" t="s">
        <v>92</v>
      </c>
      <c r="AX680" s="14" t="s">
        <v>92</v>
      </c>
      <c r="AY680" s="8" t="s">
        <v>95</v>
      </c>
      <c r="AZ680" s="8" t="s">
        <v>95</v>
      </c>
      <c r="BA680" s="9" t="s">
        <v>3076</v>
      </c>
      <c r="BB680" s="8" t="s">
        <v>105</v>
      </c>
      <c r="BC680" s="8" t="s">
        <v>105</v>
      </c>
      <c r="BD680" s="14" t="s">
        <v>92</v>
      </c>
      <c r="BE680" s="14" t="s">
        <v>92</v>
      </c>
      <c r="BF680" s="14" t="s">
        <v>92</v>
      </c>
      <c r="BG680" s="14" t="s">
        <v>92</v>
      </c>
      <c r="BH680" s="14" t="s">
        <v>92</v>
      </c>
      <c r="BI680" s="14" t="s">
        <v>93</v>
      </c>
      <c r="BJ680" s="14" t="s">
        <v>92</v>
      </c>
      <c r="BK680" s="14" t="s">
        <v>482</v>
      </c>
      <c r="BL680" s="14" t="s">
        <v>92</v>
      </c>
      <c r="BM680" s="14" t="s">
        <v>92</v>
      </c>
      <c r="BN680" s="14" t="s">
        <v>92</v>
      </c>
      <c r="BO680" s="14" t="s">
        <v>93</v>
      </c>
      <c r="BP680" s="14" t="s">
        <v>92</v>
      </c>
      <c r="BQ680" s="8" t="s">
        <v>93</v>
      </c>
      <c r="BR680" s="8" t="s">
        <v>92</v>
      </c>
      <c r="BS680" s="8" t="s">
        <v>92</v>
      </c>
      <c r="BT680" s="8" t="s">
        <v>92</v>
      </c>
      <c r="BU680" s="8" t="s">
        <v>92</v>
      </c>
      <c r="BV680" s="8" t="s">
        <v>92</v>
      </c>
      <c r="BW680" s="8" t="s">
        <v>92</v>
      </c>
      <c r="BX680" s="8" t="s">
        <v>92</v>
      </c>
      <c r="BY680" s="8" t="s">
        <v>92</v>
      </c>
      <c r="BZ680" s="8" t="s">
        <v>92</v>
      </c>
      <c r="CA680" s="8" t="s">
        <v>92</v>
      </c>
      <c r="CB680" s="20" t="s">
        <v>116</v>
      </c>
      <c r="CC680" s="17"/>
      <c r="CD680" s="18"/>
      <c r="CE680" s="18"/>
      <c r="CF680" s="18"/>
      <c r="CG680" s="18"/>
      <c r="CH680" s="18"/>
    </row>
    <row r="681">
      <c r="A681" s="8"/>
      <c r="B681" s="9" t="s">
        <v>3077</v>
      </c>
      <c r="C681" s="10" t="s">
        <v>3078</v>
      </c>
      <c r="D681" s="9" t="s">
        <v>2490</v>
      </c>
      <c r="E681" s="11" t="s">
        <v>3079</v>
      </c>
      <c r="F681" s="12"/>
      <c r="G681" s="14" t="s">
        <v>3080</v>
      </c>
      <c r="H681" s="14" t="s">
        <v>189</v>
      </c>
      <c r="I681" s="14" t="s">
        <v>3081</v>
      </c>
      <c r="J681" s="14" t="s">
        <v>92</v>
      </c>
      <c r="K681" s="14" t="s">
        <v>92</v>
      </c>
      <c r="L681" s="14" t="s">
        <v>93</v>
      </c>
      <c r="M681" s="14" t="s">
        <v>93</v>
      </c>
      <c r="N681" s="14" t="s">
        <v>92</v>
      </c>
      <c r="O681" s="14" t="s">
        <v>92</v>
      </c>
      <c r="P681" s="14" t="s">
        <v>92</v>
      </c>
      <c r="Q681" s="14" t="s">
        <v>93</v>
      </c>
      <c r="R681" s="14" t="s">
        <v>92</v>
      </c>
      <c r="S681" s="14" t="s">
        <v>92</v>
      </c>
      <c r="T681" s="14" t="s">
        <v>92</v>
      </c>
      <c r="U681" s="14" t="s">
        <v>93</v>
      </c>
      <c r="V681" s="14" t="s">
        <v>92</v>
      </c>
      <c r="W681" s="14" t="s">
        <v>92</v>
      </c>
      <c r="X681" s="14" t="s">
        <v>92</v>
      </c>
      <c r="Y681" s="14" t="s">
        <v>92</v>
      </c>
      <c r="Z681" s="14" t="s">
        <v>92</v>
      </c>
      <c r="AA681" s="14" t="s">
        <v>92</v>
      </c>
      <c r="AB681" s="8" t="s">
        <v>93</v>
      </c>
      <c r="AC681" s="8" t="s">
        <v>92</v>
      </c>
      <c r="AD681" s="8" t="s">
        <v>92</v>
      </c>
      <c r="AE681" s="14" t="s">
        <v>94</v>
      </c>
      <c r="AF681" s="14" t="s">
        <v>92</v>
      </c>
      <c r="AG681" s="14" t="s">
        <v>95</v>
      </c>
      <c r="AH681" s="8">
        <v>1987.0</v>
      </c>
      <c r="AI681" s="14" t="s">
        <v>105</v>
      </c>
      <c r="AJ681" s="14" t="s">
        <v>105</v>
      </c>
      <c r="AK681" s="14" t="s">
        <v>105</v>
      </c>
      <c r="AL681" s="14" t="s">
        <v>105</v>
      </c>
      <c r="AM681" s="8" t="s">
        <v>95</v>
      </c>
      <c r="AN681" s="14" t="s">
        <v>114</v>
      </c>
      <c r="AO681" s="8" t="s">
        <v>105</v>
      </c>
      <c r="AP681" s="8" t="s">
        <v>92</v>
      </c>
      <c r="AQ681" s="14" t="s">
        <v>92</v>
      </c>
      <c r="AR681" s="14" t="s">
        <v>92</v>
      </c>
      <c r="AS681" s="14" t="s">
        <v>92</v>
      </c>
      <c r="AT681" s="14" t="s">
        <v>92</v>
      </c>
      <c r="AU681" s="14" t="s">
        <v>92</v>
      </c>
      <c r="AV681" s="14" t="s">
        <v>93</v>
      </c>
      <c r="AW681" s="14" t="s">
        <v>93</v>
      </c>
      <c r="AX681" s="14" t="s">
        <v>93</v>
      </c>
      <c r="AY681" s="8" t="s">
        <v>3082</v>
      </c>
      <c r="AZ681" s="8" t="s">
        <v>93</v>
      </c>
      <c r="BA681" s="9" t="s">
        <v>3077</v>
      </c>
      <c r="BB681" s="8" t="s">
        <v>213</v>
      </c>
      <c r="BC681" s="8" t="s">
        <v>92</v>
      </c>
      <c r="BD681" s="14" t="s">
        <v>92</v>
      </c>
      <c r="BE681" s="14" t="s">
        <v>92</v>
      </c>
      <c r="BF681" s="14" t="s">
        <v>92</v>
      </c>
      <c r="BG681" s="14" t="s">
        <v>92</v>
      </c>
      <c r="BH681" s="14" t="s">
        <v>92</v>
      </c>
      <c r="BI681" s="14" t="s">
        <v>93</v>
      </c>
      <c r="BJ681" s="14" t="s">
        <v>92</v>
      </c>
      <c r="BK681" s="14" t="s">
        <v>156</v>
      </c>
      <c r="BL681" s="14" t="s">
        <v>92</v>
      </c>
      <c r="BM681" s="14" t="s">
        <v>92</v>
      </c>
      <c r="BN681" s="14" t="s">
        <v>92</v>
      </c>
      <c r="BO681" s="14" t="s">
        <v>92</v>
      </c>
      <c r="BP681" s="14" t="s">
        <v>93</v>
      </c>
      <c r="BQ681" s="8" t="s">
        <v>93</v>
      </c>
      <c r="BR681" s="8" t="s">
        <v>92</v>
      </c>
      <c r="BS681" s="8" t="s">
        <v>92</v>
      </c>
      <c r="BT681" s="8" t="s">
        <v>92</v>
      </c>
      <c r="BU681" s="8" t="s">
        <v>92</v>
      </c>
      <c r="BV681" s="8" t="s">
        <v>92</v>
      </c>
      <c r="BW681" s="8" t="s">
        <v>92</v>
      </c>
      <c r="BX681" s="8" t="s">
        <v>92</v>
      </c>
      <c r="BY681" s="8" t="s">
        <v>92</v>
      </c>
      <c r="BZ681" s="8" t="s">
        <v>92</v>
      </c>
      <c r="CA681" s="8" t="s">
        <v>92</v>
      </c>
      <c r="CB681" s="20" t="s">
        <v>3083</v>
      </c>
      <c r="CC681" s="17"/>
      <c r="CD681" s="18"/>
      <c r="CE681" s="18"/>
      <c r="CF681" s="18"/>
      <c r="CG681" s="18"/>
      <c r="CH681" s="18"/>
    </row>
    <row r="682">
      <c r="A682" s="8"/>
      <c r="B682" s="9" t="s">
        <v>3084</v>
      </c>
      <c r="C682" s="10" t="s">
        <v>3085</v>
      </c>
      <c r="D682" s="9" t="s">
        <v>2490</v>
      </c>
      <c r="E682" s="11" t="s">
        <v>3086</v>
      </c>
      <c r="F682" s="12"/>
      <c r="G682" s="14" t="s">
        <v>3087</v>
      </c>
      <c r="H682" s="14" t="s">
        <v>189</v>
      </c>
      <c r="I682" s="14" t="s">
        <v>3088</v>
      </c>
      <c r="J682" s="14" t="s">
        <v>92</v>
      </c>
      <c r="K682" s="14" t="s">
        <v>92</v>
      </c>
      <c r="L682" s="14" t="s">
        <v>92</v>
      </c>
      <c r="M682" s="14" t="s">
        <v>92</v>
      </c>
      <c r="N682" s="14" t="s">
        <v>92</v>
      </c>
      <c r="O682" s="14" t="s">
        <v>92</v>
      </c>
      <c r="P682" s="14" t="s">
        <v>92</v>
      </c>
      <c r="Q682" s="14" t="s">
        <v>93</v>
      </c>
      <c r="R682" s="14" t="s">
        <v>92</v>
      </c>
      <c r="S682" s="14" t="s">
        <v>92</v>
      </c>
      <c r="T682" s="14" t="s">
        <v>92</v>
      </c>
      <c r="U682" s="14" t="s">
        <v>93</v>
      </c>
      <c r="V682" s="14" t="s">
        <v>92</v>
      </c>
      <c r="W682" s="14" t="s">
        <v>92</v>
      </c>
      <c r="X682" s="14" t="s">
        <v>92</v>
      </c>
      <c r="Y682" s="14" t="s">
        <v>92</v>
      </c>
      <c r="Z682" s="14" t="s">
        <v>92</v>
      </c>
      <c r="AA682" s="14" t="s">
        <v>92</v>
      </c>
      <c r="AB682" s="8" t="s">
        <v>93</v>
      </c>
      <c r="AC682" s="8" t="s">
        <v>92</v>
      </c>
      <c r="AD682" s="8" t="s">
        <v>92</v>
      </c>
      <c r="AE682" s="14" t="s">
        <v>148</v>
      </c>
      <c r="AF682" s="14" t="s">
        <v>92</v>
      </c>
      <c r="AG682" s="14" t="s">
        <v>95</v>
      </c>
      <c r="AH682" s="8">
        <v>2021.0</v>
      </c>
      <c r="AI682" s="14" t="s">
        <v>105</v>
      </c>
      <c r="AJ682" s="14" t="s">
        <v>93</v>
      </c>
      <c r="AK682" s="14" t="s">
        <v>105</v>
      </c>
      <c r="AL682" s="14" t="s">
        <v>105</v>
      </c>
      <c r="AM682" s="8" t="s">
        <v>105</v>
      </c>
      <c r="AN682" s="14" t="s">
        <v>105</v>
      </c>
      <c r="AO682" s="8" t="s">
        <v>105</v>
      </c>
      <c r="AP682" s="8" t="s">
        <v>105</v>
      </c>
      <c r="AQ682" s="14" t="s">
        <v>92</v>
      </c>
      <c r="AR682" s="14" t="s">
        <v>92</v>
      </c>
      <c r="AS682" s="14" t="s">
        <v>92</v>
      </c>
      <c r="AT682" s="14" t="s">
        <v>92</v>
      </c>
      <c r="AU682" s="14" t="s">
        <v>92</v>
      </c>
      <c r="AV682" s="14" t="s">
        <v>92</v>
      </c>
      <c r="AW682" s="14" t="s">
        <v>93</v>
      </c>
      <c r="AX682" s="14" t="s">
        <v>93</v>
      </c>
      <c r="AY682" s="8" t="s">
        <v>3089</v>
      </c>
      <c r="AZ682" s="8" t="s">
        <v>92</v>
      </c>
      <c r="BA682" s="9" t="s">
        <v>3090</v>
      </c>
      <c r="BB682" s="8" t="s">
        <v>213</v>
      </c>
      <c r="BC682" s="8" t="s">
        <v>92</v>
      </c>
      <c r="BD682" s="14" t="s">
        <v>92</v>
      </c>
      <c r="BE682" s="14" t="s">
        <v>92</v>
      </c>
      <c r="BF682" s="14" t="s">
        <v>92</v>
      </c>
      <c r="BG682" s="14" t="s">
        <v>92</v>
      </c>
      <c r="BH682" s="14" t="s">
        <v>92</v>
      </c>
      <c r="BI682" s="14" t="s">
        <v>93</v>
      </c>
      <c r="BJ682" s="14" t="s">
        <v>92</v>
      </c>
      <c r="BK682" s="14" t="s">
        <v>95</v>
      </c>
      <c r="BL682" s="14" t="s">
        <v>93</v>
      </c>
      <c r="BM682" s="14" t="s">
        <v>93</v>
      </c>
      <c r="BN682" s="14" t="s">
        <v>93</v>
      </c>
      <c r="BO682" s="14" t="s">
        <v>93</v>
      </c>
      <c r="BP682" s="14" t="s">
        <v>93</v>
      </c>
      <c r="BQ682" s="8" t="s">
        <v>93</v>
      </c>
      <c r="BR682" s="8" t="s">
        <v>92</v>
      </c>
      <c r="BS682" s="8" t="s">
        <v>92</v>
      </c>
      <c r="BT682" s="8" t="s">
        <v>92</v>
      </c>
      <c r="BU682" s="8" t="s">
        <v>92</v>
      </c>
      <c r="BV682" s="8" t="s">
        <v>92</v>
      </c>
      <c r="BW682" s="8" t="s">
        <v>92</v>
      </c>
      <c r="BX682" s="8" t="s">
        <v>92</v>
      </c>
      <c r="BY682" s="8" t="s">
        <v>92</v>
      </c>
      <c r="BZ682" s="8" t="s">
        <v>92</v>
      </c>
      <c r="CA682" s="8" t="s">
        <v>92</v>
      </c>
      <c r="CB682" s="20" t="s">
        <v>3087</v>
      </c>
      <c r="CC682" s="17"/>
      <c r="CD682" s="18"/>
      <c r="CE682" s="18"/>
      <c r="CF682" s="18"/>
      <c r="CG682" s="18"/>
      <c r="CH682" s="18"/>
    </row>
    <row r="683">
      <c r="A683" s="8"/>
      <c r="B683" s="43" t="s">
        <v>3084</v>
      </c>
      <c r="C683" s="10" t="s">
        <v>3085</v>
      </c>
      <c r="D683" s="9" t="s">
        <v>2490</v>
      </c>
      <c r="E683" s="11" t="s">
        <v>3091</v>
      </c>
      <c r="F683" s="12"/>
      <c r="G683" s="14" t="s">
        <v>3092</v>
      </c>
      <c r="H683" s="14" t="s">
        <v>189</v>
      </c>
      <c r="I683" s="14" t="s">
        <v>3093</v>
      </c>
      <c r="J683" s="14" t="s">
        <v>92</v>
      </c>
      <c r="K683" s="14" t="s">
        <v>93</v>
      </c>
      <c r="L683" s="14" t="s">
        <v>92</v>
      </c>
      <c r="M683" s="14" t="s">
        <v>93</v>
      </c>
      <c r="N683" s="14" t="s">
        <v>92</v>
      </c>
      <c r="O683" s="14" t="s">
        <v>92</v>
      </c>
      <c r="P683" s="14" t="s">
        <v>93</v>
      </c>
      <c r="Q683" s="14" t="s">
        <v>92</v>
      </c>
      <c r="R683" s="14" t="s">
        <v>92</v>
      </c>
      <c r="S683" s="14" t="s">
        <v>92</v>
      </c>
      <c r="T683" s="14" t="s">
        <v>92</v>
      </c>
      <c r="U683" s="14" t="s">
        <v>93</v>
      </c>
      <c r="V683" s="14" t="s">
        <v>92</v>
      </c>
      <c r="W683" s="14" t="s">
        <v>92</v>
      </c>
      <c r="X683" s="14" t="s">
        <v>92</v>
      </c>
      <c r="Y683" s="14" t="s">
        <v>92</v>
      </c>
      <c r="Z683" s="14" t="s">
        <v>92</v>
      </c>
      <c r="AA683" s="14" t="s">
        <v>92</v>
      </c>
      <c r="AB683" s="8" t="s">
        <v>93</v>
      </c>
      <c r="AC683" s="8" t="s">
        <v>92</v>
      </c>
      <c r="AD683" s="8" t="s">
        <v>92</v>
      </c>
      <c r="AE683" s="14" t="s">
        <v>94</v>
      </c>
      <c r="AF683" s="14" t="s">
        <v>92</v>
      </c>
      <c r="AG683" s="14" t="s">
        <v>95</v>
      </c>
      <c r="AH683" s="8">
        <v>2021.0</v>
      </c>
      <c r="AI683" s="14" t="s">
        <v>105</v>
      </c>
      <c r="AJ683" s="14" t="s">
        <v>93</v>
      </c>
      <c r="AK683" s="14" t="s">
        <v>105</v>
      </c>
      <c r="AL683" s="14" t="s">
        <v>105</v>
      </c>
      <c r="AM683" s="8">
        <v>2021.0</v>
      </c>
      <c r="AN683" s="14" t="s">
        <v>96</v>
      </c>
      <c r="AO683" s="8" t="s">
        <v>92</v>
      </c>
      <c r="AP683" s="8" t="s">
        <v>93</v>
      </c>
      <c r="AQ683" s="14" t="s">
        <v>92</v>
      </c>
      <c r="AR683" s="14" t="s">
        <v>92</v>
      </c>
      <c r="AS683" s="14" t="s">
        <v>92</v>
      </c>
      <c r="AT683" s="14" t="s">
        <v>92</v>
      </c>
      <c r="AU683" s="14" t="s">
        <v>92</v>
      </c>
      <c r="AV683" s="14" t="s">
        <v>92</v>
      </c>
      <c r="AW683" s="14" t="s">
        <v>93</v>
      </c>
      <c r="AX683" s="14" t="s">
        <v>93</v>
      </c>
      <c r="AY683" s="8" t="s">
        <v>3094</v>
      </c>
      <c r="AZ683" s="8" t="s">
        <v>93</v>
      </c>
      <c r="BA683" s="9" t="s">
        <v>3095</v>
      </c>
      <c r="BB683" s="8" t="s">
        <v>95</v>
      </c>
      <c r="BC683" s="8" t="s">
        <v>93</v>
      </c>
      <c r="BD683" s="14" t="s">
        <v>92</v>
      </c>
      <c r="BE683" s="14" t="s">
        <v>92</v>
      </c>
      <c r="BF683" s="14" t="s">
        <v>92</v>
      </c>
      <c r="BG683" s="14" t="s">
        <v>92</v>
      </c>
      <c r="BH683" s="14" t="s">
        <v>92</v>
      </c>
      <c r="BI683" s="14" t="s">
        <v>93</v>
      </c>
      <c r="BJ683" s="14" t="s">
        <v>92</v>
      </c>
      <c r="BK683" s="14" t="s">
        <v>332</v>
      </c>
      <c r="BL683" s="14" t="s">
        <v>92</v>
      </c>
      <c r="BM683" s="14" t="s">
        <v>92</v>
      </c>
      <c r="BN683" s="14" t="s">
        <v>92</v>
      </c>
      <c r="BO683" s="14" t="s">
        <v>93</v>
      </c>
      <c r="BP683" s="14" t="s">
        <v>92</v>
      </c>
      <c r="BQ683" s="8" t="s">
        <v>93</v>
      </c>
      <c r="BR683" s="8" t="s">
        <v>92</v>
      </c>
      <c r="BS683" s="8" t="s">
        <v>92</v>
      </c>
      <c r="BT683" s="8" t="s">
        <v>92</v>
      </c>
      <c r="BU683" s="8" t="s">
        <v>92</v>
      </c>
      <c r="BV683" s="8" t="s">
        <v>92</v>
      </c>
      <c r="BW683" s="8" t="s">
        <v>92</v>
      </c>
      <c r="BX683" s="8" t="s">
        <v>92</v>
      </c>
      <c r="BY683" s="8" t="s">
        <v>92</v>
      </c>
      <c r="BZ683" s="8" t="s">
        <v>92</v>
      </c>
      <c r="CA683" s="8" t="s">
        <v>92</v>
      </c>
      <c r="CB683" s="20" t="s">
        <v>3092</v>
      </c>
      <c r="CC683" s="17"/>
      <c r="CD683" s="18"/>
      <c r="CE683" s="18"/>
      <c r="CF683" s="18"/>
      <c r="CG683" s="18"/>
      <c r="CH683" s="18"/>
    </row>
    <row r="684">
      <c r="A684" s="8"/>
      <c r="B684" s="9" t="s">
        <v>3084</v>
      </c>
      <c r="C684" s="10" t="s">
        <v>3085</v>
      </c>
      <c r="D684" s="9" t="s">
        <v>2490</v>
      </c>
      <c r="E684" s="11" t="s">
        <v>3096</v>
      </c>
      <c r="F684" s="12"/>
      <c r="G684" s="14" t="s">
        <v>3097</v>
      </c>
      <c r="H684" s="14" t="s">
        <v>90</v>
      </c>
      <c r="I684" s="14" t="s">
        <v>3098</v>
      </c>
      <c r="J684" s="14" t="s">
        <v>92</v>
      </c>
      <c r="K684" s="14" t="s">
        <v>92</v>
      </c>
      <c r="L684" s="14" t="s">
        <v>92</v>
      </c>
      <c r="M684" s="14" t="s">
        <v>93</v>
      </c>
      <c r="N684" s="14" t="s">
        <v>92</v>
      </c>
      <c r="O684" s="14" t="s">
        <v>92</v>
      </c>
      <c r="P684" s="14" t="s">
        <v>92</v>
      </c>
      <c r="Q684" s="14" t="s">
        <v>93</v>
      </c>
      <c r="R684" s="14" t="s">
        <v>92</v>
      </c>
      <c r="S684" s="14" t="s">
        <v>92</v>
      </c>
      <c r="T684" s="14" t="s">
        <v>92</v>
      </c>
      <c r="U684" s="14" t="s">
        <v>93</v>
      </c>
      <c r="V684" s="14" t="s">
        <v>92</v>
      </c>
      <c r="W684" s="14" t="s">
        <v>92</v>
      </c>
      <c r="X684" s="14" t="s">
        <v>92</v>
      </c>
      <c r="Y684" s="14" t="s">
        <v>92</v>
      </c>
      <c r="Z684" s="14" t="s">
        <v>92</v>
      </c>
      <c r="AA684" s="14" t="s">
        <v>92</v>
      </c>
      <c r="AB684" s="8" t="s">
        <v>93</v>
      </c>
      <c r="AC684" s="8" t="s">
        <v>92</v>
      </c>
      <c r="AD684" s="8" t="s">
        <v>92</v>
      </c>
      <c r="AE684" s="14" t="s">
        <v>94</v>
      </c>
      <c r="AF684" s="14" t="s">
        <v>92</v>
      </c>
      <c r="AG684" s="14" t="s">
        <v>95</v>
      </c>
      <c r="AH684" s="8" t="s">
        <v>105</v>
      </c>
      <c r="AI684" s="14" t="s">
        <v>105</v>
      </c>
      <c r="AJ684" s="14" t="s">
        <v>105</v>
      </c>
      <c r="AK684" s="14" t="s">
        <v>105</v>
      </c>
      <c r="AL684" s="14" t="s">
        <v>105</v>
      </c>
      <c r="AM684" s="8" t="s">
        <v>105</v>
      </c>
      <c r="AN684" s="14" t="s">
        <v>105</v>
      </c>
      <c r="AO684" s="8" t="s">
        <v>105</v>
      </c>
      <c r="AP684" s="8" t="s">
        <v>105</v>
      </c>
      <c r="AQ684" s="14" t="s">
        <v>92</v>
      </c>
      <c r="AR684" s="14" t="s">
        <v>92</v>
      </c>
      <c r="AS684" s="14" t="s">
        <v>92</v>
      </c>
      <c r="AT684" s="14" t="s">
        <v>92</v>
      </c>
      <c r="AU684" s="14" t="s">
        <v>92</v>
      </c>
      <c r="AV684" s="14" t="s">
        <v>92</v>
      </c>
      <c r="AW684" s="14" t="s">
        <v>93</v>
      </c>
      <c r="AX684" s="14" t="s">
        <v>93</v>
      </c>
      <c r="AY684" s="8" t="s">
        <v>95</v>
      </c>
      <c r="AZ684" s="8" t="s">
        <v>95</v>
      </c>
      <c r="BA684" s="9" t="s">
        <v>3099</v>
      </c>
      <c r="BB684" s="8" t="s">
        <v>105</v>
      </c>
      <c r="BC684" s="8" t="s">
        <v>93</v>
      </c>
      <c r="BD684" s="14" t="s">
        <v>92</v>
      </c>
      <c r="BE684" s="14" t="s">
        <v>92</v>
      </c>
      <c r="BF684" s="14" t="s">
        <v>92</v>
      </c>
      <c r="BG684" s="14" t="s">
        <v>92</v>
      </c>
      <c r="BH684" s="14" t="s">
        <v>92</v>
      </c>
      <c r="BI684" s="14" t="s">
        <v>93</v>
      </c>
      <c r="BJ684" s="14" t="s">
        <v>92</v>
      </c>
      <c r="BK684" s="14" t="s">
        <v>332</v>
      </c>
      <c r="BL684" s="14" t="s">
        <v>92</v>
      </c>
      <c r="BM684" s="14" t="s">
        <v>92</v>
      </c>
      <c r="BN684" s="14" t="s">
        <v>92</v>
      </c>
      <c r="BO684" s="14" t="s">
        <v>93</v>
      </c>
      <c r="BP684" s="14" t="s">
        <v>92</v>
      </c>
      <c r="BQ684" s="8" t="s">
        <v>93</v>
      </c>
      <c r="BR684" s="8" t="s">
        <v>92</v>
      </c>
      <c r="BS684" s="8" t="s">
        <v>92</v>
      </c>
      <c r="BT684" s="8" t="s">
        <v>92</v>
      </c>
      <c r="BU684" s="8" t="s">
        <v>92</v>
      </c>
      <c r="BV684" s="8" t="s">
        <v>92</v>
      </c>
      <c r="BW684" s="8" t="s">
        <v>92</v>
      </c>
      <c r="BX684" s="8" t="s">
        <v>92</v>
      </c>
      <c r="BY684" s="8" t="s">
        <v>92</v>
      </c>
      <c r="BZ684" s="8" t="s">
        <v>92</v>
      </c>
      <c r="CA684" s="8" t="s">
        <v>92</v>
      </c>
      <c r="CB684" s="20" t="s">
        <v>3097</v>
      </c>
      <c r="CC684" s="17"/>
      <c r="CD684" s="18"/>
      <c r="CE684" s="18"/>
      <c r="CF684" s="18"/>
      <c r="CG684" s="18"/>
      <c r="CH684" s="18"/>
    </row>
    <row r="685" ht="16.5" customHeight="1">
      <c r="A685" s="8"/>
      <c r="B685" s="19" t="s">
        <v>3100</v>
      </c>
      <c r="C685" s="10" t="s">
        <v>3101</v>
      </c>
      <c r="D685" s="9" t="s">
        <v>2490</v>
      </c>
      <c r="E685" s="11" t="s">
        <v>3102</v>
      </c>
      <c r="F685" s="12"/>
      <c r="G685" s="14" t="s">
        <v>3103</v>
      </c>
      <c r="H685" s="14" t="s">
        <v>90</v>
      </c>
      <c r="I685" s="14" t="s">
        <v>3104</v>
      </c>
      <c r="J685" s="14" t="s">
        <v>92</v>
      </c>
      <c r="K685" s="14" t="s">
        <v>92</v>
      </c>
      <c r="L685" s="14" t="s">
        <v>93</v>
      </c>
      <c r="M685" s="14" t="s">
        <v>92</v>
      </c>
      <c r="N685" s="14" t="s">
        <v>92</v>
      </c>
      <c r="O685" s="14" t="s">
        <v>92</v>
      </c>
      <c r="P685" s="14" t="s">
        <v>93</v>
      </c>
      <c r="Q685" s="14" t="s">
        <v>92</v>
      </c>
      <c r="R685" s="14" t="s">
        <v>92</v>
      </c>
      <c r="S685" s="14" t="s">
        <v>92</v>
      </c>
      <c r="T685" s="14" t="s">
        <v>92</v>
      </c>
      <c r="U685" s="14" t="s">
        <v>92</v>
      </c>
      <c r="V685" s="14" t="s">
        <v>92</v>
      </c>
      <c r="W685" s="14" t="s">
        <v>92</v>
      </c>
      <c r="X685" s="14" t="s">
        <v>92</v>
      </c>
      <c r="Y685" s="14" t="s">
        <v>92</v>
      </c>
      <c r="Z685" s="14" t="s">
        <v>93</v>
      </c>
      <c r="AA685" s="14" t="s">
        <v>92</v>
      </c>
      <c r="AB685" s="8" t="s">
        <v>93</v>
      </c>
      <c r="AC685" s="8" t="s">
        <v>93</v>
      </c>
      <c r="AD685" s="8" t="s">
        <v>92</v>
      </c>
      <c r="AE685" s="14" t="s">
        <v>1135</v>
      </c>
      <c r="AF685" s="14" t="s">
        <v>93</v>
      </c>
      <c r="AG685" s="14" t="s">
        <v>3105</v>
      </c>
      <c r="AH685" s="8">
        <v>2021.0</v>
      </c>
      <c r="AI685" s="14" t="s">
        <v>92</v>
      </c>
      <c r="AJ685" s="14" t="s">
        <v>93</v>
      </c>
      <c r="AK685" s="14" t="s">
        <v>93</v>
      </c>
      <c r="AL685" s="14" t="s">
        <v>92</v>
      </c>
      <c r="AM685" s="8" t="s">
        <v>105</v>
      </c>
      <c r="AN685" s="14" t="s">
        <v>105</v>
      </c>
      <c r="AO685" s="8" t="s">
        <v>93</v>
      </c>
      <c r="AP685" s="8" t="s">
        <v>92</v>
      </c>
      <c r="AQ685" s="14" t="s">
        <v>92</v>
      </c>
      <c r="AR685" s="14" t="s">
        <v>92</v>
      </c>
      <c r="AS685" s="14" t="s">
        <v>92</v>
      </c>
      <c r="AT685" s="14" t="s">
        <v>92</v>
      </c>
      <c r="AU685" s="14" t="s">
        <v>92</v>
      </c>
      <c r="AV685" s="14" t="s">
        <v>92</v>
      </c>
      <c r="AW685" s="14" t="s">
        <v>93</v>
      </c>
      <c r="AX685" s="14" t="s">
        <v>93</v>
      </c>
      <c r="AY685" s="8" t="s">
        <v>3106</v>
      </c>
      <c r="AZ685" s="8" t="s">
        <v>92</v>
      </c>
      <c r="BA685" s="9" t="s">
        <v>3107</v>
      </c>
      <c r="BB685" s="8" t="s">
        <v>95</v>
      </c>
      <c r="BC685" s="8" t="s">
        <v>93</v>
      </c>
      <c r="BD685" s="14" t="s">
        <v>92</v>
      </c>
      <c r="BE685" s="14" t="s">
        <v>92</v>
      </c>
      <c r="BF685" s="14" t="s">
        <v>92</v>
      </c>
      <c r="BG685" s="14" t="s">
        <v>92</v>
      </c>
      <c r="BH685" s="14" t="s">
        <v>93</v>
      </c>
      <c r="BI685" s="14" t="s">
        <v>92</v>
      </c>
      <c r="BJ685" s="14" t="s">
        <v>92</v>
      </c>
      <c r="BK685" s="14" t="s">
        <v>95</v>
      </c>
      <c r="BL685" s="14" t="s">
        <v>93</v>
      </c>
      <c r="BM685" s="14" t="s">
        <v>93</v>
      </c>
      <c r="BN685" s="14" t="s">
        <v>93</v>
      </c>
      <c r="BO685" s="14" t="s">
        <v>93</v>
      </c>
      <c r="BP685" s="14" t="s">
        <v>93</v>
      </c>
      <c r="BQ685" s="8" t="s">
        <v>92</v>
      </c>
      <c r="BR685" s="8" t="s">
        <v>92</v>
      </c>
      <c r="BS685" s="8" t="s">
        <v>93</v>
      </c>
      <c r="BT685" s="8" t="s">
        <v>93</v>
      </c>
      <c r="BU685" s="8" t="s">
        <v>92</v>
      </c>
      <c r="BV685" s="8" t="s">
        <v>92</v>
      </c>
      <c r="BW685" s="8" t="s">
        <v>92</v>
      </c>
      <c r="BX685" s="8" t="s">
        <v>92</v>
      </c>
      <c r="BY685" s="8" t="s">
        <v>92</v>
      </c>
      <c r="BZ685" s="8" t="s">
        <v>93</v>
      </c>
      <c r="CA685" s="8" t="s">
        <v>92</v>
      </c>
      <c r="CB685" s="20" t="s">
        <v>115</v>
      </c>
      <c r="CC685" s="24" t="s">
        <v>3108</v>
      </c>
      <c r="CD685" s="20" t="s">
        <v>106</v>
      </c>
      <c r="CE685" s="18"/>
      <c r="CF685" s="18"/>
      <c r="CG685" s="18"/>
      <c r="CH685" s="18"/>
    </row>
    <row r="686">
      <c r="A686" s="8"/>
      <c r="B686" s="9" t="s">
        <v>3109</v>
      </c>
      <c r="C686" s="10" t="s">
        <v>3110</v>
      </c>
      <c r="D686" s="9" t="s">
        <v>2490</v>
      </c>
      <c r="E686" s="11" t="s">
        <v>3111</v>
      </c>
      <c r="F686" s="12"/>
      <c r="G686" s="14" t="s">
        <v>3112</v>
      </c>
      <c r="H686" s="14" t="s">
        <v>189</v>
      </c>
      <c r="I686" s="14" t="s">
        <v>3113</v>
      </c>
      <c r="J686" s="14" t="s">
        <v>92</v>
      </c>
      <c r="K686" s="14" t="s">
        <v>93</v>
      </c>
      <c r="L686" s="14" t="s">
        <v>92</v>
      </c>
      <c r="M686" s="14" t="s">
        <v>93</v>
      </c>
      <c r="N686" s="14" t="s">
        <v>92</v>
      </c>
      <c r="O686" s="14" t="s">
        <v>92</v>
      </c>
      <c r="P686" s="14" t="s">
        <v>92</v>
      </c>
      <c r="Q686" s="14" t="s">
        <v>93</v>
      </c>
      <c r="R686" s="14" t="s">
        <v>93</v>
      </c>
      <c r="S686" s="14" t="s">
        <v>92</v>
      </c>
      <c r="T686" s="14" t="s">
        <v>92</v>
      </c>
      <c r="U686" s="14" t="s">
        <v>93</v>
      </c>
      <c r="V686" s="14" t="s">
        <v>92</v>
      </c>
      <c r="W686" s="14" t="s">
        <v>92</v>
      </c>
      <c r="X686" s="14" t="s">
        <v>92</v>
      </c>
      <c r="Y686" s="14" t="s">
        <v>92</v>
      </c>
      <c r="Z686" s="14" t="s">
        <v>92</v>
      </c>
      <c r="AA686" s="14" t="s">
        <v>92</v>
      </c>
      <c r="AB686" s="8" t="s">
        <v>93</v>
      </c>
      <c r="AC686" s="8" t="s">
        <v>92</v>
      </c>
      <c r="AD686" s="8" t="s">
        <v>92</v>
      </c>
      <c r="AE686" s="14" t="s">
        <v>94</v>
      </c>
      <c r="AF686" s="14" t="s">
        <v>92</v>
      </c>
      <c r="AG686" s="14" t="s">
        <v>95</v>
      </c>
      <c r="AH686" s="8">
        <v>2021.0</v>
      </c>
      <c r="AI686" s="14" t="s">
        <v>92</v>
      </c>
      <c r="AJ686" s="14" t="s">
        <v>93</v>
      </c>
      <c r="AK686" s="14" t="s">
        <v>92</v>
      </c>
      <c r="AL686" s="14" t="s">
        <v>105</v>
      </c>
      <c r="AM686" s="8">
        <v>2021.0</v>
      </c>
      <c r="AN686" s="14" t="s">
        <v>96</v>
      </c>
      <c r="AO686" s="8" t="s">
        <v>92</v>
      </c>
      <c r="AP686" s="8" t="s">
        <v>92</v>
      </c>
      <c r="AQ686" s="14" t="s">
        <v>92</v>
      </c>
      <c r="AR686" s="14" t="s">
        <v>92</v>
      </c>
      <c r="AS686" s="14" t="s">
        <v>92</v>
      </c>
      <c r="AT686" s="14" t="s">
        <v>92</v>
      </c>
      <c r="AU686" s="14" t="s">
        <v>92</v>
      </c>
      <c r="AV686" s="14" t="s">
        <v>92</v>
      </c>
      <c r="AW686" s="14" t="s">
        <v>93</v>
      </c>
      <c r="AX686" s="14" t="s">
        <v>93</v>
      </c>
      <c r="AY686" s="8" t="s">
        <v>95</v>
      </c>
      <c r="AZ686" s="8" t="s">
        <v>95</v>
      </c>
      <c r="BA686" s="9" t="s">
        <v>3109</v>
      </c>
      <c r="BB686" s="8" t="s">
        <v>261</v>
      </c>
      <c r="BC686" s="8" t="s">
        <v>92</v>
      </c>
      <c r="BD686" s="14" t="s">
        <v>92</v>
      </c>
      <c r="BE686" s="14" t="s">
        <v>92</v>
      </c>
      <c r="BF686" s="14" t="s">
        <v>92</v>
      </c>
      <c r="BG686" s="14" t="s">
        <v>92</v>
      </c>
      <c r="BH686" s="14" t="s">
        <v>92</v>
      </c>
      <c r="BI686" s="14" t="s">
        <v>93</v>
      </c>
      <c r="BJ686" s="14" t="s">
        <v>92</v>
      </c>
      <c r="BK686" s="14" t="s">
        <v>105</v>
      </c>
      <c r="BL686" s="14" t="s">
        <v>105</v>
      </c>
      <c r="BM686" s="14" t="s">
        <v>105</v>
      </c>
      <c r="BN686" s="14" t="s">
        <v>105</v>
      </c>
      <c r="BO686" s="14" t="s">
        <v>105</v>
      </c>
      <c r="BP686" s="14" t="s">
        <v>105</v>
      </c>
      <c r="BQ686" s="8" t="s">
        <v>93</v>
      </c>
      <c r="BR686" s="8" t="s">
        <v>92</v>
      </c>
      <c r="BS686" s="8" t="s">
        <v>92</v>
      </c>
      <c r="BT686" s="8" t="s">
        <v>92</v>
      </c>
      <c r="BU686" s="8" t="s">
        <v>92</v>
      </c>
      <c r="BV686" s="8" t="s">
        <v>92</v>
      </c>
      <c r="BW686" s="8" t="s">
        <v>92</v>
      </c>
      <c r="BX686" s="8" t="s">
        <v>92</v>
      </c>
      <c r="BY686" s="8" t="s">
        <v>92</v>
      </c>
      <c r="BZ686" s="8" t="s">
        <v>92</v>
      </c>
      <c r="CA686" s="8" t="s">
        <v>92</v>
      </c>
      <c r="CB686" s="20" t="s">
        <v>115</v>
      </c>
      <c r="CC686" s="34"/>
      <c r="CD686" s="18"/>
      <c r="CE686" s="18"/>
      <c r="CF686" s="18"/>
      <c r="CG686" s="18"/>
      <c r="CH686" s="18"/>
    </row>
    <row r="687">
      <c r="A687" s="8"/>
      <c r="B687" s="9" t="s">
        <v>3109</v>
      </c>
      <c r="C687" s="10" t="s">
        <v>3110</v>
      </c>
      <c r="D687" s="9" t="s">
        <v>2490</v>
      </c>
      <c r="E687" s="11" t="s">
        <v>3114</v>
      </c>
      <c r="F687" s="12"/>
      <c r="G687" s="14" t="s">
        <v>3115</v>
      </c>
      <c r="H687" s="14" t="s">
        <v>90</v>
      </c>
      <c r="I687" s="14" t="s">
        <v>3116</v>
      </c>
      <c r="J687" s="14" t="s">
        <v>92</v>
      </c>
      <c r="K687" s="14" t="s">
        <v>92</v>
      </c>
      <c r="L687" s="14" t="s">
        <v>92</v>
      </c>
      <c r="M687" s="14" t="s">
        <v>93</v>
      </c>
      <c r="N687" s="14" t="s">
        <v>92</v>
      </c>
      <c r="O687" s="14" t="s">
        <v>92</v>
      </c>
      <c r="P687" s="14" t="s">
        <v>92</v>
      </c>
      <c r="Q687" s="14" t="s">
        <v>92</v>
      </c>
      <c r="R687" s="14" t="s">
        <v>92</v>
      </c>
      <c r="S687" s="14" t="s">
        <v>92</v>
      </c>
      <c r="T687" s="14" t="s">
        <v>92</v>
      </c>
      <c r="U687" s="14" t="s">
        <v>93</v>
      </c>
      <c r="V687" s="14" t="s">
        <v>92</v>
      </c>
      <c r="W687" s="14" t="s">
        <v>92</v>
      </c>
      <c r="X687" s="14" t="s">
        <v>92</v>
      </c>
      <c r="Y687" s="14" t="s">
        <v>92</v>
      </c>
      <c r="Z687" s="14" t="s">
        <v>92</v>
      </c>
      <c r="AA687" s="14" t="s">
        <v>92</v>
      </c>
      <c r="AB687" s="8" t="s">
        <v>93</v>
      </c>
      <c r="AC687" s="8" t="s">
        <v>92</v>
      </c>
      <c r="AD687" s="8" t="s">
        <v>92</v>
      </c>
      <c r="AE687" s="14" t="s">
        <v>94</v>
      </c>
      <c r="AF687" s="14" t="s">
        <v>92</v>
      </c>
      <c r="AG687" s="14" t="s">
        <v>95</v>
      </c>
      <c r="AH687" s="8" t="s">
        <v>105</v>
      </c>
      <c r="AI687" s="14" t="s">
        <v>92</v>
      </c>
      <c r="AJ687" s="14" t="s">
        <v>92</v>
      </c>
      <c r="AK687" s="14" t="s">
        <v>93</v>
      </c>
      <c r="AL687" s="14" t="s">
        <v>105</v>
      </c>
      <c r="AM687" s="8" t="s">
        <v>105</v>
      </c>
      <c r="AN687" s="14" t="s">
        <v>105</v>
      </c>
      <c r="AO687" s="8" t="s">
        <v>105</v>
      </c>
      <c r="AP687" s="8" t="s">
        <v>92</v>
      </c>
      <c r="AQ687" s="14" t="s">
        <v>92</v>
      </c>
      <c r="AR687" s="14" t="s">
        <v>92</v>
      </c>
      <c r="AS687" s="14" t="s">
        <v>92</v>
      </c>
      <c r="AT687" s="14" t="s">
        <v>92</v>
      </c>
      <c r="AU687" s="14" t="s">
        <v>92</v>
      </c>
      <c r="AV687" s="14" t="s">
        <v>92</v>
      </c>
      <c r="AW687" s="14" t="s">
        <v>93</v>
      </c>
      <c r="AX687" s="14" t="s">
        <v>93</v>
      </c>
      <c r="AY687" s="8" t="s">
        <v>95</v>
      </c>
      <c r="AZ687" s="8" t="s">
        <v>95</v>
      </c>
      <c r="BA687" s="9" t="s">
        <v>3109</v>
      </c>
      <c r="BB687" s="8" t="s">
        <v>261</v>
      </c>
      <c r="BC687" s="8" t="s">
        <v>92</v>
      </c>
      <c r="BD687" s="14" t="s">
        <v>92</v>
      </c>
      <c r="BE687" s="14" t="s">
        <v>92</v>
      </c>
      <c r="BF687" s="14" t="s">
        <v>92</v>
      </c>
      <c r="BG687" s="14" t="s">
        <v>92</v>
      </c>
      <c r="BH687" s="14" t="s">
        <v>92</v>
      </c>
      <c r="BI687" s="14" t="s">
        <v>93</v>
      </c>
      <c r="BJ687" s="14" t="s">
        <v>92</v>
      </c>
      <c r="BK687" s="14" t="s">
        <v>105</v>
      </c>
      <c r="BL687" s="14" t="s">
        <v>105</v>
      </c>
      <c r="BM687" s="14" t="s">
        <v>105</v>
      </c>
      <c r="BN687" s="14" t="s">
        <v>105</v>
      </c>
      <c r="BO687" s="14" t="s">
        <v>105</v>
      </c>
      <c r="BP687" s="14" t="s">
        <v>105</v>
      </c>
      <c r="BQ687" s="8" t="s">
        <v>93</v>
      </c>
      <c r="BR687" s="8" t="s">
        <v>92</v>
      </c>
      <c r="BS687" s="8" t="s">
        <v>92</v>
      </c>
      <c r="BT687" s="8" t="s">
        <v>92</v>
      </c>
      <c r="BU687" s="8" t="s">
        <v>92</v>
      </c>
      <c r="BV687" s="8" t="s">
        <v>92</v>
      </c>
      <c r="BW687" s="8" t="s">
        <v>92</v>
      </c>
      <c r="BX687" s="8" t="s">
        <v>92</v>
      </c>
      <c r="BY687" s="8" t="s">
        <v>92</v>
      </c>
      <c r="BZ687" s="8" t="s">
        <v>92</v>
      </c>
      <c r="CA687" s="8" t="s">
        <v>92</v>
      </c>
      <c r="CB687" s="20" t="s">
        <v>106</v>
      </c>
      <c r="CC687" s="17"/>
      <c r="CD687" s="18"/>
      <c r="CE687" s="18"/>
      <c r="CF687" s="18"/>
      <c r="CG687" s="18"/>
      <c r="CH687" s="18"/>
    </row>
    <row r="688">
      <c r="A688" s="8"/>
      <c r="B688" s="43" t="s">
        <v>3117</v>
      </c>
      <c r="C688" s="10" t="s">
        <v>3118</v>
      </c>
      <c r="D688" s="9" t="s">
        <v>2490</v>
      </c>
      <c r="E688" s="11" t="s">
        <v>3119</v>
      </c>
      <c r="F688" s="12"/>
      <c r="G688" s="14" t="s">
        <v>3120</v>
      </c>
      <c r="H688" s="14" t="s">
        <v>90</v>
      </c>
      <c r="I688" s="14" t="s">
        <v>3121</v>
      </c>
      <c r="J688" s="14" t="s">
        <v>92</v>
      </c>
      <c r="K688" s="14" t="s">
        <v>92</v>
      </c>
      <c r="L688" s="14" t="s">
        <v>92</v>
      </c>
      <c r="M688" s="14" t="s">
        <v>92</v>
      </c>
      <c r="N688" s="14" t="s">
        <v>93</v>
      </c>
      <c r="O688" s="14" t="s">
        <v>92</v>
      </c>
      <c r="P688" s="14" t="s">
        <v>92</v>
      </c>
      <c r="Q688" s="14" t="s">
        <v>92</v>
      </c>
      <c r="R688" s="14" t="s">
        <v>92</v>
      </c>
      <c r="S688" s="14" t="s">
        <v>92</v>
      </c>
      <c r="T688" s="14" t="s">
        <v>93</v>
      </c>
      <c r="U688" s="14" t="s">
        <v>92</v>
      </c>
      <c r="V688" s="14" t="s">
        <v>92</v>
      </c>
      <c r="W688" s="14" t="s">
        <v>92</v>
      </c>
      <c r="X688" s="14" t="s">
        <v>92</v>
      </c>
      <c r="Y688" s="14" t="s">
        <v>92</v>
      </c>
      <c r="Z688" s="14" t="s">
        <v>92</v>
      </c>
      <c r="AA688" s="14" t="s">
        <v>92</v>
      </c>
      <c r="AB688" s="8" t="s">
        <v>93</v>
      </c>
      <c r="AC688" s="8" t="s">
        <v>92</v>
      </c>
      <c r="AD688" s="8" t="s">
        <v>92</v>
      </c>
      <c r="AE688" s="14" t="s">
        <v>148</v>
      </c>
      <c r="AF688" s="14" t="s">
        <v>93</v>
      </c>
      <c r="AG688" s="14" t="s">
        <v>3122</v>
      </c>
      <c r="AH688" s="8" t="s">
        <v>105</v>
      </c>
      <c r="AI688" s="14" t="s">
        <v>105</v>
      </c>
      <c r="AJ688" s="14" t="s">
        <v>93</v>
      </c>
      <c r="AK688" s="14" t="s">
        <v>105</v>
      </c>
      <c r="AL688" s="14" t="s">
        <v>105</v>
      </c>
      <c r="AM688" s="8" t="s">
        <v>105</v>
      </c>
      <c r="AN688" s="14" t="s">
        <v>105</v>
      </c>
      <c r="AO688" s="8" t="s">
        <v>105</v>
      </c>
      <c r="AP688" s="8" t="s">
        <v>92</v>
      </c>
      <c r="AQ688" s="14" t="s">
        <v>92</v>
      </c>
      <c r="AR688" s="14" t="s">
        <v>92</v>
      </c>
      <c r="AS688" s="14" t="s">
        <v>92</v>
      </c>
      <c r="AT688" s="14" t="s">
        <v>92</v>
      </c>
      <c r="AU688" s="14" t="s">
        <v>92</v>
      </c>
      <c r="AV688" s="14" t="s">
        <v>93</v>
      </c>
      <c r="AW688" s="14" t="s">
        <v>93</v>
      </c>
      <c r="AX688" s="14" t="s">
        <v>93</v>
      </c>
      <c r="AY688" s="8" t="s">
        <v>95</v>
      </c>
      <c r="AZ688" s="8" t="s">
        <v>95</v>
      </c>
      <c r="BA688" s="9" t="s">
        <v>3123</v>
      </c>
      <c r="BB688" s="8" t="s">
        <v>261</v>
      </c>
      <c r="BC688" s="8" t="s">
        <v>92</v>
      </c>
      <c r="BD688" s="14" t="s">
        <v>92</v>
      </c>
      <c r="BE688" s="14" t="s">
        <v>92</v>
      </c>
      <c r="BF688" s="14" t="s">
        <v>92</v>
      </c>
      <c r="BG688" s="14" t="s">
        <v>92</v>
      </c>
      <c r="BH688" s="14" t="s">
        <v>92</v>
      </c>
      <c r="BI688" s="14" t="s">
        <v>93</v>
      </c>
      <c r="BJ688" s="14" t="s">
        <v>92</v>
      </c>
      <c r="BK688" s="14" t="s">
        <v>95</v>
      </c>
      <c r="BL688" s="14" t="s">
        <v>93</v>
      </c>
      <c r="BM688" s="14" t="s">
        <v>93</v>
      </c>
      <c r="BN688" s="14" t="s">
        <v>93</v>
      </c>
      <c r="BO688" s="14" t="s">
        <v>93</v>
      </c>
      <c r="BP688" s="14" t="s">
        <v>93</v>
      </c>
      <c r="BQ688" s="8" t="s">
        <v>92</v>
      </c>
      <c r="BR688" s="8" t="s">
        <v>93</v>
      </c>
      <c r="BS688" s="8" t="s">
        <v>92</v>
      </c>
      <c r="BT688" s="8" t="s">
        <v>92</v>
      </c>
      <c r="BU688" s="8" t="s">
        <v>92</v>
      </c>
      <c r="BV688" s="8" t="s">
        <v>92</v>
      </c>
      <c r="BW688" s="8" t="s">
        <v>92</v>
      </c>
      <c r="BX688" s="8" t="s">
        <v>92</v>
      </c>
      <c r="BY688" s="8" t="s">
        <v>92</v>
      </c>
      <c r="BZ688" s="8" t="s">
        <v>92</v>
      </c>
      <c r="CA688" s="8" t="s">
        <v>92</v>
      </c>
      <c r="CB688" s="20" t="s">
        <v>115</v>
      </c>
      <c r="CC688" s="17"/>
      <c r="CD688" s="18"/>
      <c r="CE688" s="18"/>
      <c r="CF688" s="18"/>
      <c r="CG688" s="18"/>
      <c r="CH688" s="18"/>
    </row>
    <row r="689" ht="14.25" customHeight="1">
      <c r="A689" s="8"/>
      <c r="B689" s="9" t="s">
        <v>3117</v>
      </c>
      <c r="C689" s="10" t="s">
        <v>3118</v>
      </c>
      <c r="D689" s="9" t="s">
        <v>2490</v>
      </c>
      <c r="E689" s="11" t="s">
        <v>2217</v>
      </c>
      <c r="F689" s="25"/>
      <c r="G689" s="58" t="s">
        <v>94</v>
      </c>
      <c r="H689" s="50" t="s">
        <v>90</v>
      </c>
      <c r="I689" s="50" t="s">
        <v>2218</v>
      </c>
      <c r="J689" s="50" t="s">
        <v>92</v>
      </c>
      <c r="K689" s="50" t="s">
        <v>92</v>
      </c>
      <c r="L689" s="50" t="s">
        <v>92</v>
      </c>
      <c r="M689" s="50" t="s">
        <v>93</v>
      </c>
      <c r="N689" s="58" t="s">
        <v>92</v>
      </c>
      <c r="O689" s="50" t="s">
        <v>92</v>
      </c>
      <c r="P689" s="50" t="s">
        <v>92</v>
      </c>
      <c r="Q689" s="50" t="s">
        <v>93</v>
      </c>
      <c r="R689" s="50" t="s">
        <v>92</v>
      </c>
      <c r="S689" s="50" t="s">
        <v>92</v>
      </c>
      <c r="T689" s="50" t="s">
        <v>92</v>
      </c>
      <c r="U689" s="50" t="s">
        <v>93</v>
      </c>
      <c r="V689" s="50" t="s">
        <v>92</v>
      </c>
      <c r="W689" s="50" t="s">
        <v>92</v>
      </c>
      <c r="X689" s="50" t="s">
        <v>92</v>
      </c>
      <c r="Y689" s="50" t="s">
        <v>92</v>
      </c>
      <c r="Z689" s="50" t="s">
        <v>92</v>
      </c>
      <c r="AA689" s="50" t="s">
        <v>92</v>
      </c>
      <c r="AB689" s="49" t="s">
        <v>93</v>
      </c>
      <c r="AC689" s="49" t="s">
        <v>92</v>
      </c>
      <c r="AD689" s="49" t="s">
        <v>92</v>
      </c>
      <c r="AE689" s="50" t="s">
        <v>94</v>
      </c>
      <c r="AF689" s="50" t="s">
        <v>92</v>
      </c>
      <c r="AG689" s="50" t="s">
        <v>95</v>
      </c>
      <c r="AH689" s="49">
        <v>2020.0</v>
      </c>
      <c r="AI689" s="50" t="s">
        <v>93</v>
      </c>
      <c r="AJ689" s="50" t="s">
        <v>92</v>
      </c>
      <c r="AK689" s="50" t="s">
        <v>92</v>
      </c>
      <c r="AL689" s="50" t="s">
        <v>92</v>
      </c>
      <c r="AM689" s="49">
        <v>2020.0</v>
      </c>
      <c r="AN689" s="50" t="s">
        <v>96</v>
      </c>
      <c r="AO689" s="49" t="s">
        <v>92</v>
      </c>
      <c r="AP689" s="49" t="s">
        <v>93</v>
      </c>
      <c r="AQ689" s="14" t="s">
        <v>92</v>
      </c>
      <c r="AR689" s="14" t="s">
        <v>92</v>
      </c>
      <c r="AS689" s="14" t="s">
        <v>92</v>
      </c>
      <c r="AT689" s="14" t="s">
        <v>92</v>
      </c>
      <c r="AU689" s="14" t="s">
        <v>92</v>
      </c>
      <c r="AV689" s="14" t="s">
        <v>93</v>
      </c>
      <c r="AW689" s="14" t="s">
        <v>93</v>
      </c>
      <c r="AX689" s="14" t="s">
        <v>93</v>
      </c>
      <c r="AY689" s="61" t="s">
        <v>3124</v>
      </c>
      <c r="AZ689" s="49" t="s">
        <v>93</v>
      </c>
      <c r="BA689" s="50" t="s">
        <v>2220</v>
      </c>
      <c r="BB689" s="49" t="s">
        <v>95</v>
      </c>
      <c r="BC689" s="49" t="s">
        <v>93</v>
      </c>
      <c r="BD689" s="50" t="s">
        <v>92</v>
      </c>
      <c r="BE689" s="50" t="s">
        <v>92</v>
      </c>
      <c r="BF689" s="50" t="s">
        <v>92</v>
      </c>
      <c r="BG689" s="50" t="s">
        <v>92</v>
      </c>
      <c r="BH689" s="50" t="s">
        <v>92</v>
      </c>
      <c r="BI689" s="50" t="s">
        <v>93</v>
      </c>
      <c r="BJ689" s="50" t="s">
        <v>92</v>
      </c>
      <c r="BK689" s="50" t="s">
        <v>1728</v>
      </c>
      <c r="BL689" s="50" t="s">
        <v>92</v>
      </c>
      <c r="BM689" s="50" t="s">
        <v>92</v>
      </c>
      <c r="BN689" s="50" t="s">
        <v>92</v>
      </c>
      <c r="BO689" s="50" t="s">
        <v>93</v>
      </c>
      <c r="BP689" s="50" t="s">
        <v>92</v>
      </c>
      <c r="BQ689" s="49" t="s">
        <v>93</v>
      </c>
      <c r="BR689" s="49" t="s">
        <v>92</v>
      </c>
      <c r="BS689" s="49" t="s">
        <v>92</v>
      </c>
      <c r="BT689" s="49" t="s">
        <v>92</v>
      </c>
      <c r="BU689" s="49" t="s">
        <v>92</v>
      </c>
      <c r="BV689" s="49" t="s">
        <v>92</v>
      </c>
      <c r="BW689" s="49" t="s">
        <v>92</v>
      </c>
      <c r="BX689" s="49" t="s">
        <v>92</v>
      </c>
      <c r="BY689" s="49" t="s">
        <v>92</v>
      </c>
      <c r="BZ689" s="49" t="s">
        <v>92</v>
      </c>
      <c r="CA689" s="49" t="s">
        <v>92</v>
      </c>
      <c r="CB689" s="59" t="s">
        <v>454</v>
      </c>
      <c r="CC689" s="17"/>
      <c r="CD689" s="18"/>
      <c r="CE689" s="18"/>
      <c r="CF689" s="18"/>
      <c r="CG689" s="18"/>
      <c r="CH689" s="18"/>
    </row>
    <row r="690" ht="14.25" customHeight="1">
      <c r="A690" s="8"/>
      <c r="B690" s="9" t="s">
        <v>3117</v>
      </c>
      <c r="C690" s="10" t="s">
        <v>3118</v>
      </c>
      <c r="D690" s="9" t="s">
        <v>2490</v>
      </c>
      <c r="E690" s="11" t="s">
        <v>3125</v>
      </c>
      <c r="F690" s="12"/>
      <c r="G690" s="14" t="s">
        <v>3126</v>
      </c>
      <c r="H690" s="14" t="s">
        <v>90</v>
      </c>
      <c r="I690" s="14" t="s">
        <v>3127</v>
      </c>
      <c r="J690" s="14" t="s">
        <v>93</v>
      </c>
      <c r="K690" s="14" t="s">
        <v>92</v>
      </c>
      <c r="L690" s="14" t="s">
        <v>93</v>
      </c>
      <c r="M690" s="14" t="s">
        <v>92</v>
      </c>
      <c r="N690" s="14" t="s">
        <v>92</v>
      </c>
      <c r="O690" s="14" t="s">
        <v>92</v>
      </c>
      <c r="P690" s="14" t="s">
        <v>92</v>
      </c>
      <c r="Q690" s="14" t="s">
        <v>92</v>
      </c>
      <c r="R690" s="14" t="s">
        <v>92</v>
      </c>
      <c r="S690" s="14" t="s">
        <v>92</v>
      </c>
      <c r="T690" s="14" t="s">
        <v>92</v>
      </c>
      <c r="U690" s="14" t="s">
        <v>92</v>
      </c>
      <c r="V690" s="14" t="s">
        <v>92</v>
      </c>
      <c r="W690" s="14" t="s">
        <v>92</v>
      </c>
      <c r="X690" s="14" t="s">
        <v>92</v>
      </c>
      <c r="Y690" s="14" t="s">
        <v>92</v>
      </c>
      <c r="Z690" s="14" t="s">
        <v>93</v>
      </c>
      <c r="AA690" s="14" t="s">
        <v>92</v>
      </c>
      <c r="AB690" s="8" t="s">
        <v>92</v>
      </c>
      <c r="AC690" s="8" t="s">
        <v>93</v>
      </c>
      <c r="AD690" s="8" t="s">
        <v>93</v>
      </c>
      <c r="AE690" s="14" t="s">
        <v>112</v>
      </c>
      <c r="AF690" s="14" t="s">
        <v>92</v>
      </c>
      <c r="AG690" s="14" t="s">
        <v>95</v>
      </c>
      <c r="AH690" s="8" t="s">
        <v>105</v>
      </c>
      <c r="AI690" s="14" t="s">
        <v>105</v>
      </c>
      <c r="AJ690" s="14" t="s">
        <v>93</v>
      </c>
      <c r="AK690" s="14" t="s">
        <v>105</v>
      </c>
      <c r="AL690" s="14" t="s">
        <v>105</v>
      </c>
      <c r="AM690" s="8" t="s">
        <v>105</v>
      </c>
      <c r="AN690" s="14" t="s">
        <v>105</v>
      </c>
      <c r="AO690" s="8" t="s">
        <v>105</v>
      </c>
      <c r="AP690" s="8" t="s">
        <v>92</v>
      </c>
      <c r="AQ690" s="14" t="s">
        <v>92</v>
      </c>
      <c r="AR690" s="14" t="s">
        <v>92</v>
      </c>
      <c r="AS690" s="14" t="s">
        <v>92</v>
      </c>
      <c r="AT690" s="14" t="s">
        <v>92</v>
      </c>
      <c r="AU690" s="14" t="s">
        <v>92</v>
      </c>
      <c r="AV690" s="14" t="s">
        <v>93</v>
      </c>
      <c r="AW690" s="14" t="s">
        <v>93</v>
      </c>
      <c r="AX690" s="14" t="s">
        <v>93</v>
      </c>
      <c r="AY690" s="8" t="s">
        <v>95</v>
      </c>
      <c r="AZ690" s="8" t="s">
        <v>95</v>
      </c>
      <c r="BA690" s="9" t="s">
        <v>3128</v>
      </c>
      <c r="BB690" s="8" t="s">
        <v>97</v>
      </c>
      <c r="BC690" s="8" t="s">
        <v>92</v>
      </c>
      <c r="BD690" s="14" t="s">
        <v>93</v>
      </c>
      <c r="BE690" s="14" t="s">
        <v>92</v>
      </c>
      <c r="BF690" s="14" t="s">
        <v>92</v>
      </c>
      <c r="BG690" s="14" t="s">
        <v>92</v>
      </c>
      <c r="BH690" s="14" t="s">
        <v>92</v>
      </c>
      <c r="BI690" s="14" t="s">
        <v>92</v>
      </c>
      <c r="BJ690" s="14" t="s">
        <v>92</v>
      </c>
      <c r="BK690" s="14" t="s">
        <v>105</v>
      </c>
      <c r="BL690" s="14" t="s">
        <v>105</v>
      </c>
      <c r="BM690" s="14" t="s">
        <v>105</v>
      </c>
      <c r="BN690" s="14" t="s">
        <v>105</v>
      </c>
      <c r="BO690" s="14" t="s">
        <v>105</v>
      </c>
      <c r="BP690" s="14" t="s">
        <v>105</v>
      </c>
      <c r="BQ690" s="8" t="s">
        <v>92</v>
      </c>
      <c r="BR690" s="8" t="s">
        <v>92</v>
      </c>
      <c r="BS690" s="8" t="s">
        <v>92</v>
      </c>
      <c r="BT690" s="8" t="s">
        <v>93</v>
      </c>
      <c r="BU690" s="8" t="s">
        <v>92</v>
      </c>
      <c r="BV690" s="8" t="s">
        <v>93</v>
      </c>
      <c r="BW690" s="8" t="s">
        <v>92</v>
      </c>
      <c r="BX690" s="8" t="s">
        <v>92</v>
      </c>
      <c r="BY690" s="8" t="s">
        <v>92</v>
      </c>
      <c r="BZ690" s="8" t="s">
        <v>93</v>
      </c>
      <c r="CA690" s="8" t="s">
        <v>92</v>
      </c>
      <c r="CB690" s="20" t="s">
        <v>115</v>
      </c>
      <c r="CC690" s="17"/>
      <c r="CD690" s="18"/>
      <c r="CE690" s="18"/>
      <c r="CF690" s="18"/>
      <c r="CG690" s="18"/>
      <c r="CH690" s="18"/>
    </row>
    <row r="691" ht="15.75" customHeight="1">
      <c r="A691" s="8"/>
      <c r="B691" s="19" t="s">
        <v>3129</v>
      </c>
      <c r="C691" s="10" t="s">
        <v>3130</v>
      </c>
      <c r="D691" s="9" t="s">
        <v>2490</v>
      </c>
      <c r="E691" s="11" t="s">
        <v>3131</v>
      </c>
      <c r="F691" s="12"/>
      <c r="G691" s="14" t="s">
        <v>3132</v>
      </c>
      <c r="H691" s="14" t="s">
        <v>90</v>
      </c>
      <c r="I691" s="14" t="s">
        <v>3133</v>
      </c>
      <c r="J691" s="14" t="s">
        <v>92</v>
      </c>
      <c r="K691" s="14" t="s">
        <v>92</v>
      </c>
      <c r="L691" s="14" t="s">
        <v>92</v>
      </c>
      <c r="M691" s="14" t="s">
        <v>92</v>
      </c>
      <c r="N691" s="14" t="s">
        <v>92</v>
      </c>
      <c r="O691" s="14" t="s">
        <v>92</v>
      </c>
      <c r="P691" s="14" t="s">
        <v>92</v>
      </c>
      <c r="Q691" s="14" t="s">
        <v>92</v>
      </c>
      <c r="R691" s="14" t="s">
        <v>92</v>
      </c>
      <c r="S691" s="14" t="s">
        <v>93</v>
      </c>
      <c r="T691" s="14" t="s">
        <v>93</v>
      </c>
      <c r="U691" s="14" t="s">
        <v>92</v>
      </c>
      <c r="V691" s="14" t="s">
        <v>92</v>
      </c>
      <c r="W691" s="14" t="s">
        <v>92</v>
      </c>
      <c r="X691" s="14" t="s">
        <v>92</v>
      </c>
      <c r="Y691" s="14" t="s">
        <v>92</v>
      </c>
      <c r="Z691" s="14" t="s">
        <v>93</v>
      </c>
      <c r="AA691" s="14" t="s">
        <v>92</v>
      </c>
      <c r="AB691" s="8" t="s">
        <v>92</v>
      </c>
      <c r="AC691" s="8" t="s">
        <v>93</v>
      </c>
      <c r="AD691" s="8" t="s">
        <v>92</v>
      </c>
      <c r="AE691" s="14" t="s">
        <v>287</v>
      </c>
      <c r="AF691" s="14" t="s">
        <v>92</v>
      </c>
      <c r="AG691" s="14" t="s">
        <v>95</v>
      </c>
      <c r="AH691" s="8" t="s">
        <v>105</v>
      </c>
      <c r="AI691" s="14" t="s">
        <v>105</v>
      </c>
      <c r="AJ691" s="14" t="s">
        <v>105</v>
      </c>
      <c r="AK691" s="14" t="s">
        <v>93</v>
      </c>
      <c r="AL691" s="14" t="s">
        <v>93</v>
      </c>
      <c r="AM691" s="8" t="s">
        <v>95</v>
      </c>
      <c r="AN691" s="14" t="s">
        <v>114</v>
      </c>
      <c r="AO691" s="8" t="s">
        <v>93</v>
      </c>
      <c r="AP691" s="8" t="s">
        <v>92</v>
      </c>
      <c r="AQ691" s="14" t="s">
        <v>92</v>
      </c>
      <c r="AR691" s="14" t="s">
        <v>92</v>
      </c>
      <c r="AS691" s="14" t="s">
        <v>93</v>
      </c>
      <c r="AT691" s="14" t="s">
        <v>92</v>
      </c>
      <c r="AU691" s="14" t="s">
        <v>92</v>
      </c>
      <c r="AV691" s="14" t="s">
        <v>93</v>
      </c>
      <c r="AW691" s="14" t="s">
        <v>93</v>
      </c>
      <c r="AX691" s="14" t="s">
        <v>93</v>
      </c>
      <c r="AY691" s="8" t="s">
        <v>95</v>
      </c>
      <c r="AZ691" s="8" t="s">
        <v>92</v>
      </c>
      <c r="BA691" s="9" t="s">
        <v>3134</v>
      </c>
      <c r="BB691" s="8" t="s">
        <v>3135</v>
      </c>
      <c r="BC691" s="8" t="s">
        <v>92</v>
      </c>
      <c r="BD691" s="14" t="s">
        <v>93</v>
      </c>
      <c r="BE691" s="14" t="s">
        <v>92</v>
      </c>
      <c r="BF691" s="14" t="s">
        <v>92</v>
      </c>
      <c r="BG691" s="14" t="s">
        <v>92</v>
      </c>
      <c r="BH691" s="14" t="s">
        <v>92</v>
      </c>
      <c r="BI691" s="14" t="s">
        <v>92</v>
      </c>
      <c r="BJ691" s="14" t="s">
        <v>92</v>
      </c>
      <c r="BK691" s="14" t="s">
        <v>1751</v>
      </c>
      <c r="BL691" s="14" t="s">
        <v>92</v>
      </c>
      <c r="BM691" s="14" t="s">
        <v>92</v>
      </c>
      <c r="BN691" s="14" t="s">
        <v>92</v>
      </c>
      <c r="BO691" s="14" t="s">
        <v>93</v>
      </c>
      <c r="BP691" s="14" t="s">
        <v>92</v>
      </c>
      <c r="BQ691" s="8" t="s">
        <v>92</v>
      </c>
      <c r="BR691" s="8" t="s">
        <v>93</v>
      </c>
      <c r="BS691" s="8" t="s">
        <v>92</v>
      </c>
      <c r="BT691" s="8" t="s">
        <v>93</v>
      </c>
      <c r="BU691" s="8" t="s">
        <v>92</v>
      </c>
      <c r="BV691" s="8" t="s">
        <v>93</v>
      </c>
      <c r="BW691" s="8" t="s">
        <v>92</v>
      </c>
      <c r="BX691" s="8" t="s">
        <v>92</v>
      </c>
      <c r="BY691" s="8" t="s">
        <v>93</v>
      </c>
      <c r="BZ691" s="8" t="s">
        <v>92</v>
      </c>
      <c r="CA691" s="8" t="s">
        <v>92</v>
      </c>
      <c r="CB691" s="20" t="s">
        <v>106</v>
      </c>
      <c r="CC691" s="20" t="s">
        <v>660</v>
      </c>
      <c r="CD691" s="24" t="s">
        <v>3136</v>
      </c>
      <c r="CE691" s="18"/>
      <c r="CF691" s="18"/>
      <c r="CG691" s="18"/>
      <c r="CH691" s="18"/>
    </row>
    <row r="692">
      <c r="A692" s="8"/>
      <c r="B692" s="9" t="s">
        <v>3129</v>
      </c>
      <c r="C692" s="10" t="s">
        <v>3130</v>
      </c>
      <c r="D692" s="9" t="s">
        <v>2490</v>
      </c>
      <c r="E692" s="11" t="s">
        <v>3137</v>
      </c>
      <c r="F692" s="25"/>
      <c r="G692" s="14" t="s">
        <v>3138</v>
      </c>
      <c r="H692" s="14" t="s">
        <v>90</v>
      </c>
      <c r="I692" s="14" t="s">
        <v>3139</v>
      </c>
      <c r="J692" s="14" t="s">
        <v>92</v>
      </c>
      <c r="K692" s="14" t="s">
        <v>92</v>
      </c>
      <c r="L692" s="14" t="s">
        <v>92</v>
      </c>
      <c r="M692" s="14" t="s">
        <v>93</v>
      </c>
      <c r="N692" s="14" t="s">
        <v>92</v>
      </c>
      <c r="O692" s="14" t="s">
        <v>92</v>
      </c>
      <c r="P692" s="14" t="s">
        <v>92</v>
      </c>
      <c r="Q692" s="14" t="s">
        <v>93</v>
      </c>
      <c r="R692" s="14" t="s">
        <v>92</v>
      </c>
      <c r="S692" s="14" t="s">
        <v>92</v>
      </c>
      <c r="T692" s="14" t="s">
        <v>92</v>
      </c>
      <c r="U692" s="14" t="s">
        <v>93</v>
      </c>
      <c r="V692" s="14" t="s">
        <v>92</v>
      </c>
      <c r="W692" s="14" t="s">
        <v>92</v>
      </c>
      <c r="X692" s="14" t="s">
        <v>92</v>
      </c>
      <c r="Y692" s="14" t="s">
        <v>92</v>
      </c>
      <c r="Z692" s="14" t="s">
        <v>92</v>
      </c>
      <c r="AA692" s="14" t="s">
        <v>92</v>
      </c>
      <c r="AB692" s="8" t="s">
        <v>93</v>
      </c>
      <c r="AC692" s="8" t="s">
        <v>92</v>
      </c>
      <c r="AD692" s="8" t="s">
        <v>92</v>
      </c>
      <c r="AE692" s="14" t="s">
        <v>94</v>
      </c>
      <c r="AF692" s="14" t="s">
        <v>92</v>
      </c>
      <c r="AG692" s="14" t="s">
        <v>95</v>
      </c>
      <c r="AH692" s="8">
        <v>2020.0</v>
      </c>
      <c r="AI692" s="14" t="s">
        <v>93</v>
      </c>
      <c r="AJ692" s="14" t="s">
        <v>93</v>
      </c>
      <c r="AK692" s="14" t="s">
        <v>93</v>
      </c>
      <c r="AL692" s="14" t="s">
        <v>93</v>
      </c>
      <c r="AM692" s="8" t="s">
        <v>95</v>
      </c>
      <c r="AN692" s="14" t="s">
        <v>114</v>
      </c>
      <c r="AO692" s="8" t="s">
        <v>93</v>
      </c>
      <c r="AP692" s="8" t="s">
        <v>93</v>
      </c>
      <c r="AQ692" s="14" t="s">
        <v>92</v>
      </c>
      <c r="AR692" s="14" t="s">
        <v>92</v>
      </c>
      <c r="AS692" s="14" t="s">
        <v>93</v>
      </c>
      <c r="AT692" s="14" t="s">
        <v>92</v>
      </c>
      <c r="AU692" s="14" t="s">
        <v>92</v>
      </c>
      <c r="AV692" s="14" t="s">
        <v>93</v>
      </c>
      <c r="AW692" s="14" t="s">
        <v>93</v>
      </c>
      <c r="AX692" s="14" t="s">
        <v>93</v>
      </c>
      <c r="AY692" s="8" t="s">
        <v>3140</v>
      </c>
      <c r="AZ692" s="8" t="s">
        <v>92</v>
      </c>
      <c r="BA692" s="9" t="s">
        <v>3141</v>
      </c>
      <c r="BB692" s="8" t="s">
        <v>105</v>
      </c>
      <c r="BC692" s="8" t="s">
        <v>105</v>
      </c>
      <c r="BD692" s="14" t="s">
        <v>92</v>
      </c>
      <c r="BE692" s="14" t="s">
        <v>92</v>
      </c>
      <c r="BF692" s="14" t="s">
        <v>92</v>
      </c>
      <c r="BG692" s="14" t="s">
        <v>92</v>
      </c>
      <c r="BH692" s="14" t="s">
        <v>92</v>
      </c>
      <c r="BI692" s="14" t="s">
        <v>93</v>
      </c>
      <c r="BJ692" s="14" t="s">
        <v>92</v>
      </c>
      <c r="BK692" s="14" t="s">
        <v>1751</v>
      </c>
      <c r="BL692" s="14" t="s">
        <v>92</v>
      </c>
      <c r="BM692" s="14" t="s">
        <v>92</v>
      </c>
      <c r="BN692" s="14" t="s">
        <v>92</v>
      </c>
      <c r="BO692" s="14" t="s">
        <v>93</v>
      </c>
      <c r="BP692" s="14" t="s">
        <v>92</v>
      </c>
      <c r="BQ692" s="8" t="s">
        <v>93</v>
      </c>
      <c r="BR692" s="8" t="s">
        <v>92</v>
      </c>
      <c r="BS692" s="8" t="s">
        <v>92</v>
      </c>
      <c r="BT692" s="8" t="s">
        <v>92</v>
      </c>
      <c r="BU692" s="8" t="s">
        <v>92</v>
      </c>
      <c r="BV692" s="8" t="s">
        <v>92</v>
      </c>
      <c r="BW692" s="8" t="s">
        <v>92</v>
      </c>
      <c r="BX692" s="8" t="s">
        <v>92</v>
      </c>
      <c r="BY692" s="8" t="s">
        <v>92</v>
      </c>
      <c r="BZ692" s="8" t="s">
        <v>92</v>
      </c>
      <c r="CA692" s="8" t="s">
        <v>92</v>
      </c>
      <c r="CB692" s="20" t="s">
        <v>106</v>
      </c>
      <c r="CC692" s="20" t="s">
        <v>660</v>
      </c>
      <c r="CD692" s="18"/>
      <c r="CE692" s="18"/>
      <c r="CF692" s="18"/>
      <c r="CG692" s="18"/>
      <c r="CH692" s="18"/>
    </row>
    <row r="693">
      <c r="A693" s="8"/>
      <c r="B693" s="9" t="s">
        <v>3129</v>
      </c>
      <c r="C693" s="10" t="s">
        <v>3130</v>
      </c>
      <c r="D693" s="9" t="s">
        <v>2490</v>
      </c>
      <c r="E693" s="11" t="s">
        <v>3142</v>
      </c>
      <c r="F693" s="25"/>
      <c r="G693" s="14" t="s">
        <v>3143</v>
      </c>
      <c r="H693" s="14" t="s">
        <v>90</v>
      </c>
      <c r="I693" s="14" t="s">
        <v>3144</v>
      </c>
      <c r="J693" s="14" t="s">
        <v>92</v>
      </c>
      <c r="K693" s="14" t="s">
        <v>92</v>
      </c>
      <c r="L693" s="14" t="s">
        <v>93</v>
      </c>
      <c r="M693" s="14" t="s">
        <v>93</v>
      </c>
      <c r="N693" s="14" t="s">
        <v>92</v>
      </c>
      <c r="O693" s="14" t="s">
        <v>92</v>
      </c>
      <c r="P693" s="14" t="s">
        <v>92</v>
      </c>
      <c r="Q693" s="14" t="s">
        <v>92</v>
      </c>
      <c r="R693" s="14" t="s">
        <v>92</v>
      </c>
      <c r="S693" s="14" t="s">
        <v>93</v>
      </c>
      <c r="T693" s="14" t="s">
        <v>92</v>
      </c>
      <c r="U693" s="14" t="s">
        <v>92</v>
      </c>
      <c r="V693" s="14" t="s">
        <v>92</v>
      </c>
      <c r="W693" s="14" t="s">
        <v>92</v>
      </c>
      <c r="X693" s="14" t="s">
        <v>92</v>
      </c>
      <c r="Y693" s="14" t="s">
        <v>92</v>
      </c>
      <c r="Z693" s="14" t="s">
        <v>93</v>
      </c>
      <c r="AA693" s="14" t="s">
        <v>92</v>
      </c>
      <c r="AB693" s="8" t="s">
        <v>93</v>
      </c>
      <c r="AC693" s="8" t="s">
        <v>93</v>
      </c>
      <c r="AD693" s="8" t="s">
        <v>92</v>
      </c>
      <c r="AE693" s="14" t="s">
        <v>1135</v>
      </c>
      <c r="AF693" s="14" t="s">
        <v>92</v>
      </c>
      <c r="AG693" s="14" t="s">
        <v>95</v>
      </c>
      <c r="AH693" s="8" t="s">
        <v>105</v>
      </c>
      <c r="AI693" s="14" t="s">
        <v>105</v>
      </c>
      <c r="AJ693" s="14" t="s">
        <v>105</v>
      </c>
      <c r="AK693" s="14" t="s">
        <v>93</v>
      </c>
      <c r="AL693" s="14" t="s">
        <v>93</v>
      </c>
      <c r="AM693" s="8" t="s">
        <v>95</v>
      </c>
      <c r="AN693" s="14" t="s">
        <v>114</v>
      </c>
      <c r="AO693" s="8" t="s">
        <v>93</v>
      </c>
      <c r="AP693" s="8" t="s">
        <v>105</v>
      </c>
      <c r="AQ693" s="14" t="s">
        <v>92</v>
      </c>
      <c r="AR693" s="14" t="s">
        <v>92</v>
      </c>
      <c r="AS693" s="14" t="s">
        <v>93</v>
      </c>
      <c r="AT693" s="14" t="s">
        <v>92</v>
      </c>
      <c r="AU693" s="14" t="s">
        <v>92</v>
      </c>
      <c r="AV693" s="14" t="s">
        <v>93</v>
      </c>
      <c r="AW693" s="14" t="s">
        <v>93</v>
      </c>
      <c r="AX693" s="14" t="s">
        <v>93</v>
      </c>
      <c r="AY693" s="8" t="s">
        <v>95</v>
      </c>
      <c r="AZ693" s="8" t="s">
        <v>95</v>
      </c>
      <c r="BA693" s="9" t="s">
        <v>3129</v>
      </c>
      <c r="BB693" s="8" t="s">
        <v>213</v>
      </c>
      <c r="BC693" s="8" t="s">
        <v>92</v>
      </c>
      <c r="BD693" s="14" t="s">
        <v>93</v>
      </c>
      <c r="BE693" s="14" t="s">
        <v>92</v>
      </c>
      <c r="BF693" s="14" t="s">
        <v>92</v>
      </c>
      <c r="BG693" s="14" t="s">
        <v>92</v>
      </c>
      <c r="BH693" s="14" t="s">
        <v>92</v>
      </c>
      <c r="BI693" s="14" t="s">
        <v>92</v>
      </c>
      <c r="BJ693" s="14" t="s">
        <v>92</v>
      </c>
      <c r="BK693" s="14" t="s">
        <v>1751</v>
      </c>
      <c r="BL693" s="14" t="s">
        <v>92</v>
      </c>
      <c r="BM693" s="14" t="s">
        <v>92</v>
      </c>
      <c r="BN693" s="14" t="s">
        <v>92</v>
      </c>
      <c r="BO693" s="14" t="s">
        <v>93</v>
      </c>
      <c r="BP693" s="14" t="s">
        <v>92</v>
      </c>
      <c r="BQ693" s="8" t="s">
        <v>92</v>
      </c>
      <c r="BR693" s="8" t="s">
        <v>92</v>
      </c>
      <c r="BS693" s="8" t="s">
        <v>93</v>
      </c>
      <c r="BT693" s="8" t="s">
        <v>93</v>
      </c>
      <c r="BU693" s="8" t="s">
        <v>92</v>
      </c>
      <c r="BV693" s="8" t="s">
        <v>92</v>
      </c>
      <c r="BW693" s="8" t="s">
        <v>92</v>
      </c>
      <c r="BX693" s="8" t="s">
        <v>92</v>
      </c>
      <c r="BY693" s="8" t="s">
        <v>92</v>
      </c>
      <c r="BZ693" s="8" t="s">
        <v>93</v>
      </c>
      <c r="CA693" s="8" t="s">
        <v>92</v>
      </c>
      <c r="CB693" s="20" t="s">
        <v>106</v>
      </c>
      <c r="CC693" s="20" t="s">
        <v>660</v>
      </c>
      <c r="CD693" s="18"/>
      <c r="CE693" s="18"/>
      <c r="CF693" s="18"/>
      <c r="CG693" s="18"/>
      <c r="CH693" s="18"/>
    </row>
    <row r="694">
      <c r="A694" s="8"/>
      <c r="B694" s="9" t="s">
        <v>3129</v>
      </c>
      <c r="C694" s="10" t="s">
        <v>3130</v>
      </c>
      <c r="D694" s="9" t="s">
        <v>2490</v>
      </c>
      <c r="E694" s="11" t="s">
        <v>3145</v>
      </c>
      <c r="F694" s="12"/>
      <c r="G694" s="14" t="s">
        <v>3146</v>
      </c>
      <c r="H694" s="14" t="s">
        <v>90</v>
      </c>
      <c r="I694" s="14" t="s">
        <v>3147</v>
      </c>
      <c r="J694" s="14" t="s">
        <v>92</v>
      </c>
      <c r="K694" s="14" t="s">
        <v>92</v>
      </c>
      <c r="L694" s="14" t="s">
        <v>93</v>
      </c>
      <c r="M694" s="14" t="s">
        <v>93</v>
      </c>
      <c r="N694" s="14" t="s">
        <v>92</v>
      </c>
      <c r="O694" s="14" t="s">
        <v>92</v>
      </c>
      <c r="P694" s="14" t="s">
        <v>92</v>
      </c>
      <c r="Q694" s="14" t="s">
        <v>92</v>
      </c>
      <c r="R694" s="14" t="s">
        <v>92</v>
      </c>
      <c r="S694" s="14" t="s">
        <v>93</v>
      </c>
      <c r="T694" s="14" t="s">
        <v>92</v>
      </c>
      <c r="U694" s="14" t="s">
        <v>92</v>
      </c>
      <c r="V694" s="14" t="s">
        <v>92</v>
      </c>
      <c r="W694" s="14" t="s">
        <v>92</v>
      </c>
      <c r="X694" s="14" t="s">
        <v>92</v>
      </c>
      <c r="Y694" s="14" t="s">
        <v>92</v>
      </c>
      <c r="Z694" s="14" t="s">
        <v>92</v>
      </c>
      <c r="AA694" s="14" t="s">
        <v>92</v>
      </c>
      <c r="AB694" s="8" t="s">
        <v>93</v>
      </c>
      <c r="AC694" s="8" t="s">
        <v>93</v>
      </c>
      <c r="AD694" s="8" t="s">
        <v>92</v>
      </c>
      <c r="AE694" s="14" t="s">
        <v>1135</v>
      </c>
      <c r="AF694" s="14" t="s">
        <v>92</v>
      </c>
      <c r="AG694" s="14" t="s">
        <v>95</v>
      </c>
      <c r="AH694" s="8" t="s">
        <v>105</v>
      </c>
      <c r="AI694" s="14" t="s">
        <v>105</v>
      </c>
      <c r="AJ694" s="14" t="s">
        <v>105</v>
      </c>
      <c r="AK694" s="14" t="s">
        <v>93</v>
      </c>
      <c r="AL694" s="14" t="s">
        <v>93</v>
      </c>
      <c r="AM694" s="8" t="s">
        <v>95</v>
      </c>
      <c r="AN694" s="14" t="s">
        <v>114</v>
      </c>
      <c r="AO694" s="8" t="s">
        <v>93</v>
      </c>
      <c r="AP694" s="8" t="s">
        <v>105</v>
      </c>
      <c r="AQ694" s="14" t="s">
        <v>92</v>
      </c>
      <c r="AR694" s="14" t="s">
        <v>92</v>
      </c>
      <c r="AS694" s="14" t="s">
        <v>93</v>
      </c>
      <c r="AT694" s="14" t="s">
        <v>92</v>
      </c>
      <c r="AU694" s="14" t="s">
        <v>92</v>
      </c>
      <c r="AV694" s="14" t="s">
        <v>93</v>
      </c>
      <c r="AW694" s="14" t="s">
        <v>93</v>
      </c>
      <c r="AX694" s="14" t="s">
        <v>93</v>
      </c>
      <c r="AY694" s="8" t="s">
        <v>95</v>
      </c>
      <c r="AZ694" s="8" t="s">
        <v>95</v>
      </c>
      <c r="BA694" s="9" t="s">
        <v>3129</v>
      </c>
      <c r="BB694" s="8" t="s">
        <v>213</v>
      </c>
      <c r="BC694" s="8" t="s">
        <v>92</v>
      </c>
      <c r="BD694" s="14" t="s">
        <v>93</v>
      </c>
      <c r="BE694" s="14" t="s">
        <v>92</v>
      </c>
      <c r="BF694" s="14" t="s">
        <v>92</v>
      </c>
      <c r="BG694" s="14" t="s">
        <v>92</v>
      </c>
      <c r="BH694" s="14" t="s">
        <v>92</v>
      </c>
      <c r="BI694" s="14" t="s">
        <v>92</v>
      </c>
      <c r="BJ694" s="14" t="s">
        <v>92</v>
      </c>
      <c r="BK694" s="14" t="s">
        <v>1751</v>
      </c>
      <c r="BL694" s="14" t="s">
        <v>92</v>
      </c>
      <c r="BM694" s="14" t="s">
        <v>92</v>
      </c>
      <c r="BN694" s="14" t="s">
        <v>92</v>
      </c>
      <c r="BO694" s="14" t="s">
        <v>93</v>
      </c>
      <c r="BP694" s="14" t="s">
        <v>92</v>
      </c>
      <c r="BQ694" s="8" t="s">
        <v>92</v>
      </c>
      <c r="BR694" s="8" t="s">
        <v>92</v>
      </c>
      <c r="BS694" s="8" t="s">
        <v>93</v>
      </c>
      <c r="BT694" s="8" t="s">
        <v>92</v>
      </c>
      <c r="BU694" s="8" t="s">
        <v>92</v>
      </c>
      <c r="BV694" s="8" t="s">
        <v>92</v>
      </c>
      <c r="BW694" s="8" t="s">
        <v>92</v>
      </c>
      <c r="BX694" s="8" t="s">
        <v>92</v>
      </c>
      <c r="BY694" s="8" t="s">
        <v>92</v>
      </c>
      <c r="BZ694" s="8" t="s">
        <v>92</v>
      </c>
      <c r="CA694" s="8" t="s">
        <v>92</v>
      </c>
      <c r="CB694" s="20" t="s">
        <v>106</v>
      </c>
      <c r="CC694" s="20" t="s">
        <v>660</v>
      </c>
      <c r="CD694" s="18"/>
      <c r="CE694" s="18"/>
      <c r="CF694" s="18"/>
      <c r="CG694" s="18"/>
      <c r="CH694" s="18"/>
    </row>
    <row r="695">
      <c r="A695" s="8"/>
      <c r="B695" s="9" t="s">
        <v>3129</v>
      </c>
      <c r="C695" s="10" t="s">
        <v>3130</v>
      </c>
      <c r="D695" s="9" t="s">
        <v>2490</v>
      </c>
      <c r="E695" s="11" t="s">
        <v>3148</v>
      </c>
      <c r="F695" s="12"/>
      <c r="G695" s="14" t="s">
        <v>3149</v>
      </c>
      <c r="H695" s="14" t="s">
        <v>90</v>
      </c>
      <c r="I695" s="14" t="s">
        <v>3150</v>
      </c>
      <c r="J695" s="14" t="s">
        <v>92</v>
      </c>
      <c r="K695" s="14" t="s">
        <v>92</v>
      </c>
      <c r="L695" s="14" t="s">
        <v>92</v>
      </c>
      <c r="M695" s="14" t="s">
        <v>92</v>
      </c>
      <c r="N695" s="14" t="s">
        <v>92</v>
      </c>
      <c r="O695" s="14" t="s">
        <v>92</v>
      </c>
      <c r="P695" s="14" t="s">
        <v>92</v>
      </c>
      <c r="Q695" s="14" t="s">
        <v>92</v>
      </c>
      <c r="R695" s="14" t="s">
        <v>92</v>
      </c>
      <c r="S695" s="14" t="s">
        <v>93</v>
      </c>
      <c r="T695" s="14" t="s">
        <v>92</v>
      </c>
      <c r="U695" s="14" t="s">
        <v>92</v>
      </c>
      <c r="V695" s="14" t="s">
        <v>92</v>
      </c>
      <c r="W695" s="14" t="s">
        <v>92</v>
      </c>
      <c r="X695" s="14" t="s">
        <v>92</v>
      </c>
      <c r="Y695" s="14" t="s">
        <v>92</v>
      </c>
      <c r="Z695" s="14" t="s">
        <v>93</v>
      </c>
      <c r="AA695" s="14" t="s">
        <v>92</v>
      </c>
      <c r="AB695" s="8" t="s">
        <v>92</v>
      </c>
      <c r="AC695" s="8" t="s">
        <v>93</v>
      </c>
      <c r="AD695" s="8" t="s">
        <v>92</v>
      </c>
      <c r="AE695" s="14" t="s">
        <v>1135</v>
      </c>
      <c r="AF695" s="14" t="s">
        <v>92</v>
      </c>
      <c r="AG695" s="14" t="s">
        <v>95</v>
      </c>
      <c r="AH695" s="8" t="s">
        <v>105</v>
      </c>
      <c r="AI695" s="14" t="s">
        <v>105</v>
      </c>
      <c r="AJ695" s="14" t="s">
        <v>105</v>
      </c>
      <c r="AK695" s="14" t="s">
        <v>93</v>
      </c>
      <c r="AL695" s="14" t="s">
        <v>93</v>
      </c>
      <c r="AM695" s="8" t="s">
        <v>95</v>
      </c>
      <c r="AN695" s="14" t="s">
        <v>114</v>
      </c>
      <c r="AO695" s="8" t="s">
        <v>93</v>
      </c>
      <c r="AP695" s="8" t="s">
        <v>105</v>
      </c>
      <c r="AQ695" s="14" t="s">
        <v>92</v>
      </c>
      <c r="AR695" s="14" t="s">
        <v>92</v>
      </c>
      <c r="AS695" s="14" t="s">
        <v>93</v>
      </c>
      <c r="AT695" s="14" t="s">
        <v>92</v>
      </c>
      <c r="AU695" s="14" t="s">
        <v>92</v>
      </c>
      <c r="AV695" s="14" t="s">
        <v>93</v>
      </c>
      <c r="AW695" s="14" t="s">
        <v>93</v>
      </c>
      <c r="AX695" s="14" t="s">
        <v>93</v>
      </c>
      <c r="AY695" s="8" t="s">
        <v>95</v>
      </c>
      <c r="AZ695" s="8" t="s">
        <v>95</v>
      </c>
      <c r="BA695" s="9" t="s">
        <v>3149</v>
      </c>
      <c r="BB695" s="8" t="s">
        <v>261</v>
      </c>
      <c r="BC695" s="8" t="s">
        <v>92</v>
      </c>
      <c r="BD695" s="14" t="s">
        <v>93</v>
      </c>
      <c r="BE695" s="14" t="s">
        <v>92</v>
      </c>
      <c r="BF695" s="14" t="s">
        <v>92</v>
      </c>
      <c r="BG695" s="14" t="s">
        <v>92</v>
      </c>
      <c r="BH695" s="14" t="s">
        <v>92</v>
      </c>
      <c r="BI695" s="14" t="s">
        <v>92</v>
      </c>
      <c r="BJ695" s="14" t="s">
        <v>92</v>
      </c>
      <c r="BK695" s="14" t="s">
        <v>105</v>
      </c>
      <c r="BL695" s="14" t="s">
        <v>105</v>
      </c>
      <c r="BM695" s="14" t="s">
        <v>105</v>
      </c>
      <c r="BN695" s="14" t="s">
        <v>105</v>
      </c>
      <c r="BO695" s="14" t="s">
        <v>105</v>
      </c>
      <c r="BP695" s="14" t="s">
        <v>105</v>
      </c>
      <c r="BQ695" s="8" t="s">
        <v>92</v>
      </c>
      <c r="BR695" s="8" t="s">
        <v>92</v>
      </c>
      <c r="BS695" s="8" t="s">
        <v>92</v>
      </c>
      <c r="BT695" s="8" t="s">
        <v>93</v>
      </c>
      <c r="BU695" s="8" t="s">
        <v>93</v>
      </c>
      <c r="BV695" s="8" t="s">
        <v>93</v>
      </c>
      <c r="BW695" s="8" t="s">
        <v>92</v>
      </c>
      <c r="BX695" s="8" t="s">
        <v>92</v>
      </c>
      <c r="BY695" s="8" t="s">
        <v>92</v>
      </c>
      <c r="BZ695" s="8" t="s">
        <v>92</v>
      </c>
      <c r="CA695" s="8" t="s">
        <v>92</v>
      </c>
      <c r="CB695" s="20" t="s">
        <v>106</v>
      </c>
      <c r="CC695" s="20" t="s">
        <v>660</v>
      </c>
      <c r="CD695" s="18"/>
      <c r="CE695" s="18"/>
      <c r="CF695" s="18"/>
      <c r="CG695" s="18"/>
      <c r="CH695" s="18"/>
    </row>
    <row r="696">
      <c r="A696" s="8"/>
      <c r="B696" s="9" t="s">
        <v>3129</v>
      </c>
      <c r="C696" s="10" t="s">
        <v>3130</v>
      </c>
      <c r="D696" s="9" t="s">
        <v>2490</v>
      </c>
      <c r="E696" s="11" t="s">
        <v>3151</v>
      </c>
      <c r="F696" s="12"/>
      <c r="G696" s="14" t="s">
        <v>3152</v>
      </c>
      <c r="H696" s="14" t="s">
        <v>90</v>
      </c>
      <c r="I696" s="14" t="s">
        <v>3153</v>
      </c>
      <c r="J696" s="14" t="s">
        <v>92</v>
      </c>
      <c r="K696" s="14" t="s">
        <v>92</v>
      </c>
      <c r="L696" s="14" t="s">
        <v>92</v>
      </c>
      <c r="M696" s="14" t="s">
        <v>92</v>
      </c>
      <c r="N696" s="14" t="s">
        <v>92</v>
      </c>
      <c r="O696" s="14" t="s">
        <v>92</v>
      </c>
      <c r="P696" s="14" t="s">
        <v>92</v>
      </c>
      <c r="Q696" s="14" t="s">
        <v>92</v>
      </c>
      <c r="R696" s="14" t="s">
        <v>92</v>
      </c>
      <c r="S696" s="14" t="s">
        <v>93</v>
      </c>
      <c r="T696" s="14" t="s">
        <v>92</v>
      </c>
      <c r="U696" s="14" t="s">
        <v>92</v>
      </c>
      <c r="V696" s="14" t="s">
        <v>92</v>
      </c>
      <c r="W696" s="14" t="s">
        <v>92</v>
      </c>
      <c r="X696" s="14" t="s">
        <v>93</v>
      </c>
      <c r="Y696" s="14" t="s">
        <v>92</v>
      </c>
      <c r="Z696" s="14" t="s">
        <v>93</v>
      </c>
      <c r="AA696" s="14" t="s">
        <v>92</v>
      </c>
      <c r="AB696" s="8" t="s">
        <v>92</v>
      </c>
      <c r="AC696" s="8" t="s">
        <v>93</v>
      </c>
      <c r="AD696" s="8" t="s">
        <v>92</v>
      </c>
      <c r="AE696" s="14" t="s">
        <v>94</v>
      </c>
      <c r="AF696" s="14" t="s">
        <v>92</v>
      </c>
      <c r="AG696" s="14" t="s">
        <v>95</v>
      </c>
      <c r="AH696" s="8" t="s">
        <v>105</v>
      </c>
      <c r="AI696" s="14" t="s">
        <v>105</v>
      </c>
      <c r="AJ696" s="14" t="s">
        <v>105</v>
      </c>
      <c r="AK696" s="14" t="s">
        <v>93</v>
      </c>
      <c r="AL696" s="14" t="s">
        <v>93</v>
      </c>
      <c r="AM696" s="8" t="s">
        <v>95</v>
      </c>
      <c r="AN696" s="14" t="s">
        <v>114</v>
      </c>
      <c r="AO696" s="8" t="s">
        <v>93</v>
      </c>
      <c r="AP696" s="8" t="s">
        <v>105</v>
      </c>
      <c r="AQ696" s="14" t="s">
        <v>92</v>
      </c>
      <c r="AR696" s="14" t="s">
        <v>92</v>
      </c>
      <c r="AS696" s="14" t="s">
        <v>93</v>
      </c>
      <c r="AT696" s="14" t="s">
        <v>92</v>
      </c>
      <c r="AU696" s="14" t="s">
        <v>92</v>
      </c>
      <c r="AV696" s="14" t="s">
        <v>93</v>
      </c>
      <c r="AW696" s="14" t="s">
        <v>93</v>
      </c>
      <c r="AX696" s="14" t="s">
        <v>93</v>
      </c>
      <c r="AY696" s="8" t="s">
        <v>95</v>
      </c>
      <c r="AZ696" s="8" t="s">
        <v>95</v>
      </c>
      <c r="BA696" s="9" t="s">
        <v>3154</v>
      </c>
      <c r="BB696" s="8" t="s">
        <v>95</v>
      </c>
      <c r="BC696" s="8" t="s">
        <v>93</v>
      </c>
      <c r="BD696" s="14" t="s">
        <v>93</v>
      </c>
      <c r="BE696" s="14" t="s">
        <v>92</v>
      </c>
      <c r="BF696" s="14" t="s">
        <v>92</v>
      </c>
      <c r="BG696" s="14" t="s">
        <v>93</v>
      </c>
      <c r="BH696" s="14" t="s">
        <v>92</v>
      </c>
      <c r="BI696" s="14" t="s">
        <v>92</v>
      </c>
      <c r="BJ696" s="14" t="s">
        <v>92</v>
      </c>
      <c r="BK696" s="14" t="s">
        <v>105</v>
      </c>
      <c r="BL696" s="14" t="s">
        <v>105</v>
      </c>
      <c r="BM696" s="14" t="s">
        <v>105</v>
      </c>
      <c r="BN696" s="14" t="s">
        <v>105</v>
      </c>
      <c r="BO696" s="14" t="s">
        <v>105</v>
      </c>
      <c r="BP696" s="14" t="s">
        <v>105</v>
      </c>
      <c r="BQ696" s="8" t="s">
        <v>92</v>
      </c>
      <c r="BR696" s="8" t="s">
        <v>92</v>
      </c>
      <c r="BS696" s="8" t="s">
        <v>92</v>
      </c>
      <c r="BT696" s="8" t="s">
        <v>93</v>
      </c>
      <c r="BU696" s="8" t="s">
        <v>92</v>
      </c>
      <c r="BV696" s="8" t="s">
        <v>92</v>
      </c>
      <c r="BW696" s="8" t="s">
        <v>92</v>
      </c>
      <c r="BX696" s="8" t="s">
        <v>92</v>
      </c>
      <c r="BY696" s="8" t="s">
        <v>93</v>
      </c>
      <c r="BZ696" s="8" t="s">
        <v>92</v>
      </c>
      <c r="CA696" s="8" t="s">
        <v>92</v>
      </c>
      <c r="CB696" s="20" t="s">
        <v>106</v>
      </c>
      <c r="CC696" s="20" t="s">
        <v>660</v>
      </c>
      <c r="CD696" s="18"/>
      <c r="CE696" s="18"/>
      <c r="CF696" s="18"/>
      <c r="CG696" s="18"/>
      <c r="CH696" s="18"/>
    </row>
    <row r="697">
      <c r="A697" s="8"/>
      <c r="B697" s="9" t="s">
        <v>3129</v>
      </c>
      <c r="C697" s="10" t="s">
        <v>3130</v>
      </c>
      <c r="D697" s="9" t="s">
        <v>2490</v>
      </c>
      <c r="E697" s="11" t="s">
        <v>3155</v>
      </c>
      <c r="F697" s="12"/>
      <c r="G697" s="14" t="s">
        <v>3156</v>
      </c>
      <c r="H697" s="14" t="s">
        <v>90</v>
      </c>
      <c r="I697" s="14" t="s">
        <v>3157</v>
      </c>
      <c r="J697" s="14" t="s">
        <v>92</v>
      </c>
      <c r="K697" s="14" t="s">
        <v>92</v>
      </c>
      <c r="L697" s="14" t="s">
        <v>92</v>
      </c>
      <c r="M697" s="14" t="s">
        <v>92</v>
      </c>
      <c r="N697" s="14" t="s">
        <v>92</v>
      </c>
      <c r="O697" s="14" t="s">
        <v>92</v>
      </c>
      <c r="P697" s="14" t="s">
        <v>92</v>
      </c>
      <c r="Q697" s="14" t="s">
        <v>92</v>
      </c>
      <c r="R697" s="14" t="s">
        <v>92</v>
      </c>
      <c r="S697" s="14" t="s">
        <v>92</v>
      </c>
      <c r="T697" s="14" t="s">
        <v>93</v>
      </c>
      <c r="U697" s="14" t="s">
        <v>92</v>
      </c>
      <c r="V697" s="14" t="s">
        <v>92</v>
      </c>
      <c r="W697" s="14" t="s">
        <v>92</v>
      </c>
      <c r="X697" s="14" t="s">
        <v>92</v>
      </c>
      <c r="Y697" s="14" t="s">
        <v>93</v>
      </c>
      <c r="Z697" s="14" t="s">
        <v>93</v>
      </c>
      <c r="AA697" s="14" t="s">
        <v>92</v>
      </c>
      <c r="AB697" s="8" t="s">
        <v>93</v>
      </c>
      <c r="AC697" s="8" t="s">
        <v>93</v>
      </c>
      <c r="AD697" s="8" t="s">
        <v>92</v>
      </c>
      <c r="AE697" s="14" t="s">
        <v>148</v>
      </c>
      <c r="AF697" s="14" t="s">
        <v>92</v>
      </c>
      <c r="AG697" s="14" t="s">
        <v>95</v>
      </c>
      <c r="AH697" s="8" t="s">
        <v>105</v>
      </c>
      <c r="AI697" s="14" t="s">
        <v>105</v>
      </c>
      <c r="AJ697" s="14" t="s">
        <v>105</v>
      </c>
      <c r="AK697" s="14" t="s">
        <v>93</v>
      </c>
      <c r="AL697" s="14" t="s">
        <v>93</v>
      </c>
      <c r="AM697" s="8" t="s">
        <v>95</v>
      </c>
      <c r="AN697" s="14" t="s">
        <v>114</v>
      </c>
      <c r="AO697" s="8" t="s">
        <v>93</v>
      </c>
      <c r="AP697" s="8" t="s">
        <v>92</v>
      </c>
      <c r="AQ697" s="14" t="s">
        <v>92</v>
      </c>
      <c r="AR697" s="14" t="s">
        <v>92</v>
      </c>
      <c r="AS697" s="14" t="s">
        <v>93</v>
      </c>
      <c r="AT697" s="14" t="s">
        <v>92</v>
      </c>
      <c r="AU697" s="14" t="s">
        <v>92</v>
      </c>
      <c r="AV697" s="14" t="s">
        <v>93</v>
      </c>
      <c r="AW697" s="14" t="s">
        <v>93</v>
      </c>
      <c r="AX697" s="14" t="s">
        <v>93</v>
      </c>
      <c r="AY697" s="8" t="s">
        <v>95</v>
      </c>
      <c r="AZ697" s="8" t="s">
        <v>95</v>
      </c>
      <c r="BA697" s="9" t="s">
        <v>3158</v>
      </c>
      <c r="BB697" s="8" t="s">
        <v>95</v>
      </c>
      <c r="BC697" s="8" t="s">
        <v>93</v>
      </c>
      <c r="BD697" s="14" t="s">
        <v>92</v>
      </c>
      <c r="BE697" s="14" t="s">
        <v>92</v>
      </c>
      <c r="BF697" s="14" t="s">
        <v>92</v>
      </c>
      <c r="BG697" s="14" t="s">
        <v>92</v>
      </c>
      <c r="BH697" s="14" t="s">
        <v>92</v>
      </c>
      <c r="BI697" s="14" t="s">
        <v>93</v>
      </c>
      <c r="BJ697" s="14" t="s">
        <v>92</v>
      </c>
      <c r="BK697" s="14" t="s">
        <v>1199</v>
      </c>
      <c r="BL697" s="14" t="s">
        <v>92</v>
      </c>
      <c r="BM697" s="14" t="s">
        <v>93</v>
      </c>
      <c r="BN697" s="14" t="s">
        <v>92</v>
      </c>
      <c r="BO697" s="14" t="s">
        <v>92</v>
      </c>
      <c r="BP697" s="14" t="s">
        <v>92</v>
      </c>
      <c r="BQ697" s="8" t="s">
        <v>92</v>
      </c>
      <c r="BR697" s="8" t="s">
        <v>93</v>
      </c>
      <c r="BS697" s="8" t="s">
        <v>92</v>
      </c>
      <c r="BT697" s="8" t="s">
        <v>92</v>
      </c>
      <c r="BU697" s="8" t="s">
        <v>92</v>
      </c>
      <c r="BV697" s="8" t="s">
        <v>92</v>
      </c>
      <c r="BW697" s="8" t="s">
        <v>92</v>
      </c>
      <c r="BX697" s="8" t="s">
        <v>92</v>
      </c>
      <c r="BY697" s="8" t="s">
        <v>92</v>
      </c>
      <c r="BZ697" s="8" t="s">
        <v>92</v>
      </c>
      <c r="CA697" s="8" t="s">
        <v>92</v>
      </c>
      <c r="CB697" s="20" t="s">
        <v>106</v>
      </c>
      <c r="CC697" s="20" t="s">
        <v>660</v>
      </c>
      <c r="CD697" s="20" t="s">
        <v>3159</v>
      </c>
      <c r="CE697" s="18"/>
      <c r="CF697" s="18"/>
      <c r="CG697" s="18"/>
      <c r="CH697" s="18"/>
    </row>
    <row r="698">
      <c r="A698" s="8"/>
      <c r="B698" s="16"/>
      <c r="C698" s="15"/>
      <c r="D698" s="9"/>
      <c r="E698" s="15"/>
      <c r="F698" s="15"/>
      <c r="G698" s="13"/>
      <c r="H698" s="13"/>
      <c r="I698" s="13"/>
      <c r="J698" s="13"/>
      <c r="K698" s="13"/>
      <c r="L698" s="13"/>
      <c r="M698" s="13"/>
      <c r="N698" s="13"/>
      <c r="O698" s="13"/>
      <c r="P698" s="13"/>
      <c r="Q698" s="13"/>
      <c r="R698" s="13"/>
      <c r="S698" s="13"/>
      <c r="T698" s="13"/>
      <c r="U698" s="13"/>
      <c r="V698" s="13"/>
      <c r="W698" s="13"/>
      <c r="X698" s="13"/>
      <c r="Y698" s="13"/>
      <c r="Z698" s="13"/>
      <c r="AA698" s="13"/>
      <c r="AB698" s="15"/>
      <c r="AC698" s="15"/>
      <c r="AD698" s="15"/>
      <c r="AE698" s="13"/>
      <c r="AF698" s="13"/>
      <c r="AG698" s="13"/>
      <c r="AH698" s="15"/>
      <c r="AI698" s="13"/>
      <c r="AJ698" s="13"/>
      <c r="AK698" s="13"/>
      <c r="AL698" s="13"/>
      <c r="AM698" s="15"/>
      <c r="AN698" s="13"/>
      <c r="AO698" s="15"/>
      <c r="AP698" s="15"/>
      <c r="AQ698" s="13"/>
      <c r="AR698" s="13"/>
      <c r="AS698" s="13"/>
      <c r="AT698" s="13"/>
      <c r="AU698" s="13"/>
      <c r="AV698" s="13"/>
      <c r="AW698" s="13"/>
      <c r="AX698" s="13"/>
      <c r="AY698" s="15"/>
      <c r="AZ698" s="15"/>
      <c r="BA698" s="16"/>
      <c r="BB698" s="15"/>
      <c r="BC698" s="15"/>
      <c r="BD698" s="13"/>
      <c r="BE698" s="13"/>
      <c r="BF698" s="13"/>
      <c r="BG698" s="13"/>
      <c r="BH698" s="13"/>
      <c r="BI698" s="13"/>
      <c r="BJ698" s="13"/>
      <c r="BK698" s="13"/>
      <c r="BL698" s="13"/>
      <c r="BM698" s="13"/>
      <c r="BN698" s="13"/>
      <c r="BO698" s="13"/>
      <c r="BP698" s="13"/>
      <c r="BQ698" s="15"/>
      <c r="BR698" s="15"/>
      <c r="BS698" s="15"/>
      <c r="BT698" s="15"/>
      <c r="BU698" s="15"/>
      <c r="BV698" s="15"/>
      <c r="BW698" s="15"/>
      <c r="BX698" s="15"/>
      <c r="BY698" s="15"/>
      <c r="BZ698" s="15"/>
      <c r="CA698" s="15"/>
      <c r="CB698" s="17"/>
      <c r="CC698" s="17"/>
      <c r="CD698" s="18"/>
      <c r="CE698" s="18"/>
      <c r="CF698" s="18"/>
      <c r="CG698" s="18"/>
      <c r="CH698" s="18"/>
    </row>
    <row r="699">
      <c r="A699" s="15"/>
      <c r="B699" s="16"/>
      <c r="C699" s="15"/>
      <c r="D699" s="9"/>
      <c r="E699" s="15"/>
      <c r="F699" s="15"/>
      <c r="G699" s="13"/>
      <c r="H699" s="13"/>
      <c r="I699" s="13"/>
      <c r="J699" s="13"/>
      <c r="K699" s="13"/>
      <c r="L699" s="13"/>
      <c r="M699" s="13"/>
      <c r="N699" s="13"/>
      <c r="O699" s="13"/>
      <c r="P699" s="13"/>
      <c r="Q699" s="13"/>
      <c r="R699" s="13"/>
      <c r="S699" s="13"/>
      <c r="T699" s="13"/>
      <c r="U699" s="13"/>
      <c r="V699" s="13"/>
      <c r="W699" s="13"/>
      <c r="X699" s="13"/>
      <c r="Y699" s="13"/>
      <c r="Z699" s="13"/>
      <c r="AA699" s="13"/>
      <c r="AB699" s="15"/>
      <c r="AC699" s="15"/>
      <c r="AD699" s="15"/>
      <c r="AE699" s="13"/>
      <c r="AF699" s="13"/>
      <c r="AG699" s="13"/>
      <c r="AH699" s="15"/>
      <c r="AI699" s="13"/>
      <c r="AJ699" s="13"/>
      <c r="AK699" s="13"/>
      <c r="AL699" s="13"/>
      <c r="AM699" s="15"/>
      <c r="AN699" s="13"/>
      <c r="AO699" s="15"/>
      <c r="AP699" s="15"/>
      <c r="AQ699" s="13"/>
      <c r="AR699" s="13"/>
      <c r="AS699" s="13"/>
      <c r="AT699" s="13"/>
      <c r="AU699" s="13"/>
      <c r="AV699" s="13"/>
      <c r="AW699" s="13"/>
      <c r="AX699" s="13"/>
      <c r="AY699" s="15"/>
      <c r="AZ699" s="15"/>
      <c r="BA699" s="16"/>
      <c r="BB699" s="15"/>
      <c r="BC699" s="15"/>
      <c r="BD699" s="13"/>
      <c r="BE699" s="13"/>
      <c r="BF699" s="13"/>
      <c r="BG699" s="13"/>
      <c r="BH699" s="13"/>
      <c r="BI699" s="13"/>
      <c r="BJ699" s="13"/>
      <c r="BK699" s="13"/>
      <c r="BL699" s="13"/>
      <c r="BM699" s="13"/>
      <c r="BN699" s="13"/>
      <c r="BO699" s="13"/>
      <c r="BP699" s="13"/>
      <c r="BQ699" s="15"/>
      <c r="BR699" s="15"/>
      <c r="BS699" s="15"/>
      <c r="BT699" s="15"/>
      <c r="BU699" s="15"/>
      <c r="BV699" s="15"/>
      <c r="BW699" s="15"/>
      <c r="BX699" s="15"/>
      <c r="BY699" s="15"/>
      <c r="BZ699" s="15"/>
      <c r="CA699" s="15"/>
      <c r="CB699" s="17"/>
      <c r="CC699" s="17"/>
      <c r="CD699" s="18"/>
      <c r="CE699" s="18"/>
      <c r="CF699" s="18"/>
      <c r="CG699" s="18"/>
      <c r="CH699" s="18"/>
    </row>
    <row r="700">
      <c r="A700" s="15"/>
      <c r="B700" s="16"/>
      <c r="C700" s="15"/>
      <c r="D700" s="9"/>
      <c r="E700" s="15"/>
      <c r="F700" s="15"/>
      <c r="G700" s="13"/>
      <c r="H700" s="13"/>
      <c r="I700" s="13"/>
      <c r="J700" s="13"/>
      <c r="K700" s="13"/>
      <c r="L700" s="13"/>
      <c r="M700" s="13"/>
      <c r="N700" s="13"/>
      <c r="O700" s="13"/>
      <c r="P700" s="13"/>
      <c r="Q700" s="13"/>
      <c r="R700" s="13"/>
      <c r="S700" s="13"/>
      <c r="T700" s="13"/>
      <c r="U700" s="13"/>
      <c r="V700" s="13"/>
      <c r="W700" s="13"/>
      <c r="X700" s="13"/>
      <c r="Y700" s="13"/>
      <c r="Z700" s="13"/>
      <c r="AA700" s="13"/>
      <c r="AB700" s="15"/>
      <c r="AC700" s="15"/>
      <c r="AD700" s="15"/>
      <c r="AE700" s="13"/>
      <c r="AF700" s="13"/>
      <c r="AG700" s="13"/>
      <c r="AH700" s="15"/>
      <c r="AI700" s="13"/>
      <c r="AJ700" s="13"/>
      <c r="AK700" s="13"/>
      <c r="AL700" s="13"/>
      <c r="AM700" s="15"/>
      <c r="AN700" s="13"/>
      <c r="AO700" s="15"/>
      <c r="AP700" s="15"/>
      <c r="AQ700" s="13"/>
      <c r="AR700" s="13"/>
      <c r="AS700" s="13"/>
      <c r="AT700" s="13"/>
      <c r="AU700" s="13"/>
      <c r="AV700" s="13"/>
      <c r="AW700" s="13"/>
      <c r="AX700" s="13"/>
      <c r="AY700" s="15"/>
      <c r="AZ700" s="15"/>
      <c r="BA700" s="16"/>
      <c r="BB700" s="15"/>
      <c r="BC700" s="15"/>
      <c r="BD700" s="13"/>
      <c r="BE700" s="13"/>
      <c r="BF700" s="13"/>
      <c r="BG700" s="13"/>
      <c r="BH700" s="13"/>
      <c r="BI700" s="13"/>
      <c r="BJ700" s="13"/>
      <c r="BK700" s="13"/>
      <c r="BL700" s="13"/>
      <c r="BM700" s="13"/>
      <c r="BN700" s="13"/>
      <c r="BO700" s="13"/>
      <c r="BP700" s="13"/>
      <c r="BQ700" s="15"/>
      <c r="BR700" s="15"/>
      <c r="BS700" s="15"/>
      <c r="BT700" s="15"/>
      <c r="BU700" s="15"/>
      <c r="BV700" s="15"/>
      <c r="BW700" s="15"/>
      <c r="BX700" s="15"/>
      <c r="BY700" s="15"/>
      <c r="BZ700" s="15"/>
      <c r="CA700" s="15"/>
      <c r="CB700" s="17"/>
      <c r="CC700" s="17"/>
      <c r="CD700" s="18"/>
      <c r="CE700" s="18"/>
      <c r="CF700" s="18"/>
      <c r="CG700" s="18"/>
      <c r="CH700" s="18"/>
    </row>
    <row r="701">
      <c r="A701" s="15"/>
      <c r="B701" s="16"/>
      <c r="C701" s="15"/>
      <c r="D701" s="9"/>
      <c r="E701" s="15"/>
      <c r="F701" s="15"/>
      <c r="G701" s="13"/>
      <c r="H701" s="13"/>
      <c r="I701" s="13"/>
      <c r="J701" s="13"/>
      <c r="K701" s="13"/>
      <c r="L701" s="13"/>
      <c r="M701" s="13"/>
      <c r="N701" s="13"/>
      <c r="O701" s="13"/>
      <c r="P701" s="13"/>
      <c r="Q701" s="13"/>
      <c r="R701" s="13"/>
      <c r="S701" s="13"/>
      <c r="T701" s="13"/>
      <c r="U701" s="13"/>
      <c r="V701" s="13"/>
      <c r="W701" s="13"/>
      <c r="X701" s="13"/>
      <c r="Y701" s="13"/>
      <c r="Z701" s="13"/>
      <c r="AA701" s="13"/>
      <c r="AB701" s="15"/>
      <c r="AC701" s="15"/>
      <c r="AD701" s="15"/>
      <c r="AE701" s="13"/>
      <c r="AF701" s="13"/>
      <c r="AG701" s="13"/>
      <c r="AH701" s="15"/>
      <c r="AI701" s="13"/>
      <c r="AJ701" s="13"/>
      <c r="AK701" s="13"/>
      <c r="AL701" s="13"/>
      <c r="AM701" s="15"/>
      <c r="AN701" s="13"/>
      <c r="AO701" s="15"/>
      <c r="AP701" s="15"/>
      <c r="AQ701" s="13"/>
      <c r="AR701" s="13"/>
      <c r="AS701" s="13"/>
      <c r="AT701" s="13"/>
      <c r="AU701" s="13"/>
      <c r="AV701" s="13"/>
      <c r="AW701" s="13"/>
      <c r="AX701" s="13"/>
      <c r="AY701" s="15"/>
      <c r="AZ701" s="15"/>
      <c r="BA701" s="16"/>
      <c r="BB701" s="15"/>
      <c r="BC701" s="15"/>
      <c r="BD701" s="13"/>
      <c r="BE701" s="13"/>
      <c r="BF701" s="13"/>
      <c r="BG701" s="13"/>
      <c r="BH701" s="13"/>
      <c r="BI701" s="13"/>
      <c r="BJ701" s="13"/>
      <c r="BK701" s="13"/>
      <c r="BL701" s="13"/>
      <c r="BM701" s="13"/>
      <c r="BN701" s="13"/>
      <c r="BO701" s="13"/>
      <c r="BP701" s="13"/>
      <c r="BQ701" s="15"/>
      <c r="BR701" s="15"/>
      <c r="BS701" s="15"/>
      <c r="BT701" s="15"/>
      <c r="BU701" s="15"/>
      <c r="BV701" s="15"/>
      <c r="BW701" s="15"/>
      <c r="BX701" s="15"/>
      <c r="BY701" s="15"/>
      <c r="BZ701" s="15"/>
      <c r="CA701" s="15"/>
      <c r="CB701" s="17"/>
      <c r="CC701" s="17"/>
      <c r="CD701" s="18"/>
      <c r="CE701" s="18"/>
      <c r="CF701" s="18"/>
      <c r="CG701" s="18"/>
      <c r="CH701" s="18"/>
    </row>
    <row r="702">
      <c r="A702" s="15"/>
      <c r="B702" s="16"/>
      <c r="C702" s="15"/>
      <c r="D702" s="9"/>
      <c r="E702" s="15"/>
      <c r="F702" s="15"/>
      <c r="G702" s="13"/>
      <c r="H702" s="13"/>
      <c r="I702" s="13"/>
      <c r="J702" s="13"/>
      <c r="K702" s="13"/>
      <c r="L702" s="13"/>
      <c r="M702" s="13"/>
      <c r="N702" s="13"/>
      <c r="O702" s="13"/>
      <c r="P702" s="13"/>
      <c r="Q702" s="13"/>
      <c r="R702" s="13"/>
      <c r="S702" s="13"/>
      <c r="T702" s="13"/>
      <c r="U702" s="13"/>
      <c r="V702" s="13"/>
      <c r="W702" s="13"/>
      <c r="X702" s="13"/>
      <c r="Y702" s="13"/>
      <c r="Z702" s="13"/>
      <c r="AA702" s="13"/>
      <c r="AB702" s="15"/>
      <c r="AC702" s="15"/>
      <c r="AD702" s="15"/>
      <c r="AE702" s="13"/>
      <c r="AF702" s="13"/>
      <c r="AG702" s="13"/>
      <c r="AH702" s="15"/>
      <c r="AI702" s="13"/>
      <c r="AJ702" s="13"/>
      <c r="AK702" s="13"/>
      <c r="AL702" s="13"/>
      <c r="AM702" s="15"/>
      <c r="AN702" s="13"/>
      <c r="AO702" s="15"/>
      <c r="AP702" s="15"/>
      <c r="AQ702" s="13"/>
      <c r="AR702" s="13"/>
      <c r="AS702" s="13"/>
      <c r="AT702" s="13"/>
      <c r="AU702" s="13"/>
      <c r="AV702" s="13"/>
      <c r="AW702" s="13"/>
      <c r="AX702" s="13"/>
      <c r="AY702" s="15"/>
      <c r="AZ702" s="15"/>
      <c r="BA702" s="16"/>
      <c r="BB702" s="15"/>
      <c r="BC702" s="15"/>
      <c r="BD702" s="13"/>
      <c r="BE702" s="13"/>
      <c r="BF702" s="13"/>
      <c r="BG702" s="13"/>
      <c r="BH702" s="13"/>
      <c r="BI702" s="13"/>
      <c r="BJ702" s="13"/>
      <c r="BK702" s="13"/>
      <c r="BL702" s="13"/>
      <c r="BM702" s="13"/>
      <c r="BN702" s="13"/>
      <c r="BO702" s="13"/>
      <c r="BP702" s="13"/>
      <c r="BQ702" s="15"/>
      <c r="BR702" s="15"/>
      <c r="BS702" s="15"/>
      <c r="BT702" s="15"/>
      <c r="BU702" s="15"/>
      <c r="BV702" s="15"/>
      <c r="BW702" s="15"/>
      <c r="BX702" s="15"/>
      <c r="BY702" s="15"/>
      <c r="BZ702" s="15"/>
      <c r="CA702" s="15"/>
      <c r="CB702" s="17"/>
      <c r="CC702" s="17"/>
      <c r="CD702" s="18"/>
      <c r="CE702" s="18"/>
      <c r="CF702" s="18"/>
      <c r="CG702" s="18"/>
      <c r="CH702" s="18"/>
    </row>
    <row r="703">
      <c r="A703" s="15"/>
      <c r="B703" s="16"/>
      <c r="C703" s="15"/>
      <c r="D703" s="9"/>
      <c r="E703" s="15"/>
      <c r="F703" s="15"/>
      <c r="G703" s="13"/>
      <c r="H703" s="13"/>
      <c r="I703" s="13"/>
      <c r="J703" s="13"/>
      <c r="K703" s="13"/>
      <c r="L703" s="13"/>
      <c r="M703" s="13"/>
      <c r="N703" s="13"/>
      <c r="O703" s="13"/>
      <c r="P703" s="13"/>
      <c r="Q703" s="13"/>
      <c r="R703" s="13"/>
      <c r="S703" s="13"/>
      <c r="T703" s="13"/>
      <c r="U703" s="13"/>
      <c r="V703" s="13"/>
      <c r="W703" s="13"/>
      <c r="X703" s="13"/>
      <c r="Y703" s="13"/>
      <c r="Z703" s="13"/>
      <c r="AA703" s="13"/>
      <c r="AB703" s="15"/>
      <c r="AC703" s="15"/>
      <c r="AD703" s="15"/>
      <c r="AE703" s="13"/>
      <c r="AF703" s="13"/>
      <c r="AG703" s="13"/>
      <c r="AH703" s="15"/>
      <c r="AI703" s="13"/>
      <c r="AJ703" s="13"/>
      <c r="AK703" s="13"/>
      <c r="AL703" s="13"/>
      <c r="AM703" s="15"/>
      <c r="AN703" s="13"/>
      <c r="AO703" s="15"/>
      <c r="AP703" s="15"/>
      <c r="AQ703" s="13"/>
      <c r="AR703" s="13"/>
      <c r="AS703" s="13"/>
      <c r="AT703" s="13"/>
      <c r="AU703" s="13"/>
      <c r="AV703" s="13"/>
      <c r="AW703" s="13"/>
      <c r="AX703" s="13"/>
      <c r="AY703" s="15"/>
      <c r="AZ703" s="15"/>
      <c r="BA703" s="16"/>
      <c r="BB703" s="15"/>
      <c r="BC703" s="15"/>
      <c r="BD703" s="13"/>
      <c r="BE703" s="13"/>
      <c r="BF703" s="13"/>
      <c r="BG703" s="13"/>
      <c r="BH703" s="13"/>
      <c r="BI703" s="13"/>
      <c r="BJ703" s="13"/>
      <c r="BK703" s="13"/>
      <c r="BL703" s="13"/>
      <c r="BM703" s="13"/>
      <c r="BN703" s="13"/>
      <c r="BO703" s="13"/>
      <c r="BP703" s="13"/>
      <c r="BQ703" s="15"/>
      <c r="BR703" s="15"/>
      <c r="BS703" s="15"/>
      <c r="BT703" s="15"/>
      <c r="BU703" s="15"/>
      <c r="BV703" s="15"/>
      <c r="BW703" s="15"/>
      <c r="BX703" s="15"/>
      <c r="BY703" s="15"/>
      <c r="BZ703" s="15"/>
      <c r="CA703" s="15"/>
      <c r="CB703" s="17"/>
      <c r="CC703" s="17"/>
      <c r="CD703" s="18"/>
      <c r="CE703" s="18"/>
      <c r="CF703" s="18"/>
      <c r="CG703" s="18"/>
      <c r="CH703" s="18"/>
    </row>
    <row r="704">
      <c r="A704" s="15"/>
      <c r="B704" s="16"/>
      <c r="C704" s="15"/>
      <c r="D704" s="9"/>
      <c r="E704" s="15"/>
      <c r="F704" s="15"/>
      <c r="G704" s="13"/>
      <c r="H704" s="13"/>
      <c r="I704" s="13"/>
      <c r="J704" s="13"/>
      <c r="K704" s="13"/>
      <c r="L704" s="13"/>
      <c r="M704" s="13"/>
      <c r="N704" s="13"/>
      <c r="O704" s="13"/>
      <c r="P704" s="13"/>
      <c r="Q704" s="13"/>
      <c r="R704" s="13"/>
      <c r="S704" s="13"/>
      <c r="T704" s="13"/>
      <c r="U704" s="13"/>
      <c r="V704" s="13"/>
      <c r="W704" s="13"/>
      <c r="X704" s="13"/>
      <c r="Y704" s="13"/>
      <c r="Z704" s="13"/>
      <c r="AA704" s="13"/>
      <c r="AB704" s="15"/>
      <c r="AC704" s="15"/>
      <c r="AD704" s="15"/>
      <c r="AE704" s="13"/>
      <c r="AF704" s="13"/>
      <c r="AG704" s="13"/>
      <c r="AH704" s="15"/>
      <c r="AI704" s="13"/>
      <c r="AJ704" s="13"/>
      <c r="AK704" s="13"/>
      <c r="AL704" s="13"/>
      <c r="AM704" s="15"/>
      <c r="AN704" s="13"/>
      <c r="AO704" s="15"/>
      <c r="AP704" s="15"/>
      <c r="AQ704" s="13"/>
      <c r="AR704" s="13"/>
      <c r="AS704" s="13"/>
      <c r="AT704" s="13"/>
      <c r="AU704" s="13"/>
      <c r="AV704" s="13"/>
      <c r="AW704" s="13"/>
      <c r="AX704" s="13"/>
      <c r="AY704" s="15"/>
      <c r="AZ704" s="15"/>
      <c r="BA704" s="16"/>
      <c r="BB704" s="15"/>
      <c r="BC704" s="15"/>
      <c r="BD704" s="13"/>
      <c r="BE704" s="13"/>
      <c r="BF704" s="13"/>
      <c r="BG704" s="13"/>
      <c r="BH704" s="13"/>
      <c r="BI704" s="13"/>
      <c r="BJ704" s="13"/>
      <c r="BK704" s="13"/>
      <c r="BL704" s="13"/>
      <c r="BM704" s="13"/>
      <c r="BN704" s="13"/>
      <c r="BO704" s="13"/>
      <c r="BP704" s="13"/>
      <c r="BQ704" s="15"/>
      <c r="BR704" s="15"/>
      <c r="BS704" s="15"/>
      <c r="BT704" s="15"/>
      <c r="BU704" s="15"/>
      <c r="BV704" s="15"/>
      <c r="BW704" s="15"/>
      <c r="BX704" s="15"/>
      <c r="BY704" s="15"/>
      <c r="BZ704" s="15"/>
      <c r="CA704" s="15"/>
      <c r="CB704" s="17"/>
      <c r="CC704" s="17"/>
      <c r="CD704" s="18"/>
      <c r="CE704" s="18"/>
      <c r="CF704" s="18"/>
      <c r="CG704" s="18"/>
      <c r="CH704" s="18"/>
    </row>
    <row r="705">
      <c r="A705" s="15"/>
      <c r="B705" s="16"/>
      <c r="C705" s="15"/>
      <c r="D705" s="9"/>
      <c r="E705" s="15"/>
      <c r="F705" s="15"/>
      <c r="G705" s="13"/>
      <c r="H705" s="13"/>
      <c r="I705" s="13"/>
      <c r="J705" s="13"/>
      <c r="K705" s="13"/>
      <c r="L705" s="13"/>
      <c r="M705" s="13"/>
      <c r="N705" s="13"/>
      <c r="O705" s="13"/>
      <c r="P705" s="13"/>
      <c r="Q705" s="13"/>
      <c r="R705" s="13"/>
      <c r="S705" s="13"/>
      <c r="T705" s="13"/>
      <c r="U705" s="13"/>
      <c r="V705" s="13"/>
      <c r="W705" s="13"/>
      <c r="X705" s="13"/>
      <c r="Y705" s="13"/>
      <c r="Z705" s="13"/>
      <c r="AA705" s="13"/>
      <c r="AB705" s="15"/>
      <c r="AC705" s="15"/>
      <c r="AD705" s="15"/>
      <c r="AE705" s="13"/>
      <c r="AF705" s="13"/>
      <c r="AG705" s="13"/>
      <c r="AH705" s="15"/>
      <c r="AI705" s="13"/>
      <c r="AJ705" s="13"/>
      <c r="AK705" s="13"/>
      <c r="AL705" s="13"/>
      <c r="AM705" s="15"/>
      <c r="AN705" s="13"/>
      <c r="AO705" s="15"/>
      <c r="AP705" s="15"/>
      <c r="AQ705" s="13"/>
      <c r="AR705" s="13"/>
      <c r="AS705" s="13"/>
      <c r="AT705" s="13"/>
      <c r="AU705" s="13"/>
      <c r="AV705" s="13"/>
      <c r="AW705" s="13"/>
      <c r="AX705" s="13"/>
      <c r="AY705" s="15"/>
      <c r="AZ705" s="15"/>
      <c r="BA705" s="16"/>
      <c r="BB705" s="15"/>
      <c r="BC705" s="15"/>
      <c r="BD705" s="13"/>
      <c r="BE705" s="13"/>
      <c r="BF705" s="13"/>
      <c r="BG705" s="13"/>
      <c r="BH705" s="13"/>
      <c r="BI705" s="13"/>
      <c r="BJ705" s="13"/>
      <c r="BK705" s="13"/>
      <c r="BL705" s="13"/>
      <c r="BM705" s="13"/>
      <c r="BN705" s="13"/>
      <c r="BO705" s="13"/>
      <c r="BP705" s="13"/>
      <c r="BQ705" s="15"/>
      <c r="BR705" s="15"/>
      <c r="BS705" s="15"/>
      <c r="BT705" s="15"/>
      <c r="BU705" s="15"/>
      <c r="BV705" s="15"/>
      <c r="BW705" s="15"/>
      <c r="BX705" s="15"/>
      <c r="BY705" s="15"/>
      <c r="BZ705" s="15"/>
      <c r="CA705" s="15"/>
      <c r="CB705" s="17"/>
      <c r="CC705" s="17"/>
      <c r="CD705" s="18"/>
      <c r="CE705" s="18"/>
      <c r="CF705" s="18"/>
      <c r="CG705" s="18"/>
      <c r="CH705" s="18"/>
    </row>
    <row r="706">
      <c r="A706" s="15"/>
      <c r="B706" s="16"/>
      <c r="C706" s="15"/>
      <c r="D706" s="9"/>
      <c r="E706" s="15"/>
      <c r="F706" s="15"/>
      <c r="G706" s="13"/>
      <c r="H706" s="13"/>
      <c r="I706" s="13"/>
      <c r="J706" s="13"/>
      <c r="K706" s="13"/>
      <c r="L706" s="13"/>
      <c r="M706" s="13"/>
      <c r="N706" s="13"/>
      <c r="O706" s="13"/>
      <c r="P706" s="13"/>
      <c r="Q706" s="13"/>
      <c r="R706" s="13"/>
      <c r="S706" s="13"/>
      <c r="T706" s="13"/>
      <c r="U706" s="13"/>
      <c r="V706" s="13"/>
      <c r="W706" s="13"/>
      <c r="X706" s="13"/>
      <c r="Y706" s="13"/>
      <c r="Z706" s="13"/>
      <c r="AA706" s="13"/>
      <c r="AB706" s="15"/>
      <c r="AC706" s="15"/>
      <c r="AD706" s="15"/>
      <c r="AE706" s="13"/>
      <c r="AF706" s="13"/>
      <c r="AG706" s="13"/>
      <c r="AH706" s="15"/>
      <c r="AI706" s="13"/>
      <c r="AJ706" s="13"/>
      <c r="AK706" s="13"/>
      <c r="AL706" s="13"/>
      <c r="AM706" s="15"/>
      <c r="AN706" s="13"/>
      <c r="AO706" s="15"/>
      <c r="AP706" s="15"/>
      <c r="AQ706" s="13"/>
      <c r="AR706" s="13"/>
      <c r="AS706" s="13"/>
      <c r="AT706" s="13"/>
      <c r="AU706" s="13"/>
      <c r="AV706" s="13"/>
      <c r="AW706" s="13"/>
      <c r="AX706" s="13"/>
      <c r="AY706" s="15"/>
      <c r="AZ706" s="15"/>
      <c r="BA706" s="16"/>
      <c r="BB706" s="15"/>
      <c r="BC706" s="15"/>
      <c r="BD706" s="13"/>
      <c r="BE706" s="13"/>
      <c r="BF706" s="13"/>
      <c r="BG706" s="13"/>
      <c r="BH706" s="13"/>
      <c r="BI706" s="13"/>
      <c r="BJ706" s="13"/>
      <c r="BK706" s="13"/>
      <c r="BL706" s="13"/>
      <c r="BM706" s="13"/>
      <c r="BN706" s="13"/>
      <c r="BO706" s="13"/>
      <c r="BP706" s="13"/>
      <c r="BQ706" s="15"/>
      <c r="BR706" s="15"/>
      <c r="BS706" s="15"/>
      <c r="BT706" s="15"/>
      <c r="BU706" s="15"/>
      <c r="BV706" s="15"/>
      <c r="BW706" s="15"/>
      <c r="BX706" s="15"/>
      <c r="BY706" s="15"/>
      <c r="BZ706" s="15"/>
      <c r="CA706" s="15"/>
      <c r="CB706" s="17"/>
      <c r="CC706" s="17"/>
      <c r="CD706" s="18"/>
      <c r="CE706" s="18"/>
      <c r="CF706" s="18"/>
      <c r="CG706" s="18"/>
      <c r="CH706" s="18"/>
    </row>
    <row r="707">
      <c r="A707" s="15"/>
      <c r="B707" s="16"/>
      <c r="C707" s="15"/>
      <c r="D707" s="9"/>
      <c r="E707" s="15"/>
      <c r="F707" s="15"/>
      <c r="G707" s="13"/>
      <c r="H707" s="13"/>
      <c r="I707" s="13"/>
      <c r="J707" s="13"/>
      <c r="K707" s="13"/>
      <c r="L707" s="13"/>
      <c r="M707" s="13"/>
      <c r="N707" s="13"/>
      <c r="O707" s="13"/>
      <c r="P707" s="13"/>
      <c r="Q707" s="13"/>
      <c r="R707" s="13"/>
      <c r="S707" s="13"/>
      <c r="T707" s="13"/>
      <c r="U707" s="13"/>
      <c r="V707" s="13"/>
      <c r="W707" s="13"/>
      <c r="X707" s="13"/>
      <c r="Y707" s="13"/>
      <c r="Z707" s="13"/>
      <c r="AA707" s="13"/>
      <c r="AB707" s="15"/>
      <c r="AC707" s="15"/>
      <c r="AD707" s="15"/>
      <c r="AE707" s="13"/>
      <c r="AF707" s="13"/>
      <c r="AG707" s="13"/>
      <c r="AH707" s="15"/>
      <c r="AI707" s="13"/>
      <c r="AJ707" s="13"/>
      <c r="AK707" s="13"/>
      <c r="AL707" s="13"/>
      <c r="AM707" s="15"/>
      <c r="AN707" s="13"/>
      <c r="AO707" s="15"/>
      <c r="AP707" s="15"/>
      <c r="AQ707" s="13"/>
      <c r="AR707" s="13"/>
      <c r="AS707" s="13"/>
      <c r="AT707" s="13"/>
      <c r="AU707" s="13"/>
      <c r="AV707" s="13"/>
      <c r="AW707" s="13"/>
      <c r="AX707" s="13"/>
      <c r="AY707" s="15"/>
      <c r="AZ707" s="15"/>
      <c r="BA707" s="16"/>
      <c r="BB707" s="15"/>
      <c r="BC707" s="15"/>
      <c r="BD707" s="13"/>
      <c r="BE707" s="13"/>
      <c r="BF707" s="13"/>
      <c r="BG707" s="13"/>
      <c r="BH707" s="13"/>
      <c r="BI707" s="13"/>
      <c r="BJ707" s="13"/>
      <c r="BK707" s="13"/>
      <c r="BL707" s="13"/>
      <c r="BM707" s="13"/>
      <c r="BN707" s="13"/>
      <c r="BO707" s="13"/>
      <c r="BP707" s="13"/>
      <c r="BQ707" s="15"/>
      <c r="BR707" s="15"/>
      <c r="BS707" s="15"/>
      <c r="BT707" s="15"/>
      <c r="BU707" s="15"/>
      <c r="BV707" s="15"/>
      <c r="BW707" s="15"/>
      <c r="BX707" s="15"/>
      <c r="BY707" s="15"/>
      <c r="BZ707" s="15"/>
      <c r="CA707" s="15"/>
      <c r="CB707" s="17"/>
      <c r="CC707" s="17"/>
      <c r="CD707" s="18"/>
      <c r="CE707" s="18"/>
      <c r="CF707" s="18"/>
      <c r="CG707" s="18"/>
      <c r="CH707" s="18"/>
    </row>
    <row r="708">
      <c r="A708" s="15"/>
      <c r="B708" s="16"/>
      <c r="C708" s="15"/>
      <c r="D708" s="9"/>
      <c r="E708" s="15"/>
      <c r="F708" s="15"/>
      <c r="G708" s="13"/>
      <c r="H708" s="13"/>
      <c r="I708" s="13"/>
      <c r="J708" s="13"/>
      <c r="K708" s="13"/>
      <c r="L708" s="13"/>
      <c r="M708" s="13"/>
      <c r="N708" s="13"/>
      <c r="O708" s="13"/>
      <c r="P708" s="13"/>
      <c r="Q708" s="13"/>
      <c r="R708" s="13"/>
      <c r="S708" s="13"/>
      <c r="T708" s="13"/>
      <c r="U708" s="13"/>
      <c r="V708" s="13"/>
      <c r="W708" s="13"/>
      <c r="X708" s="13"/>
      <c r="Y708" s="13"/>
      <c r="Z708" s="13"/>
      <c r="AA708" s="13"/>
      <c r="AB708" s="15"/>
      <c r="AC708" s="15"/>
      <c r="AD708" s="15"/>
      <c r="AE708" s="13"/>
      <c r="AF708" s="13"/>
      <c r="AG708" s="13"/>
      <c r="AH708" s="15"/>
      <c r="AI708" s="13"/>
      <c r="AJ708" s="13"/>
      <c r="AK708" s="13"/>
      <c r="AL708" s="13"/>
      <c r="AM708" s="15"/>
      <c r="AN708" s="13"/>
      <c r="AO708" s="15"/>
      <c r="AP708" s="15"/>
      <c r="AQ708" s="13"/>
      <c r="AR708" s="13"/>
      <c r="AS708" s="13"/>
      <c r="AT708" s="13"/>
      <c r="AU708" s="13"/>
      <c r="AV708" s="13"/>
      <c r="AW708" s="13"/>
      <c r="AX708" s="13"/>
      <c r="AY708" s="15"/>
      <c r="AZ708" s="15"/>
      <c r="BA708" s="16"/>
      <c r="BB708" s="15"/>
      <c r="BC708" s="15"/>
      <c r="BD708" s="13"/>
      <c r="BE708" s="13"/>
      <c r="BF708" s="13"/>
      <c r="BG708" s="13"/>
      <c r="BH708" s="13"/>
      <c r="BI708" s="13"/>
      <c r="BJ708" s="13"/>
      <c r="BK708" s="13"/>
      <c r="BL708" s="13"/>
      <c r="BM708" s="13"/>
      <c r="BN708" s="13"/>
      <c r="BO708" s="13"/>
      <c r="BP708" s="13"/>
      <c r="BQ708" s="15"/>
      <c r="BR708" s="15"/>
      <c r="BS708" s="15"/>
      <c r="BT708" s="15"/>
      <c r="BU708" s="15"/>
      <c r="BV708" s="15"/>
      <c r="BW708" s="15"/>
      <c r="BX708" s="15"/>
      <c r="BY708" s="15"/>
      <c r="BZ708" s="15"/>
      <c r="CA708" s="15"/>
      <c r="CB708" s="17"/>
      <c r="CC708" s="17"/>
      <c r="CD708" s="18"/>
      <c r="CE708" s="18"/>
      <c r="CF708" s="18"/>
      <c r="CG708" s="18"/>
      <c r="CH708" s="18"/>
    </row>
    <row r="709">
      <c r="A709" s="15"/>
      <c r="B709" s="16"/>
      <c r="C709" s="15"/>
      <c r="D709" s="9"/>
      <c r="E709" s="15"/>
      <c r="F709" s="15"/>
      <c r="G709" s="13"/>
      <c r="H709" s="13"/>
      <c r="I709" s="13"/>
      <c r="J709" s="13"/>
      <c r="K709" s="13"/>
      <c r="L709" s="13"/>
      <c r="M709" s="13"/>
      <c r="N709" s="13"/>
      <c r="O709" s="13"/>
      <c r="P709" s="13"/>
      <c r="Q709" s="13"/>
      <c r="R709" s="13"/>
      <c r="S709" s="13"/>
      <c r="T709" s="13"/>
      <c r="U709" s="13"/>
      <c r="V709" s="13"/>
      <c r="W709" s="13"/>
      <c r="X709" s="13"/>
      <c r="Y709" s="13"/>
      <c r="Z709" s="13"/>
      <c r="AA709" s="13"/>
      <c r="AB709" s="15"/>
      <c r="AC709" s="15"/>
      <c r="AD709" s="15"/>
      <c r="AE709" s="13"/>
      <c r="AF709" s="13"/>
      <c r="AG709" s="13"/>
      <c r="AH709" s="15"/>
      <c r="AI709" s="13"/>
      <c r="AJ709" s="13"/>
      <c r="AK709" s="13"/>
      <c r="AL709" s="13"/>
      <c r="AM709" s="15"/>
      <c r="AN709" s="13"/>
      <c r="AO709" s="15"/>
      <c r="AP709" s="15"/>
      <c r="AQ709" s="13"/>
      <c r="AR709" s="13"/>
      <c r="AS709" s="13"/>
      <c r="AT709" s="13"/>
      <c r="AU709" s="13"/>
      <c r="AV709" s="13"/>
      <c r="AW709" s="13"/>
      <c r="AX709" s="13"/>
      <c r="AY709" s="15"/>
      <c r="AZ709" s="15"/>
      <c r="BA709" s="16"/>
      <c r="BB709" s="15"/>
      <c r="BC709" s="15"/>
      <c r="BD709" s="13"/>
      <c r="BE709" s="13"/>
      <c r="BF709" s="13"/>
      <c r="BG709" s="13"/>
      <c r="BH709" s="13"/>
      <c r="BI709" s="13"/>
      <c r="BJ709" s="13"/>
      <c r="BK709" s="13"/>
      <c r="BL709" s="13"/>
      <c r="BM709" s="13"/>
      <c r="BN709" s="13"/>
      <c r="BO709" s="13"/>
      <c r="BP709" s="13"/>
      <c r="BQ709" s="15"/>
      <c r="BR709" s="15"/>
      <c r="BS709" s="15"/>
      <c r="BT709" s="15"/>
      <c r="BU709" s="15"/>
      <c r="BV709" s="15"/>
      <c r="BW709" s="15"/>
      <c r="BX709" s="15"/>
      <c r="BY709" s="15"/>
      <c r="BZ709" s="15"/>
      <c r="CA709" s="15"/>
      <c r="CB709" s="17"/>
      <c r="CC709" s="17"/>
      <c r="CD709" s="18"/>
      <c r="CE709" s="18"/>
      <c r="CF709" s="18"/>
      <c r="CG709" s="18"/>
      <c r="CH709" s="18"/>
    </row>
    <row r="710">
      <c r="A710" s="15"/>
      <c r="B710" s="16"/>
      <c r="C710" s="15"/>
      <c r="D710" s="9"/>
      <c r="E710" s="15"/>
      <c r="F710" s="15"/>
      <c r="G710" s="13"/>
      <c r="H710" s="13"/>
      <c r="I710" s="13"/>
      <c r="J710" s="13"/>
      <c r="K710" s="13"/>
      <c r="L710" s="13"/>
      <c r="M710" s="13"/>
      <c r="N710" s="13"/>
      <c r="O710" s="13"/>
      <c r="P710" s="13"/>
      <c r="Q710" s="13"/>
      <c r="R710" s="13"/>
      <c r="S710" s="13"/>
      <c r="T710" s="13"/>
      <c r="U710" s="13"/>
      <c r="V710" s="13"/>
      <c r="W710" s="13"/>
      <c r="X710" s="13"/>
      <c r="Y710" s="13"/>
      <c r="Z710" s="13"/>
      <c r="AA710" s="13"/>
      <c r="AB710" s="15"/>
      <c r="AC710" s="15"/>
      <c r="AD710" s="15"/>
      <c r="AE710" s="13"/>
      <c r="AF710" s="13"/>
      <c r="AG710" s="13"/>
      <c r="AH710" s="15"/>
      <c r="AI710" s="13"/>
      <c r="AJ710" s="13"/>
      <c r="AK710" s="13"/>
      <c r="AL710" s="13"/>
      <c r="AM710" s="15"/>
      <c r="AN710" s="13"/>
      <c r="AO710" s="15"/>
      <c r="AP710" s="15"/>
      <c r="AQ710" s="13"/>
      <c r="AR710" s="13"/>
      <c r="AS710" s="13"/>
      <c r="AT710" s="13"/>
      <c r="AU710" s="13"/>
      <c r="AV710" s="13"/>
      <c r="AW710" s="13"/>
      <c r="AX710" s="13"/>
      <c r="AY710" s="15"/>
      <c r="AZ710" s="15"/>
      <c r="BA710" s="16"/>
      <c r="BB710" s="15"/>
      <c r="BC710" s="15"/>
      <c r="BD710" s="13"/>
      <c r="BE710" s="13"/>
      <c r="BF710" s="13"/>
      <c r="BG710" s="13"/>
      <c r="BH710" s="13"/>
      <c r="BI710" s="13"/>
      <c r="BJ710" s="13"/>
      <c r="BK710" s="13"/>
      <c r="BL710" s="13"/>
      <c r="BM710" s="13"/>
      <c r="BN710" s="13"/>
      <c r="BO710" s="13"/>
      <c r="BP710" s="13"/>
      <c r="BQ710" s="15"/>
      <c r="BR710" s="15"/>
      <c r="BS710" s="15"/>
      <c r="BT710" s="15"/>
      <c r="BU710" s="15"/>
      <c r="BV710" s="15"/>
      <c r="BW710" s="15"/>
      <c r="BX710" s="15"/>
      <c r="BY710" s="15"/>
      <c r="BZ710" s="15"/>
      <c r="CA710" s="15"/>
      <c r="CB710" s="17"/>
      <c r="CC710" s="17"/>
      <c r="CD710" s="18"/>
      <c r="CE710" s="18"/>
      <c r="CF710" s="18"/>
      <c r="CG710" s="18"/>
      <c r="CH710" s="18"/>
    </row>
    <row r="711">
      <c r="A711" s="15"/>
      <c r="B711" s="16"/>
      <c r="C711" s="15"/>
      <c r="D711" s="9"/>
      <c r="E711" s="15"/>
      <c r="F711" s="15"/>
      <c r="G711" s="13"/>
      <c r="H711" s="13"/>
      <c r="I711" s="13"/>
      <c r="J711" s="13"/>
      <c r="K711" s="13"/>
      <c r="L711" s="13"/>
      <c r="M711" s="13"/>
      <c r="N711" s="13"/>
      <c r="O711" s="13"/>
      <c r="P711" s="13"/>
      <c r="Q711" s="13"/>
      <c r="R711" s="13"/>
      <c r="S711" s="13"/>
      <c r="T711" s="13"/>
      <c r="U711" s="13"/>
      <c r="V711" s="13"/>
      <c r="W711" s="13"/>
      <c r="X711" s="13"/>
      <c r="Y711" s="13"/>
      <c r="Z711" s="13"/>
      <c r="AA711" s="13"/>
      <c r="AB711" s="15"/>
      <c r="AC711" s="15"/>
      <c r="AD711" s="15"/>
      <c r="AE711" s="13"/>
      <c r="AF711" s="13"/>
      <c r="AG711" s="13"/>
      <c r="AH711" s="15"/>
      <c r="AI711" s="13"/>
      <c r="AJ711" s="13"/>
      <c r="AK711" s="13"/>
      <c r="AL711" s="13"/>
      <c r="AM711" s="15"/>
      <c r="AN711" s="13"/>
      <c r="AO711" s="15"/>
      <c r="AP711" s="15"/>
      <c r="AQ711" s="13"/>
      <c r="AR711" s="13"/>
      <c r="AS711" s="13"/>
      <c r="AT711" s="13"/>
      <c r="AU711" s="13"/>
      <c r="AV711" s="13"/>
      <c r="AW711" s="13"/>
      <c r="AX711" s="13"/>
      <c r="AY711" s="15"/>
      <c r="AZ711" s="15"/>
      <c r="BA711" s="16"/>
      <c r="BB711" s="15"/>
      <c r="BC711" s="15"/>
      <c r="BD711" s="13"/>
      <c r="BE711" s="13"/>
      <c r="BF711" s="13"/>
      <c r="BG711" s="13"/>
      <c r="BH711" s="13"/>
      <c r="BI711" s="13"/>
      <c r="BJ711" s="13"/>
      <c r="BK711" s="13"/>
      <c r="BL711" s="13"/>
      <c r="BM711" s="13"/>
      <c r="BN711" s="13"/>
      <c r="BO711" s="13"/>
      <c r="BP711" s="13"/>
      <c r="BQ711" s="15"/>
      <c r="BR711" s="15"/>
      <c r="BS711" s="15"/>
      <c r="BT711" s="15"/>
      <c r="BU711" s="15"/>
      <c r="BV711" s="15"/>
      <c r="BW711" s="15"/>
      <c r="BX711" s="15"/>
      <c r="BY711" s="15"/>
      <c r="BZ711" s="15"/>
      <c r="CA711" s="15"/>
      <c r="CB711" s="17"/>
      <c r="CC711" s="17"/>
      <c r="CD711" s="18"/>
      <c r="CE711" s="18"/>
      <c r="CF711" s="18"/>
      <c r="CG711" s="18"/>
      <c r="CH711" s="18"/>
    </row>
    <row r="712">
      <c r="A712" s="15"/>
      <c r="B712" s="16"/>
      <c r="C712" s="15"/>
      <c r="D712" s="9"/>
      <c r="E712" s="15"/>
      <c r="F712" s="15"/>
      <c r="G712" s="13"/>
      <c r="H712" s="13"/>
      <c r="I712" s="13"/>
      <c r="J712" s="13"/>
      <c r="K712" s="13"/>
      <c r="L712" s="13"/>
      <c r="M712" s="13"/>
      <c r="N712" s="13"/>
      <c r="O712" s="13"/>
      <c r="P712" s="13"/>
      <c r="Q712" s="13"/>
      <c r="R712" s="13"/>
      <c r="S712" s="13"/>
      <c r="T712" s="13"/>
      <c r="U712" s="13"/>
      <c r="V712" s="13"/>
      <c r="W712" s="13"/>
      <c r="X712" s="13"/>
      <c r="Y712" s="13"/>
      <c r="Z712" s="13"/>
      <c r="AA712" s="13"/>
      <c r="AB712" s="15"/>
      <c r="AC712" s="15"/>
      <c r="AD712" s="15"/>
      <c r="AE712" s="13"/>
      <c r="AF712" s="13"/>
      <c r="AG712" s="13"/>
      <c r="AH712" s="15"/>
      <c r="AI712" s="13"/>
      <c r="AJ712" s="13"/>
      <c r="AK712" s="13"/>
      <c r="AL712" s="13"/>
      <c r="AM712" s="15"/>
      <c r="AN712" s="13"/>
      <c r="AO712" s="15"/>
      <c r="AP712" s="15"/>
      <c r="AQ712" s="13"/>
      <c r="AR712" s="13"/>
      <c r="AS712" s="13"/>
      <c r="AT712" s="13"/>
      <c r="AU712" s="13"/>
      <c r="AV712" s="13"/>
      <c r="AW712" s="13"/>
      <c r="AX712" s="13"/>
      <c r="AY712" s="15"/>
      <c r="AZ712" s="15"/>
      <c r="BA712" s="16"/>
      <c r="BB712" s="15"/>
      <c r="BC712" s="15"/>
      <c r="BD712" s="13"/>
      <c r="BE712" s="13"/>
      <c r="BF712" s="13"/>
      <c r="BG712" s="13"/>
      <c r="BH712" s="13"/>
      <c r="BI712" s="13"/>
      <c r="BJ712" s="13"/>
      <c r="BK712" s="13"/>
      <c r="BL712" s="13"/>
      <c r="BM712" s="13"/>
      <c r="BN712" s="13"/>
      <c r="BO712" s="13"/>
      <c r="BP712" s="13"/>
      <c r="BQ712" s="15"/>
      <c r="BR712" s="15"/>
      <c r="BS712" s="15"/>
      <c r="BT712" s="15"/>
      <c r="BU712" s="15"/>
      <c r="BV712" s="15"/>
      <c r="BW712" s="15"/>
      <c r="BX712" s="15"/>
      <c r="BY712" s="15"/>
      <c r="BZ712" s="15"/>
      <c r="CA712" s="15"/>
      <c r="CB712" s="17"/>
      <c r="CC712" s="17"/>
      <c r="CD712" s="18"/>
      <c r="CE712" s="18"/>
      <c r="CF712" s="18"/>
      <c r="CG712" s="18"/>
      <c r="CH712" s="18"/>
    </row>
    <row r="713">
      <c r="A713" s="15"/>
      <c r="B713" s="16"/>
      <c r="C713" s="15"/>
      <c r="D713" s="9"/>
      <c r="E713" s="15"/>
      <c r="F713" s="15"/>
      <c r="G713" s="13"/>
      <c r="H713" s="13"/>
      <c r="I713" s="13"/>
      <c r="J713" s="13"/>
      <c r="K713" s="13"/>
      <c r="L713" s="13"/>
      <c r="M713" s="13"/>
      <c r="N713" s="13"/>
      <c r="O713" s="13"/>
      <c r="P713" s="13"/>
      <c r="Q713" s="13"/>
      <c r="R713" s="13"/>
      <c r="S713" s="13"/>
      <c r="T713" s="13"/>
      <c r="U713" s="13"/>
      <c r="V713" s="13"/>
      <c r="W713" s="13"/>
      <c r="X713" s="13"/>
      <c r="Y713" s="13"/>
      <c r="Z713" s="13"/>
      <c r="AA713" s="13"/>
      <c r="AB713" s="15"/>
      <c r="AC713" s="15"/>
      <c r="AD713" s="15"/>
      <c r="AE713" s="13"/>
      <c r="AF713" s="13"/>
      <c r="AG713" s="13"/>
      <c r="AH713" s="15"/>
      <c r="AI713" s="13"/>
      <c r="AJ713" s="13"/>
      <c r="AK713" s="13"/>
      <c r="AL713" s="13"/>
      <c r="AM713" s="15"/>
      <c r="AN713" s="13"/>
      <c r="AO713" s="15"/>
      <c r="AP713" s="15"/>
      <c r="AQ713" s="13"/>
      <c r="AR713" s="13"/>
      <c r="AS713" s="13"/>
      <c r="AT713" s="13"/>
      <c r="AU713" s="13"/>
      <c r="AV713" s="13"/>
      <c r="AW713" s="13"/>
      <c r="AX713" s="13"/>
      <c r="AY713" s="15"/>
      <c r="AZ713" s="15"/>
      <c r="BA713" s="16"/>
      <c r="BB713" s="15"/>
      <c r="BC713" s="15"/>
      <c r="BD713" s="13"/>
      <c r="BE713" s="13"/>
      <c r="BF713" s="13"/>
      <c r="BG713" s="13"/>
      <c r="BH713" s="13"/>
      <c r="BI713" s="13"/>
      <c r="BJ713" s="13"/>
      <c r="BK713" s="13"/>
      <c r="BL713" s="13"/>
      <c r="BM713" s="13"/>
      <c r="BN713" s="13"/>
      <c r="BO713" s="13"/>
      <c r="BP713" s="13"/>
      <c r="BQ713" s="15"/>
      <c r="BR713" s="15"/>
      <c r="BS713" s="15"/>
      <c r="BT713" s="15"/>
      <c r="BU713" s="15"/>
      <c r="BV713" s="15"/>
      <c r="BW713" s="15"/>
      <c r="BX713" s="15"/>
      <c r="BY713" s="15"/>
      <c r="BZ713" s="15"/>
      <c r="CA713" s="15"/>
      <c r="CB713" s="17"/>
      <c r="CC713" s="17"/>
      <c r="CD713" s="18"/>
      <c r="CE713" s="18"/>
      <c r="CF713" s="18"/>
      <c r="CG713" s="18"/>
      <c r="CH713" s="18"/>
    </row>
    <row r="714">
      <c r="A714" s="15"/>
      <c r="B714" s="16"/>
      <c r="C714" s="15"/>
      <c r="D714" s="9"/>
      <c r="E714" s="15"/>
      <c r="F714" s="15"/>
      <c r="G714" s="13"/>
      <c r="H714" s="13"/>
      <c r="I714" s="13"/>
      <c r="J714" s="13"/>
      <c r="K714" s="13"/>
      <c r="L714" s="13"/>
      <c r="M714" s="13"/>
      <c r="N714" s="13"/>
      <c r="O714" s="13"/>
      <c r="P714" s="13"/>
      <c r="Q714" s="13"/>
      <c r="R714" s="13"/>
      <c r="S714" s="13"/>
      <c r="T714" s="13"/>
      <c r="U714" s="13"/>
      <c r="V714" s="13"/>
      <c r="W714" s="13"/>
      <c r="X714" s="13"/>
      <c r="Y714" s="13"/>
      <c r="Z714" s="13"/>
      <c r="AA714" s="13"/>
      <c r="AB714" s="15"/>
      <c r="AC714" s="15"/>
      <c r="AD714" s="15"/>
      <c r="AE714" s="13"/>
      <c r="AF714" s="13"/>
      <c r="AG714" s="13"/>
      <c r="AH714" s="15"/>
      <c r="AI714" s="13"/>
      <c r="AJ714" s="13"/>
      <c r="AK714" s="13"/>
      <c r="AL714" s="13"/>
      <c r="AM714" s="15"/>
      <c r="AN714" s="13"/>
      <c r="AO714" s="15"/>
      <c r="AP714" s="15"/>
      <c r="AQ714" s="13"/>
      <c r="AR714" s="13"/>
      <c r="AS714" s="13"/>
      <c r="AT714" s="13"/>
      <c r="AU714" s="13"/>
      <c r="AV714" s="13"/>
      <c r="AW714" s="13"/>
      <c r="AX714" s="13"/>
      <c r="AY714" s="15"/>
      <c r="AZ714" s="15"/>
      <c r="BA714" s="16"/>
      <c r="BB714" s="15"/>
      <c r="BC714" s="15"/>
      <c r="BD714" s="13"/>
      <c r="BE714" s="13"/>
      <c r="BF714" s="13"/>
      <c r="BG714" s="13"/>
      <c r="BH714" s="13"/>
      <c r="BI714" s="13"/>
      <c r="BJ714" s="13"/>
      <c r="BK714" s="13"/>
      <c r="BL714" s="13"/>
      <c r="BM714" s="13"/>
      <c r="BN714" s="13"/>
      <c r="BO714" s="13"/>
      <c r="BP714" s="13"/>
      <c r="BQ714" s="15"/>
      <c r="BR714" s="15"/>
      <c r="BS714" s="15"/>
      <c r="BT714" s="15"/>
      <c r="BU714" s="15"/>
      <c r="BV714" s="15"/>
      <c r="BW714" s="15"/>
      <c r="BX714" s="15"/>
      <c r="BY714" s="15"/>
      <c r="BZ714" s="15"/>
      <c r="CA714" s="15"/>
      <c r="CB714" s="17"/>
      <c r="CC714" s="17"/>
      <c r="CD714" s="18"/>
      <c r="CE714" s="18"/>
      <c r="CF714" s="18"/>
      <c r="CG714" s="18"/>
      <c r="CH714" s="18"/>
    </row>
    <row r="715">
      <c r="A715" s="15"/>
      <c r="B715" s="16"/>
      <c r="C715" s="15"/>
      <c r="D715" s="9"/>
      <c r="E715" s="15"/>
      <c r="F715" s="15"/>
      <c r="G715" s="13"/>
      <c r="H715" s="13"/>
      <c r="I715" s="13"/>
      <c r="J715" s="13"/>
      <c r="K715" s="13"/>
      <c r="L715" s="13"/>
      <c r="M715" s="13"/>
      <c r="N715" s="13"/>
      <c r="O715" s="13"/>
      <c r="P715" s="13"/>
      <c r="Q715" s="13"/>
      <c r="R715" s="13"/>
      <c r="S715" s="13"/>
      <c r="T715" s="13"/>
      <c r="U715" s="13"/>
      <c r="V715" s="13"/>
      <c r="W715" s="13"/>
      <c r="X715" s="13"/>
      <c r="Y715" s="13"/>
      <c r="Z715" s="13"/>
      <c r="AA715" s="13"/>
      <c r="AB715" s="15"/>
      <c r="AC715" s="15"/>
      <c r="AD715" s="15"/>
      <c r="AE715" s="13"/>
      <c r="AF715" s="13"/>
      <c r="AG715" s="13"/>
      <c r="AH715" s="15"/>
      <c r="AI715" s="13"/>
      <c r="AJ715" s="13"/>
      <c r="AK715" s="13"/>
      <c r="AL715" s="13"/>
      <c r="AM715" s="15"/>
      <c r="AN715" s="13"/>
      <c r="AO715" s="15"/>
      <c r="AP715" s="15"/>
      <c r="AQ715" s="13"/>
      <c r="AR715" s="13"/>
      <c r="AS715" s="13"/>
      <c r="AT715" s="13"/>
      <c r="AU715" s="13"/>
      <c r="AV715" s="13"/>
      <c r="AW715" s="13"/>
      <c r="AX715" s="13"/>
      <c r="AY715" s="15"/>
      <c r="AZ715" s="15"/>
      <c r="BA715" s="16"/>
      <c r="BB715" s="15"/>
      <c r="BC715" s="15"/>
      <c r="BD715" s="13"/>
      <c r="BE715" s="13"/>
      <c r="BF715" s="13"/>
      <c r="BG715" s="13"/>
      <c r="BH715" s="13"/>
      <c r="BI715" s="13"/>
      <c r="BJ715" s="13"/>
      <c r="BK715" s="13"/>
      <c r="BL715" s="13"/>
      <c r="BM715" s="13"/>
      <c r="BN715" s="13"/>
      <c r="BO715" s="13"/>
      <c r="BP715" s="13"/>
      <c r="BQ715" s="15"/>
      <c r="BR715" s="15"/>
      <c r="BS715" s="15"/>
      <c r="BT715" s="15"/>
      <c r="BU715" s="15"/>
      <c r="BV715" s="15"/>
      <c r="BW715" s="15"/>
      <c r="BX715" s="15"/>
      <c r="BY715" s="15"/>
      <c r="BZ715" s="15"/>
      <c r="CA715" s="15"/>
      <c r="CB715" s="17"/>
      <c r="CC715" s="17"/>
      <c r="CD715" s="18"/>
      <c r="CE715" s="18"/>
      <c r="CF715" s="18"/>
      <c r="CG715" s="18"/>
      <c r="CH715" s="18"/>
    </row>
    <row r="716">
      <c r="A716" s="15"/>
      <c r="B716" s="16"/>
      <c r="C716" s="15"/>
      <c r="D716" s="9"/>
      <c r="E716" s="15"/>
      <c r="F716" s="15"/>
      <c r="G716" s="13"/>
      <c r="H716" s="13"/>
      <c r="I716" s="13"/>
      <c r="J716" s="13"/>
      <c r="K716" s="13"/>
      <c r="L716" s="13"/>
      <c r="M716" s="13"/>
      <c r="N716" s="13"/>
      <c r="O716" s="13"/>
      <c r="P716" s="13"/>
      <c r="Q716" s="13"/>
      <c r="R716" s="13"/>
      <c r="S716" s="13"/>
      <c r="T716" s="13"/>
      <c r="U716" s="13"/>
      <c r="V716" s="13"/>
      <c r="W716" s="13"/>
      <c r="X716" s="13"/>
      <c r="Y716" s="13"/>
      <c r="Z716" s="13"/>
      <c r="AA716" s="13"/>
      <c r="AB716" s="15"/>
      <c r="AC716" s="15"/>
      <c r="AD716" s="15"/>
      <c r="AE716" s="13"/>
      <c r="AF716" s="13"/>
      <c r="AG716" s="13"/>
      <c r="AH716" s="15"/>
      <c r="AI716" s="13"/>
      <c r="AJ716" s="13"/>
      <c r="AK716" s="13"/>
      <c r="AL716" s="13"/>
      <c r="AM716" s="15"/>
      <c r="AN716" s="13"/>
      <c r="AO716" s="15"/>
      <c r="AP716" s="15"/>
      <c r="AQ716" s="13"/>
      <c r="AR716" s="13"/>
      <c r="AS716" s="13"/>
      <c r="AT716" s="13"/>
      <c r="AU716" s="13"/>
      <c r="AV716" s="13"/>
      <c r="AW716" s="13"/>
      <c r="AX716" s="13"/>
      <c r="AY716" s="15"/>
      <c r="AZ716" s="15"/>
      <c r="BA716" s="16"/>
      <c r="BB716" s="15"/>
      <c r="BC716" s="15"/>
      <c r="BD716" s="13"/>
      <c r="BE716" s="13"/>
      <c r="BF716" s="13"/>
      <c r="BG716" s="13"/>
      <c r="BH716" s="13"/>
      <c r="BI716" s="13"/>
      <c r="BJ716" s="13"/>
      <c r="BK716" s="13"/>
      <c r="BL716" s="13"/>
      <c r="BM716" s="13"/>
      <c r="BN716" s="13"/>
      <c r="BO716" s="13"/>
      <c r="BP716" s="13"/>
      <c r="BQ716" s="15"/>
      <c r="BR716" s="15"/>
      <c r="BS716" s="15"/>
      <c r="BT716" s="15"/>
      <c r="BU716" s="15"/>
      <c r="BV716" s="15"/>
      <c r="BW716" s="15"/>
      <c r="BX716" s="15"/>
      <c r="BY716" s="15"/>
      <c r="BZ716" s="15"/>
      <c r="CA716" s="15"/>
      <c r="CB716" s="17"/>
      <c r="CC716" s="17"/>
      <c r="CD716" s="18"/>
      <c r="CE716" s="18"/>
      <c r="CF716" s="18"/>
      <c r="CG716" s="18"/>
      <c r="CH716" s="18"/>
    </row>
    <row r="717">
      <c r="A717" s="15"/>
      <c r="B717" s="16"/>
      <c r="C717" s="15"/>
      <c r="D717" s="9"/>
      <c r="E717" s="15"/>
      <c r="F717" s="15"/>
      <c r="G717" s="13"/>
      <c r="H717" s="13"/>
      <c r="I717" s="13"/>
      <c r="J717" s="13"/>
      <c r="K717" s="13"/>
      <c r="L717" s="13"/>
      <c r="M717" s="13"/>
      <c r="N717" s="13"/>
      <c r="O717" s="13"/>
      <c r="P717" s="13"/>
      <c r="Q717" s="13"/>
      <c r="R717" s="13"/>
      <c r="S717" s="13"/>
      <c r="T717" s="13"/>
      <c r="U717" s="13"/>
      <c r="V717" s="13"/>
      <c r="W717" s="13"/>
      <c r="X717" s="13"/>
      <c r="Y717" s="13"/>
      <c r="Z717" s="13"/>
      <c r="AA717" s="13"/>
      <c r="AB717" s="15"/>
      <c r="AC717" s="15"/>
      <c r="AD717" s="15"/>
      <c r="AE717" s="13"/>
      <c r="AF717" s="13"/>
      <c r="AG717" s="13"/>
      <c r="AH717" s="15"/>
      <c r="AI717" s="13"/>
      <c r="AJ717" s="13"/>
      <c r="AK717" s="13"/>
      <c r="AL717" s="13"/>
      <c r="AM717" s="15"/>
      <c r="AN717" s="13"/>
      <c r="AO717" s="15"/>
      <c r="AP717" s="15"/>
      <c r="AQ717" s="13"/>
      <c r="AR717" s="13"/>
      <c r="AS717" s="13"/>
      <c r="AT717" s="13"/>
      <c r="AU717" s="13"/>
      <c r="AV717" s="13"/>
      <c r="AW717" s="13"/>
      <c r="AX717" s="13"/>
      <c r="AY717" s="15"/>
      <c r="AZ717" s="15"/>
      <c r="BA717" s="16"/>
      <c r="BB717" s="15"/>
      <c r="BC717" s="15"/>
      <c r="BD717" s="13"/>
      <c r="BE717" s="13"/>
      <c r="BF717" s="13"/>
      <c r="BG717" s="13"/>
      <c r="BH717" s="13"/>
      <c r="BI717" s="13"/>
      <c r="BJ717" s="13"/>
      <c r="BK717" s="13"/>
      <c r="BL717" s="13"/>
      <c r="BM717" s="13"/>
      <c r="BN717" s="13"/>
      <c r="BO717" s="13"/>
      <c r="BP717" s="13"/>
      <c r="BQ717" s="15"/>
      <c r="BR717" s="15"/>
      <c r="BS717" s="15"/>
      <c r="BT717" s="15"/>
      <c r="BU717" s="15"/>
      <c r="BV717" s="15"/>
      <c r="BW717" s="15"/>
      <c r="BX717" s="15"/>
      <c r="BY717" s="15"/>
      <c r="BZ717" s="15"/>
      <c r="CA717" s="15"/>
      <c r="CB717" s="17"/>
      <c r="CC717" s="17"/>
      <c r="CD717" s="18"/>
      <c r="CE717" s="18"/>
      <c r="CF717" s="18"/>
      <c r="CG717" s="18"/>
      <c r="CH717" s="18"/>
    </row>
    <row r="718">
      <c r="A718" s="15"/>
      <c r="B718" s="16"/>
      <c r="C718" s="15"/>
      <c r="D718" s="9"/>
      <c r="E718" s="15"/>
      <c r="F718" s="15"/>
      <c r="G718" s="13"/>
      <c r="H718" s="13"/>
      <c r="I718" s="13"/>
      <c r="J718" s="13"/>
      <c r="K718" s="13"/>
      <c r="L718" s="13"/>
      <c r="M718" s="13"/>
      <c r="N718" s="13"/>
      <c r="O718" s="13"/>
      <c r="P718" s="13"/>
      <c r="Q718" s="13"/>
      <c r="R718" s="13"/>
      <c r="S718" s="13"/>
      <c r="T718" s="13"/>
      <c r="U718" s="13"/>
      <c r="V718" s="13"/>
      <c r="W718" s="13"/>
      <c r="X718" s="13"/>
      <c r="Y718" s="13"/>
      <c r="Z718" s="13"/>
      <c r="AA718" s="13"/>
      <c r="AB718" s="15"/>
      <c r="AC718" s="15"/>
      <c r="AD718" s="15"/>
      <c r="AE718" s="13"/>
      <c r="AF718" s="13"/>
      <c r="AG718" s="13"/>
      <c r="AH718" s="15"/>
      <c r="AI718" s="13"/>
      <c r="AJ718" s="13"/>
      <c r="AK718" s="13"/>
      <c r="AL718" s="13"/>
      <c r="AM718" s="15"/>
      <c r="AN718" s="13"/>
      <c r="AO718" s="15"/>
      <c r="AP718" s="15"/>
      <c r="AQ718" s="13"/>
      <c r="AR718" s="13"/>
      <c r="AS718" s="13"/>
      <c r="AT718" s="13"/>
      <c r="AU718" s="13"/>
      <c r="AV718" s="13"/>
      <c r="AW718" s="13"/>
      <c r="AX718" s="13"/>
      <c r="AY718" s="15"/>
      <c r="AZ718" s="15"/>
      <c r="BA718" s="16"/>
      <c r="BB718" s="15"/>
      <c r="BC718" s="15"/>
      <c r="BD718" s="13"/>
      <c r="BE718" s="13"/>
      <c r="BF718" s="13"/>
      <c r="BG718" s="13"/>
      <c r="BH718" s="13"/>
      <c r="BI718" s="13"/>
      <c r="BJ718" s="13"/>
      <c r="BK718" s="13"/>
      <c r="BL718" s="13"/>
      <c r="BM718" s="13"/>
      <c r="BN718" s="13"/>
      <c r="BO718" s="13"/>
      <c r="BP718" s="13"/>
      <c r="BQ718" s="15"/>
      <c r="BR718" s="15"/>
      <c r="BS718" s="15"/>
      <c r="BT718" s="15"/>
      <c r="BU718" s="15"/>
      <c r="BV718" s="15"/>
      <c r="BW718" s="15"/>
      <c r="BX718" s="15"/>
      <c r="BY718" s="15"/>
      <c r="BZ718" s="15"/>
      <c r="CA718" s="15"/>
      <c r="CB718" s="17"/>
      <c r="CC718" s="17"/>
      <c r="CD718" s="18"/>
      <c r="CE718" s="18"/>
      <c r="CF718" s="18"/>
      <c r="CG718" s="18"/>
      <c r="CH718" s="18"/>
    </row>
    <row r="719">
      <c r="A719" s="15"/>
      <c r="B719" s="16"/>
      <c r="C719" s="15"/>
      <c r="D719" s="9"/>
      <c r="E719" s="15"/>
      <c r="F719" s="15"/>
      <c r="G719" s="13"/>
      <c r="H719" s="13"/>
      <c r="I719" s="13"/>
      <c r="J719" s="13"/>
      <c r="K719" s="13"/>
      <c r="L719" s="13"/>
      <c r="M719" s="13"/>
      <c r="N719" s="13"/>
      <c r="O719" s="13"/>
      <c r="P719" s="13"/>
      <c r="Q719" s="13"/>
      <c r="R719" s="13"/>
      <c r="S719" s="13"/>
      <c r="T719" s="13"/>
      <c r="U719" s="13"/>
      <c r="V719" s="13"/>
      <c r="W719" s="13"/>
      <c r="X719" s="13"/>
      <c r="Y719" s="13"/>
      <c r="Z719" s="13"/>
      <c r="AA719" s="13"/>
      <c r="AB719" s="15"/>
      <c r="AC719" s="15"/>
      <c r="AD719" s="15"/>
      <c r="AE719" s="13"/>
      <c r="AF719" s="13"/>
      <c r="AG719" s="13"/>
      <c r="AH719" s="15"/>
      <c r="AI719" s="13"/>
      <c r="AJ719" s="13"/>
      <c r="AK719" s="13"/>
      <c r="AL719" s="13"/>
      <c r="AM719" s="15"/>
      <c r="AN719" s="13"/>
      <c r="AO719" s="15"/>
      <c r="AP719" s="15"/>
      <c r="AQ719" s="13"/>
      <c r="AR719" s="13"/>
      <c r="AS719" s="13"/>
      <c r="AT719" s="13"/>
      <c r="AU719" s="13"/>
      <c r="AV719" s="13"/>
      <c r="AW719" s="13"/>
      <c r="AX719" s="13"/>
      <c r="AY719" s="15"/>
      <c r="AZ719" s="15"/>
      <c r="BA719" s="16"/>
      <c r="BB719" s="15"/>
      <c r="BC719" s="15"/>
      <c r="BD719" s="13"/>
      <c r="BE719" s="13"/>
      <c r="BF719" s="13"/>
      <c r="BG719" s="13"/>
      <c r="BH719" s="13"/>
      <c r="BI719" s="13"/>
      <c r="BJ719" s="13"/>
      <c r="BK719" s="13"/>
      <c r="BL719" s="13"/>
      <c r="BM719" s="13"/>
      <c r="BN719" s="13"/>
      <c r="BO719" s="13"/>
      <c r="BP719" s="13"/>
      <c r="BQ719" s="15"/>
      <c r="BR719" s="15"/>
      <c r="BS719" s="15"/>
      <c r="BT719" s="15"/>
      <c r="BU719" s="15"/>
      <c r="BV719" s="15"/>
      <c r="BW719" s="15"/>
      <c r="BX719" s="15"/>
      <c r="BY719" s="15"/>
      <c r="BZ719" s="15"/>
      <c r="CA719" s="15"/>
      <c r="CB719" s="17"/>
      <c r="CC719" s="17"/>
      <c r="CD719" s="18"/>
      <c r="CE719" s="18"/>
      <c r="CF719" s="18"/>
      <c r="CG719" s="18"/>
      <c r="CH719" s="18"/>
    </row>
    <row r="720">
      <c r="A720" s="15"/>
      <c r="B720" s="16"/>
      <c r="C720" s="15"/>
      <c r="D720" s="9"/>
      <c r="E720" s="15"/>
      <c r="F720" s="15"/>
      <c r="G720" s="13"/>
      <c r="H720" s="13"/>
      <c r="I720" s="13"/>
      <c r="J720" s="13"/>
      <c r="K720" s="13"/>
      <c r="L720" s="13"/>
      <c r="M720" s="13"/>
      <c r="N720" s="13"/>
      <c r="O720" s="13"/>
      <c r="P720" s="13"/>
      <c r="Q720" s="13"/>
      <c r="R720" s="13"/>
      <c r="S720" s="13"/>
      <c r="T720" s="13"/>
      <c r="U720" s="13"/>
      <c r="V720" s="13"/>
      <c r="W720" s="13"/>
      <c r="X720" s="13"/>
      <c r="Y720" s="13"/>
      <c r="Z720" s="13"/>
      <c r="AA720" s="13"/>
      <c r="AB720" s="15"/>
      <c r="AC720" s="15"/>
      <c r="AD720" s="15"/>
      <c r="AE720" s="13"/>
      <c r="AF720" s="13"/>
      <c r="AG720" s="13"/>
      <c r="AH720" s="15"/>
      <c r="AI720" s="13"/>
      <c r="AJ720" s="13"/>
      <c r="AK720" s="13"/>
      <c r="AL720" s="13"/>
      <c r="AM720" s="15"/>
      <c r="AN720" s="13"/>
      <c r="AO720" s="15"/>
      <c r="AP720" s="15"/>
      <c r="AQ720" s="13"/>
      <c r="AR720" s="13"/>
      <c r="AS720" s="13"/>
      <c r="AT720" s="13"/>
      <c r="AU720" s="13"/>
      <c r="AV720" s="13"/>
      <c r="AW720" s="13"/>
      <c r="AX720" s="13"/>
      <c r="AY720" s="15"/>
      <c r="AZ720" s="15"/>
      <c r="BA720" s="16"/>
      <c r="BB720" s="15"/>
      <c r="BC720" s="15"/>
      <c r="BD720" s="13"/>
      <c r="BE720" s="13"/>
      <c r="BF720" s="13"/>
      <c r="BG720" s="13"/>
      <c r="BH720" s="13"/>
      <c r="BI720" s="13"/>
      <c r="BJ720" s="13"/>
      <c r="BK720" s="13"/>
      <c r="BL720" s="13"/>
      <c r="BM720" s="13"/>
      <c r="BN720" s="13"/>
      <c r="BO720" s="13"/>
      <c r="BP720" s="13"/>
      <c r="BQ720" s="15"/>
      <c r="BR720" s="15"/>
      <c r="BS720" s="15"/>
      <c r="BT720" s="15"/>
      <c r="BU720" s="15"/>
      <c r="BV720" s="15"/>
      <c r="BW720" s="15"/>
      <c r="BX720" s="15"/>
      <c r="BY720" s="15"/>
      <c r="BZ720" s="15"/>
      <c r="CA720" s="15"/>
      <c r="CB720" s="17"/>
      <c r="CC720" s="17"/>
      <c r="CD720" s="18"/>
      <c r="CE720" s="18"/>
      <c r="CF720" s="18"/>
      <c r="CG720" s="18"/>
      <c r="CH720" s="18"/>
    </row>
    <row r="721">
      <c r="A721" s="15"/>
      <c r="B721" s="16"/>
      <c r="C721" s="15"/>
      <c r="D721" s="9"/>
      <c r="E721" s="15"/>
      <c r="F721" s="15"/>
      <c r="G721" s="13"/>
      <c r="H721" s="13"/>
      <c r="I721" s="13"/>
      <c r="J721" s="13"/>
      <c r="K721" s="13"/>
      <c r="L721" s="13"/>
      <c r="M721" s="13"/>
      <c r="N721" s="13"/>
      <c r="O721" s="13"/>
      <c r="P721" s="13"/>
      <c r="Q721" s="13"/>
      <c r="R721" s="13"/>
      <c r="S721" s="13"/>
      <c r="T721" s="13"/>
      <c r="U721" s="13"/>
      <c r="V721" s="13"/>
      <c r="W721" s="13"/>
      <c r="X721" s="13"/>
      <c r="Y721" s="13"/>
      <c r="Z721" s="13"/>
      <c r="AA721" s="13"/>
      <c r="AB721" s="15"/>
      <c r="AC721" s="15"/>
      <c r="AD721" s="15"/>
      <c r="AE721" s="13"/>
      <c r="AF721" s="13"/>
      <c r="AG721" s="13"/>
      <c r="AH721" s="15"/>
      <c r="AI721" s="13"/>
      <c r="AJ721" s="13"/>
      <c r="AK721" s="13"/>
      <c r="AL721" s="13"/>
      <c r="AM721" s="15"/>
      <c r="AN721" s="13"/>
      <c r="AO721" s="15"/>
      <c r="AP721" s="15"/>
      <c r="AQ721" s="13"/>
      <c r="AR721" s="13"/>
      <c r="AS721" s="13"/>
      <c r="AT721" s="13"/>
      <c r="AU721" s="13"/>
      <c r="AV721" s="13"/>
      <c r="AW721" s="13"/>
      <c r="AX721" s="13"/>
      <c r="AY721" s="15"/>
      <c r="AZ721" s="15"/>
      <c r="BA721" s="16"/>
      <c r="BB721" s="15"/>
      <c r="BC721" s="15"/>
      <c r="BD721" s="13"/>
      <c r="BE721" s="13"/>
      <c r="BF721" s="13"/>
      <c r="BG721" s="13"/>
      <c r="BH721" s="13"/>
      <c r="BI721" s="13"/>
      <c r="BJ721" s="13"/>
      <c r="BK721" s="13"/>
      <c r="BL721" s="13"/>
      <c r="BM721" s="13"/>
      <c r="BN721" s="13"/>
      <c r="BO721" s="13"/>
      <c r="BP721" s="13"/>
      <c r="BQ721" s="15"/>
      <c r="BR721" s="15"/>
      <c r="BS721" s="15"/>
      <c r="BT721" s="15"/>
      <c r="BU721" s="15"/>
      <c r="BV721" s="15"/>
      <c r="BW721" s="15"/>
      <c r="BX721" s="15"/>
      <c r="BY721" s="15"/>
      <c r="BZ721" s="15"/>
      <c r="CA721" s="15"/>
      <c r="CB721" s="17"/>
      <c r="CC721" s="17"/>
      <c r="CD721" s="18"/>
      <c r="CE721" s="18"/>
      <c r="CF721" s="18"/>
      <c r="CG721" s="18"/>
      <c r="CH721" s="18"/>
    </row>
    <row r="722">
      <c r="A722" s="15"/>
      <c r="B722" s="16"/>
      <c r="C722" s="15"/>
      <c r="D722" s="9"/>
      <c r="E722" s="15"/>
      <c r="F722" s="15"/>
      <c r="G722" s="13"/>
      <c r="H722" s="13"/>
      <c r="I722" s="13"/>
      <c r="J722" s="13"/>
      <c r="K722" s="13"/>
      <c r="L722" s="13"/>
      <c r="M722" s="13"/>
      <c r="N722" s="13"/>
      <c r="O722" s="13"/>
      <c r="P722" s="13"/>
      <c r="Q722" s="13"/>
      <c r="R722" s="13"/>
      <c r="S722" s="13"/>
      <c r="T722" s="13"/>
      <c r="U722" s="13"/>
      <c r="V722" s="13"/>
      <c r="W722" s="13"/>
      <c r="X722" s="13"/>
      <c r="Y722" s="13"/>
      <c r="Z722" s="13"/>
      <c r="AA722" s="13"/>
      <c r="AB722" s="15"/>
      <c r="AC722" s="15"/>
      <c r="AD722" s="15"/>
      <c r="AE722" s="13"/>
      <c r="AF722" s="13"/>
      <c r="AG722" s="13"/>
      <c r="AH722" s="15"/>
      <c r="AI722" s="13"/>
      <c r="AJ722" s="13"/>
      <c r="AK722" s="13"/>
      <c r="AL722" s="13"/>
      <c r="AM722" s="15"/>
      <c r="AN722" s="13"/>
      <c r="AO722" s="15"/>
      <c r="AP722" s="15"/>
      <c r="AQ722" s="13"/>
      <c r="AR722" s="13"/>
      <c r="AS722" s="13"/>
      <c r="AT722" s="13"/>
      <c r="AU722" s="13"/>
      <c r="AV722" s="13"/>
      <c r="AW722" s="13"/>
      <c r="AX722" s="13"/>
      <c r="AY722" s="15"/>
      <c r="AZ722" s="15"/>
      <c r="BA722" s="16"/>
      <c r="BB722" s="15"/>
      <c r="BC722" s="15"/>
      <c r="BD722" s="13"/>
      <c r="BE722" s="13"/>
      <c r="BF722" s="13"/>
      <c r="BG722" s="13"/>
      <c r="BH722" s="13"/>
      <c r="BI722" s="13"/>
      <c r="BJ722" s="13"/>
      <c r="BK722" s="13"/>
      <c r="BL722" s="13"/>
      <c r="BM722" s="13"/>
      <c r="BN722" s="13"/>
      <c r="BO722" s="13"/>
      <c r="BP722" s="13"/>
      <c r="BQ722" s="15"/>
      <c r="BR722" s="15"/>
      <c r="BS722" s="15"/>
      <c r="BT722" s="15"/>
      <c r="BU722" s="15"/>
      <c r="BV722" s="15"/>
      <c r="BW722" s="15"/>
      <c r="BX722" s="15"/>
      <c r="BY722" s="15"/>
      <c r="BZ722" s="15"/>
      <c r="CA722" s="15"/>
      <c r="CB722" s="17"/>
      <c r="CC722" s="17"/>
      <c r="CD722" s="18"/>
      <c r="CE722" s="18"/>
      <c r="CF722" s="18"/>
      <c r="CG722" s="18"/>
      <c r="CH722" s="18"/>
    </row>
    <row r="723">
      <c r="A723" s="15"/>
      <c r="B723" s="16"/>
      <c r="C723" s="15"/>
      <c r="D723" s="9"/>
      <c r="E723" s="15"/>
      <c r="F723" s="15"/>
      <c r="G723" s="13"/>
      <c r="H723" s="13"/>
      <c r="I723" s="13"/>
      <c r="J723" s="13"/>
      <c r="K723" s="13"/>
      <c r="L723" s="13"/>
      <c r="M723" s="13"/>
      <c r="N723" s="13"/>
      <c r="O723" s="13"/>
      <c r="P723" s="13"/>
      <c r="Q723" s="13"/>
      <c r="R723" s="13"/>
      <c r="S723" s="13"/>
      <c r="T723" s="13"/>
      <c r="U723" s="13"/>
      <c r="V723" s="13"/>
      <c r="W723" s="13"/>
      <c r="X723" s="13"/>
      <c r="Y723" s="13"/>
      <c r="Z723" s="13"/>
      <c r="AA723" s="13"/>
      <c r="AB723" s="15"/>
      <c r="AC723" s="15"/>
      <c r="AD723" s="15"/>
      <c r="AE723" s="13"/>
      <c r="AF723" s="13"/>
      <c r="AG723" s="13"/>
      <c r="AH723" s="15"/>
      <c r="AI723" s="13"/>
      <c r="AJ723" s="13"/>
      <c r="AK723" s="13"/>
      <c r="AL723" s="13"/>
      <c r="AM723" s="15"/>
      <c r="AN723" s="13"/>
      <c r="AO723" s="15"/>
      <c r="AP723" s="15"/>
      <c r="AQ723" s="13"/>
      <c r="AR723" s="13"/>
      <c r="AS723" s="13"/>
      <c r="AT723" s="13"/>
      <c r="AU723" s="13"/>
      <c r="AV723" s="13"/>
      <c r="AW723" s="13"/>
      <c r="AX723" s="13"/>
      <c r="AY723" s="15"/>
      <c r="AZ723" s="15"/>
      <c r="BA723" s="16"/>
      <c r="BB723" s="15"/>
      <c r="BC723" s="15"/>
      <c r="BD723" s="13"/>
      <c r="BE723" s="13"/>
      <c r="BF723" s="13"/>
      <c r="BG723" s="13"/>
      <c r="BH723" s="13"/>
      <c r="BI723" s="13"/>
      <c r="BJ723" s="13"/>
      <c r="BK723" s="13"/>
      <c r="BL723" s="13"/>
      <c r="BM723" s="13"/>
      <c r="BN723" s="13"/>
      <c r="BO723" s="13"/>
      <c r="BP723" s="13"/>
      <c r="BQ723" s="15"/>
      <c r="BR723" s="15"/>
      <c r="BS723" s="15"/>
      <c r="BT723" s="15"/>
      <c r="BU723" s="15"/>
      <c r="BV723" s="15"/>
      <c r="BW723" s="15"/>
      <c r="BX723" s="15"/>
      <c r="BY723" s="15"/>
      <c r="BZ723" s="15"/>
      <c r="CA723" s="15"/>
      <c r="CB723" s="17"/>
      <c r="CC723" s="17"/>
      <c r="CD723" s="18"/>
      <c r="CE723" s="18"/>
      <c r="CF723" s="18"/>
      <c r="CG723" s="18"/>
      <c r="CH723" s="18"/>
    </row>
    <row r="724">
      <c r="A724" s="15"/>
      <c r="B724" s="16"/>
      <c r="C724" s="15"/>
      <c r="D724" s="9"/>
      <c r="E724" s="15"/>
      <c r="F724" s="15"/>
      <c r="G724" s="13"/>
      <c r="H724" s="13"/>
      <c r="I724" s="13"/>
      <c r="J724" s="13"/>
      <c r="K724" s="13"/>
      <c r="L724" s="13"/>
      <c r="M724" s="13"/>
      <c r="N724" s="13"/>
      <c r="O724" s="13"/>
      <c r="P724" s="13"/>
      <c r="Q724" s="13"/>
      <c r="R724" s="13"/>
      <c r="S724" s="13"/>
      <c r="T724" s="13"/>
      <c r="U724" s="13"/>
      <c r="V724" s="13"/>
      <c r="W724" s="13"/>
      <c r="X724" s="13"/>
      <c r="Y724" s="13"/>
      <c r="Z724" s="13"/>
      <c r="AA724" s="13"/>
      <c r="AB724" s="15"/>
      <c r="AC724" s="15"/>
      <c r="AD724" s="15"/>
      <c r="AE724" s="13"/>
      <c r="AF724" s="13"/>
      <c r="AG724" s="13"/>
      <c r="AH724" s="15"/>
      <c r="AI724" s="13"/>
      <c r="AJ724" s="13"/>
      <c r="AK724" s="13"/>
      <c r="AL724" s="13"/>
      <c r="AM724" s="15"/>
      <c r="AN724" s="13"/>
      <c r="AO724" s="15"/>
      <c r="AP724" s="15"/>
      <c r="AQ724" s="13"/>
      <c r="AR724" s="13"/>
      <c r="AS724" s="13"/>
      <c r="AT724" s="13"/>
      <c r="AU724" s="13"/>
      <c r="AV724" s="13"/>
      <c r="AW724" s="13"/>
      <c r="AX724" s="13"/>
      <c r="AY724" s="15"/>
      <c r="AZ724" s="15"/>
      <c r="BA724" s="16"/>
      <c r="BB724" s="15"/>
      <c r="BC724" s="15"/>
      <c r="BD724" s="13"/>
      <c r="BE724" s="13"/>
      <c r="BF724" s="13"/>
      <c r="BG724" s="13"/>
      <c r="BH724" s="13"/>
      <c r="BI724" s="13"/>
      <c r="BJ724" s="13"/>
      <c r="BK724" s="13"/>
      <c r="BL724" s="13"/>
      <c r="BM724" s="13"/>
      <c r="BN724" s="13"/>
      <c r="BO724" s="13"/>
      <c r="BP724" s="13"/>
      <c r="BQ724" s="15"/>
      <c r="BR724" s="15"/>
      <c r="BS724" s="15"/>
      <c r="BT724" s="15"/>
      <c r="BU724" s="15"/>
      <c r="BV724" s="15"/>
      <c r="BW724" s="15"/>
      <c r="BX724" s="15"/>
      <c r="BY724" s="15"/>
      <c r="BZ724" s="15"/>
      <c r="CA724" s="15"/>
      <c r="CB724" s="17"/>
      <c r="CC724" s="17"/>
      <c r="CD724" s="18"/>
      <c r="CE724" s="18"/>
      <c r="CF724" s="18"/>
      <c r="CG724" s="18"/>
      <c r="CH724" s="18"/>
    </row>
    <row r="725">
      <c r="A725" s="15"/>
      <c r="B725" s="16"/>
      <c r="C725" s="15"/>
      <c r="D725" s="9"/>
      <c r="E725" s="15"/>
      <c r="F725" s="15"/>
      <c r="G725" s="13"/>
      <c r="H725" s="13"/>
      <c r="I725" s="13"/>
      <c r="J725" s="13"/>
      <c r="K725" s="13"/>
      <c r="L725" s="13"/>
      <c r="M725" s="13"/>
      <c r="N725" s="13"/>
      <c r="O725" s="13"/>
      <c r="P725" s="13"/>
      <c r="Q725" s="13"/>
      <c r="R725" s="13"/>
      <c r="S725" s="13"/>
      <c r="T725" s="13"/>
      <c r="U725" s="13"/>
      <c r="V725" s="13"/>
      <c r="W725" s="13"/>
      <c r="X725" s="13"/>
      <c r="Y725" s="13"/>
      <c r="Z725" s="13"/>
      <c r="AA725" s="13"/>
      <c r="AB725" s="15"/>
      <c r="AC725" s="15"/>
      <c r="AD725" s="15"/>
      <c r="AE725" s="13"/>
      <c r="AF725" s="13"/>
      <c r="AG725" s="13"/>
      <c r="AH725" s="15"/>
      <c r="AI725" s="13"/>
      <c r="AJ725" s="13"/>
      <c r="AK725" s="13"/>
      <c r="AL725" s="13"/>
      <c r="AM725" s="15"/>
      <c r="AN725" s="13"/>
      <c r="AO725" s="15"/>
      <c r="AP725" s="15"/>
      <c r="AQ725" s="13"/>
      <c r="AR725" s="13"/>
      <c r="AS725" s="13"/>
      <c r="AT725" s="13"/>
      <c r="AU725" s="13"/>
      <c r="AV725" s="13"/>
      <c r="AW725" s="13"/>
      <c r="AX725" s="13"/>
      <c r="AY725" s="15"/>
      <c r="AZ725" s="15"/>
      <c r="BA725" s="16"/>
      <c r="BB725" s="15"/>
      <c r="BC725" s="15"/>
      <c r="BD725" s="13"/>
      <c r="BE725" s="13"/>
      <c r="BF725" s="13"/>
      <c r="BG725" s="13"/>
      <c r="BH725" s="13"/>
      <c r="BI725" s="13"/>
      <c r="BJ725" s="13"/>
      <c r="BK725" s="13"/>
      <c r="BL725" s="13"/>
      <c r="BM725" s="13"/>
      <c r="BN725" s="13"/>
      <c r="BO725" s="13"/>
      <c r="BP725" s="13"/>
      <c r="BQ725" s="15"/>
      <c r="BR725" s="15"/>
      <c r="BS725" s="15"/>
      <c r="BT725" s="15"/>
      <c r="BU725" s="15"/>
      <c r="BV725" s="15"/>
      <c r="BW725" s="15"/>
      <c r="BX725" s="15"/>
      <c r="BY725" s="15"/>
      <c r="BZ725" s="15"/>
      <c r="CA725" s="15"/>
      <c r="CB725" s="17"/>
      <c r="CC725" s="17"/>
      <c r="CD725" s="18"/>
      <c r="CE725" s="18"/>
      <c r="CF725" s="18"/>
      <c r="CG725" s="18"/>
      <c r="CH725" s="18"/>
    </row>
    <row r="726">
      <c r="A726" s="15"/>
      <c r="B726" s="16"/>
      <c r="C726" s="15"/>
      <c r="D726" s="9"/>
      <c r="E726" s="15"/>
      <c r="F726" s="15"/>
      <c r="G726" s="13"/>
      <c r="H726" s="13"/>
      <c r="I726" s="13"/>
      <c r="J726" s="13"/>
      <c r="K726" s="13"/>
      <c r="L726" s="13"/>
      <c r="M726" s="13"/>
      <c r="N726" s="13"/>
      <c r="O726" s="13"/>
      <c r="P726" s="13"/>
      <c r="Q726" s="13"/>
      <c r="R726" s="13"/>
      <c r="S726" s="13"/>
      <c r="T726" s="13"/>
      <c r="U726" s="13"/>
      <c r="V726" s="13"/>
      <c r="W726" s="13"/>
      <c r="X726" s="13"/>
      <c r="Y726" s="13"/>
      <c r="Z726" s="13"/>
      <c r="AA726" s="13"/>
      <c r="AB726" s="15"/>
      <c r="AC726" s="15"/>
      <c r="AD726" s="15"/>
      <c r="AE726" s="13"/>
      <c r="AF726" s="13"/>
      <c r="AG726" s="13"/>
      <c r="AH726" s="15"/>
      <c r="AI726" s="13"/>
      <c r="AJ726" s="13"/>
      <c r="AK726" s="13"/>
      <c r="AL726" s="13"/>
      <c r="AM726" s="15"/>
      <c r="AN726" s="13"/>
      <c r="AO726" s="15"/>
      <c r="AP726" s="15"/>
      <c r="AQ726" s="13"/>
      <c r="AR726" s="13"/>
      <c r="AS726" s="13"/>
      <c r="AT726" s="13"/>
      <c r="AU726" s="13"/>
      <c r="AV726" s="13"/>
      <c r="AW726" s="13"/>
      <c r="AX726" s="13"/>
      <c r="AY726" s="15"/>
      <c r="AZ726" s="15"/>
      <c r="BA726" s="16"/>
      <c r="BB726" s="15"/>
      <c r="BC726" s="15"/>
      <c r="BD726" s="13"/>
      <c r="BE726" s="13"/>
      <c r="BF726" s="13"/>
      <c r="BG726" s="13"/>
      <c r="BH726" s="13"/>
      <c r="BI726" s="13"/>
      <c r="BJ726" s="13"/>
      <c r="BK726" s="13"/>
      <c r="BL726" s="13"/>
      <c r="BM726" s="13"/>
      <c r="BN726" s="13"/>
      <c r="BO726" s="13"/>
      <c r="BP726" s="13"/>
      <c r="BQ726" s="15"/>
      <c r="BR726" s="15"/>
      <c r="BS726" s="15"/>
      <c r="BT726" s="15"/>
      <c r="BU726" s="15"/>
      <c r="BV726" s="15"/>
      <c r="BW726" s="15"/>
      <c r="BX726" s="15"/>
      <c r="BY726" s="15"/>
      <c r="BZ726" s="15"/>
      <c r="CA726" s="15"/>
      <c r="CB726" s="17"/>
      <c r="CC726" s="17"/>
      <c r="CD726" s="18"/>
      <c r="CE726" s="18"/>
      <c r="CF726" s="18"/>
      <c r="CG726" s="18"/>
      <c r="CH726" s="18"/>
    </row>
    <row r="727">
      <c r="A727" s="15"/>
      <c r="B727" s="16"/>
      <c r="C727" s="15"/>
      <c r="D727" s="9"/>
      <c r="E727" s="15"/>
      <c r="F727" s="15"/>
      <c r="G727" s="13"/>
      <c r="H727" s="13"/>
      <c r="I727" s="13"/>
      <c r="J727" s="13"/>
      <c r="K727" s="13"/>
      <c r="L727" s="13"/>
      <c r="M727" s="13"/>
      <c r="N727" s="13"/>
      <c r="O727" s="13"/>
      <c r="P727" s="13"/>
      <c r="Q727" s="13"/>
      <c r="R727" s="13"/>
      <c r="S727" s="13"/>
      <c r="T727" s="13"/>
      <c r="U727" s="13"/>
      <c r="V727" s="13"/>
      <c r="W727" s="13"/>
      <c r="X727" s="13"/>
      <c r="Y727" s="13"/>
      <c r="Z727" s="13"/>
      <c r="AA727" s="13"/>
      <c r="AB727" s="15"/>
      <c r="AC727" s="15"/>
      <c r="AD727" s="15"/>
      <c r="AE727" s="13"/>
      <c r="AF727" s="13"/>
      <c r="AG727" s="13"/>
      <c r="AH727" s="15"/>
      <c r="AI727" s="13"/>
      <c r="AJ727" s="13"/>
      <c r="AK727" s="13"/>
      <c r="AL727" s="13"/>
      <c r="AM727" s="15"/>
      <c r="AN727" s="13"/>
      <c r="AO727" s="15"/>
      <c r="AP727" s="15"/>
      <c r="AQ727" s="13"/>
      <c r="AR727" s="13"/>
      <c r="AS727" s="13"/>
      <c r="AT727" s="13"/>
      <c r="AU727" s="13"/>
      <c r="AV727" s="13"/>
      <c r="AW727" s="13"/>
      <c r="AX727" s="13"/>
      <c r="AY727" s="15"/>
      <c r="AZ727" s="15"/>
      <c r="BA727" s="16"/>
      <c r="BB727" s="15"/>
      <c r="BC727" s="15"/>
      <c r="BD727" s="13"/>
      <c r="BE727" s="13"/>
      <c r="BF727" s="13"/>
      <c r="BG727" s="13"/>
      <c r="BH727" s="13"/>
      <c r="BI727" s="13"/>
      <c r="BJ727" s="13"/>
      <c r="BK727" s="13"/>
      <c r="BL727" s="13"/>
      <c r="BM727" s="13"/>
      <c r="BN727" s="13"/>
      <c r="BO727" s="13"/>
      <c r="BP727" s="13"/>
      <c r="BQ727" s="15"/>
      <c r="BR727" s="15"/>
      <c r="BS727" s="15"/>
      <c r="BT727" s="15"/>
      <c r="BU727" s="15"/>
      <c r="BV727" s="15"/>
      <c r="BW727" s="15"/>
      <c r="BX727" s="15"/>
      <c r="BY727" s="15"/>
      <c r="BZ727" s="15"/>
      <c r="CA727" s="15"/>
      <c r="CB727" s="17"/>
      <c r="CC727" s="17"/>
      <c r="CD727" s="18"/>
      <c r="CE727" s="18"/>
      <c r="CF727" s="18"/>
      <c r="CG727" s="18"/>
      <c r="CH727" s="18"/>
    </row>
    <row r="728">
      <c r="A728" s="15"/>
      <c r="B728" s="16"/>
      <c r="C728" s="15"/>
      <c r="D728" s="9"/>
      <c r="E728" s="15"/>
      <c r="F728" s="15"/>
      <c r="G728" s="13"/>
      <c r="H728" s="13"/>
      <c r="I728" s="13"/>
      <c r="J728" s="13"/>
      <c r="K728" s="13"/>
      <c r="L728" s="13"/>
      <c r="M728" s="13"/>
      <c r="N728" s="13"/>
      <c r="O728" s="13"/>
      <c r="P728" s="13"/>
      <c r="Q728" s="13"/>
      <c r="R728" s="13"/>
      <c r="S728" s="13"/>
      <c r="T728" s="13"/>
      <c r="U728" s="13"/>
      <c r="V728" s="13"/>
      <c r="W728" s="13"/>
      <c r="X728" s="13"/>
      <c r="Y728" s="13"/>
      <c r="Z728" s="13"/>
      <c r="AA728" s="13"/>
      <c r="AB728" s="15"/>
      <c r="AC728" s="15"/>
      <c r="AD728" s="15"/>
      <c r="AE728" s="13"/>
      <c r="AF728" s="13"/>
      <c r="AG728" s="13"/>
      <c r="AH728" s="15"/>
      <c r="AI728" s="13"/>
      <c r="AJ728" s="13"/>
      <c r="AK728" s="13"/>
      <c r="AL728" s="13"/>
      <c r="AM728" s="15"/>
      <c r="AN728" s="13"/>
      <c r="AO728" s="15"/>
      <c r="AP728" s="15"/>
      <c r="AQ728" s="13"/>
      <c r="AR728" s="13"/>
      <c r="AS728" s="13"/>
      <c r="AT728" s="13"/>
      <c r="AU728" s="13"/>
      <c r="AV728" s="13"/>
      <c r="AW728" s="13"/>
      <c r="AX728" s="13"/>
      <c r="AY728" s="15"/>
      <c r="AZ728" s="15"/>
      <c r="BA728" s="16"/>
      <c r="BB728" s="15"/>
      <c r="BC728" s="15"/>
      <c r="BD728" s="13"/>
      <c r="BE728" s="13"/>
      <c r="BF728" s="13"/>
      <c r="BG728" s="13"/>
      <c r="BH728" s="13"/>
      <c r="BI728" s="13"/>
      <c r="BJ728" s="13"/>
      <c r="BK728" s="13"/>
      <c r="BL728" s="13"/>
      <c r="BM728" s="13"/>
      <c r="BN728" s="13"/>
      <c r="BO728" s="13"/>
      <c r="BP728" s="13"/>
      <c r="BQ728" s="15"/>
      <c r="BR728" s="15"/>
      <c r="BS728" s="15"/>
      <c r="BT728" s="15"/>
      <c r="BU728" s="15"/>
      <c r="BV728" s="15"/>
      <c r="BW728" s="15"/>
      <c r="BX728" s="15"/>
      <c r="BY728" s="15"/>
      <c r="BZ728" s="15"/>
      <c r="CA728" s="15"/>
      <c r="CB728" s="17"/>
      <c r="CC728" s="17"/>
      <c r="CD728" s="18"/>
      <c r="CE728" s="18"/>
      <c r="CF728" s="18"/>
      <c r="CG728" s="18"/>
      <c r="CH728" s="18"/>
    </row>
    <row r="729">
      <c r="A729" s="15"/>
      <c r="B729" s="16"/>
      <c r="C729" s="15"/>
      <c r="D729" s="9"/>
      <c r="E729" s="15"/>
      <c r="F729" s="15"/>
      <c r="G729" s="13"/>
      <c r="H729" s="13"/>
      <c r="I729" s="13"/>
      <c r="J729" s="13"/>
      <c r="K729" s="13"/>
      <c r="L729" s="13"/>
      <c r="M729" s="13"/>
      <c r="N729" s="13"/>
      <c r="O729" s="13"/>
      <c r="P729" s="13"/>
      <c r="Q729" s="13"/>
      <c r="R729" s="13"/>
      <c r="S729" s="13"/>
      <c r="T729" s="13"/>
      <c r="U729" s="13"/>
      <c r="V729" s="13"/>
      <c r="W729" s="13"/>
      <c r="X729" s="13"/>
      <c r="Y729" s="13"/>
      <c r="Z729" s="13"/>
      <c r="AA729" s="13"/>
      <c r="AB729" s="15"/>
      <c r="AC729" s="15"/>
      <c r="AD729" s="15"/>
      <c r="AE729" s="13"/>
      <c r="AF729" s="13"/>
      <c r="AG729" s="13"/>
      <c r="AH729" s="15"/>
      <c r="AI729" s="13"/>
      <c r="AJ729" s="13"/>
      <c r="AK729" s="13"/>
      <c r="AL729" s="13"/>
      <c r="AM729" s="15"/>
      <c r="AN729" s="13"/>
      <c r="AO729" s="15"/>
      <c r="AP729" s="15"/>
      <c r="AQ729" s="13"/>
      <c r="AR729" s="13"/>
      <c r="AS729" s="13"/>
      <c r="AT729" s="13"/>
      <c r="AU729" s="13"/>
      <c r="AV729" s="13"/>
      <c r="AW729" s="13"/>
      <c r="AX729" s="13"/>
      <c r="AY729" s="15"/>
      <c r="AZ729" s="15"/>
      <c r="BA729" s="16"/>
      <c r="BB729" s="15"/>
      <c r="BC729" s="15"/>
      <c r="BD729" s="13"/>
      <c r="BE729" s="13"/>
      <c r="BF729" s="13"/>
      <c r="BG729" s="13"/>
      <c r="BH729" s="13"/>
      <c r="BI729" s="13"/>
      <c r="BJ729" s="13"/>
      <c r="BK729" s="13"/>
      <c r="BL729" s="13"/>
      <c r="BM729" s="13"/>
      <c r="BN729" s="13"/>
      <c r="BO729" s="13"/>
      <c r="BP729" s="13"/>
      <c r="BQ729" s="15"/>
      <c r="BR729" s="15"/>
      <c r="BS729" s="15"/>
      <c r="BT729" s="15"/>
      <c r="BU729" s="15"/>
      <c r="BV729" s="15"/>
      <c r="BW729" s="15"/>
      <c r="BX729" s="15"/>
      <c r="BY729" s="15"/>
      <c r="BZ729" s="15"/>
      <c r="CA729" s="15"/>
      <c r="CB729" s="17"/>
      <c r="CC729" s="17"/>
      <c r="CD729" s="18"/>
      <c r="CE729" s="18"/>
      <c r="CF729" s="18"/>
      <c r="CG729" s="18"/>
      <c r="CH729" s="18"/>
    </row>
    <row r="730">
      <c r="A730" s="15"/>
      <c r="B730" s="16"/>
      <c r="C730" s="15"/>
      <c r="D730" s="9"/>
      <c r="E730" s="15"/>
      <c r="F730" s="15"/>
      <c r="G730" s="13"/>
      <c r="H730" s="13"/>
      <c r="I730" s="13"/>
      <c r="J730" s="13"/>
      <c r="K730" s="13"/>
      <c r="L730" s="13"/>
      <c r="M730" s="13"/>
      <c r="N730" s="13"/>
      <c r="O730" s="13"/>
      <c r="P730" s="13"/>
      <c r="Q730" s="13"/>
      <c r="R730" s="13"/>
      <c r="S730" s="13"/>
      <c r="T730" s="13"/>
      <c r="U730" s="13"/>
      <c r="V730" s="13"/>
      <c r="W730" s="13"/>
      <c r="X730" s="13"/>
      <c r="Y730" s="13"/>
      <c r="Z730" s="13"/>
      <c r="AA730" s="13"/>
      <c r="AB730" s="15"/>
      <c r="AC730" s="15"/>
      <c r="AD730" s="15"/>
      <c r="AE730" s="13"/>
      <c r="AF730" s="13"/>
      <c r="AG730" s="13"/>
      <c r="AH730" s="15"/>
      <c r="AI730" s="13"/>
      <c r="AJ730" s="13"/>
      <c r="AK730" s="13"/>
      <c r="AL730" s="13"/>
      <c r="AM730" s="15"/>
      <c r="AN730" s="13"/>
      <c r="AO730" s="15"/>
      <c r="AP730" s="15"/>
      <c r="AQ730" s="13"/>
      <c r="AR730" s="13"/>
      <c r="AS730" s="13"/>
      <c r="AT730" s="13"/>
      <c r="AU730" s="13"/>
      <c r="AV730" s="13"/>
      <c r="AW730" s="13"/>
      <c r="AX730" s="13"/>
      <c r="AY730" s="15"/>
      <c r="AZ730" s="15"/>
      <c r="BA730" s="16"/>
      <c r="BB730" s="15"/>
      <c r="BC730" s="15"/>
      <c r="BD730" s="13"/>
      <c r="BE730" s="13"/>
      <c r="BF730" s="13"/>
      <c r="BG730" s="13"/>
      <c r="BH730" s="13"/>
      <c r="BI730" s="13"/>
      <c r="BJ730" s="13"/>
      <c r="BK730" s="13"/>
      <c r="BL730" s="13"/>
      <c r="BM730" s="13"/>
      <c r="BN730" s="13"/>
      <c r="BO730" s="13"/>
      <c r="BP730" s="13"/>
      <c r="BQ730" s="15"/>
      <c r="BR730" s="15"/>
      <c r="BS730" s="15"/>
      <c r="BT730" s="15"/>
      <c r="BU730" s="15"/>
      <c r="BV730" s="15"/>
      <c r="BW730" s="15"/>
      <c r="BX730" s="15"/>
      <c r="BY730" s="15"/>
      <c r="BZ730" s="15"/>
      <c r="CA730" s="15"/>
      <c r="CB730" s="17"/>
      <c r="CC730" s="17"/>
      <c r="CD730" s="18"/>
      <c r="CE730" s="18"/>
      <c r="CF730" s="18"/>
      <c r="CG730" s="18"/>
      <c r="CH730" s="18"/>
    </row>
    <row r="731">
      <c r="A731" s="15"/>
      <c r="B731" s="16"/>
      <c r="C731" s="15"/>
      <c r="D731" s="9"/>
      <c r="E731" s="15"/>
      <c r="F731" s="15"/>
      <c r="G731" s="13"/>
      <c r="H731" s="13"/>
      <c r="I731" s="13"/>
      <c r="J731" s="13"/>
      <c r="K731" s="13"/>
      <c r="L731" s="13"/>
      <c r="M731" s="13"/>
      <c r="N731" s="13"/>
      <c r="O731" s="13"/>
      <c r="P731" s="13"/>
      <c r="Q731" s="13"/>
      <c r="R731" s="13"/>
      <c r="S731" s="13"/>
      <c r="T731" s="13"/>
      <c r="U731" s="13"/>
      <c r="V731" s="13"/>
      <c r="W731" s="13"/>
      <c r="X731" s="13"/>
      <c r="Y731" s="13"/>
      <c r="Z731" s="13"/>
      <c r="AA731" s="13"/>
      <c r="AB731" s="15"/>
      <c r="AC731" s="15"/>
      <c r="AD731" s="15"/>
      <c r="AE731" s="13"/>
      <c r="AF731" s="13"/>
      <c r="AG731" s="13"/>
      <c r="AH731" s="15"/>
      <c r="AI731" s="13"/>
      <c r="AJ731" s="13"/>
      <c r="AK731" s="13"/>
      <c r="AL731" s="13"/>
      <c r="AM731" s="15"/>
      <c r="AN731" s="13"/>
      <c r="AO731" s="15"/>
      <c r="AP731" s="15"/>
      <c r="AQ731" s="13"/>
      <c r="AR731" s="13"/>
      <c r="AS731" s="13"/>
      <c r="AT731" s="13"/>
      <c r="AU731" s="13"/>
      <c r="AV731" s="13"/>
      <c r="AW731" s="13"/>
      <c r="AX731" s="13"/>
      <c r="AY731" s="15"/>
      <c r="AZ731" s="15"/>
      <c r="BA731" s="16"/>
      <c r="BB731" s="15"/>
      <c r="BC731" s="15"/>
      <c r="BD731" s="13"/>
      <c r="BE731" s="13"/>
      <c r="BF731" s="13"/>
      <c r="BG731" s="13"/>
      <c r="BH731" s="13"/>
      <c r="BI731" s="13"/>
      <c r="BJ731" s="13"/>
      <c r="BK731" s="13"/>
      <c r="BL731" s="13"/>
      <c r="BM731" s="13"/>
      <c r="BN731" s="13"/>
      <c r="BO731" s="13"/>
      <c r="BP731" s="13"/>
      <c r="BQ731" s="15"/>
      <c r="BR731" s="15"/>
      <c r="BS731" s="15"/>
      <c r="BT731" s="15"/>
      <c r="BU731" s="15"/>
      <c r="BV731" s="15"/>
      <c r="BW731" s="15"/>
      <c r="BX731" s="15"/>
      <c r="BY731" s="15"/>
      <c r="BZ731" s="15"/>
      <c r="CA731" s="15"/>
      <c r="CB731" s="17"/>
      <c r="CC731" s="17"/>
      <c r="CD731" s="18"/>
      <c r="CE731" s="18"/>
      <c r="CF731" s="18"/>
      <c r="CG731" s="18"/>
      <c r="CH731" s="18"/>
    </row>
    <row r="732">
      <c r="A732" s="15"/>
      <c r="B732" s="16"/>
      <c r="C732" s="15"/>
      <c r="D732" s="9"/>
      <c r="E732" s="15"/>
      <c r="F732" s="15"/>
      <c r="G732" s="13"/>
      <c r="H732" s="13"/>
      <c r="I732" s="13"/>
      <c r="J732" s="13"/>
      <c r="K732" s="13"/>
      <c r="L732" s="13"/>
      <c r="M732" s="13"/>
      <c r="N732" s="13"/>
      <c r="O732" s="13"/>
      <c r="P732" s="13"/>
      <c r="Q732" s="13"/>
      <c r="R732" s="13"/>
      <c r="S732" s="13"/>
      <c r="T732" s="13"/>
      <c r="U732" s="13"/>
      <c r="V732" s="13"/>
      <c r="W732" s="13"/>
      <c r="X732" s="13"/>
      <c r="Y732" s="13"/>
      <c r="Z732" s="13"/>
      <c r="AA732" s="13"/>
      <c r="AB732" s="15"/>
      <c r="AC732" s="15"/>
      <c r="AD732" s="15"/>
      <c r="AE732" s="13"/>
      <c r="AF732" s="13"/>
      <c r="AG732" s="13"/>
      <c r="AH732" s="15"/>
      <c r="AI732" s="13"/>
      <c r="AJ732" s="13"/>
      <c r="AK732" s="13"/>
      <c r="AL732" s="13"/>
      <c r="AM732" s="15"/>
      <c r="AN732" s="13"/>
      <c r="AO732" s="15"/>
      <c r="AP732" s="15"/>
      <c r="AQ732" s="13"/>
      <c r="AR732" s="13"/>
      <c r="AS732" s="13"/>
      <c r="AT732" s="13"/>
      <c r="AU732" s="13"/>
      <c r="AV732" s="13"/>
      <c r="AW732" s="13"/>
      <c r="AX732" s="13"/>
      <c r="AY732" s="15"/>
      <c r="AZ732" s="15"/>
      <c r="BA732" s="16"/>
      <c r="BB732" s="15"/>
      <c r="BC732" s="15"/>
      <c r="BD732" s="13"/>
      <c r="BE732" s="13"/>
      <c r="BF732" s="13"/>
      <c r="BG732" s="13"/>
      <c r="BH732" s="13"/>
      <c r="BI732" s="13"/>
      <c r="BJ732" s="13"/>
      <c r="BK732" s="13"/>
      <c r="BL732" s="13"/>
      <c r="BM732" s="13"/>
      <c r="BN732" s="13"/>
      <c r="BO732" s="13"/>
      <c r="BP732" s="13"/>
      <c r="BQ732" s="15"/>
      <c r="BR732" s="15"/>
      <c r="BS732" s="15"/>
      <c r="BT732" s="15"/>
      <c r="BU732" s="15"/>
      <c r="BV732" s="15"/>
      <c r="BW732" s="15"/>
      <c r="BX732" s="15"/>
      <c r="BY732" s="15"/>
      <c r="BZ732" s="15"/>
      <c r="CA732" s="15"/>
      <c r="CB732" s="17"/>
      <c r="CC732" s="17"/>
      <c r="CD732" s="18"/>
      <c r="CE732" s="18"/>
      <c r="CF732" s="18"/>
      <c r="CG732" s="18"/>
      <c r="CH732" s="18"/>
    </row>
    <row r="733">
      <c r="A733" s="15"/>
      <c r="B733" s="16"/>
      <c r="C733" s="15"/>
      <c r="D733" s="9"/>
      <c r="E733" s="15"/>
      <c r="F733" s="15"/>
      <c r="G733" s="13"/>
      <c r="H733" s="13"/>
      <c r="I733" s="13"/>
      <c r="J733" s="13"/>
      <c r="K733" s="13"/>
      <c r="L733" s="13"/>
      <c r="M733" s="13"/>
      <c r="N733" s="13"/>
      <c r="O733" s="13"/>
      <c r="P733" s="13"/>
      <c r="Q733" s="13"/>
      <c r="R733" s="13"/>
      <c r="S733" s="13"/>
      <c r="T733" s="13"/>
      <c r="U733" s="13"/>
      <c r="V733" s="13"/>
      <c r="W733" s="13"/>
      <c r="X733" s="13"/>
      <c r="Y733" s="13"/>
      <c r="Z733" s="13"/>
      <c r="AA733" s="13"/>
      <c r="AB733" s="15"/>
      <c r="AC733" s="15"/>
      <c r="AD733" s="15"/>
      <c r="AE733" s="13"/>
      <c r="AF733" s="13"/>
      <c r="AG733" s="13"/>
      <c r="AH733" s="15"/>
      <c r="AI733" s="13"/>
      <c r="AJ733" s="13"/>
      <c r="AK733" s="13"/>
      <c r="AL733" s="13"/>
      <c r="AM733" s="15"/>
      <c r="AN733" s="13"/>
      <c r="AO733" s="15"/>
      <c r="AP733" s="15"/>
      <c r="AQ733" s="13"/>
      <c r="AR733" s="13"/>
      <c r="AS733" s="13"/>
      <c r="AT733" s="13"/>
      <c r="AU733" s="13"/>
      <c r="AV733" s="13"/>
      <c r="AW733" s="13"/>
      <c r="AX733" s="13"/>
      <c r="AY733" s="15"/>
      <c r="AZ733" s="15"/>
      <c r="BA733" s="16"/>
      <c r="BB733" s="15"/>
      <c r="BC733" s="15"/>
      <c r="BD733" s="13"/>
      <c r="BE733" s="13"/>
      <c r="BF733" s="13"/>
      <c r="BG733" s="13"/>
      <c r="BH733" s="13"/>
      <c r="BI733" s="13"/>
      <c r="BJ733" s="13"/>
      <c r="BK733" s="13"/>
      <c r="BL733" s="13"/>
      <c r="BM733" s="13"/>
      <c r="BN733" s="13"/>
      <c r="BO733" s="13"/>
      <c r="BP733" s="13"/>
      <c r="BQ733" s="15"/>
      <c r="BR733" s="15"/>
      <c r="BS733" s="15"/>
      <c r="BT733" s="15"/>
      <c r="BU733" s="15"/>
      <c r="BV733" s="15"/>
      <c r="BW733" s="15"/>
      <c r="BX733" s="15"/>
      <c r="BY733" s="15"/>
      <c r="BZ733" s="15"/>
      <c r="CA733" s="15"/>
      <c r="CB733" s="17"/>
      <c r="CC733" s="17"/>
      <c r="CD733" s="18"/>
      <c r="CE733" s="18"/>
      <c r="CF733" s="18"/>
      <c r="CG733" s="18"/>
      <c r="CH733" s="18"/>
    </row>
    <row r="734">
      <c r="A734" s="15"/>
      <c r="B734" s="16"/>
      <c r="C734" s="15"/>
      <c r="D734" s="9"/>
      <c r="E734" s="15"/>
      <c r="F734" s="15"/>
      <c r="G734" s="13"/>
      <c r="H734" s="13"/>
      <c r="I734" s="13"/>
      <c r="J734" s="13"/>
      <c r="K734" s="13"/>
      <c r="L734" s="13"/>
      <c r="M734" s="13"/>
      <c r="N734" s="13"/>
      <c r="O734" s="13"/>
      <c r="P734" s="13"/>
      <c r="Q734" s="13"/>
      <c r="R734" s="13"/>
      <c r="S734" s="13"/>
      <c r="T734" s="13"/>
      <c r="U734" s="13"/>
      <c r="V734" s="13"/>
      <c r="W734" s="13"/>
      <c r="X734" s="13"/>
      <c r="Y734" s="13"/>
      <c r="Z734" s="13"/>
      <c r="AA734" s="13"/>
      <c r="AB734" s="15"/>
      <c r="AC734" s="15"/>
      <c r="AD734" s="15"/>
      <c r="AE734" s="13"/>
      <c r="AF734" s="13"/>
      <c r="AG734" s="13"/>
      <c r="AH734" s="15"/>
      <c r="AI734" s="13"/>
      <c r="AJ734" s="13"/>
      <c r="AK734" s="13"/>
      <c r="AL734" s="13"/>
      <c r="AM734" s="15"/>
      <c r="AN734" s="13"/>
      <c r="AO734" s="15"/>
      <c r="AP734" s="15"/>
      <c r="AQ734" s="13"/>
      <c r="AR734" s="13"/>
      <c r="AS734" s="13"/>
      <c r="AT734" s="13"/>
      <c r="AU734" s="13"/>
      <c r="AV734" s="13"/>
      <c r="AW734" s="13"/>
      <c r="AX734" s="13"/>
      <c r="AY734" s="15"/>
      <c r="AZ734" s="15"/>
      <c r="BA734" s="16"/>
      <c r="BB734" s="15"/>
      <c r="BC734" s="15"/>
      <c r="BD734" s="13"/>
      <c r="BE734" s="13"/>
      <c r="BF734" s="13"/>
      <c r="BG734" s="13"/>
      <c r="BH734" s="13"/>
      <c r="BI734" s="13"/>
      <c r="BJ734" s="13"/>
      <c r="BK734" s="13"/>
      <c r="BL734" s="13"/>
      <c r="BM734" s="13"/>
      <c r="BN734" s="13"/>
      <c r="BO734" s="13"/>
      <c r="BP734" s="13"/>
      <c r="BQ734" s="15"/>
      <c r="BR734" s="15"/>
      <c r="BS734" s="15"/>
      <c r="BT734" s="15"/>
      <c r="BU734" s="15"/>
      <c r="BV734" s="15"/>
      <c r="BW734" s="15"/>
      <c r="BX734" s="15"/>
      <c r="BY734" s="15"/>
      <c r="BZ734" s="15"/>
      <c r="CA734" s="15"/>
      <c r="CB734" s="17"/>
      <c r="CC734" s="17"/>
      <c r="CD734" s="18"/>
      <c r="CE734" s="18"/>
      <c r="CF734" s="18"/>
      <c r="CG734" s="18"/>
      <c r="CH734" s="18"/>
    </row>
    <row r="735">
      <c r="A735" s="15"/>
      <c r="B735" s="16"/>
      <c r="C735" s="15"/>
      <c r="D735" s="9"/>
      <c r="E735" s="15"/>
      <c r="F735" s="15"/>
      <c r="G735" s="13"/>
      <c r="H735" s="13"/>
      <c r="I735" s="13"/>
      <c r="J735" s="13"/>
      <c r="K735" s="13"/>
      <c r="L735" s="13"/>
      <c r="M735" s="13"/>
      <c r="N735" s="13"/>
      <c r="O735" s="13"/>
      <c r="P735" s="13"/>
      <c r="Q735" s="13"/>
      <c r="R735" s="13"/>
      <c r="S735" s="13"/>
      <c r="T735" s="13"/>
      <c r="U735" s="13"/>
      <c r="V735" s="13"/>
      <c r="W735" s="13"/>
      <c r="X735" s="13"/>
      <c r="Y735" s="13"/>
      <c r="Z735" s="13"/>
      <c r="AA735" s="13"/>
      <c r="AB735" s="15"/>
      <c r="AC735" s="15"/>
      <c r="AD735" s="15"/>
      <c r="AE735" s="13"/>
      <c r="AF735" s="13"/>
      <c r="AG735" s="13"/>
      <c r="AH735" s="15"/>
      <c r="AI735" s="13"/>
      <c r="AJ735" s="13"/>
      <c r="AK735" s="13"/>
      <c r="AL735" s="13"/>
      <c r="AM735" s="15"/>
      <c r="AN735" s="13"/>
      <c r="AO735" s="15"/>
      <c r="AP735" s="15"/>
      <c r="AQ735" s="13"/>
      <c r="AR735" s="13"/>
      <c r="AS735" s="13"/>
      <c r="AT735" s="13"/>
      <c r="AU735" s="13"/>
      <c r="AV735" s="13"/>
      <c r="AW735" s="13"/>
      <c r="AX735" s="13"/>
      <c r="AY735" s="15"/>
      <c r="AZ735" s="15"/>
      <c r="BA735" s="16"/>
      <c r="BB735" s="15"/>
      <c r="BC735" s="15"/>
      <c r="BD735" s="13"/>
      <c r="BE735" s="13"/>
      <c r="BF735" s="13"/>
      <c r="BG735" s="13"/>
      <c r="BH735" s="13"/>
      <c r="BI735" s="13"/>
      <c r="BJ735" s="13"/>
      <c r="BK735" s="13"/>
      <c r="BL735" s="13"/>
      <c r="BM735" s="13"/>
      <c r="BN735" s="13"/>
      <c r="BO735" s="13"/>
      <c r="BP735" s="13"/>
      <c r="BQ735" s="15"/>
      <c r="BR735" s="15"/>
      <c r="BS735" s="15"/>
      <c r="BT735" s="15"/>
      <c r="BU735" s="15"/>
      <c r="BV735" s="15"/>
      <c r="BW735" s="15"/>
      <c r="BX735" s="15"/>
      <c r="BY735" s="15"/>
      <c r="BZ735" s="15"/>
      <c r="CA735" s="15"/>
      <c r="CB735" s="17"/>
      <c r="CC735" s="17"/>
      <c r="CD735" s="18"/>
      <c r="CE735" s="18"/>
      <c r="CF735" s="18"/>
      <c r="CG735" s="18"/>
      <c r="CH735" s="18"/>
    </row>
    <row r="736">
      <c r="A736" s="15"/>
      <c r="B736" s="16"/>
      <c r="C736" s="15"/>
      <c r="D736" s="9"/>
      <c r="E736" s="15"/>
      <c r="F736" s="15"/>
      <c r="G736" s="13"/>
      <c r="H736" s="13"/>
      <c r="I736" s="13"/>
      <c r="J736" s="13"/>
      <c r="K736" s="13"/>
      <c r="L736" s="13"/>
      <c r="M736" s="13"/>
      <c r="N736" s="13"/>
      <c r="O736" s="13"/>
      <c r="P736" s="13"/>
      <c r="Q736" s="13"/>
      <c r="R736" s="13"/>
      <c r="S736" s="13"/>
      <c r="T736" s="13"/>
      <c r="U736" s="13"/>
      <c r="V736" s="13"/>
      <c r="W736" s="13"/>
      <c r="X736" s="13"/>
      <c r="Y736" s="13"/>
      <c r="Z736" s="13"/>
      <c r="AA736" s="13"/>
      <c r="AB736" s="15"/>
      <c r="AC736" s="15"/>
      <c r="AD736" s="15"/>
      <c r="AE736" s="13"/>
      <c r="AF736" s="13"/>
      <c r="AG736" s="13"/>
      <c r="AH736" s="15"/>
      <c r="AI736" s="13"/>
      <c r="AJ736" s="13"/>
      <c r="AK736" s="13"/>
      <c r="AL736" s="13"/>
      <c r="AM736" s="15"/>
      <c r="AN736" s="13"/>
      <c r="AO736" s="15"/>
      <c r="AP736" s="15"/>
      <c r="AQ736" s="13"/>
      <c r="AR736" s="13"/>
      <c r="AS736" s="13"/>
      <c r="AT736" s="13"/>
      <c r="AU736" s="13"/>
      <c r="AV736" s="13"/>
      <c r="AW736" s="13"/>
      <c r="AX736" s="13"/>
      <c r="AY736" s="15"/>
      <c r="AZ736" s="15"/>
      <c r="BA736" s="16"/>
      <c r="BB736" s="15"/>
      <c r="BC736" s="15"/>
      <c r="BD736" s="13"/>
      <c r="BE736" s="13"/>
      <c r="BF736" s="13"/>
      <c r="BG736" s="13"/>
      <c r="BH736" s="13"/>
      <c r="BI736" s="13"/>
      <c r="BJ736" s="13"/>
      <c r="BK736" s="13"/>
      <c r="BL736" s="13"/>
      <c r="BM736" s="13"/>
      <c r="BN736" s="13"/>
      <c r="BO736" s="13"/>
      <c r="BP736" s="13"/>
      <c r="BQ736" s="15"/>
      <c r="BR736" s="15"/>
      <c r="BS736" s="15"/>
      <c r="BT736" s="15"/>
      <c r="BU736" s="15"/>
      <c r="BV736" s="15"/>
      <c r="BW736" s="15"/>
      <c r="BX736" s="15"/>
      <c r="BY736" s="15"/>
      <c r="BZ736" s="15"/>
      <c r="CA736" s="15"/>
      <c r="CB736" s="17"/>
      <c r="CC736" s="17"/>
      <c r="CD736" s="18"/>
      <c r="CE736" s="18"/>
      <c r="CF736" s="18"/>
      <c r="CG736" s="18"/>
      <c r="CH736" s="18"/>
    </row>
    <row r="737">
      <c r="A737" s="15"/>
      <c r="B737" s="16"/>
      <c r="C737" s="15"/>
      <c r="D737" s="9"/>
      <c r="E737" s="15"/>
      <c r="F737" s="15"/>
      <c r="G737" s="13"/>
      <c r="H737" s="13"/>
      <c r="I737" s="13"/>
      <c r="J737" s="13"/>
      <c r="K737" s="13"/>
      <c r="L737" s="13"/>
      <c r="M737" s="13"/>
      <c r="N737" s="13"/>
      <c r="O737" s="13"/>
      <c r="P737" s="13"/>
      <c r="Q737" s="13"/>
      <c r="R737" s="13"/>
      <c r="S737" s="13"/>
      <c r="T737" s="13"/>
      <c r="U737" s="13"/>
      <c r="V737" s="13"/>
      <c r="W737" s="13"/>
      <c r="X737" s="13"/>
      <c r="Y737" s="13"/>
      <c r="Z737" s="13"/>
      <c r="AA737" s="13"/>
      <c r="AB737" s="15"/>
      <c r="AC737" s="15"/>
      <c r="AD737" s="15"/>
      <c r="AE737" s="13"/>
      <c r="AF737" s="13"/>
      <c r="AG737" s="13"/>
      <c r="AH737" s="15"/>
      <c r="AI737" s="13"/>
      <c r="AJ737" s="13"/>
      <c r="AK737" s="13"/>
      <c r="AL737" s="13"/>
      <c r="AM737" s="15"/>
      <c r="AN737" s="13"/>
      <c r="AO737" s="15"/>
      <c r="AP737" s="15"/>
      <c r="AQ737" s="13"/>
      <c r="AR737" s="13"/>
      <c r="AS737" s="13"/>
      <c r="AT737" s="13"/>
      <c r="AU737" s="13"/>
      <c r="AV737" s="13"/>
      <c r="AW737" s="13"/>
      <c r="AX737" s="13"/>
      <c r="AY737" s="15"/>
      <c r="AZ737" s="15"/>
      <c r="BA737" s="16"/>
      <c r="BB737" s="15"/>
      <c r="BC737" s="15"/>
      <c r="BD737" s="13"/>
      <c r="BE737" s="13"/>
      <c r="BF737" s="13"/>
      <c r="BG737" s="13"/>
      <c r="BH737" s="13"/>
      <c r="BI737" s="13"/>
      <c r="BJ737" s="13"/>
      <c r="BK737" s="13"/>
      <c r="BL737" s="13"/>
      <c r="BM737" s="13"/>
      <c r="BN737" s="13"/>
      <c r="BO737" s="13"/>
      <c r="BP737" s="13"/>
      <c r="BQ737" s="15"/>
      <c r="BR737" s="15"/>
      <c r="BS737" s="15"/>
      <c r="BT737" s="15"/>
      <c r="BU737" s="15"/>
      <c r="BV737" s="15"/>
      <c r="BW737" s="15"/>
      <c r="BX737" s="15"/>
      <c r="BY737" s="15"/>
      <c r="BZ737" s="15"/>
      <c r="CA737" s="15"/>
      <c r="CB737" s="17"/>
      <c r="CC737" s="17"/>
      <c r="CD737" s="18"/>
      <c r="CE737" s="18"/>
      <c r="CF737" s="18"/>
      <c r="CG737" s="18"/>
      <c r="CH737" s="18"/>
    </row>
    <row r="738">
      <c r="A738" s="15"/>
      <c r="B738" s="16"/>
      <c r="C738" s="15"/>
      <c r="D738" s="9"/>
      <c r="E738" s="15"/>
      <c r="F738" s="15"/>
      <c r="G738" s="13"/>
      <c r="H738" s="13"/>
      <c r="I738" s="13"/>
      <c r="J738" s="13"/>
      <c r="K738" s="13"/>
      <c r="L738" s="13"/>
      <c r="M738" s="13"/>
      <c r="N738" s="13"/>
      <c r="O738" s="13"/>
      <c r="P738" s="13"/>
      <c r="Q738" s="13"/>
      <c r="R738" s="13"/>
      <c r="S738" s="13"/>
      <c r="T738" s="13"/>
      <c r="U738" s="13"/>
      <c r="V738" s="13"/>
      <c r="W738" s="13"/>
      <c r="X738" s="13"/>
      <c r="Y738" s="13"/>
      <c r="Z738" s="13"/>
      <c r="AA738" s="13"/>
      <c r="AB738" s="15"/>
      <c r="AC738" s="15"/>
      <c r="AD738" s="15"/>
      <c r="AE738" s="13"/>
      <c r="AF738" s="13"/>
      <c r="AG738" s="13"/>
      <c r="AH738" s="15"/>
      <c r="AI738" s="13"/>
      <c r="AJ738" s="13"/>
      <c r="AK738" s="13"/>
      <c r="AL738" s="13"/>
      <c r="AM738" s="15"/>
      <c r="AN738" s="13"/>
      <c r="AO738" s="15"/>
      <c r="AP738" s="15"/>
      <c r="AQ738" s="13"/>
      <c r="AR738" s="13"/>
      <c r="AS738" s="13"/>
      <c r="AT738" s="13"/>
      <c r="AU738" s="13"/>
      <c r="AV738" s="13"/>
      <c r="AW738" s="13"/>
      <c r="AX738" s="13"/>
      <c r="AY738" s="15"/>
      <c r="AZ738" s="15"/>
      <c r="BA738" s="16"/>
      <c r="BB738" s="15"/>
      <c r="BC738" s="15"/>
      <c r="BD738" s="13"/>
      <c r="BE738" s="13"/>
      <c r="BF738" s="13"/>
      <c r="BG738" s="13"/>
      <c r="BH738" s="13"/>
      <c r="BI738" s="13"/>
      <c r="BJ738" s="13"/>
      <c r="BK738" s="13"/>
      <c r="BL738" s="13"/>
      <c r="BM738" s="13"/>
      <c r="BN738" s="13"/>
      <c r="BO738" s="13"/>
      <c r="BP738" s="13"/>
      <c r="BQ738" s="15"/>
      <c r="BR738" s="15"/>
      <c r="BS738" s="15"/>
      <c r="BT738" s="15"/>
      <c r="BU738" s="15"/>
      <c r="BV738" s="15"/>
      <c r="BW738" s="15"/>
      <c r="BX738" s="15"/>
      <c r="BY738" s="15"/>
      <c r="BZ738" s="15"/>
      <c r="CA738" s="15"/>
      <c r="CB738" s="17"/>
      <c r="CC738" s="17"/>
      <c r="CD738" s="18"/>
      <c r="CE738" s="18"/>
      <c r="CF738" s="18"/>
      <c r="CG738" s="18"/>
      <c r="CH738" s="18"/>
    </row>
    <row r="739">
      <c r="A739" s="15"/>
      <c r="B739" s="16"/>
      <c r="C739" s="15"/>
      <c r="D739" s="9"/>
      <c r="E739" s="15"/>
      <c r="F739" s="15"/>
      <c r="G739" s="13"/>
      <c r="H739" s="13"/>
      <c r="I739" s="13"/>
      <c r="J739" s="13"/>
      <c r="K739" s="13"/>
      <c r="L739" s="13"/>
      <c r="M739" s="13"/>
      <c r="N739" s="13"/>
      <c r="O739" s="13"/>
      <c r="P739" s="13"/>
      <c r="Q739" s="13"/>
      <c r="R739" s="13"/>
      <c r="S739" s="13"/>
      <c r="T739" s="13"/>
      <c r="U739" s="13"/>
      <c r="V739" s="13"/>
      <c r="W739" s="13"/>
      <c r="X739" s="13"/>
      <c r="Y739" s="13"/>
      <c r="Z739" s="13"/>
      <c r="AA739" s="13"/>
      <c r="AB739" s="15"/>
      <c r="AC739" s="15"/>
      <c r="AD739" s="15"/>
      <c r="AE739" s="13"/>
      <c r="AF739" s="13"/>
      <c r="AG739" s="13"/>
      <c r="AH739" s="15"/>
      <c r="AI739" s="13"/>
      <c r="AJ739" s="13"/>
      <c r="AK739" s="13"/>
      <c r="AL739" s="13"/>
      <c r="AM739" s="15"/>
      <c r="AN739" s="13"/>
      <c r="AO739" s="15"/>
      <c r="AP739" s="15"/>
      <c r="AQ739" s="13"/>
      <c r="AR739" s="13"/>
      <c r="AS739" s="13"/>
      <c r="AT739" s="13"/>
      <c r="AU739" s="13"/>
      <c r="AV739" s="13"/>
      <c r="AW739" s="13"/>
      <c r="AX739" s="13"/>
      <c r="AY739" s="15"/>
      <c r="AZ739" s="15"/>
      <c r="BA739" s="16"/>
      <c r="BB739" s="15"/>
      <c r="BC739" s="15"/>
      <c r="BD739" s="13"/>
      <c r="BE739" s="13"/>
      <c r="BF739" s="13"/>
      <c r="BG739" s="13"/>
      <c r="BH739" s="13"/>
      <c r="BI739" s="13"/>
      <c r="BJ739" s="13"/>
      <c r="BK739" s="13"/>
      <c r="BL739" s="13"/>
      <c r="BM739" s="13"/>
      <c r="BN739" s="13"/>
      <c r="BO739" s="13"/>
      <c r="BP739" s="13"/>
      <c r="BQ739" s="15"/>
      <c r="BR739" s="15"/>
      <c r="BS739" s="15"/>
      <c r="BT739" s="15"/>
      <c r="BU739" s="15"/>
      <c r="BV739" s="15"/>
      <c r="BW739" s="15"/>
      <c r="BX739" s="15"/>
      <c r="BY739" s="15"/>
      <c r="BZ739" s="15"/>
      <c r="CA739" s="15"/>
      <c r="CB739" s="17"/>
      <c r="CC739" s="17"/>
      <c r="CD739" s="18"/>
      <c r="CE739" s="18"/>
      <c r="CF739" s="18"/>
      <c r="CG739" s="18"/>
      <c r="CH739" s="18"/>
    </row>
    <row r="740">
      <c r="A740" s="15"/>
      <c r="B740" s="16"/>
      <c r="C740" s="15"/>
      <c r="D740" s="9"/>
      <c r="E740" s="15"/>
      <c r="F740" s="15"/>
      <c r="G740" s="13"/>
      <c r="H740" s="13"/>
      <c r="I740" s="13"/>
      <c r="J740" s="13"/>
      <c r="K740" s="13"/>
      <c r="L740" s="13"/>
      <c r="M740" s="13"/>
      <c r="N740" s="13"/>
      <c r="O740" s="13"/>
      <c r="P740" s="13"/>
      <c r="Q740" s="13"/>
      <c r="R740" s="13"/>
      <c r="S740" s="13"/>
      <c r="T740" s="13"/>
      <c r="U740" s="13"/>
      <c r="V740" s="13"/>
      <c r="W740" s="13"/>
      <c r="X740" s="13"/>
      <c r="Y740" s="13"/>
      <c r="Z740" s="13"/>
      <c r="AA740" s="13"/>
      <c r="AB740" s="15"/>
      <c r="AC740" s="15"/>
      <c r="AD740" s="15"/>
      <c r="AE740" s="13"/>
      <c r="AF740" s="13"/>
      <c r="AG740" s="13"/>
      <c r="AH740" s="15"/>
      <c r="AI740" s="13"/>
      <c r="AJ740" s="13"/>
      <c r="AK740" s="13"/>
      <c r="AL740" s="13"/>
      <c r="AM740" s="15"/>
      <c r="AN740" s="13"/>
      <c r="AO740" s="15"/>
      <c r="AP740" s="15"/>
      <c r="AQ740" s="13"/>
      <c r="AR740" s="13"/>
      <c r="AS740" s="13"/>
      <c r="AT740" s="13"/>
      <c r="AU740" s="13"/>
      <c r="AV740" s="13"/>
      <c r="AW740" s="13"/>
      <c r="AX740" s="13"/>
      <c r="AY740" s="15"/>
      <c r="AZ740" s="15"/>
      <c r="BA740" s="16"/>
      <c r="BB740" s="15"/>
      <c r="BC740" s="15"/>
      <c r="BD740" s="13"/>
      <c r="BE740" s="13"/>
      <c r="BF740" s="13"/>
      <c r="BG740" s="13"/>
      <c r="BH740" s="13"/>
      <c r="BI740" s="13"/>
      <c r="BJ740" s="13"/>
      <c r="BK740" s="13"/>
      <c r="BL740" s="13"/>
      <c r="BM740" s="13"/>
      <c r="BN740" s="13"/>
      <c r="BO740" s="13"/>
      <c r="BP740" s="13"/>
      <c r="BQ740" s="15"/>
      <c r="BR740" s="15"/>
      <c r="BS740" s="15"/>
      <c r="BT740" s="15"/>
      <c r="BU740" s="15"/>
      <c r="BV740" s="15"/>
      <c r="BW740" s="15"/>
      <c r="BX740" s="15"/>
      <c r="BY740" s="15"/>
      <c r="BZ740" s="15"/>
      <c r="CA740" s="15"/>
      <c r="CB740" s="17"/>
      <c r="CC740" s="17"/>
      <c r="CD740" s="18"/>
      <c r="CE740" s="18"/>
      <c r="CF740" s="18"/>
      <c r="CG740" s="18"/>
      <c r="CH740" s="18"/>
    </row>
    <row r="741">
      <c r="A741" s="15"/>
      <c r="B741" s="16"/>
      <c r="C741" s="15"/>
      <c r="D741" s="9"/>
      <c r="E741" s="15"/>
      <c r="F741" s="15"/>
      <c r="G741" s="13"/>
      <c r="H741" s="13"/>
      <c r="I741" s="13"/>
      <c r="J741" s="13"/>
      <c r="K741" s="13"/>
      <c r="L741" s="13"/>
      <c r="M741" s="13"/>
      <c r="N741" s="13"/>
      <c r="O741" s="13"/>
      <c r="P741" s="13"/>
      <c r="Q741" s="13"/>
      <c r="R741" s="13"/>
      <c r="S741" s="13"/>
      <c r="T741" s="13"/>
      <c r="U741" s="13"/>
      <c r="V741" s="13"/>
      <c r="W741" s="13"/>
      <c r="X741" s="13"/>
      <c r="Y741" s="13"/>
      <c r="Z741" s="13"/>
      <c r="AA741" s="13"/>
      <c r="AB741" s="15"/>
      <c r="AC741" s="15"/>
      <c r="AD741" s="15"/>
      <c r="AE741" s="13"/>
      <c r="AF741" s="13"/>
      <c r="AG741" s="13"/>
      <c r="AH741" s="15"/>
      <c r="AI741" s="13"/>
      <c r="AJ741" s="13"/>
      <c r="AK741" s="13"/>
      <c r="AL741" s="13"/>
      <c r="AM741" s="15"/>
      <c r="AN741" s="13"/>
      <c r="AO741" s="15"/>
      <c r="AP741" s="15"/>
      <c r="AQ741" s="13"/>
      <c r="AR741" s="13"/>
      <c r="AS741" s="13"/>
      <c r="AT741" s="13"/>
      <c r="AU741" s="13"/>
      <c r="AV741" s="13"/>
      <c r="AW741" s="13"/>
      <c r="AX741" s="13"/>
      <c r="AY741" s="15"/>
      <c r="AZ741" s="15"/>
      <c r="BA741" s="16"/>
      <c r="BB741" s="15"/>
      <c r="BC741" s="15"/>
      <c r="BD741" s="13"/>
      <c r="BE741" s="13"/>
      <c r="BF741" s="13"/>
      <c r="BG741" s="13"/>
      <c r="BH741" s="13"/>
      <c r="BI741" s="13"/>
      <c r="BJ741" s="13"/>
      <c r="BK741" s="13"/>
      <c r="BL741" s="13"/>
      <c r="BM741" s="13"/>
      <c r="BN741" s="13"/>
      <c r="BO741" s="13"/>
      <c r="BP741" s="13"/>
      <c r="BQ741" s="15"/>
      <c r="BR741" s="15"/>
      <c r="BS741" s="15"/>
      <c r="BT741" s="15"/>
      <c r="BU741" s="15"/>
      <c r="BV741" s="15"/>
      <c r="BW741" s="15"/>
      <c r="BX741" s="15"/>
      <c r="BY741" s="15"/>
      <c r="BZ741" s="15"/>
      <c r="CA741" s="15"/>
      <c r="CB741" s="17"/>
      <c r="CC741" s="17"/>
      <c r="CD741" s="18"/>
      <c r="CE741" s="18"/>
      <c r="CF741" s="18"/>
      <c r="CG741" s="18"/>
      <c r="CH741" s="18"/>
    </row>
    <row r="742">
      <c r="A742" s="15"/>
      <c r="B742" s="16"/>
      <c r="C742" s="15"/>
      <c r="D742" s="9"/>
      <c r="E742" s="15"/>
      <c r="F742" s="15"/>
      <c r="G742" s="13"/>
      <c r="H742" s="13"/>
      <c r="I742" s="13"/>
      <c r="J742" s="13"/>
      <c r="K742" s="13"/>
      <c r="L742" s="13"/>
      <c r="M742" s="13"/>
      <c r="N742" s="13"/>
      <c r="O742" s="13"/>
      <c r="P742" s="13"/>
      <c r="Q742" s="13"/>
      <c r="R742" s="13"/>
      <c r="S742" s="13"/>
      <c r="T742" s="13"/>
      <c r="U742" s="13"/>
      <c r="V742" s="13"/>
      <c r="W742" s="13"/>
      <c r="X742" s="13"/>
      <c r="Y742" s="13"/>
      <c r="Z742" s="13"/>
      <c r="AA742" s="13"/>
      <c r="AB742" s="15"/>
      <c r="AC742" s="15"/>
      <c r="AD742" s="15"/>
      <c r="AE742" s="13"/>
      <c r="AF742" s="13"/>
      <c r="AG742" s="13"/>
      <c r="AH742" s="15"/>
      <c r="AI742" s="13"/>
      <c r="AJ742" s="13"/>
      <c r="AK742" s="13"/>
      <c r="AL742" s="13"/>
      <c r="AM742" s="15"/>
      <c r="AN742" s="13"/>
      <c r="AO742" s="15"/>
      <c r="AP742" s="15"/>
      <c r="AQ742" s="13"/>
      <c r="AR742" s="13"/>
      <c r="AS742" s="13"/>
      <c r="AT742" s="13"/>
      <c r="AU742" s="13"/>
      <c r="AV742" s="13"/>
      <c r="AW742" s="13"/>
      <c r="AX742" s="13"/>
      <c r="AY742" s="15"/>
      <c r="AZ742" s="15"/>
      <c r="BA742" s="16"/>
      <c r="BB742" s="15"/>
      <c r="BC742" s="15"/>
      <c r="BD742" s="13"/>
      <c r="BE742" s="13"/>
      <c r="BF742" s="13"/>
      <c r="BG742" s="13"/>
      <c r="BH742" s="13"/>
      <c r="BI742" s="13"/>
      <c r="BJ742" s="13"/>
      <c r="BK742" s="13"/>
      <c r="BL742" s="13"/>
      <c r="BM742" s="13"/>
      <c r="BN742" s="13"/>
      <c r="BO742" s="13"/>
      <c r="BP742" s="13"/>
      <c r="BQ742" s="15"/>
      <c r="BR742" s="15"/>
      <c r="BS742" s="15"/>
      <c r="BT742" s="15"/>
      <c r="BU742" s="15"/>
      <c r="BV742" s="15"/>
      <c r="BW742" s="15"/>
      <c r="BX742" s="15"/>
      <c r="BY742" s="15"/>
      <c r="BZ742" s="15"/>
      <c r="CA742" s="15"/>
      <c r="CB742" s="17"/>
      <c r="CC742" s="17"/>
      <c r="CD742" s="18"/>
      <c r="CE742" s="18"/>
      <c r="CF742" s="18"/>
      <c r="CG742" s="18"/>
      <c r="CH742" s="18"/>
    </row>
    <row r="743">
      <c r="A743" s="15"/>
      <c r="B743" s="16"/>
      <c r="C743" s="15"/>
      <c r="D743" s="9"/>
      <c r="E743" s="15"/>
      <c r="F743" s="15"/>
      <c r="G743" s="13"/>
      <c r="H743" s="13"/>
      <c r="I743" s="13"/>
      <c r="J743" s="13"/>
      <c r="K743" s="13"/>
      <c r="L743" s="13"/>
      <c r="M743" s="13"/>
      <c r="N743" s="13"/>
      <c r="O743" s="13"/>
      <c r="P743" s="13"/>
      <c r="Q743" s="13"/>
      <c r="R743" s="13"/>
      <c r="S743" s="13"/>
      <c r="T743" s="13"/>
      <c r="U743" s="13"/>
      <c r="V743" s="13"/>
      <c r="W743" s="13"/>
      <c r="X743" s="13"/>
      <c r="Y743" s="13"/>
      <c r="Z743" s="13"/>
      <c r="AA743" s="13"/>
      <c r="AB743" s="15"/>
      <c r="AC743" s="15"/>
      <c r="AD743" s="15"/>
      <c r="AE743" s="13"/>
      <c r="AF743" s="13"/>
      <c r="AG743" s="13"/>
      <c r="AH743" s="15"/>
      <c r="AI743" s="13"/>
      <c r="AJ743" s="13"/>
      <c r="AK743" s="13"/>
      <c r="AL743" s="13"/>
      <c r="AM743" s="15"/>
      <c r="AN743" s="13"/>
      <c r="AO743" s="15"/>
      <c r="AP743" s="15"/>
      <c r="AQ743" s="13"/>
      <c r="AR743" s="13"/>
      <c r="AS743" s="13"/>
      <c r="AT743" s="13"/>
      <c r="AU743" s="13"/>
      <c r="AV743" s="13"/>
      <c r="AW743" s="13"/>
      <c r="AX743" s="13"/>
      <c r="AY743" s="15"/>
      <c r="AZ743" s="15"/>
      <c r="BA743" s="16"/>
      <c r="BB743" s="15"/>
      <c r="BC743" s="15"/>
      <c r="BD743" s="13"/>
      <c r="BE743" s="13"/>
      <c r="BF743" s="13"/>
      <c r="BG743" s="13"/>
      <c r="BH743" s="13"/>
      <c r="BI743" s="13"/>
      <c r="BJ743" s="13"/>
      <c r="BK743" s="13"/>
      <c r="BL743" s="13"/>
      <c r="BM743" s="13"/>
      <c r="BN743" s="13"/>
      <c r="BO743" s="13"/>
      <c r="BP743" s="13"/>
      <c r="BQ743" s="15"/>
      <c r="BR743" s="15"/>
      <c r="BS743" s="15"/>
      <c r="BT743" s="15"/>
      <c r="BU743" s="15"/>
      <c r="BV743" s="15"/>
      <c r="BW743" s="15"/>
      <c r="BX743" s="15"/>
      <c r="BY743" s="15"/>
      <c r="BZ743" s="15"/>
      <c r="CA743" s="15"/>
      <c r="CB743" s="17"/>
      <c r="CC743" s="17"/>
      <c r="CD743" s="18"/>
      <c r="CE743" s="18"/>
      <c r="CF743" s="18"/>
      <c r="CG743" s="18"/>
      <c r="CH743" s="18"/>
    </row>
    <row r="744">
      <c r="A744" s="15"/>
      <c r="B744" s="16"/>
      <c r="C744" s="15"/>
      <c r="D744" s="9"/>
      <c r="E744" s="15"/>
      <c r="F744" s="15"/>
      <c r="G744" s="13"/>
      <c r="H744" s="13"/>
      <c r="I744" s="13"/>
      <c r="J744" s="13"/>
      <c r="K744" s="13"/>
      <c r="L744" s="13"/>
      <c r="M744" s="13"/>
      <c r="N744" s="13"/>
      <c r="O744" s="13"/>
      <c r="P744" s="13"/>
      <c r="Q744" s="13"/>
      <c r="R744" s="13"/>
      <c r="S744" s="13"/>
      <c r="T744" s="13"/>
      <c r="U744" s="13"/>
      <c r="V744" s="13"/>
      <c r="W744" s="13"/>
      <c r="X744" s="13"/>
      <c r="Y744" s="13"/>
      <c r="Z744" s="13"/>
      <c r="AA744" s="13"/>
      <c r="AB744" s="15"/>
      <c r="AC744" s="15"/>
      <c r="AD744" s="15"/>
      <c r="AE744" s="13"/>
      <c r="AF744" s="13"/>
      <c r="AG744" s="13"/>
      <c r="AH744" s="15"/>
      <c r="AI744" s="13"/>
      <c r="AJ744" s="13"/>
      <c r="AK744" s="13"/>
      <c r="AL744" s="13"/>
      <c r="AM744" s="15"/>
      <c r="AN744" s="13"/>
      <c r="AO744" s="15"/>
      <c r="AP744" s="15"/>
      <c r="AQ744" s="13"/>
      <c r="AR744" s="13"/>
      <c r="AS744" s="13"/>
      <c r="AT744" s="13"/>
      <c r="AU744" s="13"/>
      <c r="AV744" s="13"/>
      <c r="AW744" s="13"/>
      <c r="AX744" s="13"/>
      <c r="AY744" s="15"/>
      <c r="AZ744" s="15"/>
      <c r="BA744" s="16"/>
      <c r="BB744" s="15"/>
      <c r="BC744" s="15"/>
      <c r="BD744" s="13"/>
      <c r="BE744" s="13"/>
      <c r="BF744" s="13"/>
      <c r="BG744" s="13"/>
      <c r="BH744" s="13"/>
      <c r="BI744" s="13"/>
      <c r="BJ744" s="13"/>
      <c r="BK744" s="13"/>
      <c r="BL744" s="13"/>
      <c r="BM744" s="13"/>
      <c r="BN744" s="13"/>
      <c r="BO744" s="13"/>
      <c r="BP744" s="13"/>
      <c r="BQ744" s="15"/>
      <c r="BR744" s="15"/>
      <c r="BS744" s="15"/>
      <c r="BT744" s="15"/>
      <c r="BU744" s="15"/>
      <c r="BV744" s="15"/>
      <c r="BW744" s="15"/>
      <c r="BX744" s="15"/>
      <c r="BY744" s="15"/>
      <c r="BZ744" s="15"/>
      <c r="CA744" s="15"/>
      <c r="CB744" s="17"/>
      <c r="CC744" s="17"/>
      <c r="CD744" s="18"/>
      <c r="CE744" s="18"/>
      <c r="CF744" s="18"/>
      <c r="CG744" s="18"/>
      <c r="CH744" s="18"/>
    </row>
    <row r="745">
      <c r="A745" s="15"/>
      <c r="B745" s="16"/>
      <c r="C745" s="15"/>
      <c r="D745" s="9"/>
      <c r="E745" s="15"/>
      <c r="F745" s="15"/>
      <c r="G745" s="13"/>
      <c r="H745" s="13"/>
      <c r="I745" s="13"/>
      <c r="J745" s="13"/>
      <c r="K745" s="13"/>
      <c r="L745" s="13"/>
      <c r="M745" s="13"/>
      <c r="N745" s="13"/>
      <c r="O745" s="13"/>
      <c r="P745" s="13"/>
      <c r="Q745" s="13"/>
      <c r="R745" s="13"/>
      <c r="S745" s="13"/>
      <c r="T745" s="13"/>
      <c r="U745" s="13"/>
      <c r="V745" s="13"/>
      <c r="W745" s="13"/>
      <c r="X745" s="13"/>
      <c r="Y745" s="13"/>
      <c r="Z745" s="13"/>
      <c r="AA745" s="13"/>
      <c r="AB745" s="15"/>
      <c r="AC745" s="15"/>
      <c r="AD745" s="15"/>
      <c r="AE745" s="13"/>
      <c r="AF745" s="13"/>
      <c r="AG745" s="13"/>
      <c r="AH745" s="15"/>
      <c r="AI745" s="13"/>
      <c r="AJ745" s="13"/>
      <c r="AK745" s="13"/>
      <c r="AL745" s="13"/>
      <c r="AM745" s="15"/>
      <c r="AN745" s="13"/>
      <c r="AO745" s="15"/>
      <c r="AP745" s="15"/>
      <c r="AQ745" s="13"/>
      <c r="AR745" s="13"/>
      <c r="AS745" s="13"/>
      <c r="AT745" s="13"/>
      <c r="AU745" s="13"/>
      <c r="AV745" s="13"/>
      <c r="AW745" s="13"/>
      <c r="AX745" s="13"/>
      <c r="AY745" s="15"/>
      <c r="AZ745" s="15"/>
      <c r="BA745" s="16"/>
      <c r="BB745" s="15"/>
      <c r="BC745" s="15"/>
      <c r="BD745" s="13"/>
      <c r="BE745" s="13"/>
      <c r="BF745" s="13"/>
      <c r="BG745" s="13"/>
      <c r="BH745" s="13"/>
      <c r="BI745" s="13"/>
      <c r="BJ745" s="13"/>
      <c r="BK745" s="13"/>
      <c r="BL745" s="13"/>
      <c r="BM745" s="13"/>
      <c r="BN745" s="13"/>
      <c r="BO745" s="13"/>
      <c r="BP745" s="13"/>
      <c r="BQ745" s="15"/>
      <c r="BR745" s="15"/>
      <c r="BS745" s="15"/>
      <c r="BT745" s="15"/>
      <c r="BU745" s="15"/>
      <c r="BV745" s="15"/>
      <c r="BW745" s="15"/>
      <c r="BX745" s="15"/>
      <c r="BY745" s="15"/>
      <c r="BZ745" s="15"/>
      <c r="CA745" s="15"/>
      <c r="CB745" s="17"/>
      <c r="CC745" s="17"/>
      <c r="CD745" s="18"/>
      <c r="CE745" s="18"/>
      <c r="CF745" s="18"/>
      <c r="CG745" s="18"/>
      <c r="CH745" s="18"/>
    </row>
    <row r="746">
      <c r="A746" s="15"/>
      <c r="B746" s="16"/>
      <c r="C746" s="15"/>
      <c r="D746" s="9"/>
      <c r="E746" s="15"/>
      <c r="F746" s="15"/>
      <c r="G746" s="13"/>
      <c r="H746" s="13"/>
      <c r="I746" s="13"/>
      <c r="J746" s="13"/>
      <c r="K746" s="13"/>
      <c r="L746" s="13"/>
      <c r="M746" s="13"/>
      <c r="N746" s="13"/>
      <c r="O746" s="13"/>
      <c r="P746" s="13"/>
      <c r="Q746" s="13"/>
      <c r="R746" s="13"/>
      <c r="S746" s="13"/>
      <c r="T746" s="13"/>
      <c r="U746" s="13"/>
      <c r="V746" s="13"/>
      <c r="W746" s="13"/>
      <c r="X746" s="13"/>
      <c r="Y746" s="13"/>
      <c r="Z746" s="13"/>
      <c r="AA746" s="13"/>
      <c r="AB746" s="15"/>
      <c r="AC746" s="15"/>
      <c r="AD746" s="15"/>
      <c r="AE746" s="13"/>
      <c r="AF746" s="13"/>
      <c r="AG746" s="13"/>
      <c r="AH746" s="15"/>
      <c r="AI746" s="13"/>
      <c r="AJ746" s="13"/>
      <c r="AK746" s="13"/>
      <c r="AL746" s="13"/>
      <c r="AM746" s="15"/>
      <c r="AN746" s="13"/>
      <c r="AO746" s="15"/>
      <c r="AP746" s="15"/>
      <c r="AQ746" s="13"/>
      <c r="AR746" s="13"/>
      <c r="AS746" s="13"/>
      <c r="AT746" s="13"/>
      <c r="AU746" s="13"/>
      <c r="AV746" s="13"/>
      <c r="AW746" s="13"/>
      <c r="AX746" s="13"/>
      <c r="AY746" s="15"/>
      <c r="AZ746" s="15"/>
      <c r="BA746" s="16"/>
      <c r="BB746" s="15"/>
      <c r="BC746" s="15"/>
      <c r="BD746" s="13"/>
      <c r="BE746" s="13"/>
      <c r="BF746" s="13"/>
      <c r="BG746" s="13"/>
      <c r="BH746" s="13"/>
      <c r="BI746" s="13"/>
      <c r="BJ746" s="13"/>
      <c r="BK746" s="13"/>
      <c r="BL746" s="13"/>
      <c r="BM746" s="13"/>
      <c r="BN746" s="13"/>
      <c r="BO746" s="13"/>
      <c r="BP746" s="13"/>
      <c r="BQ746" s="15"/>
      <c r="BR746" s="15"/>
      <c r="BS746" s="15"/>
      <c r="BT746" s="15"/>
      <c r="BU746" s="15"/>
      <c r="BV746" s="15"/>
      <c r="BW746" s="15"/>
      <c r="BX746" s="15"/>
      <c r="BY746" s="15"/>
      <c r="BZ746" s="15"/>
      <c r="CA746" s="15"/>
      <c r="CB746" s="17"/>
      <c r="CC746" s="17"/>
      <c r="CD746" s="18"/>
      <c r="CE746" s="18"/>
      <c r="CF746" s="18"/>
      <c r="CG746" s="18"/>
      <c r="CH746" s="18"/>
    </row>
    <row r="747">
      <c r="A747" s="15"/>
      <c r="B747" s="16"/>
      <c r="C747" s="15"/>
      <c r="D747" s="9"/>
      <c r="E747" s="15"/>
      <c r="F747" s="15"/>
      <c r="G747" s="13"/>
      <c r="H747" s="13"/>
      <c r="I747" s="13"/>
      <c r="J747" s="13"/>
      <c r="K747" s="13"/>
      <c r="L747" s="13"/>
      <c r="M747" s="13"/>
      <c r="N747" s="13"/>
      <c r="O747" s="13"/>
      <c r="P747" s="13"/>
      <c r="Q747" s="13"/>
      <c r="R747" s="13"/>
      <c r="S747" s="13"/>
      <c r="T747" s="13"/>
      <c r="U747" s="13"/>
      <c r="V747" s="13"/>
      <c r="W747" s="13"/>
      <c r="X747" s="13"/>
      <c r="Y747" s="13"/>
      <c r="Z747" s="13"/>
      <c r="AA747" s="13"/>
      <c r="AB747" s="15"/>
      <c r="AC747" s="15"/>
      <c r="AD747" s="15"/>
      <c r="AE747" s="13"/>
      <c r="AF747" s="13"/>
      <c r="AG747" s="13"/>
      <c r="AH747" s="15"/>
      <c r="AI747" s="13"/>
      <c r="AJ747" s="13"/>
      <c r="AK747" s="13"/>
      <c r="AL747" s="13"/>
      <c r="AM747" s="15"/>
      <c r="AN747" s="13"/>
      <c r="AO747" s="15"/>
      <c r="AP747" s="15"/>
      <c r="AQ747" s="13"/>
      <c r="AR747" s="13"/>
      <c r="AS747" s="13"/>
      <c r="AT747" s="13"/>
      <c r="AU747" s="13"/>
      <c r="AV747" s="13"/>
      <c r="AW747" s="13"/>
      <c r="AX747" s="13"/>
      <c r="AY747" s="15"/>
      <c r="AZ747" s="15"/>
      <c r="BA747" s="16"/>
      <c r="BB747" s="15"/>
      <c r="BC747" s="15"/>
      <c r="BD747" s="13"/>
      <c r="BE747" s="13"/>
      <c r="BF747" s="13"/>
      <c r="BG747" s="13"/>
      <c r="BH747" s="13"/>
      <c r="BI747" s="13"/>
      <c r="BJ747" s="13"/>
      <c r="BK747" s="13"/>
      <c r="BL747" s="13"/>
      <c r="BM747" s="13"/>
      <c r="BN747" s="13"/>
      <c r="BO747" s="13"/>
      <c r="BP747" s="13"/>
      <c r="BQ747" s="15"/>
      <c r="BR747" s="15"/>
      <c r="BS747" s="15"/>
      <c r="BT747" s="15"/>
      <c r="BU747" s="15"/>
      <c r="BV747" s="15"/>
      <c r="BW747" s="15"/>
      <c r="BX747" s="15"/>
      <c r="BY747" s="15"/>
      <c r="BZ747" s="15"/>
      <c r="CA747" s="15"/>
      <c r="CB747" s="17"/>
      <c r="CC747" s="17"/>
      <c r="CD747" s="18"/>
      <c r="CE747" s="18"/>
      <c r="CF747" s="18"/>
      <c r="CG747" s="18"/>
      <c r="CH747" s="18"/>
    </row>
    <row r="748">
      <c r="A748" s="15"/>
      <c r="B748" s="16"/>
      <c r="C748" s="15"/>
      <c r="D748" s="9"/>
      <c r="E748" s="15"/>
      <c r="F748" s="15"/>
      <c r="G748" s="13"/>
      <c r="H748" s="13"/>
      <c r="I748" s="13"/>
      <c r="J748" s="13"/>
      <c r="K748" s="13"/>
      <c r="L748" s="13"/>
      <c r="M748" s="13"/>
      <c r="N748" s="13"/>
      <c r="O748" s="13"/>
      <c r="P748" s="13"/>
      <c r="Q748" s="13"/>
      <c r="R748" s="13"/>
      <c r="S748" s="13"/>
      <c r="T748" s="13"/>
      <c r="U748" s="13"/>
      <c r="V748" s="13"/>
      <c r="W748" s="13"/>
      <c r="X748" s="13"/>
      <c r="Y748" s="13"/>
      <c r="Z748" s="13"/>
      <c r="AA748" s="13"/>
      <c r="AB748" s="15"/>
      <c r="AC748" s="15"/>
      <c r="AD748" s="15"/>
      <c r="AE748" s="13"/>
      <c r="AF748" s="13"/>
      <c r="AG748" s="13"/>
      <c r="AH748" s="15"/>
      <c r="AI748" s="13"/>
      <c r="AJ748" s="13"/>
      <c r="AK748" s="13"/>
      <c r="AL748" s="13"/>
      <c r="AM748" s="15"/>
      <c r="AN748" s="13"/>
      <c r="AO748" s="15"/>
      <c r="AP748" s="15"/>
      <c r="AQ748" s="13"/>
      <c r="AR748" s="13"/>
      <c r="AS748" s="13"/>
      <c r="AT748" s="13"/>
      <c r="AU748" s="13"/>
      <c r="AV748" s="13"/>
      <c r="AW748" s="13"/>
      <c r="AX748" s="13"/>
      <c r="AY748" s="15"/>
      <c r="AZ748" s="15"/>
      <c r="BA748" s="16"/>
      <c r="BB748" s="15"/>
      <c r="BC748" s="15"/>
      <c r="BD748" s="13"/>
      <c r="BE748" s="13"/>
      <c r="BF748" s="13"/>
      <c r="BG748" s="13"/>
      <c r="BH748" s="13"/>
      <c r="BI748" s="13"/>
      <c r="BJ748" s="13"/>
      <c r="BK748" s="13"/>
      <c r="BL748" s="13"/>
      <c r="BM748" s="13"/>
      <c r="BN748" s="13"/>
      <c r="BO748" s="13"/>
      <c r="BP748" s="13"/>
      <c r="BQ748" s="15"/>
      <c r="BR748" s="15"/>
      <c r="BS748" s="15"/>
      <c r="BT748" s="15"/>
      <c r="BU748" s="15"/>
      <c r="BV748" s="15"/>
      <c r="BW748" s="15"/>
      <c r="BX748" s="15"/>
      <c r="BY748" s="15"/>
      <c r="BZ748" s="15"/>
      <c r="CA748" s="15"/>
      <c r="CB748" s="17"/>
      <c r="CC748" s="17"/>
      <c r="CD748" s="18"/>
      <c r="CE748" s="18"/>
      <c r="CF748" s="18"/>
      <c r="CG748" s="18"/>
      <c r="CH748" s="18"/>
    </row>
    <row r="749">
      <c r="A749" s="15"/>
      <c r="B749" s="16"/>
      <c r="C749" s="15"/>
      <c r="D749" s="9"/>
      <c r="E749" s="15"/>
      <c r="F749" s="15"/>
      <c r="G749" s="13"/>
      <c r="H749" s="13"/>
      <c r="I749" s="13"/>
      <c r="J749" s="13"/>
      <c r="K749" s="13"/>
      <c r="L749" s="13"/>
      <c r="M749" s="13"/>
      <c r="N749" s="13"/>
      <c r="O749" s="13"/>
      <c r="P749" s="13"/>
      <c r="Q749" s="13"/>
      <c r="R749" s="13"/>
      <c r="S749" s="13"/>
      <c r="T749" s="13"/>
      <c r="U749" s="13"/>
      <c r="V749" s="13"/>
      <c r="W749" s="13"/>
      <c r="X749" s="13"/>
      <c r="Y749" s="13"/>
      <c r="Z749" s="13"/>
      <c r="AA749" s="13"/>
      <c r="AB749" s="15"/>
      <c r="AC749" s="15"/>
      <c r="AD749" s="15"/>
      <c r="AE749" s="13"/>
      <c r="AF749" s="13"/>
      <c r="AG749" s="13"/>
      <c r="AH749" s="15"/>
      <c r="AI749" s="13"/>
      <c r="AJ749" s="13"/>
      <c r="AK749" s="13"/>
      <c r="AL749" s="13"/>
      <c r="AM749" s="15"/>
      <c r="AN749" s="13"/>
      <c r="AO749" s="15"/>
      <c r="AP749" s="15"/>
      <c r="AQ749" s="13"/>
      <c r="AR749" s="13"/>
      <c r="AS749" s="13"/>
      <c r="AT749" s="13"/>
      <c r="AU749" s="13"/>
      <c r="AV749" s="13"/>
      <c r="AW749" s="13"/>
      <c r="AX749" s="13"/>
      <c r="AY749" s="15"/>
      <c r="AZ749" s="15"/>
      <c r="BA749" s="16"/>
      <c r="BB749" s="15"/>
      <c r="BC749" s="15"/>
      <c r="BD749" s="13"/>
      <c r="BE749" s="13"/>
      <c r="BF749" s="13"/>
      <c r="BG749" s="13"/>
      <c r="BH749" s="13"/>
      <c r="BI749" s="13"/>
      <c r="BJ749" s="13"/>
      <c r="BK749" s="13"/>
      <c r="BL749" s="13"/>
      <c r="BM749" s="13"/>
      <c r="BN749" s="13"/>
      <c r="BO749" s="13"/>
      <c r="BP749" s="13"/>
      <c r="BQ749" s="15"/>
      <c r="BR749" s="15"/>
      <c r="BS749" s="15"/>
      <c r="BT749" s="15"/>
      <c r="BU749" s="15"/>
      <c r="BV749" s="15"/>
      <c r="BW749" s="15"/>
      <c r="BX749" s="15"/>
      <c r="BY749" s="15"/>
      <c r="BZ749" s="15"/>
      <c r="CA749" s="15"/>
      <c r="CB749" s="17"/>
      <c r="CC749" s="17"/>
      <c r="CD749" s="18"/>
      <c r="CE749" s="18"/>
      <c r="CF749" s="18"/>
      <c r="CG749" s="18"/>
      <c r="CH749" s="18"/>
    </row>
    <row r="750">
      <c r="A750" s="15"/>
      <c r="B750" s="16"/>
      <c r="C750" s="15"/>
      <c r="D750" s="9"/>
      <c r="E750" s="15"/>
      <c r="F750" s="15"/>
      <c r="G750" s="13"/>
      <c r="H750" s="13"/>
      <c r="I750" s="13"/>
      <c r="J750" s="13"/>
      <c r="K750" s="13"/>
      <c r="L750" s="13"/>
      <c r="M750" s="13"/>
      <c r="N750" s="13"/>
      <c r="O750" s="13"/>
      <c r="P750" s="13"/>
      <c r="Q750" s="13"/>
      <c r="R750" s="13"/>
      <c r="S750" s="13"/>
      <c r="T750" s="13"/>
      <c r="U750" s="13"/>
      <c r="V750" s="13"/>
      <c r="W750" s="13"/>
      <c r="X750" s="13"/>
      <c r="Y750" s="13"/>
      <c r="Z750" s="13"/>
      <c r="AA750" s="13"/>
      <c r="AB750" s="15"/>
      <c r="AC750" s="15"/>
      <c r="AD750" s="15"/>
      <c r="AE750" s="13"/>
      <c r="AF750" s="13"/>
      <c r="AG750" s="13"/>
      <c r="AH750" s="15"/>
      <c r="AI750" s="13"/>
      <c r="AJ750" s="13"/>
      <c r="AK750" s="13"/>
      <c r="AL750" s="13"/>
      <c r="AM750" s="15"/>
      <c r="AN750" s="13"/>
      <c r="AO750" s="15"/>
      <c r="AP750" s="15"/>
      <c r="AQ750" s="13"/>
      <c r="AR750" s="13"/>
      <c r="AS750" s="13"/>
      <c r="AT750" s="13"/>
      <c r="AU750" s="13"/>
      <c r="AV750" s="13"/>
      <c r="AW750" s="13"/>
      <c r="AX750" s="13"/>
      <c r="AY750" s="15"/>
      <c r="AZ750" s="15"/>
      <c r="BA750" s="16"/>
      <c r="BB750" s="15"/>
      <c r="BC750" s="15"/>
      <c r="BD750" s="13"/>
      <c r="BE750" s="13"/>
      <c r="BF750" s="13"/>
      <c r="BG750" s="13"/>
      <c r="BH750" s="13"/>
      <c r="BI750" s="13"/>
      <c r="BJ750" s="13"/>
      <c r="BK750" s="13"/>
      <c r="BL750" s="13"/>
      <c r="BM750" s="13"/>
      <c r="BN750" s="13"/>
      <c r="BO750" s="13"/>
      <c r="BP750" s="13"/>
      <c r="BQ750" s="15"/>
      <c r="BR750" s="15"/>
      <c r="BS750" s="15"/>
      <c r="BT750" s="15"/>
      <c r="BU750" s="15"/>
      <c r="BV750" s="15"/>
      <c r="BW750" s="15"/>
      <c r="BX750" s="15"/>
      <c r="BY750" s="15"/>
      <c r="BZ750" s="15"/>
      <c r="CA750" s="15"/>
      <c r="CB750" s="17"/>
      <c r="CC750" s="17"/>
      <c r="CD750" s="18"/>
      <c r="CE750" s="18"/>
      <c r="CF750" s="18"/>
      <c r="CG750" s="18"/>
      <c r="CH750" s="18"/>
    </row>
    <row r="751">
      <c r="A751" s="15"/>
      <c r="B751" s="16"/>
      <c r="C751" s="15"/>
      <c r="D751" s="9"/>
      <c r="E751" s="15"/>
      <c r="F751" s="15"/>
      <c r="G751" s="13"/>
      <c r="H751" s="13"/>
      <c r="I751" s="13"/>
      <c r="J751" s="13"/>
      <c r="K751" s="13"/>
      <c r="L751" s="13"/>
      <c r="M751" s="13"/>
      <c r="N751" s="13"/>
      <c r="O751" s="13"/>
      <c r="P751" s="13"/>
      <c r="Q751" s="13"/>
      <c r="R751" s="13"/>
      <c r="S751" s="13"/>
      <c r="T751" s="13"/>
      <c r="U751" s="13"/>
      <c r="V751" s="13"/>
      <c r="W751" s="13"/>
      <c r="X751" s="13"/>
      <c r="Y751" s="13"/>
      <c r="Z751" s="13"/>
      <c r="AA751" s="13"/>
      <c r="AB751" s="15"/>
      <c r="AC751" s="15"/>
      <c r="AD751" s="15"/>
      <c r="AE751" s="13"/>
      <c r="AF751" s="13"/>
      <c r="AG751" s="13"/>
      <c r="AH751" s="15"/>
      <c r="AI751" s="13"/>
      <c r="AJ751" s="13"/>
      <c r="AK751" s="13"/>
      <c r="AL751" s="13"/>
      <c r="AM751" s="15"/>
      <c r="AN751" s="13"/>
      <c r="AO751" s="15"/>
      <c r="AP751" s="15"/>
      <c r="AQ751" s="13"/>
      <c r="AR751" s="13"/>
      <c r="AS751" s="13"/>
      <c r="AT751" s="13"/>
      <c r="AU751" s="13"/>
      <c r="AV751" s="13"/>
      <c r="AW751" s="13"/>
      <c r="AX751" s="13"/>
      <c r="AY751" s="15"/>
      <c r="AZ751" s="15"/>
      <c r="BA751" s="16"/>
      <c r="BB751" s="15"/>
      <c r="BC751" s="15"/>
      <c r="BD751" s="13"/>
      <c r="BE751" s="13"/>
      <c r="BF751" s="13"/>
      <c r="BG751" s="13"/>
      <c r="BH751" s="13"/>
      <c r="BI751" s="13"/>
      <c r="BJ751" s="13"/>
      <c r="BK751" s="13"/>
      <c r="BL751" s="13"/>
      <c r="BM751" s="13"/>
      <c r="BN751" s="13"/>
      <c r="BO751" s="13"/>
      <c r="BP751" s="13"/>
      <c r="BQ751" s="15"/>
      <c r="BR751" s="15"/>
      <c r="BS751" s="15"/>
      <c r="BT751" s="15"/>
      <c r="BU751" s="15"/>
      <c r="BV751" s="15"/>
      <c r="BW751" s="15"/>
      <c r="BX751" s="15"/>
      <c r="BY751" s="15"/>
      <c r="BZ751" s="15"/>
      <c r="CA751" s="15"/>
      <c r="CB751" s="17"/>
      <c r="CC751" s="17"/>
      <c r="CD751" s="18"/>
      <c r="CE751" s="18"/>
      <c r="CF751" s="18"/>
      <c r="CG751" s="18"/>
      <c r="CH751" s="18"/>
    </row>
    <row r="752">
      <c r="A752" s="15"/>
      <c r="B752" s="16"/>
      <c r="C752" s="15"/>
      <c r="D752" s="9"/>
      <c r="E752" s="15"/>
      <c r="F752" s="15"/>
      <c r="G752" s="13"/>
      <c r="H752" s="13"/>
      <c r="I752" s="13"/>
      <c r="J752" s="13"/>
      <c r="K752" s="13"/>
      <c r="L752" s="13"/>
      <c r="M752" s="13"/>
      <c r="N752" s="13"/>
      <c r="O752" s="13"/>
      <c r="P752" s="13"/>
      <c r="Q752" s="13"/>
      <c r="R752" s="13"/>
      <c r="S752" s="13"/>
      <c r="T752" s="13"/>
      <c r="U752" s="13"/>
      <c r="V752" s="13"/>
      <c r="W752" s="13"/>
      <c r="X752" s="13"/>
      <c r="Y752" s="13"/>
      <c r="Z752" s="13"/>
      <c r="AA752" s="13"/>
      <c r="AB752" s="15"/>
      <c r="AC752" s="15"/>
      <c r="AD752" s="15"/>
      <c r="AE752" s="13"/>
      <c r="AF752" s="13"/>
      <c r="AG752" s="13"/>
      <c r="AH752" s="15"/>
      <c r="AI752" s="13"/>
      <c r="AJ752" s="13"/>
      <c r="AK752" s="13"/>
      <c r="AL752" s="13"/>
      <c r="AM752" s="15"/>
      <c r="AN752" s="13"/>
      <c r="AO752" s="15"/>
      <c r="AP752" s="15"/>
      <c r="AQ752" s="13"/>
      <c r="AR752" s="13"/>
      <c r="AS752" s="13"/>
      <c r="AT752" s="13"/>
      <c r="AU752" s="13"/>
      <c r="AV752" s="13"/>
      <c r="AW752" s="13"/>
      <c r="AX752" s="13"/>
      <c r="AY752" s="15"/>
      <c r="AZ752" s="15"/>
      <c r="BA752" s="16"/>
      <c r="BB752" s="15"/>
      <c r="BC752" s="15"/>
      <c r="BD752" s="13"/>
      <c r="BE752" s="13"/>
      <c r="BF752" s="13"/>
      <c r="BG752" s="13"/>
      <c r="BH752" s="13"/>
      <c r="BI752" s="13"/>
      <c r="BJ752" s="13"/>
      <c r="BK752" s="13"/>
      <c r="BL752" s="13"/>
      <c r="BM752" s="13"/>
      <c r="BN752" s="13"/>
      <c r="BO752" s="13"/>
      <c r="BP752" s="13"/>
      <c r="BQ752" s="15"/>
      <c r="BR752" s="15"/>
      <c r="BS752" s="15"/>
      <c r="BT752" s="15"/>
      <c r="BU752" s="15"/>
      <c r="BV752" s="15"/>
      <c r="BW752" s="15"/>
      <c r="BX752" s="15"/>
      <c r="BY752" s="15"/>
      <c r="BZ752" s="15"/>
      <c r="CA752" s="15"/>
      <c r="CB752" s="17"/>
      <c r="CC752" s="17"/>
      <c r="CD752" s="18"/>
      <c r="CE752" s="18"/>
      <c r="CF752" s="18"/>
      <c r="CG752" s="18"/>
      <c r="CH752" s="18"/>
    </row>
    <row r="753">
      <c r="A753" s="15"/>
      <c r="B753" s="16"/>
      <c r="C753" s="15"/>
      <c r="D753" s="9"/>
      <c r="E753" s="15"/>
      <c r="F753" s="15"/>
      <c r="G753" s="13"/>
      <c r="H753" s="13"/>
      <c r="I753" s="13"/>
      <c r="J753" s="13"/>
      <c r="K753" s="13"/>
      <c r="L753" s="13"/>
      <c r="M753" s="13"/>
      <c r="N753" s="13"/>
      <c r="O753" s="13"/>
      <c r="P753" s="13"/>
      <c r="Q753" s="13"/>
      <c r="R753" s="13"/>
      <c r="S753" s="13"/>
      <c r="T753" s="13"/>
      <c r="U753" s="13"/>
      <c r="V753" s="13"/>
      <c r="W753" s="13"/>
      <c r="X753" s="13"/>
      <c r="Y753" s="13"/>
      <c r="Z753" s="13"/>
      <c r="AA753" s="13"/>
      <c r="AB753" s="15"/>
      <c r="AC753" s="15"/>
      <c r="AD753" s="15"/>
      <c r="AE753" s="13"/>
      <c r="AF753" s="13"/>
      <c r="AG753" s="13"/>
      <c r="AH753" s="15"/>
      <c r="AI753" s="13"/>
      <c r="AJ753" s="13"/>
      <c r="AK753" s="13"/>
      <c r="AL753" s="13"/>
      <c r="AM753" s="15"/>
      <c r="AN753" s="13"/>
      <c r="AO753" s="15"/>
      <c r="AP753" s="15"/>
      <c r="AQ753" s="13"/>
      <c r="AR753" s="13"/>
      <c r="AS753" s="13"/>
      <c r="AT753" s="13"/>
      <c r="AU753" s="13"/>
      <c r="AV753" s="13"/>
      <c r="AW753" s="13"/>
      <c r="AX753" s="13"/>
      <c r="AY753" s="15"/>
      <c r="AZ753" s="15"/>
      <c r="BA753" s="16"/>
      <c r="BB753" s="15"/>
      <c r="BC753" s="15"/>
      <c r="BD753" s="13"/>
      <c r="BE753" s="13"/>
      <c r="BF753" s="13"/>
      <c r="BG753" s="13"/>
      <c r="BH753" s="13"/>
      <c r="BI753" s="13"/>
      <c r="BJ753" s="13"/>
      <c r="BK753" s="13"/>
      <c r="BL753" s="13"/>
      <c r="BM753" s="13"/>
      <c r="BN753" s="13"/>
      <c r="BO753" s="13"/>
      <c r="BP753" s="13"/>
      <c r="BQ753" s="15"/>
      <c r="BR753" s="15"/>
      <c r="BS753" s="15"/>
      <c r="BT753" s="15"/>
      <c r="BU753" s="15"/>
      <c r="BV753" s="15"/>
      <c r="BW753" s="15"/>
      <c r="BX753" s="15"/>
      <c r="BY753" s="15"/>
      <c r="BZ753" s="15"/>
      <c r="CA753" s="15"/>
      <c r="CB753" s="17"/>
      <c r="CC753" s="17"/>
      <c r="CD753" s="18"/>
      <c r="CE753" s="18"/>
      <c r="CF753" s="18"/>
      <c r="CG753" s="18"/>
      <c r="CH753" s="18"/>
    </row>
    <row r="754">
      <c r="A754" s="15"/>
      <c r="B754" s="16"/>
      <c r="C754" s="15"/>
      <c r="D754" s="9"/>
      <c r="E754" s="15"/>
      <c r="F754" s="15"/>
      <c r="G754" s="13"/>
      <c r="H754" s="13"/>
      <c r="I754" s="13"/>
      <c r="J754" s="13"/>
      <c r="K754" s="13"/>
      <c r="L754" s="13"/>
      <c r="M754" s="13"/>
      <c r="N754" s="13"/>
      <c r="O754" s="13"/>
      <c r="P754" s="13"/>
      <c r="Q754" s="13"/>
      <c r="R754" s="13"/>
      <c r="S754" s="13"/>
      <c r="T754" s="13"/>
      <c r="U754" s="13"/>
      <c r="V754" s="13"/>
      <c r="W754" s="13"/>
      <c r="X754" s="13"/>
      <c r="Y754" s="13"/>
      <c r="Z754" s="13"/>
      <c r="AA754" s="13"/>
      <c r="AB754" s="15"/>
      <c r="AC754" s="15"/>
      <c r="AD754" s="15"/>
      <c r="AE754" s="13"/>
      <c r="AF754" s="13"/>
      <c r="AG754" s="13"/>
      <c r="AH754" s="15"/>
      <c r="AI754" s="13"/>
      <c r="AJ754" s="13"/>
      <c r="AK754" s="13"/>
      <c r="AL754" s="13"/>
      <c r="AM754" s="15"/>
      <c r="AN754" s="13"/>
      <c r="AO754" s="15"/>
      <c r="AP754" s="15"/>
      <c r="AQ754" s="13"/>
      <c r="AR754" s="13"/>
      <c r="AS754" s="13"/>
      <c r="AT754" s="13"/>
      <c r="AU754" s="13"/>
      <c r="AV754" s="13"/>
      <c r="AW754" s="13"/>
      <c r="AX754" s="13"/>
      <c r="AY754" s="15"/>
      <c r="AZ754" s="15"/>
      <c r="BA754" s="16"/>
      <c r="BB754" s="15"/>
      <c r="BC754" s="15"/>
      <c r="BD754" s="13"/>
      <c r="BE754" s="13"/>
      <c r="BF754" s="13"/>
      <c r="BG754" s="13"/>
      <c r="BH754" s="13"/>
      <c r="BI754" s="13"/>
      <c r="BJ754" s="13"/>
      <c r="BK754" s="13"/>
      <c r="BL754" s="13"/>
      <c r="BM754" s="13"/>
      <c r="BN754" s="13"/>
      <c r="BO754" s="13"/>
      <c r="BP754" s="13"/>
      <c r="BQ754" s="15"/>
      <c r="BR754" s="15"/>
      <c r="BS754" s="15"/>
      <c r="BT754" s="15"/>
      <c r="BU754" s="15"/>
      <c r="BV754" s="15"/>
      <c r="BW754" s="15"/>
      <c r="BX754" s="15"/>
      <c r="BY754" s="15"/>
      <c r="BZ754" s="15"/>
      <c r="CA754" s="15"/>
      <c r="CB754" s="17"/>
      <c r="CC754" s="17"/>
      <c r="CD754" s="18"/>
      <c r="CE754" s="18"/>
      <c r="CF754" s="18"/>
      <c r="CG754" s="18"/>
      <c r="CH754" s="18"/>
    </row>
    <row r="755">
      <c r="A755" s="15"/>
      <c r="B755" s="16"/>
      <c r="C755" s="15"/>
      <c r="D755" s="9"/>
      <c r="E755" s="15"/>
      <c r="F755" s="15"/>
      <c r="G755" s="13"/>
      <c r="H755" s="13"/>
      <c r="I755" s="13"/>
      <c r="J755" s="13"/>
      <c r="K755" s="13"/>
      <c r="L755" s="13"/>
      <c r="M755" s="13"/>
      <c r="N755" s="13"/>
      <c r="O755" s="13"/>
      <c r="P755" s="13"/>
      <c r="Q755" s="13"/>
      <c r="R755" s="13"/>
      <c r="S755" s="13"/>
      <c r="T755" s="13"/>
      <c r="U755" s="13"/>
      <c r="V755" s="13"/>
      <c r="W755" s="13"/>
      <c r="X755" s="13"/>
      <c r="Y755" s="13"/>
      <c r="Z755" s="13"/>
      <c r="AA755" s="13"/>
      <c r="AB755" s="15"/>
      <c r="AC755" s="15"/>
      <c r="AD755" s="15"/>
      <c r="AE755" s="13"/>
      <c r="AF755" s="13"/>
      <c r="AG755" s="13"/>
      <c r="AH755" s="15"/>
      <c r="AI755" s="13"/>
      <c r="AJ755" s="13"/>
      <c r="AK755" s="13"/>
      <c r="AL755" s="13"/>
      <c r="AM755" s="15"/>
      <c r="AN755" s="13"/>
      <c r="AO755" s="15"/>
      <c r="AP755" s="15"/>
      <c r="AQ755" s="13"/>
      <c r="AR755" s="13"/>
      <c r="AS755" s="13"/>
      <c r="AT755" s="13"/>
      <c r="AU755" s="13"/>
      <c r="AV755" s="13"/>
      <c r="AW755" s="13"/>
      <c r="AX755" s="13"/>
      <c r="AY755" s="15"/>
      <c r="AZ755" s="15"/>
      <c r="BA755" s="16"/>
      <c r="BB755" s="15"/>
      <c r="BC755" s="15"/>
      <c r="BD755" s="13"/>
      <c r="BE755" s="13"/>
      <c r="BF755" s="13"/>
      <c r="BG755" s="13"/>
      <c r="BH755" s="13"/>
      <c r="BI755" s="13"/>
      <c r="BJ755" s="13"/>
      <c r="BK755" s="13"/>
      <c r="BL755" s="13"/>
      <c r="BM755" s="13"/>
      <c r="BN755" s="13"/>
      <c r="BO755" s="13"/>
      <c r="BP755" s="13"/>
      <c r="BQ755" s="15"/>
      <c r="BR755" s="15"/>
      <c r="BS755" s="15"/>
      <c r="BT755" s="15"/>
      <c r="BU755" s="15"/>
      <c r="BV755" s="15"/>
      <c r="BW755" s="15"/>
      <c r="BX755" s="15"/>
      <c r="BY755" s="15"/>
      <c r="BZ755" s="15"/>
      <c r="CA755" s="15"/>
      <c r="CB755" s="17"/>
      <c r="CC755" s="17"/>
      <c r="CD755" s="18"/>
      <c r="CE755" s="18"/>
      <c r="CF755" s="18"/>
      <c r="CG755" s="18"/>
      <c r="CH755" s="18"/>
    </row>
    <row r="756">
      <c r="A756" s="15"/>
      <c r="B756" s="16"/>
      <c r="C756" s="15"/>
      <c r="D756" s="9"/>
      <c r="E756" s="15"/>
      <c r="F756" s="15"/>
      <c r="G756" s="13"/>
      <c r="H756" s="13"/>
      <c r="I756" s="13"/>
      <c r="J756" s="13"/>
      <c r="K756" s="13"/>
      <c r="L756" s="13"/>
      <c r="M756" s="13"/>
      <c r="N756" s="13"/>
      <c r="O756" s="13"/>
      <c r="P756" s="13"/>
      <c r="Q756" s="13"/>
      <c r="R756" s="13"/>
      <c r="S756" s="13"/>
      <c r="T756" s="13"/>
      <c r="U756" s="13"/>
      <c r="V756" s="13"/>
      <c r="W756" s="13"/>
      <c r="X756" s="13"/>
      <c r="Y756" s="13"/>
      <c r="Z756" s="13"/>
      <c r="AA756" s="13"/>
      <c r="AB756" s="15"/>
      <c r="AC756" s="15"/>
      <c r="AD756" s="15"/>
      <c r="AE756" s="13"/>
      <c r="AF756" s="13"/>
      <c r="AG756" s="13"/>
      <c r="AH756" s="15"/>
      <c r="AI756" s="13"/>
      <c r="AJ756" s="13"/>
      <c r="AK756" s="13"/>
      <c r="AL756" s="13"/>
      <c r="AM756" s="15"/>
      <c r="AN756" s="13"/>
      <c r="AO756" s="15"/>
      <c r="AP756" s="15"/>
      <c r="AQ756" s="13"/>
      <c r="AR756" s="13"/>
      <c r="AS756" s="13"/>
      <c r="AT756" s="13"/>
      <c r="AU756" s="13"/>
      <c r="AV756" s="13"/>
      <c r="AW756" s="13"/>
      <c r="AX756" s="13"/>
      <c r="AY756" s="15"/>
      <c r="AZ756" s="15"/>
      <c r="BA756" s="16"/>
      <c r="BB756" s="15"/>
      <c r="BC756" s="15"/>
      <c r="BD756" s="13"/>
      <c r="BE756" s="13"/>
      <c r="BF756" s="13"/>
      <c r="BG756" s="13"/>
      <c r="BH756" s="13"/>
      <c r="BI756" s="13"/>
      <c r="BJ756" s="13"/>
      <c r="BK756" s="13"/>
      <c r="BL756" s="13"/>
      <c r="BM756" s="13"/>
      <c r="BN756" s="13"/>
      <c r="BO756" s="13"/>
      <c r="BP756" s="13"/>
      <c r="BQ756" s="15"/>
      <c r="BR756" s="15"/>
      <c r="BS756" s="15"/>
      <c r="BT756" s="15"/>
      <c r="BU756" s="15"/>
      <c r="BV756" s="15"/>
      <c r="BW756" s="15"/>
      <c r="BX756" s="15"/>
      <c r="BY756" s="15"/>
      <c r="BZ756" s="15"/>
      <c r="CA756" s="15"/>
      <c r="CB756" s="17"/>
      <c r="CC756" s="17"/>
      <c r="CD756" s="18"/>
      <c r="CE756" s="18"/>
      <c r="CF756" s="18"/>
      <c r="CG756" s="18"/>
      <c r="CH756" s="18"/>
    </row>
    <row r="757">
      <c r="A757" s="15"/>
      <c r="B757" s="16"/>
      <c r="C757" s="15"/>
      <c r="D757" s="9"/>
      <c r="E757" s="15"/>
      <c r="F757" s="15"/>
      <c r="G757" s="13"/>
      <c r="H757" s="13"/>
      <c r="I757" s="13"/>
      <c r="J757" s="13"/>
      <c r="K757" s="13"/>
      <c r="L757" s="13"/>
      <c r="M757" s="13"/>
      <c r="N757" s="13"/>
      <c r="O757" s="13"/>
      <c r="P757" s="13"/>
      <c r="Q757" s="13"/>
      <c r="R757" s="13"/>
      <c r="S757" s="13"/>
      <c r="T757" s="13"/>
      <c r="U757" s="13"/>
      <c r="V757" s="13"/>
      <c r="W757" s="13"/>
      <c r="X757" s="13"/>
      <c r="Y757" s="13"/>
      <c r="Z757" s="13"/>
      <c r="AA757" s="13"/>
      <c r="AB757" s="15"/>
      <c r="AC757" s="15"/>
      <c r="AD757" s="15"/>
      <c r="AE757" s="13"/>
      <c r="AF757" s="13"/>
      <c r="AG757" s="13"/>
      <c r="AH757" s="15"/>
      <c r="AI757" s="13"/>
      <c r="AJ757" s="13"/>
      <c r="AK757" s="13"/>
      <c r="AL757" s="13"/>
      <c r="AM757" s="15"/>
      <c r="AN757" s="13"/>
      <c r="AO757" s="15"/>
      <c r="AP757" s="15"/>
      <c r="AQ757" s="13"/>
      <c r="AR757" s="13"/>
      <c r="AS757" s="13"/>
      <c r="AT757" s="13"/>
      <c r="AU757" s="13"/>
      <c r="AV757" s="13"/>
      <c r="AW757" s="13"/>
      <c r="AX757" s="13"/>
      <c r="AY757" s="15"/>
      <c r="AZ757" s="15"/>
      <c r="BA757" s="16"/>
      <c r="BB757" s="15"/>
      <c r="BC757" s="15"/>
      <c r="BD757" s="13"/>
      <c r="BE757" s="13"/>
      <c r="BF757" s="13"/>
      <c r="BG757" s="13"/>
      <c r="BH757" s="13"/>
      <c r="BI757" s="13"/>
      <c r="BJ757" s="13"/>
      <c r="BK757" s="13"/>
      <c r="BL757" s="13"/>
      <c r="BM757" s="13"/>
      <c r="BN757" s="13"/>
      <c r="BO757" s="13"/>
      <c r="BP757" s="13"/>
      <c r="BQ757" s="15"/>
      <c r="BR757" s="15"/>
      <c r="BS757" s="15"/>
      <c r="BT757" s="15"/>
      <c r="BU757" s="15"/>
      <c r="BV757" s="15"/>
      <c r="BW757" s="15"/>
      <c r="BX757" s="15"/>
      <c r="BY757" s="15"/>
      <c r="BZ757" s="15"/>
      <c r="CA757" s="15"/>
      <c r="CB757" s="17"/>
      <c r="CC757" s="17"/>
      <c r="CD757" s="18"/>
      <c r="CE757" s="18"/>
      <c r="CF757" s="18"/>
      <c r="CG757" s="18"/>
      <c r="CH757" s="18"/>
    </row>
    <row r="758">
      <c r="A758" s="15"/>
      <c r="B758" s="16"/>
      <c r="C758" s="15"/>
      <c r="D758" s="9"/>
      <c r="E758" s="15"/>
      <c r="F758" s="15"/>
      <c r="G758" s="13"/>
      <c r="H758" s="13"/>
      <c r="I758" s="13"/>
      <c r="J758" s="13"/>
      <c r="K758" s="13"/>
      <c r="L758" s="13"/>
      <c r="M758" s="13"/>
      <c r="N758" s="13"/>
      <c r="O758" s="13"/>
      <c r="P758" s="13"/>
      <c r="Q758" s="13"/>
      <c r="R758" s="13"/>
      <c r="S758" s="13"/>
      <c r="T758" s="13"/>
      <c r="U758" s="13"/>
      <c r="V758" s="13"/>
      <c r="W758" s="13"/>
      <c r="X758" s="13"/>
      <c r="Y758" s="13"/>
      <c r="Z758" s="13"/>
      <c r="AA758" s="13"/>
      <c r="AB758" s="15"/>
      <c r="AC758" s="15"/>
      <c r="AD758" s="15"/>
      <c r="AE758" s="13"/>
      <c r="AF758" s="13"/>
      <c r="AG758" s="13"/>
      <c r="AH758" s="15"/>
      <c r="AI758" s="13"/>
      <c r="AJ758" s="13"/>
      <c r="AK758" s="13"/>
      <c r="AL758" s="13"/>
      <c r="AM758" s="15"/>
      <c r="AN758" s="13"/>
      <c r="AO758" s="15"/>
      <c r="AP758" s="15"/>
      <c r="AQ758" s="13"/>
      <c r="AR758" s="13"/>
      <c r="AS758" s="13"/>
      <c r="AT758" s="13"/>
      <c r="AU758" s="13"/>
      <c r="AV758" s="13"/>
      <c r="AW758" s="13"/>
      <c r="AX758" s="13"/>
      <c r="AY758" s="15"/>
      <c r="AZ758" s="15"/>
      <c r="BA758" s="16"/>
      <c r="BB758" s="15"/>
      <c r="BC758" s="15"/>
      <c r="BD758" s="13"/>
      <c r="BE758" s="13"/>
      <c r="BF758" s="13"/>
      <c r="BG758" s="13"/>
      <c r="BH758" s="13"/>
      <c r="BI758" s="13"/>
      <c r="BJ758" s="13"/>
      <c r="BK758" s="13"/>
      <c r="BL758" s="13"/>
      <c r="BM758" s="13"/>
      <c r="BN758" s="13"/>
      <c r="BO758" s="13"/>
      <c r="BP758" s="13"/>
      <c r="BQ758" s="15"/>
      <c r="BR758" s="15"/>
      <c r="BS758" s="15"/>
      <c r="BT758" s="15"/>
      <c r="BU758" s="15"/>
      <c r="BV758" s="15"/>
      <c r="BW758" s="15"/>
      <c r="BX758" s="15"/>
      <c r="BY758" s="15"/>
      <c r="BZ758" s="15"/>
      <c r="CA758" s="15"/>
      <c r="CB758" s="17"/>
      <c r="CC758" s="17"/>
      <c r="CD758" s="18"/>
      <c r="CE758" s="18"/>
      <c r="CF758" s="18"/>
      <c r="CG758" s="18"/>
      <c r="CH758" s="18"/>
    </row>
    <row r="759">
      <c r="A759" s="15"/>
      <c r="B759" s="16"/>
      <c r="C759" s="15"/>
      <c r="D759" s="9"/>
      <c r="E759" s="15"/>
      <c r="F759" s="15"/>
      <c r="G759" s="13"/>
      <c r="H759" s="13"/>
      <c r="I759" s="13"/>
      <c r="J759" s="13"/>
      <c r="K759" s="13"/>
      <c r="L759" s="13"/>
      <c r="M759" s="13"/>
      <c r="N759" s="13"/>
      <c r="O759" s="13"/>
      <c r="P759" s="13"/>
      <c r="Q759" s="13"/>
      <c r="R759" s="13"/>
      <c r="S759" s="13"/>
      <c r="T759" s="13"/>
      <c r="U759" s="13"/>
      <c r="V759" s="13"/>
      <c r="W759" s="13"/>
      <c r="X759" s="13"/>
      <c r="Y759" s="13"/>
      <c r="Z759" s="13"/>
      <c r="AA759" s="13"/>
      <c r="AB759" s="15"/>
      <c r="AC759" s="15"/>
      <c r="AD759" s="15"/>
      <c r="AE759" s="13"/>
      <c r="AF759" s="13"/>
      <c r="AG759" s="13"/>
      <c r="AH759" s="15"/>
      <c r="AI759" s="13"/>
      <c r="AJ759" s="13"/>
      <c r="AK759" s="13"/>
      <c r="AL759" s="13"/>
      <c r="AM759" s="15"/>
      <c r="AN759" s="13"/>
      <c r="AO759" s="15"/>
      <c r="AP759" s="15"/>
      <c r="AQ759" s="13"/>
      <c r="AR759" s="13"/>
      <c r="AS759" s="13"/>
      <c r="AT759" s="13"/>
      <c r="AU759" s="13"/>
      <c r="AV759" s="13"/>
      <c r="AW759" s="13"/>
      <c r="AX759" s="13"/>
      <c r="AY759" s="15"/>
      <c r="AZ759" s="15"/>
      <c r="BA759" s="16"/>
      <c r="BB759" s="15"/>
      <c r="BC759" s="15"/>
      <c r="BD759" s="13"/>
      <c r="BE759" s="13"/>
      <c r="BF759" s="13"/>
      <c r="BG759" s="13"/>
      <c r="BH759" s="13"/>
      <c r="BI759" s="13"/>
      <c r="BJ759" s="13"/>
      <c r="BK759" s="13"/>
      <c r="BL759" s="13"/>
      <c r="BM759" s="13"/>
      <c r="BN759" s="13"/>
      <c r="BO759" s="13"/>
      <c r="BP759" s="13"/>
      <c r="BQ759" s="15"/>
      <c r="BR759" s="15"/>
      <c r="BS759" s="15"/>
      <c r="BT759" s="15"/>
      <c r="BU759" s="15"/>
      <c r="BV759" s="15"/>
      <c r="BW759" s="15"/>
      <c r="BX759" s="15"/>
      <c r="BY759" s="15"/>
      <c r="BZ759" s="15"/>
      <c r="CA759" s="15"/>
      <c r="CB759" s="17"/>
      <c r="CC759" s="17"/>
      <c r="CD759" s="18"/>
      <c r="CE759" s="18"/>
      <c r="CF759" s="18"/>
      <c r="CG759" s="18"/>
      <c r="CH759" s="18"/>
    </row>
    <row r="760">
      <c r="A760" s="15"/>
      <c r="B760" s="16"/>
      <c r="C760" s="15"/>
      <c r="D760" s="9"/>
      <c r="E760" s="15"/>
      <c r="F760" s="15"/>
      <c r="G760" s="13"/>
      <c r="H760" s="13"/>
      <c r="I760" s="13"/>
      <c r="J760" s="13"/>
      <c r="K760" s="13"/>
      <c r="L760" s="13"/>
      <c r="M760" s="13"/>
      <c r="N760" s="13"/>
      <c r="O760" s="13"/>
      <c r="P760" s="13"/>
      <c r="Q760" s="13"/>
      <c r="R760" s="13"/>
      <c r="S760" s="13"/>
      <c r="T760" s="13"/>
      <c r="U760" s="13"/>
      <c r="V760" s="13"/>
      <c r="W760" s="13"/>
      <c r="X760" s="13"/>
      <c r="Y760" s="13"/>
      <c r="Z760" s="13"/>
      <c r="AA760" s="13"/>
      <c r="AB760" s="15"/>
      <c r="AC760" s="15"/>
      <c r="AD760" s="15"/>
      <c r="AE760" s="13"/>
      <c r="AF760" s="13"/>
      <c r="AG760" s="13"/>
      <c r="AH760" s="15"/>
      <c r="AI760" s="13"/>
      <c r="AJ760" s="13"/>
      <c r="AK760" s="13"/>
      <c r="AL760" s="13"/>
      <c r="AM760" s="15"/>
      <c r="AN760" s="13"/>
      <c r="AO760" s="15"/>
      <c r="AP760" s="15"/>
      <c r="AQ760" s="13"/>
      <c r="AR760" s="13"/>
      <c r="AS760" s="13"/>
      <c r="AT760" s="13"/>
      <c r="AU760" s="13"/>
      <c r="AV760" s="13"/>
      <c r="AW760" s="13"/>
      <c r="AX760" s="13"/>
      <c r="AY760" s="15"/>
      <c r="AZ760" s="15"/>
      <c r="BA760" s="16"/>
      <c r="BB760" s="15"/>
      <c r="BC760" s="15"/>
      <c r="BD760" s="13"/>
      <c r="BE760" s="13"/>
      <c r="BF760" s="13"/>
      <c r="BG760" s="13"/>
      <c r="BH760" s="13"/>
      <c r="BI760" s="13"/>
      <c r="BJ760" s="13"/>
      <c r="BK760" s="13"/>
      <c r="BL760" s="13"/>
      <c r="BM760" s="13"/>
      <c r="BN760" s="13"/>
      <c r="BO760" s="13"/>
      <c r="BP760" s="13"/>
      <c r="BQ760" s="15"/>
      <c r="BR760" s="15"/>
      <c r="BS760" s="15"/>
      <c r="BT760" s="15"/>
      <c r="BU760" s="15"/>
      <c r="BV760" s="15"/>
      <c r="BW760" s="15"/>
      <c r="BX760" s="15"/>
      <c r="BY760" s="15"/>
      <c r="BZ760" s="15"/>
      <c r="CA760" s="15"/>
      <c r="CB760" s="17"/>
      <c r="CC760" s="17"/>
      <c r="CD760" s="18"/>
      <c r="CE760" s="18"/>
      <c r="CF760" s="18"/>
      <c r="CG760" s="18"/>
      <c r="CH760" s="18"/>
    </row>
    <row r="761">
      <c r="A761" s="15"/>
      <c r="B761" s="16"/>
      <c r="C761" s="15"/>
      <c r="D761" s="9"/>
      <c r="E761" s="15"/>
      <c r="F761" s="15"/>
      <c r="G761" s="13"/>
      <c r="H761" s="13"/>
      <c r="I761" s="13"/>
      <c r="J761" s="13"/>
      <c r="K761" s="13"/>
      <c r="L761" s="13"/>
      <c r="M761" s="13"/>
      <c r="N761" s="13"/>
      <c r="O761" s="13"/>
      <c r="P761" s="13"/>
      <c r="Q761" s="13"/>
      <c r="R761" s="13"/>
      <c r="S761" s="13"/>
      <c r="T761" s="13"/>
      <c r="U761" s="13"/>
      <c r="V761" s="13"/>
      <c r="W761" s="13"/>
      <c r="X761" s="13"/>
      <c r="Y761" s="13"/>
      <c r="Z761" s="13"/>
      <c r="AA761" s="13"/>
      <c r="AB761" s="15"/>
      <c r="AC761" s="15"/>
      <c r="AD761" s="15"/>
      <c r="AE761" s="13"/>
      <c r="AF761" s="13"/>
      <c r="AG761" s="13"/>
      <c r="AH761" s="15"/>
      <c r="AI761" s="13"/>
      <c r="AJ761" s="13"/>
      <c r="AK761" s="13"/>
      <c r="AL761" s="13"/>
      <c r="AM761" s="15"/>
      <c r="AN761" s="13"/>
      <c r="AO761" s="15"/>
      <c r="AP761" s="15"/>
      <c r="AQ761" s="13"/>
      <c r="AR761" s="13"/>
      <c r="AS761" s="13"/>
      <c r="AT761" s="13"/>
      <c r="AU761" s="13"/>
      <c r="AV761" s="13"/>
      <c r="AW761" s="13"/>
      <c r="AX761" s="13"/>
      <c r="AY761" s="15"/>
      <c r="AZ761" s="15"/>
      <c r="BA761" s="16"/>
      <c r="BB761" s="15"/>
      <c r="BC761" s="15"/>
      <c r="BD761" s="13"/>
      <c r="BE761" s="13"/>
      <c r="BF761" s="13"/>
      <c r="BG761" s="13"/>
      <c r="BH761" s="13"/>
      <c r="BI761" s="13"/>
      <c r="BJ761" s="13"/>
      <c r="BK761" s="13"/>
      <c r="BL761" s="13"/>
      <c r="BM761" s="13"/>
      <c r="BN761" s="13"/>
      <c r="BO761" s="13"/>
      <c r="BP761" s="13"/>
      <c r="BQ761" s="15"/>
      <c r="BR761" s="15"/>
      <c r="BS761" s="15"/>
      <c r="BT761" s="15"/>
      <c r="BU761" s="15"/>
      <c r="BV761" s="15"/>
      <c r="BW761" s="15"/>
      <c r="BX761" s="15"/>
      <c r="BY761" s="15"/>
      <c r="BZ761" s="15"/>
      <c r="CA761" s="15"/>
      <c r="CB761" s="17"/>
      <c r="CC761" s="17"/>
      <c r="CD761" s="18"/>
      <c r="CE761" s="18"/>
      <c r="CF761" s="18"/>
      <c r="CG761" s="18"/>
      <c r="CH761" s="18"/>
    </row>
    <row r="762">
      <c r="A762" s="15"/>
      <c r="B762" s="16"/>
      <c r="C762" s="15"/>
      <c r="D762" s="9"/>
      <c r="E762" s="15"/>
      <c r="F762" s="15"/>
      <c r="G762" s="13"/>
      <c r="H762" s="13"/>
      <c r="I762" s="13"/>
      <c r="J762" s="13"/>
      <c r="K762" s="13"/>
      <c r="L762" s="13"/>
      <c r="M762" s="13"/>
      <c r="N762" s="13"/>
      <c r="O762" s="13"/>
      <c r="P762" s="13"/>
      <c r="Q762" s="13"/>
      <c r="R762" s="13"/>
      <c r="S762" s="13"/>
      <c r="T762" s="13"/>
      <c r="U762" s="13"/>
      <c r="V762" s="13"/>
      <c r="W762" s="13"/>
      <c r="X762" s="13"/>
      <c r="Y762" s="13"/>
      <c r="Z762" s="13"/>
      <c r="AA762" s="13"/>
      <c r="AB762" s="15"/>
      <c r="AC762" s="15"/>
      <c r="AD762" s="15"/>
      <c r="AE762" s="13"/>
      <c r="AF762" s="13"/>
      <c r="AG762" s="13"/>
      <c r="AH762" s="15"/>
      <c r="AI762" s="13"/>
      <c r="AJ762" s="13"/>
      <c r="AK762" s="13"/>
      <c r="AL762" s="13"/>
      <c r="AM762" s="15"/>
      <c r="AN762" s="13"/>
      <c r="AO762" s="15"/>
      <c r="AP762" s="15"/>
      <c r="AQ762" s="13"/>
      <c r="AR762" s="13"/>
      <c r="AS762" s="13"/>
      <c r="AT762" s="13"/>
      <c r="AU762" s="13"/>
      <c r="AV762" s="13"/>
      <c r="AW762" s="13"/>
      <c r="AX762" s="13"/>
      <c r="AY762" s="15"/>
      <c r="AZ762" s="15"/>
      <c r="BA762" s="16"/>
      <c r="BB762" s="15"/>
      <c r="BC762" s="15"/>
      <c r="BD762" s="13"/>
      <c r="BE762" s="13"/>
      <c r="BF762" s="13"/>
      <c r="BG762" s="13"/>
      <c r="BH762" s="13"/>
      <c r="BI762" s="13"/>
      <c r="BJ762" s="13"/>
      <c r="BK762" s="13"/>
      <c r="BL762" s="13"/>
      <c r="BM762" s="13"/>
      <c r="BN762" s="13"/>
      <c r="BO762" s="13"/>
      <c r="BP762" s="13"/>
      <c r="BQ762" s="15"/>
      <c r="BR762" s="15"/>
      <c r="BS762" s="15"/>
      <c r="BT762" s="15"/>
      <c r="BU762" s="15"/>
      <c r="BV762" s="15"/>
      <c r="BW762" s="15"/>
      <c r="BX762" s="15"/>
      <c r="BY762" s="15"/>
      <c r="BZ762" s="15"/>
      <c r="CA762" s="15"/>
      <c r="CB762" s="17"/>
      <c r="CC762" s="17"/>
      <c r="CD762" s="18"/>
      <c r="CE762" s="18"/>
      <c r="CF762" s="18"/>
      <c r="CG762" s="18"/>
      <c r="CH762" s="18"/>
    </row>
    <row r="763">
      <c r="A763" s="15"/>
      <c r="B763" s="16"/>
      <c r="C763" s="15"/>
      <c r="D763" s="9"/>
      <c r="E763" s="15"/>
      <c r="F763" s="15"/>
      <c r="G763" s="13"/>
      <c r="H763" s="13"/>
      <c r="I763" s="13"/>
      <c r="J763" s="13"/>
      <c r="K763" s="13"/>
      <c r="L763" s="13"/>
      <c r="M763" s="13"/>
      <c r="N763" s="13"/>
      <c r="O763" s="13"/>
      <c r="P763" s="13"/>
      <c r="Q763" s="13"/>
      <c r="R763" s="13"/>
      <c r="S763" s="13"/>
      <c r="T763" s="13"/>
      <c r="U763" s="13"/>
      <c r="V763" s="13"/>
      <c r="W763" s="13"/>
      <c r="X763" s="13"/>
      <c r="Y763" s="13"/>
      <c r="Z763" s="13"/>
      <c r="AA763" s="13"/>
      <c r="AB763" s="15"/>
      <c r="AC763" s="15"/>
      <c r="AD763" s="15"/>
      <c r="AE763" s="13"/>
      <c r="AF763" s="13"/>
      <c r="AG763" s="13"/>
      <c r="AH763" s="15"/>
      <c r="AI763" s="13"/>
      <c r="AJ763" s="13"/>
      <c r="AK763" s="13"/>
      <c r="AL763" s="13"/>
      <c r="AM763" s="15"/>
      <c r="AN763" s="13"/>
      <c r="AO763" s="15"/>
      <c r="AP763" s="15"/>
      <c r="AQ763" s="13"/>
      <c r="AR763" s="13"/>
      <c r="AS763" s="13"/>
      <c r="AT763" s="13"/>
      <c r="AU763" s="13"/>
      <c r="AV763" s="13"/>
      <c r="AW763" s="13"/>
      <c r="AX763" s="13"/>
      <c r="AY763" s="15"/>
      <c r="AZ763" s="15"/>
      <c r="BA763" s="16"/>
      <c r="BB763" s="15"/>
      <c r="BC763" s="15"/>
      <c r="BD763" s="13"/>
      <c r="BE763" s="13"/>
      <c r="BF763" s="13"/>
      <c r="BG763" s="13"/>
      <c r="BH763" s="13"/>
      <c r="BI763" s="13"/>
      <c r="BJ763" s="13"/>
      <c r="BK763" s="13"/>
      <c r="BL763" s="13"/>
      <c r="BM763" s="13"/>
      <c r="BN763" s="13"/>
      <c r="BO763" s="13"/>
      <c r="BP763" s="13"/>
      <c r="BQ763" s="15"/>
      <c r="BR763" s="15"/>
      <c r="BS763" s="15"/>
      <c r="BT763" s="15"/>
      <c r="BU763" s="15"/>
      <c r="BV763" s="15"/>
      <c r="BW763" s="15"/>
      <c r="BX763" s="15"/>
      <c r="BY763" s="15"/>
      <c r="BZ763" s="15"/>
      <c r="CA763" s="15"/>
      <c r="CB763" s="17"/>
      <c r="CC763" s="17"/>
      <c r="CD763" s="18"/>
      <c r="CE763" s="18"/>
      <c r="CF763" s="18"/>
      <c r="CG763" s="18"/>
      <c r="CH763" s="18"/>
    </row>
    <row r="764">
      <c r="A764" s="15"/>
      <c r="B764" s="16"/>
      <c r="C764" s="15"/>
      <c r="D764" s="9"/>
      <c r="E764" s="15"/>
      <c r="F764" s="15"/>
      <c r="G764" s="13"/>
      <c r="H764" s="13"/>
      <c r="I764" s="13"/>
      <c r="J764" s="13"/>
      <c r="K764" s="13"/>
      <c r="L764" s="13"/>
      <c r="M764" s="13"/>
      <c r="N764" s="13"/>
      <c r="O764" s="13"/>
      <c r="P764" s="13"/>
      <c r="Q764" s="13"/>
      <c r="R764" s="13"/>
      <c r="S764" s="13"/>
      <c r="T764" s="13"/>
      <c r="U764" s="13"/>
      <c r="V764" s="13"/>
      <c r="W764" s="13"/>
      <c r="X764" s="13"/>
      <c r="Y764" s="13"/>
      <c r="Z764" s="13"/>
      <c r="AA764" s="13"/>
      <c r="AB764" s="15"/>
      <c r="AC764" s="15"/>
      <c r="AD764" s="15"/>
      <c r="AE764" s="13"/>
      <c r="AF764" s="13"/>
      <c r="AG764" s="13"/>
      <c r="AH764" s="15"/>
      <c r="AI764" s="13"/>
      <c r="AJ764" s="13"/>
      <c r="AK764" s="13"/>
      <c r="AL764" s="13"/>
      <c r="AM764" s="15"/>
      <c r="AN764" s="13"/>
      <c r="AO764" s="15"/>
      <c r="AP764" s="15"/>
      <c r="AQ764" s="13"/>
      <c r="AR764" s="13"/>
      <c r="AS764" s="13"/>
      <c r="AT764" s="13"/>
      <c r="AU764" s="13"/>
      <c r="AV764" s="13"/>
      <c r="AW764" s="13"/>
      <c r="AX764" s="13"/>
      <c r="AY764" s="15"/>
      <c r="AZ764" s="15"/>
      <c r="BA764" s="16"/>
      <c r="BB764" s="15"/>
      <c r="BC764" s="15"/>
      <c r="BD764" s="13"/>
      <c r="BE764" s="13"/>
      <c r="BF764" s="13"/>
      <c r="BG764" s="13"/>
      <c r="BH764" s="13"/>
      <c r="BI764" s="13"/>
      <c r="BJ764" s="13"/>
      <c r="BK764" s="13"/>
      <c r="BL764" s="13"/>
      <c r="BM764" s="13"/>
      <c r="BN764" s="13"/>
      <c r="BO764" s="13"/>
      <c r="BP764" s="13"/>
      <c r="BQ764" s="15"/>
      <c r="BR764" s="15"/>
      <c r="BS764" s="15"/>
      <c r="BT764" s="15"/>
      <c r="BU764" s="15"/>
      <c r="BV764" s="15"/>
      <c r="BW764" s="15"/>
      <c r="BX764" s="15"/>
      <c r="BY764" s="15"/>
      <c r="BZ764" s="15"/>
      <c r="CA764" s="15"/>
      <c r="CB764" s="17"/>
      <c r="CC764" s="17"/>
      <c r="CD764" s="18"/>
      <c r="CE764" s="18"/>
      <c r="CF764" s="18"/>
      <c r="CG764" s="18"/>
      <c r="CH764" s="18"/>
    </row>
    <row r="765">
      <c r="A765" s="15"/>
      <c r="B765" s="16"/>
      <c r="C765" s="15"/>
      <c r="D765" s="9"/>
      <c r="E765" s="15"/>
      <c r="F765" s="15"/>
      <c r="G765" s="13"/>
      <c r="H765" s="13"/>
      <c r="I765" s="13"/>
      <c r="J765" s="13"/>
      <c r="K765" s="13"/>
      <c r="L765" s="13"/>
      <c r="M765" s="13"/>
      <c r="N765" s="13"/>
      <c r="O765" s="13"/>
      <c r="P765" s="13"/>
      <c r="Q765" s="13"/>
      <c r="R765" s="13"/>
      <c r="S765" s="13"/>
      <c r="T765" s="13"/>
      <c r="U765" s="13"/>
      <c r="V765" s="13"/>
      <c r="W765" s="13"/>
      <c r="X765" s="13"/>
      <c r="Y765" s="13"/>
      <c r="Z765" s="13"/>
      <c r="AA765" s="13"/>
      <c r="AB765" s="15"/>
      <c r="AC765" s="15"/>
      <c r="AD765" s="15"/>
      <c r="AE765" s="13"/>
      <c r="AF765" s="13"/>
      <c r="AG765" s="13"/>
      <c r="AH765" s="15"/>
      <c r="AI765" s="13"/>
      <c r="AJ765" s="13"/>
      <c r="AK765" s="13"/>
      <c r="AL765" s="13"/>
      <c r="AM765" s="15"/>
      <c r="AN765" s="13"/>
      <c r="AO765" s="15"/>
      <c r="AP765" s="15"/>
      <c r="AQ765" s="13"/>
      <c r="AR765" s="13"/>
      <c r="AS765" s="13"/>
      <c r="AT765" s="13"/>
      <c r="AU765" s="13"/>
      <c r="AV765" s="13"/>
      <c r="AW765" s="13"/>
      <c r="AX765" s="13"/>
      <c r="AY765" s="15"/>
      <c r="AZ765" s="15"/>
      <c r="BA765" s="16"/>
      <c r="BB765" s="15"/>
      <c r="BC765" s="15"/>
      <c r="BD765" s="13"/>
      <c r="BE765" s="13"/>
      <c r="BF765" s="13"/>
      <c r="BG765" s="13"/>
      <c r="BH765" s="13"/>
      <c r="BI765" s="13"/>
      <c r="BJ765" s="13"/>
      <c r="BK765" s="13"/>
      <c r="BL765" s="13"/>
      <c r="BM765" s="13"/>
      <c r="BN765" s="13"/>
      <c r="BO765" s="13"/>
      <c r="BP765" s="13"/>
      <c r="BQ765" s="15"/>
      <c r="BR765" s="15"/>
      <c r="BS765" s="15"/>
      <c r="BT765" s="15"/>
      <c r="BU765" s="15"/>
      <c r="BV765" s="15"/>
      <c r="BW765" s="15"/>
      <c r="BX765" s="15"/>
      <c r="BY765" s="15"/>
      <c r="BZ765" s="15"/>
      <c r="CA765" s="15"/>
      <c r="CB765" s="17"/>
      <c r="CC765" s="17"/>
      <c r="CD765" s="18"/>
      <c r="CE765" s="18"/>
      <c r="CF765" s="18"/>
      <c r="CG765" s="18"/>
      <c r="CH765" s="18"/>
    </row>
    <row r="766">
      <c r="A766" s="15"/>
      <c r="B766" s="16"/>
      <c r="C766" s="15"/>
      <c r="D766" s="9"/>
      <c r="E766" s="15"/>
      <c r="F766" s="15"/>
      <c r="G766" s="13"/>
      <c r="H766" s="13"/>
      <c r="I766" s="13"/>
      <c r="J766" s="13"/>
      <c r="K766" s="13"/>
      <c r="L766" s="13"/>
      <c r="M766" s="13"/>
      <c r="N766" s="13"/>
      <c r="O766" s="13"/>
      <c r="P766" s="13"/>
      <c r="Q766" s="13"/>
      <c r="R766" s="13"/>
      <c r="S766" s="13"/>
      <c r="T766" s="13"/>
      <c r="U766" s="13"/>
      <c r="V766" s="13"/>
      <c r="W766" s="13"/>
      <c r="X766" s="13"/>
      <c r="Y766" s="13"/>
      <c r="Z766" s="13"/>
      <c r="AA766" s="13"/>
      <c r="AB766" s="15"/>
      <c r="AC766" s="15"/>
      <c r="AD766" s="15"/>
      <c r="AE766" s="13"/>
      <c r="AF766" s="13"/>
      <c r="AG766" s="13"/>
      <c r="AH766" s="15"/>
      <c r="AI766" s="13"/>
      <c r="AJ766" s="13"/>
      <c r="AK766" s="13"/>
      <c r="AL766" s="13"/>
      <c r="AM766" s="15"/>
      <c r="AN766" s="13"/>
      <c r="AO766" s="15"/>
      <c r="AP766" s="15"/>
      <c r="AQ766" s="13"/>
      <c r="AR766" s="13"/>
      <c r="AS766" s="13"/>
      <c r="AT766" s="13"/>
      <c r="AU766" s="13"/>
      <c r="AV766" s="13"/>
      <c r="AW766" s="13"/>
      <c r="AX766" s="13"/>
      <c r="AY766" s="15"/>
      <c r="AZ766" s="15"/>
      <c r="BA766" s="16"/>
      <c r="BB766" s="15"/>
      <c r="BC766" s="15"/>
      <c r="BD766" s="13"/>
      <c r="BE766" s="13"/>
      <c r="BF766" s="13"/>
      <c r="BG766" s="13"/>
      <c r="BH766" s="13"/>
      <c r="BI766" s="13"/>
      <c r="BJ766" s="13"/>
      <c r="BK766" s="13"/>
      <c r="BL766" s="13"/>
      <c r="BM766" s="13"/>
      <c r="BN766" s="13"/>
      <c r="BO766" s="13"/>
      <c r="BP766" s="13"/>
      <c r="BQ766" s="15"/>
      <c r="BR766" s="15"/>
      <c r="BS766" s="15"/>
      <c r="BT766" s="15"/>
      <c r="BU766" s="15"/>
      <c r="BV766" s="15"/>
      <c r="BW766" s="15"/>
      <c r="BX766" s="15"/>
      <c r="BY766" s="15"/>
      <c r="BZ766" s="15"/>
      <c r="CA766" s="15"/>
      <c r="CB766" s="17"/>
      <c r="CC766" s="17"/>
      <c r="CD766" s="18"/>
      <c r="CE766" s="18"/>
      <c r="CF766" s="18"/>
      <c r="CG766" s="18"/>
      <c r="CH766" s="18"/>
    </row>
    <row r="767">
      <c r="A767" s="15"/>
      <c r="B767" s="16"/>
      <c r="C767" s="15"/>
      <c r="D767" s="9"/>
      <c r="E767" s="15"/>
      <c r="F767" s="15"/>
      <c r="G767" s="13"/>
      <c r="H767" s="13"/>
      <c r="I767" s="13"/>
      <c r="J767" s="13"/>
      <c r="K767" s="13"/>
      <c r="L767" s="13"/>
      <c r="M767" s="13"/>
      <c r="N767" s="13"/>
      <c r="O767" s="13"/>
      <c r="P767" s="13"/>
      <c r="Q767" s="13"/>
      <c r="R767" s="13"/>
      <c r="S767" s="13"/>
      <c r="T767" s="13"/>
      <c r="U767" s="13"/>
      <c r="V767" s="13"/>
      <c r="W767" s="13"/>
      <c r="X767" s="13"/>
      <c r="Y767" s="13"/>
      <c r="Z767" s="13"/>
      <c r="AA767" s="13"/>
      <c r="AB767" s="15"/>
      <c r="AC767" s="15"/>
      <c r="AD767" s="15"/>
      <c r="AE767" s="13"/>
      <c r="AF767" s="13"/>
      <c r="AG767" s="13"/>
      <c r="AH767" s="15"/>
      <c r="AI767" s="13"/>
      <c r="AJ767" s="13"/>
      <c r="AK767" s="13"/>
      <c r="AL767" s="13"/>
      <c r="AM767" s="15"/>
      <c r="AN767" s="13"/>
      <c r="AO767" s="15"/>
      <c r="AP767" s="15"/>
      <c r="AQ767" s="13"/>
      <c r="AR767" s="13"/>
      <c r="AS767" s="13"/>
      <c r="AT767" s="13"/>
      <c r="AU767" s="13"/>
      <c r="AV767" s="13"/>
      <c r="AW767" s="13"/>
      <c r="AX767" s="13"/>
      <c r="AY767" s="15"/>
      <c r="AZ767" s="15"/>
      <c r="BA767" s="16"/>
      <c r="BB767" s="15"/>
      <c r="BC767" s="15"/>
      <c r="BD767" s="13"/>
      <c r="BE767" s="13"/>
      <c r="BF767" s="13"/>
      <c r="BG767" s="13"/>
      <c r="BH767" s="13"/>
      <c r="BI767" s="13"/>
      <c r="BJ767" s="13"/>
      <c r="BK767" s="13"/>
      <c r="BL767" s="13"/>
      <c r="BM767" s="13"/>
      <c r="BN767" s="13"/>
      <c r="BO767" s="13"/>
      <c r="BP767" s="13"/>
      <c r="BQ767" s="15"/>
      <c r="BR767" s="15"/>
      <c r="BS767" s="15"/>
      <c r="BT767" s="15"/>
      <c r="BU767" s="15"/>
      <c r="BV767" s="15"/>
      <c r="BW767" s="15"/>
      <c r="BX767" s="15"/>
      <c r="BY767" s="15"/>
      <c r="BZ767" s="15"/>
      <c r="CA767" s="15"/>
      <c r="CB767" s="17"/>
      <c r="CC767" s="17"/>
      <c r="CD767" s="18"/>
      <c r="CE767" s="18"/>
      <c r="CF767" s="18"/>
      <c r="CG767" s="18"/>
      <c r="CH767" s="18"/>
    </row>
    <row r="768">
      <c r="A768" s="15"/>
      <c r="B768" s="16"/>
      <c r="C768" s="15"/>
      <c r="D768" s="9"/>
      <c r="E768" s="15"/>
      <c r="F768" s="15"/>
      <c r="G768" s="13"/>
      <c r="H768" s="13"/>
      <c r="I768" s="13"/>
      <c r="J768" s="13"/>
      <c r="K768" s="13"/>
      <c r="L768" s="13"/>
      <c r="M768" s="13"/>
      <c r="N768" s="13"/>
      <c r="O768" s="13"/>
      <c r="P768" s="13"/>
      <c r="Q768" s="13"/>
      <c r="R768" s="13"/>
      <c r="S768" s="13"/>
      <c r="T768" s="13"/>
      <c r="U768" s="13"/>
      <c r="V768" s="13"/>
      <c r="W768" s="13"/>
      <c r="X768" s="13"/>
      <c r="Y768" s="13"/>
      <c r="Z768" s="13"/>
      <c r="AA768" s="13"/>
      <c r="AB768" s="15"/>
      <c r="AC768" s="15"/>
      <c r="AD768" s="15"/>
      <c r="AE768" s="13"/>
      <c r="AF768" s="13"/>
      <c r="AG768" s="13"/>
      <c r="AH768" s="15"/>
      <c r="AI768" s="13"/>
      <c r="AJ768" s="13"/>
      <c r="AK768" s="13"/>
      <c r="AL768" s="13"/>
      <c r="AM768" s="15"/>
      <c r="AN768" s="13"/>
      <c r="AO768" s="15"/>
      <c r="AP768" s="15"/>
      <c r="AQ768" s="13"/>
      <c r="AR768" s="13"/>
      <c r="AS768" s="13"/>
      <c r="AT768" s="13"/>
      <c r="AU768" s="13"/>
      <c r="AV768" s="13"/>
      <c r="AW768" s="13"/>
      <c r="AX768" s="13"/>
      <c r="AY768" s="15"/>
      <c r="AZ768" s="15"/>
      <c r="BA768" s="16"/>
      <c r="BB768" s="15"/>
      <c r="BC768" s="15"/>
      <c r="BD768" s="13"/>
      <c r="BE768" s="13"/>
      <c r="BF768" s="13"/>
      <c r="BG768" s="13"/>
      <c r="BH768" s="13"/>
      <c r="BI768" s="13"/>
      <c r="BJ768" s="13"/>
      <c r="BK768" s="13"/>
      <c r="BL768" s="13"/>
      <c r="BM768" s="13"/>
      <c r="BN768" s="13"/>
      <c r="BO768" s="13"/>
      <c r="BP768" s="13"/>
      <c r="BQ768" s="15"/>
      <c r="BR768" s="15"/>
      <c r="BS768" s="15"/>
      <c r="BT768" s="15"/>
      <c r="BU768" s="15"/>
      <c r="BV768" s="15"/>
      <c r="BW768" s="15"/>
      <c r="BX768" s="15"/>
      <c r="BY768" s="15"/>
      <c r="BZ768" s="15"/>
      <c r="CA768" s="15"/>
      <c r="CB768" s="17"/>
      <c r="CC768" s="17"/>
      <c r="CD768" s="18"/>
      <c r="CE768" s="18"/>
      <c r="CF768" s="18"/>
      <c r="CG768" s="18"/>
      <c r="CH768" s="18"/>
    </row>
    <row r="769">
      <c r="A769" s="15"/>
      <c r="B769" s="16"/>
      <c r="C769" s="15"/>
      <c r="D769" s="9"/>
      <c r="E769" s="15"/>
      <c r="F769" s="15"/>
      <c r="G769" s="13"/>
      <c r="H769" s="13"/>
      <c r="I769" s="13"/>
      <c r="J769" s="13"/>
      <c r="K769" s="13"/>
      <c r="L769" s="13"/>
      <c r="M769" s="13"/>
      <c r="N769" s="13"/>
      <c r="O769" s="13"/>
      <c r="P769" s="13"/>
      <c r="Q769" s="13"/>
      <c r="R769" s="13"/>
      <c r="S769" s="13"/>
      <c r="T769" s="13"/>
      <c r="U769" s="13"/>
      <c r="V769" s="13"/>
      <c r="W769" s="13"/>
      <c r="X769" s="13"/>
      <c r="Y769" s="13"/>
      <c r="Z769" s="13"/>
      <c r="AA769" s="13"/>
      <c r="AB769" s="15"/>
      <c r="AC769" s="15"/>
      <c r="AD769" s="15"/>
      <c r="AE769" s="13"/>
      <c r="AF769" s="13"/>
      <c r="AG769" s="13"/>
      <c r="AH769" s="15"/>
      <c r="AI769" s="13"/>
      <c r="AJ769" s="13"/>
      <c r="AK769" s="13"/>
      <c r="AL769" s="13"/>
      <c r="AM769" s="15"/>
      <c r="AN769" s="13"/>
      <c r="AO769" s="15"/>
      <c r="AP769" s="15"/>
      <c r="AQ769" s="13"/>
      <c r="AR769" s="13"/>
      <c r="AS769" s="13"/>
      <c r="AT769" s="13"/>
      <c r="AU769" s="13"/>
      <c r="AV769" s="13"/>
      <c r="AW769" s="13"/>
      <c r="AX769" s="13"/>
      <c r="AY769" s="15"/>
      <c r="AZ769" s="15"/>
      <c r="BA769" s="16"/>
      <c r="BB769" s="15"/>
      <c r="BC769" s="15"/>
      <c r="BD769" s="13"/>
      <c r="BE769" s="13"/>
      <c r="BF769" s="13"/>
      <c r="BG769" s="13"/>
      <c r="BH769" s="13"/>
      <c r="BI769" s="13"/>
      <c r="BJ769" s="13"/>
      <c r="BK769" s="13"/>
      <c r="BL769" s="13"/>
      <c r="BM769" s="13"/>
      <c r="BN769" s="13"/>
      <c r="BO769" s="13"/>
      <c r="BP769" s="13"/>
      <c r="BQ769" s="15"/>
      <c r="BR769" s="15"/>
      <c r="BS769" s="15"/>
      <c r="BT769" s="15"/>
      <c r="BU769" s="15"/>
      <c r="BV769" s="15"/>
      <c r="BW769" s="15"/>
      <c r="BX769" s="15"/>
      <c r="BY769" s="15"/>
      <c r="BZ769" s="15"/>
      <c r="CA769" s="15"/>
      <c r="CB769" s="17"/>
      <c r="CC769" s="17"/>
      <c r="CD769" s="18"/>
      <c r="CE769" s="18"/>
      <c r="CF769" s="18"/>
      <c r="CG769" s="18"/>
      <c r="CH769" s="18"/>
    </row>
    <row r="770">
      <c r="A770" s="15"/>
      <c r="B770" s="16"/>
      <c r="C770" s="15"/>
      <c r="D770" s="9"/>
      <c r="E770" s="15"/>
      <c r="F770" s="15"/>
      <c r="G770" s="13"/>
      <c r="H770" s="13"/>
      <c r="I770" s="13"/>
      <c r="J770" s="13"/>
      <c r="K770" s="13"/>
      <c r="L770" s="13"/>
      <c r="M770" s="13"/>
      <c r="N770" s="13"/>
      <c r="O770" s="13"/>
      <c r="P770" s="13"/>
      <c r="Q770" s="13"/>
      <c r="R770" s="13"/>
      <c r="S770" s="13"/>
      <c r="T770" s="13"/>
      <c r="U770" s="13"/>
      <c r="V770" s="13"/>
      <c r="W770" s="13"/>
      <c r="X770" s="13"/>
      <c r="Y770" s="13"/>
      <c r="Z770" s="13"/>
      <c r="AA770" s="13"/>
      <c r="AB770" s="15"/>
      <c r="AC770" s="15"/>
      <c r="AD770" s="15"/>
      <c r="AE770" s="13"/>
      <c r="AF770" s="13"/>
      <c r="AG770" s="13"/>
      <c r="AH770" s="15"/>
      <c r="AI770" s="13"/>
      <c r="AJ770" s="13"/>
      <c r="AK770" s="13"/>
      <c r="AL770" s="13"/>
      <c r="AM770" s="15"/>
      <c r="AN770" s="13"/>
      <c r="AO770" s="15"/>
      <c r="AP770" s="15"/>
      <c r="AQ770" s="13"/>
      <c r="AR770" s="13"/>
      <c r="AS770" s="13"/>
      <c r="AT770" s="13"/>
      <c r="AU770" s="13"/>
      <c r="AV770" s="13"/>
      <c r="AW770" s="13"/>
      <c r="AX770" s="13"/>
      <c r="AY770" s="15"/>
      <c r="AZ770" s="15"/>
      <c r="BA770" s="16"/>
      <c r="BB770" s="15"/>
      <c r="BC770" s="15"/>
      <c r="BD770" s="13"/>
      <c r="BE770" s="13"/>
      <c r="BF770" s="13"/>
      <c r="BG770" s="13"/>
      <c r="BH770" s="13"/>
      <c r="BI770" s="13"/>
      <c r="BJ770" s="13"/>
      <c r="BK770" s="13"/>
      <c r="BL770" s="13"/>
      <c r="BM770" s="13"/>
      <c r="BN770" s="13"/>
      <c r="BO770" s="13"/>
      <c r="BP770" s="13"/>
      <c r="BQ770" s="15"/>
      <c r="BR770" s="15"/>
      <c r="BS770" s="15"/>
      <c r="BT770" s="15"/>
      <c r="BU770" s="15"/>
      <c r="BV770" s="15"/>
      <c r="BW770" s="15"/>
      <c r="BX770" s="15"/>
      <c r="BY770" s="15"/>
      <c r="BZ770" s="15"/>
      <c r="CA770" s="15"/>
      <c r="CB770" s="17"/>
      <c r="CC770" s="17"/>
      <c r="CD770" s="18"/>
      <c r="CE770" s="18"/>
      <c r="CF770" s="18"/>
      <c r="CG770" s="18"/>
      <c r="CH770" s="18"/>
    </row>
    <row r="771">
      <c r="A771" s="15"/>
      <c r="B771" s="16"/>
      <c r="C771" s="15"/>
      <c r="D771" s="9"/>
      <c r="E771" s="15"/>
      <c r="F771" s="15"/>
      <c r="G771" s="13"/>
      <c r="H771" s="13"/>
      <c r="I771" s="13"/>
      <c r="J771" s="13"/>
      <c r="K771" s="13"/>
      <c r="L771" s="13"/>
      <c r="M771" s="13"/>
      <c r="N771" s="13"/>
      <c r="O771" s="13"/>
      <c r="P771" s="13"/>
      <c r="Q771" s="13"/>
      <c r="R771" s="13"/>
      <c r="S771" s="13"/>
      <c r="T771" s="13"/>
      <c r="U771" s="13"/>
      <c r="V771" s="13"/>
      <c r="W771" s="13"/>
      <c r="X771" s="13"/>
      <c r="Y771" s="13"/>
      <c r="Z771" s="13"/>
      <c r="AA771" s="13"/>
      <c r="AB771" s="15"/>
      <c r="AC771" s="15"/>
      <c r="AD771" s="15"/>
      <c r="AE771" s="13"/>
      <c r="AF771" s="13"/>
      <c r="AG771" s="13"/>
      <c r="AH771" s="15"/>
      <c r="AI771" s="13"/>
      <c r="AJ771" s="13"/>
      <c r="AK771" s="13"/>
      <c r="AL771" s="13"/>
      <c r="AM771" s="15"/>
      <c r="AN771" s="13"/>
      <c r="AO771" s="15"/>
      <c r="AP771" s="15"/>
      <c r="AQ771" s="13"/>
      <c r="AR771" s="13"/>
      <c r="AS771" s="13"/>
      <c r="AT771" s="13"/>
      <c r="AU771" s="13"/>
      <c r="AV771" s="13"/>
      <c r="AW771" s="13"/>
      <c r="AX771" s="13"/>
      <c r="AY771" s="15"/>
      <c r="AZ771" s="15"/>
      <c r="BA771" s="16"/>
      <c r="BB771" s="15"/>
      <c r="BC771" s="15"/>
      <c r="BD771" s="13"/>
      <c r="BE771" s="13"/>
      <c r="BF771" s="13"/>
      <c r="BG771" s="13"/>
      <c r="BH771" s="13"/>
      <c r="BI771" s="13"/>
      <c r="BJ771" s="13"/>
      <c r="BK771" s="13"/>
      <c r="BL771" s="13"/>
      <c r="BM771" s="13"/>
      <c r="BN771" s="13"/>
      <c r="BO771" s="13"/>
      <c r="BP771" s="13"/>
      <c r="BQ771" s="15"/>
      <c r="BR771" s="15"/>
      <c r="BS771" s="15"/>
      <c r="BT771" s="15"/>
      <c r="BU771" s="15"/>
      <c r="BV771" s="15"/>
      <c r="BW771" s="15"/>
      <c r="BX771" s="15"/>
      <c r="BY771" s="15"/>
      <c r="BZ771" s="15"/>
      <c r="CA771" s="15"/>
      <c r="CB771" s="17"/>
      <c r="CC771" s="17"/>
      <c r="CD771" s="18"/>
      <c r="CE771" s="18"/>
      <c r="CF771" s="18"/>
      <c r="CG771" s="18"/>
      <c r="CH771" s="18"/>
    </row>
    <row r="772">
      <c r="A772" s="15"/>
      <c r="B772" s="16"/>
      <c r="C772" s="15"/>
      <c r="D772" s="9"/>
      <c r="E772" s="15"/>
      <c r="F772" s="15"/>
      <c r="G772" s="13"/>
      <c r="H772" s="13"/>
      <c r="I772" s="13"/>
      <c r="J772" s="13"/>
      <c r="K772" s="13"/>
      <c r="L772" s="13"/>
      <c r="M772" s="13"/>
      <c r="N772" s="13"/>
      <c r="O772" s="13"/>
      <c r="P772" s="13"/>
      <c r="Q772" s="13"/>
      <c r="R772" s="13"/>
      <c r="S772" s="13"/>
      <c r="T772" s="13"/>
      <c r="U772" s="13"/>
      <c r="V772" s="13"/>
      <c r="W772" s="13"/>
      <c r="X772" s="13"/>
      <c r="Y772" s="13"/>
      <c r="Z772" s="13"/>
      <c r="AA772" s="13"/>
      <c r="AB772" s="15"/>
      <c r="AC772" s="15"/>
      <c r="AD772" s="15"/>
      <c r="AE772" s="13"/>
      <c r="AF772" s="13"/>
      <c r="AG772" s="13"/>
      <c r="AH772" s="15"/>
      <c r="AI772" s="13"/>
      <c r="AJ772" s="13"/>
      <c r="AK772" s="13"/>
      <c r="AL772" s="13"/>
      <c r="AM772" s="15"/>
      <c r="AN772" s="13"/>
      <c r="AO772" s="15"/>
      <c r="AP772" s="15"/>
      <c r="AQ772" s="13"/>
      <c r="AR772" s="13"/>
      <c r="AS772" s="13"/>
      <c r="AT772" s="13"/>
      <c r="AU772" s="13"/>
      <c r="AV772" s="13"/>
      <c r="AW772" s="13"/>
      <c r="AX772" s="13"/>
      <c r="AY772" s="15"/>
      <c r="AZ772" s="15"/>
      <c r="BA772" s="16"/>
      <c r="BB772" s="15"/>
      <c r="BC772" s="15"/>
      <c r="BD772" s="13"/>
      <c r="BE772" s="13"/>
      <c r="BF772" s="13"/>
      <c r="BG772" s="13"/>
      <c r="BH772" s="13"/>
      <c r="BI772" s="13"/>
      <c r="BJ772" s="13"/>
      <c r="BK772" s="13"/>
      <c r="BL772" s="13"/>
      <c r="BM772" s="13"/>
      <c r="BN772" s="13"/>
      <c r="BO772" s="13"/>
      <c r="BP772" s="13"/>
      <c r="BQ772" s="15"/>
      <c r="BR772" s="15"/>
      <c r="BS772" s="15"/>
      <c r="BT772" s="15"/>
      <c r="BU772" s="15"/>
      <c r="BV772" s="15"/>
      <c r="BW772" s="15"/>
      <c r="BX772" s="15"/>
      <c r="BY772" s="15"/>
      <c r="BZ772" s="15"/>
      <c r="CA772" s="15"/>
      <c r="CB772" s="17"/>
      <c r="CC772" s="17"/>
      <c r="CD772" s="18"/>
      <c r="CE772" s="18"/>
      <c r="CF772" s="18"/>
      <c r="CG772" s="18"/>
      <c r="CH772" s="18"/>
    </row>
    <row r="773">
      <c r="A773" s="15"/>
      <c r="B773" s="16"/>
      <c r="C773" s="15"/>
      <c r="D773" s="9"/>
      <c r="E773" s="15"/>
      <c r="F773" s="15"/>
      <c r="G773" s="13"/>
      <c r="H773" s="13"/>
      <c r="I773" s="13"/>
      <c r="J773" s="13"/>
      <c r="K773" s="13"/>
      <c r="L773" s="13"/>
      <c r="M773" s="13"/>
      <c r="N773" s="13"/>
      <c r="O773" s="13"/>
      <c r="P773" s="13"/>
      <c r="Q773" s="13"/>
      <c r="R773" s="13"/>
      <c r="S773" s="13"/>
      <c r="T773" s="13"/>
      <c r="U773" s="13"/>
      <c r="V773" s="13"/>
      <c r="W773" s="13"/>
      <c r="X773" s="13"/>
      <c r="Y773" s="13"/>
      <c r="Z773" s="13"/>
      <c r="AA773" s="13"/>
      <c r="AB773" s="15"/>
      <c r="AC773" s="15"/>
      <c r="AD773" s="15"/>
      <c r="AE773" s="13"/>
      <c r="AF773" s="13"/>
      <c r="AG773" s="13"/>
      <c r="AH773" s="15"/>
      <c r="AI773" s="13"/>
      <c r="AJ773" s="13"/>
      <c r="AK773" s="13"/>
      <c r="AL773" s="13"/>
      <c r="AM773" s="15"/>
      <c r="AN773" s="13"/>
      <c r="AO773" s="15"/>
      <c r="AP773" s="15"/>
      <c r="AQ773" s="13"/>
      <c r="AR773" s="13"/>
      <c r="AS773" s="13"/>
      <c r="AT773" s="13"/>
      <c r="AU773" s="13"/>
      <c r="AV773" s="13"/>
      <c r="AW773" s="13"/>
      <c r="AX773" s="13"/>
      <c r="AY773" s="15"/>
      <c r="AZ773" s="15"/>
      <c r="BA773" s="16"/>
      <c r="BB773" s="15"/>
      <c r="BC773" s="15"/>
      <c r="BD773" s="13"/>
      <c r="BE773" s="13"/>
      <c r="BF773" s="13"/>
      <c r="BG773" s="13"/>
      <c r="BH773" s="13"/>
      <c r="BI773" s="13"/>
      <c r="BJ773" s="13"/>
      <c r="BK773" s="13"/>
      <c r="BL773" s="13"/>
      <c r="BM773" s="13"/>
      <c r="BN773" s="13"/>
      <c r="BO773" s="13"/>
      <c r="BP773" s="13"/>
      <c r="BQ773" s="15"/>
      <c r="BR773" s="15"/>
      <c r="BS773" s="15"/>
      <c r="BT773" s="15"/>
      <c r="BU773" s="15"/>
      <c r="BV773" s="15"/>
      <c r="BW773" s="15"/>
      <c r="BX773" s="15"/>
      <c r="BY773" s="15"/>
      <c r="BZ773" s="15"/>
      <c r="CA773" s="15"/>
      <c r="CB773" s="17"/>
      <c r="CC773" s="17"/>
      <c r="CD773" s="18"/>
      <c r="CE773" s="18"/>
      <c r="CF773" s="18"/>
      <c r="CG773" s="18"/>
      <c r="CH773" s="18"/>
    </row>
    <row r="774">
      <c r="A774" s="15"/>
      <c r="B774" s="16"/>
      <c r="C774" s="15"/>
      <c r="D774" s="9"/>
      <c r="E774" s="15"/>
      <c r="F774" s="15"/>
      <c r="G774" s="13"/>
      <c r="H774" s="13"/>
      <c r="I774" s="13"/>
      <c r="J774" s="13"/>
      <c r="K774" s="13"/>
      <c r="L774" s="13"/>
      <c r="M774" s="13"/>
      <c r="N774" s="13"/>
      <c r="O774" s="13"/>
      <c r="P774" s="13"/>
      <c r="Q774" s="13"/>
      <c r="R774" s="13"/>
      <c r="S774" s="13"/>
      <c r="T774" s="13"/>
      <c r="U774" s="13"/>
      <c r="V774" s="13"/>
      <c r="W774" s="13"/>
      <c r="X774" s="13"/>
      <c r="Y774" s="13"/>
      <c r="Z774" s="13"/>
      <c r="AA774" s="13"/>
      <c r="AB774" s="15"/>
      <c r="AC774" s="15"/>
      <c r="AD774" s="15"/>
      <c r="AE774" s="13"/>
      <c r="AF774" s="13"/>
      <c r="AG774" s="13"/>
      <c r="AH774" s="15"/>
      <c r="AI774" s="13"/>
      <c r="AJ774" s="13"/>
      <c r="AK774" s="13"/>
      <c r="AL774" s="13"/>
      <c r="AM774" s="15"/>
      <c r="AN774" s="13"/>
      <c r="AO774" s="15"/>
      <c r="AP774" s="15"/>
      <c r="AQ774" s="13"/>
      <c r="AR774" s="13"/>
      <c r="AS774" s="13"/>
      <c r="AT774" s="13"/>
      <c r="AU774" s="13"/>
      <c r="AV774" s="13"/>
      <c r="AW774" s="13"/>
      <c r="AX774" s="13"/>
      <c r="AY774" s="15"/>
      <c r="AZ774" s="15"/>
      <c r="BA774" s="16"/>
      <c r="BB774" s="15"/>
      <c r="BC774" s="15"/>
      <c r="BD774" s="13"/>
      <c r="BE774" s="13"/>
      <c r="BF774" s="13"/>
      <c r="BG774" s="13"/>
      <c r="BH774" s="13"/>
      <c r="BI774" s="13"/>
      <c r="BJ774" s="13"/>
      <c r="BK774" s="13"/>
      <c r="BL774" s="13"/>
      <c r="BM774" s="13"/>
      <c r="BN774" s="13"/>
      <c r="BO774" s="13"/>
      <c r="BP774" s="13"/>
      <c r="BQ774" s="15"/>
      <c r="BR774" s="15"/>
      <c r="BS774" s="15"/>
      <c r="BT774" s="15"/>
      <c r="BU774" s="15"/>
      <c r="BV774" s="15"/>
      <c r="BW774" s="15"/>
      <c r="BX774" s="15"/>
      <c r="BY774" s="15"/>
      <c r="BZ774" s="15"/>
      <c r="CA774" s="15"/>
      <c r="CB774" s="17"/>
      <c r="CC774" s="17"/>
      <c r="CD774" s="18"/>
      <c r="CE774" s="18"/>
      <c r="CF774" s="18"/>
      <c r="CG774" s="18"/>
      <c r="CH774" s="18"/>
    </row>
    <row r="775">
      <c r="A775" s="15"/>
      <c r="B775" s="16"/>
      <c r="C775" s="15"/>
      <c r="D775" s="9"/>
      <c r="E775" s="15"/>
      <c r="F775" s="15"/>
      <c r="G775" s="13"/>
      <c r="H775" s="13"/>
      <c r="I775" s="13"/>
      <c r="J775" s="13"/>
      <c r="K775" s="13"/>
      <c r="L775" s="13"/>
      <c r="M775" s="13"/>
      <c r="N775" s="13"/>
      <c r="O775" s="13"/>
      <c r="P775" s="13"/>
      <c r="Q775" s="13"/>
      <c r="R775" s="13"/>
      <c r="S775" s="13"/>
      <c r="T775" s="13"/>
      <c r="U775" s="13"/>
      <c r="V775" s="13"/>
      <c r="W775" s="13"/>
      <c r="X775" s="13"/>
      <c r="Y775" s="13"/>
      <c r="Z775" s="13"/>
      <c r="AA775" s="13"/>
      <c r="AB775" s="15"/>
      <c r="AC775" s="15"/>
      <c r="AD775" s="15"/>
      <c r="AE775" s="13"/>
      <c r="AF775" s="13"/>
      <c r="AG775" s="13"/>
      <c r="AH775" s="15"/>
      <c r="AI775" s="13"/>
      <c r="AJ775" s="13"/>
      <c r="AK775" s="13"/>
      <c r="AL775" s="13"/>
      <c r="AM775" s="15"/>
      <c r="AN775" s="13"/>
      <c r="AO775" s="15"/>
      <c r="AP775" s="15"/>
      <c r="AQ775" s="13"/>
      <c r="AR775" s="13"/>
      <c r="AS775" s="13"/>
      <c r="AT775" s="13"/>
      <c r="AU775" s="13"/>
      <c r="AV775" s="13"/>
      <c r="AW775" s="13"/>
      <c r="AX775" s="13"/>
      <c r="AY775" s="15"/>
      <c r="AZ775" s="15"/>
      <c r="BA775" s="16"/>
      <c r="BB775" s="15"/>
      <c r="BC775" s="15"/>
      <c r="BD775" s="13"/>
      <c r="BE775" s="13"/>
      <c r="BF775" s="13"/>
      <c r="BG775" s="13"/>
      <c r="BH775" s="13"/>
      <c r="BI775" s="13"/>
      <c r="BJ775" s="13"/>
      <c r="BK775" s="13"/>
      <c r="BL775" s="13"/>
      <c r="BM775" s="13"/>
      <c r="BN775" s="13"/>
      <c r="BO775" s="13"/>
      <c r="BP775" s="13"/>
      <c r="BQ775" s="15"/>
      <c r="BR775" s="15"/>
      <c r="BS775" s="15"/>
      <c r="BT775" s="15"/>
      <c r="BU775" s="15"/>
      <c r="BV775" s="15"/>
      <c r="BW775" s="15"/>
      <c r="BX775" s="15"/>
      <c r="BY775" s="15"/>
      <c r="BZ775" s="15"/>
      <c r="CA775" s="15"/>
      <c r="CB775" s="17"/>
      <c r="CC775" s="17"/>
      <c r="CD775" s="18"/>
      <c r="CE775" s="18"/>
      <c r="CF775" s="18"/>
      <c r="CG775" s="18"/>
      <c r="CH775" s="18"/>
    </row>
    <row r="776">
      <c r="A776" s="15"/>
      <c r="B776" s="16"/>
      <c r="C776" s="15"/>
      <c r="D776" s="9"/>
      <c r="E776" s="15"/>
      <c r="F776" s="15"/>
      <c r="G776" s="13"/>
      <c r="H776" s="13"/>
      <c r="I776" s="13"/>
      <c r="J776" s="13"/>
      <c r="K776" s="13"/>
      <c r="L776" s="13"/>
      <c r="M776" s="13"/>
      <c r="N776" s="13"/>
      <c r="O776" s="13"/>
      <c r="P776" s="13"/>
      <c r="Q776" s="13"/>
      <c r="R776" s="13"/>
      <c r="S776" s="13"/>
      <c r="T776" s="13"/>
      <c r="U776" s="13"/>
      <c r="V776" s="13"/>
      <c r="W776" s="13"/>
      <c r="X776" s="13"/>
      <c r="Y776" s="13"/>
      <c r="Z776" s="13"/>
      <c r="AA776" s="13"/>
      <c r="AB776" s="15"/>
      <c r="AC776" s="15"/>
      <c r="AD776" s="15"/>
      <c r="AE776" s="13"/>
      <c r="AF776" s="13"/>
      <c r="AG776" s="13"/>
      <c r="AH776" s="15"/>
      <c r="AI776" s="13"/>
      <c r="AJ776" s="13"/>
      <c r="AK776" s="13"/>
      <c r="AL776" s="13"/>
      <c r="AM776" s="15"/>
      <c r="AN776" s="13"/>
      <c r="AO776" s="15"/>
      <c r="AP776" s="15"/>
      <c r="AQ776" s="13"/>
      <c r="AR776" s="13"/>
      <c r="AS776" s="13"/>
      <c r="AT776" s="13"/>
      <c r="AU776" s="13"/>
      <c r="AV776" s="13"/>
      <c r="AW776" s="13"/>
      <c r="AX776" s="13"/>
      <c r="AY776" s="15"/>
      <c r="AZ776" s="15"/>
      <c r="BA776" s="16"/>
      <c r="BB776" s="15"/>
      <c r="BC776" s="15"/>
      <c r="BD776" s="13"/>
      <c r="BE776" s="13"/>
      <c r="BF776" s="13"/>
      <c r="BG776" s="13"/>
      <c r="BH776" s="13"/>
      <c r="BI776" s="13"/>
      <c r="BJ776" s="13"/>
      <c r="BK776" s="13"/>
      <c r="BL776" s="13"/>
      <c r="BM776" s="13"/>
      <c r="BN776" s="13"/>
      <c r="BO776" s="13"/>
      <c r="BP776" s="13"/>
      <c r="BQ776" s="15"/>
      <c r="BR776" s="15"/>
      <c r="BS776" s="15"/>
      <c r="BT776" s="15"/>
      <c r="BU776" s="15"/>
      <c r="BV776" s="15"/>
      <c r="BW776" s="15"/>
      <c r="BX776" s="15"/>
      <c r="BY776" s="15"/>
      <c r="BZ776" s="15"/>
      <c r="CA776" s="15"/>
      <c r="CB776" s="17"/>
      <c r="CC776" s="17"/>
      <c r="CD776" s="18"/>
      <c r="CE776" s="18"/>
      <c r="CF776" s="18"/>
      <c r="CG776" s="18"/>
      <c r="CH776" s="18"/>
    </row>
    <row r="777">
      <c r="A777" s="15"/>
      <c r="B777" s="16"/>
      <c r="C777" s="15"/>
      <c r="D777" s="9"/>
      <c r="E777" s="15"/>
      <c r="F777" s="15"/>
      <c r="G777" s="13"/>
      <c r="H777" s="13"/>
      <c r="I777" s="13"/>
      <c r="J777" s="13"/>
      <c r="K777" s="13"/>
      <c r="L777" s="13"/>
      <c r="M777" s="13"/>
      <c r="N777" s="13"/>
      <c r="O777" s="13"/>
      <c r="P777" s="13"/>
      <c r="Q777" s="13"/>
      <c r="R777" s="13"/>
      <c r="S777" s="13"/>
      <c r="T777" s="13"/>
      <c r="U777" s="13"/>
      <c r="V777" s="13"/>
      <c r="W777" s="13"/>
      <c r="X777" s="13"/>
      <c r="Y777" s="13"/>
      <c r="Z777" s="13"/>
      <c r="AA777" s="13"/>
      <c r="AB777" s="15"/>
      <c r="AC777" s="15"/>
      <c r="AD777" s="15"/>
      <c r="AE777" s="13"/>
      <c r="AF777" s="13"/>
      <c r="AG777" s="13"/>
      <c r="AH777" s="15"/>
      <c r="AI777" s="13"/>
      <c r="AJ777" s="13"/>
      <c r="AK777" s="13"/>
      <c r="AL777" s="13"/>
      <c r="AM777" s="15"/>
      <c r="AN777" s="13"/>
      <c r="AO777" s="15"/>
      <c r="AP777" s="15"/>
      <c r="AQ777" s="13"/>
      <c r="AR777" s="13"/>
      <c r="AS777" s="13"/>
      <c r="AT777" s="13"/>
      <c r="AU777" s="13"/>
      <c r="AV777" s="13"/>
      <c r="AW777" s="13"/>
      <c r="AX777" s="13"/>
      <c r="AY777" s="15"/>
      <c r="AZ777" s="15"/>
      <c r="BA777" s="16"/>
      <c r="BB777" s="15"/>
      <c r="BC777" s="15"/>
      <c r="BD777" s="13"/>
      <c r="BE777" s="13"/>
      <c r="BF777" s="13"/>
      <c r="BG777" s="13"/>
      <c r="BH777" s="13"/>
      <c r="BI777" s="13"/>
      <c r="BJ777" s="13"/>
      <c r="BK777" s="13"/>
      <c r="BL777" s="13"/>
      <c r="BM777" s="13"/>
      <c r="BN777" s="13"/>
      <c r="BO777" s="13"/>
      <c r="BP777" s="13"/>
      <c r="BQ777" s="15"/>
      <c r="BR777" s="15"/>
      <c r="BS777" s="15"/>
      <c r="BT777" s="15"/>
      <c r="BU777" s="15"/>
      <c r="BV777" s="15"/>
      <c r="BW777" s="15"/>
      <c r="BX777" s="15"/>
      <c r="BY777" s="15"/>
      <c r="BZ777" s="15"/>
      <c r="CA777" s="15"/>
      <c r="CB777" s="17"/>
      <c r="CC777" s="17"/>
      <c r="CD777" s="18"/>
      <c r="CE777" s="18"/>
      <c r="CF777" s="18"/>
      <c r="CG777" s="18"/>
      <c r="CH777" s="18"/>
    </row>
    <row r="778">
      <c r="A778" s="15"/>
      <c r="B778" s="16"/>
      <c r="C778" s="15"/>
      <c r="D778" s="9"/>
      <c r="E778" s="15"/>
      <c r="F778" s="15"/>
      <c r="G778" s="13"/>
      <c r="H778" s="13"/>
      <c r="I778" s="13"/>
      <c r="J778" s="13"/>
      <c r="K778" s="13"/>
      <c r="L778" s="13"/>
      <c r="M778" s="13"/>
      <c r="N778" s="13"/>
      <c r="O778" s="13"/>
      <c r="P778" s="13"/>
      <c r="Q778" s="13"/>
      <c r="R778" s="13"/>
      <c r="S778" s="13"/>
      <c r="T778" s="13"/>
      <c r="U778" s="13"/>
      <c r="V778" s="13"/>
      <c r="W778" s="13"/>
      <c r="X778" s="13"/>
      <c r="Y778" s="13"/>
      <c r="Z778" s="13"/>
      <c r="AA778" s="13"/>
      <c r="AB778" s="15"/>
      <c r="AC778" s="15"/>
      <c r="AD778" s="15"/>
      <c r="AE778" s="13"/>
      <c r="AF778" s="13"/>
      <c r="AG778" s="13"/>
      <c r="AH778" s="15"/>
      <c r="AI778" s="13"/>
      <c r="AJ778" s="13"/>
      <c r="AK778" s="13"/>
      <c r="AL778" s="13"/>
      <c r="AM778" s="15"/>
      <c r="AN778" s="13"/>
      <c r="AO778" s="15"/>
      <c r="AP778" s="15"/>
      <c r="AQ778" s="13"/>
      <c r="AR778" s="13"/>
      <c r="AS778" s="13"/>
      <c r="AT778" s="13"/>
      <c r="AU778" s="13"/>
      <c r="AV778" s="13"/>
      <c r="AW778" s="13"/>
      <c r="AX778" s="13"/>
      <c r="AY778" s="15"/>
      <c r="AZ778" s="15"/>
      <c r="BA778" s="16"/>
      <c r="BB778" s="15"/>
      <c r="BC778" s="15"/>
      <c r="BD778" s="13"/>
      <c r="BE778" s="13"/>
      <c r="BF778" s="13"/>
      <c r="BG778" s="13"/>
      <c r="BH778" s="13"/>
      <c r="BI778" s="13"/>
      <c r="BJ778" s="13"/>
      <c r="BK778" s="13"/>
      <c r="BL778" s="13"/>
      <c r="BM778" s="13"/>
      <c r="BN778" s="13"/>
      <c r="BO778" s="13"/>
      <c r="BP778" s="13"/>
      <c r="BQ778" s="15"/>
      <c r="BR778" s="15"/>
      <c r="BS778" s="15"/>
      <c r="BT778" s="15"/>
      <c r="BU778" s="15"/>
      <c r="BV778" s="15"/>
      <c r="BW778" s="15"/>
      <c r="BX778" s="15"/>
      <c r="BY778" s="15"/>
      <c r="BZ778" s="15"/>
      <c r="CA778" s="15"/>
      <c r="CB778" s="17"/>
      <c r="CC778" s="17"/>
      <c r="CD778" s="18"/>
      <c r="CE778" s="18"/>
      <c r="CF778" s="18"/>
      <c r="CG778" s="18"/>
      <c r="CH778" s="18"/>
    </row>
    <row r="779">
      <c r="A779" s="15"/>
      <c r="B779" s="16"/>
      <c r="C779" s="15"/>
      <c r="D779" s="9"/>
      <c r="E779" s="15"/>
      <c r="F779" s="15"/>
      <c r="G779" s="13"/>
      <c r="H779" s="13"/>
      <c r="I779" s="13"/>
      <c r="J779" s="13"/>
      <c r="K779" s="13"/>
      <c r="L779" s="13"/>
      <c r="M779" s="13"/>
      <c r="N779" s="13"/>
      <c r="O779" s="13"/>
      <c r="P779" s="13"/>
      <c r="Q779" s="13"/>
      <c r="R779" s="13"/>
      <c r="S779" s="13"/>
      <c r="T779" s="13"/>
      <c r="U779" s="13"/>
      <c r="V779" s="13"/>
      <c r="W779" s="13"/>
      <c r="X779" s="13"/>
      <c r="Y779" s="13"/>
      <c r="Z779" s="13"/>
      <c r="AA779" s="13"/>
      <c r="AB779" s="15"/>
      <c r="AC779" s="15"/>
      <c r="AD779" s="15"/>
      <c r="AE779" s="13"/>
      <c r="AF779" s="13"/>
      <c r="AG779" s="13"/>
      <c r="AH779" s="15"/>
      <c r="AI779" s="13"/>
      <c r="AJ779" s="13"/>
      <c r="AK779" s="13"/>
      <c r="AL779" s="13"/>
      <c r="AM779" s="15"/>
      <c r="AN779" s="13"/>
      <c r="AO779" s="15"/>
      <c r="AP779" s="15"/>
      <c r="AQ779" s="13"/>
      <c r="AR779" s="13"/>
      <c r="AS779" s="13"/>
      <c r="AT779" s="13"/>
      <c r="AU779" s="13"/>
      <c r="AV779" s="13"/>
      <c r="AW779" s="13"/>
      <c r="AX779" s="13"/>
      <c r="AY779" s="15"/>
      <c r="AZ779" s="15"/>
      <c r="BA779" s="16"/>
      <c r="BB779" s="15"/>
      <c r="BC779" s="15"/>
      <c r="BD779" s="13"/>
      <c r="BE779" s="13"/>
      <c r="BF779" s="13"/>
      <c r="BG779" s="13"/>
      <c r="BH779" s="13"/>
      <c r="BI779" s="13"/>
      <c r="BJ779" s="13"/>
      <c r="BK779" s="13"/>
      <c r="BL779" s="13"/>
      <c r="BM779" s="13"/>
      <c r="BN779" s="13"/>
      <c r="BO779" s="13"/>
      <c r="BP779" s="13"/>
      <c r="BQ779" s="15"/>
      <c r="BR779" s="15"/>
      <c r="BS779" s="15"/>
      <c r="BT779" s="15"/>
      <c r="BU779" s="15"/>
      <c r="BV779" s="15"/>
      <c r="BW779" s="15"/>
      <c r="BX779" s="15"/>
      <c r="BY779" s="15"/>
      <c r="BZ779" s="15"/>
      <c r="CA779" s="15"/>
      <c r="CB779" s="17"/>
      <c r="CC779" s="17"/>
      <c r="CD779" s="18"/>
      <c r="CE779" s="18"/>
      <c r="CF779" s="18"/>
      <c r="CG779" s="18"/>
      <c r="CH779" s="18"/>
    </row>
    <row r="780">
      <c r="A780" s="15"/>
      <c r="B780" s="16"/>
      <c r="C780" s="15"/>
      <c r="D780" s="9"/>
      <c r="E780" s="15"/>
      <c r="F780" s="15"/>
      <c r="G780" s="13"/>
      <c r="H780" s="13"/>
      <c r="I780" s="13"/>
      <c r="J780" s="13"/>
      <c r="K780" s="13"/>
      <c r="L780" s="13"/>
      <c r="M780" s="13"/>
      <c r="N780" s="13"/>
      <c r="O780" s="13"/>
      <c r="P780" s="13"/>
      <c r="Q780" s="13"/>
      <c r="R780" s="13"/>
      <c r="S780" s="13"/>
      <c r="T780" s="13"/>
      <c r="U780" s="13"/>
      <c r="V780" s="13"/>
      <c r="W780" s="13"/>
      <c r="X780" s="13"/>
      <c r="Y780" s="13"/>
      <c r="Z780" s="13"/>
      <c r="AA780" s="13"/>
      <c r="AB780" s="15"/>
      <c r="AC780" s="15"/>
      <c r="AD780" s="15"/>
      <c r="AE780" s="13"/>
      <c r="AF780" s="13"/>
      <c r="AG780" s="13"/>
      <c r="AH780" s="15"/>
      <c r="AI780" s="13"/>
      <c r="AJ780" s="13"/>
      <c r="AK780" s="13"/>
      <c r="AL780" s="13"/>
      <c r="AM780" s="15"/>
      <c r="AN780" s="13"/>
      <c r="AO780" s="15"/>
      <c r="AP780" s="15"/>
      <c r="AQ780" s="13"/>
      <c r="AR780" s="13"/>
      <c r="AS780" s="13"/>
      <c r="AT780" s="13"/>
      <c r="AU780" s="13"/>
      <c r="AV780" s="13"/>
      <c r="AW780" s="13"/>
      <c r="AX780" s="13"/>
      <c r="AY780" s="15"/>
      <c r="AZ780" s="15"/>
      <c r="BA780" s="16"/>
      <c r="BB780" s="15"/>
      <c r="BC780" s="15"/>
      <c r="BD780" s="13"/>
      <c r="BE780" s="13"/>
      <c r="BF780" s="13"/>
      <c r="BG780" s="13"/>
      <c r="BH780" s="13"/>
      <c r="BI780" s="13"/>
      <c r="BJ780" s="13"/>
      <c r="BK780" s="13"/>
      <c r="BL780" s="13"/>
      <c r="BM780" s="13"/>
      <c r="BN780" s="13"/>
      <c r="BO780" s="13"/>
      <c r="BP780" s="13"/>
      <c r="BQ780" s="15"/>
      <c r="BR780" s="15"/>
      <c r="BS780" s="15"/>
      <c r="BT780" s="15"/>
      <c r="BU780" s="15"/>
      <c r="BV780" s="15"/>
      <c r="BW780" s="15"/>
      <c r="BX780" s="15"/>
      <c r="BY780" s="15"/>
      <c r="BZ780" s="15"/>
      <c r="CA780" s="15"/>
      <c r="CB780" s="17"/>
      <c r="CC780" s="17"/>
      <c r="CD780" s="18"/>
      <c r="CE780" s="18"/>
      <c r="CF780" s="18"/>
      <c r="CG780" s="18"/>
      <c r="CH780" s="18"/>
    </row>
    <row r="781">
      <c r="A781" s="15"/>
      <c r="B781" s="16"/>
      <c r="C781" s="15"/>
      <c r="D781" s="9"/>
      <c r="E781" s="15"/>
      <c r="F781" s="15"/>
      <c r="G781" s="13"/>
      <c r="H781" s="13"/>
      <c r="I781" s="13"/>
      <c r="J781" s="13"/>
      <c r="K781" s="13"/>
      <c r="L781" s="13"/>
      <c r="M781" s="13"/>
      <c r="N781" s="13"/>
      <c r="O781" s="13"/>
      <c r="P781" s="13"/>
      <c r="Q781" s="13"/>
      <c r="R781" s="13"/>
      <c r="S781" s="13"/>
      <c r="T781" s="13"/>
      <c r="U781" s="13"/>
      <c r="V781" s="13"/>
      <c r="W781" s="13"/>
      <c r="X781" s="13"/>
      <c r="Y781" s="13"/>
      <c r="Z781" s="13"/>
      <c r="AA781" s="13"/>
      <c r="AB781" s="15"/>
      <c r="AC781" s="15"/>
      <c r="AD781" s="15"/>
      <c r="AE781" s="13"/>
      <c r="AF781" s="13"/>
      <c r="AG781" s="13"/>
      <c r="AH781" s="15"/>
      <c r="AI781" s="13"/>
      <c r="AJ781" s="13"/>
      <c r="AK781" s="13"/>
      <c r="AL781" s="13"/>
      <c r="AM781" s="15"/>
      <c r="AN781" s="13"/>
      <c r="AO781" s="15"/>
      <c r="AP781" s="15"/>
      <c r="AQ781" s="13"/>
      <c r="AR781" s="13"/>
      <c r="AS781" s="13"/>
      <c r="AT781" s="13"/>
      <c r="AU781" s="13"/>
      <c r="AV781" s="13"/>
      <c r="AW781" s="13"/>
      <c r="AX781" s="13"/>
      <c r="AY781" s="15"/>
      <c r="AZ781" s="15"/>
      <c r="BA781" s="16"/>
      <c r="BB781" s="15"/>
      <c r="BC781" s="15"/>
      <c r="BD781" s="13"/>
      <c r="BE781" s="13"/>
      <c r="BF781" s="13"/>
      <c r="BG781" s="13"/>
      <c r="BH781" s="13"/>
      <c r="BI781" s="13"/>
      <c r="BJ781" s="13"/>
      <c r="BK781" s="13"/>
      <c r="BL781" s="13"/>
      <c r="BM781" s="13"/>
      <c r="BN781" s="13"/>
      <c r="BO781" s="13"/>
      <c r="BP781" s="13"/>
      <c r="BQ781" s="15"/>
      <c r="BR781" s="15"/>
      <c r="BS781" s="15"/>
      <c r="BT781" s="15"/>
      <c r="BU781" s="15"/>
      <c r="BV781" s="15"/>
      <c r="BW781" s="15"/>
      <c r="BX781" s="15"/>
      <c r="BY781" s="15"/>
      <c r="BZ781" s="15"/>
      <c r="CA781" s="15"/>
      <c r="CB781" s="17"/>
      <c r="CC781" s="17"/>
      <c r="CD781" s="18"/>
      <c r="CE781" s="18"/>
      <c r="CF781" s="18"/>
      <c r="CG781" s="18"/>
      <c r="CH781" s="18"/>
    </row>
    <row r="782">
      <c r="A782" s="15"/>
      <c r="B782" s="16"/>
      <c r="C782" s="15"/>
      <c r="D782" s="9"/>
      <c r="E782" s="15"/>
      <c r="F782" s="15"/>
      <c r="G782" s="13"/>
      <c r="H782" s="13"/>
      <c r="I782" s="13"/>
      <c r="J782" s="13"/>
      <c r="K782" s="13"/>
      <c r="L782" s="13"/>
      <c r="M782" s="13"/>
      <c r="N782" s="13"/>
      <c r="O782" s="13"/>
      <c r="P782" s="13"/>
      <c r="Q782" s="13"/>
      <c r="R782" s="13"/>
      <c r="S782" s="13"/>
      <c r="T782" s="13"/>
      <c r="U782" s="13"/>
      <c r="V782" s="13"/>
      <c r="W782" s="13"/>
      <c r="X782" s="13"/>
      <c r="Y782" s="13"/>
      <c r="Z782" s="13"/>
      <c r="AA782" s="13"/>
      <c r="AB782" s="15"/>
      <c r="AC782" s="15"/>
      <c r="AD782" s="15"/>
      <c r="AE782" s="13"/>
      <c r="AF782" s="13"/>
      <c r="AG782" s="13"/>
      <c r="AH782" s="15"/>
      <c r="AI782" s="13"/>
      <c r="AJ782" s="13"/>
      <c r="AK782" s="13"/>
      <c r="AL782" s="13"/>
      <c r="AM782" s="15"/>
      <c r="AN782" s="13"/>
      <c r="AO782" s="15"/>
      <c r="AP782" s="15"/>
      <c r="AQ782" s="13"/>
      <c r="AR782" s="13"/>
      <c r="AS782" s="13"/>
      <c r="AT782" s="13"/>
      <c r="AU782" s="13"/>
      <c r="AV782" s="13"/>
      <c r="AW782" s="13"/>
      <c r="AX782" s="13"/>
      <c r="AY782" s="15"/>
      <c r="AZ782" s="15"/>
      <c r="BA782" s="16"/>
      <c r="BB782" s="15"/>
      <c r="BC782" s="15"/>
      <c r="BD782" s="13"/>
      <c r="BE782" s="13"/>
      <c r="BF782" s="13"/>
      <c r="BG782" s="13"/>
      <c r="BH782" s="13"/>
      <c r="BI782" s="13"/>
      <c r="BJ782" s="13"/>
      <c r="BK782" s="13"/>
      <c r="BL782" s="13"/>
      <c r="BM782" s="13"/>
      <c r="BN782" s="13"/>
      <c r="BO782" s="13"/>
      <c r="BP782" s="13"/>
      <c r="BQ782" s="15"/>
      <c r="BR782" s="15"/>
      <c r="BS782" s="15"/>
      <c r="BT782" s="15"/>
      <c r="BU782" s="15"/>
      <c r="BV782" s="15"/>
      <c r="BW782" s="15"/>
      <c r="BX782" s="15"/>
      <c r="BY782" s="15"/>
      <c r="BZ782" s="15"/>
      <c r="CA782" s="15"/>
      <c r="CB782" s="17"/>
      <c r="CC782" s="17"/>
      <c r="CD782" s="18"/>
      <c r="CE782" s="18"/>
      <c r="CF782" s="18"/>
      <c r="CG782" s="18"/>
      <c r="CH782" s="18"/>
    </row>
    <row r="783">
      <c r="A783" s="15"/>
      <c r="B783" s="16"/>
      <c r="C783" s="15"/>
      <c r="D783" s="9"/>
      <c r="E783" s="15"/>
      <c r="F783" s="15"/>
      <c r="G783" s="13"/>
      <c r="H783" s="13"/>
      <c r="I783" s="13"/>
      <c r="J783" s="13"/>
      <c r="K783" s="13"/>
      <c r="L783" s="13"/>
      <c r="M783" s="13"/>
      <c r="N783" s="13"/>
      <c r="O783" s="13"/>
      <c r="P783" s="13"/>
      <c r="Q783" s="13"/>
      <c r="R783" s="13"/>
      <c r="S783" s="13"/>
      <c r="T783" s="13"/>
      <c r="U783" s="13"/>
      <c r="V783" s="13"/>
      <c r="W783" s="13"/>
      <c r="X783" s="13"/>
      <c r="Y783" s="13"/>
      <c r="Z783" s="13"/>
      <c r="AA783" s="13"/>
      <c r="AB783" s="15"/>
      <c r="AC783" s="15"/>
      <c r="AD783" s="15"/>
      <c r="AE783" s="13"/>
      <c r="AF783" s="13"/>
      <c r="AG783" s="13"/>
      <c r="AH783" s="15"/>
      <c r="AI783" s="13"/>
      <c r="AJ783" s="13"/>
      <c r="AK783" s="13"/>
      <c r="AL783" s="13"/>
      <c r="AM783" s="15"/>
      <c r="AN783" s="13"/>
      <c r="AO783" s="15"/>
      <c r="AP783" s="15"/>
      <c r="AQ783" s="13"/>
      <c r="AR783" s="13"/>
      <c r="AS783" s="13"/>
      <c r="AT783" s="13"/>
      <c r="AU783" s="13"/>
      <c r="AV783" s="13"/>
      <c r="AW783" s="13"/>
      <c r="AX783" s="13"/>
      <c r="AY783" s="15"/>
      <c r="AZ783" s="15"/>
      <c r="BA783" s="16"/>
      <c r="BB783" s="15"/>
      <c r="BC783" s="15"/>
      <c r="BD783" s="13"/>
      <c r="BE783" s="13"/>
      <c r="BF783" s="13"/>
      <c r="BG783" s="13"/>
      <c r="BH783" s="13"/>
      <c r="BI783" s="13"/>
      <c r="BJ783" s="13"/>
      <c r="BK783" s="13"/>
      <c r="BL783" s="13"/>
      <c r="BM783" s="13"/>
      <c r="BN783" s="13"/>
      <c r="BO783" s="13"/>
      <c r="BP783" s="13"/>
      <c r="BQ783" s="15"/>
      <c r="BR783" s="15"/>
      <c r="BS783" s="15"/>
      <c r="BT783" s="15"/>
      <c r="BU783" s="15"/>
      <c r="BV783" s="15"/>
      <c r="BW783" s="15"/>
      <c r="BX783" s="15"/>
      <c r="BY783" s="15"/>
      <c r="BZ783" s="15"/>
      <c r="CA783" s="15"/>
      <c r="CB783" s="17"/>
      <c r="CC783" s="17"/>
      <c r="CD783" s="18"/>
      <c r="CE783" s="18"/>
      <c r="CF783" s="18"/>
      <c r="CG783" s="18"/>
      <c r="CH783" s="18"/>
    </row>
    <row r="784">
      <c r="A784" s="15"/>
      <c r="B784" s="16"/>
      <c r="C784" s="15"/>
      <c r="D784" s="9"/>
      <c r="E784" s="15"/>
      <c r="F784" s="15"/>
      <c r="G784" s="13"/>
      <c r="H784" s="13"/>
      <c r="I784" s="13"/>
      <c r="J784" s="13"/>
      <c r="K784" s="13"/>
      <c r="L784" s="13"/>
      <c r="M784" s="13"/>
      <c r="N784" s="13"/>
      <c r="O784" s="13"/>
      <c r="P784" s="13"/>
      <c r="Q784" s="13"/>
      <c r="R784" s="13"/>
      <c r="S784" s="13"/>
      <c r="T784" s="13"/>
      <c r="U784" s="13"/>
      <c r="V784" s="13"/>
      <c r="W784" s="13"/>
      <c r="X784" s="13"/>
      <c r="Y784" s="13"/>
      <c r="Z784" s="13"/>
      <c r="AA784" s="13"/>
      <c r="AB784" s="15"/>
      <c r="AC784" s="15"/>
      <c r="AD784" s="15"/>
      <c r="AE784" s="13"/>
      <c r="AF784" s="13"/>
      <c r="AG784" s="13"/>
      <c r="AH784" s="15"/>
      <c r="AI784" s="13"/>
      <c r="AJ784" s="13"/>
      <c r="AK784" s="13"/>
      <c r="AL784" s="13"/>
      <c r="AM784" s="15"/>
      <c r="AN784" s="13"/>
      <c r="AO784" s="15"/>
      <c r="AP784" s="15"/>
      <c r="AQ784" s="13"/>
      <c r="AR784" s="13"/>
      <c r="AS784" s="13"/>
      <c r="AT784" s="13"/>
      <c r="AU784" s="13"/>
      <c r="AV784" s="13"/>
      <c r="AW784" s="13"/>
      <c r="AX784" s="13"/>
      <c r="AY784" s="15"/>
      <c r="AZ784" s="15"/>
      <c r="BA784" s="16"/>
      <c r="BB784" s="15"/>
      <c r="BC784" s="15"/>
      <c r="BD784" s="13"/>
      <c r="BE784" s="13"/>
      <c r="BF784" s="13"/>
      <c r="BG784" s="13"/>
      <c r="BH784" s="13"/>
      <c r="BI784" s="13"/>
      <c r="BJ784" s="13"/>
      <c r="BK784" s="13"/>
      <c r="BL784" s="13"/>
      <c r="BM784" s="13"/>
      <c r="BN784" s="13"/>
      <c r="BO784" s="13"/>
      <c r="BP784" s="13"/>
      <c r="BQ784" s="15"/>
      <c r="BR784" s="15"/>
      <c r="BS784" s="15"/>
      <c r="BT784" s="15"/>
      <c r="BU784" s="15"/>
      <c r="BV784" s="15"/>
      <c r="BW784" s="15"/>
      <c r="BX784" s="15"/>
      <c r="BY784" s="15"/>
      <c r="BZ784" s="15"/>
      <c r="CA784" s="15"/>
      <c r="CB784" s="17"/>
      <c r="CC784" s="17"/>
      <c r="CD784" s="18"/>
      <c r="CE784" s="18"/>
      <c r="CF784" s="18"/>
      <c r="CG784" s="18"/>
      <c r="CH784" s="18"/>
    </row>
    <row r="785">
      <c r="A785" s="15"/>
      <c r="B785" s="16"/>
      <c r="C785" s="15"/>
      <c r="D785" s="9"/>
      <c r="E785" s="15"/>
      <c r="F785" s="15"/>
      <c r="G785" s="13"/>
      <c r="H785" s="13"/>
      <c r="I785" s="13"/>
      <c r="J785" s="13"/>
      <c r="K785" s="13"/>
      <c r="L785" s="13"/>
      <c r="M785" s="13"/>
      <c r="N785" s="13"/>
      <c r="O785" s="13"/>
      <c r="P785" s="13"/>
      <c r="Q785" s="13"/>
      <c r="R785" s="13"/>
      <c r="S785" s="13"/>
      <c r="T785" s="13"/>
      <c r="U785" s="13"/>
      <c r="V785" s="13"/>
      <c r="W785" s="13"/>
      <c r="X785" s="13"/>
      <c r="Y785" s="13"/>
      <c r="Z785" s="13"/>
      <c r="AA785" s="13"/>
      <c r="AB785" s="15"/>
      <c r="AC785" s="15"/>
      <c r="AD785" s="15"/>
      <c r="AE785" s="13"/>
      <c r="AF785" s="13"/>
      <c r="AG785" s="13"/>
      <c r="AH785" s="15"/>
      <c r="AI785" s="13"/>
      <c r="AJ785" s="13"/>
      <c r="AK785" s="13"/>
      <c r="AL785" s="13"/>
      <c r="AM785" s="15"/>
      <c r="AN785" s="13"/>
      <c r="AO785" s="15"/>
      <c r="AP785" s="15"/>
      <c r="AQ785" s="13"/>
      <c r="AR785" s="13"/>
      <c r="AS785" s="13"/>
      <c r="AT785" s="13"/>
      <c r="AU785" s="13"/>
      <c r="AV785" s="13"/>
      <c r="AW785" s="13"/>
      <c r="AX785" s="13"/>
      <c r="AY785" s="15"/>
      <c r="AZ785" s="15"/>
      <c r="BA785" s="16"/>
      <c r="BB785" s="15"/>
      <c r="BC785" s="15"/>
      <c r="BD785" s="13"/>
      <c r="BE785" s="13"/>
      <c r="BF785" s="13"/>
      <c r="BG785" s="13"/>
      <c r="BH785" s="13"/>
      <c r="BI785" s="13"/>
      <c r="BJ785" s="13"/>
      <c r="BK785" s="13"/>
      <c r="BL785" s="13"/>
      <c r="BM785" s="13"/>
      <c r="BN785" s="13"/>
      <c r="BO785" s="13"/>
      <c r="BP785" s="13"/>
      <c r="BQ785" s="15"/>
      <c r="BR785" s="15"/>
      <c r="BS785" s="15"/>
      <c r="BT785" s="15"/>
      <c r="BU785" s="15"/>
      <c r="BV785" s="15"/>
      <c r="BW785" s="15"/>
      <c r="BX785" s="15"/>
      <c r="BY785" s="15"/>
      <c r="BZ785" s="15"/>
      <c r="CA785" s="15"/>
      <c r="CB785" s="17"/>
      <c r="CC785" s="17"/>
      <c r="CD785" s="18"/>
      <c r="CE785" s="18"/>
      <c r="CF785" s="18"/>
      <c r="CG785" s="18"/>
      <c r="CH785" s="18"/>
    </row>
    <row r="786">
      <c r="A786" s="15"/>
      <c r="B786" s="16"/>
      <c r="C786" s="15"/>
      <c r="D786" s="9"/>
      <c r="E786" s="15"/>
      <c r="F786" s="15"/>
      <c r="G786" s="13"/>
      <c r="H786" s="13"/>
      <c r="I786" s="13"/>
      <c r="J786" s="13"/>
      <c r="K786" s="13"/>
      <c r="L786" s="13"/>
      <c r="M786" s="13"/>
      <c r="N786" s="13"/>
      <c r="O786" s="13"/>
      <c r="P786" s="13"/>
      <c r="Q786" s="13"/>
      <c r="R786" s="13"/>
      <c r="S786" s="13"/>
      <c r="T786" s="13"/>
      <c r="U786" s="13"/>
      <c r="V786" s="13"/>
      <c r="W786" s="13"/>
      <c r="X786" s="13"/>
      <c r="Y786" s="13"/>
      <c r="Z786" s="13"/>
      <c r="AA786" s="13"/>
      <c r="AB786" s="15"/>
      <c r="AC786" s="15"/>
      <c r="AD786" s="15"/>
      <c r="AE786" s="13"/>
      <c r="AF786" s="13"/>
      <c r="AG786" s="13"/>
      <c r="AH786" s="15"/>
      <c r="AI786" s="13"/>
      <c r="AJ786" s="13"/>
      <c r="AK786" s="13"/>
      <c r="AL786" s="13"/>
      <c r="AM786" s="15"/>
      <c r="AN786" s="13"/>
      <c r="AO786" s="15"/>
      <c r="AP786" s="15"/>
      <c r="AQ786" s="13"/>
      <c r="AR786" s="13"/>
      <c r="AS786" s="13"/>
      <c r="AT786" s="13"/>
      <c r="AU786" s="13"/>
      <c r="AV786" s="13"/>
      <c r="AW786" s="13"/>
      <c r="AX786" s="13"/>
      <c r="AY786" s="15"/>
      <c r="AZ786" s="15"/>
      <c r="BA786" s="16"/>
      <c r="BB786" s="15"/>
      <c r="BC786" s="15"/>
      <c r="BD786" s="13"/>
      <c r="BE786" s="13"/>
      <c r="BF786" s="13"/>
      <c r="BG786" s="13"/>
      <c r="BH786" s="13"/>
      <c r="BI786" s="13"/>
      <c r="BJ786" s="13"/>
      <c r="BK786" s="13"/>
      <c r="BL786" s="13"/>
      <c r="BM786" s="13"/>
      <c r="BN786" s="13"/>
      <c r="BO786" s="13"/>
      <c r="BP786" s="13"/>
      <c r="BQ786" s="15"/>
      <c r="BR786" s="15"/>
      <c r="BS786" s="15"/>
      <c r="BT786" s="15"/>
      <c r="BU786" s="15"/>
      <c r="BV786" s="15"/>
      <c r="BW786" s="15"/>
      <c r="BX786" s="15"/>
      <c r="BY786" s="15"/>
      <c r="BZ786" s="15"/>
      <c r="CA786" s="15"/>
      <c r="CB786" s="17"/>
      <c r="CC786" s="17"/>
      <c r="CD786" s="18"/>
      <c r="CE786" s="18"/>
      <c r="CF786" s="18"/>
      <c r="CG786" s="18"/>
      <c r="CH786" s="18"/>
    </row>
    <row r="787">
      <c r="A787" s="15"/>
      <c r="B787" s="16"/>
      <c r="C787" s="15"/>
      <c r="D787" s="9"/>
      <c r="E787" s="15"/>
      <c r="F787" s="15"/>
      <c r="G787" s="13"/>
      <c r="H787" s="13"/>
      <c r="I787" s="13"/>
      <c r="J787" s="13"/>
      <c r="K787" s="13"/>
      <c r="L787" s="13"/>
      <c r="M787" s="13"/>
      <c r="N787" s="13"/>
      <c r="O787" s="13"/>
      <c r="P787" s="13"/>
      <c r="Q787" s="13"/>
      <c r="R787" s="13"/>
      <c r="S787" s="13"/>
      <c r="T787" s="13"/>
      <c r="U787" s="13"/>
      <c r="V787" s="13"/>
      <c r="W787" s="13"/>
      <c r="X787" s="13"/>
      <c r="Y787" s="13"/>
      <c r="Z787" s="13"/>
      <c r="AA787" s="13"/>
      <c r="AB787" s="15"/>
      <c r="AC787" s="15"/>
      <c r="AD787" s="15"/>
      <c r="AE787" s="13"/>
      <c r="AF787" s="13"/>
      <c r="AG787" s="13"/>
      <c r="AH787" s="15"/>
      <c r="AI787" s="13"/>
      <c r="AJ787" s="13"/>
      <c r="AK787" s="13"/>
      <c r="AL787" s="13"/>
      <c r="AM787" s="15"/>
      <c r="AN787" s="13"/>
      <c r="AO787" s="15"/>
      <c r="AP787" s="15"/>
      <c r="AQ787" s="13"/>
      <c r="AR787" s="13"/>
      <c r="AS787" s="13"/>
      <c r="AT787" s="13"/>
      <c r="AU787" s="13"/>
      <c r="AV787" s="13"/>
      <c r="AW787" s="13"/>
      <c r="AX787" s="13"/>
      <c r="AY787" s="15"/>
      <c r="AZ787" s="15"/>
      <c r="BA787" s="16"/>
      <c r="BB787" s="15"/>
      <c r="BC787" s="15"/>
      <c r="BD787" s="13"/>
      <c r="BE787" s="13"/>
      <c r="BF787" s="13"/>
      <c r="BG787" s="13"/>
      <c r="BH787" s="13"/>
      <c r="BI787" s="13"/>
      <c r="BJ787" s="13"/>
      <c r="BK787" s="13"/>
      <c r="BL787" s="13"/>
      <c r="BM787" s="13"/>
      <c r="BN787" s="13"/>
      <c r="BO787" s="13"/>
      <c r="BP787" s="13"/>
      <c r="BQ787" s="15"/>
      <c r="BR787" s="15"/>
      <c r="BS787" s="15"/>
      <c r="BT787" s="15"/>
      <c r="BU787" s="15"/>
      <c r="BV787" s="15"/>
      <c r="BW787" s="15"/>
      <c r="BX787" s="15"/>
      <c r="BY787" s="15"/>
      <c r="BZ787" s="15"/>
      <c r="CA787" s="15"/>
      <c r="CB787" s="17"/>
      <c r="CC787" s="17"/>
      <c r="CD787" s="18"/>
      <c r="CE787" s="18"/>
      <c r="CF787" s="18"/>
      <c r="CG787" s="18"/>
      <c r="CH787" s="18"/>
    </row>
    <row r="788">
      <c r="A788" s="15"/>
      <c r="B788" s="16"/>
      <c r="C788" s="15"/>
      <c r="D788" s="9"/>
      <c r="E788" s="15"/>
      <c r="F788" s="15"/>
      <c r="G788" s="13"/>
      <c r="H788" s="13"/>
      <c r="I788" s="13"/>
      <c r="J788" s="13"/>
      <c r="K788" s="13"/>
      <c r="L788" s="13"/>
      <c r="M788" s="13"/>
      <c r="N788" s="13"/>
      <c r="O788" s="13"/>
      <c r="P788" s="13"/>
      <c r="Q788" s="13"/>
      <c r="R788" s="13"/>
      <c r="S788" s="13"/>
      <c r="T788" s="13"/>
      <c r="U788" s="13"/>
      <c r="V788" s="13"/>
      <c r="W788" s="13"/>
      <c r="X788" s="13"/>
      <c r="Y788" s="13"/>
      <c r="Z788" s="13"/>
      <c r="AA788" s="13"/>
      <c r="AB788" s="15"/>
      <c r="AC788" s="15"/>
      <c r="AD788" s="15"/>
      <c r="AE788" s="13"/>
      <c r="AF788" s="13"/>
      <c r="AG788" s="13"/>
      <c r="AH788" s="15"/>
      <c r="AI788" s="13"/>
      <c r="AJ788" s="13"/>
      <c r="AK788" s="13"/>
      <c r="AL788" s="13"/>
      <c r="AM788" s="15"/>
      <c r="AN788" s="13"/>
      <c r="AO788" s="15"/>
      <c r="AP788" s="15"/>
      <c r="AQ788" s="13"/>
      <c r="AR788" s="13"/>
      <c r="AS788" s="13"/>
      <c r="AT788" s="13"/>
      <c r="AU788" s="13"/>
      <c r="AV788" s="13"/>
      <c r="AW788" s="13"/>
      <c r="AX788" s="13"/>
      <c r="AY788" s="15"/>
      <c r="AZ788" s="15"/>
      <c r="BA788" s="16"/>
      <c r="BB788" s="15"/>
      <c r="BC788" s="15"/>
      <c r="BD788" s="13"/>
      <c r="BE788" s="13"/>
      <c r="BF788" s="13"/>
      <c r="BG788" s="13"/>
      <c r="BH788" s="13"/>
      <c r="BI788" s="13"/>
      <c r="BJ788" s="13"/>
      <c r="BK788" s="13"/>
      <c r="BL788" s="13"/>
      <c r="BM788" s="13"/>
      <c r="BN788" s="13"/>
      <c r="BO788" s="13"/>
      <c r="BP788" s="13"/>
      <c r="BQ788" s="15"/>
      <c r="BR788" s="15"/>
      <c r="BS788" s="15"/>
      <c r="BT788" s="15"/>
      <c r="BU788" s="15"/>
      <c r="BV788" s="15"/>
      <c r="BW788" s="15"/>
      <c r="BX788" s="15"/>
      <c r="BY788" s="15"/>
      <c r="BZ788" s="15"/>
      <c r="CA788" s="15"/>
      <c r="CB788" s="17"/>
      <c r="CC788" s="17"/>
      <c r="CD788" s="18"/>
      <c r="CE788" s="18"/>
      <c r="CF788" s="18"/>
      <c r="CG788" s="18"/>
      <c r="CH788" s="18"/>
    </row>
    <row r="789">
      <c r="A789" s="15"/>
      <c r="B789" s="16"/>
      <c r="C789" s="15"/>
      <c r="D789" s="9"/>
      <c r="E789" s="15"/>
      <c r="F789" s="15"/>
      <c r="G789" s="13"/>
      <c r="H789" s="13"/>
      <c r="I789" s="13"/>
      <c r="J789" s="13"/>
      <c r="K789" s="13"/>
      <c r="L789" s="13"/>
      <c r="M789" s="13"/>
      <c r="N789" s="13"/>
      <c r="O789" s="13"/>
      <c r="P789" s="13"/>
      <c r="Q789" s="13"/>
      <c r="R789" s="13"/>
      <c r="S789" s="13"/>
      <c r="T789" s="13"/>
      <c r="U789" s="13"/>
      <c r="V789" s="13"/>
      <c r="W789" s="13"/>
      <c r="X789" s="13"/>
      <c r="Y789" s="13"/>
      <c r="Z789" s="13"/>
      <c r="AA789" s="13"/>
      <c r="AB789" s="15"/>
      <c r="AC789" s="15"/>
      <c r="AD789" s="15"/>
      <c r="AE789" s="13"/>
      <c r="AF789" s="13"/>
      <c r="AG789" s="13"/>
      <c r="AH789" s="15"/>
      <c r="AI789" s="13"/>
      <c r="AJ789" s="13"/>
      <c r="AK789" s="13"/>
      <c r="AL789" s="13"/>
      <c r="AM789" s="15"/>
      <c r="AN789" s="13"/>
      <c r="AO789" s="15"/>
      <c r="AP789" s="15"/>
      <c r="AQ789" s="13"/>
      <c r="AR789" s="13"/>
      <c r="AS789" s="13"/>
      <c r="AT789" s="13"/>
      <c r="AU789" s="13"/>
      <c r="AV789" s="13"/>
      <c r="AW789" s="13"/>
      <c r="AX789" s="13"/>
      <c r="AY789" s="15"/>
      <c r="AZ789" s="15"/>
      <c r="BA789" s="16"/>
      <c r="BB789" s="15"/>
      <c r="BC789" s="15"/>
      <c r="BD789" s="13"/>
      <c r="BE789" s="13"/>
      <c r="BF789" s="13"/>
      <c r="BG789" s="13"/>
      <c r="BH789" s="13"/>
      <c r="BI789" s="13"/>
      <c r="BJ789" s="13"/>
      <c r="BK789" s="13"/>
      <c r="BL789" s="13"/>
      <c r="BM789" s="13"/>
      <c r="BN789" s="13"/>
      <c r="BO789" s="13"/>
      <c r="BP789" s="13"/>
      <c r="BQ789" s="15"/>
      <c r="BR789" s="15"/>
      <c r="BS789" s="15"/>
      <c r="BT789" s="15"/>
      <c r="BU789" s="15"/>
      <c r="BV789" s="15"/>
      <c r="BW789" s="15"/>
      <c r="BX789" s="15"/>
      <c r="BY789" s="15"/>
      <c r="BZ789" s="15"/>
      <c r="CA789" s="15"/>
      <c r="CB789" s="17"/>
      <c r="CC789" s="17"/>
      <c r="CD789" s="18"/>
      <c r="CE789" s="18"/>
      <c r="CF789" s="18"/>
      <c r="CG789" s="18"/>
      <c r="CH789" s="18"/>
    </row>
    <row r="790">
      <c r="A790" s="15"/>
      <c r="B790" s="16"/>
      <c r="C790" s="15"/>
      <c r="D790" s="9"/>
      <c r="E790" s="15"/>
      <c r="F790" s="15"/>
      <c r="G790" s="13"/>
      <c r="H790" s="13"/>
      <c r="I790" s="13"/>
      <c r="J790" s="13"/>
      <c r="K790" s="13"/>
      <c r="L790" s="13"/>
      <c r="M790" s="13"/>
      <c r="N790" s="13"/>
      <c r="O790" s="13"/>
      <c r="P790" s="13"/>
      <c r="Q790" s="13"/>
      <c r="R790" s="13"/>
      <c r="S790" s="13"/>
      <c r="T790" s="13"/>
      <c r="U790" s="13"/>
      <c r="V790" s="13"/>
      <c r="W790" s="13"/>
      <c r="X790" s="13"/>
      <c r="Y790" s="13"/>
      <c r="Z790" s="13"/>
      <c r="AA790" s="13"/>
      <c r="AB790" s="15"/>
      <c r="AC790" s="15"/>
      <c r="AD790" s="15"/>
      <c r="AE790" s="13"/>
      <c r="AF790" s="13"/>
      <c r="AG790" s="13"/>
      <c r="AH790" s="15"/>
      <c r="AI790" s="13"/>
      <c r="AJ790" s="13"/>
      <c r="AK790" s="13"/>
      <c r="AL790" s="13"/>
      <c r="AM790" s="15"/>
      <c r="AN790" s="13"/>
      <c r="AO790" s="15"/>
      <c r="AP790" s="15"/>
      <c r="AQ790" s="13"/>
      <c r="AR790" s="13"/>
      <c r="AS790" s="13"/>
      <c r="AT790" s="13"/>
      <c r="AU790" s="13"/>
      <c r="AV790" s="13"/>
      <c r="AW790" s="13"/>
      <c r="AX790" s="13"/>
      <c r="AY790" s="15"/>
      <c r="AZ790" s="15"/>
      <c r="BA790" s="16"/>
      <c r="BB790" s="15"/>
      <c r="BC790" s="15"/>
      <c r="BD790" s="13"/>
      <c r="BE790" s="13"/>
      <c r="BF790" s="13"/>
      <c r="BG790" s="13"/>
      <c r="BH790" s="13"/>
      <c r="BI790" s="13"/>
      <c r="BJ790" s="13"/>
      <c r="BK790" s="13"/>
      <c r="BL790" s="13"/>
      <c r="BM790" s="13"/>
      <c r="BN790" s="13"/>
      <c r="BO790" s="13"/>
      <c r="BP790" s="13"/>
      <c r="BQ790" s="15"/>
      <c r="BR790" s="15"/>
      <c r="BS790" s="15"/>
      <c r="BT790" s="15"/>
      <c r="BU790" s="15"/>
      <c r="BV790" s="15"/>
      <c r="BW790" s="15"/>
      <c r="BX790" s="15"/>
      <c r="BY790" s="15"/>
      <c r="BZ790" s="15"/>
      <c r="CA790" s="15"/>
      <c r="CB790" s="17"/>
      <c r="CC790" s="17"/>
      <c r="CD790" s="18"/>
      <c r="CE790" s="18"/>
      <c r="CF790" s="18"/>
      <c r="CG790" s="18"/>
      <c r="CH790" s="18"/>
    </row>
    <row r="791">
      <c r="A791" s="15"/>
      <c r="B791" s="16"/>
      <c r="C791" s="15"/>
      <c r="D791" s="9"/>
      <c r="E791" s="15"/>
      <c r="F791" s="15"/>
      <c r="G791" s="13"/>
      <c r="H791" s="13"/>
      <c r="I791" s="13"/>
      <c r="J791" s="13"/>
      <c r="K791" s="13"/>
      <c r="L791" s="13"/>
      <c r="M791" s="13"/>
      <c r="N791" s="13"/>
      <c r="O791" s="13"/>
      <c r="P791" s="13"/>
      <c r="Q791" s="13"/>
      <c r="R791" s="13"/>
      <c r="S791" s="13"/>
      <c r="T791" s="13"/>
      <c r="U791" s="13"/>
      <c r="V791" s="13"/>
      <c r="W791" s="13"/>
      <c r="X791" s="13"/>
      <c r="Y791" s="13"/>
      <c r="Z791" s="13"/>
      <c r="AA791" s="13"/>
      <c r="AB791" s="15"/>
      <c r="AC791" s="15"/>
      <c r="AD791" s="15"/>
      <c r="AE791" s="13"/>
      <c r="AF791" s="13"/>
      <c r="AG791" s="13"/>
      <c r="AH791" s="15"/>
      <c r="AI791" s="13"/>
      <c r="AJ791" s="13"/>
      <c r="AK791" s="13"/>
      <c r="AL791" s="13"/>
      <c r="AM791" s="15"/>
      <c r="AN791" s="13"/>
      <c r="AO791" s="15"/>
      <c r="AP791" s="15"/>
      <c r="AQ791" s="13"/>
      <c r="AR791" s="13"/>
      <c r="AS791" s="13"/>
      <c r="AT791" s="13"/>
      <c r="AU791" s="13"/>
      <c r="AV791" s="13"/>
      <c r="AW791" s="13"/>
      <c r="AX791" s="13"/>
      <c r="AY791" s="15"/>
      <c r="AZ791" s="15"/>
      <c r="BA791" s="16"/>
      <c r="BB791" s="15"/>
      <c r="BC791" s="15"/>
      <c r="BD791" s="13"/>
      <c r="BE791" s="13"/>
      <c r="BF791" s="13"/>
      <c r="BG791" s="13"/>
      <c r="BH791" s="13"/>
      <c r="BI791" s="13"/>
      <c r="BJ791" s="13"/>
      <c r="BK791" s="13"/>
      <c r="BL791" s="13"/>
      <c r="BM791" s="13"/>
      <c r="BN791" s="13"/>
      <c r="BO791" s="13"/>
      <c r="BP791" s="13"/>
      <c r="BQ791" s="15"/>
      <c r="BR791" s="15"/>
      <c r="BS791" s="15"/>
      <c r="BT791" s="15"/>
      <c r="BU791" s="15"/>
      <c r="BV791" s="15"/>
      <c r="BW791" s="15"/>
      <c r="BX791" s="15"/>
      <c r="BY791" s="15"/>
      <c r="BZ791" s="15"/>
      <c r="CA791" s="15"/>
      <c r="CB791" s="17"/>
      <c r="CC791" s="17"/>
      <c r="CD791" s="18"/>
      <c r="CE791" s="18"/>
      <c r="CF791" s="18"/>
      <c r="CG791" s="18"/>
      <c r="CH791" s="18"/>
    </row>
    <row r="792">
      <c r="A792" s="15"/>
      <c r="B792" s="16"/>
      <c r="C792" s="15"/>
      <c r="D792" s="9"/>
      <c r="E792" s="15"/>
      <c r="F792" s="15"/>
      <c r="G792" s="13"/>
      <c r="H792" s="13"/>
      <c r="I792" s="13"/>
      <c r="J792" s="13"/>
      <c r="K792" s="13"/>
      <c r="L792" s="13"/>
      <c r="M792" s="13"/>
      <c r="N792" s="13"/>
      <c r="O792" s="13"/>
      <c r="P792" s="13"/>
      <c r="Q792" s="13"/>
      <c r="R792" s="13"/>
      <c r="S792" s="13"/>
      <c r="T792" s="13"/>
      <c r="U792" s="13"/>
      <c r="V792" s="13"/>
      <c r="W792" s="13"/>
      <c r="X792" s="13"/>
      <c r="Y792" s="13"/>
      <c r="Z792" s="13"/>
      <c r="AA792" s="13"/>
      <c r="AB792" s="15"/>
      <c r="AC792" s="15"/>
      <c r="AD792" s="15"/>
      <c r="AE792" s="13"/>
      <c r="AF792" s="13"/>
      <c r="AG792" s="13"/>
      <c r="AH792" s="15"/>
      <c r="AI792" s="13"/>
      <c r="AJ792" s="13"/>
      <c r="AK792" s="13"/>
      <c r="AL792" s="13"/>
      <c r="AM792" s="15"/>
      <c r="AN792" s="13"/>
      <c r="AO792" s="15"/>
      <c r="AP792" s="15"/>
      <c r="AQ792" s="13"/>
      <c r="AR792" s="13"/>
      <c r="AS792" s="13"/>
      <c r="AT792" s="13"/>
      <c r="AU792" s="13"/>
      <c r="AV792" s="13"/>
      <c r="AW792" s="13"/>
      <c r="AX792" s="13"/>
      <c r="AY792" s="15"/>
      <c r="AZ792" s="15"/>
      <c r="BA792" s="16"/>
      <c r="BB792" s="15"/>
      <c r="BC792" s="15"/>
      <c r="BD792" s="13"/>
      <c r="BE792" s="13"/>
      <c r="BF792" s="13"/>
      <c r="BG792" s="13"/>
      <c r="BH792" s="13"/>
      <c r="BI792" s="13"/>
      <c r="BJ792" s="13"/>
      <c r="BK792" s="13"/>
      <c r="BL792" s="13"/>
      <c r="BM792" s="13"/>
      <c r="BN792" s="13"/>
      <c r="BO792" s="13"/>
      <c r="BP792" s="13"/>
      <c r="BQ792" s="15"/>
      <c r="BR792" s="15"/>
      <c r="BS792" s="15"/>
      <c r="BT792" s="15"/>
      <c r="BU792" s="15"/>
      <c r="BV792" s="15"/>
      <c r="BW792" s="15"/>
      <c r="BX792" s="15"/>
      <c r="BY792" s="15"/>
      <c r="BZ792" s="15"/>
      <c r="CA792" s="15"/>
      <c r="CB792" s="17"/>
      <c r="CC792" s="17"/>
      <c r="CD792" s="18"/>
      <c r="CE792" s="18"/>
      <c r="CF792" s="18"/>
      <c r="CG792" s="18"/>
      <c r="CH792" s="18"/>
    </row>
    <row r="793">
      <c r="A793" s="15"/>
      <c r="B793" s="16"/>
      <c r="C793" s="15"/>
      <c r="D793" s="9"/>
      <c r="E793" s="15"/>
      <c r="F793" s="15"/>
      <c r="G793" s="13"/>
      <c r="H793" s="13"/>
      <c r="I793" s="13"/>
      <c r="J793" s="13"/>
      <c r="K793" s="13"/>
      <c r="L793" s="13"/>
      <c r="M793" s="13"/>
      <c r="N793" s="13"/>
      <c r="O793" s="13"/>
      <c r="P793" s="13"/>
      <c r="Q793" s="13"/>
      <c r="R793" s="13"/>
      <c r="S793" s="13"/>
      <c r="T793" s="13"/>
      <c r="U793" s="13"/>
      <c r="V793" s="13"/>
      <c r="W793" s="13"/>
      <c r="X793" s="13"/>
      <c r="Y793" s="13"/>
      <c r="Z793" s="13"/>
      <c r="AA793" s="13"/>
      <c r="AB793" s="15"/>
      <c r="AC793" s="15"/>
      <c r="AD793" s="15"/>
      <c r="AE793" s="13"/>
      <c r="AF793" s="13"/>
      <c r="AG793" s="13"/>
      <c r="AH793" s="15"/>
      <c r="AI793" s="13"/>
      <c r="AJ793" s="13"/>
      <c r="AK793" s="13"/>
      <c r="AL793" s="13"/>
      <c r="AM793" s="15"/>
      <c r="AN793" s="13"/>
      <c r="AO793" s="15"/>
      <c r="AP793" s="15"/>
      <c r="AQ793" s="13"/>
      <c r="AR793" s="13"/>
      <c r="AS793" s="13"/>
      <c r="AT793" s="13"/>
      <c r="AU793" s="13"/>
      <c r="AV793" s="13"/>
      <c r="AW793" s="13"/>
      <c r="AX793" s="13"/>
      <c r="AY793" s="15"/>
      <c r="AZ793" s="15"/>
      <c r="BA793" s="16"/>
      <c r="BB793" s="15"/>
      <c r="BC793" s="15"/>
      <c r="BD793" s="13"/>
      <c r="BE793" s="13"/>
      <c r="BF793" s="13"/>
      <c r="BG793" s="13"/>
      <c r="BH793" s="13"/>
      <c r="BI793" s="13"/>
      <c r="BJ793" s="13"/>
      <c r="BK793" s="13"/>
      <c r="BL793" s="13"/>
      <c r="BM793" s="13"/>
      <c r="BN793" s="13"/>
      <c r="BO793" s="13"/>
      <c r="BP793" s="13"/>
      <c r="BQ793" s="15"/>
      <c r="BR793" s="15"/>
      <c r="BS793" s="15"/>
      <c r="BT793" s="15"/>
      <c r="BU793" s="15"/>
      <c r="BV793" s="15"/>
      <c r="BW793" s="15"/>
      <c r="BX793" s="15"/>
      <c r="BY793" s="15"/>
      <c r="BZ793" s="15"/>
      <c r="CA793" s="15"/>
      <c r="CB793" s="17"/>
      <c r="CC793" s="17"/>
      <c r="CD793" s="18"/>
      <c r="CE793" s="18"/>
      <c r="CF793" s="18"/>
      <c r="CG793" s="18"/>
      <c r="CH793" s="18"/>
    </row>
    <row r="794">
      <c r="A794" s="15"/>
      <c r="B794" s="16"/>
      <c r="C794" s="15"/>
      <c r="D794" s="9"/>
      <c r="E794" s="15"/>
      <c r="F794" s="15"/>
      <c r="G794" s="13"/>
      <c r="H794" s="13"/>
      <c r="I794" s="13"/>
      <c r="J794" s="13"/>
      <c r="K794" s="13"/>
      <c r="L794" s="13"/>
      <c r="M794" s="13"/>
      <c r="N794" s="13"/>
      <c r="O794" s="13"/>
      <c r="P794" s="13"/>
      <c r="Q794" s="13"/>
      <c r="R794" s="13"/>
      <c r="S794" s="13"/>
      <c r="T794" s="13"/>
      <c r="U794" s="13"/>
      <c r="V794" s="13"/>
      <c r="W794" s="13"/>
      <c r="X794" s="13"/>
      <c r="Y794" s="13"/>
      <c r="Z794" s="13"/>
      <c r="AA794" s="13"/>
      <c r="AB794" s="15"/>
      <c r="AC794" s="15"/>
      <c r="AD794" s="15"/>
      <c r="AE794" s="13"/>
      <c r="AF794" s="13"/>
      <c r="AG794" s="13"/>
      <c r="AH794" s="15"/>
      <c r="AI794" s="13"/>
      <c r="AJ794" s="13"/>
      <c r="AK794" s="13"/>
      <c r="AL794" s="13"/>
      <c r="AM794" s="15"/>
      <c r="AN794" s="13"/>
      <c r="AO794" s="15"/>
      <c r="AP794" s="15"/>
      <c r="AQ794" s="13"/>
      <c r="AR794" s="13"/>
      <c r="AS794" s="13"/>
      <c r="AT794" s="13"/>
      <c r="AU794" s="13"/>
      <c r="AV794" s="13"/>
      <c r="AW794" s="13"/>
      <c r="AX794" s="13"/>
      <c r="AY794" s="15"/>
      <c r="AZ794" s="15"/>
      <c r="BA794" s="16"/>
      <c r="BB794" s="15"/>
      <c r="BC794" s="15"/>
      <c r="BD794" s="13"/>
      <c r="BE794" s="13"/>
      <c r="BF794" s="13"/>
      <c r="BG794" s="13"/>
      <c r="BH794" s="13"/>
      <c r="BI794" s="13"/>
      <c r="BJ794" s="13"/>
      <c r="BK794" s="13"/>
      <c r="BL794" s="13"/>
      <c r="BM794" s="13"/>
      <c r="BN794" s="13"/>
      <c r="BO794" s="13"/>
      <c r="BP794" s="13"/>
      <c r="BQ794" s="15"/>
      <c r="BR794" s="15"/>
      <c r="BS794" s="15"/>
      <c r="BT794" s="15"/>
      <c r="BU794" s="15"/>
      <c r="BV794" s="15"/>
      <c r="BW794" s="15"/>
      <c r="BX794" s="15"/>
      <c r="BY794" s="15"/>
      <c r="BZ794" s="15"/>
      <c r="CA794" s="15"/>
      <c r="CB794" s="17"/>
      <c r="CC794" s="17"/>
      <c r="CD794" s="18"/>
      <c r="CE794" s="18"/>
      <c r="CF794" s="18"/>
      <c r="CG794" s="18"/>
      <c r="CH794" s="18"/>
    </row>
    <row r="795">
      <c r="A795" s="15"/>
      <c r="B795" s="16"/>
      <c r="C795" s="15"/>
      <c r="D795" s="9"/>
      <c r="E795" s="15"/>
      <c r="F795" s="15"/>
      <c r="G795" s="13"/>
      <c r="H795" s="13"/>
      <c r="I795" s="13"/>
      <c r="J795" s="13"/>
      <c r="K795" s="13"/>
      <c r="L795" s="13"/>
      <c r="M795" s="13"/>
      <c r="N795" s="13"/>
      <c r="O795" s="13"/>
      <c r="P795" s="13"/>
      <c r="Q795" s="13"/>
      <c r="R795" s="13"/>
      <c r="S795" s="13"/>
      <c r="T795" s="13"/>
      <c r="U795" s="13"/>
      <c r="V795" s="13"/>
      <c r="W795" s="13"/>
      <c r="X795" s="13"/>
      <c r="Y795" s="13"/>
      <c r="Z795" s="13"/>
      <c r="AA795" s="13"/>
      <c r="AB795" s="15"/>
      <c r="AC795" s="15"/>
      <c r="AD795" s="15"/>
      <c r="AE795" s="13"/>
      <c r="AF795" s="13"/>
      <c r="AG795" s="13"/>
      <c r="AH795" s="15"/>
      <c r="AI795" s="13"/>
      <c r="AJ795" s="13"/>
      <c r="AK795" s="13"/>
      <c r="AL795" s="13"/>
      <c r="AM795" s="15"/>
      <c r="AN795" s="13"/>
      <c r="AO795" s="15"/>
      <c r="AP795" s="15"/>
      <c r="AQ795" s="13"/>
      <c r="AR795" s="13"/>
      <c r="AS795" s="13"/>
      <c r="AT795" s="13"/>
      <c r="AU795" s="13"/>
      <c r="AV795" s="13"/>
      <c r="AW795" s="13"/>
      <c r="AX795" s="13"/>
      <c r="AY795" s="15"/>
      <c r="AZ795" s="15"/>
      <c r="BA795" s="16"/>
      <c r="BB795" s="15"/>
      <c r="BC795" s="15"/>
      <c r="BD795" s="13"/>
      <c r="BE795" s="13"/>
      <c r="BF795" s="13"/>
      <c r="BG795" s="13"/>
      <c r="BH795" s="13"/>
      <c r="BI795" s="13"/>
      <c r="BJ795" s="13"/>
      <c r="BK795" s="13"/>
      <c r="BL795" s="13"/>
      <c r="BM795" s="13"/>
      <c r="BN795" s="13"/>
      <c r="BO795" s="13"/>
      <c r="BP795" s="13"/>
      <c r="BQ795" s="15"/>
      <c r="BR795" s="15"/>
      <c r="BS795" s="15"/>
      <c r="BT795" s="15"/>
      <c r="BU795" s="15"/>
      <c r="BV795" s="15"/>
      <c r="BW795" s="15"/>
      <c r="BX795" s="15"/>
      <c r="BY795" s="15"/>
      <c r="BZ795" s="15"/>
      <c r="CA795" s="15"/>
      <c r="CB795" s="17"/>
      <c r="CC795" s="17"/>
      <c r="CD795" s="18"/>
      <c r="CE795" s="18"/>
      <c r="CF795" s="18"/>
      <c r="CG795" s="18"/>
      <c r="CH795" s="18"/>
    </row>
    <row r="796">
      <c r="A796" s="15"/>
      <c r="B796" s="16"/>
      <c r="C796" s="15"/>
      <c r="D796" s="9"/>
      <c r="E796" s="15"/>
      <c r="F796" s="15"/>
      <c r="G796" s="13"/>
      <c r="H796" s="13"/>
      <c r="I796" s="13"/>
      <c r="J796" s="13"/>
      <c r="K796" s="13"/>
      <c r="L796" s="13"/>
      <c r="M796" s="13"/>
      <c r="N796" s="13"/>
      <c r="O796" s="13"/>
      <c r="P796" s="13"/>
      <c r="Q796" s="13"/>
      <c r="R796" s="13"/>
      <c r="S796" s="13"/>
      <c r="T796" s="13"/>
      <c r="U796" s="13"/>
      <c r="V796" s="13"/>
      <c r="W796" s="13"/>
      <c r="X796" s="13"/>
      <c r="Y796" s="13"/>
      <c r="Z796" s="13"/>
      <c r="AA796" s="13"/>
      <c r="AB796" s="15"/>
      <c r="AC796" s="15"/>
      <c r="AD796" s="15"/>
      <c r="AE796" s="13"/>
      <c r="AF796" s="13"/>
      <c r="AG796" s="13"/>
      <c r="AH796" s="15"/>
      <c r="AI796" s="13"/>
      <c r="AJ796" s="13"/>
      <c r="AK796" s="13"/>
      <c r="AL796" s="13"/>
      <c r="AM796" s="15"/>
      <c r="AN796" s="13"/>
      <c r="AO796" s="15"/>
      <c r="AP796" s="15"/>
      <c r="AQ796" s="13"/>
      <c r="AR796" s="13"/>
      <c r="AS796" s="13"/>
      <c r="AT796" s="13"/>
      <c r="AU796" s="13"/>
      <c r="AV796" s="13"/>
      <c r="AW796" s="13"/>
      <c r="AX796" s="13"/>
      <c r="AY796" s="15"/>
      <c r="AZ796" s="15"/>
      <c r="BA796" s="16"/>
      <c r="BB796" s="15"/>
      <c r="BC796" s="15"/>
      <c r="BD796" s="13"/>
      <c r="BE796" s="13"/>
      <c r="BF796" s="13"/>
      <c r="BG796" s="13"/>
      <c r="BH796" s="13"/>
      <c r="BI796" s="13"/>
      <c r="BJ796" s="13"/>
      <c r="BK796" s="13"/>
      <c r="BL796" s="13"/>
      <c r="BM796" s="13"/>
      <c r="BN796" s="13"/>
      <c r="BO796" s="13"/>
      <c r="BP796" s="13"/>
      <c r="BQ796" s="15"/>
      <c r="BR796" s="15"/>
      <c r="BS796" s="15"/>
      <c r="BT796" s="15"/>
      <c r="BU796" s="15"/>
      <c r="BV796" s="15"/>
      <c r="BW796" s="15"/>
      <c r="BX796" s="15"/>
      <c r="BY796" s="15"/>
      <c r="BZ796" s="15"/>
      <c r="CA796" s="15"/>
      <c r="CB796" s="17"/>
      <c r="CC796" s="17"/>
      <c r="CD796" s="18"/>
      <c r="CE796" s="18"/>
      <c r="CF796" s="18"/>
      <c r="CG796" s="18"/>
      <c r="CH796" s="18"/>
    </row>
    <row r="797">
      <c r="A797" s="15"/>
      <c r="B797" s="16"/>
      <c r="C797" s="15"/>
      <c r="D797" s="9"/>
      <c r="E797" s="15"/>
      <c r="F797" s="15"/>
      <c r="G797" s="13"/>
      <c r="H797" s="13"/>
      <c r="I797" s="13"/>
      <c r="J797" s="13"/>
      <c r="K797" s="13"/>
      <c r="L797" s="13"/>
      <c r="M797" s="13"/>
      <c r="N797" s="13"/>
      <c r="O797" s="13"/>
      <c r="P797" s="13"/>
      <c r="Q797" s="13"/>
      <c r="R797" s="13"/>
      <c r="S797" s="13"/>
      <c r="T797" s="13"/>
      <c r="U797" s="13"/>
      <c r="V797" s="13"/>
      <c r="W797" s="13"/>
      <c r="X797" s="13"/>
      <c r="Y797" s="13"/>
      <c r="Z797" s="13"/>
      <c r="AA797" s="13"/>
      <c r="AB797" s="15"/>
      <c r="AC797" s="15"/>
      <c r="AD797" s="15"/>
      <c r="AE797" s="13"/>
      <c r="AF797" s="13"/>
      <c r="AG797" s="13"/>
      <c r="AH797" s="15"/>
      <c r="AI797" s="13"/>
      <c r="AJ797" s="13"/>
      <c r="AK797" s="13"/>
      <c r="AL797" s="13"/>
      <c r="AM797" s="15"/>
      <c r="AN797" s="13"/>
      <c r="AO797" s="15"/>
      <c r="AP797" s="15"/>
      <c r="AQ797" s="13"/>
      <c r="AR797" s="13"/>
      <c r="AS797" s="13"/>
      <c r="AT797" s="13"/>
      <c r="AU797" s="13"/>
      <c r="AV797" s="13"/>
      <c r="AW797" s="13"/>
      <c r="AX797" s="13"/>
      <c r="AY797" s="15"/>
      <c r="AZ797" s="15"/>
      <c r="BA797" s="16"/>
      <c r="BB797" s="15"/>
      <c r="BC797" s="15"/>
      <c r="BD797" s="13"/>
      <c r="BE797" s="13"/>
      <c r="BF797" s="13"/>
      <c r="BG797" s="13"/>
      <c r="BH797" s="13"/>
      <c r="BI797" s="13"/>
      <c r="BJ797" s="13"/>
      <c r="BK797" s="13"/>
      <c r="BL797" s="13"/>
      <c r="BM797" s="13"/>
      <c r="BN797" s="13"/>
      <c r="BO797" s="13"/>
      <c r="BP797" s="13"/>
      <c r="BQ797" s="15"/>
      <c r="BR797" s="15"/>
      <c r="BS797" s="15"/>
      <c r="BT797" s="15"/>
      <c r="BU797" s="15"/>
      <c r="BV797" s="15"/>
      <c r="BW797" s="15"/>
      <c r="BX797" s="15"/>
      <c r="BY797" s="15"/>
      <c r="BZ797" s="15"/>
      <c r="CA797" s="15"/>
      <c r="CB797" s="17"/>
      <c r="CC797" s="17"/>
      <c r="CD797" s="18"/>
      <c r="CE797" s="18"/>
      <c r="CF797" s="18"/>
      <c r="CG797" s="18"/>
      <c r="CH797" s="18"/>
    </row>
    <row r="798">
      <c r="A798" s="15"/>
      <c r="B798" s="16"/>
      <c r="C798" s="15"/>
      <c r="D798" s="9"/>
      <c r="E798" s="15"/>
      <c r="F798" s="15"/>
      <c r="G798" s="13"/>
      <c r="H798" s="13"/>
      <c r="I798" s="13"/>
      <c r="J798" s="13"/>
      <c r="K798" s="13"/>
      <c r="L798" s="13"/>
      <c r="M798" s="13"/>
      <c r="N798" s="13"/>
      <c r="O798" s="13"/>
      <c r="P798" s="13"/>
      <c r="Q798" s="13"/>
      <c r="R798" s="13"/>
      <c r="S798" s="13"/>
      <c r="T798" s="13"/>
      <c r="U798" s="13"/>
      <c r="V798" s="13"/>
      <c r="W798" s="13"/>
      <c r="X798" s="13"/>
      <c r="Y798" s="13"/>
      <c r="Z798" s="13"/>
      <c r="AA798" s="13"/>
      <c r="AB798" s="15"/>
      <c r="AC798" s="15"/>
      <c r="AD798" s="15"/>
      <c r="AE798" s="13"/>
      <c r="AF798" s="13"/>
      <c r="AG798" s="13"/>
      <c r="AH798" s="15"/>
      <c r="AI798" s="13"/>
      <c r="AJ798" s="13"/>
      <c r="AK798" s="13"/>
      <c r="AL798" s="13"/>
      <c r="AM798" s="15"/>
      <c r="AN798" s="13"/>
      <c r="AO798" s="15"/>
      <c r="AP798" s="15"/>
      <c r="AQ798" s="13"/>
      <c r="AR798" s="13"/>
      <c r="AS798" s="13"/>
      <c r="AT798" s="13"/>
      <c r="AU798" s="13"/>
      <c r="AV798" s="13"/>
      <c r="AW798" s="13"/>
      <c r="AX798" s="13"/>
      <c r="AY798" s="15"/>
      <c r="AZ798" s="15"/>
      <c r="BA798" s="16"/>
      <c r="BB798" s="15"/>
      <c r="BC798" s="15"/>
      <c r="BD798" s="13"/>
      <c r="BE798" s="13"/>
      <c r="BF798" s="13"/>
      <c r="BG798" s="13"/>
      <c r="BH798" s="13"/>
      <c r="BI798" s="13"/>
      <c r="BJ798" s="13"/>
      <c r="BK798" s="13"/>
      <c r="BL798" s="13"/>
      <c r="BM798" s="13"/>
      <c r="BN798" s="13"/>
      <c r="BO798" s="13"/>
      <c r="BP798" s="13"/>
      <c r="BQ798" s="15"/>
      <c r="BR798" s="15"/>
      <c r="BS798" s="15"/>
      <c r="BT798" s="15"/>
      <c r="BU798" s="15"/>
      <c r="BV798" s="15"/>
      <c r="BW798" s="15"/>
      <c r="BX798" s="15"/>
      <c r="BY798" s="15"/>
      <c r="BZ798" s="15"/>
      <c r="CA798" s="15"/>
      <c r="CB798" s="17"/>
      <c r="CC798" s="17"/>
      <c r="CD798" s="18"/>
      <c r="CE798" s="18"/>
      <c r="CF798" s="18"/>
      <c r="CG798" s="18"/>
      <c r="CH798" s="18"/>
    </row>
    <row r="799">
      <c r="A799" s="15"/>
      <c r="B799" s="16"/>
      <c r="C799" s="15"/>
      <c r="D799" s="9"/>
      <c r="E799" s="15"/>
      <c r="F799" s="15"/>
      <c r="G799" s="13"/>
      <c r="H799" s="13"/>
      <c r="I799" s="13"/>
      <c r="J799" s="13"/>
      <c r="K799" s="13"/>
      <c r="L799" s="13"/>
      <c r="M799" s="13"/>
      <c r="N799" s="13"/>
      <c r="O799" s="13"/>
      <c r="P799" s="13"/>
      <c r="Q799" s="13"/>
      <c r="R799" s="13"/>
      <c r="S799" s="13"/>
      <c r="T799" s="13"/>
      <c r="U799" s="13"/>
      <c r="V799" s="13"/>
      <c r="W799" s="13"/>
      <c r="X799" s="13"/>
      <c r="Y799" s="13"/>
      <c r="Z799" s="13"/>
      <c r="AA799" s="13"/>
      <c r="AB799" s="15"/>
      <c r="AC799" s="15"/>
      <c r="AD799" s="15"/>
      <c r="AE799" s="13"/>
      <c r="AF799" s="13"/>
      <c r="AG799" s="13"/>
      <c r="AH799" s="15"/>
      <c r="AI799" s="13"/>
      <c r="AJ799" s="13"/>
      <c r="AK799" s="13"/>
      <c r="AL799" s="13"/>
      <c r="AM799" s="15"/>
      <c r="AN799" s="13"/>
      <c r="AO799" s="15"/>
      <c r="AP799" s="15"/>
      <c r="AQ799" s="13"/>
      <c r="AR799" s="13"/>
      <c r="AS799" s="13"/>
      <c r="AT799" s="13"/>
      <c r="AU799" s="13"/>
      <c r="AV799" s="13"/>
      <c r="AW799" s="13"/>
      <c r="AX799" s="13"/>
      <c r="AY799" s="15"/>
      <c r="AZ799" s="15"/>
      <c r="BA799" s="16"/>
      <c r="BB799" s="15"/>
      <c r="BC799" s="15"/>
      <c r="BD799" s="13"/>
      <c r="BE799" s="13"/>
      <c r="BF799" s="13"/>
      <c r="BG799" s="13"/>
      <c r="BH799" s="13"/>
      <c r="BI799" s="13"/>
      <c r="BJ799" s="13"/>
      <c r="BK799" s="13"/>
      <c r="BL799" s="13"/>
      <c r="BM799" s="13"/>
      <c r="BN799" s="13"/>
      <c r="BO799" s="13"/>
      <c r="BP799" s="13"/>
      <c r="BQ799" s="15"/>
      <c r="BR799" s="15"/>
      <c r="BS799" s="15"/>
      <c r="BT799" s="15"/>
      <c r="BU799" s="15"/>
      <c r="BV799" s="15"/>
      <c r="BW799" s="15"/>
      <c r="BX799" s="15"/>
      <c r="BY799" s="15"/>
      <c r="BZ799" s="15"/>
      <c r="CA799" s="15"/>
      <c r="CB799" s="17"/>
      <c r="CC799" s="17"/>
      <c r="CD799" s="18"/>
      <c r="CE799" s="18"/>
      <c r="CF799" s="18"/>
      <c r="CG799" s="18"/>
      <c r="CH799" s="18"/>
    </row>
    <row r="800">
      <c r="A800" s="15"/>
      <c r="B800" s="16"/>
      <c r="C800" s="15"/>
      <c r="D800" s="9"/>
      <c r="E800" s="15"/>
      <c r="F800" s="15"/>
      <c r="G800" s="13"/>
      <c r="H800" s="13"/>
      <c r="I800" s="13"/>
      <c r="J800" s="13"/>
      <c r="K800" s="13"/>
      <c r="L800" s="13"/>
      <c r="M800" s="13"/>
      <c r="N800" s="13"/>
      <c r="O800" s="13"/>
      <c r="P800" s="13"/>
      <c r="Q800" s="13"/>
      <c r="R800" s="13"/>
      <c r="S800" s="13"/>
      <c r="T800" s="13"/>
      <c r="U800" s="13"/>
      <c r="V800" s="13"/>
      <c r="W800" s="13"/>
      <c r="X800" s="13"/>
      <c r="Y800" s="13"/>
      <c r="Z800" s="13"/>
      <c r="AA800" s="13"/>
      <c r="AB800" s="15"/>
      <c r="AC800" s="15"/>
      <c r="AD800" s="15"/>
      <c r="AE800" s="13"/>
      <c r="AF800" s="13"/>
      <c r="AG800" s="13"/>
      <c r="AH800" s="15"/>
      <c r="AI800" s="13"/>
      <c r="AJ800" s="13"/>
      <c r="AK800" s="13"/>
      <c r="AL800" s="13"/>
      <c r="AM800" s="15"/>
      <c r="AN800" s="13"/>
      <c r="AO800" s="15"/>
      <c r="AP800" s="15"/>
      <c r="AQ800" s="13"/>
      <c r="AR800" s="13"/>
      <c r="AS800" s="13"/>
      <c r="AT800" s="13"/>
      <c r="AU800" s="13"/>
      <c r="AV800" s="13"/>
      <c r="AW800" s="13"/>
      <c r="AX800" s="13"/>
      <c r="AY800" s="15"/>
      <c r="AZ800" s="15"/>
      <c r="BA800" s="16"/>
      <c r="BB800" s="15"/>
      <c r="BC800" s="15"/>
      <c r="BD800" s="13"/>
      <c r="BE800" s="13"/>
      <c r="BF800" s="13"/>
      <c r="BG800" s="13"/>
      <c r="BH800" s="13"/>
      <c r="BI800" s="13"/>
      <c r="BJ800" s="13"/>
      <c r="BK800" s="13"/>
      <c r="BL800" s="13"/>
      <c r="BM800" s="13"/>
      <c r="BN800" s="13"/>
      <c r="BO800" s="13"/>
      <c r="BP800" s="13"/>
      <c r="BQ800" s="15"/>
      <c r="BR800" s="15"/>
      <c r="BS800" s="15"/>
      <c r="BT800" s="15"/>
      <c r="BU800" s="15"/>
      <c r="BV800" s="15"/>
      <c r="BW800" s="15"/>
      <c r="BX800" s="15"/>
      <c r="BY800" s="15"/>
      <c r="BZ800" s="15"/>
      <c r="CA800" s="15"/>
      <c r="CB800" s="17"/>
      <c r="CC800" s="17"/>
      <c r="CD800" s="18"/>
      <c r="CE800" s="18"/>
      <c r="CF800" s="18"/>
      <c r="CG800" s="18"/>
      <c r="CH800" s="18"/>
    </row>
    <row r="801">
      <c r="A801" s="15"/>
      <c r="B801" s="16"/>
      <c r="C801" s="15"/>
      <c r="D801" s="9"/>
      <c r="E801" s="15"/>
      <c r="F801" s="15"/>
      <c r="G801" s="13"/>
      <c r="H801" s="13"/>
      <c r="I801" s="13"/>
      <c r="J801" s="13"/>
      <c r="K801" s="13"/>
      <c r="L801" s="13"/>
      <c r="M801" s="13"/>
      <c r="N801" s="13"/>
      <c r="O801" s="13"/>
      <c r="P801" s="13"/>
      <c r="Q801" s="13"/>
      <c r="R801" s="13"/>
      <c r="S801" s="13"/>
      <c r="T801" s="13"/>
      <c r="U801" s="13"/>
      <c r="V801" s="13"/>
      <c r="W801" s="13"/>
      <c r="X801" s="13"/>
      <c r="Y801" s="13"/>
      <c r="Z801" s="13"/>
      <c r="AA801" s="13"/>
      <c r="AB801" s="15"/>
      <c r="AC801" s="15"/>
      <c r="AD801" s="15"/>
      <c r="AE801" s="13"/>
      <c r="AF801" s="13"/>
      <c r="AG801" s="13"/>
      <c r="AH801" s="15"/>
      <c r="AI801" s="13"/>
      <c r="AJ801" s="13"/>
      <c r="AK801" s="13"/>
      <c r="AL801" s="13"/>
      <c r="AM801" s="15"/>
      <c r="AN801" s="13"/>
      <c r="AO801" s="15"/>
      <c r="AP801" s="15"/>
      <c r="AQ801" s="13"/>
      <c r="AR801" s="13"/>
      <c r="AS801" s="13"/>
      <c r="AT801" s="13"/>
      <c r="AU801" s="13"/>
      <c r="AV801" s="13"/>
      <c r="AW801" s="13"/>
      <c r="AX801" s="13"/>
      <c r="AY801" s="15"/>
      <c r="AZ801" s="15"/>
      <c r="BA801" s="16"/>
      <c r="BB801" s="15"/>
      <c r="BC801" s="15"/>
      <c r="BD801" s="13"/>
      <c r="BE801" s="13"/>
      <c r="BF801" s="13"/>
      <c r="BG801" s="13"/>
      <c r="BH801" s="13"/>
      <c r="BI801" s="13"/>
      <c r="BJ801" s="13"/>
      <c r="BK801" s="13"/>
      <c r="BL801" s="13"/>
      <c r="BM801" s="13"/>
      <c r="BN801" s="13"/>
      <c r="BO801" s="13"/>
      <c r="BP801" s="13"/>
      <c r="BQ801" s="15"/>
      <c r="BR801" s="15"/>
      <c r="BS801" s="15"/>
      <c r="BT801" s="15"/>
      <c r="BU801" s="15"/>
      <c r="BV801" s="15"/>
      <c r="BW801" s="15"/>
      <c r="BX801" s="15"/>
      <c r="BY801" s="15"/>
      <c r="BZ801" s="15"/>
      <c r="CA801" s="15"/>
      <c r="CB801" s="17"/>
      <c r="CC801" s="17"/>
      <c r="CD801" s="18"/>
      <c r="CE801" s="18"/>
      <c r="CF801" s="18"/>
      <c r="CG801" s="18"/>
      <c r="CH801" s="18"/>
    </row>
    <row r="802">
      <c r="A802" s="15"/>
      <c r="B802" s="16"/>
      <c r="C802" s="15"/>
      <c r="D802" s="9"/>
      <c r="E802" s="15"/>
      <c r="F802" s="15"/>
      <c r="G802" s="13"/>
      <c r="H802" s="13"/>
      <c r="I802" s="13"/>
      <c r="J802" s="13"/>
      <c r="K802" s="13"/>
      <c r="L802" s="13"/>
      <c r="M802" s="13"/>
      <c r="N802" s="13"/>
      <c r="O802" s="13"/>
      <c r="P802" s="13"/>
      <c r="Q802" s="13"/>
      <c r="R802" s="13"/>
      <c r="S802" s="13"/>
      <c r="T802" s="13"/>
      <c r="U802" s="13"/>
      <c r="V802" s="13"/>
      <c r="W802" s="13"/>
      <c r="X802" s="13"/>
      <c r="Y802" s="13"/>
      <c r="Z802" s="13"/>
      <c r="AA802" s="13"/>
      <c r="AB802" s="15"/>
      <c r="AC802" s="15"/>
      <c r="AD802" s="15"/>
      <c r="AE802" s="13"/>
      <c r="AF802" s="13"/>
      <c r="AG802" s="13"/>
      <c r="AH802" s="15"/>
      <c r="AI802" s="13"/>
      <c r="AJ802" s="13"/>
      <c r="AK802" s="13"/>
      <c r="AL802" s="13"/>
      <c r="AM802" s="15"/>
      <c r="AN802" s="13"/>
      <c r="AO802" s="15"/>
      <c r="AP802" s="15"/>
      <c r="AQ802" s="13"/>
      <c r="AR802" s="13"/>
      <c r="AS802" s="13"/>
      <c r="AT802" s="13"/>
      <c r="AU802" s="13"/>
      <c r="AV802" s="13"/>
      <c r="AW802" s="13"/>
      <c r="AX802" s="13"/>
      <c r="AY802" s="15"/>
      <c r="AZ802" s="15"/>
      <c r="BA802" s="16"/>
      <c r="BB802" s="15"/>
      <c r="BC802" s="15"/>
      <c r="BD802" s="13"/>
      <c r="BE802" s="13"/>
      <c r="BF802" s="13"/>
      <c r="BG802" s="13"/>
      <c r="BH802" s="13"/>
      <c r="BI802" s="13"/>
      <c r="BJ802" s="13"/>
      <c r="BK802" s="13"/>
      <c r="BL802" s="13"/>
      <c r="BM802" s="13"/>
      <c r="BN802" s="13"/>
      <c r="BO802" s="13"/>
      <c r="BP802" s="13"/>
      <c r="BQ802" s="15"/>
      <c r="BR802" s="15"/>
      <c r="BS802" s="15"/>
      <c r="BT802" s="15"/>
      <c r="BU802" s="15"/>
      <c r="BV802" s="15"/>
      <c r="BW802" s="15"/>
      <c r="BX802" s="15"/>
      <c r="BY802" s="15"/>
      <c r="BZ802" s="15"/>
      <c r="CA802" s="15"/>
      <c r="CB802" s="17"/>
      <c r="CC802" s="17"/>
      <c r="CD802" s="18"/>
      <c r="CE802" s="18"/>
      <c r="CF802" s="18"/>
      <c r="CG802" s="18"/>
      <c r="CH802" s="18"/>
    </row>
    <row r="803">
      <c r="A803" s="15"/>
      <c r="B803" s="16"/>
      <c r="C803" s="15"/>
      <c r="D803" s="9"/>
      <c r="E803" s="15"/>
      <c r="F803" s="15"/>
      <c r="G803" s="13"/>
      <c r="H803" s="13"/>
      <c r="I803" s="13"/>
      <c r="J803" s="13"/>
      <c r="K803" s="13"/>
      <c r="L803" s="13"/>
      <c r="M803" s="13"/>
      <c r="N803" s="13"/>
      <c r="O803" s="13"/>
      <c r="P803" s="13"/>
      <c r="Q803" s="13"/>
      <c r="R803" s="13"/>
      <c r="S803" s="13"/>
      <c r="T803" s="13"/>
      <c r="U803" s="13"/>
      <c r="V803" s="13"/>
      <c r="W803" s="13"/>
      <c r="X803" s="13"/>
      <c r="Y803" s="13"/>
      <c r="Z803" s="13"/>
      <c r="AA803" s="13"/>
      <c r="AB803" s="15"/>
      <c r="AC803" s="15"/>
      <c r="AD803" s="15"/>
      <c r="AE803" s="13"/>
      <c r="AF803" s="13"/>
      <c r="AG803" s="13"/>
      <c r="AH803" s="15"/>
      <c r="AI803" s="13"/>
      <c r="AJ803" s="13"/>
      <c r="AK803" s="13"/>
      <c r="AL803" s="13"/>
      <c r="AM803" s="15"/>
      <c r="AN803" s="13"/>
      <c r="AO803" s="15"/>
      <c r="AP803" s="15"/>
      <c r="AQ803" s="13"/>
      <c r="AR803" s="13"/>
      <c r="AS803" s="13"/>
      <c r="AT803" s="13"/>
      <c r="AU803" s="13"/>
      <c r="AV803" s="13"/>
      <c r="AW803" s="13"/>
      <c r="AX803" s="13"/>
      <c r="AY803" s="15"/>
      <c r="AZ803" s="15"/>
      <c r="BA803" s="16"/>
      <c r="BB803" s="15"/>
      <c r="BC803" s="15"/>
      <c r="BD803" s="13"/>
      <c r="BE803" s="13"/>
      <c r="BF803" s="13"/>
      <c r="BG803" s="13"/>
      <c r="BH803" s="13"/>
      <c r="BI803" s="13"/>
      <c r="BJ803" s="13"/>
      <c r="BK803" s="13"/>
      <c r="BL803" s="13"/>
      <c r="BM803" s="13"/>
      <c r="BN803" s="13"/>
      <c r="BO803" s="13"/>
      <c r="BP803" s="13"/>
      <c r="BQ803" s="15"/>
      <c r="BR803" s="15"/>
      <c r="BS803" s="15"/>
      <c r="BT803" s="15"/>
      <c r="BU803" s="15"/>
      <c r="BV803" s="15"/>
      <c r="BW803" s="15"/>
      <c r="BX803" s="15"/>
      <c r="BY803" s="15"/>
      <c r="BZ803" s="15"/>
      <c r="CA803" s="15"/>
      <c r="CB803" s="17"/>
      <c r="CC803" s="17"/>
      <c r="CD803" s="18"/>
      <c r="CE803" s="18"/>
      <c r="CF803" s="18"/>
      <c r="CG803" s="18"/>
      <c r="CH803" s="18"/>
    </row>
    <row r="804">
      <c r="A804" s="15"/>
      <c r="B804" s="16"/>
      <c r="C804" s="15"/>
      <c r="D804" s="9"/>
      <c r="E804" s="15"/>
      <c r="F804" s="15"/>
      <c r="G804" s="13"/>
      <c r="H804" s="13"/>
      <c r="I804" s="13"/>
      <c r="J804" s="13"/>
      <c r="K804" s="13"/>
      <c r="L804" s="13"/>
      <c r="M804" s="13"/>
      <c r="N804" s="13"/>
      <c r="O804" s="13"/>
      <c r="P804" s="13"/>
      <c r="Q804" s="13"/>
      <c r="R804" s="13"/>
      <c r="S804" s="13"/>
      <c r="T804" s="13"/>
      <c r="U804" s="13"/>
      <c r="V804" s="13"/>
      <c r="W804" s="13"/>
      <c r="X804" s="13"/>
      <c r="Y804" s="13"/>
      <c r="Z804" s="13"/>
      <c r="AA804" s="13"/>
      <c r="AB804" s="15"/>
      <c r="AC804" s="15"/>
      <c r="AD804" s="15"/>
      <c r="AE804" s="13"/>
      <c r="AF804" s="13"/>
      <c r="AG804" s="13"/>
      <c r="AH804" s="15"/>
      <c r="AI804" s="13"/>
      <c r="AJ804" s="13"/>
      <c r="AK804" s="13"/>
      <c r="AL804" s="13"/>
      <c r="AM804" s="15"/>
      <c r="AN804" s="13"/>
      <c r="AO804" s="15"/>
      <c r="AP804" s="15"/>
      <c r="AQ804" s="13"/>
      <c r="AR804" s="13"/>
      <c r="AS804" s="13"/>
      <c r="AT804" s="13"/>
      <c r="AU804" s="13"/>
      <c r="AV804" s="13"/>
      <c r="AW804" s="13"/>
      <c r="AX804" s="13"/>
      <c r="AY804" s="15"/>
      <c r="AZ804" s="15"/>
      <c r="BA804" s="16"/>
      <c r="BB804" s="15"/>
      <c r="BC804" s="15"/>
      <c r="BD804" s="13"/>
      <c r="BE804" s="13"/>
      <c r="BF804" s="13"/>
      <c r="BG804" s="13"/>
      <c r="BH804" s="13"/>
      <c r="BI804" s="13"/>
      <c r="BJ804" s="13"/>
      <c r="BK804" s="13"/>
      <c r="BL804" s="13"/>
      <c r="BM804" s="13"/>
      <c r="BN804" s="13"/>
      <c r="BO804" s="13"/>
      <c r="BP804" s="13"/>
      <c r="BQ804" s="15"/>
      <c r="BR804" s="15"/>
      <c r="BS804" s="15"/>
      <c r="BT804" s="15"/>
      <c r="BU804" s="15"/>
      <c r="BV804" s="15"/>
      <c r="BW804" s="15"/>
      <c r="BX804" s="15"/>
      <c r="BY804" s="15"/>
      <c r="BZ804" s="15"/>
      <c r="CA804" s="15"/>
      <c r="CB804" s="17"/>
      <c r="CC804" s="17"/>
      <c r="CD804" s="18"/>
      <c r="CE804" s="18"/>
      <c r="CF804" s="18"/>
      <c r="CG804" s="18"/>
      <c r="CH804" s="18"/>
    </row>
    <row r="805">
      <c r="A805" s="15"/>
      <c r="B805" s="16"/>
      <c r="C805" s="15"/>
      <c r="D805" s="9"/>
      <c r="E805" s="15"/>
      <c r="F805" s="15"/>
      <c r="G805" s="13"/>
      <c r="H805" s="13"/>
      <c r="I805" s="13"/>
      <c r="J805" s="13"/>
      <c r="K805" s="13"/>
      <c r="L805" s="13"/>
      <c r="M805" s="13"/>
      <c r="N805" s="13"/>
      <c r="O805" s="13"/>
      <c r="P805" s="13"/>
      <c r="Q805" s="13"/>
      <c r="R805" s="13"/>
      <c r="S805" s="13"/>
      <c r="T805" s="13"/>
      <c r="U805" s="13"/>
      <c r="V805" s="13"/>
      <c r="W805" s="13"/>
      <c r="X805" s="13"/>
      <c r="Y805" s="13"/>
      <c r="Z805" s="13"/>
      <c r="AA805" s="13"/>
      <c r="AB805" s="15"/>
      <c r="AC805" s="15"/>
      <c r="AD805" s="15"/>
      <c r="AE805" s="13"/>
      <c r="AF805" s="13"/>
      <c r="AG805" s="13"/>
      <c r="AH805" s="15"/>
      <c r="AI805" s="13"/>
      <c r="AJ805" s="13"/>
      <c r="AK805" s="13"/>
      <c r="AL805" s="13"/>
      <c r="AM805" s="15"/>
      <c r="AN805" s="13"/>
      <c r="AO805" s="15"/>
      <c r="AP805" s="15"/>
      <c r="AQ805" s="13"/>
      <c r="AR805" s="13"/>
      <c r="AS805" s="13"/>
      <c r="AT805" s="13"/>
      <c r="AU805" s="13"/>
      <c r="AV805" s="13"/>
      <c r="AW805" s="13"/>
      <c r="AX805" s="13"/>
      <c r="AY805" s="15"/>
      <c r="AZ805" s="15"/>
      <c r="BA805" s="16"/>
      <c r="BB805" s="15"/>
      <c r="BC805" s="15"/>
      <c r="BD805" s="13"/>
      <c r="BE805" s="13"/>
      <c r="BF805" s="13"/>
      <c r="BG805" s="13"/>
      <c r="BH805" s="13"/>
      <c r="BI805" s="13"/>
      <c r="BJ805" s="13"/>
      <c r="BK805" s="13"/>
      <c r="BL805" s="13"/>
      <c r="BM805" s="13"/>
      <c r="BN805" s="13"/>
      <c r="BO805" s="13"/>
      <c r="BP805" s="13"/>
      <c r="BQ805" s="15"/>
      <c r="BR805" s="15"/>
      <c r="BS805" s="15"/>
      <c r="BT805" s="15"/>
      <c r="BU805" s="15"/>
      <c r="BV805" s="15"/>
      <c r="BW805" s="15"/>
      <c r="BX805" s="15"/>
      <c r="BY805" s="15"/>
      <c r="BZ805" s="15"/>
      <c r="CA805" s="15"/>
      <c r="CB805" s="17"/>
      <c r="CC805" s="17"/>
      <c r="CD805" s="18"/>
      <c r="CE805" s="18"/>
      <c r="CF805" s="18"/>
      <c r="CG805" s="18"/>
      <c r="CH805" s="18"/>
    </row>
    <row r="806">
      <c r="A806" s="15"/>
      <c r="B806" s="16"/>
      <c r="C806" s="15"/>
      <c r="D806" s="9"/>
      <c r="E806" s="15"/>
      <c r="F806" s="15"/>
      <c r="G806" s="13"/>
      <c r="H806" s="13"/>
      <c r="I806" s="13"/>
      <c r="J806" s="13"/>
      <c r="K806" s="13"/>
      <c r="L806" s="13"/>
      <c r="M806" s="13"/>
      <c r="N806" s="13"/>
      <c r="O806" s="13"/>
      <c r="P806" s="13"/>
      <c r="Q806" s="13"/>
      <c r="R806" s="13"/>
      <c r="S806" s="13"/>
      <c r="T806" s="13"/>
      <c r="U806" s="13"/>
      <c r="V806" s="13"/>
      <c r="W806" s="13"/>
      <c r="X806" s="13"/>
      <c r="Y806" s="13"/>
      <c r="Z806" s="13"/>
      <c r="AA806" s="13"/>
      <c r="AB806" s="15"/>
      <c r="AC806" s="15"/>
      <c r="AD806" s="15"/>
      <c r="AE806" s="13"/>
      <c r="AF806" s="13"/>
      <c r="AG806" s="13"/>
      <c r="AH806" s="15"/>
      <c r="AI806" s="13"/>
      <c r="AJ806" s="13"/>
      <c r="AK806" s="13"/>
      <c r="AL806" s="13"/>
      <c r="AM806" s="15"/>
      <c r="AN806" s="13"/>
      <c r="AO806" s="15"/>
      <c r="AP806" s="15"/>
      <c r="AQ806" s="13"/>
      <c r="AR806" s="13"/>
      <c r="AS806" s="13"/>
      <c r="AT806" s="13"/>
      <c r="AU806" s="13"/>
      <c r="AV806" s="13"/>
      <c r="AW806" s="13"/>
      <c r="AX806" s="13"/>
      <c r="AY806" s="15"/>
      <c r="AZ806" s="15"/>
      <c r="BA806" s="16"/>
      <c r="BB806" s="15"/>
      <c r="BC806" s="15"/>
      <c r="BD806" s="13"/>
      <c r="BE806" s="13"/>
      <c r="BF806" s="13"/>
      <c r="BG806" s="13"/>
      <c r="BH806" s="13"/>
      <c r="BI806" s="13"/>
      <c r="BJ806" s="13"/>
      <c r="BK806" s="13"/>
      <c r="BL806" s="13"/>
      <c r="BM806" s="13"/>
      <c r="BN806" s="13"/>
      <c r="BO806" s="13"/>
      <c r="BP806" s="13"/>
      <c r="BQ806" s="15"/>
      <c r="BR806" s="15"/>
      <c r="BS806" s="15"/>
      <c r="BT806" s="15"/>
      <c r="BU806" s="15"/>
      <c r="BV806" s="15"/>
      <c r="BW806" s="15"/>
      <c r="BX806" s="15"/>
      <c r="BY806" s="15"/>
      <c r="BZ806" s="15"/>
      <c r="CA806" s="15"/>
      <c r="CB806" s="17"/>
      <c r="CC806" s="17"/>
      <c r="CD806" s="18"/>
      <c r="CE806" s="18"/>
      <c r="CF806" s="18"/>
      <c r="CG806" s="18"/>
      <c r="CH806" s="18"/>
    </row>
    <row r="807">
      <c r="A807" s="15"/>
      <c r="B807" s="16"/>
      <c r="C807" s="15"/>
      <c r="D807" s="9"/>
      <c r="E807" s="15"/>
      <c r="F807" s="15"/>
      <c r="G807" s="13"/>
      <c r="H807" s="13"/>
      <c r="I807" s="13"/>
      <c r="J807" s="13"/>
      <c r="K807" s="13"/>
      <c r="L807" s="13"/>
      <c r="M807" s="13"/>
      <c r="N807" s="13"/>
      <c r="O807" s="13"/>
      <c r="P807" s="13"/>
      <c r="Q807" s="13"/>
      <c r="R807" s="13"/>
      <c r="S807" s="13"/>
      <c r="T807" s="13"/>
      <c r="U807" s="13"/>
      <c r="V807" s="13"/>
      <c r="W807" s="13"/>
      <c r="X807" s="13"/>
      <c r="Y807" s="13"/>
      <c r="Z807" s="13"/>
      <c r="AA807" s="13"/>
      <c r="AB807" s="15"/>
      <c r="AC807" s="15"/>
      <c r="AD807" s="15"/>
      <c r="AE807" s="13"/>
      <c r="AF807" s="13"/>
      <c r="AG807" s="13"/>
      <c r="AH807" s="15"/>
      <c r="AI807" s="13"/>
      <c r="AJ807" s="13"/>
      <c r="AK807" s="13"/>
      <c r="AL807" s="13"/>
      <c r="AM807" s="15"/>
      <c r="AN807" s="13"/>
      <c r="AO807" s="15"/>
      <c r="AP807" s="15"/>
      <c r="AQ807" s="13"/>
      <c r="AR807" s="13"/>
      <c r="AS807" s="13"/>
      <c r="AT807" s="13"/>
      <c r="AU807" s="13"/>
      <c r="AV807" s="13"/>
      <c r="AW807" s="13"/>
      <c r="AX807" s="13"/>
      <c r="AY807" s="15"/>
      <c r="AZ807" s="15"/>
      <c r="BA807" s="16"/>
      <c r="BB807" s="15"/>
      <c r="BC807" s="15"/>
      <c r="BD807" s="13"/>
      <c r="BE807" s="13"/>
      <c r="BF807" s="13"/>
      <c r="BG807" s="13"/>
      <c r="BH807" s="13"/>
      <c r="BI807" s="13"/>
      <c r="BJ807" s="13"/>
      <c r="BK807" s="13"/>
      <c r="BL807" s="13"/>
      <c r="BM807" s="13"/>
      <c r="BN807" s="13"/>
      <c r="BO807" s="13"/>
      <c r="BP807" s="13"/>
      <c r="BQ807" s="15"/>
      <c r="BR807" s="15"/>
      <c r="BS807" s="15"/>
      <c r="BT807" s="15"/>
      <c r="BU807" s="15"/>
      <c r="BV807" s="15"/>
      <c r="BW807" s="15"/>
      <c r="BX807" s="15"/>
      <c r="BY807" s="15"/>
      <c r="BZ807" s="15"/>
      <c r="CA807" s="15"/>
      <c r="CB807" s="17"/>
      <c r="CC807" s="17"/>
      <c r="CD807" s="18"/>
      <c r="CE807" s="18"/>
      <c r="CF807" s="18"/>
      <c r="CG807" s="18"/>
      <c r="CH807" s="18"/>
    </row>
    <row r="808">
      <c r="A808" s="15"/>
      <c r="B808" s="16"/>
      <c r="C808" s="15"/>
      <c r="D808" s="9"/>
      <c r="E808" s="15"/>
      <c r="F808" s="15"/>
      <c r="G808" s="13"/>
      <c r="H808" s="13"/>
      <c r="I808" s="13"/>
      <c r="J808" s="13"/>
      <c r="K808" s="13"/>
      <c r="L808" s="13"/>
      <c r="M808" s="13"/>
      <c r="N808" s="13"/>
      <c r="O808" s="13"/>
      <c r="P808" s="13"/>
      <c r="Q808" s="13"/>
      <c r="R808" s="13"/>
      <c r="S808" s="13"/>
      <c r="T808" s="13"/>
      <c r="U808" s="13"/>
      <c r="V808" s="13"/>
      <c r="W808" s="13"/>
      <c r="X808" s="13"/>
      <c r="Y808" s="13"/>
      <c r="Z808" s="13"/>
      <c r="AA808" s="13"/>
      <c r="AB808" s="15"/>
      <c r="AC808" s="15"/>
      <c r="AD808" s="15"/>
      <c r="AE808" s="13"/>
      <c r="AF808" s="13"/>
      <c r="AG808" s="13"/>
      <c r="AH808" s="15"/>
      <c r="AI808" s="13"/>
      <c r="AJ808" s="13"/>
      <c r="AK808" s="13"/>
      <c r="AL808" s="13"/>
      <c r="AM808" s="15"/>
      <c r="AN808" s="13"/>
      <c r="AO808" s="15"/>
      <c r="AP808" s="15"/>
      <c r="AQ808" s="13"/>
      <c r="AR808" s="13"/>
      <c r="AS808" s="13"/>
      <c r="AT808" s="13"/>
      <c r="AU808" s="13"/>
      <c r="AV808" s="13"/>
      <c r="AW808" s="13"/>
      <c r="AX808" s="13"/>
      <c r="AY808" s="15"/>
      <c r="AZ808" s="15"/>
      <c r="BA808" s="16"/>
      <c r="BB808" s="15"/>
      <c r="BC808" s="15"/>
      <c r="BD808" s="13"/>
      <c r="BE808" s="13"/>
      <c r="BF808" s="13"/>
      <c r="BG808" s="13"/>
      <c r="BH808" s="13"/>
      <c r="BI808" s="13"/>
      <c r="BJ808" s="13"/>
      <c r="BK808" s="13"/>
      <c r="BL808" s="13"/>
      <c r="BM808" s="13"/>
      <c r="BN808" s="13"/>
      <c r="BO808" s="13"/>
      <c r="BP808" s="13"/>
      <c r="BQ808" s="15"/>
      <c r="BR808" s="15"/>
      <c r="BS808" s="15"/>
      <c r="BT808" s="15"/>
      <c r="BU808" s="15"/>
      <c r="BV808" s="15"/>
      <c r="BW808" s="15"/>
      <c r="BX808" s="15"/>
      <c r="BY808" s="15"/>
      <c r="BZ808" s="15"/>
      <c r="CA808" s="15"/>
      <c r="CB808" s="17"/>
      <c r="CC808" s="17"/>
      <c r="CD808" s="18"/>
      <c r="CE808" s="18"/>
      <c r="CF808" s="18"/>
      <c r="CG808" s="18"/>
      <c r="CH808" s="18"/>
    </row>
    <row r="809">
      <c r="A809" s="15"/>
      <c r="B809" s="16"/>
      <c r="C809" s="15"/>
      <c r="D809" s="9"/>
      <c r="E809" s="15"/>
      <c r="F809" s="15"/>
      <c r="G809" s="13"/>
      <c r="H809" s="13"/>
      <c r="I809" s="13"/>
      <c r="J809" s="13"/>
      <c r="K809" s="13"/>
      <c r="L809" s="13"/>
      <c r="M809" s="13"/>
      <c r="N809" s="13"/>
      <c r="O809" s="13"/>
      <c r="P809" s="13"/>
      <c r="Q809" s="13"/>
      <c r="R809" s="13"/>
      <c r="S809" s="13"/>
      <c r="T809" s="13"/>
      <c r="U809" s="13"/>
      <c r="V809" s="13"/>
      <c r="W809" s="13"/>
      <c r="X809" s="13"/>
      <c r="Y809" s="13"/>
      <c r="Z809" s="13"/>
      <c r="AA809" s="13"/>
      <c r="AB809" s="15"/>
      <c r="AC809" s="15"/>
      <c r="AD809" s="15"/>
      <c r="AE809" s="13"/>
      <c r="AF809" s="13"/>
      <c r="AG809" s="13"/>
      <c r="AH809" s="15"/>
      <c r="AI809" s="13"/>
      <c r="AJ809" s="13"/>
      <c r="AK809" s="13"/>
      <c r="AL809" s="13"/>
      <c r="AM809" s="15"/>
      <c r="AN809" s="13"/>
      <c r="AO809" s="15"/>
      <c r="AP809" s="15"/>
      <c r="AQ809" s="13"/>
      <c r="AR809" s="13"/>
      <c r="AS809" s="13"/>
      <c r="AT809" s="13"/>
      <c r="AU809" s="13"/>
      <c r="AV809" s="13"/>
      <c r="AW809" s="13"/>
      <c r="AX809" s="13"/>
      <c r="AY809" s="15"/>
      <c r="AZ809" s="15"/>
      <c r="BA809" s="16"/>
      <c r="BB809" s="15"/>
      <c r="BC809" s="15"/>
      <c r="BD809" s="13"/>
      <c r="BE809" s="13"/>
      <c r="BF809" s="13"/>
      <c r="BG809" s="13"/>
      <c r="BH809" s="13"/>
      <c r="BI809" s="13"/>
      <c r="BJ809" s="13"/>
      <c r="BK809" s="13"/>
      <c r="BL809" s="13"/>
      <c r="BM809" s="13"/>
      <c r="BN809" s="13"/>
      <c r="BO809" s="13"/>
      <c r="BP809" s="13"/>
      <c r="BQ809" s="15"/>
      <c r="BR809" s="15"/>
      <c r="BS809" s="15"/>
      <c r="BT809" s="15"/>
      <c r="BU809" s="15"/>
      <c r="BV809" s="15"/>
      <c r="BW809" s="15"/>
      <c r="BX809" s="15"/>
      <c r="BY809" s="15"/>
      <c r="BZ809" s="15"/>
      <c r="CA809" s="15"/>
      <c r="CB809" s="17"/>
      <c r="CC809" s="17"/>
      <c r="CD809" s="18"/>
      <c r="CE809" s="18"/>
      <c r="CF809" s="18"/>
      <c r="CG809" s="18"/>
      <c r="CH809" s="18"/>
    </row>
    <row r="810">
      <c r="A810" s="15"/>
      <c r="B810" s="16"/>
      <c r="C810" s="15"/>
      <c r="D810" s="9"/>
      <c r="E810" s="15"/>
      <c r="F810" s="15"/>
      <c r="G810" s="13"/>
      <c r="H810" s="13"/>
      <c r="I810" s="13"/>
      <c r="J810" s="13"/>
      <c r="K810" s="13"/>
      <c r="L810" s="13"/>
      <c r="M810" s="13"/>
      <c r="N810" s="13"/>
      <c r="O810" s="13"/>
      <c r="P810" s="13"/>
      <c r="Q810" s="13"/>
      <c r="R810" s="13"/>
      <c r="S810" s="13"/>
      <c r="T810" s="13"/>
      <c r="U810" s="13"/>
      <c r="V810" s="13"/>
      <c r="W810" s="13"/>
      <c r="X810" s="13"/>
      <c r="Y810" s="13"/>
      <c r="Z810" s="13"/>
      <c r="AA810" s="13"/>
      <c r="AB810" s="15"/>
      <c r="AC810" s="15"/>
      <c r="AD810" s="15"/>
      <c r="AE810" s="13"/>
      <c r="AF810" s="13"/>
      <c r="AG810" s="13"/>
      <c r="AH810" s="15"/>
      <c r="AI810" s="13"/>
      <c r="AJ810" s="13"/>
      <c r="AK810" s="13"/>
      <c r="AL810" s="13"/>
      <c r="AM810" s="15"/>
      <c r="AN810" s="13"/>
      <c r="AO810" s="15"/>
      <c r="AP810" s="15"/>
      <c r="AQ810" s="13"/>
      <c r="AR810" s="13"/>
      <c r="AS810" s="13"/>
      <c r="AT810" s="13"/>
      <c r="AU810" s="13"/>
      <c r="AV810" s="13"/>
      <c r="AW810" s="13"/>
      <c r="AX810" s="13"/>
      <c r="AY810" s="15"/>
      <c r="AZ810" s="15"/>
      <c r="BA810" s="16"/>
      <c r="BB810" s="15"/>
      <c r="BC810" s="15"/>
      <c r="BD810" s="13"/>
      <c r="BE810" s="13"/>
      <c r="BF810" s="13"/>
      <c r="BG810" s="13"/>
      <c r="BH810" s="13"/>
      <c r="BI810" s="13"/>
      <c r="BJ810" s="13"/>
      <c r="BK810" s="13"/>
      <c r="BL810" s="13"/>
      <c r="BM810" s="13"/>
      <c r="BN810" s="13"/>
      <c r="BO810" s="13"/>
      <c r="BP810" s="13"/>
      <c r="BQ810" s="15"/>
      <c r="BR810" s="15"/>
      <c r="BS810" s="15"/>
      <c r="BT810" s="15"/>
      <c r="BU810" s="15"/>
      <c r="BV810" s="15"/>
      <c r="BW810" s="15"/>
      <c r="BX810" s="15"/>
      <c r="BY810" s="15"/>
      <c r="BZ810" s="15"/>
      <c r="CA810" s="15"/>
      <c r="CB810" s="17"/>
      <c r="CC810" s="17"/>
      <c r="CD810" s="18"/>
      <c r="CE810" s="18"/>
      <c r="CF810" s="18"/>
      <c r="CG810" s="18"/>
      <c r="CH810" s="18"/>
    </row>
    <row r="811">
      <c r="A811" s="15"/>
      <c r="B811" s="16"/>
      <c r="C811" s="15"/>
      <c r="D811" s="9"/>
      <c r="E811" s="15"/>
      <c r="F811" s="15"/>
      <c r="G811" s="13"/>
      <c r="H811" s="13"/>
      <c r="I811" s="13"/>
      <c r="J811" s="13"/>
      <c r="K811" s="13"/>
      <c r="L811" s="13"/>
      <c r="M811" s="13"/>
      <c r="N811" s="13"/>
      <c r="O811" s="13"/>
      <c r="P811" s="13"/>
      <c r="Q811" s="13"/>
      <c r="R811" s="13"/>
      <c r="S811" s="13"/>
      <c r="T811" s="13"/>
      <c r="U811" s="13"/>
      <c r="V811" s="13"/>
      <c r="W811" s="13"/>
      <c r="X811" s="13"/>
      <c r="Y811" s="13"/>
      <c r="Z811" s="13"/>
      <c r="AA811" s="13"/>
      <c r="AB811" s="15"/>
      <c r="AC811" s="15"/>
      <c r="AD811" s="15"/>
      <c r="AE811" s="13"/>
      <c r="AF811" s="13"/>
      <c r="AG811" s="13"/>
      <c r="AH811" s="15"/>
      <c r="AI811" s="13"/>
      <c r="AJ811" s="13"/>
      <c r="AK811" s="13"/>
      <c r="AL811" s="13"/>
      <c r="AM811" s="15"/>
      <c r="AN811" s="13"/>
      <c r="AO811" s="15"/>
      <c r="AP811" s="15"/>
      <c r="AQ811" s="13"/>
      <c r="AR811" s="13"/>
      <c r="AS811" s="13"/>
      <c r="AT811" s="13"/>
      <c r="AU811" s="13"/>
      <c r="AV811" s="13"/>
      <c r="AW811" s="13"/>
      <c r="AX811" s="13"/>
      <c r="AY811" s="15"/>
      <c r="AZ811" s="15"/>
      <c r="BA811" s="16"/>
      <c r="BB811" s="15"/>
      <c r="BC811" s="15"/>
      <c r="BD811" s="13"/>
      <c r="BE811" s="13"/>
      <c r="BF811" s="13"/>
      <c r="BG811" s="13"/>
      <c r="BH811" s="13"/>
      <c r="BI811" s="13"/>
      <c r="BJ811" s="13"/>
      <c r="BK811" s="13"/>
      <c r="BL811" s="13"/>
      <c r="BM811" s="13"/>
      <c r="BN811" s="13"/>
      <c r="BO811" s="13"/>
      <c r="BP811" s="13"/>
      <c r="BQ811" s="15"/>
      <c r="BR811" s="15"/>
      <c r="BS811" s="15"/>
      <c r="BT811" s="15"/>
      <c r="BU811" s="15"/>
      <c r="BV811" s="15"/>
      <c r="BW811" s="15"/>
      <c r="BX811" s="15"/>
      <c r="BY811" s="15"/>
      <c r="BZ811" s="15"/>
      <c r="CA811" s="15"/>
      <c r="CB811" s="17"/>
      <c r="CC811" s="17"/>
      <c r="CD811" s="18"/>
      <c r="CE811" s="18"/>
      <c r="CF811" s="18"/>
      <c r="CG811" s="18"/>
      <c r="CH811" s="18"/>
    </row>
    <row r="812">
      <c r="A812" s="15"/>
      <c r="B812" s="16"/>
      <c r="C812" s="15"/>
      <c r="D812" s="9"/>
      <c r="E812" s="15"/>
      <c r="F812" s="15"/>
      <c r="G812" s="13"/>
      <c r="H812" s="13"/>
      <c r="I812" s="13"/>
      <c r="J812" s="13"/>
      <c r="K812" s="13"/>
      <c r="L812" s="13"/>
      <c r="M812" s="13"/>
      <c r="N812" s="13"/>
      <c r="O812" s="13"/>
      <c r="P812" s="13"/>
      <c r="Q812" s="13"/>
      <c r="R812" s="13"/>
      <c r="S812" s="13"/>
      <c r="T812" s="13"/>
      <c r="U812" s="13"/>
      <c r="V812" s="13"/>
      <c r="W812" s="13"/>
      <c r="X812" s="13"/>
      <c r="Y812" s="13"/>
      <c r="Z812" s="13"/>
      <c r="AA812" s="13"/>
      <c r="AB812" s="15"/>
      <c r="AC812" s="15"/>
      <c r="AD812" s="15"/>
      <c r="AE812" s="13"/>
      <c r="AF812" s="13"/>
      <c r="AG812" s="13"/>
      <c r="AH812" s="15"/>
      <c r="AI812" s="13"/>
      <c r="AJ812" s="13"/>
      <c r="AK812" s="13"/>
      <c r="AL812" s="13"/>
      <c r="AM812" s="15"/>
      <c r="AN812" s="13"/>
      <c r="AO812" s="15"/>
      <c r="AP812" s="15"/>
      <c r="AQ812" s="13"/>
      <c r="AR812" s="13"/>
      <c r="AS812" s="13"/>
      <c r="AT812" s="13"/>
      <c r="AU812" s="13"/>
      <c r="AV812" s="13"/>
      <c r="AW812" s="13"/>
      <c r="AX812" s="13"/>
      <c r="AY812" s="15"/>
      <c r="AZ812" s="15"/>
      <c r="BA812" s="16"/>
      <c r="BB812" s="15"/>
      <c r="BC812" s="15"/>
      <c r="BD812" s="13"/>
      <c r="BE812" s="13"/>
      <c r="BF812" s="13"/>
      <c r="BG812" s="13"/>
      <c r="BH812" s="13"/>
      <c r="BI812" s="13"/>
      <c r="BJ812" s="13"/>
      <c r="BK812" s="13"/>
      <c r="BL812" s="13"/>
      <c r="BM812" s="13"/>
      <c r="BN812" s="13"/>
      <c r="BO812" s="13"/>
      <c r="BP812" s="13"/>
      <c r="BQ812" s="15"/>
      <c r="BR812" s="15"/>
      <c r="BS812" s="15"/>
      <c r="BT812" s="15"/>
      <c r="BU812" s="15"/>
      <c r="BV812" s="15"/>
      <c r="BW812" s="15"/>
      <c r="BX812" s="15"/>
      <c r="BY812" s="15"/>
      <c r="BZ812" s="15"/>
      <c r="CA812" s="15"/>
      <c r="CB812" s="17"/>
      <c r="CC812" s="17"/>
      <c r="CD812" s="18"/>
      <c r="CE812" s="18"/>
      <c r="CF812" s="18"/>
      <c r="CG812" s="18"/>
      <c r="CH812" s="18"/>
    </row>
    <row r="813">
      <c r="A813" s="15"/>
      <c r="B813" s="16"/>
      <c r="C813" s="15"/>
      <c r="D813" s="9"/>
      <c r="E813" s="15"/>
      <c r="F813" s="15"/>
      <c r="G813" s="13"/>
      <c r="H813" s="13"/>
      <c r="I813" s="13"/>
      <c r="J813" s="13"/>
      <c r="K813" s="13"/>
      <c r="L813" s="13"/>
      <c r="M813" s="13"/>
      <c r="N813" s="13"/>
      <c r="O813" s="13"/>
      <c r="P813" s="13"/>
      <c r="Q813" s="13"/>
      <c r="R813" s="13"/>
      <c r="S813" s="13"/>
      <c r="T813" s="13"/>
      <c r="U813" s="13"/>
      <c r="V813" s="13"/>
      <c r="W813" s="13"/>
      <c r="X813" s="13"/>
      <c r="Y813" s="13"/>
      <c r="Z813" s="13"/>
      <c r="AA813" s="13"/>
      <c r="AB813" s="15"/>
      <c r="AC813" s="15"/>
      <c r="AD813" s="15"/>
      <c r="AE813" s="13"/>
      <c r="AF813" s="13"/>
      <c r="AG813" s="13"/>
      <c r="AH813" s="15"/>
      <c r="AI813" s="13"/>
      <c r="AJ813" s="13"/>
      <c r="AK813" s="13"/>
      <c r="AL813" s="13"/>
      <c r="AM813" s="15"/>
      <c r="AN813" s="13"/>
      <c r="AO813" s="15"/>
      <c r="AP813" s="15"/>
      <c r="AQ813" s="13"/>
      <c r="AR813" s="13"/>
      <c r="AS813" s="13"/>
      <c r="AT813" s="13"/>
      <c r="AU813" s="13"/>
      <c r="AV813" s="13"/>
      <c r="AW813" s="13"/>
      <c r="AX813" s="13"/>
      <c r="AY813" s="15"/>
      <c r="AZ813" s="15"/>
      <c r="BA813" s="16"/>
      <c r="BB813" s="15"/>
      <c r="BC813" s="15"/>
      <c r="BD813" s="13"/>
      <c r="BE813" s="13"/>
      <c r="BF813" s="13"/>
      <c r="BG813" s="13"/>
      <c r="BH813" s="13"/>
      <c r="BI813" s="13"/>
      <c r="BJ813" s="13"/>
      <c r="BK813" s="13"/>
      <c r="BL813" s="13"/>
      <c r="BM813" s="13"/>
      <c r="BN813" s="13"/>
      <c r="BO813" s="13"/>
      <c r="BP813" s="13"/>
      <c r="BQ813" s="15"/>
      <c r="BR813" s="15"/>
      <c r="BS813" s="15"/>
      <c r="BT813" s="15"/>
      <c r="BU813" s="15"/>
      <c r="BV813" s="15"/>
      <c r="BW813" s="15"/>
      <c r="BX813" s="15"/>
      <c r="BY813" s="15"/>
      <c r="BZ813" s="15"/>
      <c r="CA813" s="15"/>
      <c r="CB813" s="17"/>
      <c r="CC813" s="17"/>
      <c r="CD813" s="18"/>
      <c r="CE813" s="18"/>
      <c r="CF813" s="18"/>
      <c r="CG813" s="18"/>
      <c r="CH813" s="18"/>
    </row>
    <row r="814">
      <c r="A814" s="15"/>
      <c r="B814" s="16"/>
      <c r="C814" s="15"/>
      <c r="D814" s="9"/>
      <c r="E814" s="15"/>
      <c r="F814" s="15"/>
      <c r="G814" s="13"/>
      <c r="H814" s="13"/>
      <c r="I814" s="13"/>
      <c r="J814" s="13"/>
      <c r="K814" s="13"/>
      <c r="L814" s="13"/>
      <c r="M814" s="13"/>
      <c r="N814" s="13"/>
      <c r="O814" s="13"/>
      <c r="P814" s="13"/>
      <c r="Q814" s="13"/>
      <c r="R814" s="13"/>
      <c r="S814" s="13"/>
      <c r="T814" s="13"/>
      <c r="U814" s="13"/>
      <c r="V814" s="13"/>
      <c r="W814" s="13"/>
      <c r="X814" s="13"/>
      <c r="Y814" s="13"/>
      <c r="Z814" s="13"/>
      <c r="AA814" s="13"/>
      <c r="AB814" s="15"/>
      <c r="AC814" s="15"/>
      <c r="AD814" s="15"/>
      <c r="AE814" s="13"/>
      <c r="AF814" s="13"/>
      <c r="AG814" s="13"/>
      <c r="AH814" s="15"/>
      <c r="AI814" s="13"/>
      <c r="AJ814" s="13"/>
      <c r="AK814" s="13"/>
      <c r="AL814" s="13"/>
      <c r="AM814" s="15"/>
      <c r="AN814" s="13"/>
      <c r="AO814" s="15"/>
      <c r="AP814" s="15"/>
      <c r="AQ814" s="13"/>
      <c r="AR814" s="13"/>
      <c r="AS814" s="13"/>
      <c r="AT814" s="13"/>
      <c r="AU814" s="13"/>
      <c r="AV814" s="13"/>
      <c r="AW814" s="13"/>
      <c r="AX814" s="13"/>
      <c r="AY814" s="15"/>
      <c r="AZ814" s="15"/>
      <c r="BA814" s="16"/>
      <c r="BB814" s="15"/>
      <c r="BC814" s="15"/>
      <c r="BD814" s="13"/>
      <c r="BE814" s="13"/>
      <c r="BF814" s="13"/>
      <c r="BG814" s="13"/>
      <c r="BH814" s="13"/>
      <c r="BI814" s="13"/>
      <c r="BJ814" s="13"/>
      <c r="BK814" s="13"/>
      <c r="BL814" s="13"/>
      <c r="BM814" s="13"/>
      <c r="BN814" s="13"/>
      <c r="BO814" s="13"/>
      <c r="BP814" s="13"/>
      <c r="BQ814" s="15"/>
      <c r="BR814" s="15"/>
      <c r="BS814" s="15"/>
      <c r="BT814" s="15"/>
      <c r="BU814" s="15"/>
      <c r="BV814" s="15"/>
      <c r="BW814" s="15"/>
      <c r="BX814" s="15"/>
      <c r="BY814" s="15"/>
      <c r="BZ814" s="15"/>
      <c r="CA814" s="15"/>
      <c r="CB814" s="17"/>
      <c r="CC814" s="17"/>
      <c r="CD814" s="18"/>
      <c r="CE814" s="18"/>
      <c r="CF814" s="18"/>
      <c r="CG814" s="18"/>
      <c r="CH814" s="18"/>
    </row>
    <row r="815">
      <c r="A815" s="15"/>
      <c r="B815" s="16"/>
      <c r="C815" s="15"/>
      <c r="D815" s="9"/>
      <c r="E815" s="15"/>
      <c r="F815" s="15"/>
      <c r="G815" s="13"/>
      <c r="H815" s="13"/>
      <c r="I815" s="13"/>
      <c r="J815" s="13"/>
      <c r="K815" s="13"/>
      <c r="L815" s="13"/>
      <c r="M815" s="13"/>
      <c r="N815" s="13"/>
      <c r="O815" s="13"/>
      <c r="P815" s="13"/>
      <c r="Q815" s="13"/>
      <c r="R815" s="13"/>
      <c r="S815" s="13"/>
      <c r="T815" s="13"/>
      <c r="U815" s="13"/>
      <c r="V815" s="13"/>
      <c r="W815" s="13"/>
      <c r="X815" s="13"/>
      <c r="Y815" s="13"/>
      <c r="Z815" s="13"/>
      <c r="AA815" s="13"/>
      <c r="AB815" s="15"/>
      <c r="AC815" s="15"/>
      <c r="AD815" s="15"/>
      <c r="AE815" s="13"/>
      <c r="AF815" s="13"/>
      <c r="AG815" s="13"/>
      <c r="AH815" s="15"/>
      <c r="AI815" s="13"/>
      <c r="AJ815" s="13"/>
      <c r="AK815" s="13"/>
      <c r="AL815" s="13"/>
      <c r="AM815" s="15"/>
      <c r="AN815" s="13"/>
      <c r="AO815" s="15"/>
      <c r="AP815" s="15"/>
      <c r="AQ815" s="13"/>
      <c r="AR815" s="13"/>
      <c r="AS815" s="13"/>
      <c r="AT815" s="13"/>
      <c r="AU815" s="13"/>
      <c r="AV815" s="13"/>
      <c r="AW815" s="13"/>
      <c r="AX815" s="13"/>
      <c r="AY815" s="15"/>
      <c r="AZ815" s="15"/>
      <c r="BA815" s="16"/>
      <c r="BB815" s="15"/>
      <c r="BC815" s="15"/>
      <c r="BD815" s="13"/>
      <c r="BE815" s="13"/>
      <c r="BF815" s="13"/>
      <c r="BG815" s="13"/>
      <c r="BH815" s="13"/>
      <c r="BI815" s="13"/>
      <c r="BJ815" s="13"/>
      <c r="BK815" s="13"/>
      <c r="BL815" s="13"/>
      <c r="BM815" s="13"/>
      <c r="BN815" s="13"/>
      <c r="BO815" s="13"/>
      <c r="BP815" s="13"/>
      <c r="BQ815" s="15"/>
      <c r="BR815" s="15"/>
      <c r="BS815" s="15"/>
      <c r="BT815" s="15"/>
      <c r="BU815" s="15"/>
      <c r="BV815" s="15"/>
      <c r="BW815" s="15"/>
      <c r="BX815" s="15"/>
      <c r="BY815" s="15"/>
      <c r="BZ815" s="15"/>
      <c r="CA815" s="15"/>
      <c r="CB815" s="17"/>
      <c r="CC815" s="17"/>
      <c r="CD815" s="18"/>
      <c r="CE815" s="18"/>
      <c r="CF815" s="18"/>
      <c r="CG815" s="18"/>
      <c r="CH815" s="18"/>
    </row>
    <row r="816">
      <c r="A816" s="15"/>
      <c r="B816" s="16"/>
      <c r="C816" s="15"/>
      <c r="D816" s="9"/>
      <c r="E816" s="15"/>
      <c r="F816" s="15"/>
      <c r="G816" s="13"/>
      <c r="H816" s="13"/>
      <c r="I816" s="13"/>
      <c r="J816" s="13"/>
      <c r="K816" s="13"/>
      <c r="L816" s="13"/>
      <c r="M816" s="13"/>
      <c r="N816" s="13"/>
      <c r="O816" s="13"/>
      <c r="P816" s="13"/>
      <c r="Q816" s="13"/>
      <c r="R816" s="13"/>
      <c r="S816" s="13"/>
      <c r="T816" s="13"/>
      <c r="U816" s="13"/>
      <c r="V816" s="13"/>
      <c r="W816" s="13"/>
      <c r="X816" s="13"/>
      <c r="Y816" s="13"/>
      <c r="Z816" s="13"/>
      <c r="AA816" s="13"/>
      <c r="AB816" s="15"/>
      <c r="AC816" s="15"/>
      <c r="AD816" s="15"/>
      <c r="AE816" s="13"/>
      <c r="AF816" s="13"/>
      <c r="AG816" s="13"/>
      <c r="AH816" s="15"/>
      <c r="AI816" s="13"/>
      <c r="AJ816" s="13"/>
      <c r="AK816" s="13"/>
      <c r="AL816" s="13"/>
      <c r="AM816" s="15"/>
      <c r="AN816" s="13"/>
      <c r="AO816" s="15"/>
      <c r="AP816" s="15"/>
      <c r="AQ816" s="13"/>
      <c r="AR816" s="13"/>
      <c r="AS816" s="13"/>
      <c r="AT816" s="13"/>
      <c r="AU816" s="13"/>
      <c r="AV816" s="13"/>
      <c r="AW816" s="13"/>
      <c r="AX816" s="13"/>
      <c r="AY816" s="15"/>
      <c r="AZ816" s="15"/>
      <c r="BA816" s="16"/>
      <c r="BB816" s="15"/>
      <c r="BC816" s="15"/>
      <c r="BD816" s="13"/>
      <c r="BE816" s="13"/>
      <c r="BF816" s="13"/>
      <c r="BG816" s="13"/>
      <c r="BH816" s="13"/>
      <c r="BI816" s="13"/>
      <c r="BJ816" s="13"/>
      <c r="BK816" s="13"/>
      <c r="BL816" s="13"/>
      <c r="BM816" s="13"/>
      <c r="BN816" s="13"/>
      <c r="BO816" s="13"/>
      <c r="BP816" s="13"/>
      <c r="BQ816" s="15"/>
      <c r="BR816" s="15"/>
      <c r="BS816" s="15"/>
      <c r="BT816" s="15"/>
      <c r="BU816" s="15"/>
      <c r="BV816" s="15"/>
      <c r="BW816" s="15"/>
      <c r="BX816" s="15"/>
      <c r="BY816" s="15"/>
      <c r="BZ816" s="15"/>
      <c r="CA816" s="15"/>
      <c r="CB816" s="17"/>
      <c r="CC816" s="17"/>
      <c r="CD816" s="18"/>
      <c r="CE816" s="18"/>
      <c r="CF816" s="18"/>
      <c r="CG816" s="18"/>
      <c r="CH816" s="18"/>
    </row>
    <row r="817">
      <c r="A817" s="15"/>
      <c r="B817" s="16"/>
      <c r="C817" s="15"/>
      <c r="D817" s="9"/>
      <c r="E817" s="15"/>
      <c r="F817" s="15"/>
      <c r="G817" s="13"/>
      <c r="H817" s="13"/>
      <c r="I817" s="13"/>
      <c r="J817" s="13"/>
      <c r="K817" s="13"/>
      <c r="L817" s="13"/>
      <c r="M817" s="13"/>
      <c r="N817" s="13"/>
      <c r="O817" s="13"/>
      <c r="P817" s="13"/>
      <c r="Q817" s="13"/>
      <c r="R817" s="13"/>
      <c r="S817" s="13"/>
      <c r="T817" s="13"/>
      <c r="U817" s="13"/>
      <c r="V817" s="13"/>
      <c r="W817" s="13"/>
      <c r="X817" s="13"/>
      <c r="Y817" s="13"/>
      <c r="Z817" s="13"/>
      <c r="AA817" s="13"/>
      <c r="AB817" s="15"/>
      <c r="AC817" s="15"/>
      <c r="AD817" s="15"/>
      <c r="AE817" s="13"/>
      <c r="AF817" s="13"/>
      <c r="AG817" s="13"/>
      <c r="AH817" s="15"/>
      <c r="AI817" s="13"/>
      <c r="AJ817" s="13"/>
      <c r="AK817" s="13"/>
      <c r="AL817" s="13"/>
      <c r="AM817" s="15"/>
      <c r="AN817" s="13"/>
      <c r="AO817" s="15"/>
      <c r="AP817" s="15"/>
      <c r="AQ817" s="13"/>
      <c r="AR817" s="13"/>
      <c r="AS817" s="13"/>
      <c r="AT817" s="13"/>
      <c r="AU817" s="13"/>
      <c r="AV817" s="13"/>
      <c r="AW817" s="13"/>
      <c r="AX817" s="13"/>
      <c r="AY817" s="15"/>
      <c r="AZ817" s="15"/>
      <c r="BA817" s="16"/>
      <c r="BB817" s="15"/>
      <c r="BC817" s="15"/>
      <c r="BD817" s="13"/>
      <c r="BE817" s="13"/>
      <c r="BF817" s="13"/>
      <c r="BG817" s="13"/>
      <c r="BH817" s="13"/>
      <c r="BI817" s="13"/>
      <c r="BJ817" s="13"/>
      <c r="BK817" s="13"/>
      <c r="BL817" s="13"/>
      <c r="BM817" s="13"/>
      <c r="BN817" s="13"/>
      <c r="BO817" s="13"/>
      <c r="BP817" s="13"/>
      <c r="BQ817" s="15"/>
      <c r="BR817" s="15"/>
      <c r="BS817" s="15"/>
      <c r="BT817" s="15"/>
      <c r="BU817" s="15"/>
      <c r="BV817" s="15"/>
      <c r="BW817" s="15"/>
      <c r="BX817" s="15"/>
      <c r="BY817" s="15"/>
      <c r="BZ817" s="15"/>
      <c r="CA817" s="15"/>
      <c r="CB817" s="17"/>
      <c r="CC817" s="17"/>
      <c r="CD817" s="18"/>
      <c r="CE817" s="18"/>
      <c r="CF817" s="18"/>
      <c r="CG817" s="18"/>
      <c r="CH817" s="18"/>
    </row>
    <row r="818">
      <c r="A818" s="15"/>
      <c r="B818" s="16"/>
      <c r="C818" s="15"/>
      <c r="D818" s="9"/>
      <c r="E818" s="15"/>
      <c r="F818" s="15"/>
      <c r="G818" s="13"/>
      <c r="H818" s="13"/>
      <c r="I818" s="13"/>
      <c r="J818" s="13"/>
      <c r="K818" s="13"/>
      <c r="L818" s="13"/>
      <c r="M818" s="13"/>
      <c r="N818" s="13"/>
      <c r="O818" s="13"/>
      <c r="P818" s="13"/>
      <c r="Q818" s="13"/>
      <c r="R818" s="13"/>
      <c r="S818" s="13"/>
      <c r="T818" s="13"/>
      <c r="U818" s="13"/>
      <c r="V818" s="13"/>
      <c r="W818" s="13"/>
      <c r="X818" s="13"/>
      <c r="Y818" s="13"/>
      <c r="Z818" s="13"/>
      <c r="AA818" s="13"/>
      <c r="AB818" s="15"/>
      <c r="AC818" s="15"/>
      <c r="AD818" s="15"/>
      <c r="AE818" s="13"/>
      <c r="AF818" s="13"/>
      <c r="AG818" s="13"/>
      <c r="AH818" s="15"/>
      <c r="AI818" s="13"/>
      <c r="AJ818" s="13"/>
      <c r="AK818" s="13"/>
      <c r="AL818" s="13"/>
      <c r="AM818" s="15"/>
      <c r="AN818" s="13"/>
      <c r="AO818" s="15"/>
      <c r="AP818" s="15"/>
      <c r="AQ818" s="13"/>
      <c r="AR818" s="13"/>
      <c r="AS818" s="13"/>
      <c r="AT818" s="13"/>
      <c r="AU818" s="13"/>
      <c r="AV818" s="13"/>
      <c r="AW818" s="13"/>
      <c r="AX818" s="13"/>
      <c r="AY818" s="15"/>
      <c r="AZ818" s="15"/>
      <c r="BA818" s="16"/>
      <c r="BB818" s="15"/>
      <c r="BC818" s="15"/>
      <c r="BD818" s="13"/>
      <c r="BE818" s="13"/>
      <c r="BF818" s="13"/>
      <c r="BG818" s="13"/>
      <c r="BH818" s="13"/>
      <c r="BI818" s="13"/>
      <c r="BJ818" s="13"/>
      <c r="BK818" s="13"/>
      <c r="BL818" s="13"/>
      <c r="BM818" s="13"/>
      <c r="BN818" s="13"/>
      <c r="BO818" s="13"/>
      <c r="BP818" s="13"/>
      <c r="BQ818" s="15"/>
      <c r="BR818" s="15"/>
      <c r="BS818" s="15"/>
      <c r="BT818" s="15"/>
      <c r="BU818" s="15"/>
      <c r="BV818" s="15"/>
      <c r="BW818" s="15"/>
      <c r="BX818" s="15"/>
      <c r="BY818" s="15"/>
      <c r="BZ818" s="15"/>
      <c r="CA818" s="15"/>
      <c r="CB818" s="17"/>
      <c r="CC818" s="17"/>
      <c r="CD818" s="18"/>
      <c r="CE818" s="18"/>
      <c r="CF818" s="18"/>
      <c r="CG818" s="18"/>
      <c r="CH818" s="18"/>
    </row>
    <row r="819">
      <c r="A819" s="15"/>
      <c r="B819" s="16"/>
      <c r="C819" s="15"/>
      <c r="D819" s="9"/>
      <c r="E819" s="15"/>
      <c r="F819" s="15"/>
      <c r="G819" s="13"/>
      <c r="H819" s="13"/>
      <c r="I819" s="13"/>
      <c r="J819" s="13"/>
      <c r="K819" s="13"/>
      <c r="L819" s="13"/>
      <c r="M819" s="13"/>
      <c r="N819" s="13"/>
      <c r="O819" s="13"/>
      <c r="P819" s="13"/>
      <c r="Q819" s="13"/>
      <c r="R819" s="13"/>
      <c r="S819" s="13"/>
      <c r="T819" s="13"/>
      <c r="U819" s="13"/>
      <c r="V819" s="13"/>
      <c r="W819" s="13"/>
      <c r="X819" s="13"/>
      <c r="Y819" s="13"/>
      <c r="Z819" s="13"/>
      <c r="AA819" s="13"/>
      <c r="AB819" s="15"/>
      <c r="AC819" s="15"/>
      <c r="AD819" s="15"/>
      <c r="AE819" s="13"/>
      <c r="AF819" s="13"/>
      <c r="AG819" s="13"/>
      <c r="AH819" s="15"/>
      <c r="AI819" s="13"/>
      <c r="AJ819" s="13"/>
      <c r="AK819" s="13"/>
      <c r="AL819" s="13"/>
      <c r="AM819" s="15"/>
      <c r="AN819" s="13"/>
      <c r="AO819" s="15"/>
      <c r="AP819" s="15"/>
      <c r="AQ819" s="13"/>
      <c r="AR819" s="13"/>
      <c r="AS819" s="13"/>
      <c r="AT819" s="13"/>
      <c r="AU819" s="13"/>
      <c r="AV819" s="13"/>
      <c r="AW819" s="13"/>
      <c r="AX819" s="13"/>
      <c r="AY819" s="15"/>
      <c r="AZ819" s="15"/>
      <c r="BA819" s="16"/>
      <c r="BB819" s="15"/>
      <c r="BC819" s="15"/>
      <c r="BD819" s="13"/>
      <c r="BE819" s="13"/>
      <c r="BF819" s="13"/>
      <c r="BG819" s="13"/>
      <c r="BH819" s="13"/>
      <c r="BI819" s="13"/>
      <c r="BJ819" s="13"/>
      <c r="BK819" s="13"/>
      <c r="BL819" s="13"/>
      <c r="BM819" s="13"/>
      <c r="BN819" s="13"/>
      <c r="BO819" s="13"/>
      <c r="BP819" s="13"/>
      <c r="BQ819" s="15"/>
      <c r="BR819" s="15"/>
      <c r="BS819" s="15"/>
      <c r="BT819" s="15"/>
      <c r="BU819" s="15"/>
      <c r="BV819" s="15"/>
      <c r="BW819" s="15"/>
      <c r="BX819" s="15"/>
      <c r="BY819" s="15"/>
      <c r="BZ819" s="15"/>
      <c r="CA819" s="15"/>
      <c r="CB819" s="17"/>
      <c r="CC819" s="17"/>
      <c r="CD819" s="18"/>
      <c r="CE819" s="18"/>
      <c r="CF819" s="18"/>
      <c r="CG819" s="18"/>
      <c r="CH819" s="18"/>
    </row>
    <row r="820">
      <c r="A820" s="15"/>
      <c r="B820" s="16"/>
      <c r="C820" s="15"/>
      <c r="D820" s="9"/>
      <c r="E820" s="15"/>
      <c r="F820" s="15"/>
      <c r="G820" s="13"/>
      <c r="H820" s="13"/>
      <c r="I820" s="13"/>
      <c r="J820" s="13"/>
      <c r="K820" s="13"/>
      <c r="L820" s="13"/>
      <c r="M820" s="13"/>
      <c r="N820" s="13"/>
      <c r="O820" s="13"/>
      <c r="P820" s="13"/>
      <c r="Q820" s="13"/>
      <c r="R820" s="13"/>
      <c r="S820" s="13"/>
      <c r="T820" s="13"/>
      <c r="U820" s="13"/>
      <c r="V820" s="13"/>
      <c r="W820" s="13"/>
      <c r="X820" s="13"/>
      <c r="Y820" s="13"/>
      <c r="Z820" s="13"/>
      <c r="AA820" s="13"/>
      <c r="AB820" s="15"/>
      <c r="AC820" s="15"/>
      <c r="AD820" s="15"/>
      <c r="AE820" s="13"/>
      <c r="AF820" s="13"/>
      <c r="AG820" s="13"/>
      <c r="AH820" s="15"/>
      <c r="AI820" s="13"/>
      <c r="AJ820" s="13"/>
      <c r="AK820" s="13"/>
      <c r="AL820" s="13"/>
      <c r="AM820" s="15"/>
      <c r="AN820" s="13"/>
      <c r="AO820" s="15"/>
      <c r="AP820" s="15"/>
      <c r="AQ820" s="13"/>
      <c r="AR820" s="13"/>
      <c r="AS820" s="13"/>
      <c r="AT820" s="13"/>
      <c r="AU820" s="13"/>
      <c r="AV820" s="13"/>
      <c r="AW820" s="13"/>
      <c r="AX820" s="13"/>
      <c r="AY820" s="15"/>
      <c r="AZ820" s="15"/>
      <c r="BA820" s="16"/>
      <c r="BB820" s="15"/>
      <c r="BC820" s="15"/>
      <c r="BD820" s="13"/>
      <c r="BE820" s="13"/>
      <c r="BF820" s="13"/>
      <c r="BG820" s="13"/>
      <c r="BH820" s="13"/>
      <c r="BI820" s="13"/>
      <c r="BJ820" s="13"/>
      <c r="BK820" s="13"/>
      <c r="BL820" s="13"/>
      <c r="BM820" s="13"/>
      <c r="BN820" s="13"/>
      <c r="BO820" s="13"/>
      <c r="BP820" s="13"/>
      <c r="BQ820" s="15"/>
      <c r="BR820" s="15"/>
      <c r="BS820" s="15"/>
      <c r="BT820" s="15"/>
      <c r="BU820" s="15"/>
      <c r="BV820" s="15"/>
      <c r="BW820" s="15"/>
      <c r="BX820" s="15"/>
      <c r="BY820" s="15"/>
      <c r="BZ820" s="15"/>
      <c r="CA820" s="15"/>
      <c r="CB820" s="17"/>
      <c r="CC820" s="17"/>
      <c r="CD820" s="18"/>
      <c r="CE820" s="18"/>
      <c r="CF820" s="18"/>
      <c r="CG820" s="18"/>
      <c r="CH820" s="18"/>
    </row>
    <row r="821">
      <c r="A821" s="15"/>
      <c r="B821" s="16"/>
      <c r="C821" s="15"/>
      <c r="D821" s="9"/>
      <c r="E821" s="15"/>
      <c r="F821" s="15"/>
      <c r="G821" s="13"/>
      <c r="H821" s="13"/>
      <c r="I821" s="13"/>
      <c r="J821" s="13"/>
      <c r="K821" s="13"/>
      <c r="L821" s="13"/>
      <c r="M821" s="13"/>
      <c r="N821" s="13"/>
      <c r="O821" s="13"/>
      <c r="P821" s="13"/>
      <c r="Q821" s="13"/>
      <c r="R821" s="13"/>
      <c r="S821" s="13"/>
      <c r="T821" s="13"/>
      <c r="U821" s="13"/>
      <c r="V821" s="13"/>
      <c r="W821" s="13"/>
      <c r="X821" s="13"/>
      <c r="Y821" s="13"/>
      <c r="Z821" s="13"/>
      <c r="AA821" s="13"/>
      <c r="AB821" s="15"/>
      <c r="AC821" s="15"/>
      <c r="AD821" s="15"/>
      <c r="AE821" s="13"/>
      <c r="AF821" s="13"/>
      <c r="AG821" s="13"/>
      <c r="AH821" s="15"/>
      <c r="AI821" s="13"/>
      <c r="AJ821" s="13"/>
      <c r="AK821" s="13"/>
      <c r="AL821" s="13"/>
      <c r="AM821" s="15"/>
      <c r="AN821" s="13"/>
      <c r="AO821" s="15"/>
      <c r="AP821" s="15"/>
      <c r="AQ821" s="13"/>
      <c r="AR821" s="13"/>
      <c r="AS821" s="13"/>
      <c r="AT821" s="13"/>
      <c r="AU821" s="13"/>
      <c r="AV821" s="13"/>
      <c r="AW821" s="13"/>
      <c r="AX821" s="13"/>
      <c r="AY821" s="15"/>
      <c r="AZ821" s="15"/>
      <c r="BA821" s="16"/>
      <c r="BB821" s="15"/>
      <c r="BC821" s="15"/>
      <c r="BD821" s="13"/>
      <c r="BE821" s="13"/>
      <c r="BF821" s="13"/>
      <c r="BG821" s="13"/>
      <c r="BH821" s="13"/>
      <c r="BI821" s="13"/>
      <c r="BJ821" s="13"/>
      <c r="BK821" s="13"/>
      <c r="BL821" s="13"/>
      <c r="BM821" s="13"/>
      <c r="BN821" s="13"/>
      <c r="BO821" s="13"/>
      <c r="BP821" s="13"/>
      <c r="BQ821" s="15"/>
      <c r="BR821" s="15"/>
      <c r="BS821" s="15"/>
      <c r="BT821" s="15"/>
      <c r="BU821" s="15"/>
      <c r="BV821" s="15"/>
      <c r="BW821" s="15"/>
      <c r="BX821" s="15"/>
      <c r="BY821" s="15"/>
      <c r="BZ821" s="15"/>
      <c r="CA821" s="15"/>
      <c r="CB821" s="17"/>
      <c r="CC821" s="17"/>
      <c r="CD821" s="18"/>
      <c r="CE821" s="18"/>
      <c r="CF821" s="18"/>
      <c r="CG821" s="18"/>
      <c r="CH821" s="18"/>
    </row>
    <row r="822">
      <c r="A822" s="15"/>
      <c r="B822" s="16"/>
      <c r="C822" s="15"/>
      <c r="D822" s="9"/>
      <c r="E822" s="15"/>
      <c r="F822" s="15"/>
      <c r="G822" s="13"/>
      <c r="H822" s="13"/>
      <c r="I822" s="13"/>
      <c r="J822" s="13"/>
      <c r="K822" s="13"/>
      <c r="L822" s="13"/>
      <c r="M822" s="13"/>
      <c r="N822" s="13"/>
      <c r="O822" s="13"/>
      <c r="P822" s="13"/>
      <c r="Q822" s="13"/>
      <c r="R822" s="13"/>
      <c r="S822" s="13"/>
      <c r="T822" s="13"/>
      <c r="U822" s="13"/>
      <c r="V822" s="13"/>
      <c r="W822" s="13"/>
      <c r="X822" s="13"/>
      <c r="Y822" s="13"/>
      <c r="Z822" s="13"/>
      <c r="AA822" s="13"/>
      <c r="AB822" s="15"/>
      <c r="AC822" s="15"/>
      <c r="AD822" s="15"/>
      <c r="AE822" s="13"/>
      <c r="AF822" s="13"/>
      <c r="AG822" s="13"/>
      <c r="AH822" s="15"/>
      <c r="AI822" s="13"/>
      <c r="AJ822" s="13"/>
      <c r="AK822" s="13"/>
      <c r="AL822" s="13"/>
      <c r="AM822" s="15"/>
      <c r="AN822" s="13"/>
      <c r="AO822" s="15"/>
      <c r="AP822" s="15"/>
      <c r="AQ822" s="13"/>
      <c r="AR822" s="13"/>
      <c r="AS822" s="13"/>
      <c r="AT822" s="13"/>
      <c r="AU822" s="13"/>
      <c r="AV822" s="13"/>
      <c r="AW822" s="13"/>
      <c r="AX822" s="13"/>
      <c r="AY822" s="15"/>
      <c r="AZ822" s="15"/>
      <c r="BA822" s="16"/>
      <c r="BB822" s="15"/>
      <c r="BC822" s="15"/>
      <c r="BD822" s="13"/>
      <c r="BE822" s="13"/>
      <c r="BF822" s="13"/>
      <c r="BG822" s="13"/>
      <c r="BH822" s="13"/>
      <c r="BI822" s="13"/>
      <c r="BJ822" s="13"/>
      <c r="BK822" s="13"/>
      <c r="BL822" s="13"/>
      <c r="BM822" s="13"/>
      <c r="BN822" s="13"/>
      <c r="BO822" s="13"/>
      <c r="BP822" s="13"/>
      <c r="BQ822" s="15"/>
      <c r="BR822" s="15"/>
      <c r="BS822" s="15"/>
      <c r="BT822" s="15"/>
      <c r="BU822" s="15"/>
      <c r="BV822" s="15"/>
      <c r="BW822" s="15"/>
      <c r="BX822" s="15"/>
      <c r="BY822" s="15"/>
      <c r="BZ822" s="15"/>
      <c r="CA822" s="15"/>
      <c r="CB822" s="17"/>
      <c r="CC822" s="17"/>
      <c r="CD822" s="18"/>
      <c r="CE822" s="18"/>
      <c r="CF822" s="18"/>
      <c r="CG822" s="18"/>
      <c r="CH822" s="18"/>
    </row>
    <row r="823">
      <c r="A823" s="15"/>
      <c r="B823" s="16"/>
      <c r="C823" s="15"/>
      <c r="D823" s="9"/>
      <c r="E823" s="15"/>
      <c r="F823" s="15"/>
      <c r="G823" s="13"/>
      <c r="H823" s="13"/>
      <c r="I823" s="13"/>
      <c r="J823" s="13"/>
      <c r="K823" s="13"/>
      <c r="L823" s="13"/>
      <c r="M823" s="13"/>
      <c r="N823" s="13"/>
      <c r="O823" s="13"/>
      <c r="P823" s="13"/>
      <c r="Q823" s="13"/>
      <c r="R823" s="13"/>
      <c r="S823" s="13"/>
      <c r="T823" s="13"/>
      <c r="U823" s="13"/>
      <c r="V823" s="13"/>
      <c r="W823" s="13"/>
      <c r="X823" s="13"/>
      <c r="Y823" s="13"/>
      <c r="Z823" s="13"/>
      <c r="AA823" s="13"/>
      <c r="AB823" s="15"/>
      <c r="AC823" s="15"/>
      <c r="AD823" s="15"/>
      <c r="AE823" s="13"/>
      <c r="AF823" s="13"/>
      <c r="AG823" s="13"/>
      <c r="AH823" s="15"/>
      <c r="AI823" s="13"/>
      <c r="AJ823" s="13"/>
      <c r="AK823" s="13"/>
      <c r="AL823" s="13"/>
      <c r="AM823" s="15"/>
      <c r="AN823" s="13"/>
      <c r="AO823" s="15"/>
      <c r="AP823" s="15"/>
      <c r="AQ823" s="13"/>
      <c r="AR823" s="13"/>
      <c r="AS823" s="13"/>
      <c r="AT823" s="13"/>
      <c r="AU823" s="13"/>
      <c r="AV823" s="13"/>
      <c r="AW823" s="13"/>
      <c r="AX823" s="13"/>
      <c r="AY823" s="15"/>
      <c r="AZ823" s="15"/>
      <c r="BA823" s="16"/>
      <c r="BB823" s="15"/>
      <c r="BC823" s="15"/>
      <c r="BD823" s="13"/>
      <c r="BE823" s="13"/>
      <c r="BF823" s="13"/>
      <c r="BG823" s="13"/>
      <c r="BH823" s="13"/>
      <c r="BI823" s="13"/>
      <c r="BJ823" s="13"/>
      <c r="BK823" s="13"/>
      <c r="BL823" s="13"/>
      <c r="BM823" s="13"/>
      <c r="BN823" s="13"/>
      <c r="BO823" s="13"/>
      <c r="BP823" s="13"/>
      <c r="BQ823" s="15"/>
      <c r="BR823" s="15"/>
      <c r="BS823" s="15"/>
      <c r="BT823" s="15"/>
      <c r="BU823" s="15"/>
      <c r="BV823" s="15"/>
      <c r="BW823" s="15"/>
      <c r="BX823" s="15"/>
      <c r="BY823" s="15"/>
      <c r="BZ823" s="15"/>
      <c r="CA823" s="15"/>
      <c r="CB823" s="17"/>
      <c r="CC823" s="17"/>
      <c r="CD823" s="18"/>
      <c r="CE823" s="18"/>
      <c r="CF823" s="18"/>
      <c r="CG823" s="18"/>
      <c r="CH823" s="18"/>
    </row>
    <row r="824">
      <c r="A824" s="15"/>
      <c r="B824" s="16"/>
      <c r="C824" s="15"/>
      <c r="D824" s="9"/>
      <c r="E824" s="15"/>
      <c r="F824" s="15"/>
      <c r="G824" s="13"/>
      <c r="H824" s="13"/>
      <c r="I824" s="13"/>
      <c r="J824" s="13"/>
      <c r="K824" s="13"/>
      <c r="L824" s="13"/>
      <c r="M824" s="13"/>
      <c r="N824" s="13"/>
      <c r="O824" s="13"/>
      <c r="P824" s="13"/>
      <c r="Q824" s="13"/>
      <c r="R824" s="13"/>
      <c r="S824" s="13"/>
      <c r="T824" s="13"/>
      <c r="U824" s="13"/>
      <c r="V824" s="13"/>
      <c r="W824" s="13"/>
      <c r="X824" s="13"/>
      <c r="Y824" s="13"/>
      <c r="Z824" s="13"/>
      <c r="AA824" s="13"/>
      <c r="AB824" s="15"/>
      <c r="AC824" s="15"/>
      <c r="AD824" s="15"/>
      <c r="AE824" s="13"/>
      <c r="AF824" s="13"/>
      <c r="AG824" s="13"/>
      <c r="AH824" s="15"/>
      <c r="AI824" s="13"/>
      <c r="AJ824" s="13"/>
      <c r="AK824" s="13"/>
      <c r="AL824" s="13"/>
      <c r="AM824" s="15"/>
      <c r="AN824" s="13"/>
      <c r="AO824" s="15"/>
      <c r="AP824" s="15"/>
      <c r="AQ824" s="13"/>
      <c r="AR824" s="13"/>
      <c r="AS824" s="13"/>
      <c r="AT824" s="13"/>
      <c r="AU824" s="13"/>
      <c r="AV824" s="13"/>
      <c r="AW824" s="13"/>
      <c r="AX824" s="13"/>
      <c r="AY824" s="15"/>
      <c r="AZ824" s="15"/>
      <c r="BA824" s="16"/>
      <c r="BB824" s="15"/>
      <c r="BC824" s="15"/>
      <c r="BD824" s="13"/>
      <c r="BE824" s="13"/>
      <c r="BF824" s="13"/>
      <c r="BG824" s="13"/>
      <c r="BH824" s="13"/>
      <c r="BI824" s="13"/>
      <c r="BJ824" s="13"/>
      <c r="BK824" s="13"/>
      <c r="BL824" s="13"/>
      <c r="BM824" s="13"/>
      <c r="BN824" s="13"/>
      <c r="BO824" s="13"/>
      <c r="BP824" s="13"/>
      <c r="BQ824" s="15"/>
      <c r="BR824" s="15"/>
      <c r="BS824" s="15"/>
      <c r="BT824" s="15"/>
      <c r="BU824" s="15"/>
      <c r="BV824" s="15"/>
      <c r="BW824" s="15"/>
      <c r="BX824" s="15"/>
      <c r="BY824" s="15"/>
      <c r="BZ824" s="15"/>
      <c r="CA824" s="15"/>
      <c r="CB824" s="17"/>
      <c r="CC824" s="17"/>
      <c r="CD824" s="18"/>
      <c r="CE824" s="18"/>
      <c r="CF824" s="18"/>
      <c r="CG824" s="18"/>
      <c r="CH824" s="18"/>
    </row>
    <row r="825">
      <c r="A825" s="15"/>
      <c r="B825" s="16"/>
      <c r="C825" s="15"/>
      <c r="D825" s="9"/>
      <c r="E825" s="15"/>
      <c r="F825" s="15"/>
      <c r="G825" s="13"/>
      <c r="H825" s="13"/>
      <c r="I825" s="13"/>
      <c r="J825" s="13"/>
      <c r="K825" s="13"/>
      <c r="L825" s="13"/>
      <c r="M825" s="13"/>
      <c r="N825" s="13"/>
      <c r="O825" s="13"/>
      <c r="P825" s="13"/>
      <c r="Q825" s="13"/>
      <c r="R825" s="13"/>
      <c r="S825" s="13"/>
      <c r="T825" s="13"/>
      <c r="U825" s="13"/>
      <c r="V825" s="13"/>
      <c r="W825" s="13"/>
      <c r="X825" s="13"/>
      <c r="Y825" s="13"/>
      <c r="Z825" s="13"/>
      <c r="AA825" s="13"/>
      <c r="AB825" s="15"/>
      <c r="AC825" s="15"/>
      <c r="AD825" s="15"/>
      <c r="AE825" s="13"/>
      <c r="AF825" s="13"/>
      <c r="AG825" s="13"/>
      <c r="AH825" s="15"/>
      <c r="AI825" s="13"/>
      <c r="AJ825" s="13"/>
      <c r="AK825" s="13"/>
      <c r="AL825" s="13"/>
      <c r="AM825" s="15"/>
      <c r="AN825" s="13"/>
      <c r="AO825" s="15"/>
      <c r="AP825" s="15"/>
      <c r="AQ825" s="13"/>
      <c r="AR825" s="13"/>
      <c r="AS825" s="13"/>
      <c r="AT825" s="13"/>
      <c r="AU825" s="13"/>
      <c r="AV825" s="13"/>
      <c r="AW825" s="13"/>
      <c r="AX825" s="13"/>
      <c r="AY825" s="15"/>
      <c r="AZ825" s="15"/>
      <c r="BA825" s="16"/>
      <c r="BB825" s="15"/>
      <c r="BC825" s="15"/>
      <c r="BD825" s="13"/>
      <c r="BE825" s="13"/>
      <c r="BF825" s="13"/>
      <c r="BG825" s="13"/>
      <c r="BH825" s="13"/>
      <c r="BI825" s="13"/>
      <c r="BJ825" s="13"/>
      <c r="BK825" s="13"/>
      <c r="BL825" s="13"/>
      <c r="BM825" s="13"/>
      <c r="BN825" s="13"/>
      <c r="BO825" s="13"/>
      <c r="BP825" s="13"/>
      <c r="BQ825" s="15"/>
      <c r="BR825" s="15"/>
      <c r="BS825" s="15"/>
      <c r="BT825" s="15"/>
      <c r="BU825" s="15"/>
      <c r="BV825" s="15"/>
      <c r="BW825" s="15"/>
      <c r="BX825" s="15"/>
      <c r="BY825" s="15"/>
      <c r="BZ825" s="15"/>
      <c r="CA825" s="15"/>
      <c r="CB825" s="17"/>
      <c r="CC825" s="17"/>
      <c r="CD825" s="18"/>
      <c r="CE825" s="18"/>
      <c r="CF825" s="18"/>
      <c r="CG825" s="18"/>
      <c r="CH825" s="18"/>
    </row>
    <row r="826">
      <c r="A826" s="15"/>
      <c r="B826" s="16"/>
      <c r="C826" s="15"/>
      <c r="D826" s="9"/>
      <c r="E826" s="15"/>
      <c r="F826" s="15"/>
      <c r="G826" s="13"/>
      <c r="H826" s="13"/>
      <c r="I826" s="13"/>
      <c r="J826" s="13"/>
      <c r="K826" s="13"/>
      <c r="L826" s="13"/>
      <c r="M826" s="13"/>
      <c r="N826" s="13"/>
      <c r="O826" s="13"/>
      <c r="P826" s="13"/>
      <c r="Q826" s="13"/>
      <c r="R826" s="13"/>
      <c r="S826" s="13"/>
      <c r="T826" s="13"/>
      <c r="U826" s="13"/>
      <c r="V826" s="13"/>
      <c r="W826" s="13"/>
      <c r="X826" s="13"/>
      <c r="Y826" s="13"/>
      <c r="Z826" s="13"/>
      <c r="AA826" s="13"/>
      <c r="AB826" s="15"/>
      <c r="AC826" s="15"/>
      <c r="AD826" s="15"/>
      <c r="AE826" s="13"/>
      <c r="AF826" s="13"/>
      <c r="AG826" s="13"/>
      <c r="AH826" s="15"/>
      <c r="AI826" s="13"/>
      <c r="AJ826" s="13"/>
      <c r="AK826" s="13"/>
      <c r="AL826" s="13"/>
      <c r="AM826" s="15"/>
      <c r="AN826" s="13"/>
      <c r="AO826" s="15"/>
      <c r="AP826" s="15"/>
      <c r="AQ826" s="13"/>
      <c r="AR826" s="13"/>
      <c r="AS826" s="13"/>
      <c r="AT826" s="13"/>
      <c r="AU826" s="13"/>
      <c r="AV826" s="13"/>
      <c r="AW826" s="13"/>
      <c r="AX826" s="13"/>
      <c r="AY826" s="15"/>
      <c r="AZ826" s="15"/>
      <c r="BA826" s="16"/>
      <c r="BB826" s="15"/>
      <c r="BC826" s="15"/>
      <c r="BD826" s="13"/>
      <c r="BE826" s="13"/>
      <c r="BF826" s="13"/>
      <c r="BG826" s="13"/>
      <c r="BH826" s="13"/>
      <c r="BI826" s="13"/>
      <c r="BJ826" s="13"/>
      <c r="BK826" s="13"/>
      <c r="BL826" s="13"/>
      <c r="BM826" s="13"/>
      <c r="BN826" s="13"/>
      <c r="BO826" s="13"/>
      <c r="BP826" s="13"/>
      <c r="BQ826" s="15"/>
      <c r="BR826" s="15"/>
      <c r="BS826" s="15"/>
      <c r="BT826" s="15"/>
      <c r="BU826" s="15"/>
      <c r="BV826" s="15"/>
      <c r="BW826" s="15"/>
      <c r="BX826" s="15"/>
      <c r="BY826" s="15"/>
      <c r="BZ826" s="15"/>
      <c r="CA826" s="15"/>
      <c r="CB826" s="17"/>
      <c r="CC826" s="17"/>
      <c r="CD826" s="18"/>
      <c r="CE826" s="18"/>
      <c r="CF826" s="18"/>
      <c r="CG826" s="18"/>
      <c r="CH826" s="18"/>
    </row>
    <row r="827">
      <c r="A827" s="15"/>
      <c r="B827" s="16"/>
      <c r="C827" s="15"/>
      <c r="D827" s="9"/>
      <c r="E827" s="15"/>
      <c r="F827" s="15"/>
      <c r="G827" s="13"/>
      <c r="H827" s="13"/>
      <c r="I827" s="13"/>
      <c r="J827" s="13"/>
      <c r="K827" s="13"/>
      <c r="L827" s="13"/>
      <c r="M827" s="13"/>
      <c r="N827" s="13"/>
      <c r="O827" s="13"/>
      <c r="P827" s="13"/>
      <c r="Q827" s="13"/>
      <c r="R827" s="13"/>
      <c r="S827" s="13"/>
      <c r="T827" s="13"/>
      <c r="U827" s="13"/>
      <c r="V827" s="13"/>
      <c r="W827" s="13"/>
      <c r="X827" s="13"/>
      <c r="Y827" s="13"/>
      <c r="Z827" s="13"/>
      <c r="AA827" s="13"/>
      <c r="AB827" s="15"/>
      <c r="AC827" s="15"/>
      <c r="AD827" s="15"/>
      <c r="AE827" s="13"/>
      <c r="AF827" s="13"/>
      <c r="AG827" s="13"/>
      <c r="AH827" s="15"/>
      <c r="AI827" s="13"/>
      <c r="AJ827" s="13"/>
      <c r="AK827" s="13"/>
      <c r="AL827" s="13"/>
      <c r="AM827" s="15"/>
      <c r="AN827" s="13"/>
      <c r="AO827" s="15"/>
      <c r="AP827" s="15"/>
      <c r="AQ827" s="13"/>
      <c r="AR827" s="13"/>
      <c r="AS827" s="13"/>
      <c r="AT827" s="13"/>
      <c r="AU827" s="13"/>
      <c r="AV827" s="13"/>
      <c r="AW827" s="13"/>
      <c r="AX827" s="13"/>
      <c r="AY827" s="15"/>
      <c r="AZ827" s="15"/>
      <c r="BA827" s="16"/>
      <c r="BB827" s="15"/>
      <c r="BC827" s="15"/>
      <c r="BD827" s="13"/>
      <c r="BE827" s="13"/>
      <c r="BF827" s="13"/>
      <c r="BG827" s="13"/>
      <c r="BH827" s="13"/>
      <c r="BI827" s="13"/>
      <c r="BJ827" s="13"/>
      <c r="BK827" s="13"/>
      <c r="BL827" s="13"/>
      <c r="BM827" s="13"/>
      <c r="BN827" s="13"/>
      <c r="BO827" s="13"/>
      <c r="BP827" s="13"/>
      <c r="BQ827" s="15"/>
      <c r="BR827" s="15"/>
      <c r="BS827" s="15"/>
      <c r="BT827" s="15"/>
      <c r="BU827" s="15"/>
      <c r="BV827" s="15"/>
      <c r="BW827" s="15"/>
      <c r="BX827" s="15"/>
      <c r="BY827" s="15"/>
      <c r="BZ827" s="15"/>
      <c r="CA827" s="15"/>
      <c r="CB827" s="17"/>
      <c r="CC827" s="17"/>
      <c r="CD827" s="18"/>
      <c r="CE827" s="18"/>
      <c r="CF827" s="18"/>
      <c r="CG827" s="18"/>
      <c r="CH827" s="18"/>
    </row>
    <row r="828">
      <c r="A828" s="15"/>
      <c r="B828" s="16"/>
      <c r="C828" s="15"/>
      <c r="D828" s="9"/>
      <c r="E828" s="15"/>
      <c r="F828" s="15"/>
      <c r="G828" s="13"/>
      <c r="H828" s="13"/>
      <c r="I828" s="13"/>
      <c r="J828" s="13"/>
      <c r="K828" s="13"/>
      <c r="L828" s="13"/>
      <c r="M828" s="13"/>
      <c r="N828" s="13"/>
      <c r="O828" s="13"/>
      <c r="P828" s="13"/>
      <c r="Q828" s="13"/>
      <c r="R828" s="13"/>
      <c r="S828" s="13"/>
      <c r="T828" s="13"/>
      <c r="U828" s="13"/>
      <c r="V828" s="13"/>
      <c r="W828" s="13"/>
      <c r="X828" s="13"/>
      <c r="Y828" s="13"/>
      <c r="Z828" s="13"/>
      <c r="AA828" s="13"/>
      <c r="AB828" s="15"/>
      <c r="AC828" s="15"/>
      <c r="AD828" s="15"/>
      <c r="AE828" s="13"/>
      <c r="AF828" s="13"/>
      <c r="AG828" s="13"/>
      <c r="AH828" s="15"/>
      <c r="AI828" s="13"/>
      <c r="AJ828" s="13"/>
      <c r="AK828" s="13"/>
      <c r="AL828" s="13"/>
      <c r="AM828" s="15"/>
      <c r="AN828" s="13"/>
      <c r="AO828" s="15"/>
      <c r="AP828" s="15"/>
      <c r="AQ828" s="13"/>
      <c r="AR828" s="13"/>
      <c r="AS828" s="13"/>
      <c r="AT828" s="13"/>
      <c r="AU828" s="13"/>
      <c r="AV828" s="13"/>
      <c r="AW828" s="13"/>
      <c r="AX828" s="13"/>
      <c r="AY828" s="15"/>
      <c r="AZ828" s="15"/>
      <c r="BA828" s="16"/>
      <c r="BB828" s="15"/>
      <c r="BC828" s="15"/>
      <c r="BD828" s="13"/>
      <c r="BE828" s="13"/>
      <c r="BF828" s="13"/>
      <c r="BG828" s="13"/>
      <c r="BH828" s="13"/>
      <c r="BI828" s="13"/>
      <c r="BJ828" s="13"/>
      <c r="BK828" s="13"/>
      <c r="BL828" s="13"/>
      <c r="BM828" s="13"/>
      <c r="BN828" s="13"/>
      <c r="BO828" s="13"/>
      <c r="BP828" s="13"/>
      <c r="BQ828" s="15"/>
      <c r="BR828" s="15"/>
      <c r="BS828" s="15"/>
      <c r="BT828" s="15"/>
      <c r="BU828" s="15"/>
      <c r="BV828" s="15"/>
      <c r="BW828" s="15"/>
      <c r="BX828" s="15"/>
      <c r="BY828" s="15"/>
      <c r="BZ828" s="15"/>
      <c r="CA828" s="15"/>
      <c r="CB828" s="17"/>
      <c r="CC828" s="17"/>
      <c r="CD828" s="18"/>
      <c r="CE828" s="18"/>
      <c r="CF828" s="18"/>
      <c r="CG828" s="18"/>
      <c r="CH828" s="18"/>
    </row>
    <row r="829">
      <c r="A829" s="15"/>
      <c r="B829" s="16"/>
      <c r="C829" s="15"/>
      <c r="D829" s="9"/>
      <c r="E829" s="15"/>
      <c r="F829" s="15"/>
      <c r="G829" s="13"/>
      <c r="H829" s="13"/>
      <c r="I829" s="13"/>
      <c r="J829" s="13"/>
      <c r="K829" s="13"/>
      <c r="L829" s="13"/>
      <c r="M829" s="13"/>
      <c r="N829" s="13"/>
      <c r="O829" s="13"/>
      <c r="P829" s="13"/>
      <c r="Q829" s="13"/>
      <c r="R829" s="13"/>
      <c r="S829" s="13"/>
      <c r="T829" s="13"/>
      <c r="U829" s="13"/>
      <c r="V829" s="13"/>
      <c r="W829" s="13"/>
      <c r="X829" s="13"/>
      <c r="Y829" s="13"/>
      <c r="Z829" s="13"/>
      <c r="AA829" s="13"/>
      <c r="AB829" s="15"/>
      <c r="AC829" s="15"/>
      <c r="AD829" s="15"/>
      <c r="AE829" s="13"/>
      <c r="AF829" s="13"/>
      <c r="AG829" s="13"/>
      <c r="AH829" s="15"/>
      <c r="AI829" s="13"/>
      <c r="AJ829" s="13"/>
      <c r="AK829" s="13"/>
      <c r="AL829" s="13"/>
      <c r="AM829" s="15"/>
      <c r="AN829" s="13"/>
      <c r="AO829" s="15"/>
      <c r="AP829" s="15"/>
      <c r="AQ829" s="13"/>
      <c r="AR829" s="13"/>
      <c r="AS829" s="13"/>
      <c r="AT829" s="13"/>
      <c r="AU829" s="13"/>
      <c r="AV829" s="13"/>
      <c r="AW829" s="13"/>
      <c r="AX829" s="13"/>
      <c r="AY829" s="15"/>
      <c r="AZ829" s="15"/>
      <c r="BA829" s="16"/>
      <c r="BB829" s="15"/>
      <c r="BC829" s="15"/>
      <c r="BD829" s="13"/>
      <c r="BE829" s="13"/>
      <c r="BF829" s="13"/>
      <c r="BG829" s="13"/>
      <c r="BH829" s="13"/>
      <c r="BI829" s="13"/>
      <c r="BJ829" s="13"/>
      <c r="BK829" s="13"/>
      <c r="BL829" s="13"/>
      <c r="BM829" s="13"/>
      <c r="BN829" s="13"/>
      <c r="BO829" s="13"/>
      <c r="BP829" s="13"/>
      <c r="BQ829" s="15"/>
      <c r="BR829" s="15"/>
      <c r="BS829" s="15"/>
      <c r="BT829" s="15"/>
      <c r="BU829" s="15"/>
      <c r="BV829" s="15"/>
      <c r="BW829" s="15"/>
      <c r="BX829" s="15"/>
      <c r="BY829" s="15"/>
      <c r="BZ829" s="15"/>
      <c r="CA829" s="15"/>
      <c r="CB829" s="17"/>
      <c r="CC829" s="17"/>
      <c r="CD829" s="18"/>
      <c r="CE829" s="18"/>
      <c r="CF829" s="18"/>
      <c r="CG829" s="18"/>
      <c r="CH829" s="18"/>
    </row>
    <row r="830">
      <c r="A830" s="15"/>
      <c r="B830" s="16"/>
      <c r="C830" s="15"/>
      <c r="D830" s="9"/>
      <c r="E830" s="15"/>
      <c r="F830" s="15"/>
      <c r="G830" s="13"/>
      <c r="H830" s="13"/>
      <c r="I830" s="13"/>
      <c r="J830" s="13"/>
      <c r="K830" s="13"/>
      <c r="L830" s="13"/>
      <c r="M830" s="13"/>
      <c r="N830" s="13"/>
      <c r="O830" s="13"/>
      <c r="P830" s="13"/>
      <c r="Q830" s="13"/>
      <c r="R830" s="13"/>
      <c r="S830" s="13"/>
      <c r="T830" s="13"/>
      <c r="U830" s="13"/>
      <c r="V830" s="13"/>
      <c r="W830" s="13"/>
      <c r="X830" s="13"/>
      <c r="Y830" s="13"/>
      <c r="Z830" s="13"/>
      <c r="AA830" s="13"/>
      <c r="AB830" s="15"/>
      <c r="AC830" s="15"/>
      <c r="AD830" s="15"/>
      <c r="AE830" s="13"/>
      <c r="AF830" s="13"/>
      <c r="AG830" s="13"/>
      <c r="AH830" s="15"/>
      <c r="AI830" s="13"/>
      <c r="AJ830" s="13"/>
      <c r="AK830" s="13"/>
      <c r="AL830" s="13"/>
      <c r="AM830" s="15"/>
      <c r="AN830" s="13"/>
      <c r="AO830" s="15"/>
      <c r="AP830" s="15"/>
      <c r="AQ830" s="13"/>
      <c r="AR830" s="13"/>
      <c r="AS830" s="13"/>
      <c r="AT830" s="13"/>
      <c r="AU830" s="13"/>
      <c r="AV830" s="13"/>
      <c r="AW830" s="13"/>
      <c r="AX830" s="13"/>
      <c r="AY830" s="15"/>
      <c r="AZ830" s="15"/>
      <c r="BA830" s="16"/>
      <c r="BB830" s="15"/>
      <c r="BC830" s="15"/>
      <c r="BD830" s="13"/>
      <c r="BE830" s="13"/>
      <c r="BF830" s="13"/>
      <c r="BG830" s="13"/>
      <c r="BH830" s="13"/>
      <c r="BI830" s="13"/>
      <c r="BJ830" s="13"/>
      <c r="BK830" s="13"/>
      <c r="BL830" s="13"/>
      <c r="BM830" s="13"/>
      <c r="BN830" s="13"/>
      <c r="BO830" s="13"/>
      <c r="BP830" s="13"/>
      <c r="BQ830" s="15"/>
      <c r="BR830" s="15"/>
      <c r="BS830" s="15"/>
      <c r="BT830" s="15"/>
      <c r="BU830" s="15"/>
      <c r="BV830" s="15"/>
      <c r="BW830" s="15"/>
      <c r="BX830" s="15"/>
      <c r="BY830" s="15"/>
      <c r="BZ830" s="15"/>
      <c r="CA830" s="15"/>
      <c r="CB830" s="17"/>
      <c r="CC830" s="17"/>
      <c r="CD830" s="18"/>
      <c r="CE830" s="18"/>
      <c r="CF830" s="18"/>
      <c r="CG830" s="18"/>
      <c r="CH830" s="18"/>
    </row>
    <row r="831">
      <c r="A831" s="15"/>
      <c r="B831" s="16"/>
      <c r="C831" s="15"/>
      <c r="D831" s="9"/>
      <c r="E831" s="15"/>
      <c r="F831" s="15"/>
      <c r="G831" s="13"/>
      <c r="H831" s="13"/>
      <c r="I831" s="13"/>
      <c r="J831" s="13"/>
      <c r="K831" s="13"/>
      <c r="L831" s="13"/>
      <c r="M831" s="13"/>
      <c r="N831" s="13"/>
      <c r="O831" s="13"/>
      <c r="P831" s="13"/>
      <c r="Q831" s="13"/>
      <c r="R831" s="13"/>
      <c r="S831" s="13"/>
      <c r="T831" s="13"/>
      <c r="U831" s="13"/>
      <c r="V831" s="13"/>
      <c r="W831" s="13"/>
      <c r="X831" s="13"/>
      <c r="Y831" s="13"/>
      <c r="Z831" s="13"/>
      <c r="AA831" s="13"/>
      <c r="AB831" s="15"/>
      <c r="AC831" s="15"/>
      <c r="AD831" s="15"/>
      <c r="AE831" s="13"/>
      <c r="AF831" s="13"/>
      <c r="AG831" s="13"/>
      <c r="AH831" s="15"/>
      <c r="AI831" s="13"/>
      <c r="AJ831" s="13"/>
      <c r="AK831" s="13"/>
      <c r="AL831" s="13"/>
      <c r="AM831" s="15"/>
      <c r="AN831" s="13"/>
      <c r="AO831" s="15"/>
      <c r="AP831" s="15"/>
      <c r="AQ831" s="13"/>
      <c r="AR831" s="13"/>
      <c r="AS831" s="13"/>
      <c r="AT831" s="13"/>
      <c r="AU831" s="13"/>
      <c r="AV831" s="13"/>
      <c r="AW831" s="13"/>
      <c r="AX831" s="13"/>
      <c r="AY831" s="15"/>
      <c r="AZ831" s="15"/>
      <c r="BA831" s="16"/>
      <c r="BB831" s="15"/>
      <c r="BC831" s="15"/>
      <c r="BD831" s="13"/>
      <c r="BE831" s="13"/>
      <c r="BF831" s="13"/>
      <c r="BG831" s="13"/>
      <c r="BH831" s="13"/>
      <c r="BI831" s="13"/>
      <c r="BJ831" s="13"/>
      <c r="BK831" s="13"/>
      <c r="BL831" s="13"/>
      <c r="BM831" s="13"/>
      <c r="BN831" s="13"/>
      <c r="BO831" s="13"/>
      <c r="BP831" s="13"/>
      <c r="BQ831" s="15"/>
      <c r="BR831" s="15"/>
      <c r="BS831" s="15"/>
      <c r="BT831" s="15"/>
      <c r="BU831" s="15"/>
      <c r="BV831" s="15"/>
      <c r="BW831" s="15"/>
      <c r="BX831" s="15"/>
      <c r="BY831" s="15"/>
      <c r="BZ831" s="15"/>
      <c r="CA831" s="15"/>
      <c r="CB831" s="17"/>
      <c r="CC831" s="17"/>
      <c r="CD831" s="18"/>
      <c r="CE831" s="18"/>
      <c r="CF831" s="18"/>
      <c r="CG831" s="18"/>
      <c r="CH831" s="18"/>
    </row>
    <row r="832">
      <c r="A832" s="15"/>
      <c r="B832" s="16"/>
      <c r="C832" s="15"/>
      <c r="D832" s="9"/>
      <c r="E832" s="15"/>
      <c r="F832" s="15"/>
      <c r="G832" s="13"/>
      <c r="H832" s="13"/>
      <c r="I832" s="13"/>
      <c r="J832" s="13"/>
      <c r="K832" s="13"/>
      <c r="L832" s="13"/>
      <c r="M832" s="13"/>
      <c r="N832" s="13"/>
      <c r="O832" s="13"/>
      <c r="P832" s="13"/>
      <c r="Q832" s="13"/>
      <c r="R832" s="13"/>
      <c r="S832" s="13"/>
      <c r="T832" s="13"/>
      <c r="U832" s="13"/>
      <c r="V832" s="13"/>
      <c r="W832" s="13"/>
      <c r="X832" s="13"/>
      <c r="Y832" s="13"/>
      <c r="Z832" s="13"/>
      <c r="AA832" s="13"/>
      <c r="AB832" s="15"/>
      <c r="AC832" s="15"/>
      <c r="AD832" s="15"/>
      <c r="AE832" s="13"/>
      <c r="AF832" s="13"/>
      <c r="AG832" s="13"/>
      <c r="AH832" s="15"/>
      <c r="AI832" s="13"/>
      <c r="AJ832" s="13"/>
      <c r="AK832" s="13"/>
      <c r="AL832" s="13"/>
      <c r="AM832" s="15"/>
      <c r="AN832" s="13"/>
      <c r="AO832" s="15"/>
      <c r="AP832" s="15"/>
      <c r="AQ832" s="13"/>
      <c r="AR832" s="13"/>
      <c r="AS832" s="13"/>
      <c r="AT832" s="13"/>
      <c r="AU832" s="13"/>
      <c r="AV832" s="13"/>
      <c r="AW832" s="13"/>
      <c r="AX832" s="13"/>
      <c r="AY832" s="15"/>
      <c r="AZ832" s="15"/>
      <c r="BA832" s="16"/>
      <c r="BB832" s="15"/>
      <c r="BC832" s="15"/>
      <c r="BD832" s="13"/>
      <c r="BE832" s="13"/>
      <c r="BF832" s="13"/>
      <c r="BG832" s="13"/>
      <c r="BH832" s="13"/>
      <c r="BI832" s="13"/>
      <c r="BJ832" s="13"/>
      <c r="BK832" s="13"/>
      <c r="BL832" s="13"/>
      <c r="BM832" s="13"/>
      <c r="BN832" s="13"/>
      <c r="BO832" s="13"/>
      <c r="BP832" s="13"/>
      <c r="BQ832" s="15"/>
      <c r="BR832" s="15"/>
      <c r="BS832" s="15"/>
      <c r="BT832" s="15"/>
      <c r="BU832" s="15"/>
      <c r="BV832" s="15"/>
      <c r="BW832" s="15"/>
      <c r="BX832" s="15"/>
      <c r="BY832" s="15"/>
      <c r="BZ832" s="15"/>
      <c r="CA832" s="15"/>
      <c r="CB832" s="17"/>
      <c r="CC832" s="17"/>
      <c r="CD832" s="18"/>
      <c r="CE832" s="18"/>
      <c r="CF832" s="18"/>
      <c r="CG832" s="18"/>
      <c r="CH832" s="18"/>
    </row>
    <row r="833">
      <c r="A833" s="15"/>
      <c r="B833" s="16"/>
      <c r="C833" s="15"/>
      <c r="D833" s="9"/>
      <c r="E833" s="15"/>
      <c r="F833" s="15"/>
      <c r="G833" s="13"/>
      <c r="H833" s="13"/>
      <c r="I833" s="13"/>
      <c r="J833" s="13"/>
      <c r="K833" s="13"/>
      <c r="L833" s="13"/>
      <c r="M833" s="13"/>
      <c r="N833" s="13"/>
      <c r="O833" s="13"/>
      <c r="P833" s="13"/>
      <c r="Q833" s="13"/>
      <c r="R833" s="13"/>
      <c r="S833" s="13"/>
      <c r="T833" s="13"/>
      <c r="U833" s="13"/>
      <c r="V833" s="13"/>
      <c r="W833" s="13"/>
      <c r="X833" s="13"/>
      <c r="Y833" s="13"/>
      <c r="Z833" s="13"/>
      <c r="AA833" s="13"/>
      <c r="AB833" s="15"/>
      <c r="AC833" s="15"/>
      <c r="AD833" s="15"/>
      <c r="AE833" s="13"/>
      <c r="AF833" s="13"/>
      <c r="AG833" s="13"/>
      <c r="AH833" s="15"/>
      <c r="AI833" s="13"/>
      <c r="AJ833" s="13"/>
      <c r="AK833" s="13"/>
      <c r="AL833" s="13"/>
      <c r="AM833" s="15"/>
      <c r="AN833" s="13"/>
      <c r="AO833" s="15"/>
      <c r="AP833" s="15"/>
      <c r="AQ833" s="13"/>
      <c r="AR833" s="13"/>
      <c r="AS833" s="13"/>
      <c r="AT833" s="13"/>
      <c r="AU833" s="13"/>
      <c r="AV833" s="13"/>
      <c r="AW833" s="13"/>
      <c r="AX833" s="13"/>
      <c r="AY833" s="15"/>
      <c r="AZ833" s="15"/>
      <c r="BA833" s="16"/>
      <c r="BB833" s="15"/>
      <c r="BC833" s="15"/>
      <c r="BD833" s="13"/>
      <c r="BE833" s="13"/>
      <c r="BF833" s="13"/>
      <c r="BG833" s="13"/>
      <c r="BH833" s="13"/>
      <c r="BI833" s="13"/>
      <c r="BJ833" s="13"/>
      <c r="BK833" s="13"/>
      <c r="BL833" s="13"/>
      <c r="BM833" s="13"/>
      <c r="BN833" s="13"/>
      <c r="BO833" s="13"/>
      <c r="BP833" s="13"/>
      <c r="BQ833" s="15"/>
      <c r="BR833" s="15"/>
      <c r="BS833" s="15"/>
      <c r="BT833" s="15"/>
      <c r="BU833" s="15"/>
      <c r="BV833" s="15"/>
      <c r="BW833" s="15"/>
      <c r="BX833" s="15"/>
      <c r="BY833" s="15"/>
      <c r="BZ833" s="15"/>
      <c r="CA833" s="15"/>
      <c r="CB833" s="17"/>
      <c r="CC833" s="17"/>
      <c r="CD833" s="18"/>
      <c r="CE833" s="18"/>
      <c r="CF833" s="18"/>
      <c r="CG833" s="18"/>
      <c r="CH833" s="18"/>
    </row>
    <row r="834">
      <c r="A834" s="15"/>
      <c r="B834" s="16"/>
      <c r="C834" s="15"/>
      <c r="D834" s="9"/>
      <c r="E834" s="15"/>
      <c r="F834" s="15"/>
      <c r="G834" s="13"/>
      <c r="H834" s="13"/>
      <c r="I834" s="13"/>
      <c r="J834" s="13"/>
      <c r="K834" s="13"/>
      <c r="L834" s="13"/>
      <c r="M834" s="13"/>
      <c r="N834" s="13"/>
      <c r="O834" s="13"/>
      <c r="P834" s="13"/>
      <c r="Q834" s="13"/>
      <c r="R834" s="13"/>
      <c r="S834" s="13"/>
      <c r="T834" s="13"/>
      <c r="U834" s="13"/>
      <c r="V834" s="13"/>
      <c r="W834" s="13"/>
      <c r="X834" s="13"/>
      <c r="Y834" s="13"/>
      <c r="Z834" s="13"/>
      <c r="AA834" s="13"/>
      <c r="AB834" s="15"/>
      <c r="AC834" s="15"/>
      <c r="AD834" s="15"/>
      <c r="AE834" s="13"/>
      <c r="AF834" s="13"/>
      <c r="AG834" s="13"/>
      <c r="AH834" s="15"/>
      <c r="AI834" s="13"/>
      <c r="AJ834" s="13"/>
      <c r="AK834" s="13"/>
      <c r="AL834" s="13"/>
      <c r="AM834" s="15"/>
      <c r="AN834" s="13"/>
      <c r="AO834" s="15"/>
      <c r="AP834" s="15"/>
      <c r="AQ834" s="13"/>
      <c r="AR834" s="13"/>
      <c r="AS834" s="13"/>
      <c r="AT834" s="13"/>
      <c r="AU834" s="13"/>
      <c r="AV834" s="13"/>
      <c r="AW834" s="13"/>
      <c r="AX834" s="13"/>
      <c r="AY834" s="15"/>
      <c r="AZ834" s="15"/>
      <c r="BA834" s="16"/>
      <c r="BB834" s="15"/>
      <c r="BC834" s="15"/>
      <c r="BD834" s="13"/>
      <c r="BE834" s="13"/>
      <c r="BF834" s="13"/>
      <c r="BG834" s="13"/>
      <c r="BH834" s="13"/>
      <c r="BI834" s="13"/>
      <c r="BJ834" s="13"/>
      <c r="BK834" s="13"/>
      <c r="BL834" s="13"/>
      <c r="BM834" s="13"/>
      <c r="BN834" s="13"/>
      <c r="BO834" s="13"/>
      <c r="BP834" s="13"/>
      <c r="BQ834" s="15"/>
      <c r="BR834" s="15"/>
      <c r="BS834" s="15"/>
      <c r="BT834" s="15"/>
      <c r="BU834" s="15"/>
      <c r="BV834" s="15"/>
      <c r="BW834" s="15"/>
      <c r="BX834" s="15"/>
      <c r="BY834" s="15"/>
      <c r="BZ834" s="15"/>
      <c r="CA834" s="15"/>
      <c r="CB834" s="17"/>
      <c r="CC834" s="17"/>
      <c r="CD834" s="18"/>
      <c r="CE834" s="18"/>
      <c r="CF834" s="18"/>
      <c r="CG834" s="18"/>
      <c r="CH834" s="18"/>
    </row>
    <row r="835">
      <c r="A835" s="15"/>
      <c r="B835" s="16"/>
      <c r="C835" s="15"/>
      <c r="D835" s="9"/>
      <c r="E835" s="15"/>
      <c r="F835" s="15"/>
      <c r="G835" s="13"/>
      <c r="H835" s="13"/>
      <c r="I835" s="13"/>
      <c r="J835" s="13"/>
      <c r="K835" s="13"/>
      <c r="L835" s="13"/>
      <c r="M835" s="13"/>
      <c r="N835" s="13"/>
      <c r="O835" s="13"/>
      <c r="P835" s="13"/>
      <c r="Q835" s="13"/>
      <c r="R835" s="13"/>
      <c r="S835" s="13"/>
      <c r="T835" s="13"/>
      <c r="U835" s="13"/>
      <c r="V835" s="13"/>
      <c r="W835" s="13"/>
      <c r="X835" s="13"/>
      <c r="Y835" s="13"/>
      <c r="Z835" s="13"/>
      <c r="AA835" s="13"/>
      <c r="AB835" s="15"/>
      <c r="AC835" s="15"/>
      <c r="AD835" s="15"/>
      <c r="AE835" s="13"/>
      <c r="AF835" s="13"/>
      <c r="AG835" s="13"/>
      <c r="AH835" s="15"/>
      <c r="AI835" s="13"/>
      <c r="AJ835" s="13"/>
      <c r="AK835" s="13"/>
      <c r="AL835" s="13"/>
      <c r="AM835" s="15"/>
      <c r="AN835" s="13"/>
      <c r="AO835" s="15"/>
      <c r="AP835" s="15"/>
      <c r="AQ835" s="13"/>
      <c r="AR835" s="13"/>
      <c r="AS835" s="13"/>
      <c r="AT835" s="13"/>
      <c r="AU835" s="13"/>
      <c r="AV835" s="13"/>
      <c r="AW835" s="13"/>
      <c r="AX835" s="13"/>
      <c r="AY835" s="15"/>
      <c r="AZ835" s="15"/>
      <c r="BA835" s="16"/>
      <c r="BB835" s="15"/>
      <c r="BC835" s="15"/>
      <c r="BD835" s="13"/>
      <c r="BE835" s="13"/>
      <c r="BF835" s="13"/>
      <c r="BG835" s="13"/>
      <c r="BH835" s="13"/>
      <c r="BI835" s="13"/>
      <c r="BJ835" s="13"/>
      <c r="BK835" s="13"/>
      <c r="BL835" s="13"/>
      <c r="BM835" s="13"/>
      <c r="BN835" s="13"/>
      <c r="BO835" s="13"/>
      <c r="BP835" s="13"/>
      <c r="BQ835" s="15"/>
      <c r="BR835" s="15"/>
      <c r="BS835" s="15"/>
      <c r="BT835" s="15"/>
      <c r="BU835" s="15"/>
      <c r="BV835" s="15"/>
      <c r="BW835" s="15"/>
      <c r="BX835" s="15"/>
      <c r="BY835" s="15"/>
      <c r="BZ835" s="15"/>
      <c r="CA835" s="15"/>
      <c r="CB835" s="17"/>
      <c r="CC835" s="17"/>
      <c r="CD835" s="18"/>
      <c r="CE835" s="18"/>
      <c r="CF835" s="18"/>
      <c r="CG835" s="18"/>
      <c r="CH835" s="18"/>
    </row>
    <row r="836">
      <c r="A836" s="15"/>
      <c r="B836" s="16"/>
      <c r="C836" s="15"/>
      <c r="D836" s="9"/>
      <c r="E836" s="15"/>
      <c r="F836" s="15"/>
      <c r="G836" s="13"/>
      <c r="H836" s="13"/>
      <c r="I836" s="13"/>
      <c r="J836" s="13"/>
      <c r="K836" s="13"/>
      <c r="L836" s="13"/>
      <c r="M836" s="13"/>
      <c r="N836" s="13"/>
      <c r="O836" s="13"/>
      <c r="P836" s="13"/>
      <c r="Q836" s="13"/>
      <c r="R836" s="13"/>
      <c r="S836" s="13"/>
      <c r="T836" s="13"/>
      <c r="U836" s="13"/>
      <c r="V836" s="13"/>
      <c r="W836" s="13"/>
      <c r="X836" s="13"/>
      <c r="Y836" s="13"/>
      <c r="Z836" s="13"/>
      <c r="AA836" s="13"/>
      <c r="AB836" s="15"/>
      <c r="AC836" s="15"/>
      <c r="AD836" s="15"/>
      <c r="AE836" s="13"/>
      <c r="AF836" s="13"/>
      <c r="AG836" s="13"/>
      <c r="AH836" s="15"/>
      <c r="AI836" s="13"/>
      <c r="AJ836" s="13"/>
      <c r="AK836" s="13"/>
      <c r="AL836" s="13"/>
      <c r="AM836" s="15"/>
      <c r="AN836" s="13"/>
      <c r="AO836" s="15"/>
      <c r="AP836" s="15"/>
      <c r="AQ836" s="13"/>
      <c r="AR836" s="13"/>
      <c r="AS836" s="13"/>
      <c r="AT836" s="13"/>
      <c r="AU836" s="13"/>
      <c r="AV836" s="13"/>
      <c r="AW836" s="13"/>
      <c r="AX836" s="13"/>
      <c r="AY836" s="15"/>
      <c r="AZ836" s="15"/>
      <c r="BA836" s="16"/>
      <c r="BB836" s="15"/>
      <c r="BC836" s="15"/>
      <c r="BD836" s="13"/>
      <c r="BE836" s="13"/>
      <c r="BF836" s="13"/>
      <c r="BG836" s="13"/>
      <c r="BH836" s="13"/>
      <c r="BI836" s="13"/>
      <c r="BJ836" s="13"/>
      <c r="BK836" s="13"/>
      <c r="BL836" s="13"/>
      <c r="BM836" s="13"/>
      <c r="BN836" s="13"/>
      <c r="BO836" s="13"/>
      <c r="BP836" s="13"/>
      <c r="BQ836" s="15"/>
      <c r="BR836" s="15"/>
      <c r="BS836" s="15"/>
      <c r="BT836" s="15"/>
      <c r="BU836" s="15"/>
      <c r="BV836" s="15"/>
      <c r="BW836" s="15"/>
      <c r="BX836" s="15"/>
      <c r="BY836" s="15"/>
      <c r="BZ836" s="15"/>
      <c r="CA836" s="15"/>
      <c r="CB836" s="17"/>
      <c r="CC836" s="17"/>
      <c r="CD836" s="18"/>
      <c r="CE836" s="18"/>
      <c r="CF836" s="18"/>
      <c r="CG836" s="18"/>
      <c r="CH836" s="18"/>
    </row>
    <row r="837">
      <c r="A837" s="15"/>
      <c r="B837" s="16"/>
      <c r="C837" s="15"/>
      <c r="D837" s="9"/>
      <c r="E837" s="15"/>
      <c r="F837" s="15"/>
      <c r="G837" s="13"/>
      <c r="H837" s="13"/>
      <c r="I837" s="13"/>
      <c r="J837" s="13"/>
      <c r="K837" s="13"/>
      <c r="L837" s="13"/>
      <c r="M837" s="13"/>
      <c r="N837" s="13"/>
      <c r="O837" s="13"/>
      <c r="P837" s="13"/>
      <c r="Q837" s="13"/>
      <c r="R837" s="13"/>
      <c r="S837" s="13"/>
      <c r="T837" s="13"/>
      <c r="U837" s="13"/>
      <c r="V837" s="13"/>
      <c r="W837" s="13"/>
      <c r="X837" s="13"/>
      <c r="Y837" s="13"/>
      <c r="Z837" s="13"/>
      <c r="AA837" s="13"/>
      <c r="AB837" s="15"/>
      <c r="AC837" s="15"/>
      <c r="AD837" s="15"/>
      <c r="AE837" s="13"/>
      <c r="AF837" s="13"/>
      <c r="AG837" s="13"/>
      <c r="AH837" s="15"/>
      <c r="AI837" s="13"/>
      <c r="AJ837" s="13"/>
      <c r="AK837" s="13"/>
      <c r="AL837" s="13"/>
      <c r="AM837" s="15"/>
      <c r="AN837" s="13"/>
      <c r="AO837" s="15"/>
      <c r="AP837" s="15"/>
      <c r="AQ837" s="13"/>
      <c r="AR837" s="13"/>
      <c r="AS837" s="13"/>
      <c r="AT837" s="13"/>
      <c r="AU837" s="13"/>
      <c r="AV837" s="13"/>
      <c r="AW837" s="13"/>
      <c r="AX837" s="13"/>
      <c r="AY837" s="15"/>
      <c r="AZ837" s="15"/>
      <c r="BA837" s="16"/>
      <c r="BB837" s="15"/>
      <c r="BC837" s="15"/>
      <c r="BD837" s="13"/>
      <c r="BE837" s="13"/>
      <c r="BF837" s="13"/>
      <c r="BG837" s="13"/>
      <c r="BH837" s="13"/>
      <c r="BI837" s="13"/>
      <c r="BJ837" s="13"/>
      <c r="BK837" s="13"/>
      <c r="BL837" s="13"/>
      <c r="BM837" s="13"/>
      <c r="BN837" s="13"/>
      <c r="BO837" s="13"/>
      <c r="BP837" s="13"/>
      <c r="BQ837" s="15"/>
      <c r="BR837" s="15"/>
      <c r="BS837" s="15"/>
      <c r="BT837" s="15"/>
      <c r="BU837" s="15"/>
      <c r="BV837" s="15"/>
      <c r="BW837" s="15"/>
      <c r="BX837" s="15"/>
      <c r="BY837" s="15"/>
      <c r="BZ837" s="15"/>
      <c r="CA837" s="15"/>
      <c r="CB837" s="17"/>
      <c r="CC837" s="17"/>
      <c r="CD837" s="18"/>
      <c r="CE837" s="18"/>
      <c r="CF837" s="18"/>
      <c r="CG837" s="18"/>
      <c r="CH837" s="18"/>
    </row>
    <row r="838">
      <c r="A838" s="15"/>
      <c r="B838" s="16"/>
      <c r="C838" s="15"/>
      <c r="D838" s="9"/>
      <c r="E838" s="15"/>
      <c r="F838" s="15"/>
      <c r="G838" s="13"/>
      <c r="H838" s="13"/>
      <c r="I838" s="13"/>
      <c r="J838" s="13"/>
      <c r="K838" s="13"/>
      <c r="L838" s="13"/>
      <c r="M838" s="13"/>
      <c r="N838" s="13"/>
      <c r="O838" s="13"/>
      <c r="P838" s="13"/>
      <c r="Q838" s="13"/>
      <c r="R838" s="13"/>
      <c r="S838" s="13"/>
      <c r="T838" s="13"/>
      <c r="U838" s="13"/>
      <c r="V838" s="13"/>
      <c r="W838" s="13"/>
      <c r="X838" s="13"/>
      <c r="Y838" s="13"/>
      <c r="Z838" s="13"/>
      <c r="AA838" s="13"/>
      <c r="AB838" s="15"/>
      <c r="AC838" s="15"/>
      <c r="AD838" s="15"/>
      <c r="AE838" s="13"/>
      <c r="AF838" s="13"/>
      <c r="AG838" s="13"/>
      <c r="AH838" s="15"/>
      <c r="AI838" s="13"/>
      <c r="AJ838" s="13"/>
      <c r="AK838" s="13"/>
      <c r="AL838" s="13"/>
      <c r="AM838" s="15"/>
      <c r="AN838" s="13"/>
      <c r="AO838" s="15"/>
      <c r="AP838" s="15"/>
      <c r="AQ838" s="13"/>
      <c r="AR838" s="13"/>
      <c r="AS838" s="13"/>
      <c r="AT838" s="13"/>
      <c r="AU838" s="13"/>
      <c r="AV838" s="13"/>
      <c r="AW838" s="13"/>
      <c r="AX838" s="13"/>
      <c r="AY838" s="15"/>
      <c r="AZ838" s="15"/>
      <c r="BA838" s="16"/>
      <c r="BB838" s="15"/>
      <c r="BC838" s="15"/>
      <c r="BD838" s="13"/>
      <c r="BE838" s="13"/>
      <c r="BF838" s="13"/>
      <c r="BG838" s="13"/>
      <c r="BH838" s="13"/>
      <c r="BI838" s="13"/>
      <c r="BJ838" s="13"/>
      <c r="BK838" s="13"/>
      <c r="BL838" s="13"/>
      <c r="BM838" s="13"/>
      <c r="BN838" s="13"/>
      <c r="BO838" s="13"/>
      <c r="BP838" s="13"/>
      <c r="BQ838" s="15"/>
      <c r="BR838" s="15"/>
      <c r="BS838" s="15"/>
      <c r="BT838" s="15"/>
      <c r="BU838" s="15"/>
      <c r="BV838" s="15"/>
      <c r="BW838" s="15"/>
      <c r="BX838" s="15"/>
      <c r="BY838" s="15"/>
      <c r="BZ838" s="15"/>
      <c r="CA838" s="15"/>
      <c r="CB838" s="17"/>
      <c r="CC838" s="17"/>
      <c r="CD838" s="18"/>
      <c r="CE838" s="18"/>
      <c r="CF838" s="18"/>
      <c r="CG838" s="18"/>
      <c r="CH838" s="18"/>
    </row>
    <row r="839">
      <c r="A839" s="15"/>
      <c r="B839" s="16"/>
      <c r="C839" s="15"/>
      <c r="D839" s="9"/>
      <c r="E839" s="15"/>
      <c r="F839" s="15"/>
      <c r="G839" s="13"/>
      <c r="H839" s="13"/>
      <c r="I839" s="13"/>
      <c r="J839" s="13"/>
      <c r="K839" s="13"/>
      <c r="L839" s="13"/>
      <c r="M839" s="13"/>
      <c r="N839" s="13"/>
      <c r="O839" s="13"/>
      <c r="P839" s="13"/>
      <c r="Q839" s="13"/>
      <c r="R839" s="13"/>
      <c r="S839" s="13"/>
      <c r="T839" s="13"/>
      <c r="U839" s="13"/>
      <c r="V839" s="13"/>
      <c r="W839" s="13"/>
      <c r="X839" s="13"/>
      <c r="Y839" s="13"/>
      <c r="Z839" s="13"/>
      <c r="AA839" s="13"/>
      <c r="AB839" s="15"/>
      <c r="AC839" s="15"/>
      <c r="AD839" s="15"/>
      <c r="AE839" s="13"/>
      <c r="AF839" s="13"/>
      <c r="AG839" s="13"/>
      <c r="AH839" s="15"/>
      <c r="AI839" s="13"/>
      <c r="AJ839" s="13"/>
      <c r="AK839" s="13"/>
      <c r="AL839" s="13"/>
      <c r="AM839" s="15"/>
      <c r="AN839" s="13"/>
      <c r="AO839" s="15"/>
      <c r="AP839" s="15"/>
      <c r="AQ839" s="13"/>
      <c r="AR839" s="13"/>
      <c r="AS839" s="13"/>
      <c r="AT839" s="13"/>
      <c r="AU839" s="13"/>
      <c r="AV839" s="13"/>
      <c r="AW839" s="13"/>
      <c r="AX839" s="13"/>
      <c r="AY839" s="15"/>
      <c r="AZ839" s="15"/>
      <c r="BA839" s="16"/>
      <c r="BB839" s="15"/>
      <c r="BC839" s="15"/>
      <c r="BD839" s="13"/>
      <c r="BE839" s="13"/>
      <c r="BF839" s="13"/>
      <c r="BG839" s="13"/>
      <c r="BH839" s="13"/>
      <c r="BI839" s="13"/>
      <c r="BJ839" s="13"/>
      <c r="BK839" s="13"/>
      <c r="BL839" s="13"/>
      <c r="BM839" s="13"/>
      <c r="BN839" s="13"/>
      <c r="BO839" s="13"/>
      <c r="BP839" s="13"/>
      <c r="BQ839" s="15"/>
      <c r="BR839" s="15"/>
      <c r="BS839" s="15"/>
      <c r="BT839" s="15"/>
      <c r="BU839" s="15"/>
      <c r="BV839" s="15"/>
      <c r="BW839" s="15"/>
      <c r="BX839" s="15"/>
      <c r="BY839" s="15"/>
      <c r="BZ839" s="15"/>
      <c r="CA839" s="15"/>
      <c r="CB839" s="17"/>
      <c r="CC839" s="17"/>
      <c r="CD839" s="18"/>
      <c r="CE839" s="18"/>
      <c r="CF839" s="18"/>
      <c r="CG839" s="18"/>
      <c r="CH839" s="18"/>
    </row>
    <row r="840">
      <c r="A840" s="15"/>
      <c r="B840" s="16"/>
      <c r="C840" s="15"/>
      <c r="D840" s="9"/>
      <c r="E840" s="15"/>
      <c r="F840" s="15"/>
      <c r="G840" s="13"/>
      <c r="H840" s="13"/>
      <c r="I840" s="13"/>
      <c r="J840" s="13"/>
      <c r="K840" s="13"/>
      <c r="L840" s="13"/>
      <c r="M840" s="13"/>
      <c r="N840" s="13"/>
      <c r="O840" s="13"/>
      <c r="P840" s="13"/>
      <c r="Q840" s="13"/>
      <c r="R840" s="13"/>
      <c r="S840" s="13"/>
      <c r="T840" s="13"/>
      <c r="U840" s="13"/>
      <c r="V840" s="13"/>
      <c r="W840" s="13"/>
      <c r="X840" s="13"/>
      <c r="Y840" s="13"/>
      <c r="Z840" s="13"/>
      <c r="AA840" s="13"/>
      <c r="AB840" s="15"/>
      <c r="AC840" s="15"/>
      <c r="AD840" s="15"/>
      <c r="AE840" s="13"/>
      <c r="AF840" s="13"/>
      <c r="AG840" s="13"/>
      <c r="AH840" s="15"/>
      <c r="AI840" s="13"/>
      <c r="AJ840" s="13"/>
      <c r="AK840" s="13"/>
      <c r="AL840" s="13"/>
      <c r="AM840" s="15"/>
      <c r="AN840" s="13"/>
      <c r="AO840" s="15"/>
      <c r="AP840" s="15"/>
      <c r="AQ840" s="13"/>
      <c r="AR840" s="13"/>
      <c r="AS840" s="13"/>
      <c r="AT840" s="13"/>
      <c r="AU840" s="13"/>
      <c r="AV840" s="13"/>
      <c r="AW840" s="13"/>
      <c r="AX840" s="13"/>
      <c r="AY840" s="15"/>
      <c r="AZ840" s="15"/>
      <c r="BA840" s="16"/>
      <c r="BB840" s="15"/>
      <c r="BC840" s="15"/>
      <c r="BD840" s="13"/>
      <c r="BE840" s="13"/>
      <c r="BF840" s="13"/>
      <c r="BG840" s="13"/>
      <c r="BH840" s="13"/>
      <c r="BI840" s="13"/>
      <c r="BJ840" s="13"/>
      <c r="BK840" s="13"/>
      <c r="BL840" s="13"/>
      <c r="BM840" s="13"/>
      <c r="BN840" s="13"/>
      <c r="BO840" s="13"/>
      <c r="BP840" s="13"/>
      <c r="BQ840" s="15"/>
      <c r="BR840" s="15"/>
      <c r="BS840" s="15"/>
      <c r="BT840" s="15"/>
      <c r="BU840" s="15"/>
      <c r="BV840" s="15"/>
      <c r="BW840" s="15"/>
      <c r="BX840" s="15"/>
      <c r="BY840" s="15"/>
      <c r="BZ840" s="15"/>
      <c r="CA840" s="15"/>
      <c r="CB840" s="17"/>
      <c r="CC840" s="17"/>
      <c r="CD840" s="18"/>
      <c r="CE840" s="18"/>
      <c r="CF840" s="18"/>
      <c r="CG840" s="18"/>
      <c r="CH840" s="18"/>
    </row>
    <row r="841">
      <c r="A841" s="15"/>
      <c r="B841" s="16"/>
      <c r="C841" s="15"/>
      <c r="D841" s="9"/>
      <c r="E841" s="15"/>
      <c r="F841" s="15"/>
      <c r="G841" s="13"/>
      <c r="H841" s="13"/>
      <c r="I841" s="13"/>
      <c r="J841" s="13"/>
      <c r="K841" s="13"/>
      <c r="L841" s="13"/>
      <c r="M841" s="13"/>
      <c r="N841" s="13"/>
      <c r="O841" s="13"/>
      <c r="P841" s="13"/>
      <c r="Q841" s="13"/>
      <c r="R841" s="13"/>
      <c r="S841" s="13"/>
      <c r="T841" s="13"/>
      <c r="U841" s="13"/>
      <c r="V841" s="13"/>
      <c r="W841" s="13"/>
      <c r="X841" s="13"/>
      <c r="Y841" s="13"/>
      <c r="Z841" s="13"/>
      <c r="AA841" s="13"/>
      <c r="AB841" s="15"/>
      <c r="AC841" s="15"/>
      <c r="AD841" s="15"/>
      <c r="AE841" s="13"/>
      <c r="AF841" s="13"/>
      <c r="AG841" s="13"/>
      <c r="AH841" s="15"/>
      <c r="AI841" s="13"/>
      <c r="AJ841" s="13"/>
      <c r="AK841" s="13"/>
      <c r="AL841" s="13"/>
      <c r="AM841" s="15"/>
      <c r="AN841" s="13"/>
      <c r="AO841" s="15"/>
      <c r="AP841" s="15"/>
      <c r="AQ841" s="13"/>
      <c r="AR841" s="13"/>
      <c r="AS841" s="13"/>
      <c r="AT841" s="13"/>
      <c r="AU841" s="13"/>
      <c r="AV841" s="13"/>
      <c r="AW841" s="13"/>
      <c r="AX841" s="13"/>
      <c r="AY841" s="15"/>
      <c r="AZ841" s="15"/>
      <c r="BA841" s="16"/>
      <c r="BB841" s="15"/>
      <c r="BC841" s="15"/>
      <c r="BD841" s="13"/>
      <c r="BE841" s="13"/>
      <c r="BF841" s="13"/>
      <c r="BG841" s="13"/>
      <c r="BH841" s="13"/>
      <c r="BI841" s="13"/>
      <c r="BJ841" s="13"/>
      <c r="BK841" s="13"/>
      <c r="BL841" s="13"/>
      <c r="BM841" s="13"/>
      <c r="BN841" s="13"/>
      <c r="BO841" s="13"/>
      <c r="BP841" s="13"/>
      <c r="BQ841" s="15"/>
      <c r="BR841" s="15"/>
      <c r="BS841" s="15"/>
      <c r="BT841" s="15"/>
      <c r="BU841" s="15"/>
      <c r="BV841" s="15"/>
      <c r="BW841" s="15"/>
      <c r="BX841" s="15"/>
      <c r="BY841" s="15"/>
      <c r="BZ841" s="15"/>
      <c r="CA841" s="15"/>
      <c r="CB841" s="17"/>
      <c r="CC841" s="17"/>
      <c r="CD841" s="18"/>
      <c r="CE841" s="18"/>
      <c r="CF841" s="18"/>
      <c r="CG841" s="18"/>
      <c r="CH841" s="18"/>
    </row>
    <row r="842">
      <c r="A842" s="15"/>
      <c r="B842" s="16"/>
      <c r="C842" s="15"/>
      <c r="D842" s="9"/>
      <c r="E842" s="15"/>
      <c r="F842" s="15"/>
      <c r="G842" s="13"/>
      <c r="H842" s="13"/>
      <c r="I842" s="13"/>
      <c r="J842" s="13"/>
      <c r="K842" s="13"/>
      <c r="L842" s="13"/>
      <c r="M842" s="13"/>
      <c r="N842" s="13"/>
      <c r="O842" s="13"/>
      <c r="P842" s="13"/>
      <c r="Q842" s="13"/>
      <c r="R842" s="13"/>
      <c r="S842" s="13"/>
      <c r="T842" s="13"/>
      <c r="U842" s="13"/>
      <c r="V842" s="13"/>
      <c r="W842" s="13"/>
      <c r="X842" s="13"/>
      <c r="Y842" s="13"/>
      <c r="Z842" s="13"/>
      <c r="AA842" s="13"/>
      <c r="AB842" s="15"/>
      <c r="AC842" s="15"/>
      <c r="AD842" s="15"/>
      <c r="AE842" s="13"/>
      <c r="AF842" s="13"/>
      <c r="AG842" s="13"/>
      <c r="AH842" s="15"/>
      <c r="AI842" s="13"/>
      <c r="AJ842" s="13"/>
      <c r="AK842" s="13"/>
      <c r="AL842" s="13"/>
      <c r="AM842" s="15"/>
      <c r="AN842" s="13"/>
      <c r="AO842" s="15"/>
      <c r="AP842" s="15"/>
      <c r="AQ842" s="13"/>
      <c r="AR842" s="13"/>
      <c r="AS842" s="13"/>
      <c r="AT842" s="13"/>
      <c r="AU842" s="13"/>
      <c r="AV842" s="13"/>
      <c r="AW842" s="13"/>
      <c r="AX842" s="13"/>
      <c r="AY842" s="15"/>
      <c r="AZ842" s="15"/>
      <c r="BA842" s="16"/>
      <c r="BB842" s="15"/>
      <c r="BC842" s="15"/>
      <c r="BD842" s="13"/>
      <c r="BE842" s="13"/>
      <c r="BF842" s="13"/>
      <c r="BG842" s="13"/>
      <c r="BH842" s="13"/>
      <c r="BI842" s="13"/>
      <c r="BJ842" s="13"/>
      <c r="BK842" s="13"/>
      <c r="BL842" s="13"/>
      <c r="BM842" s="13"/>
      <c r="BN842" s="13"/>
      <c r="BO842" s="13"/>
      <c r="BP842" s="13"/>
      <c r="BQ842" s="15"/>
      <c r="BR842" s="15"/>
      <c r="BS842" s="15"/>
      <c r="BT842" s="15"/>
      <c r="BU842" s="15"/>
      <c r="BV842" s="15"/>
      <c r="BW842" s="15"/>
      <c r="BX842" s="15"/>
      <c r="BY842" s="15"/>
      <c r="BZ842" s="15"/>
      <c r="CA842" s="15"/>
      <c r="CB842" s="17"/>
      <c r="CC842" s="17"/>
      <c r="CD842" s="18"/>
      <c r="CE842" s="18"/>
      <c r="CF842" s="18"/>
      <c r="CG842" s="18"/>
      <c r="CH842" s="18"/>
    </row>
    <row r="843">
      <c r="A843" s="15"/>
      <c r="B843" s="16"/>
      <c r="C843" s="15"/>
      <c r="D843" s="9"/>
      <c r="E843" s="15"/>
      <c r="F843" s="15"/>
      <c r="G843" s="13"/>
      <c r="H843" s="13"/>
      <c r="I843" s="13"/>
      <c r="J843" s="13"/>
      <c r="K843" s="13"/>
      <c r="L843" s="13"/>
      <c r="M843" s="13"/>
      <c r="N843" s="13"/>
      <c r="O843" s="13"/>
      <c r="P843" s="13"/>
      <c r="Q843" s="13"/>
      <c r="R843" s="13"/>
      <c r="S843" s="13"/>
      <c r="T843" s="13"/>
      <c r="U843" s="13"/>
      <c r="V843" s="13"/>
      <c r="W843" s="13"/>
      <c r="X843" s="13"/>
      <c r="Y843" s="13"/>
      <c r="Z843" s="13"/>
      <c r="AA843" s="13"/>
      <c r="AB843" s="15"/>
      <c r="AC843" s="15"/>
      <c r="AD843" s="15"/>
      <c r="AE843" s="13"/>
      <c r="AF843" s="13"/>
      <c r="AG843" s="13"/>
      <c r="AH843" s="15"/>
      <c r="AI843" s="13"/>
      <c r="AJ843" s="13"/>
      <c r="AK843" s="13"/>
      <c r="AL843" s="13"/>
      <c r="AM843" s="15"/>
      <c r="AN843" s="13"/>
      <c r="AO843" s="15"/>
      <c r="AP843" s="15"/>
      <c r="AQ843" s="13"/>
      <c r="AR843" s="13"/>
      <c r="AS843" s="13"/>
      <c r="AT843" s="13"/>
      <c r="AU843" s="13"/>
      <c r="AV843" s="13"/>
      <c r="AW843" s="13"/>
      <c r="AX843" s="13"/>
      <c r="AY843" s="15"/>
      <c r="AZ843" s="15"/>
      <c r="BA843" s="16"/>
      <c r="BB843" s="15"/>
      <c r="BC843" s="15"/>
      <c r="BD843" s="13"/>
      <c r="BE843" s="13"/>
      <c r="BF843" s="13"/>
      <c r="BG843" s="13"/>
      <c r="BH843" s="13"/>
      <c r="BI843" s="13"/>
      <c r="BJ843" s="13"/>
      <c r="BK843" s="13"/>
      <c r="BL843" s="13"/>
      <c r="BM843" s="13"/>
      <c r="BN843" s="13"/>
      <c r="BO843" s="13"/>
      <c r="BP843" s="13"/>
      <c r="BQ843" s="15"/>
      <c r="BR843" s="15"/>
      <c r="BS843" s="15"/>
      <c r="BT843" s="15"/>
      <c r="BU843" s="15"/>
      <c r="BV843" s="15"/>
      <c r="BW843" s="15"/>
      <c r="BX843" s="15"/>
      <c r="BY843" s="15"/>
      <c r="BZ843" s="15"/>
      <c r="CA843" s="15"/>
      <c r="CB843" s="17"/>
      <c r="CC843" s="17"/>
      <c r="CD843" s="18"/>
      <c r="CE843" s="18"/>
      <c r="CF843" s="18"/>
      <c r="CG843" s="18"/>
      <c r="CH843" s="18"/>
    </row>
    <row r="844">
      <c r="A844" s="15"/>
      <c r="B844" s="16"/>
      <c r="C844" s="15"/>
      <c r="D844" s="9"/>
      <c r="E844" s="15"/>
      <c r="F844" s="15"/>
      <c r="G844" s="13"/>
      <c r="H844" s="13"/>
      <c r="I844" s="13"/>
      <c r="J844" s="13"/>
      <c r="K844" s="13"/>
      <c r="L844" s="13"/>
      <c r="M844" s="13"/>
      <c r="N844" s="13"/>
      <c r="O844" s="13"/>
      <c r="P844" s="13"/>
      <c r="Q844" s="13"/>
      <c r="R844" s="13"/>
      <c r="S844" s="13"/>
      <c r="T844" s="13"/>
      <c r="U844" s="13"/>
      <c r="V844" s="13"/>
      <c r="W844" s="13"/>
      <c r="X844" s="13"/>
      <c r="Y844" s="13"/>
      <c r="Z844" s="13"/>
      <c r="AA844" s="13"/>
      <c r="AB844" s="15"/>
      <c r="AC844" s="15"/>
      <c r="AD844" s="15"/>
      <c r="AE844" s="13"/>
      <c r="AF844" s="13"/>
      <c r="AG844" s="13"/>
      <c r="AH844" s="15"/>
      <c r="AI844" s="13"/>
      <c r="AJ844" s="13"/>
      <c r="AK844" s="13"/>
      <c r="AL844" s="13"/>
      <c r="AM844" s="15"/>
      <c r="AN844" s="13"/>
      <c r="AO844" s="15"/>
      <c r="AP844" s="15"/>
      <c r="AQ844" s="13"/>
      <c r="AR844" s="13"/>
      <c r="AS844" s="13"/>
      <c r="AT844" s="13"/>
      <c r="AU844" s="13"/>
      <c r="AV844" s="13"/>
      <c r="AW844" s="13"/>
      <c r="AX844" s="13"/>
      <c r="AY844" s="15"/>
      <c r="AZ844" s="15"/>
      <c r="BA844" s="16"/>
      <c r="BB844" s="15"/>
      <c r="BC844" s="15"/>
      <c r="BD844" s="13"/>
      <c r="BE844" s="13"/>
      <c r="BF844" s="13"/>
      <c r="BG844" s="13"/>
      <c r="BH844" s="13"/>
      <c r="BI844" s="13"/>
      <c r="BJ844" s="13"/>
      <c r="BK844" s="13"/>
      <c r="BL844" s="13"/>
      <c r="BM844" s="13"/>
      <c r="BN844" s="13"/>
      <c r="BO844" s="13"/>
      <c r="BP844" s="13"/>
      <c r="BQ844" s="15"/>
      <c r="BR844" s="15"/>
      <c r="BS844" s="15"/>
      <c r="BT844" s="15"/>
      <c r="BU844" s="15"/>
      <c r="BV844" s="15"/>
      <c r="BW844" s="15"/>
      <c r="BX844" s="15"/>
      <c r="BY844" s="15"/>
      <c r="BZ844" s="15"/>
      <c r="CA844" s="15"/>
      <c r="CB844" s="17"/>
      <c r="CC844" s="17"/>
      <c r="CD844" s="18"/>
      <c r="CE844" s="18"/>
      <c r="CF844" s="18"/>
      <c r="CG844" s="18"/>
      <c r="CH844" s="18"/>
    </row>
    <row r="845">
      <c r="A845" s="15"/>
      <c r="B845" s="16"/>
      <c r="C845" s="15"/>
      <c r="D845" s="9"/>
      <c r="E845" s="15"/>
      <c r="F845" s="15"/>
      <c r="G845" s="13"/>
      <c r="H845" s="13"/>
      <c r="I845" s="13"/>
      <c r="J845" s="13"/>
      <c r="K845" s="13"/>
      <c r="L845" s="13"/>
      <c r="M845" s="13"/>
      <c r="N845" s="13"/>
      <c r="O845" s="13"/>
      <c r="P845" s="13"/>
      <c r="Q845" s="13"/>
      <c r="R845" s="13"/>
      <c r="S845" s="13"/>
      <c r="T845" s="13"/>
      <c r="U845" s="13"/>
      <c r="V845" s="13"/>
      <c r="W845" s="13"/>
      <c r="X845" s="13"/>
      <c r="Y845" s="13"/>
      <c r="Z845" s="13"/>
      <c r="AA845" s="13"/>
      <c r="AB845" s="15"/>
      <c r="AC845" s="15"/>
      <c r="AD845" s="15"/>
      <c r="AE845" s="13"/>
      <c r="AF845" s="13"/>
      <c r="AG845" s="13"/>
      <c r="AH845" s="15"/>
      <c r="AI845" s="13"/>
      <c r="AJ845" s="13"/>
      <c r="AK845" s="13"/>
      <c r="AL845" s="13"/>
      <c r="AM845" s="15"/>
      <c r="AN845" s="13"/>
      <c r="AO845" s="15"/>
      <c r="AP845" s="15"/>
      <c r="AQ845" s="13"/>
      <c r="AR845" s="13"/>
      <c r="AS845" s="13"/>
      <c r="AT845" s="13"/>
      <c r="AU845" s="13"/>
      <c r="AV845" s="13"/>
      <c r="AW845" s="13"/>
      <c r="AX845" s="13"/>
      <c r="AY845" s="15"/>
      <c r="AZ845" s="15"/>
      <c r="BA845" s="16"/>
      <c r="BB845" s="15"/>
      <c r="BC845" s="15"/>
      <c r="BD845" s="13"/>
      <c r="BE845" s="13"/>
      <c r="BF845" s="13"/>
      <c r="BG845" s="13"/>
      <c r="BH845" s="13"/>
      <c r="BI845" s="13"/>
      <c r="BJ845" s="13"/>
      <c r="BK845" s="13"/>
      <c r="BL845" s="13"/>
      <c r="BM845" s="13"/>
      <c r="BN845" s="13"/>
      <c r="BO845" s="13"/>
      <c r="BP845" s="13"/>
      <c r="BQ845" s="15"/>
      <c r="BR845" s="15"/>
      <c r="BS845" s="15"/>
      <c r="BT845" s="15"/>
      <c r="BU845" s="15"/>
      <c r="BV845" s="15"/>
      <c r="BW845" s="15"/>
      <c r="BX845" s="15"/>
      <c r="BY845" s="15"/>
      <c r="BZ845" s="15"/>
      <c r="CA845" s="15"/>
      <c r="CB845" s="17"/>
      <c r="CC845" s="17"/>
      <c r="CD845" s="18"/>
      <c r="CE845" s="18"/>
      <c r="CF845" s="18"/>
      <c r="CG845" s="18"/>
      <c r="CH845" s="18"/>
    </row>
    <row r="846">
      <c r="A846" s="15"/>
      <c r="B846" s="16"/>
      <c r="C846" s="15"/>
      <c r="D846" s="9"/>
      <c r="E846" s="15"/>
      <c r="F846" s="15"/>
      <c r="G846" s="13"/>
      <c r="H846" s="13"/>
      <c r="I846" s="13"/>
      <c r="J846" s="13"/>
      <c r="K846" s="13"/>
      <c r="L846" s="13"/>
      <c r="M846" s="13"/>
      <c r="N846" s="13"/>
      <c r="O846" s="13"/>
      <c r="P846" s="13"/>
      <c r="Q846" s="13"/>
      <c r="R846" s="13"/>
      <c r="S846" s="13"/>
      <c r="T846" s="13"/>
      <c r="U846" s="13"/>
      <c r="V846" s="13"/>
      <c r="W846" s="13"/>
      <c r="X846" s="13"/>
      <c r="Y846" s="13"/>
      <c r="Z846" s="13"/>
      <c r="AA846" s="13"/>
      <c r="AB846" s="15"/>
      <c r="AC846" s="15"/>
      <c r="AD846" s="15"/>
      <c r="AE846" s="13"/>
      <c r="AF846" s="13"/>
      <c r="AG846" s="13"/>
      <c r="AH846" s="15"/>
      <c r="AI846" s="13"/>
      <c r="AJ846" s="13"/>
      <c r="AK846" s="13"/>
      <c r="AL846" s="13"/>
      <c r="AM846" s="15"/>
      <c r="AN846" s="13"/>
      <c r="AO846" s="15"/>
      <c r="AP846" s="15"/>
      <c r="AQ846" s="13"/>
      <c r="AR846" s="13"/>
      <c r="AS846" s="13"/>
      <c r="AT846" s="13"/>
      <c r="AU846" s="13"/>
      <c r="AV846" s="13"/>
      <c r="AW846" s="13"/>
      <c r="AX846" s="13"/>
      <c r="AY846" s="15"/>
      <c r="AZ846" s="15"/>
      <c r="BA846" s="16"/>
      <c r="BB846" s="15"/>
      <c r="BC846" s="15"/>
      <c r="BD846" s="13"/>
      <c r="BE846" s="13"/>
      <c r="BF846" s="13"/>
      <c r="BG846" s="13"/>
      <c r="BH846" s="13"/>
      <c r="BI846" s="13"/>
      <c r="BJ846" s="13"/>
      <c r="BK846" s="13"/>
      <c r="BL846" s="13"/>
      <c r="BM846" s="13"/>
      <c r="BN846" s="13"/>
      <c r="BO846" s="13"/>
      <c r="BP846" s="13"/>
      <c r="BQ846" s="15"/>
      <c r="BR846" s="15"/>
      <c r="BS846" s="15"/>
      <c r="BT846" s="15"/>
      <c r="BU846" s="15"/>
      <c r="BV846" s="15"/>
      <c r="BW846" s="15"/>
      <c r="BX846" s="15"/>
      <c r="BY846" s="15"/>
      <c r="BZ846" s="15"/>
      <c r="CA846" s="15"/>
      <c r="CB846" s="17"/>
      <c r="CC846" s="17"/>
      <c r="CD846" s="18"/>
      <c r="CE846" s="18"/>
      <c r="CF846" s="18"/>
      <c r="CG846" s="18"/>
      <c r="CH846" s="18"/>
    </row>
    <row r="847">
      <c r="A847" s="15"/>
      <c r="B847" s="16"/>
      <c r="C847" s="15"/>
      <c r="D847" s="9"/>
      <c r="E847" s="15"/>
      <c r="F847" s="15"/>
      <c r="G847" s="13"/>
      <c r="H847" s="13"/>
      <c r="I847" s="13"/>
      <c r="J847" s="13"/>
      <c r="K847" s="13"/>
      <c r="L847" s="13"/>
      <c r="M847" s="13"/>
      <c r="N847" s="13"/>
      <c r="O847" s="13"/>
      <c r="P847" s="13"/>
      <c r="Q847" s="13"/>
      <c r="R847" s="13"/>
      <c r="S847" s="13"/>
      <c r="T847" s="13"/>
      <c r="U847" s="13"/>
      <c r="V847" s="13"/>
      <c r="W847" s="13"/>
      <c r="X847" s="13"/>
      <c r="Y847" s="13"/>
      <c r="Z847" s="13"/>
      <c r="AA847" s="13"/>
      <c r="AB847" s="15"/>
      <c r="AC847" s="15"/>
      <c r="AD847" s="15"/>
      <c r="AE847" s="13"/>
      <c r="AF847" s="13"/>
      <c r="AG847" s="13"/>
      <c r="AH847" s="15"/>
      <c r="AI847" s="13"/>
      <c r="AJ847" s="13"/>
      <c r="AK847" s="13"/>
      <c r="AL847" s="13"/>
      <c r="AM847" s="15"/>
      <c r="AN847" s="13"/>
      <c r="AO847" s="15"/>
      <c r="AP847" s="15"/>
      <c r="AQ847" s="13"/>
      <c r="AR847" s="13"/>
      <c r="AS847" s="13"/>
      <c r="AT847" s="13"/>
      <c r="AU847" s="13"/>
      <c r="AV847" s="13"/>
      <c r="AW847" s="13"/>
      <c r="AX847" s="13"/>
      <c r="AY847" s="15"/>
      <c r="AZ847" s="15"/>
      <c r="BA847" s="16"/>
      <c r="BB847" s="15"/>
      <c r="BC847" s="15"/>
      <c r="BD847" s="13"/>
      <c r="BE847" s="13"/>
      <c r="BF847" s="13"/>
      <c r="BG847" s="13"/>
      <c r="BH847" s="13"/>
      <c r="BI847" s="13"/>
      <c r="BJ847" s="13"/>
      <c r="BK847" s="13"/>
      <c r="BL847" s="13"/>
      <c r="BM847" s="13"/>
      <c r="BN847" s="13"/>
      <c r="BO847" s="13"/>
      <c r="BP847" s="13"/>
      <c r="BQ847" s="15"/>
      <c r="BR847" s="15"/>
      <c r="BS847" s="15"/>
      <c r="BT847" s="15"/>
      <c r="BU847" s="15"/>
      <c r="BV847" s="15"/>
      <c r="BW847" s="15"/>
      <c r="BX847" s="15"/>
      <c r="BY847" s="15"/>
      <c r="BZ847" s="15"/>
      <c r="CA847" s="15"/>
      <c r="CB847" s="17"/>
      <c r="CC847" s="17"/>
      <c r="CD847" s="18"/>
      <c r="CE847" s="18"/>
      <c r="CF847" s="18"/>
      <c r="CG847" s="18"/>
      <c r="CH847" s="18"/>
    </row>
    <row r="848">
      <c r="A848" s="15"/>
      <c r="B848" s="16"/>
      <c r="C848" s="15"/>
      <c r="D848" s="9"/>
      <c r="E848" s="15"/>
      <c r="F848" s="15"/>
      <c r="G848" s="13"/>
      <c r="H848" s="13"/>
      <c r="I848" s="13"/>
      <c r="J848" s="13"/>
      <c r="K848" s="13"/>
      <c r="L848" s="13"/>
      <c r="M848" s="13"/>
      <c r="N848" s="13"/>
      <c r="O848" s="13"/>
      <c r="P848" s="13"/>
      <c r="Q848" s="13"/>
      <c r="R848" s="13"/>
      <c r="S848" s="13"/>
      <c r="T848" s="13"/>
      <c r="U848" s="13"/>
      <c r="V848" s="13"/>
      <c r="W848" s="13"/>
      <c r="X848" s="13"/>
      <c r="Y848" s="13"/>
      <c r="Z848" s="13"/>
      <c r="AA848" s="13"/>
      <c r="AB848" s="15"/>
      <c r="AC848" s="15"/>
      <c r="AD848" s="15"/>
      <c r="AE848" s="13"/>
      <c r="AF848" s="13"/>
      <c r="AG848" s="13"/>
      <c r="AH848" s="15"/>
      <c r="AI848" s="13"/>
      <c r="AJ848" s="13"/>
      <c r="AK848" s="13"/>
      <c r="AL848" s="13"/>
      <c r="AM848" s="15"/>
      <c r="AN848" s="13"/>
      <c r="AO848" s="15"/>
      <c r="AP848" s="15"/>
      <c r="AQ848" s="13"/>
      <c r="AR848" s="13"/>
      <c r="AS848" s="13"/>
      <c r="AT848" s="13"/>
      <c r="AU848" s="13"/>
      <c r="AV848" s="13"/>
      <c r="AW848" s="13"/>
      <c r="AX848" s="13"/>
      <c r="AY848" s="15"/>
      <c r="AZ848" s="15"/>
      <c r="BA848" s="16"/>
      <c r="BB848" s="15"/>
      <c r="BC848" s="15"/>
      <c r="BD848" s="13"/>
      <c r="BE848" s="13"/>
      <c r="BF848" s="13"/>
      <c r="BG848" s="13"/>
      <c r="BH848" s="13"/>
      <c r="BI848" s="13"/>
      <c r="BJ848" s="13"/>
      <c r="BK848" s="13"/>
      <c r="BL848" s="13"/>
      <c r="BM848" s="13"/>
      <c r="BN848" s="13"/>
      <c r="BO848" s="13"/>
      <c r="BP848" s="13"/>
      <c r="BQ848" s="15"/>
      <c r="BR848" s="15"/>
      <c r="BS848" s="15"/>
      <c r="BT848" s="15"/>
      <c r="BU848" s="15"/>
      <c r="BV848" s="15"/>
      <c r="BW848" s="15"/>
      <c r="BX848" s="15"/>
      <c r="BY848" s="15"/>
      <c r="BZ848" s="15"/>
      <c r="CA848" s="15"/>
      <c r="CB848" s="17"/>
      <c r="CC848" s="17"/>
      <c r="CD848" s="18"/>
      <c r="CE848" s="18"/>
      <c r="CF848" s="18"/>
      <c r="CG848" s="18"/>
      <c r="CH848" s="18"/>
    </row>
    <row r="849">
      <c r="A849" s="15"/>
      <c r="B849" s="16"/>
      <c r="C849" s="15"/>
      <c r="D849" s="9"/>
      <c r="E849" s="15"/>
      <c r="F849" s="15"/>
      <c r="G849" s="13"/>
      <c r="H849" s="13"/>
      <c r="I849" s="13"/>
      <c r="J849" s="13"/>
      <c r="K849" s="13"/>
      <c r="L849" s="13"/>
      <c r="M849" s="13"/>
      <c r="N849" s="13"/>
      <c r="O849" s="13"/>
      <c r="P849" s="13"/>
      <c r="Q849" s="13"/>
      <c r="R849" s="13"/>
      <c r="S849" s="13"/>
      <c r="T849" s="13"/>
      <c r="U849" s="13"/>
      <c r="V849" s="13"/>
      <c r="W849" s="13"/>
      <c r="X849" s="13"/>
      <c r="Y849" s="13"/>
      <c r="Z849" s="13"/>
      <c r="AA849" s="13"/>
      <c r="AB849" s="15"/>
      <c r="AC849" s="15"/>
      <c r="AD849" s="15"/>
      <c r="AE849" s="13"/>
      <c r="AF849" s="13"/>
      <c r="AG849" s="13"/>
      <c r="AH849" s="15"/>
      <c r="AI849" s="13"/>
      <c r="AJ849" s="13"/>
      <c r="AK849" s="13"/>
      <c r="AL849" s="13"/>
      <c r="AM849" s="15"/>
      <c r="AN849" s="13"/>
      <c r="AO849" s="15"/>
      <c r="AP849" s="15"/>
      <c r="AQ849" s="13"/>
      <c r="AR849" s="13"/>
      <c r="AS849" s="13"/>
      <c r="AT849" s="13"/>
      <c r="AU849" s="13"/>
      <c r="AV849" s="13"/>
      <c r="AW849" s="13"/>
      <c r="AX849" s="13"/>
      <c r="AY849" s="15"/>
      <c r="AZ849" s="15"/>
      <c r="BA849" s="16"/>
      <c r="BB849" s="15"/>
      <c r="BC849" s="15"/>
      <c r="BD849" s="13"/>
      <c r="BE849" s="13"/>
      <c r="BF849" s="13"/>
      <c r="BG849" s="13"/>
      <c r="BH849" s="13"/>
      <c r="BI849" s="13"/>
      <c r="BJ849" s="13"/>
      <c r="BK849" s="13"/>
      <c r="BL849" s="13"/>
      <c r="BM849" s="13"/>
      <c r="BN849" s="13"/>
      <c r="BO849" s="13"/>
      <c r="BP849" s="13"/>
      <c r="BQ849" s="15"/>
      <c r="BR849" s="15"/>
      <c r="BS849" s="15"/>
      <c r="BT849" s="15"/>
      <c r="BU849" s="15"/>
      <c r="BV849" s="15"/>
      <c r="BW849" s="15"/>
      <c r="BX849" s="15"/>
      <c r="BY849" s="15"/>
      <c r="BZ849" s="15"/>
      <c r="CA849" s="15"/>
      <c r="CB849" s="17"/>
      <c r="CC849" s="17"/>
      <c r="CD849" s="18"/>
      <c r="CE849" s="18"/>
      <c r="CF849" s="18"/>
      <c r="CG849" s="18"/>
      <c r="CH849" s="18"/>
    </row>
    <row r="850">
      <c r="A850" s="15"/>
      <c r="B850" s="16"/>
      <c r="C850" s="15"/>
      <c r="D850" s="9"/>
      <c r="E850" s="15"/>
      <c r="F850" s="15"/>
      <c r="G850" s="13"/>
      <c r="H850" s="13"/>
      <c r="I850" s="13"/>
      <c r="J850" s="13"/>
      <c r="K850" s="13"/>
      <c r="L850" s="13"/>
      <c r="M850" s="13"/>
      <c r="N850" s="13"/>
      <c r="O850" s="13"/>
      <c r="P850" s="13"/>
      <c r="Q850" s="13"/>
      <c r="R850" s="13"/>
      <c r="S850" s="13"/>
      <c r="T850" s="13"/>
      <c r="U850" s="13"/>
      <c r="V850" s="13"/>
      <c r="W850" s="13"/>
      <c r="X850" s="13"/>
      <c r="Y850" s="13"/>
      <c r="Z850" s="13"/>
      <c r="AA850" s="13"/>
      <c r="AB850" s="15"/>
      <c r="AC850" s="15"/>
      <c r="AD850" s="15"/>
      <c r="AE850" s="13"/>
      <c r="AF850" s="13"/>
      <c r="AG850" s="13"/>
      <c r="AH850" s="15"/>
      <c r="AI850" s="13"/>
      <c r="AJ850" s="13"/>
      <c r="AK850" s="13"/>
      <c r="AL850" s="13"/>
      <c r="AM850" s="15"/>
      <c r="AN850" s="13"/>
      <c r="AO850" s="15"/>
      <c r="AP850" s="15"/>
      <c r="AQ850" s="13"/>
      <c r="AR850" s="13"/>
      <c r="AS850" s="13"/>
      <c r="AT850" s="13"/>
      <c r="AU850" s="13"/>
      <c r="AV850" s="13"/>
      <c r="AW850" s="13"/>
      <c r="AX850" s="13"/>
      <c r="AY850" s="15"/>
      <c r="AZ850" s="15"/>
      <c r="BA850" s="16"/>
      <c r="BB850" s="15"/>
      <c r="BC850" s="15"/>
      <c r="BD850" s="13"/>
      <c r="BE850" s="13"/>
      <c r="BF850" s="13"/>
      <c r="BG850" s="13"/>
      <c r="BH850" s="13"/>
      <c r="BI850" s="13"/>
      <c r="BJ850" s="13"/>
      <c r="BK850" s="13"/>
      <c r="BL850" s="13"/>
      <c r="BM850" s="13"/>
      <c r="BN850" s="13"/>
      <c r="BO850" s="13"/>
      <c r="BP850" s="13"/>
      <c r="BQ850" s="15"/>
      <c r="BR850" s="15"/>
      <c r="BS850" s="15"/>
      <c r="BT850" s="15"/>
      <c r="BU850" s="15"/>
      <c r="BV850" s="15"/>
      <c r="BW850" s="15"/>
      <c r="BX850" s="15"/>
      <c r="BY850" s="15"/>
      <c r="BZ850" s="15"/>
      <c r="CA850" s="15"/>
      <c r="CB850" s="17"/>
      <c r="CC850" s="17"/>
      <c r="CD850" s="18"/>
      <c r="CE850" s="18"/>
      <c r="CF850" s="18"/>
      <c r="CG850" s="18"/>
      <c r="CH850" s="18"/>
    </row>
    <row r="851">
      <c r="A851" s="15"/>
      <c r="B851" s="16"/>
      <c r="C851" s="15"/>
      <c r="D851" s="9"/>
      <c r="E851" s="15"/>
      <c r="F851" s="15"/>
      <c r="G851" s="13"/>
      <c r="H851" s="13"/>
      <c r="I851" s="13"/>
      <c r="J851" s="13"/>
      <c r="K851" s="13"/>
      <c r="L851" s="13"/>
      <c r="M851" s="13"/>
      <c r="N851" s="13"/>
      <c r="O851" s="13"/>
      <c r="P851" s="13"/>
      <c r="Q851" s="13"/>
      <c r="R851" s="13"/>
      <c r="S851" s="13"/>
      <c r="T851" s="13"/>
      <c r="U851" s="13"/>
      <c r="V851" s="13"/>
      <c r="W851" s="13"/>
      <c r="X851" s="13"/>
      <c r="Y851" s="13"/>
      <c r="Z851" s="13"/>
      <c r="AA851" s="13"/>
      <c r="AB851" s="15"/>
      <c r="AC851" s="15"/>
      <c r="AD851" s="15"/>
      <c r="AE851" s="13"/>
      <c r="AF851" s="13"/>
      <c r="AG851" s="13"/>
      <c r="AH851" s="15"/>
      <c r="AI851" s="13"/>
      <c r="AJ851" s="13"/>
      <c r="AK851" s="13"/>
      <c r="AL851" s="13"/>
      <c r="AM851" s="15"/>
      <c r="AN851" s="13"/>
      <c r="AO851" s="15"/>
      <c r="AP851" s="15"/>
      <c r="AQ851" s="13"/>
      <c r="AR851" s="13"/>
      <c r="AS851" s="13"/>
      <c r="AT851" s="13"/>
      <c r="AU851" s="13"/>
      <c r="AV851" s="13"/>
      <c r="AW851" s="13"/>
      <c r="AX851" s="13"/>
      <c r="AY851" s="15"/>
      <c r="AZ851" s="15"/>
      <c r="BA851" s="16"/>
      <c r="BB851" s="15"/>
      <c r="BC851" s="15"/>
      <c r="BD851" s="13"/>
      <c r="BE851" s="13"/>
      <c r="BF851" s="13"/>
      <c r="BG851" s="13"/>
      <c r="BH851" s="13"/>
      <c r="BI851" s="13"/>
      <c r="BJ851" s="13"/>
      <c r="BK851" s="13"/>
      <c r="BL851" s="13"/>
      <c r="BM851" s="13"/>
      <c r="BN851" s="13"/>
      <c r="BO851" s="13"/>
      <c r="BP851" s="13"/>
      <c r="BQ851" s="15"/>
      <c r="BR851" s="15"/>
      <c r="BS851" s="15"/>
      <c r="BT851" s="15"/>
      <c r="BU851" s="15"/>
      <c r="BV851" s="15"/>
      <c r="BW851" s="15"/>
      <c r="BX851" s="15"/>
      <c r="BY851" s="15"/>
      <c r="BZ851" s="15"/>
      <c r="CA851" s="15"/>
      <c r="CB851" s="17"/>
      <c r="CC851" s="17"/>
      <c r="CD851" s="18"/>
      <c r="CE851" s="18"/>
      <c r="CF851" s="18"/>
      <c r="CG851" s="18"/>
      <c r="CH851" s="18"/>
    </row>
    <row r="852">
      <c r="A852" s="15"/>
      <c r="B852" s="16"/>
      <c r="C852" s="15"/>
      <c r="D852" s="9"/>
      <c r="E852" s="15"/>
      <c r="F852" s="15"/>
      <c r="G852" s="13"/>
      <c r="H852" s="13"/>
      <c r="I852" s="13"/>
      <c r="J852" s="13"/>
      <c r="K852" s="13"/>
      <c r="L852" s="13"/>
      <c r="M852" s="13"/>
      <c r="N852" s="13"/>
      <c r="O852" s="13"/>
      <c r="P852" s="13"/>
      <c r="Q852" s="13"/>
      <c r="R852" s="13"/>
      <c r="S852" s="13"/>
      <c r="T852" s="13"/>
      <c r="U852" s="13"/>
      <c r="V852" s="13"/>
      <c r="W852" s="13"/>
      <c r="X852" s="13"/>
      <c r="Y852" s="13"/>
      <c r="Z852" s="13"/>
      <c r="AA852" s="13"/>
      <c r="AB852" s="15"/>
      <c r="AC852" s="15"/>
      <c r="AD852" s="15"/>
      <c r="AE852" s="13"/>
      <c r="AF852" s="13"/>
      <c r="AG852" s="13"/>
      <c r="AH852" s="15"/>
      <c r="AI852" s="13"/>
      <c r="AJ852" s="13"/>
      <c r="AK852" s="13"/>
      <c r="AL852" s="13"/>
      <c r="AM852" s="15"/>
      <c r="AN852" s="13"/>
      <c r="AO852" s="15"/>
      <c r="AP852" s="15"/>
      <c r="AQ852" s="13"/>
      <c r="AR852" s="13"/>
      <c r="AS852" s="13"/>
      <c r="AT852" s="13"/>
      <c r="AU852" s="13"/>
      <c r="AV852" s="13"/>
      <c r="AW852" s="13"/>
      <c r="AX852" s="13"/>
      <c r="AY852" s="15"/>
      <c r="AZ852" s="15"/>
      <c r="BA852" s="16"/>
      <c r="BB852" s="15"/>
      <c r="BC852" s="15"/>
      <c r="BD852" s="13"/>
      <c r="BE852" s="13"/>
      <c r="BF852" s="13"/>
      <c r="BG852" s="13"/>
      <c r="BH852" s="13"/>
      <c r="BI852" s="13"/>
      <c r="BJ852" s="13"/>
      <c r="BK852" s="13"/>
      <c r="BL852" s="13"/>
      <c r="BM852" s="13"/>
      <c r="BN852" s="13"/>
      <c r="BO852" s="13"/>
      <c r="BP852" s="13"/>
      <c r="BQ852" s="15"/>
      <c r="BR852" s="15"/>
      <c r="BS852" s="15"/>
      <c r="BT852" s="15"/>
      <c r="BU852" s="15"/>
      <c r="BV852" s="15"/>
      <c r="BW852" s="15"/>
      <c r="BX852" s="15"/>
      <c r="BY852" s="15"/>
      <c r="BZ852" s="15"/>
      <c r="CA852" s="15"/>
      <c r="CB852" s="17"/>
      <c r="CC852" s="17"/>
      <c r="CD852" s="18"/>
      <c r="CE852" s="18"/>
      <c r="CF852" s="18"/>
      <c r="CG852" s="18"/>
      <c r="CH852" s="18"/>
    </row>
    <row r="853">
      <c r="A853" s="15"/>
      <c r="B853" s="16"/>
      <c r="C853" s="15"/>
      <c r="D853" s="9"/>
      <c r="E853" s="15"/>
      <c r="F853" s="15"/>
      <c r="G853" s="13"/>
      <c r="H853" s="13"/>
      <c r="I853" s="13"/>
      <c r="J853" s="13"/>
      <c r="K853" s="13"/>
      <c r="L853" s="13"/>
      <c r="M853" s="13"/>
      <c r="N853" s="13"/>
      <c r="O853" s="13"/>
      <c r="P853" s="13"/>
      <c r="Q853" s="13"/>
      <c r="R853" s="13"/>
      <c r="S853" s="13"/>
      <c r="T853" s="13"/>
      <c r="U853" s="13"/>
      <c r="V853" s="13"/>
      <c r="W853" s="13"/>
      <c r="X853" s="13"/>
      <c r="Y853" s="13"/>
      <c r="Z853" s="13"/>
      <c r="AA853" s="13"/>
      <c r="AB853" s="15"/>
      <c r="AC853" s="15"/>
      <c r="AD853" s="15"/>
      <c r="AE853" s="13"/>
      <c r="AF853" s="13"/>
      <c r="AG853" s="13"/>
      <c r="AH853" s="15"/>
      <c r="AI853" s="13"/>
      <c r="AJ853" s="13"/>
      <c r="AK853" s="13"/>
      <c r="AL853" s="13"/>
      <c r="AM853" s="15"/>
      <c r="AN853" s="13"/>
      <c r="AO853" s="15"/>
      <c r="AP853" s="15"/>
      <c r="AQ853" s="13"/>
      <c r="AR853" s="13"/>
      <c r="AS853" s="13"/>
      <c r="AT853" s="13"/>
      <c r="AU853" s="13"/>
      <c r="AV853" s="13"/>
      <c r="AW853" s="13"/>
      <c r="AX853" s="13"/>
      <c r="AY853" s="15"/>
      <c r="AZ853" s="15"/>
      <c r="BA853" s="16"/>
      <c r="BB853" s="15"/>
      <c r="BC853" s="15"/>
      <c r="BD853" s="13"/>
      <c r="BE853" s="13"/>
      <c r="BF853" s="13"/>
      <c r="BG853" s="13"/>
      <c r="BH853" s="13"/>
      <c r="BI853" s="13"/>
      <c r="BJ853" s="13"/>
      <c r="BK853" s="13"/>
      <c r="BL853" s="13"/>
      <c r="BM853" s="13"/>
      <c r="BN853" s="13"/>
      <c r="BO853" s="13"/>
      <c r="BP853" s="13"/>
      <c r="BQ853" s="15"/>
      <c r="BR853" s="15"/>
      <c r="BS853" s="15"/>
      <c r="BT853" s="15"/>
      <c r="BU853" s="15"/>
      <c r="BV853" s="15"/>
      <c r="BW853" s="15"/>
      <c r="BX853" s="15"/>
      <c r="BY853" s="15"/>
      <c r="BZ853" s="15"/>
      <c r="CA853" s="15"/>
      <c r="CB853" s="17"/>
      <c r="CC853" s="17"/>
      <c r="CD853" s="18"/>
      <c r="CE853" s="18"/>
      <c r="CF853" s="18"/>
      <c r="CG853" s="18"/>
      <c r="CH853" s="18"/>
    </row>
    <row r="854">
      <c r="A854" s="15"/>
      <c r="B854" s="16"/>
      <c r="C854" s="15"/>
      <c r="D854" s="9"/>
      <c r="E854" s="15"/>
      <c r="F854" s="15"/>
      <c r="G854" s="13"/>
      <c r="H854" s="13"/>
      <c r="I854" s="13"/>
      <c r="J854" s="13"/>
      <c r="K854" s="13"/>
      <c r="L854" s="13"/>
      <c r="M854" s="13"/>
      <c r="N854" s="13"/>
      <c r="O854" s="13"/>
      <c r="P854" s="13"/>
      <c r="Q854" s="13"/>
      <c r="R854" s="13"/>
      <c r="S854" s="13"/>
      <c r="T854" s="13"/>
      <c r="U854" s="13"/>
      <c r="V854" s="13"/>
      <c r="W854" s="13"/>
      <c r="X854" s="13"/>
      <c r="Y854" s="13"/>
      <c r="Z854" s="13"/>
      <c r="AA854" s="13"/>
      <c r="AB854" s="15"/>
      <c r="AC854" s="15"/>
      <c r="AD854" s="15"/>
      <c r="AE854" s="13"/>
      <c r="AF854" s="13"/>
      <c r="AG854" s="13"/>
      <c r="AH854" s="15"/>
      <c r="AI854" s="13"/>
      <c r="AJ854" s="13"/>
      <c r="AK854" s="13"/>
      <c r="AL854" s="13"/>
      <c r="AM854" s="15"/>
      <c r="AN854" s="13"/>
      <c r="AO854" s="15"/>
      <c r="AP854" s="15"/>
      <c r="AQ854" s="13"/>
      <c r="AR854" s="13"/>
      <c r="AS854" s="13"/>
      <c r="AT854" s="13"/>
      <c r="AU854" s="13"/>
      <c r="AV854" s="13"/>
      <c r="AW854" s="13"/>
      <c r="AX854" s="13"/>
      <c r="AY854" s="15"/>
      <c r="AZ854" s="15"/>
      <c r="BA854" s="16"/>
      <c r="BB854" s="15"/>
      <c r="BC854" s="15"/>
      <c r="BD854" s="13"/>
      <c r="BE854" s="13"/>
      <c r="BF854" s="13"/>
      <c r="BG854" s="13"/>
      <c r="BH854" s="13"/>
      <c r="BI854" s="13"/>
      <c r="BJ854" s="13"/>
      <c r="BK854" s="13"/>
      <c r="BL854" s="13"/>
      <c r="BM854" s="13"/>
      <c r="BN854" s="13"/>
      <c r="BO854" s="13"/>
      <c r="BP854" s="13"/>
      <c r="BQ854" s="15"/>
      <c r="BR854" s="15"/>
      <c r="BS854" s="15"/>
      <c r="BT854" s="15"/>
      <c r="BU854" s="15"/>
      <c r="BV854" s="15"/>
      <c r="BW854" s="15"/>
      <c r="BX854" s="15"/>
      <c r="BY854" s="15"/>
      <c r="BZ854" s="15"/>
      <c r="CA854" s="15"/>
      <c r="CB854" s="17"/>
      <c r="CC854" s="17"/>
      <c r="CD854" s="18"/>
      <c r="CE854" s="18"/>
      <c r="CF854" s="18"/>
      <c r="CG854" s="18"/>
      <c r="CH854" s="18"/>
    </row>
    <row r="855">
      <c r="A855" s="15"/>
      <c r="B855" s="16"/>
      <c r="C855" s="15"/>
      <c r="D855" s="9"/>
      <c r="E855" s="15"/>
      <c r="F855" s="15"/>
      <c r="G855" s="13"/>
      <c r="H855" s="13"/>
      <c r="I855" s="13"/>
      <c r="J855" s="13"/>
      <c r="K855" s="13"/>
      <c r="L855" s="13"/>
      <c r="M855" s="13"/>
      <c r="N855" s="13"/>
      <c r="O855" s="13"/>
      <c r="P855" s="13"/>
      <c r="Q855" s="13"/>
      <c r="R855" s="13"/>
      <c r="S855" s="13"/>
      <c r="T855" s="13"/>
      <c r="U855" s="13"/>
      <c r="V855" s="13"/>
      <c r="W855" s="13"/>
      <c r="X855" s="13"/>
      <c r="Y855" s="13"/>
      <c r="Z855" s="13"/>
      <c r="AA855" s="13"/>
      <c r="AB855" s="15"/>
      <c r="AC855" s="15"/>
      <c r="AD855" s="15"/>
      <c r="AE855" s="13"/>
      <c r="AF855" s="13"/>
      <c r="AG855" s="13"/>
      <c r="AH855" s="15"/>
      <c r="AI855" s="13"/>
      <c r="AJ855" s="13"/>
      <c r="AK855" s="13"/>
      <c r="AL855" s="13"/>
      <c r="AM855" s="15"/>
      <c r="AN855" s="13"/>
      <c r="AO855" s="15"/>
      <c r="AP855" s="15"/>
      <c r="AQ855" s="13"/>
      <c r="AR855" s="13"/>
      <c r="AS855" s="13"/>
      <c r="AT855" s="13"/>
      <c r="AU855" s="13"/>
      <c r="AV855" s="13"/>
      <c r="AW855" s="13"/>
      <c r="AX855" s="13"/>
      <c r="AY855" s="15"/>
      <c r="AZ855" s="15"/>
      <c r="BA855" s="16"/>
      <c r="BB855" s="15"/>
      <c r="BC855" s="15"/>
      <c r="BD855" s="13"/>
      <c r="BE855" s="13"/>
      <c r="BF855" s="13"/>
      <c r="BG855" s="13"/>
      <c r="BH855" s="13"/>
      <c r="BI855" s="13"/>
      <c r="BJ855" s="13"/>
      <c r="BK855" s="13"/>
      <c r="BL855" s="13"/>
      <c r="BM855" s="13"/>
      <c r="BN855" s="13"/>
      <c r="BO855" s="13"/>
      <c r="BP855" s="13"/>
      <c r="BQ855" s="15"/>
      <c r="BR855" s="15"/>
      <c r="BS855" s="15"/>
      <c r="BT855" s="15"/>
      <c r="BU855" s="15"/>
      <c r="BV855" s="15"/>
      <c r="BW855" s="15"/>
      <c r="BX855" s="15"/>
      <c r="BY855" s="15"/>
      <c r="BZ855" s="15"/>
      <c r="CA855" s="15"/>
      <c r="CB855" s="17"/>
      <c r="CC855" s="17"/>
      <c r="CD855" s="18"/>
      <c r="CE855" s="18"/>
      <c r="CF855" s="18"/>
      <c r="CG855" s="18"/>
      <c r="CH855" s="18"/>
    </row>
    <row r="856">
      <c r="A856" s="15"/>
      <c r="B856" s="16"/>
      <c r="C856" s="15"/>
      <c r="D856" s="9"/>
      <c r="E856" s="15"/>
      <c r="F856" s="15"/>
      <c r="G856" s="13"/>
      <c r="H856" s="13"/>
      <c r="I856" s="13"/>
      <c r="J856" s="13"/>
      <c r="K856" s="13"/>
      <c r="L856" s="13"/>
      <c r="M856" s="13"/>
      <c r="N856" s="13"/>
      <c r="O856" s="13"/>
      <c r="P856" s="13"/>
      <c r="Q856" s="13"/>
      <c r="R856" s="13"/>
      <c r="S856" s="13"/>
      <c r="T856" s="13"/>
      <c r="U856" s="13"/>
      <c r="V856" s="13"/>
      <c r="W856" s="13"/>
      <c r="X856" s="13"/>
      <c r="Y856" s="13"/>
      <c r="Z856" s="13"/>
      <c r="AA856" s="13"/>
      <c r="AB856" s="15"/>
      <c r="AC856" s="15"/>
      <c r="AD856" s="15"/>
      <c r="AE856" s="13"/>
      <c r="AF856" s="13"/>
      <c r="AG856" s="13"/>
      <c r="AH856" s="15"/>
      <c r="AI856" s="13"/>
      <c r="AJ856" s="13"/>
      <c r="AK856" s="13"/>
      <c r="AL856" s="13"/>
      <c r="AM856" s="15"/>
      <c r="AN856" s="13"/>
      <c r="AO856" s="15"/>
      <c r="AP856" s="15"/>
      <c r="AQ856" s="13"/>
      <c r="AR856" s="13"/>
      <c r="AS856" s="13"/>
      <c r="AT856" s="13"/>
      <c r="AU856" s="13"/>
      <c r="AV856" s="13"/>
      <c r="AW856" s="13"/>
      <c r="AX856" s="13"/>
      <c r="AY856" s="15"/>
      <c r="AZ856" s="15"/>
      <c r="BA856" s="16"/>
      <c r="BB856" s="15"/>
      <c r="BC856" s="15"/>
      <c r="BD856" s="13"/>
      <c r="BE856" s="13"/>
      <c r="BF856" s="13"/>
      <c r="BG856" s="13"/>
      <c r="BH856" s="13"/>
      <c r="BI856" s="13"/>
      <c r="BJ856" s="13"/>
      <c r="BK856" s="13"/>
      <c r="BL856" s="13"/>
      <c r="BM856" s="13"/>
      <c r="BN856" s="13"/>
      <c r="BO856" s="13"/>
      <c r="BP856" s="13"/>
      <c r="BQ856" s="15"/>
      <c r="BR856" s="15"/>
      <c r="BS856" s="15"/>
      <c r="BT856" s="15"/>
      <c r="BU856" s="15"/>
      <c r="BV856" s="15"/>
      <c r="BW856" s="15"/>
      <c r="BX856" s="15"/>
      <c r="BY856" s="15"/>
      <c r="BZ856" s="15"/>
      <c r="CA856" s="15"/>
      <c r="CB856" s="17"/>
      <c r="CC856" s="17"/>
      <c r="CD856" s="18"/>
      <c r="CE856" s="18"/>
      <c r="CF856" s="18"/>
      <c r="CG856" s="18"/>
      <c r="CH856" s="18"/>
    </row>
    <row r="857">
      <c r="A857" s="15"/>
      <c r="B857" s="16"/>
      <c r="C857" s="15"/>
      <c r="D857" s="9"/>
      <c r="E857" s="15"/>
      <c r="F857" s="15"/>
      <c r="G857" s="13"/>
      <c r="H857" s="13"/>
      <c r="I857" s="13"/>
      <c r="J857" s="13"/>
      <c r="K857" s="13"/>
      <c r="L857" s="13"/>
      <c r="M857" s="13"/>
      <c r="N857" s="13"/>
      <c r="O857" s="13"/>
      <c r="P857" s="13"/>
      <c r="Q857" s="13"/>
      <c r="R857" s="13"/>
      <c r="S857" s="13"/>
      <c r="T857" s="13"/>
      <c r="U857" s="13"/>
      <c r="V857" s="13"/>
      <c r="W857" s="13"/>
      <c r="X857" s="13"/>
      <c r="Y857" s="13"/>
      <c r="Z857" s="13"/>
      <c r="AA857" s="13"/>
      <c r="AB857" s="15"/>
      <c r="AC857" s="15"/>
      <c r="AD857" s="15"/>
      <c r="AE857" s="13"/>
      <c r="AF857" s="13"/>
      <c r="AG857" s="13"/>
      <c r="AH857" s="15"/>
      <c r="AI857" s="13"/>
      <c r="AJ857" s="13"/>
      <c r="AK857" s="13"/>
      <c r="AL857" s="13"/>
      <c r="AM857" s="15"/>
      <c r="AN857" s="13"/>
      <c r="AO857" s="15"/>
      <c r="AP857" s="15"/>
      <c r="AQ857" s="13"/>
      <c r="AR857" s="13"/>
      <c r="AS857" s="13"/>
      <c r="AT857" s="13"/>
      <c r="AU857" s="13"/>
      <c r="AV857" s="13"/>
      <c r="AW857" s="13"/>
      <c r="AX857" s="13"/>
      <c r="AY857" s="15"/>
      <c r="AZ857" s="15"/>
      <c r="BA857" s="16"/>
      <c r="BB857" s="15"/>
      <c r="BC857" s="15"/>
      <c r="BD857" s="13"/>
      <c r="BE857" s="13"/>
      <c r="BF857" s="13"/>
      <c r="BG857" s="13"/>
      <c r="BH857" s="13"/>
      <c r="BI857" s="13"/>
      <c r="BJ857" s="13"/>
      <c r="BK857" s="13"/>
      <c r="BL857" s="13"/>
      <c r="BM857" s="13"/>
      <c r="BN857" s="13"/>
      <c r="BO857" s="13"/>
      <c r="BP857" s="13"/>
      <c r="BQ857" s="15"/>
      <c r="BR857" s="15"/>
      <c r="BS857" s="15"/>
      <c r="BT857" s="15"/>
      <c r="BU857" s="15"/>
      <c r="BV857" s="15"/>
      <c r="BW857" s="15"/>
      <c r="BX857" s="15"/>
      <c r="BY857" s="15"/>
      <c r="BZ857" s="15"/>
      <c r="CA857" s="15"/>
      <c r="CB857" s="17"/>
      <c r="CC857" s="17"/>
      <c r="CD857" s="18"/>
      <c r="CE857" s="18"/>
      <c r="CF857" s="18"/>
      <c r="CG857" s="18"/>
      <c r="CH857" s="18"/>
    </row>
    <row r="858">
      <c r="A858" s="15"/>
      <c r="B858" s="16"/>
      <c r="C858" s="15"/>
      <c r="D858" s="9"/>
      <c r="E858" s="15"/>
      <c r="F858" s="15"/>
      <c r="G858" s="13"/>
      <c r="H858" s="13"/>
      <c r="I858" s="13"/>
      <c r="J858" s="13"/>
      <c r="K858" s="13"/>
      <c r="L858" s="13"/>
      <c r="M858" s="13"/>
      <c r="N858" s="13"/>
      <c r="O858" s="13"/>
      <c r="P858" s="13"/>
      <c r="Q858" s="13"/>
      <c r="R858" s="13"/>
      <c r="S858" s="13"/>
      <c r="T858" s="13"/>
      <c r="U858" s="13"/>
      <c r="V858" s="13"/>
      <c r="W858" s="13"/>
      <c r="X858" s="13"/>
      <c r="Y858" s="13"/>
      <c r="Z858" s="13"/>
      <c r="AA858" s="13"/>
      <c r="AB858" s="15"/>
      <c r="AC858" s="15"/>
      <c r="AD858" s="15"/>
      <c r="AE858" s="13"/>
      <c r="AF858" s="13"/>
      <c r="AG858" s="13"/>
      <c r="AH858" s="15"/>
      <c r="AI858" s="13"/>
      <c r="AJ858" s="13"/>
      <c r="AK858" s="13"/>
      <c r="AL858" s="13"/>
      <c r="AM858" s="15"/>
      <c r="AN858" s="13"/>
      <c r="AO858" s="15"/>
      <c r="AP858" s="15"/>
      <c r="AQ858" s="13"/>
      <c r="AR858" s="13"/>
      <c r="AS858" s="13"/>
      <c r="AT858" s="13"/>
      <c r="AU858" s="13"/>
      <c r="AV858" s="13"/>
      <c r="AW858" s="13"/>
      <c r="AX858" s="13"/>
      <c r="AY858" s="15"/>
      <c r="AZ858" s="15"/>
      <c r="BA858" s="16"/>
      <c r="BB858" s="15"/>
      <c r="BC858" s="15"/>
      <c r="BD858" s="13"/>
      <c r="BE858" s="13"/>
      <c r="BF858" s="13"/>
      <c r="BG858" s="13"/>
      <c r="BH858" s="13"/>
      <c r="BI858" s="13"/>
      <c r="BJ858" s="13"/>
      <c r="BK858" s="13"/>
      <c r="BL858" s="13"/>
      <c r="BM858" s="13"/>
      <c r="BN858" s="13"/>
      <c r="BO858" s="13"/>
      <c r="BP858" s="13"/>
      <c r="BQ858" s="15"/>
      <c r="BR858" s="15"/>
      <c r="BS858" s="15"/>
      <c r="BT858" s="15"/>
      <c r="BU858" s="15"/>
      <c r="BV858" s="15"/>
      <c r="BW858" s="15"/>
      <c r="BX858" s="15"/>
      <c r="BY858" s="15"/>
      <c r="BZ858" s="15"/>
      <c r="CA858" s="15"/>
      <c r="CB858" s="17"/>
      <c r="CC858" s="17"/>
      <c r="CD858" s="18"/>
      <c r="CE858" s="18"/>
      <c r="CF858" s="18"/>
      <c r="CG858" s="18"/>
      <c r="CH858" s="18"/>
    </row>
    <row r="859">
      <c r="A859" s="15"/>
      <c r="B859" s="16"/>
      <c r="C859" s="15"/>
      <c r="D859" s="9"/>
      <c r="E859" s="15"/>
      <c r="F859" s="15"/>
      <c r="G859" s="13"/>
      <c r="H859" s="13"/>
      <c r="I859" s="13"/>
      <c r="J859" s="13"/>
      <c r="K859" s="13"/>
      <c r="L859" s="13"/>
      <c r="M859" s="13"/>
      <c r="N859" s="13"/>
      <c r="O859" s="13"/>
      <c r="P859" s="13"/>
      <c r="Q859" s="13"/>
      <c r="R859" s="13"/>
      <c r="S859" s="13"/>
      <c r="T859" s="13"/>
      <c r="U859" s="13"/>
      <c r="V859" s="13"/>
      <c r="W859" s="13"/>
      <c r="X859" s="13"/>
      <c r="Y859" s="13"/>
      <c r="Z859" s="13"/>
      <c r="AA859" s="13"/>
      <c r="AB859" s="15"/>
      <c r="AC859" s="15"/>
      <c r="AD859" s="15"/>
      <c r="AE859" s="13"/>
      <c r="AF859" s="13"/>
      <c r="AG859" s="13"/>
      <c r="AH859" s="15"/>
      <c r="AI859" s="13"/>
      <c r="AJ859" s="13"/>
      <c r="AK859" s="13"/>
      <c r="AL859" s="13"/>
      <c r="AM859" s="15"/>
      <c r="AN859" s="13"/>
      <c r="AO859" s="15"/>
      <c r="AP859" s="15"/>
      <c r="AQ859" s="13"/>
      <c r="AR859" s="13"/>
      <c r="AS859" s="13"/>
      <c r="AT859" s="13"/>
      <c r="AU859" s="13"/>
      <c r="AV859" s="13"/>
      <c r="AW859" s="13"/>
      <c r="AX859" s="13"/>
      <c r="AY859" s="15"/>
      <c r="AZ859" s="15"/>
      <c r="BA859" s="16"/>
      <c r="BB859" s="15"/>
      <c r="BC859" s="15"/>
      <c r="BD859" s="13"/>
      <c r="BE859" s="13"/>
      <c r="BF859" s="13"/>
      <c r="BG859" s="13"/>
      <c r="BH859" s="13"/>
      <c r="BI859" s="13"/>
      <c r="BJ859" s="13"/>
      <c r="BK859" s="13"/>
      <c r="BL859" s="13"/>
      <c r="BM859" s="13"/>
      <c r="BN859" s="13"/>
      <c r="BO859" s="13"/>
      <c r="BP859" s="13"/>
      <c r="BQ859" s="15"/>
      <c r="BR859" s="15"/>
      <c r="BS859" s="15"/>
      <c r="BT859" s="15"/>
      <c r="BU859" s="15"/>
      <c r="BV859" s="15"/>
      <c r="BW859" s="15"/>
      <c r="BX859" s="15"/>
      <c r="BY859" s="15"/>
      <c r="BZ859" s="15"/>
      <c r="CA859" s="15"/>
      <c r="CB859" s="17"/>
      <c r="CC859" s="17"/>
      <c r="CD859" s="18"/>
      <c r="CE859" s="18"/>
      <c r="CF859" s="18"/>
      <c r="CG859" s="18"/>
      <c r="CH859" s="18"/>
    </row>
    <row r="860">
      <c r="A860" s="15"/>
      <c r="B860" s="16"/>
      <c r="C860" s="15"/>
      <c r="D860" s="9"/>
      <c r="E860" s="15"/>
      <c r="F860" s="15"/>
      <c r="G860" s="13"/>
      <c r="H860" s="13"/>
      <c r="I860" s="13"/>
      <c r="J860" s="13"/>
      <c r="K860" s="13"/>
      <c r="L860" s="13"/>
      <c r="M860" s="13"/>
      <c r="N860" s="13"/>
      <c r="O860" s="13"/>
      <c r="P860" s="13"/>
      <c r="Q860" s="13"/>
      <c r="R860" s="13"/>
      <c r="S860" s="13"/>
      <c r="T860" s="13"/>
      <c r="U860" s="13"/>
      <c r="V860" s="13"/>
      <c r="W860" s="13"/>
      <c r="X860" s="13"/>
      <c r="Y860" s="13"/>
      <c r="Z860" s="13"/>
      <c r="AA860" s="13"/>
      <c r="AB860" s="15"/>
      <c r="AC860" s="15"/>
      <c r="AD860" s="15"/>
      <c r="AE860" s="13"/>
      <c r="AF860" s="13"/>
      <c r="AG860" s="13"/>
      <c r="AH860" s="15"/>
      <c r="AI860" s="13"/>
      <c r="AJ860" s="13"/>
      <c r="AK860" s="13"/>
      <c r="AL860" s="13"/>
      <c r="AM860" s="15"/>
      <c r="AN860" s="13"/>
      <c r="AO860" s="15"/>
      <c r="AP860" s="15"/>
      <c r="AQ860" s="13"/>
      <c r="AR860" s="13"/>
      <c r="AS860" s="13"/>
      <c r="AT860" s="13"/>
      <c r="AU860" s="13"/>
      <c r="AV860" s="13"/>
      <c r="AW860" s="13"/>
      <c r="AX860" s="13"/>
      <c r="AY860" s="15"/>
      <c r="AZ860" s="15"/>
      <c r="BA860" s="16"/>
      <c r="BB860" s="15"/>
      <c r="BC860" s="15"/>
      <c r="BD860" s="13"/>
      <c r="BE860" s="13"/>
      <c r="BF860" s="13"/>
      <c r="BG860" s="13"/>
      <c r="BH860" s="13"/>
      <c r="BI860" s="13"/>
      <c r="BJ860" s="13"/>
      <c r="BK860" s="13"/>
      <c r="BL860" s="13"/>
      <c r="BM860" s="13"/>
      <c r="BN860" s="13"/>
      <c r="BO860" s="13"/>
      <c r="BP860" s="13"/>
      <c r="BQ860" s="15"/>
      <c r="BR860" s="15"/>
      <c r="BS860" s="15"/>
      <c r="BT860" s="15"/>
      <c r="BU860" s="15"/>
      <c r="BV860" s="15"/>
      <c r="BW860" s="15"/>
      <c r="BX860" s="15"/>
      <c r="BY860" s="15"/>
      <c r="BZ860" s="15"/>
      <c r="CA860" s="15"/>
      <c r="CB860" s="17"/>
      <c r="CC860" s="17"/>
      <c r="CD860" s="18"/>
      <c r="CE860" s="18"/>
      <c r="CF860" s="18"/>
      <c r="CG860" s="18"/>
      <c r="CH860" s="18"/>
    </row>
    <row r="861">
      <c r="A861" s="15"/>
      <c r="B861" s="16"/>
      <c r="C861" s="15"/>
      <c r="D861" s="9"/>
      <c r="E861" s="15"/>
      <c r="F861" s="15"/>
      <c r="G861" s="13"/>
      <c r="H861" s="13"/>
      <c r="I861" s="13"/>
      <c r="J861" s="13"/>
      <c r="K861" s="13"/>
      <c r="L861" s="13"/>
      <c r="M861" s="13"/>
      <c r="N861" s="13"/>
      <c r="O861" s="13"/>
      <c r="P861" s="13"/>
      <c r="Q861" s="13"/>
      <c r="R861" s="13"/>
      <c r="S861" s="13"/>
      <c r="T861" s="13"/>
      <c r="U861" s="13"/>
      <c r="V861" s="13"/>
      <c r="W861" s="13"/>
      <c r="X861" s="13"/>
      <c r="Y861" s="13"/>
      <c r="Z861" s="13"/>
      <c r="AA861" s="13"/>
      <c r="AB861" s="15"/>
      <c r="AC861" s="15"/>
      <c r="AD861" s="15"/>
      <c r="AE861" s="13"/>
      <c r="AF861" s="13"/>
      <c r="AG861" s="13"/>
      <c r="AH861" s="15"/>
      <c r="AI861" s="13"/>
      <c r="AJ861" s="13"/>
      <c r="AK861" s="13"/>
      <c r="AL861" s="13"/>
      <c r="AM861" s="15"/>
      <c r="AN861" s="13"/>
      <c r="AO861" s="15"/>
      <c r="AP861" s="15"/>
      <c r="AQ861" s="13"/>
      <c r="AR861" s="13"/>
      <c r="AS861" s="13"/>
      <c r="AT861" s="13"/>
      <c r="AU861" s="13"/>
      <c r="AV861" s="13"/>
      <c r="AW861" s="13"/>
      <c r="AX861" s="13"/>
      <c r="AY861" s="15"/>
      <c r="AZ861" s="15"/>
      <c r="BA861" s="16"/>
      <c r="BB861" s="15"/>
      <c r="BC861" s="15"/>
      <c r="BD861" s="13"/>
      <c r="BE861" s="13"/>
      <c r="BF861" s="13"/>
      <c r="BG861" s="13"/>
      <c r="BH861" s="13"/>
      <c r="BI861" s="13"/>
      <c r="BJ861" s="13"/>
      <c r="BK861" s="13"/>
      <c r="BL861" s="13"/>
      <c r="BM861" s="13"/>
      <c r="BN861" s="13"/>
      <c r="BO861" s="13"/>
      <c r="BP861" s="13"/>
      <c r="BQ861" s="15"/>
      <c r="BR861" s="15"/>
      <c r="BS861" s="15"/>
      <c r="BT861" s="15"/>
      <c r="BU861" s="15"/>
      <c r="BV861" s="15"/>
      <c r="BW861" s="15"/>
      <c r="BX861" s="15"/>
      <c r="BY861" s="15"/>
      <c r="BZ861" s="15"/>
      <c r="CA861" s="15"/>
      <c r="CB861" s="17"/>
      <c r="CC861" s="17"/>
      <c r="CD861" s="18"/>
      <c r="CE861" s="18"/>
      <c r="CF861" s="18"/>
      <c r="CG861" s="18"/>
      <c r="CH861" s="18"/>
    </row>
    <row r="862">
      <c r="A862" s="15"/>
      <c r="B862" s="16"/>
      <c r="C862" s="15"/>
      <c r="D862" s="9"/>
      <c r="E862" s="15"/>
      <c r="F862" s="15"/>
      <c r="G862" s="13"/>
      <c r="H862" s="13"/>
      <c r="I862" s="13"/>
      <c r="J862" s="13"/>
      <c r="K862" s="13"/>
      <c r="L862" s="13"/>
      <c r="M862" s="13"/>
      <c r="N862" s="13"/>
      <c r="O862" s="13"/>
      <c r="P862" s="13"/>
      <c r="Q862" s="13"/>
      <c r="R862" s="13"/>
      <c r="S862" s="13"/>
      <c r="T862" s="13"/>
      <c r="U862" s="13"/>
      <c r="V862" s="13"/>
      <c r="W862" s="13"/>
      <c r="X862" s="13"/>
      <c r="Y862" s="13"/>
      <c r="Z862" s="13"/>
      <c r="AA862" s="13"/>
      <c r="AB862" s="15"/>
      <c r="AC862" s="15"/>
      <c r="AD862" s="15"/>
      <c r="AE862" s="13"/>
      <c r="AF862" s="13"/>
      <c r="AG862" s="13"/>
      <c r="AH862" s="15"/>
      <c r="AI862" s="13"/>
      <c r="AJ862" s="13"/>
      <c r="AK862" s="13"/>
      <c r="AL862" s="13"/>
      <c r="AM862" s="15"/>
      <c r="AN862" s="13"/>
      <c r="AO862" s="15"/>
      <c r="AP862" s="15"/>
      <c r="AQ862" s="13"/>
      <c r="AR862" s="13"/>
      <c r="AS862" s="13"/>
      <c r="AT862" s="13"/>
      <c r="AU862" s="13"/>
      <c r="AV862" s="13"/>
      <c r="AW862" s="13"/>
      <c r="AX862" s="13"/>
      <c r="AY862" s="15"/>
      <c r="AZ862" s="15"/>
      <c r="BA862" s="16"/>
      <c r="BB862" s="15"/>
      <c r="BC862" s="15"/>
      <c r="BD862" s="13"/>
      <c r="BE862" s="13"/>
      <c r="BF862" s="13"/>
      <c r="BG862" s="13"/>
      <c r="BH862" s="13"/>
      <c r="BI862" s="13"/>
      <c r="BJ862" s="13"/>
      <c r="BK862" s="13"/>
      <c r="BL862" s="13"/>
      <c r="BM862" s="13"/>
      <c r="BN862" s="13"/>
      <c r="BO862" s="13"/>
      <c r="BP862" s="13"/>
      <c r="BQ862" s="15"/>
      <c r="BR862" s="15"/>
      <c r="BS862" s="15"/>
      <c r="BT862" s="15"/>
      <c r="BU862" s="15"/>
      <c r="BV862" s="15"/>
      <c r="BW862" s="15"/>
      <c r="BX862" s="15"/>
      <c r="BY862" s="15"/>
      <c r="BZ862" s="15"/>
      <c r="CA862" s="15"/>
      <c r="CB862" s="17"/>
      <c r="CC862" s="17"/>
      <c r="CD862" s="18"/>
      <c r="CE862" s="18"/>
      <c r="CF862" s="18"/>
      <c r="CG862" s="18"/>
      <c r="CH862" s="18"/>
    </row>
    <row r="863">
      <c r="A863" s="15"/>
      <c r="B863" s="16"/>
      <c r="C863" s="15"/>
      <c r="D863" s="9"/>
      <c r="E863" s="15"/>
      <c r="F863" s="15"/>
      <c r="G863" s="13"/>
      <c r="H863" s="13"/>
      <c r="I863" s="13"/>
      <c r="J863" s="13"/>
      <c r="K863" s="13"/>
      <c r="L863" s="13"/>
      <c r="M863" s="13"/>
      <c r="N863" s="13"/>
      <c r="O863" s="13"/>
      <c r="P863" s="13"/>
      <c r="Q863" s="13"/>
      <c r="R863" s="13"/>
      <c r="S863" s="13"/>
      <c r="T863" s="13"/>
      <c r="U863" s="13"/>
      <c r="V863" s="13"/>
      <c r="W863" s="13"/>
      <c r="X863" s="13"/>
      <c r="Y863" s="13"/>
      <c r="Z863" s="13"/>
      <c r="AA863" s="13"/>
      <c r="AB863" s="15"/>
      <c r="AC863" s="15"/>
      <c r="AD863" s="15"/>
      <c r="AE863" s="13"/>
      <c r="AF863" s="13"/>
      <c r="AG863" s="13"/>
      <c r="AH863" s="15"/>
      <c r="AI863" s="13"/>
      <c r="AJ863" s="13"/>
      <c r="AK863" s="13"/>
      <c r="AL863" s="13"/>
      <c r="AM863" s="15"/>
      <c r="AN863" s="13"/>
      <c r="AO863" s="15"/>
      <c r="AP863" s="15"/>
      <c r="AQ863" s="13"/>
      <c r="AR863" s="13"/>
      <c r="AS863" s="13"/>
      <c r="AT863" s="13"/>
      <c r="AU863" s="13"/>
      <c r="AV863" s="13"/>
      <c r="AW863" s="13"/>
      <c r="AX863" s="13"/>
      <c r="AY863" s="15"/>
      <c r="AZ863" s="15"/>
      <c r="BA863" s="16"/>
      <c r="BB863" s="15"/>
      <c r="BC863" s="15"/>
      <c r="BD863" s="13"/>
      <c r="BE863" s="13"/>
      <c r="BF863" s="13"/>
      <c r="BG863" s="13"/>
      <c r="BH863" s="13"/>
      <c r="BI863" s="13"/>
      <c r="BJ863" s="13"/>
      <c r="BK863" s="13"/>
      <c r="BL863" s="13"/>
      <c r="BM863" s="13"/>
      <c r="BN863" s="13"/>
      <c r="BO863" s="13"/>
      <c r="BP863" s="13"/>
      <c r="BQ863" s="15"/>
      <c r="BR863" s="15"/>
      <c r="BS863" s="15"/>
      <c r="BT863" s="15"/>
      <c r="BU863" s="15"/>
      <c r="BV863" s="15"/>
      <c r="BW863" s="15"/>
      <c r="BX863" s="15"/>
      <c r="BY863" s="15"/>
      <c r="BZ863" s="15"/>
      <c r="CA863" s="15"/>
      <c r="CB863" s="17"/>
      <c r="CC863" s="17"/>
      <c r="CD863" s="18"/>
      <c r="CE863" s="18"/>
      <c r="CF863" s="18"/>
      <c r="CG863" s="18"/>
      <c r="CH863" s="18"/>
    </row>
    <row r="864">
      <c r="A864" s="15"/>
      <c r="B864" s="16"/>
      <c r="C864" s="15"/>
      <c r="D864" s="9"/>
      <c r="E864" s="15"/>
      <c r="F864" s="15"/>
      <c r="G864" s="13"/>
      <c r="H864" s="13"/>
      <c r="I864" s="13"/>
      <c r="J864" s="13"/>
      <c r="K864" s="13"/>
      <c r="L864" s="13"/>
      <c r="M864" s="13"/>
      <c r="N864" s="13"/>
      <c r="O864" s="13"/>
      <c r="P864" s="13"/>
      <c r="Q864" s="13"/>
      <c r="R864" s="13"/>
      <c r="S864" s="13"/>
      <c r="T864" s="13"/>
      <c r="U864" s="13"/>
      <c r="V864" s="13"/>
      <c r="W864" s="13"/>
      <c r="X864" s="13"/>
      <c r="Y864" s="13"/>
      <c r="Z864" s="13"/>
      <c r="AA864" s="13"/>
      <c r="AB864" s="15"/>
      <c r="AC864" s="15"/>
      <c r="AD864" s="15"/>
      <c r="AE864" s="13"/>
      <c r="AF864" s="13"/>
      <c r="AG864" s="13"/>
      <c r="AH864" s="15"/>
      <c r="AI864" s="13"/>
      <c r="AJ864" s="13"/>
      <c r="AK864" s="13"/>
      <c r="AL864" s="13"/>
      <c r="AM864" s="15"/>
      <c r="AN864" s="13"/>
      <c r="AO864" s="15"/>
      <c r="AP864" s="15"/>
      <c r="AQ864" s="13"/>
      <c r="AR864" s="13"/>
      <c r="AS864" s="13"/>
      <c r="AT864" s="13"/>
      <c r="AU864" s="13"/>
      <c r="AV864" s="13"/>
      <c r="AW864" s="13"/>
      <c r="AX864" s="13"/>
      <c r="AY864" s="15"/>
      <c r="AZ864" s="15"/>
      <c r="BA864" s="16"/>
      <c r="BB864" s="15"/>
      <c r="BC864" s="15"/>
      <c r="BD864" s="13"/>
      <c r="BE864" s="13"/>
      <c r="BF864" s="13"/>
      <c r="BG864" s="13"/>
      <c r="BH864" s="13"/>
      <c r="BI864" s="13"/>
      <c r="BJ864" s="13"/>
      <c r="BK864" s="13"/>
      <c r="BL864" s="13"/>
      <c r="BM864" s="13"/>
      <c r="BN864" s="13"/>
      <c r="BO864" s="13"/>
      <c r="BP864" s="13"/>
      <c r="BQ864" s="15"/>
      <c r="BR864" s="15"/>
      <c r="BS864" s="15"/>
      <c r="BT864" s="15"/>
      <c r="BU864" s="15"/>
      <c r="BV864" s="15"/>
      <c r="BW864" s="15"/>
      <c r="BX864" s="15"/>
      <c r="BY864" s="15"/>
      <c r="BZ864" s="15"/>
      <c r="CA864" s="15"/>
      <c r="CB864" s="17"/>
      <c r="CC864" s="17"/>
      <c r="CD864" s="18"/>
      <c r="CE864" s="18"/>
      <c r="CF864" s="18"/>
      <c r="CG864" s="18"/>
      <c r="CH864" s="18"/>
    </row>
    <row r="865">
      <c r="A865" s="15"/>
      <c r="B865" s="16"/>
      <c r="C865" s="15"/>
      <c r="D865" s="9"/>
      <c r="E865" s="15"/>
      <c r="F865" s="15"/>
      <c r="G865" s="13"/>
      <c r="H865" s="13"/>
      <c r="I865" s="13"/>
      <c r="J865" s="13"/>
      <c r="K865" s="13"/>
      <c r="L865" s="13"/>
      <c r="M865" s="13"/>
      <c r="N865" s="13"/>
      <c r="O865" s="13"/>
      <c r="P865" s="13"/>
      <c r="Q865" s="13"/>
      <c r="R865" s="13"/>
      <c r="S865" s="13"/>
      <c r="T865" s="13"/>
      <c r="U865" s="13"/>
      <c r="V865" s="13"/>
      <c r="W865" s="13"/>
      <c r="X865" s="13"/>
      <c r="Y865" s="13"/>
      <c r="Z865" s="13"/>
      <c r="AA865" s="13"/>
      <c r="AB865" s="15"/>
      <c r="AC865" s="15"/>
      <c r="AD865" s="15"/>
      <c r="AE865" s="13"/>
      <c r="AF865" s="13"/>
      <c r="AG865" s="13"/>
      <c r="AH865" s="15"/>
      <c r="AI865" s="13"/>
      <c r="AJ865" s="13"/>
      <c r="AK865" s="13"/>
      <c r="AL865" s="13"/>
      <c r="AM865" s="15"/>
      <c r="AN865" s="13"/>
      <c r="AO865" s="15"/>
      <c r="AP865" s="15"/>
      <c r="AQ865" s="13"/>
      <c r="AR865" s="13"/>
      <c r="AS865" s="13"/>
      <c r="AT865" s="13"/>
      <c r="AU865" s="13"/>
      <c r="AV865" s="13"/>
      <c r="AW865" s="13"/>
      <c r="AX865" s="13"/>
      <c r="AY865" s="15"/>
      <c r="AZ865" s="15"/>
      <c r="BA865" s="16"/>
      <c r="BB865" s="15"/>
      <c r="BC865" s="15"/>
      <c r="BD865" s="13"/>
      <c r="BE865" s="13"/>
      <c r="BF865" s="13"/>
      <c r="BG865" s="13"/>
      <c r="BH865" s="13"/>
      <c r="BI865" s="13"/>
      <c r="BJ865" s="13"/>
      <c r="BK865" s="13"/>
      <c r="BL865" s="13"/>
      <c r="BM865" s="13"/>
      <c r="BN865" s="13"/>
      <c r="BO865" s="13"/>
      <c r="BP865" s="13"/>
      <c r="BQ865" s="15"/>
      <c r="BR865" s="15"/>
      <c r="BS865" s="15"/>
      <c r="BT865" s="15"/>
      <c r="BU865" s="15"/>
      <c r="BV865" s="15"/>
      <c r="BW865" s="15"/>
      <c r="BX865" s="15"/>
      <c r="BY865" s="15"/>
      <c r="BZ865" s="15"/>
      <c r="CA865" s="15"/>
      <c r="CB865" s="17"/>
      <c r="CC865" s="17"/>
      <c r="CD865" s="18"/>
      <c r="CE865" s="18"/>
      <c r="CF865" s="18"/>
      <c r="CG865" s="18"/>
      <c r="CH865" s="18"/>
    </row>
    <row r="866">
      <c r="A866" s="15"/>
      <c r="B866" s="16"/>
      <c r="C866" s="15"/>
      <c r="D866" s="9"/>
      <c r="E866" s="15"/>
      <c r="F866" s="15"/>
      <c r="G866" s="13"/>
      <c r="H866" s="13"/>
      <c r="I866" s="13"/>
      <c r="J866" s="13"/>
      <c r="K866" s="13"/>
      <c r="L866" s="13"/>
      <c r="M866" s="13"/>
      <c r="N866" s="13"/>
      <c r="O866" s="13"/>
      <c r="P866" s="13"/>
      <c r="Q866" s="13"/>
      <c r="R866" s="13"/>
      <c r="S866" s="13"/>
      <c r="T866" s="13"/>
      <c r="U866" s="13"/>
      <c r="V866" s="13"/>
      <c r="W866" s="13"/>
      <c r="X866" s="13"/>
      <c r="Y866" s="13"/>
      <c r="Z866" s="13"/>
      <c r="AA866" s="13"/>
      <c r="AB866" s="15"/>
      <c r="AC866" s="15"/>
      <c r="AD866" s="15"/>
      <c r="AE866" s="13"/>
      <c r="AF866" s="13"/>
      <c r="AG866" s="13"/>
      <c r="AH866" s="15"/>
      <c r="AI866" s="13"/>
      <c r="AJ866" s="13"/>
      <c r="AK866" s="13"/>
      <c r="AL866" s="13"/>
      <c r="AM866" s="15"/>
      <c r="AN866" s="13"/>
      <c r="AO866" s="15"/>
      <c r="AP866" s="15"/>
      <c r="AQ866" s="13"/>
      <c r="AR866" s="13"/>
      <c r="AS866" s="13"/>
      <c r="AT866" s="13"/>
      <c r="AU866" s="13"/>
      <c r="AV866" s="13"/>
      <c r="AW866" s="13"/>
      <c r="AX866" s="13"/>
      <c r="AY866" s="15"/>
      <c r="AZ866" s="15"/>
      <c r="BA866" s="16"/>
      <c r="BB866" s="15"/>
      <c r="BC866" s="15"/>
      <c r="BD866" s="13"/>
      <c r="BE866" s="13"/>
      <c r="BF866" s="13"/>
      <c r="BG866" s="13"/>
      <c r="BH866" s="13"/>
      <c r="BI866" s="13"/>
      <c r="BJ866" s="13"/>
      <c r="BK866" s="13"/>
      <c r="BL866" s="13"/>
      <c r="BM866" s="13"/>
      <c r="BN866" s="13"/>
      <c r="BO866" s="13"/>
      <c r="BP866" s="13"/>
      <c r="BQ866" s="15"/>
      <c r="BR866" s="15"/>
      <c r="BS866" s="15"/>
      <c r="BT866" s="15"/>
      <c r="BU866" s="15"/>
      <c r="BV866" s="15"/>
      <c r="BW866" s="15"/>
      <c r="BX866" s="15"/>
      <c r="BY866" s="15"/>
      <c r="BZ866" s="15"/>
      <c r="CA866" s="15"/>
      <c r="CB866" s="17"/>
      <c r="CC866" s="17"/>
      <c r="CD866" s="18"/>
      <c r="CE866" s="18"/>
      <c r="CF866" s="18"/>
      <c r="CG866" s="18"/>
      <c r="CH866" s="18"/>
    </row>
    <row r="867">
      <c r="A867" s="15"/>
      <c r="B867" s="16"/>
      <c r="C867" s="15"/>
      <c r="D867" s="9"/>
      <c r="E867" s="15"/>
      <c r="F867" s="15"/>
      <c r="G867" s="13"/>
      <c r="H867" s="13"/>
      <c r="I867" s="13"/>
      <c r="J867" s="13"/>
      <c r="K867" s="13"/>
      <c r="L867" s="13"/>
      <c r="M867" s="13"/>
      <c r="N867" s="13"/>
      <c r="O867" s="13"/>
      <c r="P867" s="13"/>
      <c r="Q867" s="13"/>
      <c r="R867" s="13"/>
      <c r="S867" s="13"/>
      <c r="T867" s="13"/>
      <c r="U867" s="13"/>
      <c r="V867" s="13"/>
      <c r="W867" s="13"/>
      <c r="X867" s="13"/>
      <c r="Y867" s="13"/>
      <c r="Z867" s="13"/>
      <c r="AA867" s="13"/>
      <c r="AB867" s="15"/>
      <c r="AC867" s="15"/>
      <c r="AD867" s="15"/>
      <c r="AE867" s="13"/>
      <c r="AF867" s="13"/>
      <c r="AG867" s="13"/>
      <c r="AH867" s="15"/>
      <c r="AI867" s="13"/>
      <c r="AJ867" s="13"/>
      <c r="AK867" s="13"/>
      <c r="AL867" s="13"/>
      <c r="AM867" s="15"/>
      <c r="AN867" s="13"/>
      <c r="AO867" s="15"/>
      <c r="AP867" s="15"/>
      <c r="AQ867" s="13"/>
      <c r="AR867" s="13"/>
      <c r="AS867" s="13"/>
      <c r="AT867" s="13"/>
      <c r="AU867" s="13"/>
      <c r="AV867" s="13"/>
      <c r="AW867" s="13"/>
      <c r="AX867" s="13"/>
      <c r="AY867" s="15"/>
      <c r="AZ867" s="15"/>
      <c r="BA867" s="16"/>
      <c r="BB867" s="15"/>
      <c r="BC867" s="15"/>
      <c r="BD867" s="13"/>
      <c r="BE867" s="13"/>
      <c r="BF867" s="13"/>
      <c r="BG867" s="13"/>
      <c r="BH867" s="13"/>
      <c r="BI867" s="13"/>
      <c r="BJ867" s="13"/>
      <c r="BK867" s="13"/>
      <c r="BL867" s="13"/>
      <c r="BM867" s="13"/>
      <c r="BN867" s="13"/>
      <c r="BO867" s="13"/>
      <c r="BP867" s="13"/>
      <c r="BQ867" s="15"/>
      <c r="BR867" s="15"/>
      <c r="BS867" s="15"/>
      <c r="BT867" s="15"/>
      <c r="BU867" s="15"/>
      <c r="BV867" s="15"/>
      <c r="BW867" s="15"/>
      <c r="BX867" s="15"/>
      <c r="BY867" s="15"/>
      <c r="BZ867" s="15"/>
      <c r="CA867" s="15"/>
      <c r="CB867" s="17"/>
      <c r="CC867" s="17"/>
      <c r="CD867" s="18"/>
      <c r="CE867" s="18"/>
      <c r="CF867" s="18"/>
      <c r="CG867" s="18"/>
      <c r="CH867" s="18"/>
    </row>
    <row r="868">
      <c r="A868" s="15"/>
      <c r="B868" s="16"/>
      <c r="C868" s="15"/>
      <c r="D868" s="9"/>
      <c r="E868" s="15"/>
      <c r="F868" s="15"/>
      <c r="G868" s="13"/>
      <c r="H868" s="13"/>
      <c r="I868" s="13"/>
      <c r="J868" s="13"/>
      <c r="K868" s="13"/>
      <c r="L868" s="13"/>
      <c r="M868" s="13"/>
      <c r="N868" s="13"/>
      <c r="O868" s="13"/>
      <c r="P868" s="13"/>
      <c r="Q868" s="13"/>
      <c r="R868" s="13"/>
      <c r="S868" s="13"/>
      <c r="T868" s="13"/>
      <c r="U868" s="13"/>
      <c r="V868" s="13"/>
      <c r="W868" s="13"/>
      <c r="X868" s="13"/>
      <c r="Y868" s="13"/>
      <c r="Z868" s="13"/>
      <c r="AA868" s="13"/>
      <c r="AB868" s="15"/>
      <c r="AC868" s="15"/>
      <c r="AD868" s="15"/>
      <c r="AE868" s="13"/>
      <c r="AF868" s="13"/>
      <c r="AG868" s="13"/>
      <c r="AH868" s="15"/>
      <c r="AI868" s="13"/>
      <c r="AJ868" s="13"/>
      <c r="AK868" s="13"/>
      <c r="AL868" s="13"/>
      <c r="AM868" s="15"/>
      <c r="AN868" s="13"/>
      <c r="AO868" s="15"/>
      <c r="AP868" s="15"/>
      <c r="AQ868" s="13"/>
      <c r="AR868" s="13"/>
      <c r="AS868" s="13"/>
      <c r="AT868" s="13"/>
      <c r="AU868" s="13"/>
      <c r="AV868" s="13"/>
      <c r="AW868" s="13"/>
      <c r="AX868" s="13"/>
      <c r="AY868" s="15"/>
      <c r="AZ868" s="15"/>
      <c r="BA868" s="16"/>
      <c r="BB868" s="15"/>
      <c r="BC868" s="15"/>
      <c r="BD868" s="13"/>
      <c r="BE868" s="13"/>
      <c r="BF868" s="13"/>
      <c r="BG868" s="13"/>
      <c r="BH868" s="13"/>
      <c r="BI868" s="13"/>
      <c r="BJ868" s="13"/>
      <c r="BK868" s="13"/>
      <c r="BL868" s="13"/>
      <c r="BM868" s="13"/>
      <c r="BN868" s="13"/>
      <c r="BO868" s="13"/>
      <c r="BP868" s="13"/>
      <c r="BQ868" s="15"/>
      <c r="BR868" s="15"/>
      <c r="BS868" s="15"/>
      <c r="BT868" s="15"/>
      <c r="BU868" s="15"/>
      <c r="BV868" s="15"/>
      <c r="BW868" s="15"/>
      <c r="BX868" s="15"/>
      <c r="BY868" s="15"/>
      <c r="BZ868" s="15"/>
      <c r="CA868" s="15"/>
      <c r="CB868" s="17"/>
      <c r="CC868" s="17"/>
      <c r="CD868" s="18"/>
      <c r="CE868" s="18"/>
      <c r="CF868" s="18"/>
      <c r="CG868" s="18"/>
      <c r="CH868" s="18"/>
    </row>
    <row r="869">
      <c r="A869" s="15"/>
      <c r="B869" s="16"/>
      <c r="C869" s="15"/>
      <c r="D869" s="9"/>
      <c r="E869" s="15"/>
      <c r="F869" s="15"/>
      <c r="G869" s="13"/>
      <c r="H869" s="13"/>
      <c r="I869" s="13"/>
      <c r="J869" s="13"/>
      <c r="K869" s="13"/>
      <c r="L869" s="13"/>
      <c r="M869" s="13"/>
      <c r="N869" s="13"/>
      <c r="O869" s="13"/>
      <c r="P869" s="13"/>
      <c r="Q869" s="13"/>
      <c r="R869" s="13"/>
      <c r="S869" s="13"/>
      <c r="T869" s="13"/>
      <c r="U869" s="13"/>
      <c r="V869" s="13"/>
      <c r="W869" s="13"/>
      <c r="X869" s="13"/>
      <c r="Y869" s="13"/>
      <c r="Z869" s="13"/>
      <c r="AA869" s="13"/>
      <c r="AB869" s="15"/>
      <c r="AC869" s="15"/>
      <c r="AD869" s="15"/>
      <c r="AE869" s="13"/>
      <c r="AF869" s="13"/>
      <c r="AG869" s="13"/>
      <c r="AH869" s="15"/>
      <c r="AI869" s="13"/>
      <c r="AJ869" s="13"/>
      <c r="AK869" s="13"/>
      <c r="AL869" s="13"/>
      <c r="AM869" s="15"/>
      <c r="AN869" s="13"/>
      <c r="AO869" s="15"/>
      <c r="AP869" s="15"/>
      <c r="AQ869" s="13"/>
      <c r="AR869" s="13"/>
      <c r="AS869" s="13"/>
      <c r="AT869" s="13"/>
      <c r="AU869" s="13"/>
      <c r="AV869" s="13"/>
      <c r="AW869" s="13"/>
      <c r="AX869" s="13"/>
      <c r="AY869" s="15"/>
      <c r="AZ869" s="15"/>
      <c r="BA869" s="16"/>
      <c r="BB869" s="15"/>
      <c r="BC869" s="15"/>
      <c r="BD869" s="13"/>
      <c r="BE869" s="13"/>
      <c r="BF869" s="13"/>
      <c r="BG869" s="13"/>
      <c r="BH869" s="13"/>
      <c r="BI869" s="13"/>
      <c r="BJ869" s="13"/>
      <c r="BK869" s="13"/>
      <c r="BL869" s="13"/>
      <c r="BM869" s="13"/>
      <c r="BN869" s="13"/>
      <c r="BO869" s="13"/>
      <c r="BP869" s="13"/>
      <c r="BQ869" s="15"/>
      <c r="BR869" s="15"/>
      <c r="BS869" s="15"/>
      <c r="BT869" s="15"/>
      <c r="BU869" s="15"/>
      <c r="BV869" s="15"/>
      <c r="BW869" s="15"/>
      <c r="BX869" s="15"/>
      <c r="BY869" s="15"/>
      <c r="BZ869" s="15"/>
      <c r="CA869" s="15"/>
      <c r="CB869" s="17"/>
      <c r="CC869" s="17"/>
      <c r="CD869" s="18"/>
      <c r="CE869" s="18"/>
      <c r="CF869" s="18"/>
      <c r="CG869" s="18"/>
      <c r="CH869" s="18"/>
    </row>
    <row r="870">
      <c r="A870" s="15"/>
      <c r="B870" s="16"/>
      <c r="C870" s="15"/>
      <c r="D870" s="9"/>
      <c r="E870" s="15"/>
      <c r="F870" s="15"/>
      <c r="G870" s="13"/>
      <c r="H870" s="13"/>
      <c r="I870" s="13"/>
      <c r="J870" s="13"/>
      <c r="K870" s="13"/>
      <c r="L870" s="13"/>
      <c r="M870" s="13"/>
      <c r="N870" s="13"/>
      <c r="O870" s="13"/>
      <c r="P870" s="13"/>
      <c r="Q870" s="13"/>
      <c r="R870" s="13"/>
      <c r="S870" s="13"/>
      <c r="T870" s="13"/>
      <c r="U870" s="13"/>
      <c r="V870" s="13"/>
      <c r="W870" s="13"/>
      <c r="X870" s="13"/>
      <c r="Y870" s="13"/>
      <c r="Z870" s="13"/>
      <c r="AA870" s="13"/>
      <c r="AB870" s="15"/>
      <c r="AC870" s="15"/>
      <c r="AD870" s="15"/>
      <c r="AE870" s="13"/>
      <c r="AF870" s="13"/>
      <c r="AG870" s="13"/>
      <c r="AH870" s="15"/>
      <c r="AI870" s="13"/>
      <c r="AJ870" s="13"/>
      <c r="AK870" s="13"/>
      <c r="AL870" s="13"/>
      <c r="AM870" s="15"/>
      <c r="AN870" s="13"/>
      <c r="AO870" s="15"/>
      <c r="AP870" s="15"/>
      <c r="AQ870" s="13"/>
      <c r="AR870" s="13"/>
      <c r="AS870" s="13"/>
      <c r="AT870" s="13"/>
      <c r="AU870" s="13"/>
      <c r="AV870" s="13"/>
      <c r="AW870" s="13"/>
      <c r="AX870" s="13"/>
      <c r="AY870" s="15"/>
      <c r="AZ870" s="15"/>
      <c r="BA870" s="16"/>
      <c r="BB870" s="15"/>
      <c r="BC870" s="15"/>
      <c r="BD870" s="13"/>
      <c r="BE870" s="13"/>
      <c r="BF870" s="13"/>
      <c r="BG870" s="13"/>
      <c r="BH870" s="13"/>
      <c r="BI870" s="13"/>
      <c r="BJ870" s="13"/>
      <c r="BK870" s="13"/>
      <c r="BL870" s="13"/>
      <c r="BM870" s="13"/>
      <c r="BN870" s="13"/>
      <c r="BO870" s="13"/>
      <c r="BP870" s="13"/>
      <c r="BQ870" s="15"/>
      <c r="BR870" s="15"/>
      <c r="BS870" s="15"/>
      <c r="BT870" s="15"/>
      <c r="BU870" s="15"/>
      <c r="BV870" s="15"/>
      <c r="BW870" s="15"/>
      <c r="BX870" s="15"/>
      <c r="BY870" s="15"/>
      <c r="BZ870" s="15"/>
      <c r="CA870" s="15"/>
      <c r="CB870" s="17"/>
      <c r="CC870" s="17"/>
      <c r="CD870" s="18"/>
      <c r="CE870" s="18"/>
      <c r="CF870" s="18"/>
      <c r="CG870" s="18"/>
      <c r="CH870" s="18"/>
    </row>
    <row r="871">
      <c r="A871" s="15"/>
      <c r="B871" s="16"/>
      <c r="C871" s="15"/>
      <c r="D871" s="9"/>
      <c r="E871" s="15"/>
      <c r="F871" s="15"/>
      <c r="G871" s="13"/>
      <c r="H871" s="13"/>
      <c r="I871" s="13"/>
      <c r="J871" s="13"/>
      <c r="K871" s="13"/>
      <c r="L871" s="13"/>
      <c r="M871" s="13"/>
      <c r="N871" s="13"/>
      <c r="O871" s="13"/>
      <c r="P871" s="13"/>
      <c r="Q871" s="13"/>
      <c r="R871" s="13"/>
      <c r="S871" s="13"/>
      <c r="T871" s="13"/>
      <c r="U871" s="13"/>
      <c r="V871" s="13"/>
      <c r="W871" s="13"/>
      <c r="X871" s="13"/>
      <c r="Y871" s="13"/>
      <c r="Z871" s="13"/>
      <c r="AA871" s="13"/>
      <c r="AB871" s="15"/>
      <c r="AC871" s="15"/>
      <c r="AD871" s="15"/>
      <c r="AE871" s="13"/>
      <c r="AF871" s="13"/>
      <c r="AG871" s="13"/>
      <c r="AH871" s="15"/>
      <c r="AI871" s="13"/>
      <c r="AJ871" s="13"/>
      <c r="AK871" s="13"/>
      <c r="AL871" s="13"/>
      <c r="AM871" s="15"/>
      <c r="AN871" s="13"/>
      <c r="AO871" s="15"/>
      <c r="AP871" s="15"/>
      <c r="AQ871" s="13"/>
      <c r="AR871" s="13"/>
      <c r="AS871" s="13"/>
      <c r="AT871" s="13"/>
      <c r="AU871" s="13"/>
      <c r="AV871" s="13"/>
      <c r="AW871" s="13"/>
      <c r="AX871" s="13"/>
      <c r="AY871" s="15"/>
      <c r="AZ871" s="15"/>
      <c r="BA871" s="16"/>
      <c r="BB871" s="15"/>
      <c r="BC871" s="15"/>
      <c r="BD871" s="13"/>
      <c r="BE871" s="13"/>
      <c r="BF871" s="13"/>
      <c r="BG871" s="13"/>
      <c r="BH871" s="13"/>
      <c r="BI871" s="13"/>
      <c r="BJ871" s="13"/>
      <c r="BK871" s="13"/>
      <c r="BL871" s="13"/>
      <c r="BM871" s="13"/>
      <c r="BN871" s="13"/>
      <c r="BO871" s="13"/>
      <c r="BP871" s="13"/>
      <c r="BQ871" s="15"/>
      <c r="BR871" s="15"/>
      <c r="BS871" s="15"/>
      <c r="BT871" s="15"/>
      <c r="BU871" s="15"/>
      <c r="BV871" s="15"/>
      <c r="BW871" s="15"/>
      <c r="BX871" s="15"/>
      <c r="BY871" s="15"/>
      <c r="BZ871" s="15"/>
      <c r="CA871" s="15"/>
      <c r="CB871" s="17"/>
      <c r="CC871" s="17"/>
      <c r="CD871" s="18"/>
      <c r="CE871" s="18"/>
      <c r="CF871" s="18"/>
      <c r="CG871" s="18"/>
      <c r="CH871" s="18"/>
    </row>
    <row r="872">
      <c r="A872" s="15"/>
      <c r="B872" s="16"/>
      <c r="C872" s="15"/>
      <c r="D872" s="9"/>
      <c r="E872" s="15"/>
      <c r="F872" s="15"/>
      <c r="G872" s="13"/>
      <c r="H872" s="13"/>
      <c r="I872" s="13"/>
      <c r="J872" s="13"/>
      <c r="K872" s="13"/>
      <c r="L872" s="13"/>
      <c r="M872" s="13"/>
      <c r="N872" s="13"/>
      <c r="O872" s="13"/>
      <c r="P872" s="13"/>
      <c r="Q872" s="13"/>
      <c r="R872" s="13"/>
      <c r="S872" s="13"/>
      <c r="T872" s="13"/>
      <c r="U872" s="13"/>
      <c r="V872" s="13"/>
      <c r="W872" s="13"/>
      <c r="X872" s="13"/>
      <c r="Y872" s="13"/>
      <c r="Z872" s="13"/>
      <c r="AA872" s="13"/>
      <c r="AB872" s="15"/>
      <c r="AC872" s="15"/>
      <c r="AD872" s="15"/>
      <c r="AE872" s="13"/>
      <c r="AF872" s="13"/>
      <c r="AG872" s="13"/>
      <c r="AH872" s="15"/>
      <c r="AI872" s="13"/>
      <c r="AJ872" s="13"/>
      <c r="AK872" s="13"/>
      <c r="AL872" s="13"/>
      <c r="AM872" s="15"/>
      <c r="AN872" s="13"/>
      <c r="AO872" s="15"/>
      <c r="AP872" s="15"/>
      <c r="AQ872" s="13"/>
      <c r="AR872" s="13"/>
      <c r="AS872" s="13"/>
      <c r="AT872" s="13"/>
      <c r="AU872" s="13"/>
      <c r="AV872" s="13"/>
      <c r="AW872" s="13"/>
      <c r="AX872" s="13"/>
      <c r="AY872" s="15"/>
      <c r="AZ872" s="15"/>
      <c r="BA872" s="16"/>
      <c r="BB872" s="15"/>
      <c r="BC872" s="15"/>
      <c r="BD872" s="13"/>
      <c r="BE872" s="13"/>
      <c r="BF872" s="13"/>
      <c r="BG872" s="13"/>
      <c r="BH872" s="13"/>
      <c r="BI872" s="13"/>
      <c r="BJ872" s="13"/>
      <c r="BK872" s="13"/>
      <c r="BL872" s="13"/>
      <c r="BM872" s="13"/>
      <c r="BN872" s="13"/>
      <c r="BO872" s="13"/>
      <c r="BP872" s="13"/>
      <c r="BQ872" s="15"/>
      <c r="BR872" s="15"/>
      <c r="BS872" s="15"/>
      <c r="BT872" s="15"/>
      <c r="BU872" s="15"/>
      <c r="BV872" s="15"/>
      <c r="BW872" s="15"/>
      <c r="BX872" s="15"/>
      <c r="BY872" s="15"/>
      <c r="BZ872" s="15"/>
      <c r="CA872" s="15"/>
      <c r="CB872" s="17"/>
      <c r="CC872" s="17"/>
      <c r="CD872" s="18"/>
      <c r="CE872" s="18"/>
      <c r="CF872" s="18"/>
      <c r="CG872" s="18"/>
      <c r="CH872" s="18"/>
    </row>
    <row r="873">
      <c r="A873" s="15"/>
      <c r="B873" s="16"/>
      <c r="C873" s="15"/>
      <c r="D873" s="9"/>
      <c r="E873" s="15"/>
      <c r="F873" s="15"/>
      <c r="G873" s="13"/>
      <c r="H873" s="13"/>
      <c r="I873" s="13"/>
      <c r="J873" s="13"/>
      <c r="K873" s="13"/>
      <c r="L873" s="13"/>
      <c r="M873" s="13"/>
      <c r="N873" s="13"/>
      <c r="O873" s="13"/>
      <c r="P873" s="13"/>
      <c r="Q873" s="13"/>
      <c r="R873" s="13"/>
      <c r="S873" s="13"/>
      <c r="T873" s="13"/>
      <c r="U873" s="13"/>
      <c r="V873" s="13"/>
      <c r="W873" s="13"/>
      <c r="X873" s="13"/>
      <c r="Y873" s="13"/>
      <c r="Z873" s="13"/>
      <c r="AA873" s="13"/>
      <c r="AB873" s="15"/>
      <c r="AC873" s="15"/>
      <c r="AD873" s="15"/>
      <c r="AE873" s="13"/>
      <c r="AF873" s="13"/>
      <c r="AG873" s="13"/>
      <c r="AH873" s="15"/>
      <c r="AI873" s="13"/>
      <c r="AJ873" s="13"/>
      <c r="AK873" s="13"/>
      <c r="AL873" s="13"/>
      <c r="AM873" s="15"/>
      <c r="AN873" s="13"/>
      <c r="AO873" s="15"/>
      <c r="AP873" s="15"/>
      <c r="AQ873" s="13"/>
      <c r="AR873" s="13"/>
      <c r="AS873" s="13"/>
      <c r="AT873" s="13"/>
      <c r="AU873" s="13"/>
      <c r="AV873" s="13"/>
      <c r="AW873" s="13"/>
      <c r="AX873" s="13"/>
      <c r="AY873" s="15"/>
      <c r="AZ873" s="15"/>
      <c r="BA873" s="16"/>
      <c r="BB873" s="15"/>
      <c r="BC873" s="15"/>
      <c r="BD873" s="13"/>
      <c r="BE873" s="13"/>
      <c r="BF873" s="13"/>
      <c r="BG873" s="13"/>
      <c r="BH873" s="13"/>
      <c r="BI873" s="13"/>
      <c r="BJ873" s="13"/>
      <c r="BK873" s="13"/>
      <c r="BL873" s="13"/>
      <c r="BM873" s="13"/>
      <c r="BN873" s="13"/>
      <c r="BO873" s="13"/>
      <c r="BP873" s="13"/>
      <c r="BQ873" s="15"/>
      <c r="BR873" s="15"/>
      <c r="BS873" s="15"/>
      <c r="BT873" s="15"/>
      <c r="BU873" s="15"/>
      <c r="BV873" s="15"/>
      <c r="BW873" s="15"/>
      <c r="BX873" s="15"/>
      <c r="BY873" s="15"/>
      <c r="BZ873" s="15"/>
      <c r="CA873" s="15"/>
      <c r="CB873" s="17"/>
      <c r="CC873" s="17"/>
      <c r="CD873" s="18"/>
      <c r="CE873" s="18"/>
      <c r="CF873" s="18"/>
      <c r="CG873" s="18"/>
      <c r="CH873" s="18"/>
    </row>
    <row r="874">
      <c r="A874" s="15"/>
      <c r="B874" s="16"/>
      <c r="C874" s="15"/>
      <c r="D874" s="9"/>
      <c r="E874" s="15"/>
      <c r="F874" s="15"/>
      <c r="G874" s="13"/>
      <c r="H874" s="13"/>
      <c r="I874" s="13"/>
      <c r="J874" s="13"/>
      <c r="K874" s="13"/>
      <c r="L874" s="13"/>
      <c r="M874" s="13"/>
      <c r="N874" s="13"/>
      <c r="O874" s="13"/>
      <c r="P874" s="13"/>
      <c r="Q874" s="13"/>
      <c r="R874" s="13"/>
      <c r="S874" s="13"/>
      <c r="T874" s="13"/>
      <c r="U874" s="13"/>
      <c r="V874" s="13"/>
      <c r="W874" s="13"/>
      <c r="X874" s="13"/>
      <c r="Y874" s="13"/>
      <c r="Z874" s="13"/>
      <c r="AA874" s="13"/>
      <c r="AB874" s="15"/>
      <c r="AC874" s="15"/>
      <c r="AD874" s="15"/>
      <c r="AE874" s="13"/>
      <c r="AF874" s="13"/>
      <c r="AG874" s="13"/>
      <c r="AH874" s="15"/>
      <c r="AI874" s="13"/>
      <c r="AJ874" s="13"/>
      <c r="AK874" s="13"/>
      <c r="AL874" s="13"/>
      <c r="AM874" s="15"/>
      <c r="AN874" s="13"/>
      <c r="AO874" s="15"/>
      <c r="AP874" s="15"/>
      <c r="AQ874" s="13"/>
      <c r="AR874" s="13"/>
      <c r="AS874" s="13"/>
      <c r="AT874" s="13"/>
      <c r="AU874" s="13"/>
      <c r="AV874" s="13"/>
      <c r="AW874" s="13"/>
      <c r="AX874" s="13"/>
      <c r="AY874" s="15"/>
      <c r="AZ874" s="15"/>
      <c r="BA874" s="16"/>
      <c r="BB874" s="15"/>
      <c r="BC874" s="15"/>
      <c r="BD874" s="13"/>
      <c r="BE874" s="13"/>
      <c r="BF874" s="13"/>
      <c r="BG874" s="13"/>
      <c r="BH874" s="13"/>
      <c r="BI874" s="13"/>
      <c r="BJ874" s="13"/>
      <c r="BK874" s="13"/>
      <c r="BL874" s="13"/>
      <c r="BM874" s="13"/>
      <c r="BN874" s="13"/>
      <c r="BO874" s="13"/>
      <c r="BP874" s="13"/>
      <c r="BQ874" s="15"/>
      <c r="BR874" s="15"/>
      <c r="BS874" s="15"/>
      <c r="BT874" s="15"/>
      <c r="BU874" s="15"/>
      <c r="BV874" s="15"/>
      <c r="BW874" s="15"/>
      <c r="BX874" s="15"/>
      <c r="BY874" s="15"/>
      <c r="BZ874" s="15"/>
      <c r="CA874" s="15"/>
      <c r="CB874" s="17"/>
      <c r="CC874" s="17"/>
      <c r="CD874" s="18"/>
      <c r="CE874" s="18"/>
      <c r="CF874" s="18"/>
      <c r="CG874" s="18"/>
      <c r="CH874" s="18"/>
    </row>
    <row r="875">
      <c r="A875" s="15"/>
      <c r="B875" s="16"/>
      <c r="C875" s="15"/>
      <c r="D875" s="9"/>
      <c r="E875" s="15"/>
      <c r="F875" s="15"/>
      <c r="G875" s="13"/>
      <c r="H875" s="13"/>
      <c r="I875" s="13"/>
      <c r="J875" s="13"/>
      <c r="K875" s="13"/>
      <c r="L875" s="13"/>
      <c r="M875" s="13"/>
      <c r="N875" s="13"/>
      <c r="O875" s="13"/>
      <c r="P875" s="13"/>
      <c r="Q875" s="13"/>
      <c r="R875" s="13"/>
      <c r="S875" s="13"/>
      <c r="T875" s="13"/>
      <c r="U875" s="13"/>
      <c r="V875" s="13"/>
      <c r="W875" s="13"/>
      <c r="X875" s="13"/>
      <c r="Y875" s="13"/>
      <c r="Z875" s="13"/>
      <c r="AA875" s="13"/>
      <c r="AB875" s="15"/>
      <c r="AC875" s="15"/>
      <c r="AD875" s="15"/>
      <c r="AE875" s="13"/>
      <c r="AF875" s="13"/>
      <c r="AG875" s="13"/>
      <c r="AH875" s="15"/>
      <c r="AI875" s="13"/>
      <c r="AJ875" s="13"/>
      <c r="AK875" s="13"/>
      <c r="AL875" s="13"/>
      <c r="AM875" s="15"/>
      <c r="AN875" s="13"/>
      <c r="AO875" s="15"/>
      <c r="AP875" s="15"/>
      <c r="AQ875" s="13"/>
      <c r="AR875" s="13"/>
      <c r="AS875" s="13"/>
      <c r="AT875" s="13"/>
      <c r="AU875" s="13"/>
      <c r="AV875" s="13"/>
      <c r="AW875" s="13"/>
      <c r="AX875" s="13"/>
      <c r="AY875" s="15"/>
      <c r="AZ875" s="15"/>
      <c r="BA875" s="16"/>
      <c r="BB875" s="15"/>
      <c r="BC875" s="15"/>
      <c r="BD875" s="13"/>
      <c r="BE875" s="13"/>
      <c r="BF875" s="13"/>
      <c r="BG875" s="13"/>
      <c r="BH875" s="13"/>
      <c r="BI875" s="13"/>
      <c r="BJ875" s="13"/>
      <c r="BK875" s="13"/>
      <c r="BL875" s="13"/>
      <c r="BM875" s="13"/>
      <c r="BN875" s="13"/>
      <c r="BO875" s="13"/>
      <c r="BP875" s="13"/>
      <c r="BQ875" s="15"/>
      <c r="BR875" s="15"/>
      <c r="BS875" s="15"/>
      <c r="BT875" s="15"/>
      <c r="BU875" s="15"/>
      <c r="BV875" s="15"/>
      <c r="BW875" s="15"/>
      <c r="BX875" s="15"/>
      <c r="BY875" s="15"/>
      <c r="BZ875" s="15"/>
      <c r="CA875" s="15"/>
      <c r="CB875" s="17"/>
      <c r="CC875" s="17"/>
      <c r="CD875" s="18"/>
      <c r="CE875" s="18"/>
      <c r="CF875" s="18"/>
      <c r="CG875" s="18"/>
      <c r="CH875" s="18"/>
    </row>
    <row r="876">
      <c r="A876" s="15"/>
      <c r="B876" s="16"/>
      <c r="C876" s="15"/>
      <c r="D876" s="9"/>
      <c r="E876" s="15"/>
      <c r="F876" s="15"/>
      <c r="G876" s="13"/>
      <c r="H876" s="13"/>
      <c r="I876" s="13"/>
      <c r="J876" s="13"/>
      <c r="K876" s="13"/>
      <c r="L876" s="13"/>
      <c r="M876" s="13"/>
      <c r="N876" s="13"/>
      <c r="O876" s="13"/>
      <c r="P876" s="13"/>
      <c r="Q876" s="13"/>
      <c r="R876" s="13"/>
      <c r="S876" s="13"/>
      <c r="T876" s="13"/>
      <c r="U876" s="13"/>
      <c r="V876" s="13"/>
      <c r="W876" s="13"/>
      <c r="X876" s="13"/>
      <c r="Y876" s="13"/>
      <c r="Z876" s="13"/>
      <c r="AA876" s="13"/>
      <c r="AB876" s="15"/>
      <c r="AC876" s="15"/>
      <c r="AD876" s="15"/>
      <c r="AE876" s="13"/>
      <c r="AF876" s="13"/>
      <c r="AG876" s="13"/>
      <c r="AH876" s="15"/>
      <c r="AI876" s="13"/>
      <c r="AJ876" s="13"/>
      <c r="AK876" s="13"/>
      <c r="AL876" s="13"/>
      <c r="AM876" s="15"/>
      <c r="AN876" s="13"/>
      <c r="AO876" s="15"/>
      <c r="AP876" s="15"/>
      <c r="AQ876" s="13"/>
      <c r="AR876" s="13"/>
      <c r="AS876" s="13"/>
      <c r="AT876" s="13"/>
      <c r="AU876" s="13"/>
      <c r="AV876" s="13"/>
      <c r="AW876" s="13"/>
      <c r="AX876" s="13"/>
      <c r="AY876" s="15"/>
      <c r="AZ876" s="15"/>
      <c r="BA876" s="16"/>
      <c r="BB876" s="15"/>
      <c r="BC876" s="15"/>
      <c r="BD876" s="13"/>
      <c r="BE876" s="13"/>
      <c r="BF876" s="13"/>
      <c r="BG876" s="13"/>
      <c r="BH876" s="13"/>
      <c r="BI876" s="13"/>
      <c r="BJ876" s="13"/>
      <c r="BK876" s="13"/>
      <c r="BL876" s="13"/>
      <c r="BM876" s="13"/>
      <c r="BN876" s="13"/>
      <c r="BO876" s="13"/>
      <c r="BP876" s="13"/>
      <c r="BQ876" s="15"/>
      <c r="BR876" s="15"/>
      <c r="BS876" s="15"/>
      <c r="BT876" s="15"/>
      <c r="BU876" s="15"/>
      <c r="BV876" s="15"/>
      <c r="BW876" s="15"/>
      <c r="BX876" s="15"/>
      <c r="BY876" s="15"/>
      <c r="BZ876" s="15"/>
      <c r="CA876" s="15"/>
      <c r="CB876" s="17"/>
      <c r="CC876" s="17"/>
      <c r="CD876" s="18"/>
      <c r="CE876" s="18"/>
      <c r="CF876" s="18"/>
      <c r="CG876" s="18"/>
      <c r="CH876" s="18"/>
    </row>
    <row r="877">
      <c r="A877" s="15"/>
      <c r="B877" s="16"/>
      <c r="C877" s="15"/>
      <c r="D877" s="9"/>
      <c r="E877" s="15"/>
      <c r="F877" s="15"/>
      <c r="G877" s="13"/>
      <c r="H877" s="13"/>
      <c r="I877" s="13"/>
      <c r="J877" s="13"/>
      <c r="K877" s="13"/>
      <c r="L877" s="13"/>
      <c r="M877" s="13"/>
      <c r="N877" s="13"/>
      <c r="O877" s="13"/>
      <c r="P877" s="13"/>
      <c r="Q877" s="13"/>
      <c r="R877" s="13"/>
      <c r="S877" s="13"/>
      <c r="T877" s="13"/>
      <c r="U877" s="13"/>
      <c r="V877" s="13"/>
      <c r="W877" s="13"/>
      <c r="X877" s="13"/>
      <c r="Y877" s="13"/>
      <c r="Z877" s="13"/>
      <c r="AA877" s="13"/>
      <c r="AB877" s="15"/>
      <c r="AC877" s="15"/>
      <c r="AD877" s="15"/>
      <c r="AE877" s="13"/>
      <c r="AF877" s="13"/>
      <c r="AG877" s="13"/>
      <c r="AH877" s="15"/>
      <c r="AI877" s="13"/>
      <c r="AJ877" s="13"/>
      <c r="AK877" s="13"/>
      <c r="AL877" s="13"/>
      <c r="AM877" s="15"/>
      <c r="AN877" s="13"/>
      <c r="AO877" s="15"/>
      <c r="AP877" s="15"/>
      <c r="AQ877" s="13"/>
      <c r="AR877" s="13"/>
      <c r="AS877" s="13"/>
      <c r="AT877" s="13"/>
      <c r="AU877" s="13"/>
      <c r="AV877" s="13"/>
      <c r="AW877" s="13"/>
      <c r="AX877" s="13"/>
      <c r="AY877" s="15"/>
      <c r="AZ877" s="15"/>
      <c r="BA877" s="16"/>
      <c r="BB877" s="15"/>
      <c r="BC877" s="15"/>
      <c r="BD877" s="13"/>
      <c r="BE877" s="13"/>
      <c r="BF877" s="13"/>
      <c r="BG877" s="13"/>
      <c r="BH877" s="13"/>
      <c r="BI877" s="13"/>
      <c r="BJ877" s="13"/>
      <c r="BK877" s="13"/>
      <c r="BL877" s="13"/>
      <c r="BM877" s="13"/>
      <c r="BN877" s="13"/>
      <c r="BO877" s="13"/>
      <c r="BP877" s="13"/>
      <c r="BQ877" s="15"/>
      <c r="BR877" s="15"/>
      <c r="BS877" s="15"/>
      <c r="BT877" s="15"/>
      <c r="BU877" s="15"/>
      <c r="BV877" s="15"/>
      <c r="BW877" s="15"/>
      <c r="BX877" s="15"/>
      <c r="BY877" s="15"/>
      <c r="BZ877" s="15"/>
      <c r="CA877" s="15"/>
      <c r="CB877" s="17"/>
      <c r="CC877" s="17"/>
      <c r="CD877" s="18"/>
      <c r="CE877" s="18"/>
      <c r="CF877" s="18"/>
      <c r="CG877" s="18"/>
      <c r="CH877" s="18"/>
    </row>
    <row r="878">
      <c r="A878" s="15"/>
      <c r="B878" s="16"/>
      <c r="C878" s="15"/>
      <c r="D878" s="9"/>
      <c r="E878" s="15"/>
      <c r="F878" s="15"/>
      <c r="G878" s="13"/>
      <c r="H878" s="13"/>
      <c r="I878" s="13"/>
      <c r="J878" s="13"/>
      <c r="K878" s="13"/>
      <c r="L878" s="13"/>
      <c r="M878" s="13"/>
      <c r="N878" s="13"/>
      <c r="O878" s="13"/>
      <c r="P878" s="13"/>
      <c r="Q878" s="13"/>
      <c r="R878" s="13"/>
      <c r="S878" s="13"/>
      <c r="T878" s="13"/>
      <c r="U878" s="13"/>
      <c r="V878" s="13"/>
      <c r="W878" s="13"/>
      <c r="X878" s="13"/>
      <c r="Y878" s="13"/>
      <c r="Z878" s="13"/>
      <c r="AA878" s="13"/>
      <c r="AB878" s="15"/>
      <c r="AC878" s="15"/>
      <c r="AD878" s="15"/>
      <c r="AE878" s="13"/>
      <c r="AF878" s="13"/>
      <c r="AG878" s="13"/>
      <c r="AH878" s="15"/>
      <c r="AI878" s="13"/>
      <c r="AJ878" s="13"/>
      <c r="AK878" s="13"/>
      <c r="AL878" s="13"/>
      <c r="AM878" s="15"/>
      <c r="AN878" s="13"/>
      <c r="AO878" s="15"/>
      <c r="AP878" s="15"/>
      <c r="AQ878" s="13"/>
      <c r="AR878" s="13"/>
      <c r="AS878" s="13"/>
      <c r="AT878" s="13"/>
      <c r="AU878" s="13"/>
      <c r="AV878" s="13"/>
      <c r="AW878" s="13"/>
      <c r="AX878" s="13"/>
      <c r="AY878" s="15"/>
      <c r="AZ878" s="15"/>
      <c r="BA878" s="16"/>
      <c r="BB878" s="15"/>
      <c r="BC878" s="15"/>
      <c r="BD878" s="13"/>
      <c r="BE878" s="13"/>
      <c r="BF878" s="13"/>
      <c r="BG878" s="13"/>
      <c r="BH878" s="13"/>
      <c r="BI878" s="13"/>
      <c r="BJ878" s="13"/>
      <c r="BK878" s="13"/>
      <c r="BL878" s="13"/>
      <c r="BM878" s="13"/>
      <c r="BN878" s="13"/>
      <c r="BO878" s="13"/>
      <c r="BP878" s="13"/>
      <c r="BQ878" s="15"/>
      <c r="BR878" s="15"/>
      <c r="BS878" s="15"/>
      <c r="BT878" s="15"/>
      <c r="BU878" s="15"/>
      <c r="BV878" s="15"/>
      <c r="BW878" s="15"/>
      <c r="BX878" s="15"/>
      <c r="BY878" s="15"/>
      <c r="BZ878" s="15"/>
      <c r="CA878" s="15"/>
      <c r="CB878" s="17"/>
      <c r="CC878" s="17"/>
      <c r="CD878" s="18"/>
      <c r="CE878" s="18"/>
      <c r="CF878" s="18"/>
      <c r="CG878" s="18"/>
      <c r="CH878" s="18"/>
    </row>
    <row r="879">
      <c r="A879" s="15"/>
      <c r="B879" s="16"/>
      <c r="C879" s="15"/>
      <c r="D879" s="9"/>
      <c r="E879" s="15"/>
      <c r="F879" s="15"/>
      <c r="G879" s="13"/>
      <c r="H879" s="13"/>
      <c r="I879" s="13"/>
      <c r="J879" s="13"/>
      <c r="K879" s="13"/>
      <c r="L879" s="13"/>
      <c r="M879" s="13"/>
      <c r="N879" s="13"/>
      <c r="O879" s="13"/>
      <c r="P879" s="13"/>
      <c r="Q879" s="13"/>
      <c r="R879" s="13"/>
      <c r="S879" s="13"/>
      <c r="T879" s="13"/>
      <c r="U879" s="13"/>
      <c r="V879" s="13"/>
      <c r="W879" s="13"/>
      <c r="X879" s="13"/>
      <c r="Y879" s="13"/>
      <c r="Z879" s="13"/>
      <c r="AA879" s="13"/>
      <c r="AB879" s="15"/>
      <c r="AC879" s="15"/>
      <c r="AD879" s="15"/>
      <c r="AE879" s="13"/>
      <c r="AF879" s="13"/>
      <c r="AG879" s="13"/>
      <c r="AH879" s="15"/>
      <c r="AI879" s="13"/>
      <c r="AJ879" s="13"/>
      <c r="AK879" s="13"/>
      <c r="AL879" s="13"/>
      <c r="AM879" s="15"/>
      <c r="AN879" s="13"/>
      <c r="AO879" s="15"/>
      <c r="AP879" s="15"/>
      <c r="AQ879" s="13"/>
      <c r="AR879" s="13"/>
      <c r="AS879" s="13"/>
      <c r="AT879" s="13"/>
      <c r="AU879" s="13"/>
      <c r="AV879" s="13"/>
      <c r="AW879" s="13"/>
      <c r="AX879" s="13"/>
      <c r="AY879" s="15"/>
      <c r="AZ879" s="15"/>
      <c r="BA879" s="16"/>
      <c r="BB879" s="15"/>
      <c r="BC879" s="15"/>
      <c r="BD879" s="13"/>
      <c r="BE879" s="13"/>
      <c r="BF879" s="13"/>
      <c r="BG879" s="13"/>
      <c r="BH879" s="13"/>
      <c r="BI879" s="13"/>
      <c r="BJ879" s="13"/>
      <c r="BK879" s="13"/>
      <c r="BL879" s="13"/>
      <c r="BM879" s="13"/>
      <c r="BN879" s="13"/>
      <c r="BO879" s="13"/>
      <c r="BP879" s="13"/>
      <c r="BQ879" s="15"/>
      <c r="BR879" s="15"/>
      <c r="BS879" s="15"/>
      <c r="BT879" s="15"/>
      <c r="BU879" s="15"/>
      <c r="BV879" s="15"/>
      <c r="BW879" s="15"/>
      <c r="BX879" s="15"/>
      <c r="BY879" s="15"/>
      <c r="BZ879" s="15"/>
      <c r="CA879" s="15"/>
      <c r="CB879" s="17"/>
      <c r="CC879" s="17"/>
      <c r="CD879" s="18"/>
      <c r="CE879" s="18"/>
      <c r="CF879" s="18"/>
      <c r="CG879" s="18"/>
      <c r="CH879" s="18"/>
    </row>
    <row r="880">
      <c r="A880" s="15"/>
      <c r="B880" s="16"/>
      <c r="C880" s="15"/>
      <c r="D880" s="9"/>
      <c r="E880" s="15"/>
      <c r="F880" s="15"/>
      <c r="G880" s="13"/>
      <c r="H880" s="13"/>
      <c r="I880" s="13"/>
      <c r="J880" s="13"/>
      <c r="K880" s="13"/>
      <c r="L880" s="13"/>
      <c r="M880" s="13"/>
      <c r="N880" s="13"/>
      <c r="O880" s="13"/>
      <c r="P880" s="13"/>
      <c r="Q880" s="13"/>
      <c r="R880" s="13"/>
      <c r="S880" s="13"/>
      <c r="T880" s="13"/>
      <c r="U880" s="13"/>
      <c r="V880" s="13"/>
      <c r="W880" s="13"/>
      <c r="X880" s="13"/>
      <c r="Y880" s="13"/>
      <c r="Z880" s="13"/>
      <c r="AA880" s="13"/>
      <c r="AB880" s="15"/>
      <c r="AC880" s="15"/>
      <c r="AD880" s="15"/>
      <c r="AE880" s="13"/>
      <c r="AF880" s="13"/>
      <c r="AG880" s="13"/>
      <c r="AH880" s="15"/>
      <c r="AI880" s="13"/>
      <c r="AJ880" s="13"/>
      <c r="AK880" s="13"/>
      <c r="AL880" s="13"/>
      <c r="AM880" s="15"/>
      <c r="AN880" s="13"/>
      <c r="AO880" s="15"/>
      <c r="AP880" s="15"/>
      <c r="AQ880" s="13"/>
      <c r="AR880" s="13"/>
      <c r="AS880" s="13"/>
      <c r="AT880" s="13"/>
      <c r="AU880" s="13"/>
      <c r="AV880" s="13"/>
      <c r="AW880" s="13"/>
      <c r="AX880" s="13"/>
      <c r="AY880" s="15"/>
      <c r="AZ880" s="15"/>
      <c r="BA880" s="16"/>
      <c r="BB880" s="15"/>
      <c r="BC880" s="15"/>
      <c r="BD880" s="13"/>
      <c r="BE880" s="13"/>
      <c r="BF880" s="13"/>
      <c r="BG880" s="13"/>
      <c r="BH880" s="13"/>
      <c r="BI880" s="13"/>
      <c r="BJ880" s="13"/>
      <c r="BK880" s="13"/>
      <c r="BL880" s="13"/>
      <c r="BM880" s="13"/>
      <c r="BN880" s="13"/>
      <c r="BO880" s="13"/>
      <c r="BP880" s="13"/>
      <c r="BQ880" s="15"/>
      <c r="BR880" s="15"/>
      <c r="BS880" s="15"/>
      <c r="BT880" s="15"/>
      <c r="BU880" s="15"/>
      <c r="BV880" s="15"/>
      <c r="BW880" s="15"/>
      <c r="BX880" s="15"/>
      <c r="BY880" s="15"/>
      <c r="BZ880" s="15"/>
      <c r="CA880" s="15"/>
      <c r="CB880" s="17"/>
      <c r="CC880" s="17"/>
      <c r="CD880" s="18"/>
      <c r="CE880" s="18"/>
      <c r="CF880" s="18"/>
      <c r="CG880" s="18"/>
      <c r="CH880" s="18"/>
    </row>
    <row r="881">
      <c r="A881" s="15"/>
      <c r="B881" s="16"/>
      <c r="C881" s="15"/>
      <c r="D881" s="9"/>
      <c r="E881" s="15"/>
      <c r="F881" s="15"/>
      <c r="G881" s="13"/>
      <c r="H881" s="13"/>
      <c r="I881" s="13"/>
      <c r="J881" s="13"/>
      <c r="K881" s="13"/>
      <c r="L881" s="13"/>
      <c r="M881" s="13"/>
      <c r="N881" s="13"/>
      <c r="O881" s="13"/>
      <c r="P881" s="13"/>
      <c r="Q881" s="13"/>
      <c r="R881" s="13"/>
      <c r="S881" s="13"/>
      <c r="T881" s="13"/>
      <c r="U881" s="13"/>
      <c r="V881" s="13"/>
      <c r="W881" s="13"/>
      <c r="X881" s="13"/>
      <c r="Y881" s="13"/>
      <c r="Z881" s="13"/>
      <c r="AA881" s="13"/>
      <c r="AB881" s="15"/>
      <c r="AC881" s="15"/>
      <c r="AD881" s="15"/>
      <c r="AE881" s="13"/>
      <c r="AF881" s="13"/>
      <c r="AG881" s="13"/>
      <c r="AH881" s="15"/>
      <c r="AI881" s="13"/>
      <c r="AJ881" s="13"/>
      <c r="AK881" s="13"/>
      <c r="AL881" s="13"/>
      <c r="AM881" s="15"/>
      <c r="AN881" s="13"/>
      <c r="AO881" s="15"/>
      <c r="AP881" s="15"/>
      <c r="AQ881" s="13"/>
      <c r="AR881" s="13"/>
      <c r="AS881" s="13"/>
      <c r="AT881" s="13"/>
      <c r="AU881" s="13"/>
      <c r="AV881" s="13"/>
      <c r="AW881" s="13"/>
      <c r="AX881" s="13"/>
      <c r="AY881" s="15"/>
      <c r="AZ881" s="15"/>
      <c r="BA881" s="16"/>
      <c r="BB881" s="15"/>
      <c r="BC881" s="15"/>
      <c r="BD881" s="13"/>
      <c r="BE881" s="13"/>
      <c r="BF881" s="13"/>
      <c r="BG881" s="13"/>
      <c r="BH881" s="13"/>
      <c r="BI881" s="13"/>
      <c r="BJ881" s="13"/>
      <c r="BK881" s="13"/>
      <c r="BL881" s="13"/>
      <c r="BM881" s="13"/>
      <c r="BN881" s="13"/>
      <c r="BO881" s="13"/>
      <c r="BP881" s="13"/>
      <c r="BQ881" s="15"/>
      <c r="BR881" s="15"/>
      <c r="BS881" s="15"/>
      <c r="BT881" s="15"/>
      <c r="BU881" s="15"/>
      <c r="BV881" s="15"/>
      <c r="BW881" s="15"/>
      <c r="BX881" s="15"/>
      <c r="BY881" s="15"/>
      <c r="BZ881" s="15"/>
      <c r="CA881" s="15"/>
      <c r="CB881" s="17"/>
      <c r="CC881" s="17"/>
      <c r="CD881" s="18"/>
      <c r="CE881" s="18"/>
      <c r="CF881" s="18"/>
      <c r="CG881" s="18"/>
      <c r="CH881" s="18"/>
    </row>
    <row r="882">
      <c r="A882" s="15"/>
      <c r="B882" s="16"/>
      <c r="C882" s="15"/>
      <c r="D882" s="9"/>
      <c r="E882" s="15"/>
      <c r="F882" s="15"/>
      <c r="G882" s="13"/>
      <c r="H882" s="13"/>
      <c r="I882" s="13"/>
      <c r="J882" s="13"/>
      <c r="K882" s="13"/>
      <c r="L882" s="13"/>
      <c r="M882" s="13"/>
      <c r="N882" s="13"/>
      <c r="O882" s="13"/>
      <c r="P882" s="13"/>
      <c r="Q882" s="13"/>
      <c r="R882" s="13"/>
      <c r="S882" s="13"/>
      <c r="T882" s="13"/>
      <c r="U882" s="13"/>
      <c r="V882" s="13"/>
      <c r="W882" s="13"/>
      <c r="X882" s="13"/>
      <c r="Y882" s="13"/>
      <c r="Z882" s="13"/>
      <c r="AA882" s="13"/>
      <c r="AB882" s="15"/>
      <c r="AC882" s="15"/>
      <c r="AD882" s="15"/>
      <c r="AE882" s="13"/>
      <c r="AF882" s="13"/>
      <c r="AG882" s="13"/>
      <c r="AH882" s="15"/>
      <c r="AI882" s="13"/>
      <c r="AJ882" s="13"/>
      <c r="AK882" s="13"/>
      <c r="AL882" s="13"/>
      <c r="AM882" s="15"/>
      <c r="AN882" s="13"/>
      <c r="AO882" s="15"/>
      <c r="AP882" s="15"/>
      <c r="AQ882" s="13"/>
      <c r="AR882" s="13"/>
      <c r="AS882" s="13"/>
      <c r="AT882" s="13"/>
      <c r="AU882" s="13"/>
      <c r="AV882" s="13"/>
      <c r="AW882" s="13"/>
      <c r="AX882" s="13"/>
      <c r="AY882" s="15"/>
      <c r="AZ882" s="15"/>
      <c r="BA882" s="16"/>
      <c r="BB882" s="15"/>
      <c r="BC882" s="15"/>
      <c r="BD882" s="13"/>
      <c r="BE882" s="13"/>
      <c r="BF882" s="13"/>
      <c r="BG882" s="13"/>
      <c r="BH882" s="13"/>
      <c r="BI882" s="13"/>
      <c r="BJ882" s="13"/>
      <c r="BK882" s="13"/>
      <c r="BL882" s="13"/>
      <c r="BM882" s="13"/>
      <c r="BN882" s="13"/>
      <c r="BO882" s="13"/>
      <c r="BP882" s="13"/>
      <c r="BQ882" s="15"/>
      <c r="BR882" s="15"/>
      <c r="BS882" s="15"/>
      <c r="BT882" s="15"/>
      <c r="BU882" s="15"/>
      <c r="BV882" s="15"/>
      <c r="BW882" s="15"/>
      <c r="BX882" s="15"/>
      <c r="BY882" s="15"/>
      <c r="BZ882" s="15"/>
      <c r="CA882" s="15"/>
      <c r="CB882" s="17"/>
      <c r="CC882" s="17"/>
      <c r="CD882" s="18"/>
      <c r="CE882" s="18"/>
      <c r="CF882" s="18"/>
      <c r="CG882" s="18"/>
      <c r="CH882" s="18"/>
    </row>
    <row r="883">
      <c r="A883" s="15"/>
      <c r="B883" s="16"/>
      <c r="C883" s="15"/>
      <c r="D883" s="9"/>
      <c r="E883" s="15"/>
      <c r="F883" s="15"/>
      <c r="G883" s="13"/>
      <c r="H883" s="13"/>
      <c r="I883" s="13"/>
      <c r="J883" s="13"/>
      <c r="K883" s="13"/>
      <c r="L883" s="13"/>
      <c r="M883" s="13"/>
      <c r="N883" s="13"/>
      <c r="O883" s="13"/>
      <c r="P883" s="13"/>
      <c r="Q883" s="13"/>
      <c r="R883" s="13"/>
      <c r="S883" s="13"/>
      <c r="T883" s="13"/>
      <c r="U883" s="13"/>
      <c r="V883" s="13"/>
      <c r="W883" s="13"/>
      <c r="X883" s="13"/>
      <c r="Y883" s="13"/>
      <c r="Z883" s="13"/>
      <c r="AA883" s="13"/>
      <c r="AB883" s="15"/>
      <c r="AC883" s="15"/>
      <c r="AD883" s="15"/>
      <c r="AE883" s="13"/>
      <c r="AF883" s="13"/>
      <c r="AG883" s="13"/>
      <c r="AH883" s="15"/>
      <c r="AI883" s="13"/>
      <c r="AJ883" s="13"/>
      <c r="AK883" s="13"/>
      <c r="AL883" s="13"/>
      <c r="AM883" s="15"/>
      <c r="AN883" s="13"/>
      <c r="AO883" s="15"/>
      <c r="AP883" s="15"/>
      <c r="AQ883" s="13"/>
      <c r="AR883" s="13"/>
      <c r="AS883" s="13"/>
      <c r="AT883" s="13"/>
      <c r="AU883" s="13"/>
      <c r="AV883" s="13"/>
      <c r="AW883" s="13"/>
      <c r="AX883" s="13"/>
      <c r="AY883" s="15"/>
      <c r="AZ883" s="15"/>
      <c r="BA883" s="16"/>
      <c r="BB883" s="15"/>
      <c r="BC883" s="15"/>
      <c r="BD883" s="13"/>
      <c r="BE883" s="13"/>
      <c r="BF883" s="13"/>
      <c r="BG883" s="13"/>
      <c r="BH883" s="13"/>
      <c r="BI883" s="13"/>
      <c r="BJ883" s="13"/>
      <c r="BK883" s="13"/>
      <c r="BL883" s="13"/>
      <c r="BM883" s="13"/>
      <c r="BN883" s="13"/>
      <c r="BO883" s="13"/>
      <c r="BP883" s="13"/>
      <c r="BQ883" s="15"/>
      <c r="BR883" s="15"/>
      <c r="BS883" s="15"/>
      <c r="BT883" s="15"/>
      <c r="BU883" s="15"/>
      <c r="BV883" s="15"/>
      <c r="BW883" s="15"/>
      <c r="BX883" s="15"/>
      <c r="BY883" s="15"/>
      <c r="BZ883" s="15"/>
      <c r="CA883" s="15"/>
      <c r="CB883" s="17"/>
      <c r="CC883" s="17"/>
      <c r="CD883" s="18"/>
      <c r="CE883" s="18"/>
      <c r="CF883" s="18"/>
      <c r="CG883" s="18"/>
      <c r="CH883" s="18"/>
    </row>
    <row r="884">
      <c r="A884" s="15"/>
      <c r="B884" s="16"/>
      <c r="C884" s="15"/>
      <c r="D884" s="9"/>
      <c r="E884" s="15"/>
      <c r="F884" s="15"/>
      <c r="G884" s="13"/>
      <c r="H884" s="13"/>
      <c r="I884" s="13"/>
      <c r="J884" s="13"/>
      <c r="K884" s="13"/>
      <c r="L884" s="13"/>
      <c r="M884" s="13"/>
      <c r="N884" s="13"/>
      <c r="O884" s="13"/>
      <c r="P884" s="13"/>
      <c r="Q884" s="13"/>
      <c r="R884" s="13"/>
      <c r="S884" s="13"/>
      <c r="T884" s="13"/>
      <c r="U884" s="13"/>
      <c r="V884" s="13"/>
      <c r="W884" s="13"/>
      <c r="X884" s="13"/>
      <c r="Y884" s="13"/>
      <c r="Z884" s="13"/>
      <c r="AA884" s="13"/>
      <c r="AB884" s="15"/>
      <c r="AC884" s="15"/>
      <c r="AD884" s="15"/>
      <c r="AE884" s="13"/>
      <c r="AF884" s="13"/>
      <c r="AG884" s="13"/>
      <c r="AH884" s="15"/>
      <c r="AI884" s="13"/>
      <c r="AJ884" s="13"/>
      <c r="AK884" s="13"/>
      <c r="AL884" s="13"/>
      <c r="AM884" s="15"/>
      <c r="AN884" s="13"/>
      <c r="AO884" s="15"/>
      <c r="AP884" s="15"/>
      <c r="AQ884" s="13"/>
      <c r="AR884" s="13"/>
      <c r="AS884" s="13"/>
      <c r="AT884" s="13"/>
      <c r="AU884" s="13"/>
      <c r="AV884" s="13"/>
      <c r="AW884" s="13"/>
      <c r="AX884" s="13"/>
      <c r="AY884" s="15"/>
      <c r="AZ884" s="15"/>
      <c r="BA884" s="16"/>
      <c r="BB884" s="15"/>
      <c r="BC884" s="15"/>
      <c r="BD884" s="13"/>
      <c r="BE884" s="13"/>
      <c r="BF884" s="13"/>
      <c r="BG884" s="13"/>
      <c r="BH884" s="13"/>
      <c r="BI884" s="13"/>
      <c r="BJ884" s="13"/>
      <c r="BK884" s="13"/>
      <c r="BL884" s="13"/>
      <c r="BM884" s="13"/>
      <c r="BN884" s="13"/>
      <c r="BO884" s="13"/>
      <c r="BP884" s="13"/>
      <c r="BQ884" s="15"/>
      <c r="BR884" s="15"/>
      <c r="BS884" s="15"/>
      <c r="BT884" s="15"/>
      <c r="BU884" s="15"/>
      <c r="BV884" s="15"/>
      <c r="BW884" s="15"/>
      <c r="BX884" s="15"/>
      <c r="BY884" s="15"/>
      <c r="BZ884" s="15"/>
      <c r="CA884" s="15"/>
      <c r="CB884" s="17"/>
      <c r="CC884" s="17"/>
      <c r="CD884" s="18"/>
      <c r="CE884" s="18"/>
      <c r="CF884" s="18"/>
      <c r="CG884" s="18"/>
      <c r="CH884" s="18"/>
    </row>
    <row r="885">
      <c r="A885" s="15"/>
      <c r="B885" s="16"/>
      <c r="C885" s="15"/>
      <c r="D885" s="9"/>
      <c r="E885" s="15"/>
      <c r="F885" s="15"/>
      <c r="G885" s="13"/>
      <c r="H885" s="13"/>
      <c r="I885" s="13"/>
      <c r="J885" s="13"/>
      <c r="K885" s="13"/>
      <c r="L885" s="13"/>
      <c r="M885" s="13"/>
      <c r="N885" s="13"/>
      <c r="O885" s="13"/>
      <c r="P885" s="13"/>
      <c r="Q885" s="13"/>
      <c r="R885" s="13"/>
      <c r="S885" s="13"/>
      <c r="T885" s="13"/>
      <c r="U885" s="13"/>
      <c r="V885" s="13"/>
      <c r="W885" s="13"/>
      <c r="X885" s="13"/>
      <c r="Y885" s="13"/>
      <c r="Z885" s="13"/>
      <c r="AA885" s="13"/>
      <c r="AB885" s="15"/>
      <c r="AC885" s="15"/>
      <c r="AD885" s="15"/>
      <c r="AE885" s="13"/>
      <c r="AF885" s="13"/>
      <c r="AG885" s="13"/>
      <c r="AH885" s="15"/>
      <c r="AI885" s="13"/>
      <c r="AJ885" s="13"/>
      <c r="AK885" s="13"/>
      <c r="AL885" s="13"/>
      <c r="AM885" s="15"/>
      <c r="AN885" s="13"/>
      <c r="AO885" s="15"/>
      <c r="AP885" s="15"/>
      <c r="AQ885" s="13"/>
      <c r="AR885" s="13"/>
      <c r="AS885" s="13"/>
      <c r="AT885" s="13"/>
      <c r="AU885" s="13"/>
      <c r="AV885" s="13"/>
      <c r="AW885" s="13"/>
      <c r="AX885" s="13"/>
      <c r="AY885" s="15"/>
      <c r="AZ885" s="15"/>
      <c r="BA885" s="16"/>
      <c r="BB885" s="15"/>
      <c r="BC885" s="15"/>
      <c r="BD885" s="13"/>
      <c r="BE885" s="13"/>
      <c r="BF885" s="13"/>
      <c r="BG885" s="13"/>
      <c r="BH885" s="13"/>
      <c r="BI885" s="13"/>
      <c r="BJ885" s="13"/>
      <c r="BK885" s="13"/>
      <c r="BL885" s="13"/>
      <c r="BM885" s="13"/>
      <c r="BN885" s="13"/>
      <c r="BO885" s="13"/>
      <c r="BP885" s="13"/>
      <c r="BQ885" s="15"/>
      <c r="BR885" s="15"/>
      <c r="BS885" s="15"/>
      <c r="BT885" s="15"/>
      <c r="BU885" s="15"/>
      <c r="BV885" s="15"/>
      <c r="BW885" s="15"/>
      <c r="BX885" s="15"/>
      <c r="BY885" s="15"/>
      <c r="BZ885" s="15"/>
      <c r="CA885" s="15"/>
      <c r="CB885" s="17"/>
      <c r="CC885" s="17"/>
      <c r="CD885" s="18"/>
      <c r="CE885" s="18"/>
      <c r="CF885" s="18"/>
      <c r="CG885" s="18"/>
      <c r="CH885" s="18"/>
    </row>
    <row r="886">
      <c r="A886" s="15"/>
      <c r="B886" s="16"/>
      <c r="C886" s="15"/>
      <c r="D886" s="9"/>
      <c r="E886" s="15"/>
      <c r="F886" s="15"/>
      <c r="G886" s="13"/>
      <c r="H886" s="13"/>
      <c r="I886" s="13"/>
      <c r="J886" s="13"/>
      <c r="K886" s="13"/>
      <c r="L886" s="13"/>
      <c r="M886" s="13"/>
      <c r="N886" s="13"/>
      <c r="O886" s="13"/>
      <c r="P886" s="13"/>
      <c r="Q886" s="13"/>
      <c r="R886" s="13"/>
      <c r="S886" s="13"/>
      <c r="T886" s="13"/>
      <c r="U886" s="13"/>
      <c r="V886" s="13"/>
      <c r="W886" s="13"/>
      <c r="X886" s="13"/>
      <c r="Y886" s="13"/>
      <c r="Z886" s="13"/>
      <c r="AA886" s="13"/>
      <c r="AB886" s="15"/>
      <c r="AC886" s="15"/>
      <c r="AD886" s="15"/>
      <c r="AE886" s="13"/>
      <c r="AF886" s="13"/>
      <c r="AG886" s="13"/>
      <c r="AH886" s="15"/>
      <c r="AI886" s="13"/>
      <c r="AJ886" s="13"/>
      <c r="AK886" s="13"/>
      <c r="AL886" s="13"/>
      <c r="AM886" s="15"/>
      <c r="AN886" s="13"/>
      <c r="AO886" s="15"/>
      <c r="AP886" s="15"/>
      <c r="AQ886" s="13"/>
      <c r="AR886" s="13"/>
      <c r="AS886" s="13"/>
      <c r="AT886" s="13"/>
      <c r="AU886" s="13"/>
      <c r="AV886" s="13"/>
      <c r="AW886" s="13"/>
      <c r="AX886" s="13"/>
      <c r="AY886" s="15"/>
      <c r="AZ886" s="15"/>
      <c r="BA886" s="16"/>
      <c r="BB886" s="15"/>
      <c r="BC886" s="15"/>
      <c r="BD886" s="13"/>
      <c r="BE886" s="13"/>
      <c r="BF886" s="13"/>
      <c r="BG886" s="13"/>
      <c r="BH886" s="13"/>
      <c r="BI886" s="13"/>
      <c r="BJ886" s="13"/>
      <c r="BK886" s="13"/>
      <c r="BL886" s="13"/>
      <c r="BM886" s="13"/>
      <c r="BN886" s="13"/>
      <c r="BO886" s="13"/>
      <c r="BP886" s="13"/>
      <c r="BQ886" s="15"/>
      <c r="BR886" s="15"/>
      <c r="BS886" s="15"/>
      <c r="BT886" s="15"/>
      <c r="BU886" s="15"/>
      <c r="BV886" s="15"/>
      <c r="BW886" s="15"/>
      <c r="BX886" s="15"/>
      <c r="BY886" s="15"/>
      <c r="BZ886" s="15"/>
      <c r="CA886" s="15"/>
      <c r="CB886" s="17"/>
      <c r="CC886" s="17"/>
      <c r="CD886" s="18"/>
      <c r="CE886" s="18"/>
      <c r="CF886" s="18"/>
      <c r="CG886" s="18"/>
      <c r="CH886" s="18"/>
    </row>
    <row r="887">
      <c r="A887" s="15"/>
      <c r="B887" s="16"/>
      <c r="C887" s="15"/>
      <c r="D887" s="9"/>
      <c r="E887" s="15"/>
      <c r="F887" s="15"/>
      <c r="G887" s="13"/>
      <c r="H887" s="13"/>
      <c r="I887" s="13"/>
      <c r="J887" s="13"/>
      <c r="K887" s="13"/>
      <c r="L887" s="13"/>
      <c r="M887" s="13"/>
      <c r="N887" s="13"/>
      <c r="O887" s="13"/>
      <c r="P887" s="13"/>
      <c r="Q887" s="13"/>
      <c r="R887" s="13"/>
      <c r="S887" s="13"/>
      <c r="T887" s="13"/>
      <c r="U887" s="13"/>
      <c r="V887" s="13"/>
      <c r="W887" s="13"/>
      <c r="X887" s="13"/>
      <c r="Y887" s="13"/>
      <c r="Z887" s="13"/>
      <c r="AA887" s="13"/>
      <c r="AB887" s="15"/>
      <c r="AC887" s="15"/>
      <c r="AD887" s="15"/>
      <c r="AE887" s="13"/>
      <c r="AF887" s="13"/>
      <c r="AG887" s="13"/>
      <c r="AH887" s="15"/>
      <c r="AI887" s="13"/>
      <c r="AJ887" s="13"/>
      <c r="AK887" s="13"/>
      <c r="AL887" s="13"/>
      <c r="AM887" s="15"/>
      <c r="AN887" s="13"/>
      <c r="AO887" s="15"/>
      <c r="AP887" s="15"/>
      <c r="AQ887" s="13"/>
      <c r="AR887" s="13"/>
      <c r="AS887" s="13"/>
      <c r="AT887" s="13"/>
      <c r="AU887" s="13"/>
      <c r="AV887" s="13"/>
      <c r="AW887" s="13"/>
      <c r="AX887" s="13"/>
      <c r="AY887" s="15"/>
      <c r="AZ887" s="15"/>
      <c r="BA887" s="16"/>
      <c r="BB887" s="15"/>
      <c r="BC887" s="15"/>
      <c r="BD887" s="13"/>
      <c r="BE887" s="13"/>
      <c r="BF887" s="13"/>
      <c r="BG887" s="13"/>
      <c r="BH887" s="13"/>
      <c r="BI887" s="13"/>
      <c r="BJ887" s="13"/>
      <c r="BK887" s="13"/>
      <c r="BL887" s="13"/>
      <c r="BM887" s="13"/>
      <c r="BN887" s="13"/>
      <c r="BO887" s="13"/>
      <c r="BP887" s="13"/>
      <c r="BQ887" s="15"/>
      <c r="BR887" s="15"/>
      <c r="BS887" s="15"/>
      <c r="BT887" s="15"/>
      <c r="BU887" s="15"/>
      <c r="BV887" s="15"/>
      <c r="BW887" s="15"/>
      <c r="BX887" s="15"/>
      <c r="BY887" s="15"/>
      <c r="BZ887" s="15"/>
      <c r="CA887" s="15"/>
      <c r="CB887" s="17"/>
      <c r="CC887" s="17"/>
      <c r="CD887" s="18"/>
      <c r="CE887" s="18"/>
      <c r="CF887" s="18"/>
      <c r="CG887" s="18"/>
      <c r="CH887" s="18"/>
    </row>
    <row r="888">
      <c r="A888" s="15"/>
      <c r="B888" s="16"/>
      <c r="C888" s="15"/>
      <c r="D888" s="9"/>
      <c r="E888" s="15"/>
      <c r="F888" s="15"/>
      <c r="G888" s="13"/>
      <c r="H888" s="13"/>
      <c r="I888" s="13"/>
      <c r="J888" s="13"/>
      <c r="K888" s="13"/>
      <c r="L888" s="13"/>
      <c r="M888" s="13"/>
      <c r="N888" s="13"/>
      <c r="O888" s="13"/>
      <c r="P888" s="13"/>
      <c r="Q888" s="13"/>
      <c r="R888" s="13"/>
      <c r="S888" s="13"/>
      <c r="T888" s="13"/>
      <c r="U888" s="13"/>
      <c r="V888" s="13"/>
      <c r="W888" s="13"/>
      <c r="X888" s="13"/>
      <c r="Y888" s="13"/>
      <c r="Z888" s="13"/>
      <c r="AA888" s="13"/>
      <c r="AB888" s="15"/>
      <c r="AC888" s="15"/>
      <c r="AD888" s="15"/>
      <c r="AE888" s="13"/>
      <c r="AF888" s="13"/>
      <c r="AG888" s="13"/>
      <c r="AH888" s="15"/>
      <c r="AI888" s="13"/>
      <c r="AJ888" s="13"/>
      <c r="AK888" s="13"/>
      <c r="AL888" s="13"/>
      <c r="AM888" s="15"/>
      <c r="AN888" s="13"/>
      <c r="AO888" s="15"/>
      <c r="AP888" s="15"/>
      <c r="AQ888" s="13"/>
      <c r="AR888" s="13"/>
      <c r="AS888" s="13"/>
      <c r="AT888" s="13"/>
      <c r="AU888" s="13"/>
      <c r="AV888" s="13"/>
      <c r="AW888" s="13"/>
      <c r="AX888" s="13"/>
      <c r="AY888" s="15"/>
      <c r="AZ888" s="15"/>
      <c r="BA888" s="16"/>
      <c r="BB888" s="15"/>
      <c r="BC888" s="15"/>
      <c r="BD888" s="13"/>
      <c r="BE888" s="13"/>
      <c r="BF888" s="13"/>
      <c r="BG888" s="13"/>
      <c r="BH888" s="13"/>
      <c r="BI888" s="13"/>
      <c r="BJ888" s="13"/>
      <c r="BK888" s="13"/>
      <c r="BL888" s="13"/>
      <c r="BM888" s="13"/>
      <c r="BN888" s="13"/>
      <c r="BO888" s="13"/>
      <c r="BP888" s="13"/>
      <c r="BQ888" s="15"/>
      <c r="BR888" s="15"/>
      <c r="BS888" s="15"/>
      <c r="BT888" s="15"/>
      <c r="BU888" s="15"/>
      <c r="BV888" s="15"/>
      <c r="BW888" s="15"/>
      <c r="BX888" s="15"/>
      <c r="BY888" s="15"/>
      <c r="BZ888" s="15"/>
      <c r="CA888" s="15"/>
      <c r="CB888" s="17"/>
      <c r="CC888" s="17"/>
      <c r="CD888" s="18"/>
      <c r="CE888" s="18"/>
      <c r="CF888" s="18"/>
      <c r="CG888" s="18"/>
      <c r="CH888" s="18"/>
    </row>
    <row r="889">
      <c r="A889" s="15"/>
      <c r="B889" s="16"/>
      <c r="C889" s="15"/>
      <c r="D889" s="9"/>
      <c r="E889" s="15"/>
      <c r="F889" s="15"/>
      <c r="G889" s="13"/>
      <c r="H889" s="13"/>
      <c r="I889" s="13"/>
      <c r="J889" s="13"/>
      <c r="K889" s="13"/>
      <c r="L889" s="13"/>
      <c r="M889" s="13"/>
      <c r="N889" s="13"/>
      <c r="O889" s="13"/>
      <c r="P889" s="13"/>
      <c r="Q889" s="13"/>
      <c r="R889" s="13"/>
      <c r="S889" s="13"/>
      <c r="T889" s="13"/>
      <c r="U889" s="13"/>
      <c r="V889" s="13"/>
      <c r="W889" s="13"/>
      <c r="X889" s="13"/>
      <c r="Y889" s="13"/>
      <c r="Z889" s="13"/>
      <c r="AA889" s="13"/>
      <c r="AB889" s="15"/>
      <c r="AC889" s="15"/>
      <c r="AD889" s="15"/>
      <c r="AE889" s="13"/>
      <c r="AF889" s="13"/>
      <c r="AG889" s="13"/>
      <c r="AH889" s="15"/>
      <c r="AI889" s="13"/>
      <c r="AJ889" s="13"/>
      <c r="AK889" s="13"/>
      <c r="AL889" s="13"/>
      <c r="AM889" s="15"/>
      <c r="AN889" s="13"/>
      <c r="AO889" s="15"/>
      <c r="AP889" s="15"/>
      <c r="AQ889" s="13"/>
      <c r="AR889" s="13"/>
      <c r="AS889" s="13"/>
      <c r="AT889" s="13"/>
      <c r="AU889" s="13"/>
      <c r="AV889" s="13"/>
      <c r="AW889" s="13"/>
      <c r="AX889" s="13"/>
      <c r="AY889" s="15"/>
      <c r="AZ889" s="15"/>
      <c r="BA889" s="16"/>
      <c r="BB889" s="15"/>
      <c r="BC889" s="15"/>
      <c r="BD889" s="13"/>
      <c r="BE889" s="13"/>
      <c r="BF889" s="13"/>
      <c r="BG889" s="13"/>
      <c r="BH889" s="13"/>
      <c r="BI889" s="13"/>
      <c r="BJ889" s="13"/>
      <c r="BK889" s="13"/>
      <c r="BL889" s="13"/>
      <c r="BM889" s="13"/>
      <c r="BN889" s="13"/>
      <c r="BO889" s="13"/>
      <c r="BP889" s="13"/>
      <c r="BQ889" s="15"/>
      <c r="BR889" s="15"/>
      <c r="BS889" s="15"/>
      <c r="BT889" s="15"/>
      <c r="BU889" s="15"/>
      <c r="BV889" s="15"/>
      <c r="BW889" s="15"/>
      <c r="BX889" s="15"/>
      <c r="BY889" s="15"/>
      <c r="BZ889" s="15"/>
      <c r="CA889" s="15"/>
      <c r="CB889" s="17"/>
      <c r="CC889" s="17"/>
      <c r="CD889" s="18"/>
      <c r="CE889" s="18"/>
      <c r="CF889" s="18"/>
      <c r="CG889" s="18"/>
      <c r="CH889" s="18"/>
    </row>
    <row r="890">
      <c r="A890" s="15"/>
      <c r="B890" s="16"/>
      <c r="C890" s="15"/>
      <c r="D890" s="9"/>
      <c r="E890" s="15"/>
      <c r="F890" s="15"/>
      <c r="G890" s="13"/>
      <c r="H890" s="13"/>
      <c r="I890" s="13"/>
      <c r="J890" s="13"/>
      <c r="K890" s="13"/>
      <c r="L890" s="13"/>
      <c r="M890" s="13"/>
      <c r="N890" s="13"/>
      <c r="O890" s="13"/>
      <c r="P890" s="13"/>
      <c r="Q890" s="13"/>
      <c r="R890" s="13"/>
      <c r="S890" s="13"/>
      <c r="T890" s="13"/>
      <c r="U890" s="13"/>
      <c r="V890" s="13"/>
      <c r="W890" s="13"/>
      <c r="X890" s="13"/>
      <c r="Y890" s="13"/>
      <c r="Z890" s="13"/>
      <c r="AA890" s="13"/>
      <c r="AB890" s="15"/>
      <c r="AC890" s="15"/>
      <c r="AD890" s="15"/>
      <c r="AE890" s="13"/>
      <c r="AF890" s="13"/>
      <c r="AG890" s="13"/>
      <c r="AH890" s="15"/>
      <c r="AI890" s="13"/>
      <c r="AJ890" s="13"/>
      <c r="AK890" s="13"/>
      <c r="AL890" s="13"/>
      <c r="AM890" s="15"/>
      <c r="AN890" s="13"/>
      <c r="AO890" s="15"/>
      <c r="AP890" s="15"/>
      <c r="AQ890" s="13"/>
      <c r="AR890" s="13"/>
      <c r="AS890" s="13"/>
      <c r="AT890" s="13"/>
      <c r="AU890" s="13"/>
      <c r="AV890" s="13"/>
      <c r="AW890" s="13"/>
      <c r="AX890" s="13"/>
      <c r="AY890" s="15"/>
      <c r="AZ890" s="15"/>
      <c r="BA890" s="16"/>
      <c r="BB890" s="15"/>
      <c r="BC890" s="15"/>
      <c r="BD890" s="13"/>
      <c r="BE890" s="13"/>
      <c r="BF890" s="13"/>
      <c r="BG890" s="13"/>
      <c r="BH890" s="13"/>
      <c r="BI890" s="13"/>
      <c r="BJ890" s="13"/>
      <c r="BK890" s="13"/>
      <c r="BL890" s="13"/>
      <c r="BM890" s="13"/>
      <c r="BN890" s="13"/>
      <c r="BO890" s="13"/>
      <c r="BP890" s="13"/>
      <c r="BQ890" s="15"/>
      <c r="BR890" s="15"/>
      <c r="BS890" s="15"/>
      <c r="BT890" s="15"/>
      <c r="BU890" s="15"/>
      <c r="BV890" s="15"/>
      <c r="BW890" s="15"/>
      <c r="BX890" s="15"/>
      <c r="BY890" s="15"/>
      <c r="BZ890" s="15"/>
      <c r="CA890" s="15"/>
      <c r="CB890" s="17"/>
      <c r="CC890" s="17"/>
      <c r="CD890" s="18"/>
      <c r="CE890" s="18"/>
      <c r="CF890" s="18"/>
      <c r="CG890" s="18"/>
      <c r="CH890" s="18"/>
    </row>
    <row r="891">
      <c r="A891" s="15"/>
      <c r="B891" s="16"/>
      <c r="C891" s="15"/>
      <c r="D891" s="9"/>
      <c r="E891" s="15"/>
      <c r="F891" s="15"/>
      <c r="G891" s="13"/>
      <c r="H891" s="13"/>
      <c r="I891" s="13"/>
      <c r="J891" s="13"/>
      <c r="K891" s="13"/>
      <c r="L891" s="13"/>
      <c r="M891" s="13"/>
      <c r="N891" s="13"/>
      <c r="O891" s="13"/>
      <c r="P891" s="13"/>
      <c r="Q891" s="13"/>
      <c r="R891" s="13"/>
      <c r="S891" s="13"/>
      <c r="T891" s="13"/>
      <c r="U891" s="13"/>
      <c r="V891" s="13"/>
      <c r="W891" s="13"/>
      <c r="X891" s="13"/>
      <c r="Y891" s="13"/>
      <c r="Z891" s="13"/>
      <c r="AA891" s="13"/>
      <c r="AB891" s="15"/>
      <c r="AC891" s="15"/>
      <c r="AD891" s="15"/>
      <c r="AE891" s="13"/>
      <c r="AF891" s="13"/>
      <c r="AG891" s="13"/>
      <c r="AH891" s="15"/>
      <c r="AI891" s="13"/>
      <c r="AJ891" s="13"/>
      <c r="AK891" s="13"/>
      <c r="AL891" s="13"/>
      <c r="AM891" s="15"/>
      <c r="AN891" s="13"/>
      <c r="AO891" s="15"/>
      <c r="AP891" s="15"/>
      <c r="AQ891" s="13"/>
      <c r="AR891" s="13"/>
      <c r="AS891" s="13"/>
      <c r="AT891" s="13"/>
      <c r="AU891" s="13"/>
      <c r="AV891" s="13"/>
      <c r="AW891" s="13"/>
      <c r="AX891" s="13"/>
      <c r="AY891" s="15"/>
      <c r="AZ891" s="15"/>
      <c r="BA891" s="16"/>
      <c r="BB891" s="15"/>
      <c r="BC891" s="15"/>
      <c r="BD891" s="13"/>
      <c r="BE891" s="13"/>
      <c r="BF891" s="13"/>
      <c r="BG891" s="13"/>
      <c r="BH891" s="13"/>
      <c r="BI891" s="13"/>
      <c r="BJ891" s="13"/>
      <c r="BK891" s="13"/>
      <c r="BL891" s="13"/>
      <c r="BM891" s="13"/>
      <c r="BN891" s="13"/>
      <c r="BO891" s="13"/>
      <c r="BP891" s="13"/>
      <c r="BQ891" s="15"/>
      <c r="BR891" s="15"/>
      <c r="BS891" s="15"/>
      <c r="BT891" s="15"/>
      <c r="BU891" s="15"/>
      <c r="BV891" s="15"/>
      <c r="BW891" s="15"/>
      <c r="BX891" s="15"/>
      <c r="BY891" s="15"/>
      <c r="BZ891" s="15"/>
      <c r="CA891" s="15"/>
      <c r="CB891" s="17"/>
      <c r="CC891" s="17"/>
      <c r="CD891" s="18"/>
      <c r="CE891" s="18"/>
      <c r="CF891" s="18"/>
      <c r="CG891" s="18"/>
      <c r="CH891" s="18"/>
    </row>
    <row r="892">
      <c r="A892" s="15"/>
      <c r="B892" s="16"/>
      <c r="C892" s="15"/>
      <c r="D892" s="9"/>
      <c r="E892" s="15"/>
      <c r="F892" s="15"/>
      <c r="G892" s="13"/>
      <c r="H892" s="13"/>
      <c r="I892" s="13"/>
      <c r="J892" s="13"/>
      <c r="K892" s="13"/>
      <c r="L892" s="13"/>
      <c r="M892" s="13"/>
      <c r="N892" s="13"/>
      <c r="O892" s="13"/>
      <c r="P892" s="13"/>
      <c r="Q892" s="13"/>
      <c r="R892" s="13"/>
      <c r="S892" s="13"/>
      <c r="T892" s="13"/>
      <c r="U892" s="13"/>
      <c r="V892" s="13"/>
      <c r="W892" s="13"/>
      <c r="X892" s="13"/>
      <c r="Y892" s="13"/>
      <c r="Z892" s="13"/>
      <c r="AA892" s="13"/>
      <c r="AB892" s="15"/>
      <c r="AC892" s="15"/>
      <c r="AD892" s="15"/>
      <c r="AE892" s="13"/>
      <c r="AF892" s="13"/>
      <c r="AG892" s="13"/>
      <c r="AH892" s="15"/>
      <c r="AI892" s="13"/>
      <c r="AJ892" s="13"/>
      <c r="AK892" s="13"/>
      <c r="AL892" s="13"/>
      <c r="AM892" s="15"/>
      <c r="AN892" s="13"/>
      <c r="AO892" s="15"/>
      <c r="AP892" s="15"/>
      <c r="AQ892" s="13"/>
      <c r="AR892" s="13"/>
      <c r="AS892" s="13"/>
      <c r="AT892" s="13"/>
      <c r="AU892" s="13"/>
      <c r="AV892" s="13"/>
      <c r="AW892" s="13"/>
      <c r="AX892" s="13"/>
      <c r="AY892" s="15"/>
      <c r="AZ892" s="15"/>
      <c r="BA892" s="16"/>
      <c r="BB892" s="15"/>
      <c r="BC892" s="15"/>
      <c r="BD892" s="13"/>
      <c r="BE892" s="13"/>
      <c r="BF892" s="13"/>
      <c r="BG892" s="13"/>
      <c r="BH892" s="13"/>
      <c r="BI892" s="13"/>
      <c r="BJ892" s="13"/>
      <c r="BK892" s="13"/>
      <c r="BL892" s="13"/>
      <c r="BM892" s="13"/>
      <c r="BN892" s="13"/>
      <c r="BO892" s="13"/>
      <c r="BP892" s="13"/>
      <c r="BQ892" s="15"/>
      <c r="BR892" s="15"/>
      <c r="BS892" s="15"/>
      <c r="BT892" s="15"/>
      <c r="BU892" s="15"/>
      <c r="BV892" s="15"/>
      <c r="BW892" s="15"/>
      <c r="BX892" s="15"/>
      <c r="BY892" s="15"/>
      <c r="BZ892" s="15"/>
      <c r="CA892" s="15"/>
      <c r="CB892" s="17"/>
      <c r="CC892" s="17"/>
      <c r="CD892" s="18"/>
      <c r="CE892" s="18"/>
      <c r="CF892" s="18"/>
      <c r="CG892" s="18"/>
      <c r="CH892" s="18"/>
    </row>
    <row r="893">
      <c r="A893" s="15"/>
      <c r="B893" s="16"/>
      <c r="C893" s="15"/>
      <c r="D893" s="9"/>
      <c r="E893" s="15"/>
      <c r="F893" s="15"/>
      <c r="G893" s="13"/>
      <c r="H893" s="13"/>
      <c r="I893" s="13"/>
      <c r="J893" s="13"/>
      <c r="K893" s="13"/>
      <c r="L893" s="13"/>
      <c r="M893" s="13"/>
      <c r="N893" s="13"/>
      <c r="O893" s="13"/>
      <c r="P893" s="13"/>
      <c r="Q893" s="13"/>
      <c r="R893" s="13"/>
      <c r="S893" s="13"/>
      <c r="T893" s="13"/>
      <c r="U893" s="13"/>
      <c r="V893" s="13"/>
      <c r="W893" s="13"/>
      <c r="X893" s="13"/>
      <c r="Y893" s="13"/>
      <c r="Z893" s="13"/>
      <c r="AA893" s="13"/>
      <c r="AB893" s="15"/>
      <c r="AC893" s="15"/>
      <c r="AD893" s="15"/>
      <c r="AE893" s="13"/>
      <c r="AF893" s="13"/>
      <c r="AG893" s="13"/>
      <c r="AH893" s="15"/>
      <c r="AI893" s="13"/>
      <c r="AJ893" s="13"/>
      <c r="AK893" s="13"/>
      <c r="AL893" s="13"/>
      <c r="AM893" s="15"/>
      <c r="AN893" s="13"/>
      <c r="AO893" s="15"/>
      <c r="AP893" s="15"/>
      <c r="AQ893" s="13"/>
      <c r="AR893" s="13"/>
      <c r="AS893" s="13"/>
      <c r="AT893" s="13"/>
      <c r="AU893" s="13"/>
      <c r="AV893" s="13"/>
      <c r="AW893" s="13"/>
      <c r="AX893" s="13"/>
      <c r="AY893" s="15"/>
      <c r="AZ893" s="15"/>
      <c r="BA893" s="16"/>
      <c r="BB893" s="15"/>
      <c r="BC893" s="15"/>
      <c r="BD893" s="13"/>
      <c r="BE893" s="13"/>
      <c r="BF893" s="13"/>
      <c r="BG893" s="13"/>
      <c r="BH893" s="13"/>
      <c r="BI893" s="13"/>
      <c r="BJ893" s="13"/>
      <c r="BK893" s="13"/>
      <c r="BL893" s="13"/>
      <c r="BM893" s="13"/>
      <c r="BN893" s="13"/>
      <c r="BO893" s="13"/>
      <c r="BP893" s="13"/>
      <c r="BQ893" s="15"/>
      <c r="BR893" s="15"/>
      <c r="BS893" s="15"/>
      <c r="BT893" s="15"/>
      <c r="BU893" s="15"/>
      <c r="BV893" s="15"/>
      <c r="BW893" s="15"/>
      <c r="BX893" s="15"/>
      <c r="BY893" s="15"/>
      <c r="BZ893" s="15"/>
      <c r="CA893" s="15"/>
      <c r="CB893" s="17"/>
      <c r="CC893" s="17"/>
      <c r="CD893" s="18"/>
      <c r="CE893" s="18"/>
      <c r="CF893" s="18"/>
      <c r="CG893" s="18"/>
      <c r="CH893" s="18"/>
    </row>
    <row r="894">
      <c r="A894" s="15"/>
      <c r="B894" s="16"/>
      <c r="C894" s="15"/>
      <c r="D894" s="9"/>
      <c r="E894" s="15"/>
      <c r="F894" s="15"/>
      <c r="G894" s="13"/>
      <c r="H894" s="13"/>
      <c r="I894" s="13"/>
      <c r="J894" s="13"/>
      <c r="K894" s="13"/>
      <c r="L894" s="13"/>
      <c r="M894" s="13"/>
      <c r="N894" s="13"/>
      <c r="O894" s="13"/>
      <c r="P894" s="13"/>
      <c r="Q894" s="13"/>
      <c r="R894" s="13"/>
      <c r="S894" s="13"/>
      <c r="T894" s="13"/>
      <c r="U894" s="13"/>
      <c r="V894" s="13"/>
      <c r="W894" s="13"/>
      <c r="X894" s="13"/>
      <c r="Y894" s="13"/>
      <c r="Z894" s="13"/>
      <c r="AA894" s="13"/>
      <c r="AB894" s="15"/>
      <c r="AC894" s="15"/>
      <c r="AD894" s="15"/>
      <c r="AE894" s="13"/>
      <c r="AF894" s="13"/>
      <c r="AG894" s="13"/>
      <c r="AH894" s="15"/>
      <c r="AI894" s="13"/>
      <c r="AJ894" s="13"/>
      <c r="AK894" s="13"/>
      <c r="AL894" s="13"/>
      <c r="AM894" s="15"/>
      <c r="AN894" s="13"/>
      <c r="AO894" s="15"/>
      <c r="AP894" s="15"/>
      <c r="AQ894" s="13"/>
      <c r="AR894" s="13"/>
      <c r="AS894" s="13"/>
      <c r="AT894" s="13"/>
      <c r="AU894" s="13"/>
      <c r="AV894" s="13"/>
      <c r="AW894" s="13"/>
      <c r="AX894" s="13"/>
      <c r="AY894" s="15"/>
      <c r="AZ894" s="15"/>
      <c r="BA894" s="16"/>
      <c r="BB894" s="15"/>
      <c r="BC894" s="15"/>
      <c r="BD894" s="13"/>
      <c r="BE894" s="13"/>
      <c r="BF894" s="13"/>
      <c r="BG894" s="13"/>
      <c r="BH894" s="13"/>
      <c r="BI894" s="13"/>
      <c r="BJ894" s="13"/>
      <c r="BK894" s="13"/>
      <c r="BL894" s="13"/>
      <c r="BM894" s="13"/>
      <c r="BN894" s="13"/>
      <c r="BO894" s="13"/>
      <c r="BP894" s="13"/>
      <c r="BQ894" s="15"/>
      <c r="BR894" s="15"/>
      <c r="BS894" s="15"/>
      <c r="BT894" s="15"/>
      <c r="BU894" s="15"/>
      <c r="BV894" s="15"/>
      <c r="BW894" s="15"/>
      <c r="BX894" s="15"/>
      <c r="BY894" s="15"/>
      <c r="BZ894" s="15"/>
      <c r="CA894" s="15"/>
      <c r="CB894" s="17"/>
      <c r="CC894" s="17"/>
      <c r="CD894" s="18"/>
      <c r="CE894" s="18"/>
      <c r="CF894" s="18"/>
      <c r="CG894" s="18"/>
      <c r="CH894" s="18"/>
    </row>
    <row r="895">
      <c r="A895" s="15"/>
      <c r="B895" s="16"/>
      <c r="C895" s="15"/>
      <c r="D895" s="9"/>
      <c r="E895" s="15"/>
      <c r="F895" s="15"/>
      <c r="G895" s="13"/>
      <c r="H895" s="13"/>
      <c r="I895" s="13"/>
      <c r="J895" s="13"/>
      <c r="K895" s="13"/>
      <c r="L895" s="13"/>
      <c r="M895" s="13"/>
      <c r="N895" s="13"/>
      <c r="O895" s="13"/>
      <c r="P895" s="13"/>
      <c r="Q895" s="13"/>
      <c r="R895" s="13"/>
      <c r="S895" s="13"/>
      <c r="T895" s="13"/>
      <c r="U895" s="13"/>
      <c r="V895" s="13"/>
      <c r="W895" s="13"/>
      <c r="X895" s="13"/>
      <c r="Y895" s="13"/>
      <c r="Z895" s="13"/>
      <c r="AA895" s="13"/>
      <c r="AB895" s="15"/>
      <c r="AC895" s="15"/>
      <c r="AD895" s="15"/>
      <c r="AE895" s="13"/>
      <c r="AF895" s="13"/>
      <c r="AG895" s="13"/>
      <c r="AH895" s="15"/>
      <c r="AI895" s="13"/>
      <c r="AJ895" s="13"/>
      <c r="AK895" s="13"/>
      <c r="AL895" s="13"/>
      <c r="AM895" s="15"/>
      <c r="AN895" s="13"/>
      <c r="AO895" s="15"/>
      <c r="AP895" s="15"/>
      <c r="AQ895" s="13"/>
      <c r="AR895" s="13"/>
      <c r="AS895" s="13"/>
      <c r="AT895" s="13"/>
      <c r="AU895" s="13"/>
      <c r="AV895" s="13"/>
      <c r="AW895" s="13"/>
      <c r="AX895" s="13"/>
      <c r="AY895" s="15"/>
      <c r="AZ895" s="15"/>
      <c r="BA895" s="16"/>
      <c r="BB895" s="15"/>
      <c r="BC895" s="15"/>
      <c r="BD895" s="13"/>
      <c r="BE895" s="13"/>
      <c r="BF895" s="13"/>
      <c r="BG895" s="13"/>
      <c r="BH895" s="13"/>
      <c r="BI895" s="13"/>
      <c r="BJ895" s="13"/>
      <c r="BK895" s="13"/>
      <c r="BL895" s="13"/>
      <c r="BM895" s="13"/>
      <c r="BN895" s="13"/>
      <c r="BO895" s="13"/>
      <c r="BP895" s="13"/>
      <c r="BQ895" s="15"/>
      <c r="BR895" s="15"/>
      <c r="BS895" s="15"/>
      <c r="BT895" s="15"/>
      <c r="BU895" s="15"/>
      <c r="BV895" s="15"/>
      <c r="BW895" s="15"/>
      <c r="BX895" s="15"/>
      <c r="BY895" s="15"/>
      <c r="BZ895" s="15"/>
      <c r="CA895" s="15"/>
      <c r="CB895" s="17"/>
      <c r="CC895" s="17"/>
      <c r="CD895" s="18"/>
      <c r="CE895" s="18"/>
      <c r="CF895" s="18"/>
      <c r="CG895" s="18"/>
      <c r="CH895" s="18"/>
    </row>
    <row r="896">
      <c r="A896" s="15"/>
      <c r="B896" s="16"/>
      <c r="C896" s="15"/>
      <c r="D896" s="9"/>
      <c r="E896" s="15"/>
      <c r="F896" s="15"/>
      <c r="G896" s="13"/>
      <c r="H896" s="13"/>
      <c r="I896" s="13"/>
      <c r="J896" s="13"/>
      <c r="K896" s="13"/>
      <c r="L896" s="13"/>
      <c r="M896" s="13"/>
      <c r="N896" s="13"/>
      <c r="O896" s="13"/>
      <c r="P896" s="13"/>
      <c r="Q896" s="13"/>
      <c r="R896" s="13"/>
      <c r="S896" s="13"/>
      <c r="T896" s="13"/>
      <c r="U896" s="13"/>
      <c r="V896" s="13"/>
      <c r="W896" s="13"/>
      <c r="X896" s="13"/>
      <c r="Y896" s="13"/>
      <c r="Z896" s="13"/>
      <c r="AA896" s="13"/>
      <c r="AB896" s="15"/>
      <c r="AC896" s="15"/>
      <c r="AD896" s="15"/>
      <c r="AE896" s="13"/>
      <c r="AF896" s="13"/>
      <c r="AG896" s="13"/>
      <c r="AH896" s="15"/>
      <c r="AI896" s="13"/>
      <c r="AJ896" s="13"/>
      <c r="AK896" s="13"/>
      <c r="AL896" s="13"/>
      <c r="AM896" s="15"/>
      <c r="AN896" s="13"/>
      <c r="AO896" s="15"/>
      <c r="AP896" s="15"/>
      <c r="AQ896" s="13"/>
      <c r="AR896" s="13"/>
      <c r="AS896" s="13"/>
      <c r="AT896" s="13"/>
      <c r="AU896" s="13"/>
      <c r="AV896" s="13"/>
      <c r="AW896" s="13"/>
      <c r="AX896" s="13"/>
      <c r="AY896" s="15"/>
      <c r="AZ896" s="15"/>
      <c r="BA896" s="16"/>
      <c r="BB896" s="15"/>
      <c r="BC896" s="15"/>
      <c r="BD896" s="13"/>
      <c r="BE896" s="13"/>
      <c r="BF896" s="13"/>
      <c r="BG896" s="13"/>
      <c r="BH896" s="13"/>
      <c r="BI896" s="13"/>
      <c r="BJ896" s="13"/>
      <c r="BK896" s="13"/>
      <c r="BL896" s="13"/>
      <c r="BM896" s="13"/>
      <c r="BN896" s="13"/>
      <c r="BO896" s="13"/>
      <c r="BP896" s="13"/>
      <c r="BQ896" s="15"/>
      <c r="BR896" s="15"/>
      <c r="BS896" s="15"/>
      <c r="BT896" s="15"/>
      <c r="BU896" s="15"/>
      <c r="BV896" s="15"/>
      <c r="BW896" s="15"/>
      <c r="BX896" s="15"/>
      <c r="BY896" s="15"/>
      <c r="BZ896" s="15"/>
      <c r="CA896" s="15"/>
      <c r="CB896" s="17"/>
      <c r="CC896" s="17"/>
      <c r="CD896" s="18"/>
      <c r="CE896" s="18"/>
      <c r="CF896" s="18"/>
      <c r="CG896" s="18"/>
      <c r="CH896" s="18"/>
    </row>
    <row r="897">
      <c r="A897" s="15"/>
      <c r="B897" s="16"/>
      <c r="C897" s="15"/>
      <c r="D897" s="9"/>
      <c r="E897" s="15"/>
      <c r="F897" s="15"/>
      <c r="G897" s="13"/>
      <c r="H897" s="13"/>
      <c r="I897" s="13"/>
      <c r="J897" s="13"/>
      <c r="K897" s="13"/>
      <c r="L897" s="13"/>
      <c r="M897" s="13"/>
      <c r="N897" s="13"/>
      <c r="O897" s="13"/>
      <c r="P897" s="13"/>
      <c r="Q897" s="13"/>
      <c r="R897" s="13"/>
      <c r="S897" s="13"/>
      <c r="T897" s="13"/>
      <c r="U897" s="13"/>
      <c r="V897" s="13"/>
      <c r="W897" s="13"/>
      <c r="X897" s="13"/>
      <c r="Y897" s="13"/>
      <c r="Z897" s="13"/>
      <c r="AA897" s="13"/>
      <c r="AB897" s="15"/>
      <c r="AC897" s="15"/>
      <c r="AD897" s="15"/>
      <c r="AE897" s="13"/>
      <c r="AF897" s="13"/>
      <c r="AG897" s="13"/>
      <c r="AH897" s="15"/>
      <c r="AI897" s="13"/>
      <c r="AJ897" s="13"/>
      <c r="AK897" s="13"/>
      <c r="AL897" s="13"/>
      <c r="AM897" s="15"/>
      <c r="AN897" s="13"/>
      <c r="AO897" s="15"/>
      <c r="AP897" s="15"/>
      <c r="AQ897" s="13"/>
      <c r="AR897" s="13"/>
      <c r="AS897" s="13"/>
      <c r="AT897" s="13"/>
      <c r="AU897" s="13"/>
      <c r="AV897" s="13"/>
      <c r="AW897" s="13"/>
      <c r="AX897" s="13"/>
      <c r="AY897" s="15"/>
      <c r="AZ897" s="15"/>
      <c r="BA897" s="16"/>
      <c r="BB897" s="15"/>
      <c r="BC897" s="15"/>
      <c r="BD897" s="13"/>
      <c r="BE897" s="13"/>
      <c r="BF897" s="13"/>
      <c r="BG897" s="13"/>
      <c r="BH897" s="13"/>
      <c r="BI897" s="13"/>
      <c r="BJ897" s="13"/>
      <c r="BK897" s="13"/>
      <c r="BL897" s="13"/>
      <c r="BM897" s="13"/>
      <c r="BN897" s="13"/>
      <c r="BO897" s="13"/>
      <c r="BP897" s="13"/>
      <c r="BQ897" s="15"/>
      <c r="BR897" s="15"/>
      <c r="BS897" s="15"/>
      <c r="BT897" s="15"/>
      <c r="BU897" s="15"/>
      <c r="BV897" s="15"/>
      <c r="BW897" s="15"/>
      <c r="BX897" s="15"/>
      <c r="BY897" s="15"/>
      <c r="BZ897" s="15"/>
      <c r="CA897" s="15"/>
      <c r="CB897" s="17"/>
      <c r="CC897" s="17"/>
      <c r="CD897" s="18"/>
      <c r="CE897" s="18"/>
      <c r="CF897" s="18"/>
      <c r="CG897" s="18"/>
      <c r="CH897" s="18"/>
    </row>
    <row r="898">
      <c r="A898" s="15"/>
      <c r="B898" s="16"/>
      <c r="C898" s="15"/>
      <c r="D898" s="9"/>
      <c r="E898" s="15"/>
      <c r="F898" s="15"/>
      <c r="G898" s="13"/>
      <c r="H898" s="13"/>
      <c r="I898" s="13"/>
      <c r="J898" s="13"/>
      <c r="K898" s="13"/>
      <c r="L898" s="13"/>
      <c r="M898" s="13"/>
      <c r="N898" s="13"/>
      <c r="O898" s="13"/>
      <c r="P898" s="13"/>
      <c r="Q898" s="13"/>
      <c r="R898" s="13"/>
      <c r="S898" s="13"/>
      <c r="T898" s="13"/>
      <c r="U898" s="13"/>
      <c r="V898" s="13"/>
      <c r="W898" s="13"/>
      <c r="X898" s="13"/>
      <c r="Y898" s="13"/>
      <c r="Z898" s="13"/>
      <c r="AA898" s="13"/>
      <c r="AB898" s="15"/>
      <c r="AC898" s="15"/>
      <c r="AD898" s="15"/>
      <c r="AE898" s="13"/>
      <c r="AF898" s="13"/>
      <c r="AG898" s="13"/>
      <c r="AH898" s="15"/>
      <c r="AI898" s="13"/>
      <c r="AJ898" s="13"/>
      <c r="AK898" s="13"/>
      <c r="AL898" s="13"/>
      <c r="AM898" s="15"/>
      <c r="AN898" s="13"/>
      <c r="AO898" s="15"/>
      <c r="AP898" s="15"/>
      <c r="AQ898" s="13"/>
      <c r="AR898" s="13"/>
      <c r="AS898" s="13"/>
      <c r="AT898" s="13"/>
      <c r="AU898" s="13"/>
      <c r="AV898" s="13"/>
      <c r="AW898" s="13"/>
      <c r="AX898" s="13"/>
      <c r="AY898" s="15"/>
      <c r="AZ898" s="15"/>
      <c r="BA898" s="16"/>
      <c r="BB898" s="15"/>
      <c r="BC898" s="15"/>
      <c r="BD898" s="13"/>
      <c r="BE898" s="13"/>
      <c r="BF898" s="13"/>
      <c r="BG898" s="13"/>
      <c r="BH898" s="13"/>
      <c r="BI898" s="13"/>
      <c r="BJ898" s="13"/>
      <c r="BK898" s="13"/>
      <c r="BL898" s="13"/>
      <c r="BM898" s="13"/>
      <c r="BN898" s="13"/>
      <c r="BO898" s="13"/>
      <c r="BP898" s="13"/>
      <c r="BQ898" s="15"/>
      <c r="BR898" s="15"/>
      <c r="BS898" s="15"/>
      <c r="BT898" s="15"/>
      <c r="BU898" s="15"/>
      <c r="BV898" s="15"/>
      <c r="BW898" s="15"/>
      <c r="BX898" s="15"/>
      <c r="BY898" s="15"/>
      <c r="BZ898" s="15"/>
      <c r="CA898" s="15"/>
      <c r="CB898" s="17"/>
      <c r="CC898" s="17"/>
      <c r="CD898" s="18"/>
      <c r="CE898" s="18"/>
      <c r="CF898" s="18"/>
      <c r="CG898" s="18"/>
      <c r="CH898" s="18"/>
    </row>
    <row r="899">
      <c r="A899" s="15"/>
      <c r="B899" s="16"/>
      <c r="C899" s="15"/>
      <c r="D899" s="9"/>
      <c r="E899" s="15"/>
      <c r="F899" s="15"/>
      <c r="G899" s="13"/>
      <c r="H899" s="13"/>
      <c r="I899" s="13"/>
      <c r="J899" s="13"/>
      <c r="K899" s="13"/>
      <c r="L899" s="13"/>
      <c r="M899" s="13"/>
      <c r="N899" s="13"/>
      <c r="O899" s="13"/>
      <c r="P899" s="13"/>
      <c r="Q899" s="13"/>
      <c r="R899" s="13"/>
      <c r="S899" s="13"/>
      <c r="T899" s="13"/>
      <c r="U899" s="13"/>
      <c r="V899" s="13"/>
      <c r="W899" s="13"/>
      <c r="X899" s="13"/>
      <c r="Y899" s="13"/>
      <c r="Z899" s="13"/>
      <c r="AA899" s="13"/>
      <c r="AB899" s="15"/>
      <c r="AC899" s="15"/>
      <c r="AD899" s="15"/>
      <c r="AE899" s="13"/>
      <c r="AF899" s="13"/>
      <c r="AG899" s="13"/>
      <c r="AH899" s="15"/>
      <c r="AI899" s="13"/>
      <c r="AJ899" s="13"/>
      <c r="AK899" s="13"/>
      <c r="AL899" s="13"/>
      <c r="AM899" s="15"/>
      <c r="AN899" s="13"/>
      <c r="AO899" s="15"/>
      <c r="AP899" s="15"/>
      <c r="AQ899" s="13"/>
      <c r="AR899" s="13"/>
      <c r="AS899" s="13"/>
      <c r="AT899" s="13"/>
      <c r="AU899" s="13"/>
      <c r="AV899" s="13"/>
      <c r="AW899" s="13"/>
      <c r="AX899" s="13"/>
      <c r="AY899" s="15"/>
      <c r="AZ899" s="15"/>
      <c r="BA899" s="16"/>
      <c r="BB899" s="15"/>
      <c r="BC899" s="15"/>
      <c r="BD899" s="13"/>
      <c r="BE899" s="13"/>
      <c r="BF899" s="13"/>
      <c r="BG899" s="13"/>
      <c r="BH899" s="13"/>
      <c r="BI899" s="13"/>
      <c r="BJ899" s="13"/>
      <c r="BK899" s="13"/>
      <c r="BL899" s="13"/>
      <c r="BM899" s="13"/>
      <c r="BN899" s="13"/>
      <c r="BO899" s="13"/>
      <c r="BP899" s="13"/>
      <c r="BQ899" s="15"/>
      <c r="BR899" s="15"/>
      <c r="BS899" s="15"/>
      <c r="BT899" s="15"/>
      <c r="BU899" s="15"/>
      <c r="BV899" s="15"/>
      <c r="BW899" s="15"/>
      <c r="BX899" s="15"/>
      <c r="BY899" s="15"/>
      <c r="BZ899" s="15"/>
      <c r="CA899" s="15"/>
      <c r="CB899" s="17"/>
      <c r="CC899" s="17"/>
      <c r="CD899" s="18"/>
      <c r="CE899" s="18"/>
      <c r="CF899" s="18"/>
      <c r="CG899" s="18"/>
      <c r="CH899" s="18"/>
    </row>
    <row r="900">
      <c r="A900" s="15"/>
      <c r="B900" s="16"/>
      <c r="C900" s="15"/>
      <c r="D900" s="9"/>
      <c r="E900" s="15"/>
      <c r="F900" s="15"/>
      <c r="G900" s="13"/>
      <c r="H900" s="13"/>
      <c r="I900" s="13"/>
      <c r="J900" s="13"/>
      <c r="K900" s="13"/>
      <c r="L900" s="13"/>
      <c r="M900" s="13"/>
      <c r="N900" s="13"/>
      <c r="O900" s="13"/>
      <c r="P900" s="13"/>
      <c r="Q900" s="13"/>
      <c r="R900" s="13"/>
      <c r="S900" s="13"/>
      <c r="T900" s="13"/>
      <c r="U900" s="13"/>
      <c r="V900" s="13"/>
      <c r="W900" s="13"/>
      <c r="X900" s="13"/>
      <c r="Y900" s="13"/>
      <c r="Z900" s="13"/>
      <c r="AA900" s="13"/>
      <c r="AB900" s="15"/>
      <c r="AC900" s="15"/>
      <c r="AD900" s="15"/>
      <c r="AE900" s="13"/>
      <c r="AF900" s="13"/>
      <c r="AG900" s="13"/>
      <c r="AH900" s="15"/>
      <c r="AI900" s="13"/>
      <c r="AJ900" s="13"/>
      <c r="AK900" s="13"/>
      <c r="AL900" s="13"/>
      <c r="AM900" s="15"/>
      <c r="AN900" s="13"/>
      <c r="AO900" s="15"/>
      <c r="AP900" s="15"/>
      <c r="AQ900" s="13"/>
      <c r="AR900" s="13"/>
      <c r="AS900" s="13"/>
      <c r="AT900" s="13"/>
      <c r="AU900" s="13"/>
      <c r="AV900" s="13"/>
      <c r="AW900" s="13"/>
      <c r="AX900" s="13"/>
      <c r="AY900" s="15"/>
      <c r="AZ900" s="15"/>
      <c r="BA900" s="16"/>
      <c r="BB900" s="15"/>
      <c r="BC900" s="15"/>
      <c r="BD900" s="13"/>
      <c r="BE900" s="13"/>
      <c r="BF900" s="13"/>
      <c r="BG900" s="13"/>
      <c r="BH900" s="13"/>
      <c r="BI900" s="13"/>
      <c r="BJ900" s="13"/>
      <c r="BK900" s="13"/>
      <c r="BL900" s="13"/>
      <c r="BM900" s="13"/>
      <c r="BN900" s="13"/>
      <c r="BO900" s="13"/>
      <c r="BP900" s="13"/>
      <c r="BQ900" s="15"/>
      <c r="BR900" s="15"/>
      <c r="BS900" s="15"/>
      <c r="BT900" s="15"/>
      <c r="BU900" s="15"/>
      <c r="BV900" s="15"/>
      <c r="BW900" s="15"/>
      <c r="BX900" s="15"/>
      <c r="BY900" s="15"/>
      <c r="BZ900" s="15"/>
      <c r="CA900" s="15"/>
      <c r="CB900" s="17"/>
      <c r="CC900" s="17"/>
      <c r="CD900" s="18"/>
      <c r="CE900" s="18"/>
      <c r="CF900" s="18"/>
      <c r="CG900" s="18"/>
      <c r="CH900" s="18"/>
    </row>
    <row r="901">
      <c r="A901" s="15"/>
      <c r="B901" s="16"/>
      <c r="C901" s="15"/>
      <c r="D901" s="9"/>
      <c r="E901" s="15"/>
      <c r="F901" s="15"/>
      <c r="G901" s="13"/>
      <c r="H901" s="13"/>
      <c r="I901" s="13"/>
      <c r="J901" s="13"/>
      <c r="K901" s="13"/>
      <c r="L901" s="13"/>
      <c r="M901" s="13"/>
      <c r="N901" s="13"/>
      <c r="O901" s="13"/>
      <c r="P901" s="13"/>
      <c r="Q901" s="13"/>
      <c r="R901" s="13"/>
      <c r="S901" s="13"/>
      <c r="T901" s="13"/>
      <c r="U901" s="13"/>
      <c r="V901" s="13"/>
      <c r="W901" s="13"/>
      <c r="X901" s="13"/>
      <c r="Y901" s="13"/>
      <c r="Z901" s="13"/>
      <c r="AA901" s="13"/>
      <c r="AB901" s="15"/>
      <c r="AC901" s="15"/>
      <c r="AD901" s="15"/>
      <c r="AE901" s="13"/>
      <c r="AF901" s="13"/>
      <c r="AG901" s="13"/>
      <c r="AH901" s="15"/>
      <c r="AI901" s="13"/>
      <c r="AJ901" s="13"/>
      <c r="AK901" s="13"/>
      <c r="AL901" s="13"/>
      <c r="AM901" s="15"/>
      <c r="AN901" s="13"/>
      <c r="AO901" s="15"/>
      <c r="AP901" s="15"/>
      <c r="AQ901" s="13"/>
      <c r="AR901" s="13"/>
      <c r="AS901" s="13"/>
      <c r="AT901" s="13"/>
      <c r="AU901" s="13"/>
      <c r="AV901" s="13"/>
      <c r="AW901" s="13"/>
      <c r="AX901" s="13"/>
      <c r="AY901" s="15"/>
      <c r="AZ901" s="15"/>
      <c r="BA901" s="16"/>
      <c r="BB901" s="15"/>
      <c r="BC901" s="15"/>
      <c r="BD901" s="13"/>
      <c r="BE901" s="13"/>
      <c r="BF901" s="13"/>
      <c r="BG901" s="13"/>
      <c r="BH901" s="13"/>
      <c r="BI901" s="13"/>
      <c r="BJ901" s="13"/>
      <c r="BK901" s="13"/>
      <c r="BL901" s="13"/>
      <c r="BM901" s="13"/>
      <c r="BN901" s="13"/>
      <c r="BO901" s="13"/>
      <c r="BP901" s="13"/>
      <c r="BQ901" s="15"/>
      <c r="BR901" s="15"/>
      <c r="BS901" s="15"/>
      <c r="BT901" s="15"/>
      <c r="BU901" s="15"/>
      <c r="BV901" s="15"/>
      <c r="BW901" s="15"/>
      <c r="BX901" s="15"/>
      <c r="BY901" s="15"/>
      <c r="BZ901" s="15"/>
      <c r="CA901" s="15"/>
      <c r="CB901" s="17"/>
      <c r="CC901" s="17"/>
      <c r="CD901" s="18"/>
      <c r="CE901" s="18"/>
      <c r="CF901" s="18"/>
      <c r="CG901" s="18"/>
      <c r="CH901" s="18"/>
    </row>
    <row r="902">
      <c r="A902" s="15"/>
      <c r="B902" s="16"/>
      <c r="C902" s="15"/>
      <c r="D902" s="9"/>
      <c r="E902" s="15"/>
      <c r="F902" s="15"/>
      <c r="G902" s="13"/>
      <c r="H902" s="13"/>
      <c r="I902" s="13"/>
      <c r="J902" s="13"/>
      <c r="K902" s="13"/>
      <c r="L902" s="13"/>
      <c r="M902" s="13"/>
      <c r="N902" s="13"/>
      <c r="O902" s="13"/>
      <c r="P902" s="13"/>
      <c r="Q902" s="13"/>
      <c r="R902" s="13"/>
      <c r="S902" s="13"/>
      <c r="T902" s="13"/>
      <c r="U902" s="13"/>
      <c r="V902" s="13"/>
      <c r="W902" s="13"/>
      <c r="X902" s="13"/>
      <c r="Y902" s="13"/>
      <c r="Z902" s="13"/>
      <c r="AA902" s="13"/>
      <c r="AB902" s="15"/>
      <c r="AC902" s="15"/>
      <c r="AD902" s="15"/>
      <c r="AE902" s="13"/>
      <c r="AF902" s="13"/>
      <c r="AG902" s="13"/>
      <c r="AH902" s="15"/>
      <c r="AI902" s="13"/>
      <c r="AJ902" s="13"/>
      <c r="AK902" s="13"/>
      <c r="AL902" s="13"/>
      <c r="AM902" s="15"/>
      <c r="AN902" s="13"/>
      <c r="AO902" s="15"/>
      <c r="AP902" s="15"/>
      <c r="AQ902" s="13"/>
      <c r="AR902" s="13"/>
      <c r="AS902" s="13"/>
      <c r="AT902" s="13"/>
      <c r="AU902" s="13"/>
      <c r="AV902" s="13"/>
      <c r="AW902" s="13"/>
      <c r="AX902" s="13"/>
      <c r="AY902" s="15"/>
      <c r="AZ902" s="15"/>
      <c r="BA902" s="16"/>
      <c r="BB902" s="15"/>
      <c r="BC902" s="15"/>
      <c r="BD902" s="13"/>
      <c r="BE902" s="13"/>
      <c r="BF902" s="13"/>
      <c r="BG902" s="13"/>
      <c r="BH902" s="13"/>
      <c r="BI902" s="13"/>
      <c r="BJ902" s="13"/>
      <c r="BK902" s="13"/>
      <c r="BL902" s="13"/>
      <c r="BM902" s="13"/>
      <c r="BN902" s="13"/>
      <c r="BO902" s="13"/>
      <c r="BP902" s="13"/>
      <c r="BQ902" s="15"/>
      <c r="BR902" s="15"/>
      <c r="BS902" s="15"/>
      <c r="BT902" s="15"/>
      <c r="BU902" s="15"/>
      <c r="BV902" s="15"/>
      <c r="BW902" s="15"/>
      <c r="BX902" s="15"/>
      <c r="BY902" s="15"/>
      <c r="BZ902" s="15"/>
      <c r="CA902" s="15"/>
      <c r="CB902" s="17"/>
      <c r="CC902" s="17"/>
      <c r="CD902" s="18"/>
      <c r="CE902" s="18"/>
      <c r="CF902" s="18"/>
      <c r="CG902" s="18"/>
      <c r="CH902" s="18"/>
    </row>
    <row r="903">
      <c r="A903" s="15"/>
      <c r="B903" s="16"/>
      <c r="C903" s="15"/>
      <c r="D903" s="9"/>
      <c r="E903" s="15"/>
      <c r="F903" s="15"/>
      <c r="G903" s="13"/>
      <c r="H903" s="13"/>
      <c r="I903" s="13"/>
      <c r="J903" s="13"/>
      <c r="K903" s="13"/>
      <c r="L903" s="13"/>
      <c r="M903" s="13"/>
      <c r="N903" s="13"/>
      <c r="O903" s="13"/>
      <c r="P903" s="13"/>
      <c r="Q903" s="13"/>
      <c r="R903" s="13"/>
      <c r="S903" s="13"/>
      <c r="T903" s="13"/>
      <c r="U903" s="13"/>
      <c r="V903" s="13"/>
      <c r="W903" s="13"/>
      <c r="X903" s="13"/>
      <c r="Y903" s="13"/>
      <c r="Z903" s="13"/>
      <c r="AA903" s="13"/>
      <c r="AB903" s="15"/>
      <c r="AC903" s="15"/>
      <c r="AD903" s="15"/>
      <c r="AE903" s="13"/>
      <c r="AF903" s="13"/>
      <c r="AG903" s="13"/>
      <c r="AH903" s="15"/>
      <c r="AI903" s="13"/>
      <c r="AJ903" s="13"/>
      <c r="AK903" s="13"/>
      <c r="AL903" s="13"/>
      <c r="AM903" s="15"/>
      <c r="AN903" s="13"/>
      <c r="AO903" s="15"/>
      <c r="AP903" s="15"/>
      <c r="AQ903" s="13"/>
      <c r="AR903" s="13"/>
      <c r="AS903" s="13"/>
      <c r="AT903" s="13"/>
      <c r="AU903" s="13"/>
      <c r="AV903" s="13"/>
      <c r="AW903" s="13"/>
      <c r="AX903" s="13"/>
      <c r="AY903" s="15"/>
      <c r="AZ903" s="15"/>
      <c r="BA903" s="16"/>
      <c r="BB903" s="15"/>
      <c r="BC903" s="15"/>
      <c r="BD903" s="13"/>
      <c r="BE903" s="13"/>
      <c r="BF903" s="13"/>
      <c r="BG903" s="13"/>
      <c r="BH903" s="13"/>
      <c r="BI903" s="13"/>
      <c r="BJ903" s="13"/>
      <c r="BK903" s="13"/>
      <c r="BL903" s="13"/>
      <c r="BM903" s="13"/>
      <c r="BN903" s="13"/>
      <c r="BO903" s="13"/>
      <c r="BP903" s="13"/>
      <c r="BQ903" s="15"/>
      <c r="BR903" s="15"/>
      <c r="BS903" s="15"/>
      <c r="BT903" s="15"/>
      <c r="BU903" s="15"/>
      <c r="BV903" s="15"/>
      <c r="BW903" s="15"/>
      <c r="BX903" s="15"/>
      <c r="BY903" s="15"/>
      <c r="BZ903" s="15"/>
      <c r="CA903" s="15"/>
      <c r="CB903" s="17"/>
      <c r="CC903" s="17"/>
      <c r="CD903" s="18"/>
      <c r="CE903" s="18"/>
      <c r="CF903" s="18"/>
      <c r="CG903" s="18"/>
      <c r="CH903" s="18"/>
    </row>
    <row r="904">
      <c r="A904" s="15"/>
      <c r="B904" s="16"/>
      <c r="C904" s="15"/>
      <c r="D904" s="9"/>
      <c r="E904" s="15"/>
      <c r="F904" s="15"/>
      <c r="G904" s="13"/>
      <c r="H904" s="13"/>
      <c r="I904" s="13"/>
      <c r="J904" s="13"/>
      <c r="K904" s="13"/>
      <c r="L904" s="13"/>
      <c r="M904" s="13"/>
      <c r="N904" s="13"/>
      <c r="O904" s="13"/>
      <c r="P904" s="13"/>
      <c r="Q904" s="13"/>
      <c r="R904" s="13"/>
      <c r="S904" s="13"/>
      <c r="T904" s="13"/>
      <c r="U904" s="13"/>
      <c r="V904" s="13"/>
      <c r="W904" s="13"/>
      <c r="X904" s="13"/>
      <c r="Y904" s="13"/>
      <c r="Z904" s="13"/>
      <c r="AA904" s="13"/>
      <c r="AB904" s="15"/>
      <c r="AC904" s="15"/>
      <c r="AD904" s="15"/>
      <c r="AE904" s="13"/>
      <c r="AF904" s="13"/>
      <c r="AG904" s="13"/>
      <c r="AH904" s="15"/>
      <c r="AI904" s="13"/>
      <c r="AJ904" s="13"/>
      <c r="AK904" s="13"/>
      <c r="AL904" s="13"/>
      <c r="AM904" s="15"/>
      <c r="AN904" s="13"/>
      <c r="AO904" s="15"/>
      <c r="AP904" s="15"/>
      <c r="AQ904" s="13"/>
      <c r="AR904" s="13"/>
      <c r="AS904" s="13"/>
      <c r="AT904" s="13"/>
      <c r="AU904" s="13"/>
      <c r="AV904" s="13"/>
      <c r="AW904" s="13"/>
      <c r="AX904" s="13"/>
      <c r="AY904" s="15"/>
      <c r="AZ904" s="15"/>
      <c r="BA904" s="16"/>
      <c r="BB904" s="15"/>
      <c r="BC904" s="15"/>
      <c r="BD904" s="13"/>
      <c r="BE904" s="13"/>
      <c r="BF904" s="13"/>
      <c r="BG904" s="13"/>
      <c r="BH904" s="13"/>
      <c r="BI904" s="13"/>
      <c r="BJ904" s="13"/>
      <c r="BK904" s="13"/>
      <c r="BL904" s="13"/>
      <c r="BM904" s="13"/>
      <c r="BN904" s="13"/>
      <c r="BO904" s="13"/>
      <c r="BP904" s="13"/>
      <c r="BQ904" s="15"/>
      <c r="BR904" s="15"/>
      <c r="BS904" s="15"/>
      <c r="BT904" s="15"/>
      <c r="BU904" s="15"/>
      <c r="BV904" s="15"/>
      <c r="BW904" s="15"/>
      <c r="BX904" s="15"/>
      <c r="BY904" s="15"/>
      <c r="BZ904" s="15"/>
      <c r="CA904" s="15"/>
      <c r="CB904" s="17"/>
      <c r="CC904" s="17"/>
      <c r="CD904" s="18"/>
      <c r="CE904" s="18"/>
      <c r="CF904" s="18"/>
      <c r="CG904" s="18"/>
      <c r="CH904" s="18"/>
    </row>
    <row r="905">
      <c r="A905" s="15"/>
      <c r="B905" s="16"/>
      <c r="C905" s="15"/>
      <c r="D905" s="9"/>
      <c r="E905" s="15"/>
      <c r="F905" s="15"/>
      <c r="G905" s="13"/>
      <c r="H905" s="13"/>
      <c r="I905" s="13"/>
      <c r="J905" s="13"/>
      <c r="K905" s="13"/>
      <c r="L905" s="13"/>
      <c r="M905" s="13"/>
      <c r="N905" s="13"/>
      <c r="O905" s="13"/>
      <c r="P905" s="13"/>
      <c r="Q905" s="13"/>
      <c r="R905" s="13"/>
      <c r="S905" s="13"/>
      <c r="T905" s="13"/>
      <c r="U905" s="13"/>
      <c r="V905" s="13"/>
      <c r="W905" s="13"/>
      <c r="X905" s="13"/>
      <c r="Y905" s="13"/>
      <c r="Z905" s="13"/>
      <c r="AA905" s="13"/>
      <c r="AB905" s="15"/>
      <c r="AC905" s="15"/>
      <c r="AD905" s="15"/>
      <c r="AE905" s="13"/>
      <c r="AF905" s="13"/>
      <c r="AG905" s="13"/>
      <c r="AH905" s="15"/>
      <c r="AI905" s="13"/>
      <c r="AJ905" s="13"/>
      <c r="AK905" s="13"/>
      <c r="AL905" s="13"/>
      <c r="AM905" s="15"/>
      <c r="AN905" s="13"/>
      <c r="AO905" s="15"/>
      <c r="AP905" s="15"/>
      <c r="AQ905" s="13"/>
      <c r="AR905" s="13"/>
      <c r="AS905" s="13"/>
      <c r="AT905" s="13"/>
      <c r="AU905" s="13"/>
      <c r="AV905" s="13"/>
      <c r="AW905" s="13"/>
      <c r="AX905" s="13"/>
      <c r="AY905" s="15"/>
      <c r="AZ905" s="15"/>
      <c r="BA905" s="16"/>
      <c r="BB905" s="15"/>
      <c r="BC905" s="15"/>
      <c r="BD905" s="13"/>
      <c r="BE905" s="13"/>
      <c r="BF905" s="13"/>
      <c r="BG905" s="13"/>
      <c r="BH905" s="13"/>
      <c r="BI905" s="13"/>
      <c r="BJ905" s="13"/>
      <c r="BK905" s="13"/>
      <c r="BL905" s="13"/>
      <c r="BM905" s="13"/>
      <c r="BN905" s="13"/>
      <c r="BO905" s="13"/>
      <c r="BP905" s="13"/>
      <c r="BQ905" s="15"/>
      <c r="BR905" s="15"/>
      <c r="BS905" s="15"/>
      <c r="BT905" s="15"/>
      <c r="BU905" s="15"/>
      <c r="BV905" s="15"/>
      <c r="BW905" s="15"/>
      <c r="BX905" s="15"/>
      <c r="BY905" s="15"/>
      <c r="BZ905" s="15"/>
      <c r="CA905" s="15"/>
      <c r="CB905" s="17"/>
      <c r="CC905" s="17"/>
      <c r="CD905" s="18"/>
      <c r="CE905" s="18"/>
      <c r="CF905" s="18"/>
      <c r="CG905" s="18"/>
      <c r="CH905" s="18"/>
    </row>
    <row r="906">
      <c r="A906" s="15"/>
      <c r="B906" s="16"/>
      <c r="C906" s="15"/>
      <c r="D906" s="9"/>
      <c r="E906" s="15"/>
      <c r="F906" s="15"/>
      <c r="G906" s="13"/>
      <c r="H906" s="13"/>
      <c r="I906" s="13"/>
      <c r="J906" s="13"/>
      <c r="K906" s="13"/>
      <c r="L906" s="13"/>
      <c r="M906" s="13"/>
      <c r="N906" s="13"/>
      <c r="O906" s="13"/>
      <c r="P906" s="13"/>
      <c r="Q906" s="13"/>
      <c r="R906" s="13"/>
      <c r="S906" s="13"/>
      <c r="T906" s="13"/>
      <c r="U906" s="13"/>
      <c r="V906" s="13"/>
      <c r="W906" s="13"/>
      <c r="X906" s="13"/>
      <c r="Y906" s="13"/>
      <c r="Z906" s="13"/>
      <c r="AA906" s="13"/>
      <c r="AB906" s="15"/>
      <c r="AC906" s="15"/>
      <c r="AD906" s="15"/>
      <c r="AE906" s="13"/>
      <c r="AF906" s="13"/>
      <c r="AG906" s="13"/>
      <c r="AH906" s="15"/>
      <c r="AI906" s="13"/>
      <c r="AJ906" s="13"/>
      <c r="AK906" s="13"/>
      <c r="AL906" s="13"/>
      <c r="AM906" s="15"/>
      <c r="AN906" s="13"/>
      <c r="AO906" s="15"/>
      <c r="AP906" s="15"/>
      <c r="AQ906" s="13"/>
      <c r="AR906" s="13"/>
      <c r="AS906" s="13"/>
      <c r="AT906" s="13"/>
      <c r="AU906" s="13"/>
      <c r="AV906" s="13"/>
      <c r="AW906" s="13"/>
      <c r="AX906" s="13"/>
      <c r="AY906" s="15"/>
      <c r="AZ906" s="15"/>
      <c r="BA906" s="16"/>
      <c r="BB906" s="15"/>
      <c r="BC906" s="15"/>
      <c r="BD906" s="13"/>
      <c r="BE906" s="13"/>
      <c r="BF906" s="13"/>
      <c r="BG906" s="13"/>
      <c r="BH906" s="13"/>
      <c r="BI906" s="13"/>
      <c r="BJ906" s="13"/>
      <c r="BK906" s="13"/>
      <c r="BL906" s="13"/>
      <c r="BM906" s="13"/>
      <c r="BN906" s="13"/>
      <c r="BO906" s="13"/>
      <c r="BP906" s="13"/>
      <c r="BQ906" s="15"/>
      <c r="BR906" s="15"/>
      <c r="BS906" s="15"/>
      <c r="BT906" s="15"/>
      <c r="BU906" s="15"/>
      <c r="BV906" s="15"/>
      <c r="BW906" s="15"/>
      <c r="BX906" s="15"/>
      <c r="BY906" s="15"/>
      <c r="BZ906" s="15"/>
      <c r="CA906" s="15"/>
      <c r="CB906" s="17"/>
      <c r="CC906" s="17"/>
      <c r="CD906" s="18"/>
      <c r="CE906" s="18"/>
      <c r="CF906" s="18"/>
      <c r="CG906" s="18"/>
      <c r="CH906" s="18"/>
    </row>
    <row r="907">
      <c r="A907" s="15"/>
      <c r="B907" s="16"/>
      <c r="C907" s="15"/>
      <c r="D907" s="9"/>
      <c r="E907" s="15"/>
      <c r="F907" s="15"/>
      <c r="G907" s="13"/>
      <c r="H907" s="13"/>
      <c r="I907" s="13"/>
      <c r="J907" s="13"/>
      <c r="K907" s="13"/>
      <c r="L907" s="13"/>
      <c r="M907" s="13"/>
      <c r="N907" s="13"/>
      <c r="O907" s="13"/>
      <c r="P907" s="13"/>
      <c r="Q907" s="13"/>
      <c r="R907" s="13"/>
      <c r="S907" s="13"/>
      <c r="T907" s="13"/>
      <c r="U907" s="13"/>
      <c r="V907" s="13"/>
      <c r="W907" s="13"/>
      <c r="X907" s="13"/>
      <c r="Y907" s="13"/>
      <c r="Z907" s="13"/>
      <c r="AA907" s="13"/>
      <c r="AB907" s="15"/>
      <c r="AC907" s="15"/>
      <c r="AD907" s="15"/>
      <c r="AE907" s="13"/>
      <c r="AF907" s="13"/>
      <c r="AG907" s="13"/>
      <c r="AH907" s="15"/>
      <c r="AI907" s="13"/>
      <c r="AJ907" s="13"/>
      <c r="AK907" s="13"/>
      <c r="AL907" s="13"/>
      <c r="AM907" s="15"/>
      <c r="AN907" s="13"/>
      <c r="AO907" s="15"/>
      <c r="AP907" s="15"/>
      <c r="AQ907" s="13"/>
      <c r="AR907" s="13"/>
      <c r="AS907" s="13"/>
      <c r="AT907" s="13"/>
      <c r="AU907" s="13"/>
      <c r="AV907" s="13"/>
      <c r="AW907" s="13"/>
      <c r="AX907" s="13"/>
      <c r="AY907" s="15"/>
      <c r="AZ907" s="15"/>
      <c r="BA907" s="16"/>
      <c r="BB907" s="15"/>
      <c r="BC907" s="15"/>
      <c r="BD907" s="13"/>
      <c r="BE907" s="13"/>
      <c r="BF907" s="13"/>
      <c r="BG907" s="13"/>
      <c r="BH907" s="13"/>
      <c r="BI907" s="13"/>
      <c r="BJ907" s="13"/>
      <c r="BK907" s="13"/>
      <c r="BL907" s="13"/>
      <c r="BM907" s="13"/>
      <c r="BN907" s="13"/>
      <c r="BO907" s="13"/>
      <c r="BP907" s="13"/>
      <c r="BQ907" s="15"/>
      <c r="BR907" s="15"/>
      <c r="BS907" s="15"/>
      <c r="BT907" s="15"/>
      <c r="BU907" s="15"/>
      <c r="BV907" s="15"/>
      <c r="BW907" s="15"/>
      <c r="BX907" s="15"/>
      <c r="BY907" s="15"/>
      <c r="BZ907" s="15"/>
      <c r="CA907" s="15"/>
      <c r="CB907" s="17"/>
      <c r="CC907" s="17"/>
      <c r="CD907" s="18"/>
      <c r="CE907" s="18"/>
      <c r="CF907" s="18"/>
      <c r="CG907" s="18"/>
      <c r="CH907" s="18"/>
    </row>
    <row r="908">
      <c r="A908" s="15"/>
      <c r="B908" s="16"/>
      <c r="C908" s="15"/>
      <c r="D908" s="9"/>
      <c r="E908" s="15"/>
      <c r="F908" s="15"/>
      <c r="G908" s="13"/>
      <c r="H908" s="13"/>
      <c r="I908" s="13"/>
      <c r="J908" s="13"/>
      <c r="K908" s="13"/>
      <c r="L908" s="13"/>
      <c r="M908" s="13"/>
      <c r="N908" s="13"/>
      <c r="O908" s="13"/>
      <c r="P908" s="13"/>
      <c r="Q908" s="13"/>
      <c r="R908" s="13"/>
      <c r="S908" s="13"/>
      <c r="T908" s="13"/>
      <c r="U908" s="13"/>
      <c r="V908" s="13"/>
      <c r="W908" s="13"/>
      <c r="X908" s="13"/>
      <c r="Y908" s="13"/>
      <c r="Z908" s="13"/>
      <c r="AA908" s="13"/>
      <c r="AB908" s="15"/>
      <c r="AC908" s="15"/>
      <c r="AD908" s="15"/>
      <c r="AE908" s="13"/>
      <c r="AF908" s="13"/>
      <c r="AG908" s="13"/>
      <c r="AH908" s="15"/>
      <c r="AI908" s="13"/>
      <c r="AJ908" s="13"/>
      <c r="AK908" s="13"/>
      <c r="AL908" s="13"/>
      <c r="AM908" s="15"/>
      <c r="AN908" s="13"/>
      <c r="AO908" s="15"/>
      <c r="AP908" s="15"/>
      <c r="AQ908" s="13"/>
      <c r="AR908" s="13"/>
      <c r="AS908" s="13"/>
      <c r="AT908" s="13"/>
      <c r="AU908" s="13"/>
      <c r="AV908" s="13"/>
      <c r="AW908" s="13"/>
      <c r="AX908" s="13"/>
      <c r="AY908" s="15"/>
      <c r="AZ908" s="15"/>
      <c r="BA908" s="16"/>
      <c r="BB908" s="15"/>
      <c r="BC908" s="15"/>
      <c r="BD908" s="13"/>
      <c r="BE908" s="13"/>
      <c r="BF908" s="13"/>
      <c r="BG908" s="13"/>
      <c r="BH908" s="13"/>
      <c r="BI908" s="13"/>
      <c r="BJ908" s="13"/>
      <c r="BK908" s="13"/>
      <c r="BL908" s="13"/>
      <c r="BM908" s="13"/>
      <c r="BN908" s="13"/>
      <c r="BO908" s="13"/>
      <c r="BP908" s="13"/>
      <c r="BQ908" s="15"/>
      <c r="BR908" s="15"/>
      <c r="BS908" s="15"/>
      <c r="BT908" s="15"/>
      <c r="BU908" s="15"/>
      <c r="BV908" s="15"/>
      <c r="BW908" s="15"/>
      <c r="BX908" s="15"/>
      <c r="BY908" s="15"/>
      <c r="BZ908" s="15"/>
      <c r="CA908" s="15"/>
      <c r="CB908" s="17"/>
      <c r="CC908" s="17"/>
      <c r="CD908" s="18"/>
      <c r="CE908" s="18"/>
      <c r="CF908" s="18"/>
      <c r="CG908" s="18"/>
      <c r="CH908" s="18"/>
    </row>
    <row r="909">
      <c r="A909" s="15"/>
      <c r="B909" s="16"/>
      <c r="C909" s="15"/>
      <c r="D909" s="9"/>
      <c r="E909" s="15"/>
      <c r="F909" s="15"/>
      <c r="G909" s="13"/>
      <c r="H909" s="13"/>
      <c r="I909" s="13"/>
      <c r="J909" s="13"/>
      <c r="K909" s="13"/>
      <c r="L909" s="13"/>
      <c r="M909" s="13"/>
      <c r="N909" s="13"/>
      <c r="O909" s="13"/>
      <c r="P909" s="13"/>
      <c r="Q909" s="13"/>
      <c r="R909" s="13"/>
      <c r="S909" s="13"/>
      <c r="T909" s="13"/>
      <c r="U909" s="13"/>
      <c r="V909" s="13"/>
      <c r="W909" s="13"/>
      <c r="X909" s="13"/>
      <c r="Y909" s="13"/>
      <c r="Z909" s="13"/>
      <c r="AA909" s="13"/>
      <c r="AB909" s="15"/>
      <c r="AC909" s="15"/>
      <c r="AD909" s="15"/>
      <c r="AE909" s="13"/>
      <c r="AF909" s="13"/>
      <c r="AG909" s="13"/>
      <c r="AH909" s="15"/>
      <c r="AI909" s="13"/>
      <c r="AJ909" s="13"/>
      <c r="AK909" s="13"/>
      <c r="AL909" s="13"/>
      <c r="AM909" s="15"/>
      <c r="AN909" s="13"/>
      <c r="AO909" s="15"/>
      <c r="AP909" s="15"/>
      <c r="AQ909" s="13"/>
      <c r="AR909" s="13"/>
      <c r="AS909" s="13"/>
      <c r="AT909" s="13"/>
      <c r="AU909" s="13"/>
      <c r="AV909" s="13"/>
      <c r="AW909" s="13"/>
      <c r="AX909" s="13"/>
      <c r="AY909" s="15"/>
      <c r="AZ909" s="15"/>
      <c r="BA909" s="16"/>
      <c r="BB909" s="15"/>
      <c r="BC909" s="15"/>
      <c r="BD909" s="13"/>
      <c r="BE909" s="13"/>
      <c r="BF909" s="13"/>
      <c r="BG909" s="13"/>
      <c r="BH909" s="13"/>
      <c r="BI909" s="13"/>
      <c r="BJ909" s="13"/>
      <c r="BK909" s="13"/>
      <c r="BL909" s="13"/>
      <c r="BM909" s="13"/>
      <c r="BN909" s="13"/>
      <c r="BO909" s="13"/>
      <c r="BP909" s="13"/>
      <c r="BQ909" s="15"/>
      <c r="BR909" s="15"/>
      <c r="BS909" s="15"/>
      <c r="BT909" s="15"/>
      <c r="BU909" s="15"/>
      <c r="BV909" s="15"/>
      <c r="BW909" s="15"/>
      <c r="BX909" s="15"/>
      <c r="BY909" s="15"/>
      <c r="BZ909" s="15"/>
      <c r="CA909" s="15"/>
      <c r="CB909" s="17"/>
      <c r="CC909" s="17"/>
      <c r="CD909" s="18"/>
      <c r="CE909" s="18"/>
      <c r="CF909" s="18"/>
      <c r="CG909" s="18"/>
      <c r="CH909" s="18"/>
    </row>
    <row r="910">
      <c r="A910" s="15"/>
      <c r="B910" s="16"/>
      <c r="C910" s="15"/>
      <c r="D910" s="9"/>
      <c r="E910" s="15"/>
      <c r="F910" s="15"/>
      <c r="G910" s="13"/>
      <c r="H910" s="13"/>
      <c r="I910" s="13"/>
      <c r="J910" s="13"/>
      <c r="K910" s="13"/>
      <c r="L910" s="13"/>
      <c r="M910" s="13"/>
      <c r="N910" s="13"/>
      <c r="O910" s="13"/>
      <c r="P910" s="13"/>
      <c r="Q910" s="13"/>
      <c r="R910" s="13"/>
      <c r="S910" s="13"/>
      <c r="T910" s="13"/>
      <c r="U910" s="13"/>
      <c r="V910" s="13"/>
      <c r="W910" s="13"/>
      <c r="X910" s="13"/>
      <c r="Y910" s="13"/>
      <c r="Z910" s="13"/>
      <c r="AA910" s="13"/>
      <c r="AB910" s="15"/>
      <c r="AC910" s="15"/>
      <c r="AD910" s="15"/>
      <c r="AE910" s="13"/>
      <c r="AF910" s="13"/>
      <c r="AG910" s="13"/>
      <c r="AH910" s="15"/>
      <c r="AI910" s="13"/>
      <c r="AJ910" s="13"/>
      <c r="AK910" s="13"/>
      <c r="AL910" s="13"/>
      <c r="AM910" s="15"/>
      <c r="AN910" s="13"/>
      <c r="AO910" s="15"/>
      <c r="AP910" s="15"/>
      <c r="AQ910" s="13"/>
      <c r="AR910" s="13"/>
      <c r="AS910" s="13"/>
      <c r="AT910" s="13"/>
      <c r="AU910" s="13"/>
      <c r="AV910" s="13"/>
      <c r="AW910" s="13"/>
      <c r="AX910" s="13"/>
      <c r="AY910" s="15"/>
      <c r="AZ910" s="15"/>
      <c r="BA910" s="16"/>
      <c r="BB910" s="15"/>
      <c r="BC910" s="15"/>
      <c r="BD910" s="13"/>
      <c r="BE910" s="13"/>
      <c r="BF910" s="13"/>
      <c r="BG910" s="13"/>
      <c r="BH910" s="13"/>
      <c r="BI910" s="13"/>
      <c r="BJ910" s="13"/>
      <c r="BK910" s="13"/>
      <c r="BL910" s="13"/>
      <c r="BM910" s="13"/>
      <c r="BN910" s="13"/>
      <c r="BO910" s="13"/>
      <c r="BP910" s="13"/>
      <c r="BQ910" s="15"/>
      <c r="BR910" s="15"/>
      <c r="BS910" s="15"/>
      <c r="BT910" s="15"/>
      <c r="BU910" s="15"/>
      <c r="BV910" s="15"/>
      <c r="BW910" s="15"/>
      <c r="BX910" s="15"/>
      <c r="BY910" s="15"/>
      <c r="BZ910" s="15"/>
      <c r="CA910" s="15"/>
      <c r="CB910" s="17"/>
      <c r="CC910" s="17"/>
      <c r="CD910" s="18"/>
      <c r="CE910" s="18"/>
      <c r="CF910" s="18"/>
      <c r="CG910" s="18"/>
      <c r="CH910" s="18"/>
    </row>
    <row r="911">
      <c r="A911" s="15"/>
      <c r="B911" s="16"/>
      <c r="C911" s="15"/>
      <c r="D911" s="9"/>
      <c r="E911" s="15"/>
      <c r="F911" s="15"/>
      <c r="G911" s="13"/>
      <c r="H911" s="13"/>
      <c r="I911" s="13"/>
      <c r="J911" s="13"/>
      <c r="K911" s="13"/>
      <c r="L911" s="13"/>
      <c r="M911" s="13"/>
      <c r="N911" s="13"/>
      <c r="O911" s="13"/>
      <c r="P911" s="13"/>
      <c r="Q911" s="13"/>
      <c r="R911" s="13"/>
      <c r="S911" s="13"/>
      <c r="T911" s="13"/>
      <c r="U911" s="13"/>
      <c r="V911" s="13"/>
      <c r="W911" s="13"/>
      <c r="X911" s="13"/>
      <c r="Y911" s="13"/>
      <c r="Z911" s="13"/>
      <c r="AA911" s="13"/>
      <c r="AB911" s="15"/>
      <c r="AC911" s="15"/>
      <c r="AD911" s="15"/>
      <c r="AE911" s="13"/>
      <c r="AF911" s="13"/>
      <c r="AG911" s="13"/>
      <c r="AH911" s="15"/>
      <c r="AI911" s="13"/>
      <c r="AJ911" s="13"/>
      <c r="AK911" s="13"/>
      <c r="AL911" s="13"/>
      <c r="AM911" s="15"/>
      <c r="AN911" s="13"/>
      <c r="AO911" s="15"/>
      <c r="AP911" s="15"/>
      <c r="AQ911" s="13"/>
      <c r="AR911" s="13"/>
      <c r="AS911" s="13"/>
      <c r="AT911" s="13"/>
      <c r="AU911" s="13"/>
      <c r="AV911" s="13"/>
      <c r="AW911" s="13"/>
      <c r="AX911" s="13"/>
      <c r="AY911" s="15"/>
      <c r="AZ911" s="15"/>
      <c r="BA911" s="16"/>
      <c r="BB911" s="15"/>
      <c r="BC911" s="15"/>
      <c r="BD911" s="13"/>
      <c r="BE911" s="13"/>
      <c r="BF911" s="13"/>
      <c r="BG911" s="13"/>
      <c r="BH911" s="13"/>
      <c r="BI911" s="13"/>
      <c r="BJ911" s="13"/>
      <c r="BK911" s="13"/>
      <c r="BL911" s="13"/>
      <c r="BM911" s="13"/>
      <c r="BN911" s="13"/>
      <c r="BO911" s="13"/>
      <c r="BP911" s="13"/>
      <c r="BQ911" s="15"/>
      <c r="BR911" s="15"/>
      <c r="BS911" s="15"/>
      <c r="BT911" s="15"/>
      <c r="BU911" s="15"/>
      <c r="BV911" s="15"/>
      <c r="BW911" s="15"/>
      <c r="BX911" s="15"/>
      <c r="BY911" s="15"/>
      <c r="BZ911" s="15"/>
      <c r="CA911" s="15"/>
      <c r="CB911" s="17"/>
      <c r="CC911" s="17"/>
      <c r="CD911" s="18"/>
      <c r="CE911" s="18"/>
      <c r="CF911" s="18"/>
      <c r="CG911" s="18"/>
      <c r="CH911" s="18"/>
    </row>
    <row r="912">
      <c r="A912" s="15"/>
      <c r="B912" s="16"/>
      <c r="C912" s="15"/>
      <c r="D912" s="9"/>
      <c r="E912" s="15"/>
      <c r="F912" s="15"/>
      <c r="G912" s="13"/>
      <c r="H912" s="13"/>
      <c r="I912" s="13"/>
      <c r="J912" s="13"/>
      <c r="K912" s="13"/>
      <c r="L912" s="13"/>
      <c r="M912" s="13"/>
      <c r="N912" s="13"/>
      <c r="O912" s="13"/>
      <c r="P912" s="13"/>
      <c r="Q912" s="13"/>
      <c r="R912" s="13"/>
      <c r="S912" s="13"/>
      <c r="T912" s="13"/>
      <c r="U912" s="13"/>
      <c r="V912" s="13"/>
      <c r="W912" s="13"/>
      <c r="X912" s="13"/>
      <c r="Y912" s="13"/>
      <c r="Z912" s="13"/>
      <c r="AA912" s="13"/>
      <c r="AB912" s="15"/>
      <c r="AC912" s="15"/>
      <c r="AD912" s="15"/>
      <c r="AE912" s="13"/>
      <c r="AF912" s="13"/>
      <c r="AG912" s="13"/>
      <c r="AH912" s="15"/>
      <c r="AI912" s="13"/>
      <c r="AJ912" s="13"/>
      <c r="AK912" s="13"/>
      <c r="AL912" s="13"/>
      <c r="AM912" s="15"/>
      <c r="AN912" s="13"/>
      <c r="AO912" s="15"/>
      <c r="AP912" s="15"/>
      <c r="AQ912" s="13"/>
      <c r="AR912" s="13"/>
      <c r="AS912" s="13"/>
      <c r="AT912" s="13"/>
      <c r="AU912" s="13"/>
      <c r="AV912" s="13"/>
      <c r="AW912" s="13"/>
      <c r="AX912" s="13"/>
      <c r="AY912" s="15"/>
      <c r="AZ912" s="15"/>
      <c r="BA912" s="16"/>
      <c r="BB912" s="15"/>
      <c r="BC912" s="15"/>
      <c r="BD912" s="13"/>
      <c r="BE912" s="13"/>
      <c r="BF912" s="13"/>
      <c r="BG912" s="13"/>
      <c r="BH912" s="13"/>
      <c r="BI912" s="13"/>
      <c r="BJ912" s="13"/>
      <c r="BK912" s="13"/>
      <c r="BL912" s="13"/>
      <c r="BM912" s="13"/>
      <c r="BN912" s="13"/>
      <c r="BO912" s="13"/>
      <c r="BP912" s="13"/>
      <c r="BQ912" s="15"/>
      <c r="BR912" s="15"/>
      <c r="BS912" s="15"/>
      <c r="BT912" s="15"/>
      <c r="BU912" s="15"/>
      <c r="BV912" s="15"/>
      <c r="BW912" s="15"/>
      <c r="BX912" s="15"/>
      <c r="BY912" s="15"/>
      <c r="BZ912" s="15"/>
      <c r="CA912" s="15"/>
      <c r="CB912" s="17"/>
      <c r="CC912" s="17"/>
      <c r="CD912" s="18"/>
      <c r="CE912" s="18"/>
      <c r="CF912" s="18"/>
      <c r="CG912" s="18"/>
      <c r="CH912" s="18"/>
    </row>
    <row r="913">
      <c r="A913" s="15"/>
      <c r="B913" s="16"/>
      <c r="C913" s="15"/>
      <c r="D913" s="9"/>
      <c r="E913" s="15"/>
      <c r="F913" s="15"/>
      <c r="G913" s="13"/>
      <c r="H913" s="13"/>
      <c r="I913" s="13"/>
      <c r="J913" s="13"/>
      <c r="K913" s="13"/>
      <c r="L913" s="13"/>
      <c r="M913" s="13"/>
      <c r="N913" s="13"/>
      <c r="O913" s="13"/>
      <c r="P913" s="13"/>
      <c r="Q913" s="13"/>
      <c r="R913" s="13"/>
      <c r="S913" s="13"/>
      <c r="T913" s="13"/>
      <c r="U913" s="13"/>
      <c r="V913" s="13"/>
      <c r="W913" s="13"/>
      <c r="X913" s="13"/>
      <c r="Y913" s="13"/>
      <c r="Z913" s="13"/>
      <c r="AA913" s="13"/>
      <c r="AB913" s="15"/>
      <c r="AC913" s="15"/>
      <c r="AD913" s="15"/>
      <c r="AE913" s="13"/>
      <c r="AF913" s="13"/>
      <c r="AG913" s="13"/>
      <c r="AH913" s="15"/>
      <c r="AI913" s="13"/>
      <c r="AJ913" s="13"/>
      <c r="AK913" s="13"/>
      <c r="AL913" s="13"/>
      <c r="AM913" s="15"/>
      <c r="AN913" s="13"/>
      <c r="AO913" s="15"/>
      <c r="AP913" s="15"/>
      <c r="AQ913" s="13"/>
      <c r="AR913" s="13"/>
      <c r="AS913" s="13"/>
      <c r="AT913" s="13"/>
      <c r="AU913" s="13"/>
      <c r="AV913" s="13"/>
      <c r="AW913" s="13"/>
      <c r="AX913" s="13"/>
      <c r="AY913" s="15"/>
      <c r="AZ913" s="15"/>
      <c r="BA913" s="16"/>
      <c r="BB913" s="15"/>
      <c r="BC913" s="15"/>
      <c r="BD913" s="13"/>
      <c r="BE913" s="13"/>
      <c r="BF913" s="13"/>
      <c r="BG913" s="13"/>
      <c r="BH913" s="13"/>
      <c r="BI913" s="13"/>
      <c r="BJ913" s="13"/>
      <c r="BK913" s="13"/>
      <c r="BL913" s="13"/>
      <c r="BM913" s="13"/>
      <c r="BN913" s="13"/>
      <c r="BO913" s="13"/>
      <c r="BP913" s="13"/>
      <c r="BQ913" s="15"/>
      <c r="BR913" s="15"/>
      <c r="BS913" s="15"/>
      <c r="BT913" s="15"/>
      <c r="BU913" s="15"/>
      <c r="BV913" s="15"/>
      <c r="BW913" s="15"/>
      <c r="BX913" s="15"/>
      <c r="BY913" s="15"/>
      <c r="BZ913" s="15"/>
      <c r="CA913" s="15"/>
      <c r="CB913" s="17"/>
      <c r="CC913" s="17"/>
      <c r="CD913" s="18"/>
      <c r="CE913" s="18"/>
      <c r="CF913" s="18"/>
      <c r="CG913" s="18"/>
      <c r="CH913" s="18"/>
    </row>
    <row r="914">
      <c r="A914" s="15"/>
      <c r="B914" s="16"/>
      <c r="C914" s="15"/>
      <c r="D914" s="9"/>
      <c r="E914" s="15"/>
      <c r="F914" s="15"/>
      <c r="G914" s="13"/>
      <c r="H914" s="13"/>
      <c r="I914" s="13"/>
      <c r="J914" s="13"/>
      <c r="K914" s="13"/>
      <c r="L914" s="13"/>
      <c r="M914" s="13"/>
      <c r="N914" s="13"/>
      <c r="O914" s="13"/>
      <c r="P914" s="13"/>
      <c r="Q914" s="13"/>
      <c r="R914" s="13"/>
      <c r="S914" s="13"/>
      <c r="T914" s="13"/>
      <c r="U914" s="13"/>
      <c r="V914" s="13"/>
      <c r="W914" s="13"/>
      <c r="X914" s="13"/>
      <c r="Y914" s="13"/>
      <c r="Z914" s="13"/>
      <c r="AA914" s="13"/>
      <c r="AB914" s="15"/>
      <c r="AC914" s="15"/>
      <c r="AD914" s="15"/>
      <c r="AE914" s="13"/>
      <c r="AF914" s="13"/>
      <c r="AG914" s="13"/>
      <c r="AH914" s="15"/>
      <c r="AI914" s="13"/>
      <c r="AJ914" s="13"/>
      <c r="AK914" s="13"/>
      <c r="AL914" s="13"/>
      <c r="AM914" s="15"/>
      <c r="AN914" s="13"/>
      <c r="AO914" s="15"/>
      <c r="AP914" s="15"/>
      <c r="AQ914" s="13"/>
      <c r="AR914" s="13"/>
      <c r="AS914" s="13"/>
      <c r="AT914" s="13"/>
      <c r="AU914" s="13"/>
      <c r="AV914" s="13"/>
      <c r="AW914" s="13"/>
      <c r="AX914" s="13"/>
      <c r="AY914" s="15"/>
      <c r="AZ914" s="15"/>
      <c r="BA914" s="16"/>
      <c r="BB914" s="15"/>
      <c r="BC914" s="15"/>
      <c r="BD914" s="13"/>
      <c r="BE914" s="13"/>
      <c r="BF914" s="13"/>
      <c r="BG914" s="13"/>
      <c r="BH914" s="13"/>
      <c r="BI914" s="13"/>
      <c r="BJ914" s="13"/>
      <c r="BK914" s="13"/>
      <c r="BL914" s="13"/>
      <c r="BM914" s="13"/>
      <c r="BN914" s="13"/>
      <c r="BO914" s="13"/>
      <c r="BP914" s="13"/>
      <c r="BQ914" s="15"/>
      <c r="BR914" s="15"/>
      <c r="BS914" s="15"/>
      <c r="BT914" s="15"/>
      <c r="BU914" s="15"/>
      <c r="BV914" s="15"/>
      <c r="BW914" s="15"/>
      <c r="BX914" s="15"/>
      <c r="BY914" s="15"/>
      <c r="BZ914" s="15"/>
      <c r="CA914" s="15"/>
      <c r="CB914" s="17"/>
      <c r="CC914" s="17"/>
      <c r="CD914" s="18"/>
      <c r="CE914" s="18"/>
      <c r="CF914" s="18"/>
      <c r="CG914" s="18"/>
      <c r="CH914" s="18"/>
    </row>
    <row r="915">
      <c r="A915" s="15"/>
      <c r="B915" s="16"/>
      <c r="C915" s="15"/>
      <c r="D915" s="9"/>
      <c r="E915" s="15"/>
      <c r="F915" s="15"/>
      <c r="G915" s="13"/>
      <c r="H915" s="13"/>
      <c r="I915" s="13"/>
      <c r="J915" s="13"/>
      <c r="K915" s="13"/>
      <c r="L915" s="13"/>
      <c r="M915" s="13"/>
      <c r="N915" s="13"/>
      <c r="O915" s="13"/>
      <c r="P915" s="13"/>
      <c r="Q915" s="13"/>
      <c r="R915" s="13"/>
      <c r="S915" s="13"/>
      <c r="T915" s="13"/>
      <c r="U915" s="13"/>
      <c r="V915" s="13"/>
      <c r="W915" s="13"/>
      <c r="X915" s="13"/>
      <c r="Y915" s="13"/>
      <c r="Z915" s="13"/>
      <c r="AA915" s="13"/>
      <c r="AB915" s="15"/>
      <c r="AC915" s="15"/>
      <c r="AD915" s="15"/>
      <c r="AE915" s="13"/>
      <c r="AF915" s="13"/>
      <c r="AG915" s="13"/>
      <c r="AH915" s="15"/>
      <c r="AI915" s="13"/>
      <c r="AJ915" s="13"/>
      <c r="AK915" s="13"/>
      <c r="AL915" s="13"/>
      <c r="AM915" s="15"/>
      <c r="AN915" s="13"/>
      <c r="AO915" s="15"/>
      <c r="AP915" s="15"/>
      <c r="AQ915" s="13"/>
      <c r="AR915" s="13"/>
      <c r="AS915" s="13"/>
      <c r="AT915" s="13"/>
      <c r="AU915" s="13"/>
      <c r="AV915" s="13"/>
      <c r="AW915" s="13"/>
      <c r="AX915" s="13"/>
      <c r="AY915" s="15"/>
      <c r="AZ915" s="15"/>
      <c r="BA915" s="16"/>
      <c r="BB915" s="15"/>
      <c r="BC915" s="15"/>
      <c r="BD915" s="13"/>
      <c r="BE915" s="13"/>
      <c r="BF915" s="13"/>
      <c r="BG915" s="13"/>
      <c r="BH915" s="13"/>
      <c r="BI915" s="13"/>
      <c r="BJ915" s="13"/>
      <c r="BK915" s="13"/>
      <c r="BL915" s="13"/>
      <c r="BM915" s="13"/>
      <c r="BN915" s="13"/>
      <c r="BO915" s="13"/>
      <c r="BP915" s="13"/>
      <c r="BQ915" s="15"/>
      <c r="BR915" s="15"/>
      <c r="BS915" s="15"/>
      <c r="BT915" s="15"/>
      <c r="BU915" s="15"/>
      <c r="BV915" s="15"/>
      <c r="BW915" s="15"/>
      <c r="BX915" s="15"/>
      <c r="BY915" s="15"/>
      <c r="BZ915" s="15"/>
      <c r="CA915" s="15"/>
      <c r="CB915" s="17"/>
      <c r="CC915" s="17"/>
      <c r="CD915" s="18"/>
      <c r="CE915" s="18"/>
      <c r="CF915" s="18"/>
      <c r="CG915" s="18"/>
      <c r="CH915" s="18"/>
    </row>
    <row r="916">
      <c r="A916" s="15"/>
      <c r="B916" s="16"/>
      <c r="C916" s="15"/>
      <c r="D916" s="9"/>
      <c r="E916" s="15"/>
      <c r="F916" s="15"/>
      <c r="G916" s="13"/>
      <c r="H916" s="13"/>
      <c r="I916" s="13"/>
      <c r="J916" s="13"/>
      <c r="K916" s="13"/>
      <c r="L916" s="13"/>
      <c r="M916" s="13"/>
      <c r="N916" s="13"/>
      <c r="O916" s="13"/>
      <c r="P916" s="13"/>
      <c r="Q916" s="13"/>
      <c r="R916" s="13"/>
      <c r="S916" s="13"/>
      <c r="T916" s="13"/>
      <c r="U916" s="13"/>
      <c r="V916" s="13"/>
      <c r="W916" s="13"/>
      <c r="X916" s="13"/>
      <c r="Y916" s="13"/>
      <c r="Z916" s="13"/>
      <c r="AA916" s="13"/>
      <c r="AB916" s="15"/>
      <c r="AC916" s="15"/>
      <c r="AD916" s="15"/>
      <c r="AE916" s="13"/>
      <c r="AF916" s="13"/>
      <c r="AG916" s="13"/>
      <c r="AH916" s="15"/>
      <c r="AI916" s="13"/>
      <c r="AJ916" s="13"/>
      <c r="AK916" s="13"/>
      <c r="AL916" s="13"/>
      <c r="AM916" s="15"/>
      <c r="AN916" s="13"/>
      <c r="AO916" s="15"/>
      <c r="AP916" s="15"/>
      <c r="AQ916" s="13"/>
      <c r="AR916" s="13"/>
      <c r="AS916" s="13"/>
      <c r="AT916" s="13"/>
      <c r="AU916" s="13"/>
      <c r="AV916" s="13"/>
      <c r="AW916" s="13"/>
      <c r="AX916" s="13"/>
      <c r="AY916" s="15"/>
      <c r="AZ916" s="15"/>
      <c r="BA916" s="16"/>
      <c r="BB916" s="15"/>
      <c r="BC916" s="15"/>
      <c r="BD916" s="13"/>
      <c r="BE916" s="13"/>
      <c r="BF916" s="13"/>
      <c r="BG916" s="13"/>
      <c r="BH916" s="13"/>
      <c r="BI916" s="13"/>
      <c r="BJ916" s="13"/>
      <c r="BK916" s="13"/>
      <c r="BL916" s="13"/>
      <c r="BM916" s="13"/>
      <c r="BN916" s="13"/>
      <c r="BO916" s="13"/>
      <c r="BP916" s="13"/>
      <c r="BQ916" s="15"/>
      <c r="BR916" s="15"/>
      <c r="BS916" s="15"/>
      <c r="BT916" s="15"/>
      <c r="BU916" s="15"/>
      <c r="BV916" s="15"/>
      <c r="BW916" s="15"/>
      <c r="BX916" s="15"/>
      <c r="BY916" s="15"/>
      <c r="BZ916" s="15"/>
      <c r="CA916" s="15"/>
      <c r="CB916" s="17"/>
      <c r="CC916" s="17"/>
      <c r="CD916" s="18"/>
      <c r="CE916" s="18"/>
      <c r="CF916" s="18"/>
      <c r="CG916" s="18"/>
      <c r="CH916" s="18"/>
    </row>
    <row r="917">
      <c r="A917" s="15"/>
      <c r="B917" s="16"/>
      <c r="C917" s="15"/>
      <c r="D917" s="9"/>
      <c r="E917" s="15"/>
      <c r="F917" s="15"/>
      <c r="G917" s="13"/>
      <c r="H917" s="13"/>
      <c r="I917" s="13"/>
      <c r="J917" s="13"/>
      <c r="K917" s="13"/>
      <c r="L917" s="13"/>
      <c r="M917" s="13"/>
      <c r="N917" s="13"/>
      <c r="O917" s="13"/>
      <c r="P917" s="13"/>
      <c r="Q917" s="13"/>
      <c r="R917" s="13"/>
      <c r="S917" s="13"/>
      <c r="T917" s="13"/>
      <c r="U917" s="13"/>
      <c r="V917" s="13"/>
      <c r="W917" s="13"/>
      <c r="X917" s="13"/>
      <c r="Y917" s="13"/>
      <c r="Z917" s="13"/>
      <c r="AA917" s="13"/>
      <c r="AB917" s="15"/>
      <c r="AC917" s="15"/>
      <c r="AD917" s="15"/>
      <c r="AE917" s="13"/>
      <c r="AF917" s="13"/>
      <c r="AG917" s="13"/>
      <c r="AH917" s="15"/>
      <c r="AI917" s="13"/>
      <c r="AJ917" s="13"/>
      <c r="AK917" s="13"/>
      <c r="AL917" s="13"/>
      <c r="AM917" s="15"/>
      <c r="AN917" s="13"/>
      <c r="AO917" s="15"/>
      <c r="AP917" s="15"/>
      <c r="AQ917" s="13"/>
      <c r="AR917" s="13"/>
      <c r="AS917" s="13"/>
      <c r="AT917" s="13"/>
      <c r="AU917" s="13"/>
      <c r="AV917" s="13"/>
      <c r="AW917" s="13"/>
      <c r="AX917" s="13"/>
      <c r="AY917" s="15"/>
      <c r="AZ917" s="15"/>
      <c r="BA917" s="16"/>
      <c r="BB917" s="15"/>
      <c r="BC917" s="15"/>
      <c r="BD917" s="13"/>
      <c r="BE917" s="13"/>
      <c r="BF917" s="13"/>
      <c r="BG917" s="13"/>
      <c r="BH917" s="13"/>
      <c r="BI917" s="13"/>
      <c r="BJ917" s="13"/>
      <c r="BK917" s="13"/>
      <c r="BL917" s="13"/>
      <c r="BM917" s="13"/>
      <c r="BN917" s="13"/>
      <c r="BO917" s="13"/>
      <c r="BP917" s="13"/>
      <c r="BQ917" s="15"/>
      <c r="BR917" s="15"/>
      <c r="BS917" s="15"/>
      <c r="BT917" s="15"/>
      <c r="BU917" s="15"/>
      <c r="BV917" s="15"/>
      <c r="BW917" s="15"/>
      <c r="BX917" s="15"/>
      <c r="BY917" s="15"/>
      <c r="BZ917" s="15"/>
      <c r="CA917" s="15"/>
      <c r="CB917" s="17"/>
      <c r="CC917" s="17"/>
      <c r="CD917" s="18"/>
      <c r="CE917" s="18"/>
      <c r="CF917" s="18"/>
      <c r="CG917" s="18"/>
      <c r="CH917" s="18"/>
    </row>
    <row r="918">
      <c r="A918" s="15"/>
      <c r="B918" s="16"/>
      <c r="C918" s="15"/>
      <c r="D918" s="9"/>
      <c r="E918" s="15"/>
      <c r="F918" s="15"/>
      <c r="G918" s="13"/>
      <c r="H918" s="13"/>
      <c r="I918" s="13"/>
      <c r="J918" s="13"/>
      <c r="K918" s="13"/>
      <c r="L918" s="13"/>
      <c r="M918" s="13"/>
      <c r="N918" s="13"/>
      <c r="O918" s="13"/>
      <c r="P918" s="13"/>
      <c r="Q918" s="13"/>
      <c r="R918" s="13"/>
      <c r="S918" s="13"/>
      <c r="T918" s="13"/>
      <c r="U918" s="13"/>
      <c r="V918" s="13"/>
      <c r="W918" s="13"/>
      <c r="X918" s="13"/>
      <c r="Y918" s="13"/>
      <c r="Z918" s="13"/>
      <c r="AA918" s="13"/>
      <c r="AB918" s="15"/>
      <c r="AC918" s="15"/>
      <c r="AD918" s="15"/>
      <c r="AE918" s="13"/>
      <c r="AF918" s="13"/>
      <c r="AG918" s="13"/>
      <c r="AH918" s="15"/>
      <c r="AI918" s="13"/>
      <c r="AJ918" s="13"/>
      <c r="AK918" s="13"/>
      <c r="AL918" s="13"/>
      <c r="AM918" s="15"/>
      <c r="AN918" s="13"/>
      <c r="AO918" s="15"/>
      <c r="AP918" s="15"/>
      <c r="AQ918" s="13"/>
      <c r="AR918" s="13"/>
      <c r="AS918" s="13"/>
      <c r="AT918" s="13"/>
      <c r="AU918" s="13"/>
      <c r="AV918" s="13"/>
      <c r="AW918" s="13"/>
      <c r="AX918" s="13"/>
      <c r="AY918" s="15"/>
      <c r="AZ918" s="15"/>
      <c r="BA918" s="16"/>
      <c r="BB918" s="15"/>
      <c r="BC918" s="15"/>
      <c r="BD918" s="13"/>
      <c r="BE918" s="13"/>
      <c r="BF918" s="13"/>
      <c r="BG918" s="13"/>
      <c r="BH918" s="13"/>
      <c r="BI918" s="13"/>
      <c r="BJ918" s="13"/>
      <c r="BK918" s="13"/>
      <c r="BL918" s="13"/>
      <c r="BM918" s="13"/>
      <c r="BN918" s="13"/>
      <c r="BO918" s="13"/>
      <c r="BP918" s="13"/>
      <c r="BQ918" s="15"/>
      <c r="BR918" s="15"/>
      <c r="BS918" s="15"/>
      <c r="BT918" s="15"/>
      <c r="BU918" s="15"/>
      <c r="BV918" s="15"/>
      <c r="BW918" s="15"/>
      <c r="BX918" s="15"/>
      <c r="BY918" s="15"/>
      <c r="BZ918" s="15"/>
      <c r="CA918" s="15"/>
      <c r="CB918" s="17"/>
      <c r="CC918" s="17"/>
      <c r="CD918" s="18"/>
      <c r="CE918" s="18"/>
      <c r="CF918" s="18"/>
      <c r="CG918" s="18"/>
      <c r="CH918" s="18"/>
    </row>
    <row r="919">
      <c r="A919" s="15"/>
      <c r="B919" s="16"/>
      <c r="C919" s="15"/>
      <c r="D919" s="9"/>
      <c r="E919" s="15"/>
      <c r="F919" s="15"/>
      <c r="G919" s="13"/>
      <c r="H919" s="13"/>
      <c r="I919" s="13"/>
      <c r="J919" s="13"/>
      <c r="K919" s="13"/>
      <c r="L919" s="13"/>
      <c r="M919" s="13"/>
      <c r="N919" s="13"/>
      <c r="O919" s="13"/>
      <c r="P919" s="13"/>
      <c r="Q919" s="13"/>
      <c r="R919" s="13"/>
      <c r="S919" s="13"/>
      <c r="T919" s="13"/>
      <c r="U919" s="13"/>
      <c r="V919" s="13"/>
      <c r="W919" s="13"/>
      <c r="X919" s="13"/>
      <c r="Y919" s="13"/>
      <c r="Z919" s="13"/>
      <c r="AA919" s="13"/>
      <c r="AB919" s="15"/>
      <c r="AC919" s="15"/>
      <c r="AD919" s="15"/>
      <c r="AE919" s="13"/>
      <c r="AF919" s="13"/>
      <c r="AG919" s="13"/>
      <c r="AH919" s="15"/>
      <c r="AI919" s="13"/>
      <c r="AJ919" s="13"/>
      <c r="AK919" s="13"/>
      <c r="AL919" s="13"/>
      <c r="AM919" s="15"/>
      <c r="AN919" s="13"/>
      <c r="AO919" s="15"/>
      <c r="AP919" s="15"/>
      <c r="AQ919" s="13"/>
      <c r="AR919" s="13"/>
      <c r="AS919" s="13"/>
      <c r="AT919" s="13"/>
      <c r="AU919" s="13"/>
      <c r="AV919" s="13"/>
      <c r="AW919" s="13"/>
      <c r="AX919" s="13"/>
      <c r="AY919" s="15"/>
      <c r="AZ919" s="15"/>
      <c r="BA919" s="16"/>
      <c r="BB919" s="15"/>
      <c r="BC919" s="15"/>
      <c r="BD919" s="13"/>
      <c r="BE919" s="13"/>
      <c r="BF919" s="13"/>
      <c r="BG919" s="13"/>
      <c r="BH919" s="13"/>
      <c r="BI919" s="13"/>
      <c r="BJ919" s="13"/>
      <c r="BK919" s="13"/>
      <c r="BL919" s="13"/>
      <c r="BM919" s="13"/>
      <c r="BN919" s="13"/>
      <c r="BO919" s="13"/>
      <c r="BP919" s="13"/>
      <c r="BQ919" s="15"/>
      <c r="BR919" s="15"/>
      <c r="BS919" s="15"/>
      <c r="BT919" s="15"/>
      <c r="BU919" s="15"/>
      <c r="BV919" s="15"/>
      <c r="BW919" s="15"/>
      <c r="BX919" s="15"/>
      <c r="BY919" s="15"/>
      <c r="BZ919" s="15"/>
      <c r="CA919" s="15"/>
      <c r="CB919" s="17"/>
      <c r="CC919" s="17"/>
      <c r="CD919" s="18"/>
      <c r="CE919" s="18"/>
      <c r="CF919" s="18"/>
      <c r="CG919" s="18"/>
      <c r="CH919" s="18"/>
    </row>
    <row r="920">
      <c r="A920" s="15"/>
      <c r="B920" s="16"/>
      <c r="C920" s="15"/>
      <c r="D920" s="9"/>
      <c r="E920" s="15"/>
      <c r="F920" s="15"/>
      <c r="G920" s="13"/>
      <c r="H920" s="13"/>
      <c r="I920" s="13"/>
      <c r="J920" s="13"/>
      <c r="K920" s="13"/>
      <c r="L920" s="13"/>
      <c r="M920" s="13"/>
      <c r="N920" s="13"/>
      <c r="O920" s="13"/>
      <c r="P920" s="13"/>
      <c r="Q920" s="13"/>
      <c r="R920" s="13"/>
      <c r="S920" s="13"/>
      <c r="T920" s="13"/>
      <c r="U920" s="13"/>
      <c r="V920" s="13"/>
      <c r="W920" s="13"/>
      <c r="X920" s="13"/>
      <c r="Y920" s="13"/>
      <c r="Z920" s="13"/>
      <c r="AA920" s="13"/>
      <c r="AB920" s="15"/>
      <c r="AC920" s="15"/>
      <c r="AD920" s="15"/>
      <c r="AE920" s="13"/>
      <c r="AF920" s="13"/>
      <c r="AG920" s="13"/>
      <c r="AH920" s="15"/>
      <c r="AI920" s="13"/>
      <c r="AJ920" s="13"/>
      <c r="AK920" s="13"/>
      <c r="AL920" s="13"/>
      <c r="AM920" s="15"/>
      <c r="AN920" s="13"/>
      <c r="AO920" s="15"/>
      <c r="AP920" s="15"/>
      <c r="AQ920" s="13"/>
      <c r="AR920" s="13"/>
      <c r="AS920" s="13"/>
      <c r="AT920" s="13"/>
      <c r="AU920" s="13"/>
      <c r="AV920" s="13"/>
      <c r="AW920" s="13"/>
      <c r="AX920" s="13"/>
      <c r="AY920" s="15"/>
      <c r="AZ920" s="15"/>
      <c r="BA920" s="16"/>
      <c r="BB920" s="15"/>
      <c r="BC920" s="15"/>
      <c r="BD920" s="13"/>
      <c r="BE920" s="13"/>
      <c r="BF920" s="13"/>
      <c r="BG920" s="13"/>
      <c r="BH920" s="13"/>
      <c r="BI920" s="13"/>
      <c r="BJ920" s="13"/>
      <c r="BK920" s="13"/>
      <c r="BL920" s="13"/>
      <c r="BM920" s="13"/>
      <c r="BN920" s="13"/>
      <c r="BO920" s="13"/>
      <c r="BP920" s="13"/>
      <c r="BQ920" s="15"/>
      <c r="BR920" s="15"/>
      <c r="BS920" s="15"/>
      <c r="BT920" s="15"/>
      <c r="BU920" s="15"/>
      <c r="BV920" s="15"/>
      <c r="BW920" s="15"/>
      <c r="BX920" s="15"/>
      <c r="BY920" s="15"/>
      <c r="BZ920" s="15"/>
      <c r="CA920" s="15"/>
      <c r="CB920" s="17"/>
      <c r="CC920" s="17"/>
      <c r="CD920" s="18"/>
      <c r="CE920" s="18"/>
      <c r="CF920" s="18"/>
      <c r="CG920" s="18"/>
      <c r="CH920" s="18"/>
    </row>
    <row r="921">
      <c r="A921" s="15"/>
      <c r="B921" s="16"/>
      <c r="C921" s="15"/>
      <c r="D921" s="9"/>
      <c r="E921" s="15"/>
      <c r="F921" s="15"/>
      <c r="G921" s="13"/>
      <c r="H921" s="13"/>
      <c r="I921" s="13"/>
      <c r="J921" s="13"/>
      <c r="K921" s="13"/>
      <c r="L921" s="13"/>
      <c r="M921" s="13"/>
      <c r="N921" s="13"/>
      <c r="O921" s="13"/>
      <c r="P921" s="13"/>
      <c r="Q921" s="13"/>
      <c r="R921" s="13"/>
      <c r="S921" s="13"/>
      <c r="T921" s="13"/>
      <c r="U921" s="13"/>
      <c r="V921" s="13"/>
      <c r="W921" s="13"/>
      <c r="X921" s="13"/>
      <c r="Y921" s="13"/>
      <c r="Z921" s="13"/>
      <c r="AA921" s="13"/>
      <c r="AB921" s="15"/>
      <c r="AC921" s="15"/>
      <c r="AD921" s="15"/>
      <c r="AE921" s="13"/>
      <c r="AF921" s="13"/>
      <c r="AG921" s="13"/>
      <c r="AH921" s="15"/>
      <c r="AI921" s="13"/>
      <c r="AJ921" s="13"/>
      <c r="AK921" s="13"/>
      <c r="AL921" s="13"/>
      <c r="AM921" s="15"/>
      <c r="AN921" s="13"/>
      <c r="AO921" s="15"/>
      <c r="AP921" s="15"/>
      <c r="AQ921" s="13"/>
      <c r="AR921" s="13"/>
      <c r="AS921" s="13"/>
      <c r="AT921" s="13"/>
      <c r="AU921" s="13"/>
      <c r="AV921" s="13"/>
      <c r="AW921" s="13"/>
      <c r="AX921" s="13"/>
      <c r="AY921" s="15"/>
      <c r="AZ921" s="15"/>
      <c r="BA921" s="16"/>
      <c r="BB921" s="15"/>
      <c r="BC921" s="15"/>
      <c r="BD921" s="13"/>
      <c r="BE921" s="13"/>
      <c r="BF921" s="13"/>
      <c r="BG921" s="13"/>
      <c r="BH921" s="13"/>
      <c r="BI921" s="13"/>
      <c r="BJ921" s="13"/>
      <c r="BK921" s="13"/>
      <c r="BL921" s="13"/>
      <c r="BM921" s="13"/>
      <c r="BN921" s="13"/>
      <c r="BO921" s="13"/>
      <c r="BP921" s="13"/>
      <c r="BQ921" s="15"/>
      <c r="BR921" s="15"/>
      <c r="BS921" s="15"/>
      <c r="BT921" s="15"/>
      <c r="BU921" s="15"/>
      <c r="BV921" s="15"/>
      <c r="BW921" s="15"/>
      <c r="BX921" s="15"/>
      <c r="BY921" s="15"/>
      <c r="BZ921" s="15"/>
      <c r="CA921" s="15"/>
      <c r="CB921" s="17"/>
      <c r="CC921" s="17"/>
      <c r="CD921" s="18"/>
      <c r="CE921" s="18"/>
      <c r="CF921" s="18"/>
      <c r="CG921" s="18"/>
      <c r="CH921" s="18"/>
    </row>
    <row r="922">
      <c r="A922" s="15"/>
      <c r="B922" s="16"/>
      <c r="C922" s="15"/>
      <c r="D922" s="9"/>
      <c r="E922" s="15"/>
      <c r="F922" s="15"/>
      <c r="G922" s="13"/>
      <c r="H922" s="13"/>
      <c r="I922" s="13"/>
      <c r="J922" s="13"/>
      <c r="K922" s="13"/>
      <c r="L922" s="13"/>
      <c r="M922" s="13"/>
      <c r="N922" s="13"/>
      <c r="O922" s="13"/>
      <c r="P922" s="13"/>
      <c r="Q922" s="13"/>
      <c r="R922" s="13"/>
      <c r="S922" s="13"/>
      <c r="T922" s="13"/>
      <c r="U922" s="13"/>
      <c r="V922" s="13"/>
      <c r="W922" s="13"/>
      <c r="X922" s="13"/>
      <c r="Y922" s="13"/>
      <c r="Z922" s="13"/>
      <c r="AA922" s="13"/>
      <c r="AB922" s="15"/>
      <c r="AC922" s="15"/>
      <c r="AD922" s="15"/>
      <c r="AE922" s="13"/>
      <c r="AF922" s="13"/>
      <c r="AG922" s="13"/>
      <c r="AH922" s="15"/>
      <c r="AI922" s="13"/>
      <c r="AJ922" s="13"/>
      <c r="AK922" s="13"/>
      <c r="AL922" s="13"/>
      <c r="AM922" s="15"/>
      <c r="AN922" s="13"/>
      <c r="AO922" s="15"/>
      <c r="AP922" s="15"/>
      <c r="AQ922" s="13"/>
      <c r="AR922" s="13"/>
      <c r="AS922" s="13"/>
      <c r="AT922" s="13"/>
      <c r="AU922" s="13"/>
      <c r="AV922" s="13"/>
      <c r="AW922" s="13"/>
      <c r="AX922" s="13"/>
      <c r="AY922" s="15"/>
      <c r="AZ922" s="15"/>
      <c r="BA922" s="16"/>
      <c r="BB922" s="15"/>
      <c r="BC922" s="15"/>
      <c r="BD922" s="13"/>
      <c r="BE922" s="13"/>
      <c r="BF922" s="13"/>
      <c r="BG922" s="13"/>
      <c r="BH922" s="13"/>
      <c r="BI922" s="13"/>
      <c r="BJ922" s="13"/>
      <c r="BK922" s="13"/>
      <c r="BL922" s="13"/>
      <c r="BM922" s="13"/>
      <c r="BN922" s="13"/>
      <c r="BO922" s="13"/>
      <c r="BP922" s="13"/>
      <c r="BQ922" s="15"/>
      <c r="BR922" s="15"/>
      <c r="BS922" s="15"/>
      <c r="BT922" s="15"/>
      <c r="BU922" s="15"/>
      <c r="BV922" s="15"/>
      <c r="BW922" s="15"/>
      <c r="BX922" s="15"/>
      <c r="BY922" s="15"/>
      <c r="BZ922" s="15"/>
      <c r="CA922" s="15"/>
      <c r="CB922" s="17"/>
      <c r="CC922" s="17"/>
      <c r="CD922" s="18"/>
      <c r="CE922" s="18"/>
      <c r="CF922" s="18"/>
      <c r="CG922" s="18"/>
      <c r="CH922" s="18"/>
    </row>
    <row r="923">
      <c r="A923" s="15"/>
      <c r="B923" s="16"/>
      <c r="C923" s="15"/>
      <c r="D923" s="9"/>
      <c r="E923" s="15"/>
      <c r="F923" s="15"/>
      <c r="G923" s="13"/>
      <c r="H923" s="13"/>
      <c r="I923" s="13"/>
      <c r="J923" s="13"/>
      <c r="K923" s="13"/>
      <c r="L923" s="13"/>
      <c r="M923" s="13"/>
      <c r="N923" s="13"/>
      <c r="O923" s="13"/>
      <c r="P923" s="13"/>
      <c r="Q923" s="13"/>
      <c r="R923" s="13"/>
      <c r="S923" s="13"/>
      <c r="T923" s="13"/>
      <c r="U923" s="13"/>
      <c r="V923" s="13"/>
      <c r="W923" s="13"/>
      <c r="X923" s="13"/>
      <c r="Y923" s="13"/>
      <c r="Z923" s="13"/>
      <c r="AA923" s="13"/>
      <c r="AB923" s="15"/>
      <c r="AC923" s="15"/>
      <c r="AD923" s="15"/>
      <c r="AE923" s="13"/>
      <c r="AF923" s="13"/>
      <c r="AG923" s="13"/>
      <c r="AH923" s="15"/>
      <c r="AI923" s="13"/>
      <c r="AJ923" s="13"/>
      <c r="AK923" s="13"/>
      <c r="AL923" s="13"/>
      <c r="AM923" s="15"/>
      <c r="AN923" s="13"/>
      <c r="AO923" s="15"/>
      <c r="AP923" s="15"/>
      <c r="AQ923" s="13"/>
      <c r="AR923" s="13"/>
      <c r="AS923" s="13"/>
      <c r="AT923" s="13"/>
      <c r="AU923" s="13"/>
      <c r="AV923" s="13"/>
      <c r="AW923" s="13"/>
      <c r="AX923" s="13"/>
      <c r="AY923" s="15"/>
      <c r="AZ923" s="15"/>
      <c r="BA923" s="16"/>
      <c r="BB923" s="15"/>
      <c r="BC923" s="15"/>
      <c r="BD923" s="13"/>
      <c r="BE923" s="13"/>
      <c r="BF923" s="13"/>
      <c r="BG923" s="13"/>
      <c r="BH923" s="13"/>
      <c r="BI923" s="13"/>
      <c r="BJ923" s="13"/>
      <c r="BK923" s="13"/>
      <c r="BL923" s="13"/>
      <c r="BM923" s="13"/>
      <c r="BN923" s="13"/>
      <c r="BO923" s="13"/>
      <c r="BP923" s="13"/>
      <c r="BQ923" s="15"/>
      <c r="BR923" s="15"/>
      <c r="BS923" s="15"/>
      <c r="BT923" s="15"/>
      <c r="BU923" s="15"/>
      <c r="BV923" s="15"/>
      <c r="BW923" s="15"/>
      <c r="BX923" s="15"/>
      <c r="BY923" s="15"/>
      <c r="BZ923" s="15"/>
      <c r="CA923" s="15"/>
      <c r="CB923" s="17"/>
      <c r="CC923" s="17"/>
      <c r="CD923" s="18"/>
      <c r="CE923" s="18"/>
      <c r="CF923" s="18"/>
      <c r="CG923" s="18"/>
      <c r="CH923" s="18"/>
    </row>
    <row r="924">
      <c r="A924" s="15"/>
      <c r="B924" s="16"/>
      <c r="C924" s="15"/>
      <c r="D924" s="9"/>
      <c r="E924" s="15"/>
      <c r="F924" s="15"/>
      <c r="G924" s="13"/>
      <c r="H924" s="13"/>
      <c r="I924" s="13"/>
      <c r="J924" s="13"/>
      <c r="K924" s="13"/>
      <c r="L924" s="13"/>
      <c r="M924" s="13"/>
      <c r="N924" s="13"/>
      <c r="O924" s="13"/>
      <c r="P924" s="13"/>
      <c r="Q924" s="13"/>
      <c r="R924" s="13"/>
      <c r="S924" s="13"/>
      <c r="T924" s="13"/>
      <c r="U924" s="13"/>
      <c r="V924" s="13"/>
      <c r="W924" s="13"/>
      <c r="X924" s="13"/>
      <c r="Y924" s="13"/>
      <c r="Z924" s="13"/>
      <c r="AA924" s="13"/>
      <c r="AB924" s="15"/>
      <c r="AC924" s="15"/>
      <c r="AD924" s="15"/>
      <c r="AE924" s="13"/>
      <c r="AF924" s="13"/>
      <c r="AG924" s="13"/>
      <c r="AH924" s="15"/>
      <c r="AI924" s="13"/>
      <c r="AJ924" s="13"/>
      <c r="AK924" s="13"/>
      <c r="AL924" s="13"/>
      <c r="AM924" s="15"/>
      <c r="AN924" s="13"/>
      <c r="AO924" s="15"/>
      <c r="AP924" s="15"/>
      <c r="AQ924" s="13"/>
      <c r="AR924" s="13"/>
      <c r="AS924" s="13"/>
      <c r="AT924" s="13"/>
      <c r="AU924" s="13"/>
      <c r="AV924" s="13"/>
      <c r="AW924" s="13"/>
      <c r="AX924" s="13"/>
      <c r="AY924" s="15"/>
      <c r="AZ924" s="15"/>
      <c r="BA924" s="16"/>
      <c r="BB924" s="15"/>
      <c r="BC924" s="15"/>
      <c r="BD924" s="13"/>
      <c r="BE924" s="13"/>
      <c r="BF924" s="13"/>
      <c r="BG924" s="13"/>
      <c r="BH924" s="13"/>
      <c r="BI924" s="13"/>
      <c r="BJ924" s="13"/>
      <c r="BK924" s="13"/>
      <c r="BL924" s="13"/>
      <c r="BM924" s="13"/>
      <c r="BN924" s="13"/>
      <c r="BO924" s="13"/>
      <c r="BP924" s="13"/>
      <c r="BQ924" s="15"/>
      <c r="BR924" s="15"/>
      <c r="BS924" s="15"/>
      <c r="BT924" s="15"/>
      <c r="BU924" s="15"/>
      <c r="BV924" s="15"/>
      <c r="BW924" s="15"/>
      <c r="BX924" s="15"/>
      <c r="BY924" s="15"/>
      <c r="BZ924" s="15"/>
      <c r="CA924" s="15"/>
      <c r="CB924" s="17"/>
      <c r="CC924" s="17"/>
      <c r="CD924" s="18"/>
      <c r="CE924" s="18"/>
      <c r="CF924" s="18"/>
      <c r="CG924" s="18"/>
      <c r="CH924" s="18"/>
    </row>
    <row r="925">
      <c r="A925" s="15"/>
      <c r="B925" s="16"/>
      <c r="C925" s="15"/>
      <c r="D925" s="9"/>
      <c r="E925" s="15"/>
      <c r="F925" s="15"/>
      <c r="G925" s="13"/>
      <c r="H925" s="13"/>
      <c r="I925" s="13"/>
      <c r="J925" s="13"/>
      <c r="K925" s="13"/>
      <c r="L925" s="13"/>
      <c r="M925" s="13"/>
      <c r="N925" s="13"/>
      <c r="O925" s="13"/>
      <c r="P925" s="13"/>
      <c r="Q925" s="13"/>
      <c r="R925" s="13"/>
      <c r="S925" s="13"/>
      <c r="T925" s="13"/>
      <c r="U925" s="13"/>
      <c r="V925" s="13"/>
      <c r="W925" s="13"/>
      <c r="X925" s="13"/>
      <c r="Y925" s="13"/>
      <c r="Z925" s="13"/>
      <c r="AA925" s="13"/>
      <c r="AB925" s="15"/>
      <c r="AC925" s="15"/>
      <c r="AD925" s="15"/>
      <c r="AE925" s="13"/>
      <c r="AF925" s="13"/>
      <c r="AG925" s="13"/>
      <c r="AH925" s="15"/>
      <c r="AI925" s="13"/>
      <c r="AJ925" s="13"/>
      <c r="AK925" s="13"/>
      <c r="AL925" s="13"/>
      <c r="AM925" s="15"/>
      <c r="AN925" s="13"/>
      <c r="AO925" s="15"/>
      <c r="AP925" s="15"/>
      <c r="AQ925" s="13"/>
      <c r="AR925" s="13"/>
      <c r="AS925" s="13"/>
      <c r="AT925" s="13"/>
      <c r="AU925" s="13"/>
      <c r="AV925" s="13"/>
      <c r="AW925" s="13"/>
      <c r="AX925" s="13"/>
      <c r="AY925" s="15"/>
      <c r="AZ925" s="15"/>
      <c r="BA925" s="16"/>
      <c r="BB925" s="15"/>
      <c r="BC925" s="15"/>
      <c r="BD925" s="13"/>
      <c r="BE925" s="13"/>
      <c r="BF925" s="13"/>
      <c r="BG925" s="13"/>
      <c r="BH925" s="13"/>
      <c r="BI925" s="13"/>
      <c r="BJ925" s="13"/>
      <c r="BK925" s="13"/>
      <c r="BL925" s="13"/>
      <c r="BM925" s="13"/>
      <c r="BN925" s="13"/>
      <c r="BO925" s="13"/>
      <c r="BP925" s="13"/>
      <c r="BQ925" s="15"/>
      <c r="BR925" s="15"/>
      <c r="BS925" s="15"/>
      <c r="BT925" s="15"/>
      <c r="BU925" s="15"/>
      <c r="BV925" s="15"/>
      <c r="BW925" s="15"/>
      <c r="BX925" s="15"/>
      <c r="BY925" s="15"/>
      <c r="BZ925" s="15"/>
      <c r="CA925" s="15"/>
      <c r="CB925" s="17"/>
      <c r="CC925" s="17"/>
      <c r="CD925" s="18"/>
      <c r="CE925" s="18"/>
      <c r="CF925" s="18"/>
      <c r="CG925" s="18"/>
      <c r="CH925" s="18"/>
    </row>
    <row r="926">
      <c r="A926" s="15"/>
      <c r="B926" s="16"/>
      <c r="C926" s="15"/>
      <c r="D926" s="9"/>
      <c r="E926" s="15"/>
      <c r="F926" s="15"/>
      <c r="G926" s="13"/>
      <c r="H926" s="13"/>
      <c r="I926" s="13"/>
      <c r="J926" s="13"/>
      <c r="K926" s="13"/>
      <c r="L926" s="13"/>
      <c r="M926" s="13"/>
      <c r="N926" s="13"/>
      <c r="O926" s="13"/>
      <c r="P926" s="13"/>
      <c r="Q926" s="13"/>
      <c r="R926" s="13"/>
      <c r="S926" s="13"/>
      <c r="T926" s="13"/>
      <c r="U926" s="13"/>
      <c r="V926" s="13"/>
      <c r="W926" s="13"/>
      <c r="X926" s="13"/>
      <c r="Y926" s="13"/>
      <c r="Z926" s="13"/>
      <c r="AA926" s="13"/>
      <c r="AB926" s="15"/>
      <c r="AC926" s="15"/>
      <c r="AD926" s="15"/>
      <c r="AE926" s="13"/>
      <c r="AF926" s="13"/>
      <c r="AG926" s="13"/>
      <c r="AH926" s="15"/>
      <c r="AI926" s="13"/>
      <c r="AJ926" s="13"/>
      <c r="AK926" s="13"/>
      <c r="AL926" s="13"/>
      <c r="AM926" s="15"/>
      <c r="AN926" s="13"/>
      <c r="AO926" s="15"/>
      <c r="AP926" s="15"/>
      <c r="AQ926" s="13"/>
      <c r="AR926" s="13"/>
      <c r="AS926" s="13"/>
      <c r="AT926" s="13"/>
      <c r="AU926" s="13"/>
      <c r="AV926" s="13"/>
      <c r="AW926" s="13"/>
      <c r="AX926" s="13"/>
      <c r="AY926" s="15"/>
      <c r="AZ926" s="15"/>
      <c r="BA926" s="16"/>
      <c r="BB926" s="15"/>
      <c r="BC926" s="15"/>
      <c r="BD926" s="13"/>
      <c r="BE926" s="13"/>
      <c r="BF926" s="13"/>
      <c r="BG926" s="13"/>
      <c r="BH926" s="13"/>
      <c r="BI926" s="13"/>
      <c r="BJ926" s="13"/>
      <c r="BK926" s="13"/>
      <c r="BL926" s="13"/>
      <c r="BM926" s="13"/>
      <c r="BN926" s="13"/>
      <c r="BO926" s="13"/>
      <c r="BP926" s="13"/>
      <c r="BQ926" s="15"/>
      <c r="BR926" s="15"/>
      <c r="BS926" s="15"/>
      <c r="BT926" s="15"/>
      <c r="BU926" s="15"/>
      <c r="BV926" s="15"/>
      <c r="BW926" s="15"/>
      <c r="BX926" s="15"/>
      <c r="BY926" s="15"/>
      <c r="BZ926" s="15"/>
      <c r="CA926" s="15"/>
      <c r="CB926" s="17"/>
      <c r="CC926" s="17"/>
      <c r="CD926" s="18"/>
      <c r="CE926" s="18"/>
      <c r="CF926" s="18"/>
      <c r="CG926" s="18"/>
      <c r="CH926" s="18"/>
    </row>
    <row r="927">
      <c r="A927" s="15"/>
      <c r="B927" s="16"/>
      <c r="C927" s="15"/>
      <c r="D927" s="9"/>
      <c r="E927" s="15"/>
      <c r="F927" s="15"/>
      <c r="G927" s="13"/>
      <c r="H927" s="13"/>
      <c r="I927" s="13"/>
      <c r="J927" s="13"/>
      <c r="K927" s="13"/>
      <c r="L927" s="13"/>
      <c r="M927" s="13"/>
      <c r="N927" s="13"/>
      <c r="O927" s="13"/>
      <c r="P927" s="13"/>
      <c r="Q927" s="13"/>
      <c r="R927" s="13"/>
      <c r="S927" s="13"/>
      <c r="T927" s="13"/>
      <c r="U927" s="13"/>
      <c r="V927" s="13"/>
      <c r="W927" s="13"/>
      <c r="X927" s="13"/>
      <c r="Y927" s="13"/>
      <c r="Z927" s="13"/>
      <c r="AA927" s="13"/>
      <c r="AB927" s="15"/>
      <c r="AC927" s="15"/>
      <c r="AD927" s="15"/>
      <c r="AE927" s="13"/>
      <c r="AF927" s="13"/>
      <c r="AG927" s="13"/>
      <c r="AH927" s="15"/>
      <c r="AI927" s="13"/>
      <c r="AJ927" s="13"/>
      <c r="AK927" s="13"/>
      <c r="AL927" s="13"/>
      <c r="AM927" s="15"/>
      <c r="AN927" s="13"/>
      <c r="AO927" s="15"/>
      <c r="AP927" s="15"/>
      <c r="AQ927" s="13"/>
      <c r="AR927" s="13"/>
      <c r="AS927" s="13"/>
      <c r="AT927" s="13"/>
      <c r="AU927" s="13"/>
      <c r="AV927" s="13"/>
      <c r="AW927" s="13"/>
      <c r="AX927" s="13"/>
      <c r="AY927" s="15"/>
      <c r="AZ927" s="15"/>
      <c r="BA927" s="16"/>
      <c r="BB927" s="15"/>
      <c r="BC927" s="15"/>
      <c r="BD927" s="13"/>
      <c r="BE927" s="13"/>
      <c r="BF927" s="13"/>
      <c r="BG927" s="13"/>
      <c r="BH927" s="13"/>
      <c r="BI927" s="13"/>
      <c r="BJ927" s="13"/>
      <c r="BK927" s="13"/>
      <c r="BL927" s="13"/>
      <c r="BM927" s="13"/>
      <c r="BN927" s="13"/>
      <c r="BO927" s="13"/>
      <c r="BP927" s="13"/>
      <c r="BQ927" s="15"/>
      <c r="BR927" s="15"/>
      <c r="BS927" s="15"/>
      <c r="BT927" s="15"/>
      <c r="BU927" s="15"/>
      <c r="BV927" s="15"/>
      <c r="BW927" s="15"/>
      <c r="BX927" s="15"/>
      <c r="BY927" s="15"/>
      <c r="BZ927" s="15"/>
      <c r="CA927" s="15"/>
      <c r="CB927" s="17"/>
      <c r="CC927" s="17"/>
      <c r="CD927" s="18"/>
      <c r="CE927" s="18"/>
      <c r="CF927" s="18"/>
      <c r="CG927" s="18"/>
      <c r="CH927" s="18"/>
    </row>
    <row r="928">
      <c r="A928" s="15"/>
      <c r="B928" s="16"/>
      <c r="C928" s="15"/>
      <c r="D928" s="9"/>
      <c r="E928" s="15"/>
      <c r="F928" s="15"/>
      <c r="G928" s="13"/>
      <c r="H928" s="13"/>
      <c r="I928" s="13"/>
      <c r="J928" s="13"/>
      <c r="K928" s="13"/>
      <c r="L928" s="13"/>
      <c r="M928" s="13"/>
      <c r="N928" s="13"/>
      <c r="O928" s="13"/>
      <c r="P928" s="13"/>
      <c r="Q928" s="13"/>
      <c r="R928" s="13"/>
      <c r="S928" s="13"/>
      <c r="T928" s="13"/>
      <c r="U928" s="13"/>
      <c r="V928" s="13"/>
      <c r="W928" s="13"/>
      <c r="X928" s="13"/>
      <c r="Y928" s="13"/>
      <c r="Z928" s="13"/>
      <c r="AA928" s="13"/>
      <c r="AB928" s="15"/>
      <c r="AC928" s="15"/>
      <c r="AD928" s="15"/>
      <c r="AE928" s="13"/>
      <c r="AF928" s="13"/>
      <c r="AG928" s="13"/>
      <c r="AH928" s="15"/>
      <c r="AI928" s="13"/>
      <c r="AJ928" s="13"/>
      <c r="AK928" s="13"/>
      <c r="AL928" s="13"/>
      <c r="AM928" s="15"/>
      <c r="AN928" s="13"/>
      <c r="AO928" s="15"/>
      <c r="AP928" s="15"/>
      <c r="AQ928" s="13"/>
      <c r="AR928" s="13"/>
      <c r="AS928" s="13"/>
      <c r="AT928" s="13"/>
      <c r="AU928" s="13"/>
      <c r="AV928" s="13"/>
      <c r="AW928" s="13"/>
      <c r="AX928" s="13"/>
      <c r="AY928" s="15"/>
      <c r="AZ928" s="15"/>
      <c r="BA928" s="16"/>
      <c r="BB928" s="15"/>
      <c r="BC928" s="15"/>
      <c r="BD928" s="13"/>
      <c r="BE928" s="13"/>
      <c r="BF928" s="13"/>
      <c r="BG928" s="13"/>
      <c r="BH928" s="13"/>
      <c r="BI928" s="13"/>
      <c r="BJ928" s="13"/>
      <c r="BK928" s="13"/>
      <c r="BL928" s="13"/>
      <c r="BM928" s="13"/>
      <c r="BN928" s="13"/>
      <c r="BO928" s="13"/>
      <c r="BP928" s="13"/>
      <c r="BQ928" s="15"/>
      <c r="BR928" s="15"/>
      <c r="BS928" s="15"/>
      <c r="BT928" s="15"/>
      <c r="BU928" s="15"/>
      <c r="BV928" s="15"/>
      <c r="BW928" s="15"/>
      <c r="BX928" s="15"/>
      <c r="BY928" s="15"/>
      <c r="BZ928" s="15"/>
      <c r="CA928" s="15"/>
      <c r="CB928" s="17"/>
      <c r="CC928" s="17"/>
      <c r="CD928" s="18"/>
      <c r="CE928" s="18"/>
      <c r="CF928" s="18"/>
      <c r="CG928" s="18"/>
      <c r="CH928" s="18"/>
    </row>
    <row r="929">
      <c r="A929" s="15"/>
      <c r="B929" s="16"/>
      <c r="C929" s="15"/>
      <c r="D929" s="9"/>
      <c r="E929" s="15"/>
      <c r="F929" s="15"/>
      <c r="G929" s="13"/>
      <c r="H929" s="13"/>
      <c r="I929" s="13"/>
      <c r="J929" s="13"/>
      <c r="K929" s="13"/>
      <c r="L929" s="13"/>
      <c r="M929" s="13"/>
      <c r="N929" s="13"/>
      <c r="O929" s="13"/>
      <c r="P929" s="13"/>
      <c r="Q929" s="13"/>
      <c r="R929" s="13"/>
      <c r="S929" s="13"/>
      <c r="T929" s="13"/>
      <c r="U929" s="13"/>
      <c r="V929" s="13"/>
      <c r="W929" s="13"/>
      <c r="X929" s="13"/>
      <c r="Y929" s="13"/>
      <c r="Z929" s="13"/>
      <c r="AA929" s="13"/>
      <c r="AB929" s="15"/>
      <c r="AC929" s="15"/>
      <c r="AD929" s="15"/>
      <c r="AE929" s="13"/>
      <c r="AF929" s="13"/>
      <c r="AG929" s="13"/>
      <c r="AH929" s="15"/>
      <c r="AI929" s="13"/>
      <c r="AJ929" s="13"/>
      <c r="AK929" s="13"/>
      <c r="AL929" s="13"/>
      <c r="AM929" s="15"/>
      <c r="AN929" s="13"/>
      <c r="AO929" s="15"/>
      <c r="AP929" s="15"/>
      <c r="AQ929" s="13"/>
      <c r="AR929" s="13"/>
      <c r="AS929" s="13"/>
      <c r="AT929" s="13"/>
      <c r="AU929" s="13"/>
      <c r="AV929" s="13"/>
      <c r="AW929" s="13"/>
      <c r="AX929" s="13"/>
      <c r="AY929" s="15"/>
      <c r="AZ929" s="15"/>
      <c r="BA929" s="16"/>
      <c r="BB929" s="15"/>
      <c r="BC929" s="15"/>
      <c r="BD929" s="13"/>
      <c r="BE929" s="13"/>
      <c r="BF929" s="13"/>
      <c r="BG929" s="13"/>
      <c r="BH929" s="13"/>
      <c r="BI929" s="13"/>
      <c r="BJ929" s="13"/>
      <c r="BK929" s="13"/>
      <c r="BL929" s="13"/>
      <c r="BM929" s="13"/>
      <c r="BN929" s="13"/>
      <c r="BO929" s="13"/>
      <c r="BP929" s="13"/>
      <c r="BQ929" s="15"/>
      <c r="BR929" s="15"/>
      <c r="BS929" s="15"/>
      <c r="BT929" s="15"/>
      <c r="BU929" s="15"/>
      <c r="BV929" s="15"/>
      <c r="BW929" s="15"/>
      <c r="BX929" s="15"/>
      <c r="BY929" s="15"/>
      <c r="BZ929" s="15"/>
      <c r="CA929" s="15"/>
      <c r="CB929" s="17"/>
      <c r="CC929" s="17"/>
      <c r="CD929" s="18"/>
      <c r="CE929" s="18"/>
      <c r="CF929" s="18"/>
      <c r="CG929" s="18"/>
      <c r="CH929" s="18"/>
    </row>
    <row r="930">
      <c r="A930" s="15"/>
      <c r="B930" s="16"/>
      <c r="C930" s="15"/>
      <c r="D930" s="9"/>
      <c r="E930" s="15"/>
      <c r="F930" s="15"/>
      <c r="G930" s="13"/>
      <c r="H930" s="13"/>
      <c r="I930" s="13"/>
      <c r="J930" s="13"/>
      <c r="K930" s="13"/>
      <c r="L930" s="13"/>
      <c r="M930" s="13"/>
      <c r="N930" s="13"/>
      <c r="O930" s="13"/>
      <c r="P930" s="13"/>
      <c r="Q930" s="13"/>
      <c r="R930" s="13"/>
      <c r="S930" s="13"/>
      <c r="T930" s="13"/>
      <c r="U930" s="13"/>
      <c r="V930" s="13"/>
      <c r="W930" s="13"/>
      <c r="X930" s="13"/>
      <c r="Y930" s="13"/>
      <c r="Z930" s="13"/>
      <c r="AA930" s="13"/>
      <c r="AB930" s="15"/>
      <c r="AC930" s="15"/>
      <c r="AD930" s="15"/>
      <c r="AE930" s="13"/>
      <c r="AF930" s="13"/>
      <c r="AG930" s="13"/>
      <c r="AH930" s="15"/>
      <c r="AI930" s="13"/>
      <c r="AJ930" s="13"/>
      <c r="AK930" s="13"/>
      <c r="AL930" s="13"/>
      <c r="AM930" s="15"/>
      <c r="AN930" s="13"/>
      <c r="AO930" s="15"/>
      <c r="AP930" s="15"/>
      <c r="AQ930" s="13"/>
      <c r="AR930" s="13"/>
      <c r="AS930" s="13"/>
      <c r="AT930" s="13"/>
      <c r="AU930" s="13"/>
      <c r="AV930" s="13"/>
      <c r="AW930" s="13"/>
      <c r="AX930" s="13"/>
      <c r="AY930" s="15"/>
      <c r="AZ930" s="15"/>
      <c r="BA930" s="16"/>
      <c r="BB930" s="15"/>
      <c r="BC930" s="15"/>
      <c r="BD930" s="13"/>
      <c r="BE930" s="13"/>
      <c r="BF930" s="13"/>
      <c r="BG930" s="13"/>
      <c r="BH930" s="13"/>
      <c r="BI930" s="13"/>
      <c r="BJ930" s="13"/>
      <c r="BK930" s="13"/>
      <c r="BL930" s="13"/>
      <c r="BM930" s="13"/>
      <c r="BN930" s="13"/>
      <c r="BO930" s="13"/>
      <c r="BP930" s="13"/>
      <c r="BQ930" s="15"/>
      <c r="BR930" s="15"/>
      <c r="BS930" s="15"/>
      <c r="BT930" s="15"/>
      <c r="BU930" s="15"/>
      <c r="BV930" s="15"/>
      <c r="BW930" s="15"/>
      <c r="BX930" s="15"/>
      <c r="BY930" s="15"/>
      <c r="BZ930" s="15"/>
      <c r="CA930" s="15"/>
      <c r="CB930" s="17"/>
      <c r="CC930" s="17"/>
      <c r="CD930" s="18"/>
      <c r="CE930" s="18"/>
      <c r="CF930" s="18"/>
      <c r="CG930" s="18"/>
      <c r="CH930" s="18"/>
    </row>
    <row r="931">
      <c r="A931" s="15"/>
      <c r="B931" s="16"/>
      <c r="C931" s="15"/>
      <c r="D931" s="9"/>
      <c r="E931" s="15"/>
      <c r="F931" s="15"/>
      <c r="G931" s="13"/>
      <c r="H931" s="13"/>
      <c r="I931" s="13"/>
      <c r="J931" s="13"/>
      <c r="K931" s="13"/>
      <c r="L931" s="13"/>
      <c r="M931" s="13"/>
      <c r="N931" s="13"/>
      <c r="O931" s="13"/>
      <c r="P931" s="13"/>
      <c r="Q931" s="13"/>
      <c r="R931" s="13"/>
      <c r="S931" s="13"/>
      <c r="T931" s="13"/>
      <c r="U931" s="13"/>
      <c r="V931" s="13"/>
      <c r="W931" s="13"/>
      <c r="X931" s="13"/>
      <c r="Y931" s="13"/>
      <c r="Z931" s="13"/>
      <c r="AA931" s="13"/>
      <c r="AB931" s="15"/>
      <c r="AC931" s="15"/>
      <c r="AD931" s="15"/>
      <c r="AE931" s="13"/>
      <c r="AF931" s="13"/>
      <c r="AG931" s="13"/>
      <c r="AH931" s="15"/>
      <c r="AI931" s="13"/>
      <c r="AJ931" s="13"/>
      <c r="AK931" s="13"/>
      <c r="AL931" s="13"/>
      <c r="AM931" s="15"/>
      <c r="AN931" s="13"/>
      <c r="AO931" s="15"/>
      <c r="AP931" s="15"/>
      <c r="AQ931" s="13"/>
      <c r="AR931" s="13"/>
      <c r="AS931" s="13"/>
      <c r="AT931" s="13"/>
      <c r="AU931" s="13"/>
      <c r="AV931" s="13"/>
      <c r="AW931" s="13"/>
      <c r="AX931" s="13"/>
      <c r="AY931" s="15"/>
      <c r="AZ931" s="15"/>
      <c r="BA931" s="16"/>
      <c r="BB931" s="15"/>
      <c r="BC931" s="15"/>
      <c r="BD931" s="13"/>
      <c r="BE931" s="13"/>
      <c r="BF931" s="13"/>
      <c r="BG931" s="13"/>
      <c r="BH931" s="13"/>
      <c r="BI931" s="13"/>
      <c r="BJ931" s="13"/>
      <c r="BK931" s="13"/>
      <c r="BL931" s="13"/>
      <c r="BM931" s="13"/>
      <c r="BN931" s="13"/>
      <c r="BO931" s="13"/>
      <c r="BP931" s="13"/>
      <c r="BQ931" s="15"/>
      <c r="BR931" s="15"/>
      <c r="BS931" s="15"/>
      <c r="BT931" s="15"/>
      <c r="BU931" s="15"/>
      <c r="BV931" s="15"/>
      <c r="BW931" s="15"/>
      <c r="BX931" s="15"/>
      <c r="BY931" s="15"/>
      <c r="BZ931" s="15"/>
      <c r="CA931" s="15"/>
      <c r="CB931" s="17"/>
      <c r="CC931" s="17"/>
      <c r="CD931" s="18"/>
      <c r="CE931" s="18"/>
      <c r="CF931" s="18"/>
      <c r="CG931" s="18"/>
      <c r="CH931" s="18"/>
    </row>
    <row r="932">
      <c r="A932" s="15"/>
      <c r="B932" s="16"/>
      <c r="C932" s="15"/>
      <c r="D932" s="9"/>
      <c r="E932" s="15"/>
      <c r="F932" s="15"/>
      <c r="G932" s="13"/>
      <c r="H932" s="13"/>
      <c r="I932" s="13"/>
      <c r="J932" s="13"/>
      <c r="K932" s="13"/>
      <c r="L932" s="13"/>
      <c r="M932" s="13"/>
      <c r="N932" s="13"/>
      <c r="O932" s="13"/>
      <c r="P932" s="13"/>
      <c r="Q932" s="13"/>
      <c r="R932" s="13"/>
      <c r="S932" s="13"/>
      <c r="T932" s="13"/>
      <c r="U932" s="13"/>
      <c r="V932" s="13"/>
      <c r="W932" s="13"/>
      <c r="X932" s="13"/>
      <c r="Y932" s="13"/>
      <c r="Z932" s="13"/>
      <c r="AA932" s="13"/>
      <c r="AB932" s="15"/>
      <c r="AC932" s="15"/>
      <c r="AD932" s="15"/>
      <c r="AE932" s="13"/>
      <c r="AF932" s="13"/>
      <c r="AG932" s="13"/>
      <c r="AH932" s="15"/>
      <c r="AI932" s="13"/>
      <c r="AJ932" s="13"/>
      <c r="AK932" s="13"/>
      <c r="AL932" s="13"/>
      <c r="AM932" s="15"/>
      <c r="AN932" s="13"/>
      <c r="AO932" s="15"/>
      <c r="AP932" s="15"/>
      <c r="AQ932" s="13"/>
      <c r="AR932" s="13"/>
      <c r="AS932" s="13"/>
      <c r="AT932" s="13"/>
      <c r="AU932" s="13"/>
      <c r="AV932" s="13"/>
      <c r="AW932" s="13"/>
      <c r="AX932" s="13"/>
      <c r="AY932" s="15"/>
      <c r="AZ932" s="15"/>
      <c r="BA932" s="16"/>
      <c r="BB932" s="15"/>
      <c r="BC932" s="15"/>
      <c r="BD932" s="13"/>
      <c r="BE932" s="13"/>
      <c r="BF932" s="13"/>
      <c r="BG932" s="13"/>
      <c r="BH932" s="13"/>
      <c r="BI932" s="13"/>
      <c r="BJ932" s="13"/>
      <c r="BK932" s="13"/>
      <c r="BL932" s="13"/>
      <c r="BM932" s="13"/>
      <c r="BN932" s="13"/>
      <c r="BO932" s="13"/>
      <c r="BP932" s="13"/>
      <c r="BQ932" s="15"/>
      <c r="BR932" s="15"/>
      <c r="BS932" s="15"/>
      <c r="BT932" s="15"/>
      <c r="BU932" s="15"/>
      <c r="BV932" s="15"/>
      <c r="BW932" s="15"/>
      <c r="BX932" s="15"/>
      <c r="BY932" s="15"/>
      <c r="BZ932" s="15"/>
      <c r="CA932" s="15"/>
      <c r="CB932" s="17"/>
      <c r="CC932" s="17"/>
      <c r="CD932" s="18"/>
      <c r="CE932" s="18"/>
      <c r="CF932" s="18"/>
      <c r="CG932" s="18"/>
      <c r="CH932" s="18"/>
    </row>
    <row r="933">
      <c r="A933" s="15"/>
      <c r="B933" s="16"/>
      <c r="C933" s="15"/>
      <c r="D933" s="9"/>
      <c r="E933" s="15"/>
      <c r="F933" s="15"/>
      <c r="G933" s="13"/>
      <c r="H933" s="13"/>
      <c r="I933" s="13"/>
      <c r="J933" s="13"/>
      <c r="K933" s="13"/>
      <c r="L933" s="13"/>
      <c r="M933" s="13"/>
      <c r="N933" s="13"/>
      <c r="O933" s="13"/>
      <c r="P933" s="13"/>
      <c r="Q933" s="13"/>
      <c r="R933" s="13"/>
      <c r="S933" s="13"/>
      <c r="T933" s="13"/>
      <c r="U933" s="13"/>
      <c r="V933" s="13"/>
      <c r="W933" s="13"/>
      <c r="X933" s="13"/>
      <c r="Y933" s="13"/>
      <c r="Z933" s="13"/>
      <c r="AA933" s="13"/>
      <c r="AB933" s="15"/>
      <c r="AC933" s="15"/>
      <c r="AD933" s="15"/>
      <c r="AE933" s="13"/>
      <c r="AF933" s="13"/>
      <c r="AG933" s="13"/>
      <c r="AH933" s="15"/>
      <c r="AI933" s="13"/>
      <c r="AJ933" s="13"/>
      <c r="AK933" s="13"/>
      <c r="AL933" s="13"/>
      <c r="AM933" s="15"/>
      <c r="AN933" s="13"/>
      <c r="AO933" s="15"/>
      <c r="AP933" s="15"/>
      <c r="AQ933" s="13"/>
      <c r="AR933" s="13"/>
      <c r="AS933" s="13"/>
      <c r="AT933" s="13"/>
      <c r="AU933" s="13"/>
      <c r="AV933" s="13"/>
      <c r="AW933" s="13"/>
      <c r="AX933" s="13"/>
      <c r="AY933" s="15"/>
      <c r="AZ933" s="15"/>
      <c r="BA933" s="16"/>
      <c r="BB933" s="15"/>
      <c r="BC933" s="15"/>
      <c r="BD933" s="13"/>
      <c r="BE933" s="13"/>
      <c r="BF933" s="13"/>
      <c r="BG933" s="13"/>
      <c r="BH933" s="13"/>
      <c r="BI933" s="13"/>
      <c r="BJ933" s="13"/>
      <c r="BK933" s="13"/>
      <c r="BL933" s="13"/>
      <c r="BM933" s="13"/>
      <c r="BN933" s="13"/>
      <c r="BO933" s="13"/>
      <c r="BP933" s="13"/>
      <c r="BQ933" s="15"/>
      <c r="BR933" s="15"/>
      <c r="BS933" s="15"/>
      <c r="BT933" s="15"/>
      <c r="BU933" s="15"/>
      <c r="BV933" s="15"/>
      <c r="BW933" s="15"/>
      <c r="BX933" s="15"/>
      <c r="BY933" s="15"/>
      <c r="BZ933" s="15"/>
      <c r="CA933" s="15"/>
      <c r="CB933" s="17"/>
      <c r="CC933" s="17"/>
      <c r="CD933" s="18"/>
      <c r="CE933" s="18"/>
      <c r="CF933" s="18"/>
      <c r="CG933" s="18"/>
      <c r="CH933" s="18"/>
    </row>
    <row r="934">
      <c r="A934" s="15"/>
      <c r="B934" s="16"/>
      <c r="C934" s="15"/>
      <c r="D934" s="9"/>
      <c r="E934" s="15"/>
      <c r="F934" s="15"/>
      <c r="G934" s="13"/>
      <c r="H934" s="13"/>
      <c r="I934" s="13"/>
      <c r="J934" s="13"/>
      <c r="K934" s="13"/>
      <c r="L934" s="13"/>
      <c r="M934" s="13"/>
      <c r="N934" s="13"/>
      <c r="O934" s="13"/>
      <c r="P934" s="13"/>
      <c r="Q934" s="13"/>
      <c r="R934" s="13"/>
      <c r="S934" s="13"/>
      <c r="T934" s="13"/>
      <c r="U934" s="13"/>
      <c r="V934" s="13"/>
      <c r="W934" s="13"/>
      <c r="X934" s="13"/>
      <c r="Y934" s="13"/>
      <c r="Z934" s="13"/>
      <c r="AA934" s="13"/>
      <c r="AB934" s="15"/>
      <c r="AC934" s="15"/>
      <c r="AD934" s="15"/>
      <c r="AE934" s="13"/>
      <c r="AF934" s="13"/>
      <c r="AG934" s="13"/>
      <c r="AH934" s="15"/>
      <c r="AI934" s="13"/>
      <c r="AJ934" s="13"/>
      <c r="AK934" s="13"/>
      <c r="AL934" s="13"/>
      <c r="AM934" s="15"/>
      <c r="AN934" s="13"/>
      <c r="AO934" s="15"/>
      <c r="AP934" s="15"/>
      <c r="AQ934" s="13"/>
      <c r="AR934" s="13"/>
      <c r="AS934" s="13"/>
      <c r="AT934" s="13"/>
      <c r="AU934" s="13"/>
      <c r="AV934" s="13"/>
      <c r="AW934" s="13"/>
      <c r="AX934" s="13"/>
      <c r="AY934" s="15"/>
      <c r="AZ934" s="15"/>
      <c r="BA934" s="16"/>
      <c r="BB934" s="15"/>
      <c r="BC934" s="15"/>
      <c r="BD934" s="13"/>
      <c r="BE934" s="13"/>
      <c r="BF934" s="13"/>
      <c r="BG934" s="13"/>
      <c r="BH934" s="13"/>
      <c r="BI934" s="13"/>
      <c r="BJ934" s="13"/>
      <c r="BK934" s="13"/>
      <c r="BL934" s="13"/>
      <c r="BM934" s="13"/>
      <c r="BN934" s="13"/>
      <c r="BO934" s="13"/>
      <c r="BP934" s="13"/>
      <c r="BQ934" s="15"/>
      <c r="BR934" s="15"/>
      <c r="BS934" s="15"/>
      <c r="BT934" s="15"/>
      <c r="BU934" s="15"/>
      <c r="BV934" s="15"/>
      <c r="BW934" s="15"/>
      <c r="BX934" s="15"/>
      <c r="BY934" s="15"/>
      <c r="BZ934" s="15"/>
      <c r="CA934" s="15"/>
      <c r="CB934" s="17"/>
      <c r="CC934" s="17"/>
      <c r="CD934" s="18"/>
      <c r="CE934" s="18"/>
      <c r="CF934" s="18"/>
      <c r="CG934" s="18"/>
      <c r="CH934" s="18"/>
    </row>
    <row r="935">
      <c r="A935" s="15"/>
      <c r="B935" s="16"/>
      <c r="C935" s="15"/>
      <c r="D935" s="9"/>
      <c r="E935" s="15"/>
      <c r="F935" s="15"/>
      <c r="G935" s="13"/>
      <c r="H935" s="13"/>
      <c r="I935" s="13"/>
      <c r="J935" s="13"/>
      <c r="K935" s="13"/>
      <c r="L935" s="13"/>
      <c r="M935" s="13"/>
      <c r="N935" s="13"/>
      <c r="O935" s="13"/>
      <c r="P935" s="13"/>
      <c r="Q935" s="13"/>
      <c r="R935" s="13"/>
      <c r="S935" s="13"/>
      <c r="T935" s="13"/>
      <c r="U935" s="13"/>
      <c r="V935" s="13"/>
      <c r="W935" s="13"/>
      <c r="X935" s="13"/>
      <c r="Y935" s="13"/>
      <c r="Z935" s="13"/>
      <c r="AA935" s="13"/>
      <c r="AB935" s="15"/>
      <c r="AC935" s="15"/>
      <c r="AD935" s="15"/>
      <c r="AE935" s="13"/>
      <c r="AF935" s="13"/>
      <c r="AG935" s="13"/>
      <c r="AH935" s="15"/>
      <c r="AI935" s="13"/>
      <c r="AJ935" s="13"/>
      <c r="AK935" s="13"/>
      <c r="AL935" s="13"/>
      <c r="AM935" s="15"/>
      <c r="AN935" s="13"/>
      <c r="AO935" s="15"/>
      <c r="AP935" s="15"/>
      <c r="AQ935" s="13"/>
      <c r="AR935" s="13"/>
      <c r="AS935" s="13"/>
      <c r="AT935" s="13"/>
      <c r="AU935" s="13"/>
      <c r="AV935" s="13"/>
      <c r="AW935" s="13"/>
      <c r="AX935" s="13"/>
      <c r="AY935" s="15"/>
      <c r="AZ935" s="15"/>
      <c r="BA935" s="16"/>
      <c r="BB935" s="15"/>
      <c r="BC935" s="15"/>
      <c r="BD935" s="13"/>
      <c r="BE935" s="13"/>
      <c r="BF935" s="13"/>
      <c r="BG935" s="13"/>
      <c r="BH935" s="13"/>
      <c r="BI935" s="13"/>
      <c r="BJ935" s="13"/>
      <c r="BK935" s="13"/>
      <c r="BL935" s="13"/>
      <c r="BM935" s="13"/>
      <c r="BN935" s="13"/>
      <c r="BO935" s="13"/>
      <c r="BP935" s="13"/>
      <c r="BQ935" s="15"/>
      <c r="BR935" s="15"/>
      <c r="BS935" s="15"/>
      <c r="BT935" s="15"/>
      <c r="BU935" s="15"/>
      <c r="BV935" s="15"/>
      <c r="BW935" s="15"/>
      <c r="BX935" s="15"/>
      <c r="BY935" s="15"/>
      <c r="BZ935" s="15"/>
      <c r="CA935" s="15"/>
      <c r="CB935" s="17"/>
      <c r="CC935" s="17"/>
      <c r="CD935" s="18"/>
      <c r="CE935" s="18"/>
      <c r="CF935" s="18"/>
      <c r="CG935" s="18"/>
      <c r="CH935" s="18"/>
    </row>
    <row r="936">
      <c r="A936" s="15"/>
      <c r="B936" s="16"/>
      <c r="C936" s="15"/>
      <c r="D936" s="9"/>
      <c r="E936" s="15"/>
      <c r="F936" s="15"/>
      <c r="G936" s="13"/>
      <c r="H936" s="13"/>
      <c r="I936" s="13"/>
      <c r="J936" s="13"/>
      <c r="K936" s="13"/>
      <c r="L936" s="13"/>
      <c r="M936" s="13"/>
      <c r="N936" s="13"/>
      <c r="O936" s="13"/>
      <c r="P936" s="13"/>
      <c r="Q936" s="13"/>
      <c r="R936" s="13"/>
      <c r="S936" s="13"/>
      <c r="T936" s="13"/>
      <c r="U936" s="13"/>
      <c r="V936" s="13"/>
      <c r="W936" s="13"/>
      <c r="X936" s="13"/>
      <c r="Y936" s="13"/>
      <c r="Z936" s="13"/>
      <c r="AA936" s="13"/>
      <c r="AB936" s="15"/>
      <c r="AC936" s="15"/>
      <c r="AD936" s="15"/>
      <c r="AE936" s="13"/>
      <c r="AF936" s="13"/>
      <c r="AG936" s="13"/>
      <c r="AH936" s="15"/>
      <c r="AI936" s="13"/>
      <c r="AJ936" s="13"/>
      <c r="AK936" s="13"/>
      <c r="AL936" s="13"/>
      <c r="AM936" s="15"/>
      <c r="AN936" s="13"/>
      <c r="AO936" s="15"/>
      <c r="AP936" s="15"/>
      <c r="AQ936" s="13"/>
      <c r="AR936" s="13"/>
      <c r="AS936" s="13"/>
      <c r="AT936" s="13"/>
      <c r="AU936" s="13"/>
      <c r="AV936" s="13"/>
      <c r="AW936" s="13"/>
      <c r="AX936" s="13"/>
      <c r="AY936" s="15"/>
      <c r="AZ936" s="15"/>
      <c r="BA936" s="16"/>
      <c r="BB936" s="15"/>
      <c r="BC936" s="15"/>
      <c r="BD936" s="13"/>
      <c r="BE936" s="13"/>
      <c r="BF936" s="13"/>
      <c r="BG936" s="13"/>
      <c r="BH936" s="13"/>
      <c r="BI936" s="13"/>
      <c r="BJ936" s="13"/>
      <c r="BK936" s="13"/>
      <c r="BL936" s="13"/>
      <c r="BM936" s="13"/>
      <c r="BN936" s="13"/>
      <c r="BO936" s="13"/>
      <c r="BP936" s="13"/>
      <c r="BQ936" s="15"/>
      <c r="BR936" s="15"/>
      <c r="BS936" s="15"/>
      <c r="BT936" s="15"/>
      <c r="BU936" s="15"/>
      <c r="BV936" s="15"/>
      <c r="BW936" s="15"/>
      <c r="BX936" s="15"/>
      <c r="BY936" s="15"/>
      <c r="BZ936" s="15"/>
      <c r="CA936" s="15"/>
      <c r="CB936" s="17"/>
      <c r="CC936" s="17"/>
      <c r="CD936" s="18"/>
      <c r="CE936" s="18"/>
      <c r="CF936" s="18"/>
      <c r="CG936" s="18"/>
      <c r="CH936" s="18"/>
    </row>
    <row r="937">
      <c r="A937" s="15"/>
      <c r="B937" s="16"/>
      <c r="C937" s="15"/>
      <c r="D937" s="9"/>
      <c r="E937" s="15"/>
      <c r="F937" s="15"/>
      <c r="G937" s="13"/>
      <c r="H937" s="13"/>
      <c r="I937" s="13"/>
      <c r="J937" s="13"/>
      <c r="K937" s="13"/>
      <c r="L937" s="13"/>
      <c r="M937" s="13"/>
      <c r="N937" s="13"/>
      <c r="O937" s="13"/>
      <c r="P937" s="13"/>
      <c r="Q937" s="13"/>
      <c r="R937" s="13"/>
      <c r="S937" s="13"/>
      <c r="T937" s="13"/>
      <c r="U937" s="13"/>
      <c r="V937" s="13"/>
      <c r="W937" s="13"/>
      <c r="X937" s="13"/>
      <c r="Y937" s="13"/>
      <c r="Z937" s="13"/>
      <c r="AA937" s="13"/>
      <c r="AB937" s="15"/>
      <c r="AC937" s="15"/>
      <c r="AD937" s="15"/>
      <c r="AE937" s="13"/>
      <c r="AF937" s="13"/>
      <c r="AG937" s="13"/>
      <c r="AH937" s="15"/>
      <c r="AI937" s="13"/>
      <c r="AJ937" s="13"/>
      <c r="AK937" s="13"/>
      <c r="AL937" s="13"/>
      <c r="AM937" s="15"/>
      <c r="AN937" s="13"/>
      <c r="AO937" s="15"/>
      <c r="AP937" s="15"/>
      <c r="AQ937" s="13"/>
      <c r="AR937" s="13"/>
      <c r="AS937" s="13"/>
      <c r="AT937" s="13"/>
      <c r="AU937" s="13"/>
      <c r="AV937" s="13"/>
      <c r="AW937" s="13"/>
      <c r="AX937" s="13"/>
      <c r="AY937" s="15"/>
      <c r="AZ937" s="15"/>
      <c r="BA937" s="16"/>
      <c r="BB937" s="15"/>
      <c r="BC937" s="15"/>
      <c r="BD937" s="13"/>
      <c r="BE937" s="13"/>
      <c r="BF937" s="13"/>
      <c r="BG937" s="13"/>
      <c r="BH937" s="13"/>
      <c r="BI937" s="13"/>
      <c r="BJ937" s="13"/>
      <c r="BK937" s="13"/>
      <c r="BL937" s="13"/>
      <c r="BM937" s="13"/>
      <c r="BN937" s="13"/>
      <c r="BO937" s="13"/>
      <c r="BP937" s="13"/>
      <c r="BQ937" s="15"/>
      <c r="BR937" s="15"/>
      <c r="BS937" s="15"/>
      <c r="BT937" s="15"/>
      <c r="BU937" s="15"/>
      <c r="BV937" s="15"/>
      <c r="BW937" s="15"/>
      <c r="BX937" s="15"/>
      <c r="BY937" s="15"/>
      <c r="BZ937" s="15"/>
      <c r="CA937" s="15"/>
      <c r="CB937" s="17"/>
      <c r="CC937" s="17"/>
      <c r="CD937" s="18"/>
      <c r="CE937" s="18"/>
      <c r="CF937" s="18"/>
      <c r="CG937" s="18"/>
      <c r="CH937" s="18"/>
    </row>
    <row r="938">
      <c r="A938" s="15"/>
      <c r="B938" s="16"/>
      <c r="C938" s="15"/>
      <c r="D938" s="9"/>
      <c r="E938" s="15"/>
      <c r="F938" s="15"/>
      <c r="G938" s="13"/>
      <c r="H938" s="13"/>
      <c r="I938" s="13"/>
      <c r="J938" s="13"/>
      <c r="K938" s="13"/>
      <c r="L938" s="13"/>
      <c r="M938" s="13"/>
      <c r="N938" s="13"/>
      <c r="O938" s="13"/>
      <c r="P938" s="13"/>
      <c r="Q938" s="13"/>
      <c r="R938" s="13"/>
      <c r="S938" s="13"/>
      <c r="T938" s="13"/>
      <c r="U938" s="13"/>
      <c r="V938" s="13"/>
      <c r="W938" s="13"/>
      <c r="X938" s="13"/>
      <c r="Y938" s="13"/>
      <c r="Z938" s="13"/>
      <c r="AA938" s="13"/>
      <c r="AB938" s="15"/>
      <c r="AC938" s="15"/>
      <c r="AD938" s="15"/>
      <c r="AE938" s="13"/>
      <c r="AF938" s="13"/>
      <c r="AG938" s="13"/>
      <c r="AH938" s="15"/>
      <c r="AI938" s="13"/>
      <c r="AJ938" s="13"/>
      <c r="AK938" s="13"/>
      <c r="AL938" s="13"/>
      <c r="AM938" s="15"/>
      <c r="AN938" s="13"/>
      <c r="AO938" s="15"/>
      <c r="AP938" s="15"/>
      <c r="AQ938" s="13"/>
      <c r="AR938" s="13"/>
      <c r="AS938" s="13"/>
      <c r="AT938" s="13"/>
      <c r="AU938" s="13"/>
      <c r="AV938" s="13"/>
      <c r="AW938" s="13"/>
      <c r="AX938" s="13"/>
      <c r="AY938" s="15"/>
      <c r="AZ938" s="15"/>
      <c r="BA938" s="16"/>
      <c r="BB938" s="15"/>
      <c r="BC938" s="15"/>
      <c r="BD938" s="13"/>
      <c r="BE938" s="13"/>
      <c r="BF938" s="13"/>
      <c r="BG938" s="13"/>
      <c r="BH938" s="13"/>
      <c r="BI938" s="13"/>
      <c r="BJ938" s="13"/>
      <c r="BK938" s="13"/>
      <c r="BL938" s="13"/>
      <c r="BM938" s="13"/>
      <c r="BN938" s="13"/>
      <c r="BO938" s="13"/>
      <c r="BP938" s="13"/>
      <c r="BQ938" s="15"/>
      <c r="BR938" s="15"/>
      <c r="BS938" s="15"/>
      <c r="BT938" s="15"/>
      <c r="BU938" s="15"/>
      <c r="BV938" s="15"/>
      <c r="BW938" s="15"/>
      <c r="BX938" s="15"/>
      <c r="BY938" s="15"/>
      <c r="BZ938" s="15"/>
      <c r="CA938" s="15"/>
      <c r="CB938" s="17"/>
      <c r="CC938" s="17"/>
      <c r="CD938" s="18"/>
      <c r="CE938" s="18"/>
      <c r="CF938" s="18"/>
      <c r="CG938" s="18"/>
      <c r="CH938" s="18"/>
    </row>
    <row r="939">
      <c r="A939" s="15"/>
      <c r="B939" s="16"/>
      <c r="C939" s="15"/>
      <c r="D939" s="9"/>
      <c r="E939" s="15"/>
      <c r="F939" s="15"/>
      <c r="G939" s="13"/>
      <c r="H939" s="13"/>
      <c r="I939" s="13"/>
      <c r="J939" s="13"/>
      <c r="K939" s="13"/>
      <c r="L939" s="13"/>
      <c r="M939" s="13"/>
      <c r="N939" s="13"/>
      <c r="O939" s="13"/>
      <c r="P939" s="13"/>
      <c r="Q939" s="13"/>
      <c r="R939" s="13"/>
      <c r="S939" s="13"/>
      <c r="T939" s="13"/>
      <c r="U939" s="13"/>
      <c r="V939" s="13"/>
      <c r="W939" s="13"/>
      <c r="X939" s="13"/>
      <c r="Y939" s="13"/>
      <c r="Z939" s="13"/>
      <c r="AA939" s="13"/>
      <c r="AB939" s="15"/>
      <c r="AC939" s="15"/>
      <c r="AD939" s="15"/>
      <c r="AE939" s="13"/>
      <c r="AF939" s="13"/>
      <c r="AG939" s="13"/>
      <c r="AH939" s="15"/>
      <c r="AI939" s="13"/>
      <c r="AJ939" s="13"/>
      <c r="AK939" s="13"/>
      <c r="AL939" s="13"/>
      <c r="AM939" s="15"/>
      <c r="AN939" s="13"/>
      <c r="AO939" s="15"/>
      <c r="AP939" s="15"/>
      <c r="AQ939" s="13"/>
      <c r="AR939" s="13"/>
      <c r="AS939" s="13"/>
      <c r="AT939" s="13"/>
      <c r="AU939" s="13"/>
      <c r="AV939" s="13"/>
      <c r="AW939" s="13"/>
      <c r="AX939" s="13"/>
      <c r="AY939" s="15"/>
      <c r="AZ939" s="15"/>
      <c r="BA939" s="16"/>
      <c r="BB939" s="15"/>
      <c r="BC939" s="15"/>
      <c r="BD939" s="13"/>
      <c r="BE939" s="13"/>
      <c r="BF939" s="13"/>
      <c r="BG939" s="13"/>
      <c r="BH939" s="13"/>
      <c r="BI939" s="13"/>
      <c r="BJ939" s="13"/>
      <c r="BK939" s="13"/>
      <c r="BL939" s="13"/>
      <c r="BM939" s="13"/>
      <c r="BN939" s="13"/>
      <c r="BO939" s="13"/>
      <c r="BP939" s="13"/>
      <c r="BQ939" s="15"/>
      <c r="BR939" s="15"/>
      <c r="BS939" s="15"/>
      <c r="BT939" s="15"/>
      <c r="BU939" s="15"/>
      <c r="BV939" s="15"/>
      <c r="BW939" s="15"/>
      <c r="BX939" s="15"/>
      <c r="BY939" s="15"/>
      <c r="BZ939" s="15"/>
      <c r="CA939" s="15"/>
      <c r="CB939" s="17"/>
      <c r="CC939" s="17"/>
      <c r="CD939" s="18"/>
      <c r="CE939" s="18"/>
      <c r="CF939" s="18"/>
      <c r="CG939" s="18"/>
      <c r="CH939" s="18"/>
    </row>
    <row r="940">
      <c r="A940" s="15"/>
      <c r="B940" s="16"/>
      <c r="C940" s="15"/>
      <c r="D940" s="9"/>
      <c r="E940" s="15"/>
      <c r="F940" s="15"/>
      <c r="G940" s="13"/>
      <c r="H940" s="13"/>
      <c r="I940" s="13"/>
      <c r="J940" s="13"/>
      <c r="K940" s="13"/>
      <c r="L940" s="13"/>
      <c r="M940" s="13"/>
      <c r="N940" s="13"/>
      <c r="O940" s="13"/>
      <c r="P940" s="13"/>
      <c r="Q940" s="13"/>
      <c r="R940" s="13"/>
      <c r="S940" s="13"/>
      <c r="T940" s="13"/>
      <c r="U940" s="13"/>
      <c r="V940" s="13"/>
      <c r="W940" s="13"/>
      <c r="X940" s="13"/>
      <c r="Y940" s="13"/>
      <c r="Z940" s="13"/>
      <c r="AA940" s="13"/>
      <c r="AB940" s="15"/>
      <c r="AC940" s="15"/>
      <c r="AD940" s="15"/>
      <c r="AE940" s="13"/>
      <c r="AF940" s="13"/>
      <c r="AG940" s="13"/>
      <c r="AH940" s="15"/>
      <c r="AI940" s="13"/>
      <c r="AJ940" s="13"/>
      <c r="AK940" s="13"/>
      <c r="AL940" s="13"/>
      <c r="AM940" s="15"/>
      <c r="AN940" s="13"/>
      <c r="AO940" s="15"/>
      <c r="AP940" s="15"/>
      <c r="AQ940" s="13"/>
      <c r="AR940" s="13"/>
      <c r="AS940" s="13"/>
      <c r="AT940" s="13"/>
      <c r="AU940" s="13"/>
      <c r="AV940" s="13"/>
      <c r="AW940" s="13"/>
      <c r="AX940" s="13"/>
      <c r="AY940" s="15"/>
      <c r="AZ940" s="15"/>
      <c r="BA940" s="16"/>
      <c r="BB940" s="15"/>
      <c r="BC940" s="15"/>
      <c r="BD940" s="13"/>
      <c r="BE940" s="13"/>
      <c r="BF940" s="13"/>
      <c r="BG940" s="13"/>
      <c r="BH940" s="13"/>
      <c r="BI940" s="13"/>
      <c r="BJ940" s="13"/>
      <c r="BK940" s="13"/>
      <c r="BL940" s="13"/>
      <c r="BM940" s="13"/>
      <c r="BN940" s="13"/>
      <c r="BO940" s="13"/>
      <c r="BP940" s="13"/>
      <c r="BQ940" s="15"/>
      <c r="BR940" s="15"/>
      <c r="BS940" s="15"/>
      <c r="BT940" s="15"/>
      <c r="BU940" s="15"/>
      <c r="BV940" s="15"/>
      <c r="BW940" s="15"/>
      <c r="BX940" s="15"/>
      <c r="BY940" s="15"/>
      <c r="BZ940" s="15"/>
      <c r="CA940" s="15"/>
      <c r="CB940" s="17"/>
      <c r="CC940" s="17"/>
      <c r="CD940" s="18"/>
      <c r="CE940" s="18"/>
      <c r="CF940" s="18"/>
      <c r="CG940" s="18"/>
      <c r="CH940" s="18"/>
    </row>
    <row r="941">
      <c r="A941" s="15"/>
      <c r="B941" s="16"/>
      <c r="C941" s="15"/>
      <c r="D941" s="9"/>
      <c r="E941" s="15"/>
      <c r="F941" s="15"/>
      <c r="G941" s="13"/>
      <c r="H941" s="13"/>
      <c r="I941" s="13"/>
      <c r="J941" s="13"/>
      <c r="K941" s="13"/>
      <c r="L941" s="13"/>
      <c r="M941" s="13"/>
      <c r="N941" s="13"/>
      <c r="O941" s="13"/>
      <c r="P941" s="13"/>
      <c r="Q941" s="13"/>
      <c r="R941" s="13"/>
      <c r="S941" s="13"/>
      <c r="T941" s="13"/>
      <c r="U941" s="13"/>
      <c r="V941" s="13"/>
      <c r="W941" s="13"/>
      <c r="X941" s="13"/>
      <c r="Y941" s="13"/>
      <c r="Z941" s="13"/>
      <c r="AA941" s="13"/>
      <c r="AB941" s="15"/>
      <c r="AC941" s="15"/>
      <c r="AD941" s="15"/>
      <c r="AE941" s="13"/>
      <c r="AF941" s="13"/>
      <c r="AG941" s="13"/>
      <c r="AH941" s="15"/>
      <c r="AI941" s="13"/>
      <c r="AJ941" s="13"/>
      <c r="AK941" s="13"/>
      <c r="AL941" s="13"/>
      <c r="AM941" s="15"/>
      <c r="AN941" s="13"/>
      <c r="AO941" s="15"/>
      <c r="AP941" s="15"/>
      <c r="AQ941" s="13"/>
      <c r="AR941" s="13"/>
      <c r="AS941" s="13"/>
      <c r="AT941" s="13"/>
      <c r="AU941" s="13"/>
      <c r="AV941" s="13"/>
      <c r="AW941" s="13"/>
      <c r="AX941" s="13"/>
      <c r="AY941" s="15"/>
      <c r="AZ941" s="15"/>
      <c r="BA941" s="16"/>
      <c r="BB941" s="15"/>
      <c r="BC941" s="15"/>
      <c r="BD941" s="13"/>
      <c r="BE941" s="13"/>
      <c r="BF941" s="13"/>
      <c r="BG941" s="13"/>
      <c r="BH941" s="13"/>
      <c r="BI941" s="13"/>
      <c r="BJ941" s="13"/>
      <c r="BK941" s="13"/>
      <c r="BL941" s="13"/>
      <c r="BM941" s="13"/>
      <c r="BN941" s="13"/>
      <c r="BO941" s="13"/>
      <c r="BP941" s="13"/>
      <c r="BQ941" s="15"/>
      <c r="BR941" s="15"/>
      <c r="BS941" s="15"/>
      <c r="BT941" s="15"/>
      <c r="BU941" s="15"/>
      <c r="BV941" s="15"/>
      <c r="BW941" s="15"/>
      <c r="BX941" s="15"/>
      <c r="BY941" s="15"/>
      <c r="BZ941" s="15"/>
      <c r="CA941" s="15"/>
      <c r="CB941" s="17"/>
      <c r="CC941" s="17"/>
      <c r="CD941" s="18"/>
      <c r="CE941" s="18"/>
      <c r="CF941" s="18"/>
      <c r="CG941" s="18"/>
      <c r="CH941" s="18"/>
    </row>
    <row r="942">
      <c r="A942" s="15"/>
      <c r="B942" s="16"/>
      <c r="C942" s="15"/>
      <c r="D942" s="9"/>
      <c r="E942" s="15"/>
      <c r="F942" s="15"/>
      <c r="G942" s="13"/>
      <c r="H942" s="13"/>
      <c r="I942" s="13"/>
      <c r="J942" s="13"/>
      <c r="K942" s="13"/>
      <c r="L942" s="13"/>
      <c r="M942" s="13"/>
      <c r="N942" s="13"/>
      <c r="O942" s="13"/>
      <c r="P942" s="13"/>
      <c r="Q942" s="13"/>
      <c r="R942" s="13"/>
      <c r="S942" s="13"/>
      <c r="T942" s="13"/>
      <c r="U942" s="13"/>
      <c r="V942" s="13"/>
      <c r="W942" s="13"/>
      <c r="X942" s="13"/>
      <c r="Y942" s="13"/>
      <c r="Z942" s="13"/>
      <c r="AA942" s="13"/>
      <c r="AB942" s="15"/>
      <c r="AC942" s="15"/>
      <c r="AD942" s="15"/>
      <c r="AE942" s="13"/>
      <c r="AF942" s="13"/>
      <c r="AG942" s="13"/>
      <c r="AH942" s="15"/>
      <c r="AI942" s="13"/>
      <c r="AJ942" s="13"/>
      <c r="AK942" s="13"/>
      <c r="AL942" s="13"/>
      <c r="AM942" s="15"/>
      <c r="AN942" s="13"/>
      <c r="AO942" s="15"/>
      <c r="AP942" s="15"/>
      <c r="AQ942" s="13"/>
      <c r="AR942" s="13"/>
      <c r="AS942" s="13"/>
      <c r="AT942" s="13"/>
      <c r="AU942" s="13"/>
      <c r="AV942" s="13"/>
      <c r="AW942" s="13"/>
      <c r="AX942" s="13"/>
      <c r="AY942" s="15"/>
      <c r="AZ942" s="15"/>
      <c r="BA942" s="16"/>
      <c r="BB942" s="15"/>
      <c r="BC942" s="15"/>
      <c r="BD942" s="13"/>
      <c r="BE942" s="13"/>
      <c r="BF942" s="13"/>
      <c r="BG942" s="13"/>
      <c r="BH942" s="13"/>
      <c r="BI942" s="13"/>
      <c r="BJ942" s="13"/>
      <c r="BK942" s="13"/>
      <c r="BL942" s="13"/>
      <c r="BM942" s="13"/>
      <c r="BN942" s="13"/>
      <c r="BO942" s="13"/>
      <c r="BP942" s="13"/>
      <c r="BQ942" s="15"/>
      <c r="BR942" s="15"/>
      <c r="BS942" s="15"/>
      <c r="BT942" s="15"/>
      <c r="BU942" s="15"/>
      <c r="BV942" s="15"/>
      <c r="BW942" s="15"/>
      <c r="BX942" s="15"/>
      <c r="BY942" s="15"/>
      <c r="BZ942" s="15"/>
      <c r="CA942" s="15"/>
      <c r="CB942" s="17"/>
      <c r="CC942" s="17"/>
      <c r="CD942" s="18"/>
      <c r="CE942" s="18"/>
      <c r="CF942" s="18"/>
      <c r="CG942" s="18"/>
      <c r="CH942" s="18"/>
    </row>
    <row r="943">
      <c r="A943" s="15"/>
      <c r="B943" s="16"/>
      <c r="C943" s="15"/>
      <c r="D943" s="9"/>
      <c r="E943" s="15"/>
      <c r="F943" s="15"/>
      <c r="G943" s="13"/>
      <c r="H943" s="13"/>
      <c r="I943" s="13"/>
      <c r="J943" s="13"/>
      <c r="K943" s="13"/>
      <c r="L943" s="13"/>
      <c r="M943" s="13"/>
      <c r="N943" s="13"/>
      <c r="O943" s="13"/>
      <c r="P943" s="13"/>
      <c r="Q943" s="13"/>
      <c r="R943" s="13"/>
      <c r="S943" s="13"/>
      <c r="T943" s="13"/>
      <c r="U943" s="13"/>
      <c r="V943" s="13"/>
      <c r="W943" s="13"/>
      <c r="X943" s="13"/>
      <c r="Y943" s="13"/>
      <c r="Z943" s="13"/>
      <c r="AA943" s="13"/>
      <c r="AB943" s="15"/>
      <c r="AC943" s="15"/>
      <c r="AD943" s="15"/>
      <c r="AE943" s="13"/>
      <c r="AF943" s="13"/>
      <c r="AG943" s="13"/>
      <c r="AH943" s="15"/>
      <c r="AI943" s="13"/>
      <c r="AJ943" s="13"/>
      <c r="AK943" s="13"/>
      <c r="AL943" s="13"/>
      <c r="AM943" s="15"/>
      <c r="AN943" s="13"/>
      <c r="AO943" s="15"/>
      <c r="AP943" s="15"/>
      <c r="AQ943" s="13"/>
      <c r="AR943" s="13"/>
      <c r="AS943" s="13"/>
      <c r="AT943" s="13"/>
      <c r="AU943" s="13"/>
      <c r="AV943" s="13"/>
      <c r="AW943" s="13"/>
      <c r="AX943" s="13"/>
      <c r="AY943" s="15"/>
      <c r="AZ943" s="15"/>
      <c r="BA943" s="16"/>
      <c r="BB943" s="15"/>
      <c r="BC943" s="15"/>
      <c r="BD943" s="13"/>
      <c r="BE943" s="13"/>
      <c r="BF943" s="13"/>
      <c r="BG943" s="13"/>
      <c r="BH943" s="13"/>
      <c r="BI943" s="13"/>
      <c r="BJ943" s="13"/>
      <c r="BK943" s="13"/>
      <c r="BL943" s="13"/>
      <c r="BM943" s="13"/>
      <c r="BN943" s="13"/>
      <c r="BO943" s="13"/>
      <c r="BP943" s="13"/>
      <c r="BQ943" s="15"/>
      <c r="BR943" s="15"/>
      <c r="BS943" s="15"/>
      <c r="BT943" s="15"/>
      <c r="BU943" s="15"/>
      <c r="BV943" s="15"/>
      <c r="BW943" s="15"/>
      <c r="BX943" s="15"/>
      <c r="BY943" s="15"/>
      <c r="BZ943" s="15"/>
      <c r="CA943" s="15"/>
      <c r="CB943" s="17"/>
      <c r="CC943" s="17"/>
      <c r="CD943" s="18"/>
      <c r="CE943" s="18"/>
      <c r="CF943" s="18"/>
      <c r="CG943" s="18"/>
      <c r="CH943" s="18"/>
    </row>
    <row r="944">
      <c r="A944" s="15"/>
      <c r="B944" s="16"/>
      <c r="C944" s="15"/>
      <c r="D944" s="9"/>
      <c r="E944" s="15"/>
      <c r="F944" s="15"/>
      <c r="G944" s="13"/>
      <c r="H944" s="13"/>
      <c r="I944" s="13"/>
      <c r="J944" s="13"/>
      <c r="K944" s="13"/>
      <c r="L944" s="13"/>
      <c r="M944" s="13"/>
      <c r="N944" s="13"/>
      <c r="O944" s="13"/>
      <c r="P944" s="13"/>
      <c r="Q944" s="13"/>
      <c r="R944" s="13"/>
      <c r="S944" s="13"/>
      <c r="T944" s="13"/>
      <c r="U944" s="13"/>
      <c r="V944" s="13"/>
      <c r="W944" s="13"/>
      <c r="X944" s="13"/>
      <c r="Y944" s="13"/>
      <c r="Z944" s="13"/>
      <c r="AA944" s="13"/>
      <c r="AB944" s="15"/>
      <c r="AC944" s="15"/>
      <c r="AD944" s="15"/>
      <c r="AE944" s="13"/>
      <c r="AF944" s="13"/>
      <c r="AG944" s="13"/>
      <c r="AH944" s="15"/>
      <c r="AI944" s="13"/>
      <c r="AJ944" s="13"/>
      <c r="AK944" s="13"/>
      <c r="AL944" s="13"/>
      <c r="AM944" s="15"/>
      <c r="AN944" s="13"/>
      <c r="AO944" s="15"/>
      <c r="AP944" s="15"/>
      <c r="AQ944" s="13"/>
      <c r="AR944" s="13"/>
      <c r="AS944" s="13"/>
      <c r="AT944" s="13"/>
      <c r="AU944" s="13"/>
      <c r="AV944" s="13"/>
      <c r="AW944" s="13"/>
      <c r="AX944" s="13"/>
      <c r="AY944" s="15"/>
      <c r="AZ944" s="15"/>
      <c r="BA944" s="16"/>
      <c r="BB944" s="15"/>
      <c r="BC944" s="15"/>
      <c r="BD944" s="13"/>
      <c r="BE944" s="13"/>
      <c r="BF944" s="13"/>
      <c r="BG944" s="13"/>
      <c r="BH944" s="13"/>
      <c r="BI944" s="13"/>
      <c r="BJ944" s="13"/>
      <c r="BK944" s="13"/>
      <c r="BL944" s="13"/>
      <c r="BM944" s="13"/>
      <c r="BN944" s="13"/>
      <c r="BO944" s="13"/>
      <c r="BP944" s="13"/>
      <c r="BQ944" s="15"/>
      <c r="BR944" s="15"/>
      <c r="BS944" s="15"/>
      <c r="BT944" s="15"/>
      <c r="BU944" s="15"/>
      <c r="BV944" s="15"/>
      <c r="BW944" s="15"/>
      <c r="BX944" s="15"/>
      <c r="BY944" s="15"/>
      <c r="BZ944" s="15"/>
      <c r="CA944" s="15"/>
      <c r="CB944" s="17"/>
      <c r="CC944" s="17"/>
      <c r="CD944" s="18"/>
      <c r="CE944" s="18"/>
      <c r="CF944" s="18"/>
      <c r="CG944" s="18"/>
      <c r="CH944" s="18"/>
    </row>
    <row r="945">
      <c r="A945" s="15"/>
      <c r="B945" s="16"/>
      <c r="C945" s="15"/>
      <c r="D945" s="9"/>
      <c r="E945" s="15"/>
      <c r="F945" s="15"/>
      <c r="G945" s="13"/>
      <c r="H945" s="13"/>
      <c r="I945" s="13"/>
      <c r="J945" s="13"/>
      <c r="K945" s="13"/>
      <c r="L945" s="13"/>
      <c r="M945" s="13"/>
      <c r="N945" s="13"/>
      <c r="O945" s="13"/>
      <c r="P945" s="13"/>
      <c r="Q945" s="13"/>
      <c r="R945" s="13"/>
      <c r="S945" s="13"/>
      <c r="T945" s="13"/>
      <c r="U945" s="13"/>
      <c r="V945" s="13"/>
      <c r="W945" s="13"/>
      <c r="X945" s="13"/>
      <c r="Y945" s="13"/>
      <c r="Z945" s="13"/>
      <c r="AA945" s="13"/>
      <c r="AB945" s="15"/>
      <c r="AC945" s="15"/>
      <c r="AD945" s="15"/>
      <c r="AE945" s="13"/>
      <c r="AF945" s="13"/>
      <c r="AG945" s="13"/>
      <c r="AH945" s="15"/>
      <c r="AI945" s="13"/>
      <c r="AJ945" s="13"/>
      <c r="AK945" s="13"/>
      <c r="AL945" s="13"/>
      <c r="AM945" s="15"/>
      <c r="AN945" s="13"/>
      <c r="AO945" s="15"/>
      <c r="AP945" s="15"/>
      <c r="AQ945" s="13"/>
      <c r="AR945" s="13"/>
      <c r="AS945" s="13"/>
      <c r="AT945" s="13"/>
      <c r="AU945" s="13"/>
      <c r="AV945" s="13"/>
      <c r="AW945" s="13"/>
      <c r="AX945" s="13"/>
      <c r="AY945" s="15"/>
      <c r="AZ945" s="15"/>
      <c r="BA945" s="16"/>
      <c r="BB945" s="15"/>
      <c r="BC945" s="15"/>
      <c r="BD945" s="13"/>
      <c r="BE945" s="13"/>
      <c r="BF945" s="13"/>
      <c r="BG945" s="13"/>
      <c r="BH945" s="13"/>
      <c r="BI945" s="13"/>
      <c r="BJ945" s="13"/>
      <c r="BK945" s="13"/>
      <c r="BL945" s="13"/>
      <c r="BM945" s="13"/>
      <c r="BN945" s="13"/>
      <c r="BO945" s="13"/>
      <c r="BP945" s="13"/>
      <c r="BQ945" s="15"/>
      <c r="BR945" s="15"/>
      <c r="BS945" s="15"/>
      <c r="BT945" s="15"/>
      <c r="BU945" s="15"/>
      <c r="BV945" s="15"/>
      <c r="BW945" s="15"/>
      <c r="BX945" s="15"/>
      <c r="BY945" s="15"/>
      <c r="BZ945" s="15"/>
      <c r="CA945" s="15"/>
      <c r="CB945" s="17"/>
      <c r="CC945" s="17"/>
      <c r="CD945" s="18"/>
      <c r="CE945" s="18"/>
      <c r="CF945" s="18"/>
      <c r="CG945" s="18"/>
      <c r="CH945" s="18"/>
    </row>
    <row r="946">
      <c r="A946" s="15"/>
      <c r="B946" s="16"/>
      <c r="C946" s="15"/>
      <c r="D946" s="9"/>
      <c r="E946" s="15"/>
      <c r="F946" s="15"/>
      <c r="G946" s="13"/>
      <c r="H946" s="13"/>
      <c r="I946" s="13"/>
      <c r="J946" s="13"/>
      <c r="K946" s="13"/>
      <c r="L946" s="13"/>
      <c r="M946" s="13"/>
      <c r="N946" s="13"/>
      <c r="O946" s="13"/>
      <c r="P946" s="13"/>
      <c r="Q946" s="13"/>
      <c r="R946" s="13"/>
      <c r="S946" s="13"/>
      <c r="T946" s="13"/>
      <c r="U946" s="13"/>
      <c r="V946" s="13"/>
      <c r="W946" s="13"/>
      <c r="X946" s="13"/>
      <c r="Y946" s="13"/>
      <c r="Z946" s="13"/>
      <c r="AA946" s="13"/>
      <c r="AB946" s="15"/>
      <c r="AC946" s="15"/>
      <c r="AD946" s="15"/>
      <c r="AE946" s="13"/>
      <c r="AF946" s="13"/>
      <c r="AG946" s="13"/>
      <c r="AH946" s="15"/>
      <c r="AI946" s="13"/>
      <c r="AJ946" s="13"/>
      <c r="AK946" s="13"/>
      <c r="AL946" s="13"/>
      <c r="AM946" s="15"/>
      <c r="AN946" s="13"/>
      <c r="AO946" s="15"/>
      <c r="AP946" s="15"/>
      <c r="AQ946" s="13"/>
      <c r="AR946" s="13"/>
      <c r="AS946" s="13"/>
      <c r="AT946" s="13"/>
      <c r="AU946" s="13"/>
      <c r="AV946" s="13"/>
      <c r="AW946" s="13"/>
      <c r="AX946" s="13"/>
      <c r="AY946" s="15"/>
      <c r="AZ946" s="15"/>
      <c r="BA946" s="16"/>
      <c r="BB946" s="15"/>
      <c r="BC946" s="15"/>
      <c r="BD946" s="13"/>
      <c r="BE946" s="13"/>
      <c r="BF946" s="13"/>
      <c r="BG946" s="13"/>
      <c r="BH946" s="13"/>
      <c r="BI946" s="13"/>
      <c r="BJ946" s="13"/>
      <c r="BK946" s="13"/>
      <c r="BL946" s="13"/>
      <c r="BM946" s="13"/>
      <c r="BN946" s="13"/>
      <c r="BO946" s="13"/>
      <c r="BP946" s="13"/>
      <c r="BQ946" s="15"/>
      <c r="BR946" s="15"/>
      <c r="BS946" s="15"/>
      <c r="BT946" s="15"/>
      <c r="BU946" s="15"/>
      <c r="BV946" s="15"/>
      <c r="BW946" s="15"/>
      <c r="BX946" s="15"/>
      <c r="BY946" s="15"/>
      <c r="BZ946" s="15"/>
      <c r="CA946" s="15"/>
      <c r="CB946" s="17"/>
      <c r="CC946" s="17"/>
      <c r="CD946" s="18"/>
      <c r="CE946" s="18"/>
      <c r="CF946" s="18"/>
      <c r="CG946" s="18"/>
      <c r="CH946" s="18"/>
    </row>
    <row r="947">
      <c r="A947" s="15"/>
      <c r="B947" s="16"/>
      <c r="C947" s="15"/>
      <c r="D947" s="9"/>
      <c r="E947" s="15"/>
      <c r="F947" s="15"/>
      <c r="G947" s="13"/>
      <c r="H947" s="13"/>
      <c r="I947" s="13"/>
      <c r="J947" s="13"/>
      <c r="K947" s="13"/>
      <c r="L947" s="13"/>
      <c r="M947" s="13"/>
      <c r="N947" s="13"/>
      <c r="O947" s="13"/>
      <c r="P947" s="13"/>
      <c r="Q947" s="13"/>
      <c r="R947" s="13"/>
      <c r="S947" s="13"/>
      <c r="T947" s="13"/>
      <c r="U947" s="13"/>
      <c r="V947" s="13"/>
      <c r="W947" s="13"/>
      <c r="X947" s="13"/>
      <c r="Y947" s="13"/>
      <c r="Z947" s="13"/>
      <c r="AA947" s="13"/>
      <c r="AB947" s="15"/>
      <c r="AC947" s="15"/>
      <c r="AD947" s="15"/>
      <c r="AE947" s="13"/>
      <c r="AF947" s="13"/>
      <c r="AG947" s="13"/>
      <c r="AH947" s="15"/>
      <c r="AI947" s="13"/>
      <c r="AJ947" s="13"/>
      <c r="AK947" s="13"/>
      <c r="AL947" s="13"/>
      <c r="AM947" s="15"/>
      <c r="AN947" s="13"/>
      <c r="AO947" s="15"/>
      <c r="AP947" s="15"/>
      <c r="AQ947" s="13"/>
      <c r="AR947" s="13"/>
      <c r="AS947" s="13"/>
      <c r="AT947" s="13"/>
      <c r="AU947" s="13"/>
      <c r="AV947" s="13"/>
      <c r="AW947" s="13"/>
      <c r="AX947" s="13"/>
      <c r="AY947" s="15"/>
      <c r="AZ947" s="15"/>
      <c r="BA947" s="16"/>
      <c r="BB947" s="15"/>
      <c r="BC947" s="15"/>
      <c r="BD947" s="13"/>
      <c r="BE947" s="13"/>
      <c r="BF947" s="13"/>
      <c r="BG947" s="13"/>
      <c r="BH947" s="13"/>
      <c r="BI947" s="13"/>
      <c r="BJ947" s="13"/>
      <c r="BK947" s="13"/>
      <c r="BL947" s="13"/>
      <c r="BM947" s="13"/>
      <c r="BN947" s="13"/>
      <c r="BO947" s="13"/>
      <c r="BP947" s="13"/>
      <c r="BQ947" s="15"/>
      <c r="BR947" s="15"/>
      <c r="BS947" s="15"/>
      <c r="BT947" s="15"/>
      <c r="BU947" s="15"/>
      <c r="BV947" s="15"/>
      <c r="BW947" s="15"/>
      <c r="BX947" s="15"/>
      <c r="BY947" s="15"/>
      <c r="BZ947" s="15"/>
      <c r="CA947" s="15"/>
      <c r="CB947" s="17"/>
      <c r="CC947" s="17"/>
      <c r="CD947" s="18"/>
      <c r="CE947" s="18"/>
      <c r="CF947" s="18"/>
      <c r="CG947" s="18"/>
      <c r="CH947" s="18"/>
    </row>
    <row r="948">
      <c r="A948" s="15"/>
      <c r="B948" s="16"/>
      <c r="C948" s="15"/>
      <c r="D948" s="9"/>
      <c r="E948" s="15"/>
      <c r="F948" s="15"/>
      <c r="G948" s="13"/>
      <c r="H948" s="13"/>
      <c r="I948" s="13"/>
      <c r="J948" s="13"/>
      <c r="K948" s="13"/>
      <c r="L948" s="13"/>
      <c r="M948" s="13"/>
      <c r="N948" s="13"/>
      <c r="O948" s="13"/>
      <c r="P948" s="13"/>
      <c r="Q948" s="13"/>
      <c r="R948" s="13"/>
      <c r="S948" s="13"/>
      <c r="T948" s="13"/>
      <c r="U948" s="13"/>
      <c r="V948" s="13"/>
      <c r="W948" s="13"/>
      <c r="X948" s="13"/>
      <c r="Y948" s="13"/>
      <c r="Z948" s="13"/>
      <c r="AA948" s="13"/>
      <c r="AB948" s="15"/>
      <c r="AC948" s="15"/>
      <c r="AD948" s="15"/>
      <c r="AE948" s="13"/>
      <c r="AF948" s="13"/>
      <c r="AG948" s="13"/>
      <c r="AH948" s="15"/>
      <c r="AI948" s="13"/>
      <c r="AJ948" s="13"/>
      <c r="AK948" s="13"/>
      <c r="AL948" s="13"/>
      <c r="AM948" s="15"/>
      <c r="AN948" s="13"/>
      <c r="AO948" s="15"/>
      <c r="AP948" s="15"/>
      <c r="AQ948" s="13"/>
      <c r="AR948" s="13"/>
      <c r="AS948" s="13"/>
      <c r="AT948" s="13"/>
      <c r="AU948" s="13"/>
      <c r="AV948" s="13"/>
      <c r="AW948" s="13"/>
      <c r="AX948" s="13"/>
      <c r="AY948" s="15"/>
      <c r="AZ948" s="15"/>
      <c r="BA948" s="16"/>
      <c r="BB948" s="15"/>
      <c r="BC948" s="15"/>
      <c r="BD948" s="13"/>
      <c r="BE948" s="13"/>
      <c r="BF948" s="13"/>
      <c r="BG948" s="13"/>
      <c r="BH948" s="13"/>
      <c r="BI948" s="13"/>
      <c r="BJ948" s="13"/>
      <c r="BK948" s="13"/>
      <c r="BL948" s="13"/>
      <c r="BM948" s="13"/>
      <c r="BN948" s="13"/>
      <c r="BO948" s="13"/>
      <c r="BP948" s="13"/>
      <c r="BQ948" s="15"/>
      <c r="BR948" s="15"/>
      <c r="BS948" s="15"/>
      <c r="BT948" s="15"/>
      <c r="BU948" s="15"/>
      <c r="BV948" s="15"/>
      <c r="BW948" s="15"/>
      <c r="BX948" s="15"/>
      <c r="BY948" s="15"/>
      <c r="BZ948" s="15"/>
      <c r="CA948" s="15"/>
      <c r="CB948" s="17"/>
      <c r="CC948" s="17"/>
      <c r="CD948" s="18"/>
      <c r="CE948" s="18"/>
      <c r="CF948" s="18"/>
      <c r="CG948" s="18"/>
      <c r="CH948" s="18"/>
    </row>
    <row r="949">
      <c r="A949" s="15"/>
      <c r="B949" s="16"/>
      <c r="C949" s="15"/>
      <c r="D949" s="9"/>
      <c r="E949" s="15"/>
      <c r="F949" s="15"/>
      <c r="G949" s="13"/>
      <c r="H949" s="13"/>
      <c r="I949" s="13"/>
      <c r="J949" s="13"/>
      <c r="K949" s="13"/>
      <c r="L949" s="13"/>
      <c r="M949" s="13"/>
      <c r="N949" s="13"/>
      <c r="O949" s="13"/>
      <c r="P949" s="13"/>
      <c r="Q949" s="13"/>
      <c r="R949" s="13"/>
      <c r="S949" s="13"/>
      <c r="T949" s="13"/>
      <c r="U949" s="13"/>
      <c r="V949" s="13"/>
      <c r="W949" s="13"/>
      <c r="X949" s="13"/>
      <c r="Y949" s="13"/>
      <c r="Z949" s="13"/>
      <c r="AA949" s="13"/>
      <c r="AB949" s="15"/>
      <c r="AC949" s="15"/>
      <c r="AD949" s="15"/>
      <c r="AE949" s="13"/>
      <c r="AF949" s="13"/>
      <c r="AG949" s="13"/>
      <c r="AH949" s="15"/>
      <c r="AI949" s="13"/>
      <c r="AJ949" s="13"/>
      <c r="AK949" s="13"/>
      <c r="AL949" s="13"/>
      <c r="AM949" s="15"/>
      <c r="AN949" s="13"/>
      <c r="AO949" s="15"/>
      <c r="AP949" s="15"/>
      <c r="AQ949" s="13"/>
      <c r="AR949" s="13"/>
      <c r="AS949" s="13"/>
      <c r="AT949" s="13"/>
      <c r="AU949" s="13"/>
      <c r="AV949" s="13"/>
      <c r="AW949" s="13"/>
      <c r="AX949" s="13"/>
      <c r="AY949" s="15"/>
      <c r="AZ949" s="15"/>
      <c r="BA949" s="16"/>
      <c r="BB949" s="15"/>
      <c r="BC949" s="15"/>
      <c r="BD949" s="13"/>
      <c r="BE949" s="13"/>
      <c r="BF949" s="13"/>
      <c r="BG949" s="13"/>
      <c r="BH949" s="13"/>
      <c r="BI949" s="13"/>
      <c r="BJ949" s="13"/>
      <c r="BK949" s="13"/>
      <c r="BL949" s="13"/>
      <c r="BM949" s="13"/>
      <c r="BN949" s="13"/>
      <c r="BO949" s="13"/>
      <c r="BP949" s="13"/>
      <c r="BQ949" s="15"/>
      <c r="BR949" s="15"/>
      <c r="BS949" s="15"/>
      <c r="BT949" s="15"/>
      <c r="BU949" s="15"/>
      <c r="BV949" s="15"/>
      <c r="BW949" s="15"/>
      <c r="BX949" s="15"/>
      <c r="BY949" s="15"/>
      <c r="BZ949" s="15"/>
      <c r="CA949" s="15"/>
      <c r="CB949" s="17"/>
      <c r="CC949" s="17"/>
      <c r="CD949" s="18"/>
      <c r="CE949" s="18"/>
      <c r="CF949" s="18"/>
      <c r="CG949" s="18"/>
      <c r="CH949" s="18"/>
    </row>
    <row r="950">
      <c r="A950" s="15"/>
      <c r="B950" s="16"/>
      <c r="C950" s="15"/>
      <c r="D950" s="9"/>
      <c r="E950" s="15"/>
      <c r="F950" s="15"/>
      <c r="G950" s="13"/>
      <c r="H950" s="13"/>
      <c r="I950" s="13"/>
      <c r="J950" s="13"/>
      <c r="K950" s="13"/>
      <c r="L950" s="13"/>
      <c r="M950" s="13"/>
      <c r="N950" s="13"/>
      <c r="O950" s="13"/>
      <c r="P950" s="13"/>
      <c r="Q950" s="13"/>
      <c r="R950" s="13"/>
      <c r="S950" s="13"/>
      <c r="T950" s="13"/>
      <c r="U950" s="13"/>
      <c r="V950" s="13"/>
      <c r="W950" s="13"/>
      <c r="X950" s="13"/>
      <c r="Y950" s="13"/>
      <c r="Z950" s="13"/>
      <c r="AA950" s="13"/>
      <c r="AB950" s="15"/>
      <c r="AC950" s="15"/>
      <c r="AD950" s="15"/>
      <c r="AE950" s="13"/>
      <c r="AF950" s="13"/>
      <c r="AG950" s="13"/>
      <c r="AH950" s="15"/>
      <c r="AI950" s="13"/>
      <c r="AJ950" s="13"/>
      <c r="AK950" s="13"/>
      <c r="AL950" s="13"/>
      <c r="AM950" s="15"/>
      <c r="AN950" s="13"/>
      <c r="AO950" s="15"/>
      <c r="AP950" s="15"/>
      <c r="AQ950" s="13"/>
      <c r="AR950" s="13"/>
      <c r="AS950" s="13"/>
      <c r="AT950" s="13"/>
      <c r="AU950" s="13"/>
      <c r="AV950" s="13"/>
      <c r="AW950" s="13"/>
      <c r="AX950" s="13"/>
      <c r="AY950" s="15"/>
      <c r="AZ950" s="15"/>
      <c r="BA950" s="16"/>
      <c r="BB950" s="15"/>
      <c r="BC950" s="15"/>
      <c r="BD950" s="13"/>
      <c r="BE950" s="13"/>
      <c r="BF950" s="13"/>
      <c r="BG950" s="13"/>
      <c r="BH950" s="13"/>
      <c r="BI950" s="13"/>
      <c r="BJ950" s="13"/>
      <c r="BK950" s="13"/>
      <c r="BL950" s="13"/>
      <c r="BM950" s="13"/>
      <c r="BN950" s="13"/>
      <c r="BO950" s="13"/>
      <c r="BP950" s="13"/>
      <c r="BQ950" s="15"/>
      <c r="BR950" s="15"/>
      <c r="BS950" s="15"/>
      <c r="BT950" s="15"/>
      <c r="BU950" s="15"/>
      <c r="BV950" s="15"/>
      <c r="BW950" s="15"/>
      <c r="BX950" s="15"/>
      <c r="BY950" s="15"/>
      <c r="BZ950" s="15"/>
      <c r="CA950" s="15"/>
      <c r="CB950" s="17"/>
      <c r="CC950" s="17"/>
      <c r="CD950" s="18"/>
      <c r="CE950" s="18"/>
      <c r="CF950" s="18"/>
      <c r="CG950" s="18"/>
      <c r="CH950" s="18"/>
    </row>
    <row r="951">
      <c r="A951" s="15"/>
      <c r="B951" s="16"/>
      <c r="C951" s="15"/>
      <c r="D951" s="9"/>
      <c r="E951" s="15"/>
      <c r="F951" s="15"/>
      <c r="G951" s="13"/>
      <c r="H951" s="13"/>
      <c r="I951" s="13"/>
      <c r="J951" s="13"/>
      <c r="K951" s="13"/>
      <c r="L951" s="13"/>
      <c r="M951" s="13"/>
      <c r="N951" s="13"/>
      <c r="O951" s="13"/>
      <c r="P951" s="13"/>
      <c r="Q951" s="13"/>
      <c r="R951" s="13"/>
      <c r="S951" s="13"/>
      <c r="T951" s="13"/>
      <c r="U951" s="13"/>
      <c r="V951" s="13"/>
      <c r="W951" s="13"/>
      <c r="X951" s="13"/>
      <c r="Y951" s="13"/>
      <c r="Z951" s="13"/>
      <c r="AA951" s="13"/>
      <c r="AB951" s="15"/>
      <c r="AC951" s="15"/>
      <c r="AD951" s="15"/>
      <c r="AE951" s="13"/>
      <c r="AF951" s="13"/>
      <c r="AG951" s="13"/>
      <c r="AH951" s="15"/>
      <c r="AI951" s="13"/>
      <c r="AJ951" s="13"/>
      <c r="AK951" s="13"/>
      <c r="AL951" s="13"/>
      <c r="AM951" s="15"/>
      <c r="AN951" s="13"/>
      <c r="AO951" s="15"/>
      <c r="AP951" s="15"/>
      <c r="AQ951" s="13"/>
      <c r="AR951" s="13"/>
      <c r="AS951" s="13"/>
      <c r="AT951" s="13"/>
      <c r="AU951" s="13"/>
      <c r="AV951" s="13"/>
      <c r="AW951" s="13"/>
      <c r="AX951" s="13"/>
      <c r="AY951" s="15"/>
      <c r="AZ951" s="15"/>
      <c r="BA951" s="16"/>
      <c r="BB951" s="15"/>
      <c r="BC951" s="15"/>
      <c r="BD951" s="13"/>
      <c r="BE951" s="13"/>
      <c r="BF951" s="13"/>
      <c r="BG951" s="13"/>
      <c r="BH951" s="13"/>
      <c r="BI951" s="13"/>
      <c r="BJ951" s="13"/>
      <c r="BK951" s="13"/>
      <c r="BL951" s="13"/>
      <c r="BM951" s="13"/>
      <c r="BN951" s="13"/>
      <c r="BO951" s="13"/>
      <c r="BP951" s="13"/>
      <c r="BQ951" s="15"/>
      <c r="BR951" s="15"/>
      <c r="BS951" s="15"/>
      <c r="BT951" s="15"/>
      <c r="BU951" s="15"/>
      <c r="BV951" s="15"/>
      <c r="BW951" s="15"/>
      <c r="BX951" s="15"/>
      <c r="BY951" s="15"/>
      <c r="BZ951" s="15"/>
      <c r="CA951" s="15"/>
      <c r="CB951" s="17"/>
      <c r="CC951" s="17"/>
      <c r="CD951" s="18"/>
      <c r="CE951" s="18"/>
      <c r="CF951" s="18"/>
      <c r="CG951" s="18"/>
      <c r="CH951" s="18"/>
    </row>
    <row r="952">
      <c r="A952" s="15"/>
      <c r="B952" s="16"/>
      <c r="C952" s="15"/>
      <c r="D952" s="9"/>
      <c r="E952" s="15"/>
      <c r="F952" s="15"/>
      <c r="G952" s="13"/>
      <c r="H952" s="13"/>
      <c r="I952" s="13"/>
      <c r="J952" s="13"/>
      <c r="K952" s="13"/>
      <c r="L952" s="13"/>
      <c r="M952" s="13"/>
      <c r="N952" s="13"/>
      <c r="O952" s="13"/>
      <c r="P952" s="13"/>
      <c r="Q952" s="13"/>
      <c r="R952" s="13"/>
      <c r="S952" s="13"/>
      <c r="T952" s="13"/>
      <c r="U952" s="13"/>
      <c r="V952" s="13"/>
      <c r="W952" s="13"/>
      <c r="X952" s="13"/>
      <c r="Y952" s="13"/>
      <c r="Z952" s="13"/>
      <c r="AA952" s="13"/>
      <c r="AB952" s="15"/>
      <c r="AC952" s="15"/>
      <c r="AD952" s="15"/>
      <c r="AE952" s="13"/>
      <c r="AF952" s="13"/>
      <c r="AG952" s="13"/>
      <c r="AH952" s="15"/>
      <c r="AI952" s="13"/>
      <c r="AJ952" s="13"/>
      <c r="AK952" s="13"/>
      <c r="AL952" s="13"/>
      <c r="AM952" s="15"/>
      <c r="AN952" s="13"/>
      <c r="AO952" s="15"/>
      <c r="AP952" s="15"/>
      <c r="AQ952" s="13"/>
      <c r="AR952" s="13"/>
      <c r="AS952" s="13"/>
      <c r="AT952" s="13"/>
      <c r="AU952" s="13"/>
      <c r="AV952" s="13"/>
      <c r="AW952" s="13"/>
      <c r="AX952" s="13"/>
      <c r="AY952" s="15"/>
      <c r="AZ952" s="15"/>
      <c r="BA952" s="16"/>
      <c r="BB952" s="15"/>
      <c r="BC952" s="15"/>
      <c r="BD952" s="13"/>
      <c r="BE952" s="13"/>
      <c r="BF952" s="13"/>
      <c r="BG952" s="13"/>
      <c r="BH952" s="13"/>
      <c r="BI952" s="13"/>
      <c r="BJ952" s="13"/>
      <c r="BK952" s="13"/>
      <c r="BL952" s="13"/>
      <c r="BM952" s="13"/>
      <c r="BN952" s="13"/>
      <c r="BO952" s="13"/>
      <c r="BP952" s="13"/>
      <c r="BQ952" s="15"/>
      <c r="BR952" s="15"/>
      <c r="BS952" s="15"/>
      <c r="BT952" s="15"/>
      <c r="BU952" s="15"/>
      <c r="BV952" s="15"/>
      <c r="BW952" s="15"/>
      <c r="BX952" s="15"/>
      <c r="BY952" s="15"/>
      <c r="BZ952" s="15"/>
      <c r="CA952" s="15"/>
      <c r="CB952" s="17"/>
      <c r="CC952" s="17"/>
      <c r="CD952" s="18"/>
      <c r="CE952" s="18"/>
      <c r="CF952" s="18"/>
      <c r="CG952" s="18"/>
      <c r="CH952" s="18"/>
    </row>
    <row r="953">
      <c r="A953" s="15"/>
      <c r="B953" s="16"/>
      <c r="C953" s="15"/>
      <c r="D953" s="9"/>
      <c r="E953" s="15"/>
      <c r="F953" s="15"/>
      <c r="G953" s="13"/>
      <c r="H953" s="13"/>
      <c r="I953" s="13"/>
      <c r="J953" s="13"/>
      <c r="K953" s="13"/>
      <c r="L953" s="13"/>
      <c r="M953" s="13"/>
      <c r="N953" s="13"/>
      <c r="O953" s="13"/>
      <c r="P953" s="13"/>
      <c r="Q953" s="13"/>
      <c r="R953" s="13"/>
      <c r="S953" s="13"/>
      <c r="T953" s="13"/>
      <c r="U953" s="13"/>
      <c r="V953" s="13"/>
      <c r="W953" s="13"/>
      <c r="X953" s="13"/>
      <c r="Y953" s="13"/>
      <c r="Z953" s="13"/>
      <c r="AA953" s="13"/>
      <c r="AB953" s="15"/>
      <c r="AC953" s="15"/>
      <c r="AD953" s="15"/>
      <c r="AE953" s="13"/>
      <c r="AF953" s="13"/>
      <c r="AG953" s="13"/>
      <c r="AH953" s="15"/>
      <c r="AI953" s="13"/>
      <c r="AJ953" s="13"/>
      <c r="AK953" s="13"/>
      <c r="AL953" s="13"/>
      <c r="AM953" s="15"/>
      <c r="AN953" s="13"/>
      <c r="AO953" s="15"/>
      <c r="AP953" s="15"/>
      <c r="AQ953" s="13"/>
      <c r="AR953" s="13"/>
      <c r="AS953" s="13"/>
      <c r="AT953" s="13"/>
      <c r="AU953" s="13"/>
      <c r="AV953" s="13"/>
      <c r="AW953" s="13"/>
      <c r="AX953" s="13"/>
      <c r="AY953" s="15"/>
      <c r="AZ953" s="15"/>
      <c r="BA953" s="16"/>
      <c r="BB953" s="15"/>
      <c r="BC953" s="15"/>
      <c r="BD953" s="13"/>
      <c r="BE953" s="13"/>
      <c r="BF953" s="13"/>
      <c r="BG953" s="13"/>
      <c r="BH953" s="13"/>
      <c r="BI953" s="13"/>
      <c r="BJ953" s="13"/>
      <c r="BK953" s="13"/>
      <c r="BL953" s="13"/>
      <c r="BM953" s="13"/>
      <c r="BN953" s="13"/>
      <c r="BO953" s="13"/>
      <c r="BP953" s="13"/>
      <c r="BQ953" s="15"/>
      <c r="BR953" s="15"/>
      <c r="BS953" s="15"/>
      <c r="BT953" s="15"/>
      <c r="BU953" s="15"/>
      <c r="BV953" s="15"/>
      <c r="BW953" s="15"/>
      <c r="BX953" s="15"/>
      <c r="BY953" s="15"/>
      <c r="BZ953" s="15"/>
      <c r="CA953" s="15"/>
      <c r="CB953" s="17"/>
      <c r="CC953" s="17"/>
      <c r="CD953" s="18"/>
      <c r="CE953" s="18"/>
      <c r="CF953" s="18"/>
      <c r="CG953" s="18"/>
      <c r="CH953" s="18"/>
    </row>
    <row r="954">
      <c r="A954" s="15"/>
      <c r="B954" s="16"/>
      <c r="C954" s="15"/>
      <c r="D954" s="9"/>
      <c r="E954" s="15"/>
      <c r="F954" s="15"/>
      <c r="G954" s="13"/>
      <c r="H954" s="13"/>
      <c r="I954" s="13"/>
      <c r="J954" s="13"/>
      <c r="K954" s="13"/>
      <c r="L954" s="13"/>
      <c r="M954" s="13"/>
      <c r="N954" s="13"/>
      <c r="O954" s="13"/>
      <c r="P954" s="13"/>
      <c r="Q954" s="13"/>
      <c r="R954" s="13"/>
      <c r="S954" s="13"/>
      <c r="T954" s="13"/>
      <c r="U954" s="13"/>
      <c r="V954" s="13"/>
      <c r="W954" s="13"/>
      <c r="X954" s="13"/>
      <c r="Y954" s="13"/>
      <c r="Z954" s="13"/>
      <c r="AA954" s="13"/>
      <c r="AB954" s="15"/>
      <c r="AC954" s="15"/>
      <c r="AD954" s="15"/>
      <c r="AE954" s="13"/>
      <c r="AF954" s="13"/>
      <c r="AG954" s="13"/>
      <c r="AH954" s="15"/>
      <c r="AI954" s="13"/>
      <c r="AJ954" s="13"/>
      <c r="AK954" s="13"/>
      <c r="AL954" s="13"/>
      <c r="AM954" s="15"/>
      <c r="AN954" s="13"/>
      <c r="AO954" s="15"/>
      <c r="AP954" s="15"/>
      <c r="AQ954" s="13"/>
      <c r="AR954" s="13"/>
      <c r="AS954" s="13"/>
      <c r="AT954" s="13"/>
      <c r="AU954" s="13"/>
      <c r="AV954" s="13"/>
      <c r="AW954" s="13"/>
      <c r="AX954" s="13"/>
      <c r="AY954" s="15"/>
      <c r="AZ954" s="15"/>
      <c r="BA954" s="16"/>
      <c r="BB954" s="15"/>
      <c r="BC954" s="15"/>
      <c r="BD954" s="13"/>
      <c r="BE954" s="13"/>
      <c r="BF954" s="13"/>
      <c r="BG954" s="13"/>
      <c r="BH954" s="13"/>
      <c r="BI954" s="13"/>
      <c r="BJ954" s="13"/>
      <c r="BK954" s="13"/>
      <c r="BL954" s="13"/>
      <c r="BM954" s="13"/>
      <c r="BN954" s="13"/>
      <c r="BO954" s="13"/>
      <c r="BP954" s="13"/>
      <c r="BQ954" s="15"/>
      <c r="BR954" s="15"/>
      <c r="BS954" s="15"/>
      <c r="BT954" s="15"/>
      <c r="BU954" s="15"/>
      <c r="BV954" s="15"/>
      <c r="BW954" s="15"/>
      <c r="BX954" s="15"/>
      <c r="BY954" s="15"/>
      <c r="BZ954" s="15"/>
      <c r="CA954" s="15"/>
      <c r="CB954" s="17"/>
      <c r="CC954" s="17"/>
      <c r="CD954" s="18"/>
      <c r="CE954" s="18"/>
      <c r="CF954" s="18"/>
      <c r="CG954" s="18"/>
      <c r="CH954" s="18"/>
    </row>
    <row r="955">
      <c r="A955" s="15"/>
      <c r="B955" s="16"/>
      <c r="C955" s="15"/>
      <c r="D955" s="9"/>
      <c r="E955" s="15"/>
      <c r="F955" s="15"/>
      <c r="G955" s="13"/>
      <c r="H955" s="13"/>
      <c r="I955" s="13"/>
      <c r="J955" s="13"/>
      <c r="K955" s="13"/>
      <c r="L955" s="13"/>
      <c r="M955" s="13"/>
      <c r="N955" s="13"/>
      <c r="O955" s="13"/>
      <c r="P955" s="13"/>
      <c r="Q955" s="13"/>
      <c r="R955" s="13"/>
      <c r="S955" s="13"/>
      <c r="T955" s="13"/>
      <c r="U955" s="13"/>
      <c r="V955" s="13"/>
      <c r="W955" s="13"/>
      <c r="X955" s="13"/>
      <c r="Y955" s="13"/>
      <c r="Z955" s="13"/>
      <c r="AA955" s="13"/>
      <c r="AB955" s="15"/>
      <c r="AC955" s="15"/>
      <c r="AD955" s="15"/>
      <c r="AE955" s="13"/>
      <c r="AF955" s="13"/>
      <c r="AG955" s="13"/>
      <c r="AH955" s="15"/>
      <c r="AI955" s="13"/>
      <c r="AJ955" s="13"/>
      <c r="AK955" s="13"/>
      <c r="AL955" s="13"/>
      <c r="AM955" s="15"/>
      <c r="AN955" s="13"/>
      <c r="AO955" s="15"/>
      <c r="AP955" s="15"/>
      <c r="AQ955" s="13"/>
      <c r="AR955" s="13"/>
      <c r="AS955" s="13"/>
      <c r="AT955" s="13"/>
      <c r="AU955" s="13"/>
      <c r="AV955" s="13"/>
      <c r="AW955" s="13"/>
      <c r="AX955" s="13"/>
      <c r="AY955" s="15"/>
      <c r="AZ955" s="15"/>
      <c r="BA955" s="16"/>
      <c r="BB955" s="15"/>
      <c r="BC955" s="15"/>
      <c r="BD955" s="13"/>
      <c r="BE955" s="13"/>
      <c r="BF955" s="13"/>
      <c r="BG955" s="13"/>
      <c r="BH955" s="13"/>
      <c r="BI955" s="13"/>
      <c r="BJ955" s="13"/>
      <c r="BK955" s="13"/>
      <c r="BL955" s="13"/>
      <c r="BM955" s="13"/>
      <c r="BN955" s="13"/>
      <c r="BO955" s="13"/>
      <c r="BP955" s="13"/>
      <c r="BQ955" s="15"/>
      <c r="BR955" s="15"/>
      <c r="BS955" s="15"/>
      <c r="BT955" s="15"/>
      <c r="BU955" s="15"/>
      <c r="BV955" s="15"/>
      <c r="BW955" s="15"/>
      <c r="BX955" s="15"/>
      <c r="BY955" s="15"/>
      <c r="BZ955" s="15"/>
      <c r="CA955" s="15"/>
      <c r="CB955" s="17"/>
      <c r="CC955" s="17"/>
      <c r="CD955" s="18"/>
      <c r="CE955" s="18"/>
      <c r="CF955" s="18"/>
      <c r="CG955" s="18"/>
      <c r="CH955" s="18"/>
    </row>
    <row r="956">
      <c r="A956" s="15"/>
      <c r="B956" s="16"/>
      <c r="C956" s="15"/>
      <c r="D956" s="9"/>
      <c r="E956" s="15"/>
      <c r="F956" s="15"/>
      <c r="G956" s="13"/>
      <c r="H956" s="13"/>
      <c r="I956" s="13"/>
      <c r="J956" s="13"/>
      <c r="K956" s="13"/>
      <c r="L956" s="13"/>
      <c r="M956" s="13"/>
      <c r="N956" s="13"/>
      <c r="O956" s="13"/>
      <c r="P956" s="13"/>
      <c r="Q956" s="13"/>
      <c r="R956" s="13"/>
      <c r="S956" s="13"/>
      <c r="T956" s="13"/>
      <c r="U956" s="13"/>
      <c r="V956" s="13"/>
      <c r="W956" s="13"/>
      <c r="X956" s="13"/>
      <c r="Y956" s="13"/>
      <c r="Z956" s="13"/>
      <c r="AA956" s="13"/>
      <c r="AB956" s="15"/>
      <c r="AC956" s="15"/>
      <c r="AD956" s="15"/>
      <c r="AE956" s="13"/>
      <c r="AF956" s="13"/>
      <c r="AG956" s="13"/>
      <c r="AH956" s="15"/>
      <c r="AI956" s="13"/>
      <c r="AJ956" s="13"/>
      <c r="AK956" s="13"/>
      <c r="AL956" s="13"/>
      <c r="AM956" s="15"/>
      <c r="AN956" s="13"/>
      <c r="AO956" s="15"/>
      <c r="AP956" s="15"/>
      <c r="AQ956" s="13"/>
      <c r="AR956" s="13"/>
      <c r="AS956" s="13"/>
      <c r="AT956" s="13"/>
      <c r="AU956" s="13"/>
      <c r="AV956" s="13"/>
      <c r="AW956" s="13"/>
      <c r="AX956" s="13"/>
      <c r="AY956" s="15"/>
      <c r="AZ956" s="15"/>
      <c r="BA956" s="16"/>
      <c r="BB956" s="15"/>
      <c r="BC956" s="15"/>
      <c r="BD956" s="13"/>
      <c r="BE956" s="13"/>
      <c r="BF956" s="13"/>
      <c r="BG956" s="13"/>
      <c r="BH956" s="13"/>
      <c r="BI956" s="13"/>
      <c r="BJ956" s="13"/>
      <c r="BK956" s="13"/>
      <c r="BL956" s="13"/>
      <c r="BM956" s="13"/>
      <c r="BN956" s="13"/>
      <c r="BO956" s="13"/>
      <c r="BP956" s="13"/>
      <c r="BQ956" s="15"/>
      <c r="BR956" s="15"/>
      <c r="BS956" s="15"/>
      <c r="BT956" s="15"/>
      <c r="BU956" s="15"/>
      <c r="BV956" s="15"/>
      <c r="BW956" s="15"/>
      <c r="BX956" s="15"/>
      <c r="BY956" s="15"/>
      <c r="BZ956" s="15"/>
      <c r="CA956" s="15"/>
      <c r="CB956" s="17"/>
      <c r="CC956" s="17"/>
      <c r="CD956" s="18"/>
      <c r="CE956" s="18"/>
      <c r="CF956" s="18"/>
      <c r="CG956" s="18"/>
      <c r="CH956" s="18"/>
    </row>
    <row r="957">
      <c r="A957" s="15"/>
      <c r="B957" s="16"/>
      <c r="C957" s="15"/>
      <c r="D957" s="9"/>
      <c r="E957" s="15"/>
      <c r="F957" s="15"/>
      <c r="G957" s="13"/>
      <c r="H957" s="13"/>
      <c r="I957" s="13"/>
      <c r="J957" s="13"/>
      <c r="K957" s="13"/>
      <c r="L957" s="13"/>
      <c r="M957" s="13"/>
      <c r="N957" s="13"/>
      <c r="O957" s="13"/>
      <c r="P957" s="13"/>
      <c r="Q957" s="13"/>
      <c r="R957" s="13"/>
      <c r="S957" s="13"/>
      <c r="T957" s="13"/>
      <c r="U957" s="13"/>
      <c r="V957" s="13"/>
      <c r="W957" s="13"/>
      <c r="X957" s="13"/>
      <c r="Y957" s="13"/>
      <c r="Z957" s="13"/>
      <c r="AA957" s="13"/>
      <c r="AB957" s="15"/>
      <c r="AC957" s="15"/>
      <c r="AD957" s="15"/>
      <c r="AE957" s="13"/>
      <c r="AF957" s="13"/>
      <c r="AG957" s="13"/>
      <c r="AH957" s="15"/>
      <c r="AI957" s="13"/>
      <c r="AJ957" s="13"/>
      <c r="AK957" s="13"/>
      <c r="AL957" s="13"/>
      <c r="AM957" s="15"/>
      <c r="AN957" s="13"/>
      <c r="AO957" s="15"/>
      <c r="AP957" s="15"/>
      <c r="AQ957" s="13"/>
      <c r="AR957" s="13"/>
      <c r="AS957" s="13"/>
      <c r="AT957" s="13"/>
      <c r="AU957" s="13"/>
      <c r="AV957" s="13"/>
      <c r="AW957" s="13"/>
      <c r="AX957" s="13"/>
      <c r="AY957" s="15"/>
      <c r="AZ957" s="15"/>
      <c r="BA957" s="16"/>
      <c r="BB957" s="15"/>
      <c r="BC957" s="15"/>
      <c r="BD957" s="13"/>
      <c r="BE957" s="13"/>
      <c r="BF957" s="13"/>
      <c r="BG957" s="13"/>
      <c r="BH957" s="13"/>
      <c r="BI957" s="13"/>
      <c r="BJ957" s="13"/>
      <c r="BK957" s="13"/>
      <c r="BL957" s="13"/>
      <c r="BM957" s="13"/>
      <c r="BN957" s="13"/>
      <c r="BO957" s="13"/>
      <c r="BP957" s="13"/>
      <c r="BQ957" s="15"/>
      <c r="BR957" s="15"/>
      <c r="BS957" s="15"/>
      <c r="BT957" s="15"/>
      <c r="BU957" s="15"/>
      <c r="BV957" s="15"/>
      <c r="BW957" s="15"/>
      <c r="BX957" s="15"/>
      <c r="BY957" s="15"/>
      <c r="BZ957" s="15"/>
      <c r="CA957" s="15"/>
      <c r="CB957" s="17"/>
      <c r="CC957" s="17"/>
      <c r="CD957" s="18"/>
      <c r="CE957" s="18"/>
      <c r="CF957" s="18"/>
      <c r="CG957" s="18"/>
      <c r="CH957" s="18"/>
    </row>
    <row r="958">
      <c r="A958" s="15"/>
      <c r="B958" s="16"/>
      <c r="C958" s="15"/>
      <c r="D958" s="9"/>
      <c r="E958" s="15"/>
      <c r="F958" s="15"/>
      <c r="G958" s="13"/>
      <c r="H958" s="13"/>
      <c r="I958" s="13"/>
      <c r="J958" s="13"/>
      <c r="K958" s="13"/>
      <c r="L958" s="13"/>
      <c r="M958" s="13"/>
      <c r="N958" s="13"/>
      <c r="O958" s="13"/>
      <c r="P958" s="13"/>
      <c r="Q958" s="13"/>
      <c r="R958" s="13"/>
      <c r="S958" s="13"/>
      <c r="T958" s="13"/>
      <c r="U958" s="13"/>
      <c r="V958" s="13"/>
      <c r="W958" s="13"/>
      <c r="X958" s="13"/>
      <c r="Y958" s="13"/>
      <c r="Z958" s="13"/>
      <c r="AA958" s="13"/>
      <c r="AB958" s="15"/>
      <c r="AC958" s="15"/>
      <c r="AD958" s="15"/>
      <c r="AE958" s="13"/>
      <c r="AF958" s="13"/>
      <c r="AG958" s="13"/>
      <c r="AH958" s="15"/>
      <c r="AI958" s="13"/>
      <c r="AJ958" s="13"/>
      <c r="AK958" s="13"/>
      <c r="AL958" s="13"/>
      <c r="AM958" s="15"/>
      <c r="AN958" s="13"/>
      <c r="AO958" s="15"/>
      <c r="AP958" s="15"/>
      <c r="AQ958" s="13"/>
      <c r="AR958" s="13"/>
      <c r="AS958" s="13"/>
      <c r="AT958" s="13"/>
      <c r="AU958" s="13"/>
      <c r="AV958" s="13"/>
      <c r="AW958" s="13"/>
      <c r="AX958" s="13"/>
      <c r="AY958" s="15"/>
      <c r="AZ958" s="15"/>
      <c r="BA958" s="16"/>
      <c r="BB958" s="15"/>
      <c r="BC958" s="15"/>
      <c r="BD958" s="13"/>
      <c r="BE958" s="13"/>
      <c r="BF958" s="13"/>
      <c r="BG958" s="13"/>
      <c r="BH958" s="13"/>
      <c r="BI958" s="13"/>
      <c r="BJ958" s="13"/>
      <c r="BK958" s="13"/>
      <c r="BL958" s="13"/>
      <c r="BM958" s="13"/>
      <c r="BN958" s="13"/>
      <c r="BO958" s="13"/>
      <c r="BP958" s="13"/>
      <c r="BQ958" s="15"/>
      <c r="BR958" s="15"/>
      <c r="BS958" s="15"/>
      <c r="BT958" s="15"/>
      <c r="BU958" s="15"/>
      <c r="BV958" s="15"/>
      <c r="BW958" s="15"/>
      <c r="BX958" s="15"/>
      <c r="BY958" s="15"/>
      <c r="BZ958" s="15"/>
      <c r="CA958" s="15"/>
      <c r="CB958" s="17"/>
      <c r="CC958" s="17"/>
      <c r="CD958" s="18"/>
      <c r="CE958" s="18"/>
      <c r="CF958" s="18"/>
      <c r="CG958" s="18"/>
      <c r="CH958" s="18"/>
    </row>
    <row r="959">
      <c r="A959" s="15"/>
      <c r="B959" s="16"/>
      <c r="C959" s="15"/>
      <c r="D959" s="9"/>
      <c r="E959" s="15"/>
      <c r="F959" s="15"/>
      <c r="G959" s="13"/>
      <c r="H959" s="13"/>
      <c r="I959" s="13"/>
      <c r="J959" s="13"/>
      <c r="K959" s="13"/>
      <c r="L959" s="13"/>
      <c r="M959" s="13"/>
      <c r="N959" s="13"/>
      <c r="O959" s="13"/>
      <c r="P959" s="13"/>
      <c r="Q959" s="13"/>
      <c r="R959" s="13"/>
      <c r="S959" s="13"/>
      <c r="T959" s="13"/>
      <c r="U959" s="13"/>
      <c r="V959" s="13"/>
      <c r="W959" s="13"/>
      <c r="X959" s="13"/>
      <c r="Y959" s="13"/>
      <c r="Z959" s="13"/>
      <c r="AA959" s="13"/>
      <c r="AB959" s="15"/>
      <c r="AC959" s="15"/>
      <c r="AD959" s="15"/>
      <c r="AE959" s="13"/>
      <c r="AF959" s="13"/>
      <c r="AG959" s="13"/>
      <c r="AH959" s="15"/>
      <c r="AI959" s="13"/>
      <c r="AJ959" s="13"/>
      <c r="AK959" s="13"/>
      <c r="AL959" s="13"/>
      <c r="AM959" s="15"/>
      <c r="AN959" s="13"/>
      <c r="AO959" s="15"/>
      <c r="AP959" s="15"/>
      <c r="AQ959" s="13"/>
      <c r="AR959" s="13"/>
      <c r="AS959" s="13"/>
      <c r="AT959" s="13"/>
      <c r="AU959" s="13"/>
      <c r="AV959" s="13"/>
      <c r="AW959" s="13"/>
      <c r="AX959" s="13"/>
      <c r="AY959" s="15"/>
      <c r="AZ959" s="15"/>
      <c r="BA959" s="16"/>
      <c r="BB959" s="15"/>
      <c r="BC959" s="15"/>
      <c r="BD959" s="13"/>
      <c r="BE959" s="13"/>
      <c r="BF959" s="13"/>
      <c r="BG959" s="13"/>
      <c r="BH959" s="13"/>
      <c r="BI959" s="13"/>
      <c r="BJ959" s="13"/>
      <c r="BK959" s="13"/>
      <c r="BL959" s="13"/>
      <c r="BM959" s="13"/>
      <c r="BN959" s="13"/>
      <c r="BO959" s="13"/>
      <c r="BP959" s="13"/>
      <c r="BQ959" s="15"/>
      <c r="BR959" s="15"/>
      <c r="BS959" s="15"/>
      <c r="BT959" s="15"/>
      <c r="BU959" s="15"/>
      <c r="BV959" s="15"/>
      <c r="BW959" s="15"/>
      <c r="BX959" s="15"/>
      <c r="BY959" s="15"/>
      <c r="BZ959" s="15"/>
      <c r="CA959" s="15"/>
      <c r="CB959" s="17"/>
      <c r="CC959" s="17"/>
      <c r="CD959" s="18"/>
      <c r="CE959" s="18"/>
      <c r="CF959" s="18"/>
      <c r="CG959" s="18"/>
      <c r="CH959" s="18"/>
    </row>
    <row r="960">
      <c r="A960" s="15"/>
      <c r="B960" s="16"/>
      <c r="C960" s="15"/>
      <c r="D960" s="9"/>
      <c r="E960" s="15"/>
      <c r="F960" s="15"/>
      <c r="G960" s="13"/>
      <c r="H960" s="13"/>
      <c r="I960" s="13"/>
      <c r="J960" s="13"/>
      <c r="K960" s="13"/>
      <c r="L960" s="13"/>
      <c r="M960" s="13"/>
      <c r="N960" s="13"/>
      <c r="O960" s="13"/>
      <c r="P960" s="13"/>
      <c r="Q960" s="13"/>
      <c r="R960" s="13"/>
      <c r="S960" s="13"/>
      <c r="T960" s="13"/>
      <c r="U960" s="13"/>
      <c r="V960" s="13"/>
      <c r="W960" s="13"/>
      <c r="X960" s="13"/>
      <c r="Y960" s="13"/>
      <c r="Z960" s="13"/>
      <c r="AA960" s="13"/>
      <c r="AB960" s="15"/>
      <c r="AC960" s="15"/>
      <c r="AD960" s="15"/>
      <c r="AE960" s="13"/>
      <c r="AF960" s="13"/>
      <c r="AG960" s="13"/>
      <c r="AH960" s="15"/>
      <c r="AI960" s="13"/>
      <c r="AJ960" s="13"/>
      <c r="AK960" s="13"/>
      <c r="AL960" s="13"/>
      <c r="AM960" s="15"/>
      <c r="AN960" s="13"/>
      <c r="AO960" s="15"/>
      <c r="AP960" s="15"/>
      <c r="AQ960" s="13"/>
      <c r="AR960" s="13"/>
      <c r="AS960" s="13"/>
      <c r="AT960" s="13"/>
      <c r="AU960" s="13"/>
      <c r="AV960" s="13"/>
      <c r="AW960" s="13"/>
      <c r="AX960" s="13"/>
      <c r="AY960" s="15"/>
      <c r="AZ960" s="15"/>
      <c r="BA960" s="16"/>
      <c r="BB960" s="15"/>
      <c r="BC960" s="15"/>
      <c r="BD960" s="13"/>
      <c r="BE960" s="13"/>
      <c r="BF960" s="13"/>
      <c r="BG960" s="13"/>
      <c r="BH960" s="13"/>
      <c r="BI960" s="13"/>
      <c r="BJ960" s="13"/>
      <c r="BK960" s="13"/>
      <c r="BL960" s="13"/>
      <c r="BM960" s="13"/>
      <c r="BN960" s="13"/>
      <c r="BO960" s="13"/>
      <c r="BP960" s="13"/>
      <c r="BQ960" s="15"/>
      <c r="BR960" s="15"/>
      <c r="BS960" s="15"/>
      <c r="BT960" s="15"/>
      <c r="BU960" s="15"/>
      <c r="BV960" s="15"/>
      <c r="BW960" s="15"/>
      <c r="BX960" s="15"/>
      <c r="BY960" s="15"/>
      <c r="BZ960" s="15"/>
      <c r="CA960" s="15"/>
      <c r="CB960" s="17"/>
      <c r="CC960" s="17"/>
      <c r="CD960" s="18"/>
      <c r="CE960" s="18"/>
      <c r="CF960" s="18"/>
      <c r="CG960" s="18"/>
      <c r="CH960" s="18"/>
    </row>
    <row r="961">
      <c r="A961" s="15"/>
      <c r="B961" s="16"/>
      <c r="C961" s="15"/>
      <c r="D961" s="9"/>
      <c r="E961" s="15"/>
      <c r="F961" s="15"/>
      <c r="G961" s="13"/>
      <c r="H961" s="13"/>
      <c r="I961" s="13"/>
      <c r="J961" s="13"/>
      <c r="K961" s="13"/>
      <c r="L961" s="13"/>
      <c r="M961" s="13"/>
      <c r="N961" s="13"/>
      <c r="O961" s="13"/>
      <c r="P961" s="13"/>
      <c r="Q961" s="13"/>
      <c r="R961" s="13"/>
      <c r="S961" s="13"/>
      <c r="T961" s="13"/>
      <c r="U961" s="13"/>
      <c r="V961" s="13"/>
      <c r="W961" s="13"/>
      <c r="X961" s="13"/>
      <c r="Y961" s="13"/>
      <c r="Z961" s="13"/>
      <c r="AA961" s="13"/>
      <c r="AB961" s="15"/>
      <c r="AC961" s="15"/>
      <c r="AD961" s="15"/>
      <c r="AE961" s="13"/>
      <c r="AF961" s="13"/>
      <c r="AG961" s="13"/>
      <c r="AH961" s="15"/>
      <c r="AI961" s="13"/>
      <c r="AJ961" s="13"/>
      <c r="AK961" s="13"/>
      <c r="AL961" s="13"/>
      <c r="AM961" s="15"/>
      <c r="AN961" s="13"/>
      <c r="AO961" s="15"/>
      <c r="AP961" s="15"/>
      <c r="AQ961" s="13"/>
      <c r="AR961" s="13"/>
      <c r="AS961" s="13"/>
      <c r="AT961" s="13"/>
      <c r="AU961" s="13"/>
      <c r="AV961" s="13"/>
      <c r="AW961" s="13"/>
      <c r="AX961" s="13"/>
      <c r="AY961" s="15"/>
      <c r="AZ961" s="15"/>
      <c r="BA961" s="16"/>
      <c r="BB961" s="15"/>
      <c r="BC961" s="15"/>
      <c r="BD961" s="13"/>
      <c r="BE961" s="13"/>
      <c r="BF961" s="13"/>
      <c r="BG961" s="13"/>
      <c r="BH961" s="13"/>
      <c r="BI961" s="13"/>
      <c r="BJ961" s="13"/>
      <c r="BK961" s="13"/>
      <c r="BL961" s="13"/>
      <c r="BM961" s="13"/>
      <c r="BN961" s="13"/>
      <c r="BO961" s="13"/>
      <c r="BP961" s="13"/>
      <c r="BQ961" s="15"/>
      <c r="BR961" s="15"/>
      <c r="BS961" s="15"/>
      <c r="BT961" s="15"/>
      <c r="BU961" s="15"/>
      <c r="BV961" s="15"/>
      <c r="BW961" s="15"/>
      <c r="BX961" s="15"/>
      <c r="BY961" s="15"/>
      <c r="BZ961" s="15"/>
      <c r="CA961" s="15"/>
      <c r="CB961" s="17"/>
      <c r="CC961" s="17"/>
      <c r="CD961" s="18"/>
      <c r="CE961" s="18"/>
      <c r="CF961" s="18"/>
      <c r="CG961" s="18"/>
      <c r="CH961" s="18"/>
    </row>
    <row r="962">
      <c r="A962" s="15"/>
      <c r="B962" s="16"/>
      <c r="C962" s="15"/>
      <c r="D962" s="9"/>
      <c r="E962" s="15"/>
      <c r="F962" s="15"/>
      <c r="G962" s="13"/>
      <c r="H962" s="13"/>
      <c r="I962" s="13"/>
      <c r="J962" s="13"/>
      <c r="K962" s="13"/>
      <c r="L962" s="13"/>
      <c r="M962" s="13"/>
      <c r="N962" s="13"/>
      <c r="O962" s="13"/>
      <c r="P962" s="13"/>
      <c r="Q962" s="13"/>
      <c r="R962" s="13"/>
      <c r="S962" s="13"/>
      <c r="T962" s="13"/>
      <c r="U962" s="13"/>
      <c r="V962" s="13"/>
      <c r="W962" s="13"/>
      <c r="X962" s="13"/>
      <c r="Y962" s="13"/>
      <c r="Z962" s="13"/>
      <c r="AA962" s="13"/>
      <c r="AB962" s="15"/>
      <c r="AC962" s="15"/>
      <c r="AD962" s="15"/>
      <c r="AE962" s="13"/>
      <c r="AF962" s="13"/>
      <c r="AG962" s="13"/>
      <c r="AH962" s="15"/>
      <c r="AI962" s="13"/>
      <c r="AJ962" s="13"/>
      <c r="AK962" s="13"/>
      <c r="AL962" s="13"/>
      <c r="AM962" s="15"/>
      <c r="AN962" s="13"/>
      <c r="AO962" s="15"/>
      <c r="AP962" s="15"/>
      <c r="AQ962" s="13"/>
      <c r="AR962" s="13"/>
      <c r="AS962" s="13"/>
      <c r="AT962" s="13"/>
      <c r="AU962" s="13"/>
      <c r="AV962" s="13"/>
      <c r="AW962" s="13"/>
      <c r="AX962" s="13"/>
      <c r="AY962" s="15"/>
      <c r="AZ962" s="15"/>
      <c r="BA962" s="16"/>
      <c r="BB962" s="15"/>
      <c r="BC962" s="15"/>
      <c r="BD962" s="13"/>
      <c r="BE962" s="13"/>
      <c r="BF962" s="13"/>
      <c r="BG962" s="13"/>
      <c r="BH962" s="13"/>
      <c r="BI962" s="13"/>
      <c r="BJ962" s="13"/>
      <c r="BK962" s="13"/>
      <c r="BL962" s="13"/>
      <c r="BM962" s="13"/>
      <c r="BN962" s="13"/>
      <c r="BO962" s="13"/>
      <c r="BP962" s="13"/>
      <c r="BQ962" s="15"/>
      <c r="BR962" s="15"/>
      <c r="BS962" s="15"/>
      <c r="BT962" s="15"/>
      <c r="BU962" s="15"/>
      <c r="BV962" s="15"/>
      <c r="BW962" s="15"/>
      <c r="BX962" s="15"/>
      <c r="BY962" s="15"/>
      <c r="BZ962" s="15"/>
      <c r="CA962" s="15"/>
      <c r="CB962" s="17"/>
      <c r="CC962" s="17"/>
      <c r="CD962" s="18"/>
      <c r="CE962" s="18"/>
      <c r="CF962" s="18"/>
      <c r="CG962" s="18"/>
      <c r="CH962" s="18"/>
    </row>
    <row r="963">
      <c r="A963" s="15"/>
      <c r="B963" s="16"/>
      <c r="C963" s="15"/>
      <c r="D963" s="9"/>
      <c r="E963" s="15"/>
      <c r="F963" s="15"/>
      <c r="G963" s="13"/>
      <c r="H963" s="13"/>
      <c r="I963" s="13"/>
      <c r="J963" s="13"/>
      <c r="K963" s="13"/>
      <c r="L963" s="13"/>
      <c r="M963" s="13"/>
      <c r="N963" s="13"/>
      <c r="O963" s="13"/>
      <c r="P963" s="13"/>
      <c r="Q963" s="13"/>
      <c r="R963" s="13"/>
      <c r="S963" s="13"/>
      <c r="T963" s="13"/>
      <c r="U963" s="13"/>
      <c r="V963" s="13"/>
      <c r="W963" s="13"/>
      <c r="X963" s="13"/>
      <c r="Y963" s="13"/>
      <c r="Z963" s="13"/>
      <c r="AA963" s="13"/>
      <c r="AB963" s="15"/>
      <c r="AC963" s="15"/>
      <c r="AD963" s="15"/>
      <c r="AE963" s="13"/>
      <c r="AF963" s="13"/>
      <c r="AG963" s="13"/>
      <c r="AH963" s="15"/>
      <c r="AI963" s="13"/>
      <c r="AJ963" s="13"/>
      <c r="AK963" s="13"/>
      <c r="AL963" s="13"/>
      <c r="AM963" s="15"/>
      <c r="AN963" s="13"/>
      <c r="AO963" s="15"/>
      <c r="AP963" s="15"/>
      <c r="AQ963" s="13"/>
      <c r="AR963" s="13"/>
      <c r="AS963" s="13"/>
      <c r="AT963" s="13"/>
      <c r="AU963" s="13"/>
      <c r="AV963" s="13"/>
      <c r="AW963" s="13"/>
      <c r="AX963" s="13"/>
      <c r="AY963" s="15"/>
      <c r="AZ963" s="15"/>
      <c r="BA963" s="16"/>
      <c r="BB963" s="15"/>
      <c r="BC963" s="15"/>
      <c r="BD963" s="13"/>
      <c r="BE963" s="13"/>
      <c r="BF963" s="13"/>
      <c r="BG963" s="13"/>
      <c r="BH963" s="13"/>
      <c r="BI963" s="13"/>
      <c r="BJ963" s="13"/>
      <c r="BK963" s="13"/>
      <c r="BL963" s="13"/>
      <c r="BM963" s="13"/>
      <c r="BN963" s="13"/>
      <c r="BO963" s="13"/>
      <c r="BP963" s="13"/>
      <c r="BQ963" s="15"/>
      <c r="BR963" s="15"/>
      <c r="BS963" s="15"/>
      <c r="BT963" s="15"/>
      <c r="BU963" s="15"/>
      <c r="BV963" s="15"/>
      <c r="BW963" s="15"/>
      <c r="BX963" s="15"/>
      <c r="BY963" s="15"/>
      <c r="BZ963" s="15"/>
      <c r="CA963" s="15"/>
      <c r="CB963" s="17"/>
      <c r="CC963" s="17"/>
      <c r="CD963" s="18"/>
      <c r="CE963" s="18"/>
      <c r="CF963" s="18"/>
      <c r="CG963" s="18"/>
      <c r="CH963" s="18"/>
    </row>
    <row r="964">
      <c r="A964" s="15"/>
      <c r="B964" s="16"/>
      <c r="C964" s="15"/>
      <c r="D964" s="9"/>
      <c r="E964" s="15"/>
      <c r="F964" s="15"/>
      <c r="G964" s="13"/>
      <c r="H964" s="13"/>
      <c r="I964" s="13"/>
      <c r="J964" s="13"/>
      <c r="K964" s="13"/>
      <c r="L964" s="13"/>
      <c r="M964" s="13"/>
      <c r="N964" s="13"/>
      <c r="O964" s="13"/>
      <c r="P964" s="13"/>
      <c r="Q964" s="13"/>
      <c r="R964" s="13"/>
      <c r="S964" s="13"/>
      <c r="T964" s="13"/>
      <c r="U964" s="13"/>
      <c r="V964" s="13"/>
      <c r="W964" s="13"/>
      <c r="X964" s="13"/>
      <c r="Y964" s="13"/>
      <c r="Z964" s="13"/>
      <c r="AA964" s="13"/>
      <c r="AB964" s="15"/>
      <c r="AC964" s="15"/>
      <c r="AD964" s="15"/>
      <c r="AE964" s="13"/>
      <c r="AF964" s="13"/>
      <c r="AG964" s="13"/>
      <c r="AH964" s="15"/>
      <c r="AI964" s="13"/>
      <c r="AJ964" s="13"/>
      <c r="AK964" s="13"/>
      <c r="AL964" s="13"/>
      <c r="AM964" s="15"/>
      <c r="AN964" s="13"/>
      <c r="AO964" s="15"/>
      <c r="AP964" s="15"/>
      <c r="AQ964" s="13"/>
      <c r="AR964" s="13"/>
      <c r="AS964" s="13"/>
      <c r="AT964" s="13"/>
      <c r="AU964" s="13"/>
      <c r="AV964" s="13"/>
      <c r="AW964" s="13"/>
      <c r="AX964" s="13"/>
      <c r="AY964" s="15"/>
      <c r="AZ964" s="15"/>
      <c r="BA964" s="16"/>
      <c r="BB964" s="15"/>
      <c r="BC964" s="15"/>
      <c r="BD964" s="13"/>
      <c r="BE964" s="13"/>
      <c r="BF964" s="13"/>
      <c r="BG964" s="13"/>
      <c r="BH964" s="13"/>
      <c r="BI964" s="13"/>
      <c r="BJ964" s="13"/>
      <c r="BK964" s="13"/>
      <c r="BL964" s="13"/>
      <c r="BM964" s="13"/>
      <c r="BN964" s="13"/>
      <c r="BO964" s="13"/>
      <c r="BP964" s="13"/>
      <c r="BQ964" s="15"/>
      <c r="BR964" s="15"/>
      <c r="BS964" s="15"/>
      <c r="BT964" s="15"/>
      <c r="BU964" s="15"/>
      <c r="BV964" s="15"/>
      <c r="BW964" s="15"/>
      <c r="BX964" s="15"/>
      <c r="BY964" s="15"/>
      <c r="BZ964" s="15"/>
      <c r="CA964" s="15"/>
      <c r="CB964" s="17"/>
      <c r="CC964" s="17"/>
      <c r="CD964" s="18"/>
      <c r="CE964" s="18"/>
      <c r="CF964" s="18"/>
      <c r="CG964" s="18"/>
      <c r="CH964" s="18"/>
    </row>
    <row r="965">
      <c r="A965" s="15"/>
      <c r="B965" s="16"/>
      <c r="C965" s="15"/>
      <c r="D965" s="9"/>
      <c r="E965" s="15"/>
      <c r="F965" s="15"/>
      <c r="G965" s="13"/>
      <c r="H965" s="13"/>
      <c r="I965" s="13"/>
      <c r="J965" s="13"/>
      <c r="K965" s="13"/>
      <c r="L965" s="13"/>
      <c r="M965" s="13"/>
      <c r="N965" s="13"/>
      <c r="O965" s="13"/>
      <c r="P965" s="13"/>
      <c r="Q965" s="13"/>
      <c r="R965" s="13"/>
      <c r="S965" s="13"/>
      <c r="T965" s="13"/>
      <c r="U965" s="13"/>
      <c r="V965" s="13"/>
      <c r="W965" s="13"/>
      <c r="X965" s="13"/>
      <c r="Y965" s="13"/>
      <c r="Z965" s="13"/>
      <c r="AA965" s="13"/>
      <c r="AB965" s="15"/>
      <c r="AC965" s="15"/>
      <c r="AD965" s="15"/>
      <c r="AE965" s="13"/>
      <c r="AF965" s="13"/>
      <c r="AG965" s="13"/>
      <c r="AH965" s="15"/>
      <c r="AI965" s="13"/>
      <c r="AJ965" s="13"/>
      <c r="AK965" s="13"/>
      <c r="AL965" s="13"/>
      <c r="AM965" s="15"/>
      <c r="AN965" s="13"/>
      <c r="AO965" s="15"/>
      <c r="AP965" s="15"/>
      <c r="AQ965" s="13"/>
      <c r="AR965" s="13"/>
      <c r="AS965" s="13"/>
      <c r="AT965" s="13"/>
      <c r="AU965" s="13"/>
      <c r="AV965" s="13"/>
      <c r="AW965" s="13"/>
      <c r="AX965" s="13"/>
      <c r="AY965" s="15"/>
      <c r="AZ965" s="15"/>
      <c r="BA965" s="16"/>
      <c r="BB965" s="15"/>
      <c r="BC965" s="15"/>
      <c r="BD965" s="13"/>
      <c r="BE965" s="13"/>
      <c r="BF965" s="13"/>
      <c r="BG965" s="13"/>
      <c r="BH965" s="13"/>
      <c r="BI965" s="13"/>
      <c r="BJ965" s="13"/>
      <c r="BK965" s="13"/>
      <c r="BL965" s="13"/>
      <c r="BM965" s="13"/>
      <c r="BN965" s="13"/>
      <c r="BO965" s="13"/>
      <c r="BP965" s="13"/>
      <c r="BQ965" s="15"/>
      <c r="BR965" s="15"/>
      <c r="BS965" s="15"/>
      <c r="BT965" s="15"/>
      <c r="BU965" s="15"/>
      <c r="BV965" s="15"/>
      <c r="BW965" s="15"/>
      <c r="BX965" s="15"/>
      <c r="BY965" s="15"/>
      <c r="BZ965" s="15"/>
      <c r="CA965" s="15"/>
      <c r="CB965" s="17"/>
      <c r="CC965" s="17"/>
      <c r="CD965" s="18"/>
      <c r="CE965" s="18"/>
      <c r="CF965" s="18"/>
      <c r="CG965" s="18"/>
      <c r="CH965" s="18"/>
    </row>
    <row r="966">
      <c r="A966" s="15"/>
      <c r="B966" s="16"/>
      <c r="C966" s="15"/>
      <c r="D966" s="9"/>
      <c r="E966" s="15"/>
      <c r="F966" s="15"/>
      <c r="G966" s="13"/>
      <c r="H966" s="13"/>
      <c r="I966" s="13"/>
      <c r="J966" s="13"/>
      <c r="K966" s="13"/>
      <c r="L966" s="13"/>
      <c r="M966" s="13"/>
      <c r="N966" s="13"/>
      <c r="O966" s="13"/>
      <c r="P966" s="13"/>
      <c r="Q966" s="13"/>
      <c r="R966" s="13"/>
      <c r="S966" s="13"/>
      <c r="T966" s="13"/>
      <c r="U966" s="13"/>
      <c r="V966" s="13"/>
      <c r="W966" s="13"/>
      <c r="X966" s="13"/>
      <c r="Y966" s="13"/>
      <c r="Z966" s="13"/>
      <c r="AA966" s="13"/>
      <c r="AB966" s="15"/>
      <c r="AC966" s="15"/>
      <c r="AD966" s="15"/>
      <c r="AE966" s="13"/>
      <c r="AF966" s="13"/>
      <c r="AG966" s="13"/>
      <c r="AH966" s="15"/>
      <c r="AI966" s="13"/>
      <c r="AJ966" s="13"/>
      <c r="AK966" s="13"/>
      <c r="AL966" s="13"/>
      <c r="AM966" s="15"/>
      <c r="AN966" s="13"/>
      <c r="AO966" s="15"/>
      <c r="AP966" s="15"/>
      <c r="AQ966" s="13"/>
      <c r="AR966" s="13"/>
      <c r="AS966" s="13"/>
      <c r="AT966" s="13"/>
      <c r="AU966" s="13"/>
      <c r="AV966" s="13"/>
      <c r="AW966" s="13"/>
      <c r="AX966" s="13"/>
      <c r="AY966" s="15"/>
      <c r="AZ966" s="15"/>
      <c r="BA966" s="16"/>
      <c r="BB966" s="15"/>
      <c r="BC966" s="15"/>
      <c r="BD966" s="13"/>
      <c r="BE966" s="13"/>
      <c r="BF966" s="13"/>
      <c r="BG966" s="13"/>
      <c r="BH966" s="13"/>
      <c r="BI966" s="13"/>
      <c r="BJ966" s="13"/>
      <c r="BK966" s="13"/>
      <c r="BL966" s="13"/>
      <c r="BM966" s="13"/>
      <c r="BN966" s="13"/>
      <c r="BO966" s="13"/>
      <c r="BP966" s="13"/>
      <c r="BQ966" s="15"/>
      <c r="BR966" s="15"/>
      <c r="BS966" s="15"/>
      <c r="BT966" s="15"/>
      <c r="BU966" s="15"/>
      <c r="BV966" s="15"/>
      <c r="BW966" s="15"/>
      <c r="BX966" s="15"/>
      <c r="BY966" s="15"/>
      <c r="BZ966" s="15"/>
      <c r="CA966" s="15"/>
      <c r="CB966" s="17"/>
      <c r="CC966" s="17"/>
      <c r="CD966" s="18"/>
      <c r="CE966" s="18"/>
      <c r="CF966" s="18"/>
      <c r="CG966" s="18"/>
      <c r="CH966" s="18"/>
    </row>
    <row r="967">
      <c r="A967" s="15"/>
      <c r="B967" s="16"/>
      <c r="C967" s="15"/>
      <c r="D967" s="9"/>
      <c r="E967" s="15"/>
      <c r="F967" s="15"/>
      <c r="G967" s="13"/>
      <c r="H967" s="13"/>
      <c r="I967" s="13"/>
      <c r="J967" s="13"/>
      <c r="K967" s="13"/>
      <c r="L967" s="13"/>
      <c r="M967" s="13"/>
      <c r="N967" s="13"/>
      <c r="O967" s="13"/>
      <c r="P967" s="13"/>
      <c r="Q967" s="13"/>
      <c r="R967" s="13"/>
      <c r="S967" s="13"/>
      <c r="T967" s="13"/>
      <c r="U967" s="13"/>
      <c r="V967" s="13"/>
      <c r="W967" s="13"/>
      <c r="X967" s="13"/>
      <c r="Y967" s="13"/>
      <c r="Z967" s="13"/>
      <c r="AA967" s="13"/>
      <c r="AB967" s="15"/>
      <c r="AC967" s="15"/>
      <c r="AD967" s="15"/>
      <c r="AE967" s="13"/>
      <c r="AF967" s="13"/>
      <c r="AG967" s="13"/>
      <c r="AH967" s="15"/>
      <c r="AI967" s="13"/>
      <c r="AJ967" s="13"/>
      <c r="AK967" s="13"/>
      <c r="AL967" s="13"/>
      <c r="AM967" s="15"/>
      <c r="AN967" s="13"/>
      <c r="AO967" s="15"/>
      <c r="AP967" s="15"/>
      <c r="AQ967" s="13"/>
      <c r="AR967" s="13"/>
      <c r="AS967" s="13"/>
      <c r="AT967" s="13"/>
      <c r="AU967" s="13"/>
      <c r="AV967" s="13"/>
      <c r="AW967" s="13"/>
      <c r="AX967" s="13"/>
      <c r="AY967" s="15"/>
      <c r="AZ967" s="15"/>
      <c r="BA967" s="16"/>
      <c r="BB967" s="15"/>
      <c r="BC967" s="15"/>
      <c r="BD967" s="13"/>
      <c r="BE967" s="13"/>
      <c r="BF967" s="13"/>
      <c r="BG967" s="13"/>
      <c r="BH967" s="13"/>
      <c r="BI967" s="13"/>
      <c r="BJ967" s="13"/>
      <c r="BK967" s="13"/>
      <c r="BL967" s="13"/>
      <c r="BM967" s="13"/>
      <c r="BN967" s="13"/>
      <c r="BO967" s="13"/>
      <c r="BP967" s="13"/>
      <c r="BQ967" s="15"/>
      <c r="BR967" s="15"/>
      <c r="BS967" s="15"/>
      <c r="BT967" s="15"/>
      <c r="BU967" s="15"/>
      <c r="BV967" s="15"/>
      <c r="BW967" s="15"/>
      <c r="BX967" s="15"/>
      <c r="BY967" s="15"/>
      <c r="BZ967" s="15"/>
      <c r="CA967" s="15"/>
      <c r="CB967" s="17"/>
      <c r="CC967" s="17"/>
      <c r="CD967" s="18"/>
      <c r="CE967" s="18"/>
      <c r="CF967" s="18"/>
      <c r="CG967" s="18"/>
      <c r="CH967" s="18"/>
    </row>
    <row r="968">
      <c r="A968" s="15"/>
      <c r="B968" s="16"/>
      <c r="C968" s="15"/>
      <c r="D968" s="9"/>
      <c r="E968" s="15"/>
      <c r="F968" s="15"/>
      <c r="G968" s="13"/>
      <c r="H968" s="13"/>
      <c r="I968" s="13"/>
      <c r="J968" s="13"/>
      <c r="K968" s="13"/>
      <c r="L968" s="13"/>
      <c r="M968" s="13"/>
      <c r="N968" s="13"/>
      <c r="O968" s="13"/>
      <c r="P968" s="13"/>
      <c r="Q968" s="13"/>
      <c r="R968" s="13"/>
      <c r="S968" s="13"/>
      <c r="T968" s="13"/>
      <c r="U968" s="13"/>
      <c r="V968" s="13"/>
      <c r="W968" s="13"/>
      <c r="X968" s="13"/>
      <c r="Y968" s="13"/>
      <c r="Z968" s="13"/>
      <c r="AA968" s="13"/>
      <c r="AB968" s="15"/>
      <c r="AC968" s="15"/>
      <c r="AD968" s="15"/>
      <c r="AE968" s="13"/>
      <c r="AF968" s="13"/>
      <c r="AG968" s="13"/>
      <c r="AH968" s="15"/>
      <c r="AI968" s="13"/>
      <c r="AJ968" s="13"/>
      <c r="AK968" s="13"/>
      <c r="AL968" s="13"/>
      <c r="AM968" s="15"/>
      <c r="AN968" s="13"/>
      <c r="AO968" s="15"/>
      <c r="AP968" s="15"/>
      <c r="AQ968" s="13"/>
      <c r="AR968" s="13"/>
      <c r="AS968" s="13"/>
      <c r="AT968" s="13"/>
      <c r="AU968" s="13"/>
      <c r="AV968" s="13"/>
      <c r="AW968" s="13"/>
      <c r="AX968" s="13"/>
      <c r="AY968" s="15"/>
      <c r="AZ968" s="15"/>
      <c r="BA968" s="16"/>
      <c r="BB968" s="15"/>
      <c r="BC968" s="15"/>
      <c r="BD968" s="13"/>
      <c r="BE968" s="13"/>
      <c r="BF968" s="13"/>
      <c r="BG968" s="13"/>
      <c r="BH968" s="13"/>
      <c r="BI968" s="13"/>
      <c r="BJ968" s="13"/>
      <c r="BK968" s="13"/>
      <c r="BL968" s="13"/>
      <c r="BM968" s="13"/>
      <c r="BN968" s="13"/>
      <c r="BO968" s="13"/>
      <c r="BP968" s="13"/>
      <c r="BQ968" s="15"/>
      <c r="BR968" s="15"/>
      <c r="BS968" s="15"/>
      <c r="BT968" s="15"/>
      <c r="BU968" s="15"/>
      <c r="BV968" s="15"/>
      <c r="BW968" s="15"/>
      <c r="BX968" s="15"/>
      <c r="BY968" s="15"/>
      <c r="BZ968" s="15"/>
      <c r="CA968" s="15"/>
      <c r="CB968" s="17"/>
      <c r="CC968" s="17"/>
      <c r="CD968" s="18"/>
      <c r="CE968" s="18"/>
      <c r="CF968" s="18"/>
      <c r="CG968" s="18"/>
      <c r="CH968" s="18"/>
    </row>
    <row r="969">
      <c r="A969" s="15"/>
      <c r="B969" s="16"/>
      <c r="C969" s="15"/>
      <c r="D969" s="9"/>
      <c r="E969" s="15"/>
      <c r="F969" s="15"/>
      <c r="G969" s="13"/>
      <c r="H969" s="13"/>
      <c r="I969" s="13"/>
      <c r="J969" s="13"/>
      <c r="K969" s="13"/>
      <c r="L969" s="13"/>
      <c r="M969" s="13"/>
      <c r="N969" s="13"/>
      <c r="O969" s="13"/>
      <c r="P969" s="13"/>
      <c r="Q969" s="13"/>
      <c r="R969" s="13"/>
      <c r="S969" s="13"/>
      <c r="T969" s="13"/>
      <c r="U969" s="13"/>
      <c r="V969" s="13"/>
      <c r="W969" s="13"/>
      <c r="X969" s="13"/>
      <c r="Y969" s="13"/>
      <c r="Z969" s="13"/>
      <c r="AA969" s="13"/>
      <c r="AB969" s="15"/>
      <c r="AC969" s="15"/>
      <c r="AD969" s="15"/>
      <c r="AE969" s="13"/>
      <c r="AF969" s="13"/>
      <c r="AG969" s="13"/>
      <c r="AH969" s="15"/>
      <c r="AI969" s="13"/>
      <c r="AJ969" s="13"/>
      <c r="AK969" s="13"/>
      <c r="AL969" s="13"/>
      <c r="AM969" s="15"/>
      <c r="AN969" s="13"/>
      <c r="AO969" s="15"/>
      <c r="AP969" s="15"/>
      <c r="AQ969" s="13"/>
      <c r="AR969" s="13"/>
      <c r="AS969" s="13"/>
      <c r="AT969" s="13"/>
      <c r="AU969" s="13"/>
      <c r="AV969" s="13"/>
      <c r="AW969" s="13"/>
      <c r="AX969" s="13"/>
      <c r="AY969" s="15"/>
      <c r="AZ969" s="15"/>
      <c r="BA969" s="16"/>
      <c r="BB969" s="15"/>
      <c r="BC969" s="15"/>
      <c r="BD969" s="13"/>
      <c r="BE969" s="13"/>
      <c r="BF969" s="13"/>
      <c r="BG969" s="13"/>
      <c r="BH969" s="13"/>
      <c r="BI969" s="13"/>
      <c r="BJ969" s="13"/>
      <c r="BK969" s="13"/>
      <c r="BL969" s="13"/>
      <c r="BM969" s="13"/>
      <c r="BN969" s="13"/>
      <c r="BO969" s="13"/>
      <c r="BP969" s="13"/>
      <c r="BQ969" s="15"/>
      <c r="BR969" s="15"/>
      <c r="BS969" s="15"/>
      <c r="BT969" s="15"/>
      <c r="BU969" s="15"/>
      <c r="BV969" s="15"/>
      <c r="BW969" s="15"/>
      <c r="BX969" s="15"/>
      <c r="BY969" s="15"/>
      <c r="BZ969" s="15"/>
      <c r="CA969" s="15"/>
      <c r="CB969" s="17"/>
      <c r="CC969" s="17"/>
      <c r="CD969" s="18"/>
      <c r="CE969" s="18"/>
      <c r="CF969" s="18"/>
      <c r="CG969" s="18"/>
      <c r="CH969" s="18"/>
    </row>
    <row r="970">
      <c r="A970" s="15"/>
      <c r="B970" s="16"/>
      <c r="C970" s="15"/>
      <c r="D970" s="9"/>
      <c r="E970" s="15"/>
      <c r="F970" s="15"/>
      <c r="G970" s="13"/>
      <c r="H970" s="13"/>
      <c r="I970" s="13"/>
      <c r="J970" s="13"/>
      <c r="K970" s="13"/>
      <c r="L970" s="13"/>
      <c r="M970" s="13"/>
      <c r="N970" s="13"/>
      <c r="O970" s="13"/>
      <c r="P970" s="13"/>
      <c r="Q970" s="13"/>
      <c r="R970" s="13"/>
      <c r="S970" s="13"/>
      <c r="T970" s="13"/>
      <c r="U970" s="13"/>
      <c r="V970" s="13"/>
      <c r="W970" s="13"/>
      <c r="X970" s="13"/>
      <c r="Y970" s="13"/>
      <c r="Z970" s="13"/>
      <c r="AA970" s="13"/>
      <c r="AB970" s="15"/>
      <c r="AC970" s="15"/>
      <c r="AD970" s="15"/>
      <c r="AE970" s="13"/>
      <c r="AF970" s="13"/>
      <c r="AG970" s="13"/>
      <c r="AH970" s="15"/>
      <c r="AI970" s="13"/>
      <c r="AJ970" s="13"/>
      <c r="AK970" s="13"/>
      <c r="AL970" s="13"/>
      <c r="AM970" s="15"/>
      <c r="AN970" s="13"/>
      <c r="AO970" s="15"/>
      <c r="AP970" s="15"/>
      <c r="AQ970" s="13"/>
      <c r="AR970" s="13"/>
      <c r="AS970" s="13"/>
      <c r="AT970" s="13"/>
      <c r="AU970" s="13"/>
      <c r="AV970" s="13"/>
      <c r="AW970" s="13"/>
      <c r="AX970" s="13"/>
      <c r="AY970" s="15"/>
      <c r="AZ970" s="15"/>
      <c r="BA970" s="16"/>
      <c r="BB970" s="15"/>
      <c r="BC970" s="15"/>
      <c r="BD970" s="13"/>
      <c r="BE970" s="13"/>
      <c r="BF970" s="13"/>
      <c r="BG970" s="13"/>
      <c r="BH970" s="13"/>
      <c r="BI970" s="13"/>
      <c r="BJ970" s="13"/>
      <c r="BK970" s="13"/>
      <c r="BL970" s="13"/>
      <c r="BM970" s="13"/>
      <c r="BN970" s="13"/>
      <c r="BO970" s="13"/>
      <c r="BP970" s="13"/>
      <c r="BQ970" s="15"/>
      <c r="BR970" s="15"/>
      <c r="BS970" s="15"/>
      <c r="BT970" s="15"/>
      <c r="BU970" s="15"/>
      <c r="BV970" s="15"/>
      <c r="BW970" s="15"/>
      <c r="BX970" s="15"/>
      <c r="BY970" s="15"/>
      <c r="BZ970" s="15"/>
      <c r="CA970" s="15"/>
      <c r="CB970" s="17"/>
      <c r="CC970" s="17"/>
      <c r="CD970" s="18"/>
      <c r="CE970" s="18"/>
      <c r="CF970" s="18"/>
      <c r="CG970" s="18"/>
      <c r="CH970" s="18"/>
    </row>
    <row r="971">
      <c r="A971" s="15"/>
      <c r="B971" s="16"/>
      <c r="C971" s="15"/>
      <c r="D971" s="9"/>
      <c r="E971" s="15"/>
      <c r="F971" s="15"/>
      <c r="G971" s="13"/>
      <c r="H971" s="13"/>
      <c r="I971" s="13"/>
      <c r="J971" s="13"/>
      <c r="K971" s="13"/>
      <c r="L971" s="13"/>
      <c r="M971" s="13"/>
      <c r="N971" s="13"/>
      <c r="O971" s="13"/>
      <c r="P971" s="13"/>
      <c r="Q971" s="13"/>
      <c r="R971" s="13"/>
      <c r="S971" s="13"/>
      <c r="T971" s="13"/>
      <c r="U971" s="13"/>
      <c r="V971" s="13"/>
      <c r="W971" s="13"/>
      <c r="X971" s="13"/>
      <c r="Y971" s="13"/>
      <c r="Z971" s="13"/>
      <c r="AA971" s="13"/>
      <c r="AB971" s="15"/>
      <c r="AC971" s="15"/>
      <c r="AD971" s="15"/>
      <c r="AE971" s="13"/>
      <c r="AF971" s="13"/>
      <c r="AG971" s="13"/>
      <c r="AH971" s="15"/>
      <c r="AI971" s="13"/>
      <c r="AJ971" s="13"/>
      <c r="AK971" s="13"/>
      <c r="AL971" s="13"/>
      <c r="AM971" s="15"/>
      <c r="AN971" s="13"/>
      <c r="AO971" s="15"/>
      <c r="AP971" s="15"/>
      <c r="AQ971" s="13"/>
      <c r="AR971" s="13"/>
      <c r="AS971" s="13"/>
      <c r="AT971" s="13"/>
      <c r="AU971" s="13"/>
      <c r="AV971" s="13"/>
      <c r="AW971" s="13"/>
      <c r="AX971" s="13"/>
      <c r="AY971" s="15"/>
      <c r="AZ971" s="15"/>
      <c r="BA971" s="16"/>
      <c r="BB971" s="15"/>
      <c r="BC971" s="15"/>
      <c r="BD971" s="13"/>
      <c r="BE971" s="13"/>
      <c r="BF971" s="13"/>
      <c r="BG971" s="13"/>
      <c r="BH971" s="13"/>
      <c r="BI971" s="13"/>
      <c r="BJ971" s="13"/>
      <c r="BK971" s="13"/>
      <c r="BL971" s="13"/>
      <c r="BM971" s="13"/>
      <c r="BN971" s="13"/>
      <c r="BO971" s="13"/>
      <c r="BP971" s="13"/>
      <c r="BQ971" s="15"/>
      <c r="BR971" s="15"/>
      <c r="BS971" s="15"/>
      <c r="BT971" s="15"/>
      <c r="BU971" s="15"/>
      <c r="BV971" s="15"/>
      <c r="BW971" s="15"/>
      <c r="BX971" s="15"/>
      <c r="BY971" s="15"/>
      <c r="BZ971" s="15"/>
      <c r="CA971" s="15"/>
      <c r="CB971" s="17"/>
      <c r="CC971" s="17"/>
      <c r="CD971" s="18"/>
      <c r="CE971" s="18"/>
      <c r="CF971" s="18"/>
      <c r="CG971" s="18"/>
      <c r="CH971" s="18"/>
    </row>
    <row r="972">
      <c r="A972" s="15"/>
      <c r="B972" s="16"/>
      <c r="C972" s="15"/>
      <c r="D972" s="9"/>
      <c r="E972" s="15"/>
      <c r="F972" s="15"/>
      <c r="G972" s="13"/>
      <c r="H972" s="13"/>
      <c r="I972" s="13"/>
      <c r="J972" s="13"/>
      <c r="K972" s="13"/>
      <c r="L972" s="13"/>
      <c r="M972" s="13"/>
      <c r="N972" s="13"/>
      <c r="O972" s="13"/>
      <c r="P972" s="13"/>
      <c r="Q972" s="13"/>
      <c r="R972" s="13"/>
      <c r="S972" s="13"/>
      <c r="T972" s="13"/>
      <c r="U972" s="13"/>
      <c r="V972" s="13"/>
      <c r="W972" s="13"/>
      <c r="X972" s="13"/>
      <c r="Y972" s="13"/>
      <c r="Z972" s="13"/>
      <c r="AA972" s="13"/>
      <c r="AB972" s="15"/>
      <c r="AC972" s="15"/>
      <c r="AD972" s="15"/>
      <c r="AE972" s="13"/>
      <c r="AF972" s="13"/>
      <c r="AG972" s="13"/>
      <c r="AH972" s="15"/>
      <c r="AI972" s="13"/>
      <c r="AJ972" s="13"/>
      <c r="AK972" s="13"/>
      <c r="AL972" s="13"/>
      <c r="AM972" s="15"/>
      <c r="AN972" s="13"/>
      <c r="AO972" s="15"/>
      <c r="AP972" s="15"/>
      <c r="AQ972" s="13"/>
      <c r="AR972" s="13"/>
      <c r="AS972" s="13"/>
      <c r="AT972" s="13"/>
      <c r="AU972" s="13"/>
      <c r="AV972" s="13"/>
      <c r="AW972" s="13"/>
      <c r="AX972" s="13"/>
      <c r="AY972" s="15"/>
      <c r="AZ972" s="15"/>
      <c r="BA972" s="16"/>
      <c r="BB972" s="15"/>
      <c r="BC972" s="15"/>
      <c r="BD972" s="13"/>
      <c r="BE972" s="13"/>
      <c r="BF972" s="13"/>
      <c r="BG972" s="13"/>
      <c r="BH972" s="13"/>
      <c r="BI972" s="13"/>
      <c r="BJ972" s="13"/>
      <c r="BK972" s="13"/>
      <c r="BL972" s="13"/>
      <c r="BM972" s="13"/>
      <c r="BN972" s="13"/>
      <c r="BO972" s="13"/>
      <c r="BP972" s="13"/>
      <c r="BQ972" s="15"/>
      <c r="BR972" s="15"/>
      <c r="BS972" s="15"/>
      <c r="BT972" s="15"/>
      <c r="BU972" s="15"/>
      <c r="BV972" s="15"/>
      <c r="BW972" s="15"/>
      <c r="BX972" s="15"/>
      <c r="BY972" s="15"/>
      <c r="BZ972" s="15"/>
      <c r="CA972" s="15"/>
      <c r="CB972" s="17"/>
      <c r="CC972" s="17"/>
      <c r="CD972" s="18"/>
      <c r="CE972" s="18"/>
      <c r="CF972" s="18"/>
      <c r="CG972" s="18"/>
      <c r="CH972" s="18"/>
    </row>
    <row r="973">
      <c r="A973" s="15"/>
      <c r="B973" s="16"/>
      <c r="C973" s="15"/>
      <c r="D973" s="9"/>
      <c r="E973" s="15"/>
      <c r="F973" s="15"/>
      <c r="G973" s="13"/>
      <c r="H973" s="13"/>
      <c r="I973" s="13"/>
      <c r="J973" s="13"/>
      <c r="K973" s="13"/>
      <c r="L973" s="13"/>
      <c r="M973" s="13"/>
      <c r="N973" s="13"/>
      <c r="O973" s="13"/>
      <c r="P973" s="13"/>
      <c r="Q973" s="13"/>
      <c r="R973" s="13"/>
      <c r="S973" s="13"/>
      <c r="T973" s="13"/>
      <c r="U973" s="13"/>
      <c r="V973" s="13"/>
      <c r="W973" s="13"/>
      <c r="X973" s="13"/>
      <c r="Y973" s="13"/>
      <c r="Z973" s="13"/>
      <c r="AA973" s="13"/>
      <c r="AB973" s="15"/>
      <c r="AC973" s="15"/>
      <c r="AD973" s="15"/>
      <c r="AE973" s="13"/>
      <c r="AF973" s="13"/>
      <c r="AG973" s="13"/>
      <c r="AH973" s="15"/>
      <c r="AI973" s="13"/>
      <c r="AJ973" s="13"/>
      <c r="AK973" s="13"/>
      <c r="AL973" s="13"/>
      <c r="AM973" s="15"/>
      <c r="AN973" s="13"/>
      <c r="AO973" s="15"/>
      <c r="AP973" s="15"/>
      <c r="AQ973" s="13"/>
      <c r="AR973" s="13"/>
      <c r="AS973" s="13"/>
      <c r="AT973" s="13"/>
      <c r="AU973" s="13"/>
      <c r="AV973" s="13"/>
      <c r="AW973" s="13"/>
      <c r="AX973" s="13"/>
      <c r="AY973" s="15"/>
      <c r="AZ973" s="15"/>
      <c r="BA973" s="16"/>
      <c r="BB973" s="15"/>
      <c r="BC973" s="15"/>
      <c r="BD973" s="13"/>
      <c r="BE973" s="13"/>
      <c r="BF973" s="13"/>
      <c r="BG973" s="13"/>
      <c r="BH973" s="13"/>
      <c r="BI973" s="13"/>
      <c r="BJ973" s="13"/>
      <c r="BK973" s="13"/>
      <c r="BL973" s="13"/>
      <c r="BM973" s="13"/>
      <c r="BN973" s="13"/>
      <c r="BO973" s="13"/>
      <c r="BP973" s="13"/>
      <c r="BQ973" s="15"/>
      <c r="BR973" s="15"/>
      <c r="BS973" s="15"/>
      <c r="BT973" s="15"/>
      <c r="BU973" s="15"/>
      <c r="BV973" s="15"/>
      <c r="BW973" s="15"/>
      <c r="BX973" s="15"/>
      <c r="BY973" s="15"/>
      <c r="BZ973" s="15"/>
      <c r="CA973" s="15"/>
      <c r="CB973" s="17"/>
      <c r="CC973" s="17"/>
      <c r="CD973" s="18"/>
      <c r="CE973" s="18"/>
      <c r="CF973" s="18"/>
      <c r="CG973" s="18"/>
      <c r="CH973" s="18"/>
    </row>
    <row r="974">
      <c r="A974" s="15"/>
      <c r="B974" s="16"/>
      <c r="C974" s="15"/>
      <c r="D974" s="9"/>
      <c r="E974" s="15"/>
      <c r="F974" s="15"/>
      <c r="G974" s="13"/>
      <c r="H974" s="13"/>
      <c r="I974" s="13"/>
      <c r="J974" s="13"/>
      <c r="K974" s="13"/>
      <c r="L974" s="13"/>
      <c r="M974" s="13"/>
      <c r="N974" s="13"/>
      <c r="O974" s="13"/>
      <c r="P974" s="13"/>
      <c r="Q974" s="13"/>
      <c r="R974" s="13"/>
      <c r="S974" s="13"/>
      <c r="T974" s="13"/>
      <c r="U974" s="13"/>
      <c r="V974" s="13"/>
      <c r="W974" s="13"/>
      <c r="X974" s="13"/>
      <c r="Y974" s="13"/>
      <c r="Z974" s="13"/>
      <c r="AA974" s="13"/>
      <c r="AB974" s="15"/>
      <c r="AC974" s="15"/>
      <c r="AD974" s="15"/>
      <c r="AE974" s="13"/>
      <c r="AF974" s="13"/>
      <c r="AG974" s="13"/>
      <c r="AH974" s="15"/>
      <c r="AI974" s="13"/>
      <c r="AJ974" s="13"/>
      <c r="AK974" s="13"/>
      <c r="AL974" s="13"/>
      <c r="AM974" s="15"/>
      <c r="AN974" s="13"/>
      <c r="AO974" s="15"/>
      <c r="AP974" s="15"/>
      <c r="AQ974" s="13"/>
      <c r="AR974" s="13"/>
      <c r="AS974" s="13"/>
      <c r="AT974" s="13"/>
      <c r="AU974" s="13"/>
      <c r="AV974" s="13"/>
      <c r="AW974" s="13"/>
      <c r="AX974" s="13"/>
      <c r="AY974" s="15"/>
      <c r="AZ974" s="15"/>
      <c r="BA974" s="16"/>
      <c r="BB974" s="15"/>
      <c r="BC974" s="15"/>
      <c r="BD974" s="13"/>
      <c r="BE974" s="13"/>
      <c r="BF974" s="13"/>
      <c r="BG974" s="13"/>
      <c r="BH974" s="13"/>
      <c r="BI974" s="13"/>
      <c r="BJ974" s="13"/>
      <c r="BK974" s="13"/>
      <c r="BL974" s="13"/>
      <c r="BM974" s="13"/>
      <c r="BN974" s="13"/>
      <c r="BO974" s="13"/>
      <c r="BP974" s="13"/>
      <c r="BQ974" s="15"/>
      <c r="BR974" s="15"/>
      <c r="BS974" s="15"/>
      <c r="BT974" s="15"/>
      <c r="BU974" s="15"/>
      <c r="BV974" s="15"/>
      <c r="BW974" s="15"/>
      <c r="BX974" s="15"/>
      <c r="BY974" s="15"/>
      <c r="BZ974" s="15"/>
      <c r="CA974" s="15"/>
      <c r="CB974" s="17"/>
      <c r="CC974" s="17"/>
      <c r="CD974" s="18"/>
      <c r="CE974" s="18"/>
      <c r="CF974" s="18"/>
      <c r="CG974" s="18"/>
      <c r="CH974" s="18"/>
    </row>
    <row r="975">
      <c r="A975" s="15"/>
      <c r="B975" s="16"/>
      <c r="C975" s="15"/>
      <c r="D975" s="9"/>
      <c r="E975" s="15"/>
      <c r="F975" s="15"/>
      <c r="G975" s="13"/>
      <c r="H975" s="13"/>
      <c r="I975" s="13"/>
      <c r="J975" s="13"/>
      <c r="K975" s="13"/>
      <c r="L975" s="13"/>
      <c r="M975" s="13"/>
      <c r="N975" s="13"/>
      <c r="O975" s="13"/>
      <c r="P975" s="13"/>
      <c r="Q975" s="13"/>
      <c r="R975" s="13"/>
      <c r="S975" s="13"/>
      <c r="T975" s="13"/>
      <c r="U975" s="13"/>
      <c r="V975" s="13"/>
      <c r="W975" s="13"/>
      <c r="X975" s="13"/>
      <c r="Y975" s="13"/>
      <c r="Z975" s="13"/>
      <c r="AA975" s="13"/>
      <c r="AB975" s="15"/>
      <c r="AC975" s="15"/>
      <c r="AD975" s="15"/>
      <c r="AE975" s="13"/>
      <c r="AF975" s="13"/>
      <c r="AG975" s="13"/>
      <c r="AH975" s="15"/>
      <c r="AI975" s="13"/>
      <c r="AJ975" s="13"/>
      <c r="AK975" s="13"/>
      <c r="AL975" s="13"/>
      <c r="AM975" s="15"/>
      <c r="AN975" s="13"/>
      <c r="AO975" s="15"/>
      <c r="AP975" s="15"/>
      <c r="AQ975" s="13"/>
      <c r="AR975" s="13"/>
      <c r="AS975" s="13"/>
      <c r="AT975" s="13"/>
      <c r="AU975" s="13"/>
      <c r="AV975" s="13"/>
      <c r="AW975" s="13"/>
      <c r="AX975" s="13"/>
      <c r="AY975" s="15"/>
      <c r="AZ975" s="15"/>
      <c r="BA975" s="16"/>
      <c r="BB975" s="15"/>
      <c r="BC975" s="15"/>
      <c r="BD975" s="13"/>
      <c r="BE975" s="13"/>
      <c r="BF975" s="13"/>
      <c r="BG975" s="13"/>
      <c r="BH975" s="13"/>
      <c r="BI975" s="13"/>
      <c r="BJ975" s="13"/>
      <c r="BK975" s="13"/>
      <c r="BL975" s="13"/>
      <c r="BM975" s="13"/>
      <c r="BN975" s="13"/>
      <c r="BO975" s="13"/>
      <c r="BP975" s="13"/>
      <c r="BQ975" s="15"/>
      <c r="BR975" s="15"/>
      <c r="BS975" s="15"/>
      <c r="BT975" s="15"/>
      <c r="BU975" s="15"/>
      <c r="BV975" s="15"/>
      <c r="BW975" s="15"/>
      <c r="BX975" s="15"/>
      <c r="BY975" s="15"/>
      <c r="BZ975" s="15"/>
      <c r="CA975" s="15"/>
      <c r="CB975" s="17"/>
      <c r="CC975" s="17"/>
      <c r="CD975" s="18"/>
      <c r="CE975" s="18"/>
      <c r="CF975" s="18"/>
      <c r="CG975" s="18"/>
      <c r="CH975" s="18"/>
    </row>
    <row r="976">
      <c r="A976" s="15"/>
      <c r="B976" s="16"/>
      <c r="C976" s="15"/>
      <c r="D976" s="9"/>
      <c r="E976" s="15"/>
      <c r="F976" s="15"/>
      <c r="G976" s="13"/>
      <c r="H976" s="13"/>
      <c r="I976" s="13"/>
      <c r="J976" s="13"/>
      <c r="K976" s="13"/>
      <c r="L976" s="13"/>
      <c r="M976" s="13"/>
      <c r="N976" s="13"/>
      <c r="O976" s="13"/>
      <c r="P976" s="13"/>
      <c r="Q976" s="13"/>
      <c r="R976" s="13"/>
      <c r="S976" s="13"/>
      <c r="T976" s="13"/>
      <c r="U976" s="13"/>
      <c r="V976" s="13"/>
      <c r="W976" s="13"/>
      <c r="X976" s="13"/>
      <c r="Y976" s="13"/>
      <c r="Z976" s="13"/>
      <c r="AA976" s="13"/>
      <c r="AB976" s="15"/>
      <c r="AC976" s="15"/>
      <c r="AD976" s="15"/>
      <c r="AE976" s="13"/>
      <c r="AF976" s="13"/>
      <c r="AG976" s="13"/>
      <c r="AH976" s="15"/>
      <c r="AI976" s="13"/>
      <c r="AJ976" s="13"/>
      <c r="AK976" s="13"/>
      <c r="AL976" s="13"/>
      <c r="AM976" s="15"/>
      <c r="AN976" s="13"/>
      <c r="AO976" s="15"/>
      <c r="AP976" s="15"/>
      <c r="AQ976" s="13"/>
      <c r="AR976" s="13"/>
      <c r="AS976" s="13"/>
      <c r="AT976" s="13"/>
      <c r="AU976" s="13"/>
      <c r="AV976" s="13"/>
      <c r="AW976" s="13"/>
      <c r="AX976" s="13"/>
      <c r="AY976" s="15"/>
      <c r="AZ976" s="15"/>
      <c r="BA976" s="16"/>
      <c r="BB976" s="15"/>
      <c r="BC976" s="15"/>
      <c r="BD976" s="13"/>
      <c r="BE976" s="13"/>
      <c r="BF976" s="13"/>
      <c r="BG976" s="13"/>
      <c r="BH976" s="13"/>
      <c r="BI976" s="13"/>
      <c r="BJ976" s="13"/>
      <c r="BK976" s="13"/>
      <c r="BL976" s="13"/>
      <c r="BM976" s="13"/>
      <c r="BN976" s="13"/>
      <c r="BO976" s="13"/>
      <c r="BP976" s="13"/>
      <c r="BQ976" s="15"/>
      <c r="BR976" s="15"/>
      <c r="BS976" s="15"/>
      <c r="BT976" s="15"/>
      <c r="BU976" s="15"/>
      <c r="BV976" s="15"/>
      <c r="BW976" s="15"/>
      <c r="BX976" s="15"/>
      <c r="BY976" s="15"/>
      <c r="BZ976" s="15"/>
      <c r="CA976" s="15"/>
      <c r="CB976" s="17"/>
      <c r="CC976" s="17"/>
      <c r="CD976" s="18"/>
      <c r="CE976" s="18"/>
      <c r="CF976" s="18"/>
      <c r="CG976" s="18"/>
      <c r="CH976" s="18"/>
    </row>
    <row r="977">
      <c r="A977" s="15"/>
      <c r="B977" s="16"/>
      <c r="C977" s="15"/>
      <c r="D977" s="9"/>
      <c r="E977" s="15"/>
      <c r="F977" s="15"/>
      <c r="G977" s="13"/>
      <c r="H977" s="13"/>
      <c r="I977" s="13"/>
      <c r="J977" s="13"/>
      <c r="K977" s="13"/>
      <c r="L977" s="13"/>
      <c r="M977" s="13"/>
      <c r="N977" s="13"/>
      <c r="O977" s="13"/>
      <c r="P977" s="13"/>
      <c r="Q977" s="13"/>
      <c r="R977" s="13"/>
      <c r="S977" s="13"/>
      <c r="T977" s="13"/>
      <c r="U977" s="13"/>
      <c r="V977" s="13"/>
      <c r="W977" s="13"/>
      <c r="X977" s="13"/>
      <c r="Y977" s="13"/>
      <c r="Z977" s="13"/>
      <c r="AA977" s="13"/>
      <c r="AB977" s="15"/>
      <c r="AC977" s="15"/>
      <c r="AD977" s="15"/>
      <c r="AE977" s="13"/>
      <c r="AF977" s="13"/>
      <c r="AG977" s="13"/>
      <c r="AH977" s="15"/>
      <c r="AI977" s="13"/>
      <c r="AJ977" s="13"/>
      <c r="AK977" s="13"/>
      <c r="AL977" s="13"/>
      <c r="AM977" s="15"/>
      <c r="AN977" s="13"/>
      <c r="AO977" s="15"/>
      <c r="AP977" s="15"/>
      <c r="AQ977" s="13"/>
      <c r="AR977" s="13"/>
      <c r="AS977" s="13"/>
      <c r="AT977" s="13"/>
      <c r="AU977" s="13"/>
      <c r="AV977" s="13"/>
      <c r="AW977" s="13"/>
      <c r="AX977" s="13"/>
      <c r="AY977" s="15"/>
      <c r="AZ977" s="15"/>
      <c r="BA977" s="16"/>
      <c r="BB977" s="15"/>
      <c r="BC977" s="15"/>
      <c r="BD977" s="13"/>
      <c r="BE977" s="13"/>
      <c r="BF977" s="13"/>
      <c r="BG977" s="13"/>
      <c r="BH977" s="13"/>
      <c r="BI977" s="13"/>
      <c r="BJ977" s="13"/>
      <c r="BK977" s="13"/>
      <c r="BL977" s="13"/>
      <c r="BM977" s="13"/>
      <c r="BN977" s="13"/>
      <c r="BO977" s="13"/>
      <c r="BP977" s="13"/>
      <c r="BQ977" s="15"/>
      <c r="BR977" s="15"/>
      <c r="BS977" s="15"/>
      <c r="BT977" s="15"/>
      <c r="BU977" s="15"/>
      <c r="BV977" s="15"/>
      <c r="BW977" s="15"/>
      <c r="BX977" s="15"/>
      <c r="BY977" s="15"/>
      <c r="BZ977" s="15"/>
      <c r="CA977" s="15"/>
      <c r="CB977" s="17"/>
      <c r="CC977" s="17"/>
      <c r="CD977" s="18"/>
      <c r="CE977" s="18"/>
      <c r="CF977" s="18"/>
      <c r="CG977" s="18"/>
      <c r="CH977" s="18"/>
    </row>
    <row r="978">
      <c r="A978" s="15"/>
      <c r="B978" s="16"/>
      <c r="C978" s="15"/>
      <c r="D978" s="9"/>
      <c r="E978" s="15"/>
      <c r="F978" s="15"/>
      <c r="G978" s="13"/>
      <c r="H978" s="13"/>
      <c r="I978" s="13"/>
      <c r="J978" s="13"/>
      <c r="K978" s="13"/>
      <c r="L978" s="13"/>
      <c r="M978" s="13"/>
      <c r="N978" s="13"/>
      <c r="O978" s="13"/>
      <c r="P978" s="13"/>
      <c r="Q978" s="13"/>
      <c r="R978" s="13"/>
      <c r="S978" s="13"/>
      <c r="T978" s="13"/>
      <c r="U978" s="13"/>
      <c r="V978" s="13"/>
      <c r="W978" s="13"/>
      <c r="X978" s="13"/>
      <c r="Y978" s="13"/>
      <c r="Z978" s="13"/>
      <c r="AA978" s="13"/>
      <c r="AB978" s="15"/>
      <c r="AC978" s="15"/>
      <c r="AD978" s="15"/>
      <c r="AE978" s="13"/>
      <c r="AF978" s="13"/>
      <c r="AG978" s="13"/>
      <c r="AH978" s="15"/>
      <c r="AI978" s="13"/>
      <c r="AJ978" s="13"/>
      <c r="AK978" s="13"/>
      <c r="AL978" s="13"/>
      <c r="AM978" s="15"/>
      <c r="AN978" s="13"/>
      <c r="AO978" s="15"/>
      <c r="AP978" s="15"/>
      <c r="AQ978" s="13"/>
      <c r="AR978" s="13"/>
      <c r="AS978" s="13"/>
      <c r="AT978" s="13"/>
      <c r="AU978" s="13"/>
      <c r="AV978" s="13"/>
      <c r="AW978" s="13"/>
      <c r="AX978" s="13"/>
      <c r="AY978" s="15"/>
      <c r="AZ978" s="15"/>
      <c r="BA978" s="16"/>
      <c r="BB978" s="15"/>
      <c r="BC978" s="15"/>
      <c r="BD978" s="13"/>
      <c r="BE978" s="13"/>
      <c r="BF978" s="13"/>
      <c r="BG978" s="13"/>
      <c r="BH978" s="13"/>
      <c r="BI978" s="13"/>
      <c r="BJ978" s="13"/>
      <c r="BK978" s="13"/>
      <c r="BL978" s="13"/>
      <c r="BM978" s="13"/>
      <c r="BN978" s="13"/>
      <c r="BO978" s="13"/>
      <c r="BP978" s="13"/>
      <c r="BQ978" s="15"/>
      <c r="BR978" s="15"/>
      <c r="BS978" s="15"/>
      <c r="BT978" s="15"/>
      <c r="BU978" s="15"/>
      <c r="BV978" s="15"/>
      <c r="BW978" s="15"/>
      <c r="BX978" s="15"/>
      <c r="BY978" s="15"/>
      <c r="BZ978" s="15"/>
      <c r="CA978" s="15"/>
      <c r="CB978" s="17"/>
      <c r="CC978" s="17"/>
      <c r="CD978" s="18"/>
      <c r="CE978" s="18"/>
      <c r="CF978" s="18"/>
      <c r="CG978" s="18"/>
      <c r="CH978" s="18"/>
    </row>
    <row r="979">
      <c r="A979" s="15"/>
      <c r="B979" s="16"/>
      <c r="C979" s="15"/>
      <c r="D979" s="9"/>
      <c r="E979" s="15"/>
      <c r="F979" s="15"/>
      <c r="G979" s="13"/>
      <c r="H979" s="13"/>
      <c r="I979" s="13"/>
      <c r="J979" s="13"/>
      <c r="K979" s="13"/>
      <c r="L979" s="13"/>
      <c r="M979" s="13"/>
      <c r="N979" s="13"/>
      <c r="O979" s="13"/>
      <c r="P979" s="13"/>
      <c r="Q979" s="13"/>
      <c r="R979" s="13"/>
      <c r="S979" s="13"/>
      <c r="T979" s="13"/>
      <c r="U979" s="13"/>
      <c r="V979" s="13"/>
      <c r="W979" s="13"/>
      <c r="X979" s="13"/>
      <c r="Y979" s="13"/>
      <c r="Z979" s="13"/>
      <c r="AA979" s="13"/>
      <c r="AB979" s="15"/>
      <c r="AC979" s="15"/>
      <c r="AD979" s="15"/>
      <c r="AE979" s="13"/>
      <c r="AF979" s="13"/>
      <c r="AG979" s="13"/>
      <c r="AH979" s="15"/>
      <c r="AI979" s="13"/>
      <c r="AJ979" s="13"/>
      <c r="AK979" s="13"/>
      <c r="AL979" s="13"/>
      <c r="AM979" s="15"/>
      <c r="AN979" s="13"/>
      <c r="AO979" s="15"/>
      <c r="AP979" s="15"/>
      <c r="AQ979" s="13"/>
      <c r="AR979" s="13"/>
      <c r="AS979" s="13"/>
      <c r="AT979" s="13"/>
      <c r="AU979" s="13"/>
      <c r="AV979" s="13"/>
      <c r="AW979" s="13"/>
      <c r="AX979" s="13"/>
      <c r="AY979" s="15"/>
      <c r="AZ979" s="15"/>
      <c r="BA979" s="16"/>
      <c r="BB979" s="15"/>
      <c r="BC979" s="15"/>
      <c r="BD979" s="13"/>
      <c r="BE979" s="13"/>
      <c r="BF979" s="13"/>
      <c r="BG979" s="13"/>
      <c r="BH979" s="13"/>
      <c r="BI979" s="13"/>
      <c r="BJ979" s="13"/>
      <c r="BK979" s="13"/>
      <c r="BL979" s="13"/>
      <c r="BM979" s="13"/>
      <c r="BN979" s="13"/>
      <c r="BO979" s="13"/>
      <c r="BP979" s="13"/>
      <c r="BQ979" s="15"/>
      <c r="BR979" s="15"/>
      <c r="BS979" s="15"/>
      <c r="BT979" s="15"/>
      <c r="BU979" s="15"/>
      <c r="BV979" s="15"/>
      <c r="BW979" s="15"/>
      <c r="BX979" s="15"/>
      <c r="BY979" s="15"/>
      <c r="BZ979" s="15"/>
      <c r="CA979" s="15"/>
      <c r="CB979" s="17"/>
      <c r="CC979" s="17"/>
      <c r="CD979" s="18"/>
      <c r="CE979" s="18"/>
      <c r="CF979" s="18"/>
      <c r="CG979" s="18"/>
      <c r="CH979" s="18"/>
    </row>
    <row r="980">
      <c r="A980" s="15"/>
      <c r="B980" s="16"/>
      <c r="C980" s="15"/>
      <c r="D980" s="9"/>
      <c r="E980" s="15"/>
      <c r="F980" s="15"/>
      <c r="G980" s="13"/>
      <c r="H980" s="13"/>
      <c r="I980" s="13"/>
      <c r="J980" s="13"/>
      <c r="K980" s="13"/>
      <c r="L980" s="13"/>
      <c r="M980" s="13"/>
      <c r="N980" s="13"/>
      <c r="O980" s="13"/>
      <c r="P980" s="13"/>
      <c r="Q980" s="13"/>
      <c r="R980" s="13"/>
      <c r="S980" s="13"/>
      <c r="T980" s="13"/>
      <c r="U980" s="13"/>
      <c r="V980" s="13"/>
      <c r="W980" s="13"/>
      <c r="X980" s="13"/>
      <c r="Y980" s="13"/>
      <c r="Z980" s="13"/>
      <c r="AA980" s="13"/>
      <c r="AB980" s="15"/>
      <c r="AC980" s="15"/>
      <c r="AD980" s="15"/>
      <c r="AE980" s="13"/>
      <c r="AF980" s="13"/>
      <c r="AG980" s="13"/>
      <c r="AH980" s="15"/>
      <c r="AI980" s="13"/>
      <c r="AJ980" s="13"/>
      <c r="AK980" s="13"/>
      <c r="AL980" s="13"/>
      <c r="AM980" s="15"/>
      <c r="AN980" s="13"/>
      <c r="AO980" s="15"/>
      <c r="AP980" s="15"/>
      <c r="AQ980" s="13"/>
      <c r="AR980" s="13"/>
      <c r="AS980" s="13"/>
      <c r="AT980" s="13"/>
      <c r="AU980" s="13"/>
      <c r="AV980" s="13"/>
      <c r="AW980" s="13"/>
      <c r="AX980" s="13"/>
      <c r="AY980" s="15"/>
      <c r="AZ980" s="15"/>
      <c r="BA980" s="16"/>
      <c r="BB980" s="15"/>
      <c r="BC980" s="15"/>
      <c r="BD980" s="13"/>
      <c r="BE980" s="13"/>
      <c r="BF980" s="13"/>
      <c r="BG980" s="13"/>
      <c r="BH980" s="13"/>
      <c r="BI980" s="13"/>
      <c r="BJ980" s="13"/>
      <c r="BK980" s="13"/>
      <c r="BL980" s="13"/>
      <c r="BM980" s="13"/>
      <c r="BN980" s="13"/>
      <c r="BO980" s="13"/>
      <c r="BP980" s="13"/>
      <c r="BQ980" s="15"/>
      <c r="BR980" s="15"/>
      <c r="BS980" s="15"/>
      <c r="BT980" s="15"/>
      <c r="BU980" s="15"/>
      <c r="BV980" s="15"/>
      <c r="BW980" s="15"/>
      <c r="BX980" s="15"/>
      <c r="BY980" s="15"/>
      <c r="BZ980" s="15"/>
      <c r="CA980" s="15"/>
      <c r="CB980" s="17"/>
      <c r="CC980" s="17"/>
      <c r="CD980" s="18"/>
      <c r="CE980" s="18"/>
      <c r="CF980" s="18"/>
      <c r="CG980" s="18"/>
      <c r="CH980" s="18"/>
    </row>
    <row r="981">
      <c r="A981" s="15"/>
      <c r="B981" s="16"/>
      <c r="C981" s="15"/>
      <c r="D981" s="9"/>
      <c r="E981" s="15"/>
      <c r="F981" s="15"/>
      <c r="G981" s="13"/>
      <c r="H981" s="13"/>
      <c r="I981" s="13"/>
      <c r="J981" s="13"/>
      <c r="K981" s="13"/>
      <c r="L981" s="13"/>
      <c r="M981" s="13"/>
      <c r="N981" s="13"/>
      <c r="O981" s="13"/>
      <c r="P981" s="13"/>
      <c r="Q981" s="13"/>
      <c r="R981" s="13"/>
      <c r="S981" s="13"/>
      <c r="T981" s="13"/>
      <c r="U981" s="13"/>
      <c r="V981" s="13"/>
      <c r="W981" s="13"/>
      <c r="X981" s="13"/>
      <c r="Y981" s="13"/>
      <c r="Z981" s="13"/>
      <c r="AA981" s="13"/>
      <c r="AB981" s="15"/>
      <c r="AC981" s="15"/>
      <c r="AD981" s="15"/>
      <c r="AE981" s="13"/>
      <c r="AF981" s="13"/>
      <c r="AG981" s="13"/>
      <c r="AH981" s="15"/>
      <c r="AI981" s="13"/>
      <c r="AJ981" s="13"/>
      <c r="AK981" s="13"/>
      <c r="AL981" s="13"/>
      <c r="AM981" s="15"/>
      <c r="AN981" s="13"/>
      <c r="AO981" s="15"/>
      <c r="AP981" s="15"/>
      <c r="AQ981" s="13"/>
      <c r="AR981" s="13"/>
      <c r="AS981" s="13"/>
      <c r="AT981" s="13"/>
      <c r="AU981" s="13"/>
      <c r="AV981" s="13"/>
      <c r="AW981" s="13"/>
      <c r="AX981" s="13"/>
      <c r="AY981" s="15"/>
      <c r="AZ981" s="15"/>
      <c r="BA981" s="16"/>
      <c r="BB981" s="15"/>
      <c r="BC981" s="15"/>
      <c r="BD981" s="13"/>
      <c r="BE981" s="13"/>
      <c r="BF981" s="13"/>
      <c r="BG981" s="13"/>
      <c r="BH981" s="13"/>
      <c r="BI981" s="13"/>
      <c r="BJ981" s="13"/>
      <c r="BK981" s="13"/>
      <c r="BL981" s="13"/>
      <c r="BM981" s="13"/>
      <c r="BN981" s="13"/>
      <c r="BO981" s="13"/>
      <c r="BP981" s="13"/>
      <c r="BQ981" s="15"/>
      <c r="BR981" s="15"/>
      <c r="BS981" s="15"/>
      <c r="BT981" s="15"/>
      <c r="BU981" s="15"/>
      <c r="BV981" s="15"/>
      <c r="BW981" s="15"/>
      <c r="BX981" s="15"/>
      <c r="BY981" s="15"/>
      <c r="BZ981" s="15"/>
      <c r="CA981" s="15"/>
      <c r="CB981" s="17"/>
      <c r="CC981" s="17"/>
      <c r="CD981" s="18"/>
      <c r="CE981" s="18"/>
      <c r="CF981" s="18"/>
      <c r="CG981" s="18"/>
      <c r="CH981" s="18"/>
    </row>
    <row r="982">
      <c r="A982" s="15"/>
      <c r="B982" s="16"/>
      <c r="C982" s="15"/>
      <c r="D982" s="9"/>
      <c r="E982" s="15"/>
      <c r="F982" s="15"/>
      <c r="G982" s="13"/>
      <c r="H982" s="13"/>
      <c r="I982" s="13"/>
      <c r="J982" s="13"/>
      <c r="K982" s="13"/>
      <c r="L982" s="13"/>
      <c r="M982" s="13"/>
      <c r="N982" s="13"/>
      <c r="O982" s="13"/>
      <c r="P982" s="13"/>
      <c r="Q982" s="13"/>
      <c r="R982" s="13"/>
      <c r="S982" s="13"/>
      <c r="T982" s="13"/>
      <c r="U982" s="13"/>
      <c r="V982" s="13"/>
      <c r="W982" s="13"/>
      <c r="X982" s="13"/>
      <c r="Y982" s="13"/>
      <c r="Z982" s="13"/>
      <c r="AA982" s="13"/>
      <c r="AB982" s="15"/>
      <c r="AC982" s="15"/>
      <c r="AD982" s="15"/>
      <c r="AE982" s="13"/>
      <c r="AF982" s="13"/>
      <c r="AG982" s="13"/>
      <c r="AH982" s="15"/>
      <c r="AI982" s="13"/>
      <c r="AJ982" s="13"/>
      <c r="AK982" s="13"/>
      <c r="AL982" s="13"/>
      <c r="AM982" s="15"/>
      <c r="AN982" s="13"/>
      <c r="AO982" s="15"/>
      <c r="AP982" s="15"/>
      <c r="AQ982" s="13"/>
      <c r="AR982" s="13"/>
      <c r="AS982" s="13"/>
      <c r="AT982" s="13"/>
      <c r="AU982" s="13"/>
      <c r="AV982" s="13"/>
      <c r="AW982" s="13"/>
      <c r="AX982" s="13"/>
      <c r="AY982" s="15"/>
      <c r="AZ982" s="15"/>
      <c r="BA982" s="16"/>
      <c r="BB982" s="15"/>
      <c r="BC982" s="15"/>
      <c r="BD982" s="13"/>
      <c r="BE982" s="13"/>
      <c r="BF982" s="13"/>
      <c r="BG982" s="13"/>
      <c r="BH982" s="13"/>
      <c r="BI982" s="13"/>
      <c r="BJ982" s="13"/>
      <c r="BK982" s="13"/>
      <c r="BL982" s="13"/>
      <c r="BM982" s="13"/>
      <c r="BN982" s="13"/>
      <c r="BO982" s="13"/>
      <c r="BP982" s="13"/>
      <c r="BQ982" s="15"/>
      <c r="BR982" s="15"/>
      <c r="BS982" s="15"/>
      <c r="BT982" s="15"/>
      <c r="BU982" s="15"/>
      <c r="BV982" s="15"/>
      <c r="BW982" s="15"/>
      <c r="BX982" s="15"/>
      <c r="BY982" s="15"/>
      <c r="BZ982" s="15"/>
      <c r="CA982" s="15"/>
      <c r="CB982" s="17"/>
      <c r="CC982" s="17"/>
      <c r="CD982" s="18"/>
      <c r="CE982" s="18"/>
      <c r="CF982" s="18"/>
      <c r="CG982" s="18"/>
      <c r="CH982" s="18"/>
    </row>
    <row r="983">
      <c r="A983" s="15"/>
      <c r="B983" s="16"/>
      <c r="C983" s="15"/>
      <c r="D983" s="9"/>
      <c r="E983" s="15"/>
      <c r="F983" s="15"/>
      <c r="G983" s="13"/>
      <c r="H983" s="13"/>
      <c r="I983" s="13"/>
      <c r="J983" s="13"/>
      <c r="K983" s="13"/>
      <c r="L983" s="13"/>
      <c r="M983" s="13"/>
      <c r="N983" s="13"/>
      <c r="O983" s="13"/>
      <c r="P983" s="13"/>
      <c r="Q983" s="13"/>
      <c r="R983" s="13"/>
      <c r="S983" s="13"/>
      <c r="T983" s="13"/>
      <c r="U983" s="13"/>
      <c r="V983" s="13"/>
      <c r="W983" s="13"/>
      <c r="X983" s="13"/>
      <c r="Y983" s="13"/>
      <c r="Z983" s="13"/>
      <c r="AA983" s="13"/>
      <c r="AB983" s="15"/>
      <c r="AC983" s="15"/>
      <c r="AD983" s="15"/>
      <c r="AE983" s="13"/>
      <c r="AF983" s="13"/>
      <c r="AG983" s="13"/>
      <c r="AH983" s="15"/>
      <c r="AI983" s="13"/>
      <c r="AJ983" s="13"/>
      <c r="AK983" s="13"/>
      <c r="AL983" s="13"/>
      <c r="AM983" s="15"/>
      <c r="AN983" s="13"/>
      <c r="AO983" s="15"/>
      <c r="AP983" s="15"/>
      <c r="AQ983" s="13"/>
      <c r="AR983" s="13"/>
      <c r="AS983" s="13"/>
      <c r="AT983" s="13"/>
      <c r="AU983" s="13"/>
      <c r="AV983" s="13"/>
      <c r="AW983" s="13"/>
      <c r="AX983" s="13"/>
      <c r="AY983" s="15"/>
      <c r="AZ983" s="15"/>
      <c r="BA983" s="16"/>
      <c r="BB983" s="15"/>
      <c r="BC983" s="15"/>
      <c r="BD983" s="13"/>
      <c r="BE983" s="13"/>
      <c r="BF983" s="13"/>
      <c r="BG983" s="13"/>
      <c r="BH983" s="13"/>
      <c r="BI983" s="13"/>
      <c r="BJ983" s="13"/>
      <c r="BK983" s="13"/>
      <c r="BL983" s="13"/>
      <c r="BM983" s="13"/>
      <c r="BN983" s="13"/>
      <c r="BO983" s="13"/>
      <c r="BP983" s="13"/>
      <c r="BQ983" s="15"/>
      <c r="BR983" s="15"/>
      <c r="BS983" s="15"/>
      <c r="BT983" s="15"/>
      <c r="BU983" s="15"/>
      <c r="BV983" s="15"/>
      <c r="BW983" s="15"/>
      <c r="BX983" s="15"/>
      <c r="BY983" s="15"/>
      <c r="BZ983" s="15"/>
      <c r="CA983" s="15"/>
      <c r="CB983" s="17"/>
      <c r="CC983" s="17"/>
      <c r="CD983" s="18"/>
      <c r="CE983" s="18"/>
      <c r="CF983" s="18"/>
      <c r="CG983" s="18"/>
      <c r="CH983" s="18"/>
    </row>
    <row r="984">
      <c r="A984" s="15"/>
      <c r="B984" s="16"/>
      <c r="C984" s="15"/>
      <c r="D984" s="9"/>
      <c r="E984" s="15"/>
      <c r="F984" s="15"/>
      <c r="G984" s="13"/>
      <c r="H984" s="13"/>
      <c r="I984" s="13"/>
      <c r="J984" s="13"/>
      <c r="K984" s="13"/>
      <c r="L984" s="13"/>
      <c r="M984" s="13"/>
      <c r="N984" s="13"/>
      <c r="O984" s="13"/>
      <c r="P984" s="13"/>
      <c r="Q984" s="13"/>
      <c r="R984" s="13"/>
      <c r="S984" s="13"/>
      <c r="T984" s="13"/>
      <c r="U984" s="13"/>
      <c r="V984" s="13"/>
      <c r="W984" s="13"/>
      <c r="X984" s="13"/>
      <c r="Y984" s="13"/>
      <c r="Z984" s="13"/>
      <c r="AA984" s="13"/>
      <c r="AB984" s="15"/>
      <c r="AC984" s="15"/>
      <c r="AD984" s="15"/>
      <c r="AE984" s="13"/>
      <c r="AF984" s="13"/>
      <c r="AG984" s="13"/>
      <c r="AH984" s="15"/>
      <c r="AI984" s="13"/>
      <c r="AJ984" s="13"/>
      <c r="AK984" s="13"/>
      <c r="AL984" s="13"/>
      <c r="AM984" s="15"/>
      <c r="AN984" s="13"/>
      <c r="AO984" s="15"/>
      <c r="AP984" s="15"/>
      <c r="AQ984" s="13"/>
      <c r="AR984" s="13"/>
      <c r="AS984" s="13"/>
      <c r="AT984" s="13"/>
      <c r="AU984" s="13"/>
      <c r="AV984" s="13"/>
      <c r="AW984" s="13"/>
      <c r="AX984" s="13"/>
      <c r="AY984" s="15"/>
      <c r="AZ984" s="15"/>
      <c r="BA984" s="16"/>
      <c r="BB984" s="15"/>
      <c r="BC984" s="15"/>
      <c r="BD984" s="13"/>
      <c r="BE984" s="13"/>
      <c r="BF984" s="13"/>
      <c r="BG984" s="13"/>
      <c r="BH984" s="13"/>
      <c r="BI984" s="13"/>
      <c r="BJ984" s="13"/>
      <c r="BK984" s="13"/>
      <c r="BL984" s="13"/>
      <c r="BM984" s="13"/>
      <c r="BN984" s="13"/>
      <c r="BO984" s="13"/>
      <c r="BP984" s="13"/>
      <c r="BQ984" s="15"/>
      <c r="BR984" s="15"/>
      <c r="BS984" s="15"/>
      <c r="BT984" s="15"/>
      <c r="BU984" s="15"/>
      <c r="BV984" s="15"/>
      <c r="BW984" s="15"/>
      <c r="BX984" s="15"/>
      <c r="BY984" s="15"/>
      <c r="BZ984" s="15"/>
      <c r="CA984" s="15"/>
      <c r="CB984" s="17"/>
      <c r="CC984" s="17"/>
      <c r="CD984" s="18"/>
      <c r="CE984" s="18"/>
      <c r="CF984" s="18"/>
      <c r="CG984" s="18"/>
      <c r="CH984" s="18"/>
    </row>
    <row r="985">
      <c r="A985" s="15"/>
      <c r="B985" s="16"/>
      <c r="C985" s="15"/>
      <c r="D985" s="9"/>
      <c r="E985" s="15"/>
      <c r="F985" s="15"/>
      <c r="G985" s="13"/>
      <c r="H985" s="13"/>
      <c r="I985" s="13"/>
      <c r="J985" s="13"/>
      <c r="K985" s="13"/>
      <c r="L985" s="13"/>
      <c r="M985" s="13"/>
      <c r="N985" s="13"/>
      <c r="O985" s="13"/>
      <c r="P985" s="13"/>
      <c r="Q985" s="13"/>
      <c r="R985" s="13"/>
      <c r="S985" s="13"/>
      <c r="T985" s="13"/>
      <c r="U985" s="13"/>
      <c r="V985" s="13"/>
      <c r="W985" s="13"/>
      <c r="X985" s="13"/>
      <c r="Y985" s="13"/>
      <c r="Z985" s="13"/>
      <c r="AA985" s="13"/>
      <c r="AB985" s="15"/>
      <c r="AC985" s="15"/>
      <c r="AD985" s="15"/>
      <c r="AE985" s="13"/>
      <c r="AF985" s="13"/>
      <c r="AG985" s="13"/>
      <c r="AH985" s="15"/>
      <c r="AI985" s="13"/>
      <c r="AJ985" s="13"/>
      <c r="AK985" s="13"/>
      <c r="AL985" s="13"/>
      <c r="AM985" s="15"/>
      <c r="AN985" s="13"/>
      <c r="AO985" s="15"/>
      <c r="AP985" s="15"/>
      <c r="AQ985" s="13"/>
      <c r="AR985" s="13"/>
      <c r="AS985" s="13"/>
      <c r="AT985" s="13"/>
      <c r="AU985" s="13"/>
      <c r="AV985" s="13"/>
      <c r="AW985" s="13"/>
      <c r="AX985" s="13"/>
      <c r="AY985" s="15"/>
      <c r="AZ985" s="15"/>
      <c r="BA985" s="16"/>
      <c r="BB985" s="15"/>
      <c r="BC985" s="15"/>
      <c r="BD985" s="13"/>
      <c r="BE985" s="13"/>
      <c r="BF985" s="13"/>
      <c r="BG985" s="13"/>
      <c r="BH985" s="13"/>
      <c r="BI985" s="13"/>
      <c r="BJ985" s="13"/>
      <c r="BK985" s="13"/>
      <c r="BL985" s="13"/>
      <c r="BM985" s="13"/>
      <c r="BN985" s="13"/>
      <c r="BO985" s="13"/>
      <c r="BP985" s="13"/>
      <c r="BQ985" s="15"/>
      <c r="BR985" s="15"/>
      <c r="BS985" s="15"/>
      <c r="BT985" s="15"/>
      <c r="BU985" s="15"/>
      <c r="BV985" s="15"/>
      <c r="BW985" s="15"/>
      <c r="BX985" s="15"/>
      <c r="BY985" s="15"/>
      <c r="BZ985" s="15"/>
      <c r="CA985" s="15"/>
      <c r="CB985" s="17"/>
      <c r="CC985" s="17"/>
      <c r="CD985" s="18"/>
      <c r="CE985" s="18"/>
      <c r="CF985" s="18"/>
      <c r="CG985" s="18"/>
      <c r="CH985" s="18"/>
    </row>
    <row r="986">
      <c r="A986" s="15"/>
      <c r="B986" s="16"/>
      <c r="C986" s="15"/>
      <c r="D986" s="9"/>
      <c r="E986" s="15"/>
      <c r="F986" s="15"/>
      <c r="G986" s="13"/>
      <c r="H986" s="13"/>
      <c r="I986" s="13"/>
      <c r="J986" s="13"/>
      <c r="K986" s="13"/>
      <c r="L986" s="13"/>
      <c r="M986" s="13"/>
      <c r="N986" s="13"/>
      <c r="O986" s="13"/>
      <c r="P986" s="13"/>
      <c r="Q986" s="13"/>
      <c r="R986" s="13"/>
      <c r="S986" s="13"/>
      <c r="T986" s="13"/>
      <c r="U986" s="13"/>
      <c r="V986" s="13"/>
      <c r="W986" s="13"/>
      <c r="X986" s="13"/>
      <c r="Y986" s="13"/>
      <c r="Z986" s="13"/>
      <c r="AA986" s="13"/>
      <c r="AB986" s="15"/>
      <c r="AC986" s="15"/>
      <c r="AD986" s="15"/>
      <c r="AE986" s="13"/>
      <c r="AF986" s="13"/>
      <c r="AG986" s="13"/>
      <c r="AH986" s="15"/>
      <c r="AI986" s="13"/>
      <c r="AJ986" s="13"/>
      <c r="AK986" s="13"/>
      <c r="AL986" s="13"/>
      <c r="AM986" s="15"/>
      <c r="AN986" s="13"/>
      <c r="AO986" s="15"/>
      <c r="AP986" s="15"/>
      <c r="AQ986" s="13"/>
      <c r="AR986" s="13"/>
      <c r="AS986" s="13"/>
      <c r="AT986" s="13"/>
      <c r="AU986" s="13"/>
      <c r="AV986" s="13"/>
      <c r="AW986" s="13"/>
      <c r="AX986" s="13"/>
      <c r="AY986" s="15"/>
      <c r="AZ986" s="15"/>
      <c r="BA986" s="16"/>
      <c r="BB986" s="15"/>
      <c r="BC986" s="15"/>
      <c r="BD986" s="13"/>
      <c r="BE986" s="13"/>
      <c r="BF986" s="13"/>
      <c r="BG986" s="13"/>
      <c r="BH986" s="13"/>
      <c r="BI986" s="13"/>
      <c r="BJ986" s="13"/>
      <c r="BK986" s="13"/>
      <c r="BL986" s="13"/>
      <c r="BM986" s="13"/>
      <c r="BN986" s="13"/>
      <c r="BO986" s="13"/>
      <c r="BP986" s="13"/>
      <c r="BQ986" s="15"/>
      <c r="BR986" s="15"/>
      <c r="BS986" s="15"/>
      <c r="BT986" s="15"/>
      <c r="BU986" s="15"/>
      <c r="BV986" s="15"/>
      <c r="BW986" s="15"/>
      <c r="BX986" s="15"/>
      <c r="BY986" s="15"/>
      <c r="BZ986" s="15"/>
      <c r="CA986" s="15"/>
      <c r="CB986" s="17"/>
      <c r="CC986" s="17"/>
      <c r="CD986" s="18"/>
      <c r="CE986" s="18"/>
      <c r="CF986" s="18"/>
      <c r="CG986" s="18"/>
      <c r="CH986" s="18"/>
    </row>
    <row r="987">
      <c r="A987" s="15"/>
      <c r="B987" s="16"/>
      <c r="C987" s="15"/>
      <c r="D987" s="9"/>
      <c r="E987" s="15"/>
      <c r="F987" s="15"/>
      <c r="G987" s="13"/>
      <c r="H987" s="13"/>
      <c r="I987" s="13"/>
      <c r="J987" s="13"/>
      <c r="K987" s="13"/>
      <c r="L987" s="13"/>
      <c r="M987" s="13"/>
      <c r="N987" s="13"/>
      <c r="O987" s="13"/>
      <c r="P987" s="13"/>
      <c r="Q987" s="13"/>
      <c r="R987" s="13"/>
      <c r="S987" s="13"/>
      <c r="T987" s="13"/>
      <c r="U987" s="13"/>
      <c r="V987" s="13"/>
      <c r="W987" s="13"/>
      <c r="X987" s="13"/>
      <c r="Y987" s="13"/>
      <c r="Z987" s="13"/>
      <c r="AA987" s="13"/>
      <c r="AB987" s="15"/>
      <c r="AC987" s="15"/>
      <c r="AD987" s="15"/>
      <c r="AE987" s="13"/>
      <c r="AF987" s="13"/>
      <c r="AG987" s="13"/>
      <c r="AH987" s="15"/>
      <c r="AI987" s="13"/>
      <c r="AJ987" s="13"/>
      <c r="AK987" s="13"/>
      <c r="AL987" s="13"/>
      <c r="AM987" s="15"/>
      <c r="AN987" s="13"/>
      <c r="AO987" s="15"/>
      <c r="AP987" s="15"/>
      <c r="AQ987" s="13"/>
      <c r="AR987" s="13"/>
      <c r="AS987" s="13"/>
      <c r="AT987" s="13"/>
      <c r="AU987" s="13"/>
      <c r="AV987" s="13"/>
      <c r="AW987" s="13"/>
      <c r="AX987" s="13"/>
      <c r="AY987" s="15"/>
      <c r="AZ987" s="15"/>
      <c r="BA987" s="16"/>
      <c r="BB987" s="15"/>
      <c r="BC987" s="15"/>
      <c r="BD987" s="13"/>
      <c r="BE987" s="13"/>
      <c r="BF987" s="13"/>
      <c r="BG987" s="13"/>
      <c r="BH987" s="13"/>
      <c r="BI987" s="13"/>
      <c r="BJ987" s="13"/>
      <c r="BK987" s="13"/>
      <c r="BL987" s="13"/>
      <c r="BM987" s="13"/>
      <c r="BN987" s="13"/>
      <c r="BO987" s="13"/>
      <c r="BP987" s="13"/>
      <c r="BQ987" s="15"/>
      <c r="BR987" s="15"/>
      <c r="BS987" s="15"/>
      <c r="BT987" s="15"/>
      <c r="BU987" s="15"/>
      <c r="BV987" s="15"/>
      <c r="BW987" s="15"/>
      <c r="BX987" s="15"/>
      <c r="BY987" s="15"/>
      <c r="BZ987" s="15"/>
      <c r="CA987" s="15"/>
      <c r="CB987" s="17"/>
      <c r="CC987" s="17"/>
      <c r="CD987" s="18"/>
      <c r="CE987" s="18"/>
      <c r="CF987" s="18"/>
      <c r="CG987" s="18"/>
      <c r="CH987" s="18"/>
    </row>
    <row r="988">
      <c r="A988" s="15"/>
      <c r="B988" s="16"/>
      <c r="C988" s="15"/>
      <c r="D988" s="9"/>
      <c r="E988" s="15"/>
      <c r="F988" s="15"/>
      <c r="G988" s="13"/>
      <c r="H988" s="13"/>
      <c r="I988" s="13"/>
      <c r="J988" s="13"/>
      <c r="K988" s="13"/>
      <c r="L988" s="13"/>
      <c r="M988" s="13"/>
      <c r="N988" s="13"/>
      <c r="O988" s="13"/>
      <c r="P988" s="13"/>
      <c r="Q988" s="13"/>
      <c r="R988" s="13"/>
      <c r="S988" s="13"/>
      <c r="T988" s="13"/>
      <c r="U988" s="13"/>
      <c r="V988" s="13"/>
      <c r="W988" s="13"/>
      <c r="X988" s="13"/>
      <c r="Y988" s="13"/>
      <c r="Z988" s="13"/>
      <c r="AA988" s="13"/>
      <c r="AB988" s="15"/>
      <c r="AC988" s="15"/>
      <c r="AD988" s="15"/>
      <c r="AE988" s="13"/>
      <c r="AF988" s="13"/>
      <c r="AG988" s="13"/>
      <c r="AH988" s="15"/>
      <c r="AI988" s="13"/>
      <c r="AJ988" s="13"/>
      <c r="AK988" s="13"/>
      <c r="AL988" s="13"/>
      <c r="AM988" s="15"/>
      <c r="AN988" s="13"/>
      <c r="AO988" s="15"/>
      <c r="AP988" s="15"/>
      <c r="AQ988" s="13"/>
      <c r="AR988" s="13"/>
      <c r="AS988" s="13"/>
      <c r="AT988" s="13"/>
      <c r="AU988" s="13"/>
      <c r="AV988" s="13"/>
      <c r="AW988" s="13"/>
      <c r="AX988" s="13"/>
      <c r="AY988" s="15"/>
      <c r="AZ988" s="15"/>
      <c r="BA988" s="16"/>
      <c r="BB988" s="15"/>
      <c r="BC988" s="15"/>
      <c r="BD988" s="13"/>
      <c r="BE988" s="13"/>
      <c r="BF988" s="13"/>
      <c r="BG988" s="13"/>
      <c r="BH988" s="13"/>
      <c r="BI988" s="13"/>
      <c r="BJ988" s="13"/>
      <c r="BK988" s="13"/>
      <c r="BL988" s="13"/>
      <c r="BM988" s="13"/>
      <c r="BN988" s="13"/>
      <c r="BO988" s="13"/>
      <c r="BP988" s="13"/>
      <c r="BQ988" s="15"/>
      <c r="BR988" s="15"/>
      <c r="BS988" s="15"/>
      <c r="BT988" s="15"/>
      <c r="BU988" s="15"/>
      <c r="BV988" s="15"/>
      <c r="BW988" s="15"/>
      <c r="BX988" s="15"/>
      <c r="BY988" s="15"/>
      <c r="BZ988" s="15"/>
      <c r="CA988" s="15"/>
      <c r="CB988" s="17"/>
      <c r="CC988" s="17"/>
      <c r="CD988" s="18"/>
      <c r="CE988" s="18"/>
      <c r="CF988" s="18"/>
      <c r="CG988" s="18"/>
      <c r="CH988" s="18"/>
    </row>
    <row r="989">
      <c r="A989" s="15"/>
      <c r="B989" s="16"/>
      <c r="C989" s="15"/>
      <c r="D989" s="9"/>
      <c r="E989" s="15"/>
      <c r="F989" s="15"/>
      <c r="G989" s="13"/>
      <c r="H989" s="13"/>
      <c r="I989" s="13"/>
      <c r="J989" s="13"/>
      <c r="K989" s="13"/>
      <c r="L989" s="13"/>
      <c r="M989" s="13"/>
      <c r="N989" s="13"/>
      <c r="O989" s="13"/>
      <c r="P989" s="13"/>
      <c r="Q989" s="13"/>
      <c r="R989" s="13"/>
      <c r="S989" s="13"/>
      <c r="T989" s="13"/>
      <c r="U989" s="13"/>
      <c r="V989" s="13"/>
      <c r="W989" s="13"/>
      <c r="X989" s="13"/>
      <c r="Y989" s="13"/>
      <c r="Z989" s="13"/>
      <c r="AA989" s="13"/>
      <c r="AB989" s="15"/>
      <c r="AC989" s="15"/>
      <c r="AD989" s="15"/>
      <c r="AE989" s="13"/>
      <c r="AF989" s="13"/>
      <c r="AG989" s="13"/>
      <c r="AH989" s="15"/>
      <c r="AI989" s="13"/>
      <c r="AJ989" s="13"/>
      <c r="AK989" s="13"/>
      <c r="AL989" s="13"/>
      <c r="AM989" s="15"/>
      <c r="AN989" s="13"/>
      <c r="AO989" s="15"/>
      <c r="AP989" s="15"/>
      <c r="AQ989" s="13"/>
      <c r="AR989" s="13"/>
      <c r="AS989" s="13"/>
      <c r="AT989" s="13"/>
      <c r="AU989" s="13"/>
      <c r="AV989" s="13"/>
      <c r="AW989" s="13"/>
      <c r="AX989" s="13"/>
      <c r="AY989" s="15"/>
      <c r="AZ989" s="15"/>
      <c r="BA989" s="16"/>
      <c r="BB989" s="15"/>
      <c r="BC989" s="15"/>
      <c r="BD989" s="13"/>
      <c r="BE989" s="13"/>
      <c r="BF989" s="13"/>
      <c r="BG989" s="13"/>
      <c r="BH989" s="13"/>
      <c r="BI989" s="13"/>
      <c r="BJ989" s="13"/>
      <c r="BK989" s="13"/>
      <c r="BL989" s="13"/>
      <c r="BM989" s="13"/>
      <c r="BN989" s="13"/>
      <c r="BO989" s="13"/>
      <c r="BP989" s="13"/>
      <c r="BQ989" s="15"/>
      <c r="BR989" s="15"/>
      <c r="BS989" s="15"/>
      <c r="BT989" s="15"/>
      <c r="BU989" s="15"/>
      <c r="BV989" s="15"/>
      <c r="BW989" s="15"/>
      <c r="BX989" s="15"/>
      <c r="BY989" s="15"/>
      <c r="BZ989" s="15"/>
      <c r="CA989" s="15"/>
      <c r="CB989" s="17"/>
      <c r="CC989" s="17"/>
      <c r="CD989" s="18"/>
      <c r="CE989" s="18"/>
      <c r="CF989" s="18"/>
      <c r="CG989" s="18"/>
      <c r="CH989" s="18"/>
    </row>
    <row r="990">
      <c r="A990" s="15"/>
      <c r="B990" s="16"/>
      <c r="C990" s="15"/>
      <c r="D990" s="9"/>
      <c r="E990" s="15"/>
      <c r="F990" s="15"/>
      <c r="G990" s="13"/>
      <c r="H990" s="13"/>
      <c r="I990" s="13"/>
      <c r="J990" s="13"/>
      <c r="K990" s="13"/>
      <c r="L990" s="13"/>
      <c r="M990" s="13"/>
      <c r="N990" s="13"/>
      <c r="O990" s="13"/>
      <c r="P990" s="13"/>
      <c r="Q990" s="13"/>
      <c r="R990" s="13"/>
      <c r="S990" s="13"/>
      <c r="T990" s="13"/>
      <c r="U990" s="13"/>
      <c r="V990" s="13"/>
      <c r="W990" s="13"/>
      <c r="X990" s="13"/>
      <c r="Y990" s="13"/>
      <c r="Z990" s="13"/>
      <c r="AA990" s="13"/>
      <c r="AB990" s="15"/>
      <c r="AC990" s="15"/>
      <c r="AD990" s="15"/>
      <c r="AE990" s="13"/>
      <c r="AF990" s="13"/>
      <c r="AG990" s="13"/>
      <c r="AH990" s="15"/>
      <c r="AI990" s="13"/>
      <c r="AJ990" s="13"/>
      <c r="AK990" s="13"/>
      <c r="AL990" s="13"/>
      <c r="AM990" s="15"/>
      <c r="AN990" s="13"/>
      <c r="AO990" s="15"/>
      <c r="AP990" s="15"/>
      <c r="AQ990" s="13"/>
      <c r="AR990" s="13"/>
      <c r="AS990" s="13"/>
      <c r="AT990" s="13"/>
      <c r="AU990" s="13"/>
      <c r="AV990" s="13"/>
      <c r="AW990" s="13"/>
      <c r="AX990" s="13"/>
      <c r="AY990" s="15"/>
      <c r="AZ990" s="15"/>
      <c r="BA990" s="16"/>
      <c r="BB990" s="15"/>
      <c r="BC990" s="15"/>
      <c r="BD990" s="13"/>
      <c r="BE990" s="13"/>
      <c r="BF990" s="13"/>
      <c r="BG990" s="13"/>
      <c r="BH990" s="13"/>
      <c r="BI990" s="13"/>
      <c r="BJ990" s="13"/>
      <c r="BK990" s="13"/>
      <c r="BL990" s="13"/>
      <c r="BM990" s="13"/>
      <c r="BN990" s="13"/>
      <c r="BO990" s="13"/>
      <c r="BP990" s="13"/>
      <c r="BQ990" s="15"/>
      <c r="BR990" s="15"/>
      <c r="BS990" s="15"/>
      <c r="BT990" s="15"/>
      <c r="BU990" s="15"/>
      <c r="BV990" s="15"/>
      <c r="BW990" s="15"/>
      <c r="BX990" s="15"/>
      <c r="BY990" s="15"/>
      <c r="BZ990" s="15"/>
      <c r="CA990" s="15"/>
      <c r="CB990" s="17"/>
      <c r="CC990" s="17"/>
      <c r="CD990" s="18"/>
      <c r="CE990" s="18"/>
      <c r="CF990" s="18"/>
      <c r="CG990" s="18"/>
      <c r="CH990" s="18"/>
    </row>
    <row r="991">
      <c r="A991" s="15"/>
      <c r="B991" s="16"/>
      <c r="C991" s="15"/>
      <c r="D991" s="9"/>
      <c r="E991" s="15"/>
      <c r="F991" s="15"/>
      <c r="G991" s="13"/>
      <c r="H991" s="13"/>
      <c r="I991" s="13"/>
      <c r="J991" s="13"/>
      <c r="K991" s="13"/>
      <c r="L991" s="13"/>
      <c r="M991" s="13"/>
      <c r="N991" s="13"/>
      <c r="O991" s="13"/>
      <c r="P991" s="13"/>
      <c r="Q991" s="13"/>
      <c r="R991" s="13"/>
      <c r="S991" s="13"/>
      <c r="T991" s="13"/>
      <c r="U991" s="13"/>
      <c r="V991" s="13"/>
      <c r="W991" s="13"/>
      <c r="X991" s="13"/>
      <c r="Y991" s="13"/>
      <c r="Z991" s="13"/>
      <c r="AA991" s="13"/>
      <c r="AB991" s="15"/>
      <c r="AC991" s="15"/>
      <c r="AD991" s="15"/>
      <c r="AE991" s="13"/>
      <c r="AF991" s="13"/>
      <c r="AG991" s="13"/>
      <c r="AH991" s="15"/>
      <c r="AI991" s="13"/>
      <c r="AJ991" s="13"/>
      <c r="AK991" s="13"/>
      <c r="AL991" s="13"/>
      <c r="AM991" s="15"/>
      <c r="AN991" s="13"/>
      <c r="AO991" s="15"/>
      <c r="AP991" s="15"/>
      <c r="AQ991" s="13"/>
      <c r="AR991" s="13"/>
      <c r="AS991" s="13"/>
      <c r="AT991" s="13"/>
      <c r="AU991" s="13"/>
      <c r="AV991" s="13"/>
      <c r="AW991" s="13"/>
      <c r="AX991" s="13"/>
      <c r="AY991" s="15"/>
      <c r="AZ991" s="15"/>
      <c r="BA991" s="16"/>
      <c r="BB991" s="15"/>
      <c r="BC991" s="15"/>
      <c r="BD991" s="13"/>
      <c r="BE991" s="13"/>
      <c r="BF991" s="13"/>
      <c r="BG991" s="13"/>
      <c r="BH991" s="13"/>
      <c r="BI991" s="13"/>
      <c r="BJ991" s="13"/>
      <c r="BK991" s="13"/>
      <c r="BL991" s="13"/>
      <c r="BM991" s="13"/>
      <c r="BN991" s="13"/>
      <c r="BO991" s="13"/>
      <c r="BP991" s="13"/>
      <c r="BQ991" s="15"/>
      <c r="BR991" s="15"/>
      <c r="BS991" s="15"/>
      <c r="BT991" s="15"/>
      <c r="BU991" s="15"/>
      <c r="BV991" s="15"/>
      <c r="BW991" s="15"/>
      <c r="BX991" s="15"/>
      <c r="BY991" s="15"/>
      <c r="BZ991" s="15"/>
      <c r="CA991" s="15"/>
      <c r="CB991" s="17"/>
      <c r="CC991" s="17"/>
      <c r="CD991" s="18"/>
      <c r="CE991" s="18"/>
      <c r="CF991" s="18"/>
      <c r="CG991" s="18"/>
      <c r="CH991" s="18"/>
    </row>
    <row r="992">
      <c r="A992" s="15"/>
      <c r="B992" s="16"/>
      <c r="C992" s="15"/>
      <c r="D992" s="9"/>
      <c r="E992" s="15"/>
      <c r="F992" s="15"/>
      <c r="G992" s="13"/>
      <c r="H992" s="13"/>
      <c r="I992" s="13"/>
      <c r="J992" s="13"/>
      <c r="K992" s="13"/>
      <c r="L992" s="13"/>
      <c r="M992" s="13"/>
      <c r="N992" s="13"/>
      <c r="O992" s="13"/>
      <c r="P992" s="13"/>
      <c r="Q992" s="13"/>
      <c r="R992" s="13"/>
      <c r="S992" s="13"/>
      <c r="T992" s="13"/>
      <c r="U992" s="13"/>
      <c r="V992" s="13"/>
      <c r="W992" s="13"/>
      <c r="X992" s="13"/>
      <c r="Y992" s="13"/>
      <c r="Z992" s="13"/>
      <c r="AA992" s="13"/>
      <c r="AB992" s="15"/>
      <c r="AC992" s="15"/>
      <c r="AD992" s="15"/>
      <c r="AE992" s="13"/>
      <c r="AF992" s="13"/>
      <c r="AG992" s="13"/>
      <c r="AH992" s="15"/>
      <c r="AI992" s="13"/>
      <c r="AJ992" s="13"/>
      <c r="AK992" s="13"/>
      <c r="AL992" s="13"/>
      <c r="AM992" s="15"/>
      <c r="AN992" s="13"/>
      <c r="AO992" s="15"/>
      <c r="AP992" s="15"/>
      <c r="AQ992" s="13"/>
      <c r="AR992" s="13"/>
      <c r="AS992" s="13"/>
      <c r="AT992" s="13"/>
      <c r="AU992" s="13"/>
      <c r="AV992" s="13"/>
      <c r="AW992" s="13"/>
      <c r="AX992" s="13"/>
      <c r="AY992" s="15"/>
      <c r="AZ992" s="15"/>
      <c r="BA992" s="16"/>
      <c r="BB992" s="15"/>
      <c r="BC992" s="15"/>
      <c r="BD992" s="13"/>
      <c r="BE992" s="13"/>
      <c r="BF992" s="13"/>
      <c r="BG992" s="13"/>
      <c r="BH992" s="13"/>
      <c r="BI992" s="13"/>
      <c r="BJ992" s="13"/>
      <c r="BK992" s="13"/>
      <c r="BL992" s="13"/>
      <c r="BM992" s="13"/>
      <c r="BN992" s="13"/>
      <c r="BO992" s="13"/>
      <c r="BP992" s="13"/>
      <c r="BQ992" s="15"/>
      <c r="BR992" s="15"/>
      <c r="BS992" s="15"/>
      <c r="BT992" s="15"/>
      <c r="BU992" s="15"/>
      <c r="BV992" s="15"/>
      <c r="BW992" s="15"/>
      <c r="BX992" s="15"/>
      <c r="BY992" s="15"/>
      <c r="BZ992" s="15"/>
      <c r="CA992" s="15"/>
      <c r="CB992" s="17"/>
      <c r="CC992" s="17"/>
      <c r="CD992" s="18"/>
      <c r="CE992" s="18"/>
      <c r="CF992" s="18"/>
      <c r="CG992" s="18"/>
      <c r="CH992" s="18"/>
    </row>
    <row r="993">
      <c r="A993" s="15"/>
      <c r="B993" s="16"/>
      <c r="C993" s="15"/>
      <c r="D993" s="9"/>
      <c r="E993" s="15"/>
      <c r="F993" s="15"/>
      <c r="G993" s="13"/>
      <c r="H993" s="13"/>
      <c r="I993" s="13"/>
      <c r="J993" s="13"/>
      <c r="K993" s="13"/>
      <c r="L993" s="13"/>
      <c r="M993" s="13"/>
      <c r="N993" s="13"/>
      <c r="O993" s="13"/>
      <c r="P993" s="13"/>
      <c r="Q993" s="13"/>
      <c r="R993" s="13"/>
      <c r="S993" s="13"/>
      <c r="T993" s="13"/>
      <c r="U993" s="13"/>
      <c r="V993" s="13"/>
      <c r="W993" s="13"/>
      <c r="X993" s="13"/>
      <c r="Y993" s="13"/>
      <c r="Z993" s="13"/>
      <c r="AA993" s="13"/>
      <c r="AB993" s="15"/>
      <c r="AC993" s="15"/>
      <c r="AD993" s="15"/>
      <c r="AE993" s="13"/>
      <c r="AF993" s="13"/>
      <c r="AG993" s="13"/>
      <c r="AH993" s="15"/>
      <c r="AI993" s="13"/>
      <c r="AJ993" s="13"/>
      <c r="AK993" s="13"/>
      <c r="AL993" s="13"/>
      <c r="AM993" s="15"/>
      <c r="AN993" s="13"/>
      <c r="AO993" s="15"/>
      <c r="AP993" s="15"/>
      <c r="AQ993" s="13"/>
      <c r="AR993" s="13"/>
      <c r="AS993" s="13"/>
      <c r="AT993" s="13"/>
      <c r="AU993" s="13"/>
      <c r="AV993" s="13"/>
      <c r="AW993" s="13"/>
      <c r="AX993" s="13"/>
      <c r="AY993" s="15"/>
      <c r="AZ993" s="15"/>
      <c r="BA993" s="16"/>
      <c r="BB993" s="15"/>
      <c r="BC993" s="15"/>
      <c r="BD993" s="13"/>
      <c r="BE993" s="13"/>
      <c r="BF993" s="13"/>
      <c r="BG993" s="13"/>
      <c r="BH993" s="13"/>
      <c r="BI993" s="13"/>
      <c r="BJ993" s="13"/>
      <c r="BK993" s="13"/>
      <c r="BL993" s="13"/>
      <c r="BM993" s="13"/>
      <c r="BN993" s="13"/>
      <c r="BO993" s="13"/>
      <c r="BP993" s="13"/>
      <c r="BQ993" s="15"/>
      <c r="BR993" s="15"/>
      <c r="BS993" s="15"/>
      <c r="BT993" s="15"/>
      <c r="BU993" s="15"/>
      <c r="BV993" s="15"/>
      <c r="BW993" s="15"/>
      <c r="BX993" s="15"/>
      <c r="BY993" s="15"/>
      <c r="BZ993" s="15"/>
      <c r="CA993" s="15"/>
      <c r="CB993" s="17"/>
      <c r="CC993" s="17"/>
      <c r="CD993" s="18"/>
      <c r="CE993" s="18"/>
      <c r="CF993" s="18"/>
      <c r="CG993" s="18"/>
      <c r="CH993" s="18"/>
    </row>
    <row r="994">
      <c r="A994" s="15"/>
      <c r="B994" s="16"/>
      <c r="C994" s="15"/>
      <c r="D994" s="9"/>
      <c r="E994" s="15"/>
      <c r="F994" s="15"/>
      <c r="G994" s="13"/>
      <c r="H994" s="13"/>
      <c r="I994" s="13"/>
      <c r="J994" s="13"/>
      <c r="K994" s="13"/>
      <c r="L994" s="13"/>
      <c r="M994" s="13"/>
      <c r="N994" s="13"/>
      <c r="O994" s="13"/>
      <c r="P994" s="13"/>
      <c r="Q994" s="13"/>
      <c r="R994" s="13"/>
      <c r="S994" s="13"/>
      <c r="T994" s="13"/>
      <c r="U994" s="13"/>
      <c r="V994" s="13"/>
      <c r="W994" s="13"/>
      <c r="X994" s="13"/>
      <c r="Y994" s="13"/>
      <c r="Z994" s="13"/>
      <c r="AA994" s="13"/>
      <c r="AB994" s="15"/>
      <c r="AC994" s="15"/>
      <c r="AD994" s="15"/>
      <c r="AE994" s="13"/>
      <c r="AF994" s="13"/>
      <c r="AG994" s="13"/>
      <c r="AH994" s="15"/>
      <c r="AI994" s="13"/>
      <c r="AJ994" s="13"/>
      <c r="AK994" s="13"/>
      <c r="AL994" s="13"/>
      <c r="AM994" s="15"/>
      <c r="AN994" s="13"/>
      <c r="AO994" s="15"/>
      <c r="AP994" s="15"/>
      <c r="AQ994" s="13"/>
      <c r="AR994" s="13"/>
      <c r="AS994" s="13"/>
      <c r="AT994" s="13"/>
      <c r="AU994" s="13"/>
      <c r="AV994" s="13"/>
      <c r="AW994" s="13"/>
      <c r="AX994" s="13"/>
      <c r="AY994" s="15"/>
      <c r="AZ994" s="15"/>
      <c r="BA994" s="16"/>
      <c r="BB994" s="15"/>
      <c r="BC994" s="15"/>
      <c r="BD994" s="13"/>
      <c r="BE994" s="13"/>
      <c r="BF994" s="13"/>
      <c r="BG994" s="13"/>
      <c r="BH994" s="13"/>
      <c r="BI994" s="13"/>
      <c r="BJ994" s="13"/>
      <c r="BK994" s="13"/>
      <c r="BL994" s="13"/>
      <c r="BM994" s="13"/>
      <c r="BN994" s="13"/>
      <c r="BO994" s="13"/>
      <c r="BP994" s="13"/>
      <c r="BQ994" s="15"/>
      <c r="BR994" s="15"/>
      <c r="BS994" s="15"/>
      <c r="BT994" s="15"/>
      <c r="BU994" s="15"/>
      <c r="BV994" s="15"/>
      <c r="BW994" s="15"/>
      <c r="BX994" s="15"/>
      <c r="BY994" s="15"/>
      <c r="BZ994" s="15"/>
      <c r="CA994" s="15"/>
      <c r="CB994" s="17"/>
      <c r="CC994" s="17"/>
      <c r="CD994" s="18"/>
      <c r="CE994" s="18"/>
      <c r="CF994" s="18"/>
      <c r="CG994" s="18"/>
      <c r="CH994" s="18"/>
    </row>
    <row r="995">
      <c r="A995" s="15"/>
      <c r="B995" s="16"/>
      <c r="C995" s="15"/>
      <c r="D995" s="9"/>
      <c r="E995" s="15"/>
      <c r="F995" s="15"/>
      <c r="G995" s="13"/>
      <c r="H995" s="13"/>
      <c r="I995" s="13"/>
      <c r="J995" s="13"/>
      <c r="K995" s="13"/>
      <c r="L995" s="13"/>
      <c r="M995" s="13"/>
      <c r="N995" s="13"/>
      <c r="O995" s="13"/>
      <c r="P995" s="13"/>
      <c r="Q995" s="13"/>
      <c r="R995" s="13"/>
      <c r="S995" s="13"/>
      <c r="T995" s="13"/>
      <c r="U995" s="13"/>
      <c r="V995" s="13"/>
      <c r="W995" s="13"/>
      <c r="X995" s="13"/>
      <c r="Y995" s="13"/>
      <c r="Z995" s="13"/>
      <c r="AA995" s="13"/>
      <c r="AB995" s="15"/>
      <c r="AC995" s="15"/>
      <c r="AD995" s="15"/>
      <c r="AE995" s="13"/>
      <c r="AF995" s="13"/>
      <c r="AG995" s="13"/>
      <c r="AH995" s="15"/>
      <c r="AI995" s="13"/>
      <c r="AJ995" s="13"/>
      <c r="AK995" s="13"/>
      <c r="AL995" s="13"/>
      <c r="AM995" s="15"/>
      <c r="AN995" s="13"/>
      <c r="AO995" s="15"/>
      <c r="AP995" s="15"/>
      <c r="AQ995" s="13"/>
      <c r="AR995" s="13"/>
      <c r="AS995" s="13"/>
      <c r="AT995" s="13"/>
      <c r="AU995" s="13"/>
      <c r="AV995" s="13"/>
      <c r="AW995" s="13"/>
      <c r="AX995" s="13"/>
      <c r="AY995" s="15"/>
      <c r="AZ995" s="15"/>
      <c r="BA995" s="16"/>
      <c r="BB995" s="15"/>
      <c r="BC995" s="15"/>
      <c r="BD995" s="13"/>
      <c r="BE995" s="13"/>
      <c r="BF995" s="13"/>
      <c r="BG995" s="13"/>
      <c r="BH995" s="13"/>
      <c r="BI995" s="13"/>
      <c r="BJ995" s="13"/>
      <c r="BK995" s="13"/>
      <c r="BL995" s="13"/>
      <c r="BM995" s="13"/>
      <c r="BN995" s="13"/>
      <c r="BO995" s="13"/>
      <c r="BP995" s="13"/>
      <c r="BQ995" s="15"/>
      <c r="BR995" s="15"/>
      <c r="BS995" s="15"/>
      <c r="BT995" s="15"/>
      <c r="BU995" s="15"/>
      <c r="BV995" s="15"/>
      <c r="BW995" s="15"/>
      <c r="BX995" s="15"/>
      <c r="BY995" s="15"/>
      <c r="BZ995" s="15"/>
      <c r="CA995" s="15"/>
      <c r="CB995" s="17"/>
      <c r="CC995" s="17"/>
      <c r="CD995" s="18"/>
      <c r="CE995" s="18"/>
      <c r="CF995" s="18"/>
      <c r="CG995" s="18"/>
      <c r="CH995" s="18"/>
    </row>
    <row r="996">
      <c r="A996" s="15"/>
      <c r="B996" s="16"/>
      <c r="C996" s="15"/>
      <c r="D996" s="9"/>
      <c r="E996" s="15"/>
      <c r="F996" s="15"/>
      <c r="G996" s="13"/>
      <c r="H996" s="13"/>
      <c r="I996" s="13"/>
      <c r="J996" s="13"/>
      <c r="K996" s="13"/>
      <c r="L996" s="13"/>
      <c r="M996" s="13"/>
      <c r="N996" s="13"/>
      <c r="O996" s="13"/>
      <c r="P996" s="13"/>
      <c r="Q996" s="13"/>
      <c r="R996" s="13"/>
      <c r="S996" s="13"/>
      <c r="T996" s="13"/>
      <c r="U996" s="13"/>
      <c r="V996" s="13"/>
      <c r="W996" s="13"/>
      <c r="X996" s="13"/>
      <c r="Y996" s="13"/>
      <c r="Z996" s="13"/>
      <c r="AA996" s="13"/>
      <c r="AB996" s="15"/>
      <c r="AC996" s="15"/>
      <c r="AD996" s="15"/>
      <c r="AE996" s="13"/>
      <c r="AF996" s="13"/>
      <c r="AG996" s="13"/>
      <c r="AH996" s="15"/>
      <c r="AI996" s="13"/>
      <c r="AJ996" s="13"/>
      <c r="AK996" s="13"/>
      <c r="AL996" s="13"/>
      <c r="AM996" s="15"/>
      <c r="AN996" s="13"/>
      <c r="AO996" s="15"/>
      <c r="AP996" s="15"/>
      <c r="AQ996" s="13"/>
      <c r="AR996" s="13"/>
      <c r="AS996" s="13"/>
      <c r="AT996" s="13"/>
      <c r="AU996" s="13"/>
      <c r="AV996" s="13"/>
      <c r="AW996" s="13"/>
      <c r="AX996" s="13"/>
      <c r="AY996" s="15"/>
      <c r="AZ996" s="15"/>
      <c r="BA996" s="16"/>
      <c r="BB996" s="15"/>
      <c r="BC996" s="15"/>
      <c r="BD996" s="13"/>
      <c r="BE996" s="13"/>
      <c r="BF996" s="13"/>
      <c r="BG996" s="13"/>
      <c r="BH996" s="13"/>
      <c r="BI996" s="13"/>
      <c r="BJ996" s="13"/>
      <c r="BK996" s="13"/>
      <c r="BL996" s="13"/>
      <c r="BM996" s="13"/>
      <c r="BN996" s="13"/>
      <c r="BO996" s="13"/>
      <c r="BP996" s="13"/>
      <c r="BQ996" s="15"/>
      <c r="BR996" s="15"/>
      <c r="BS996" s="15"/>
      <c r="BT996" s="15"/>
      <c r="BU996" s="15"/>
      <c r="BV996" s="15"/>
      <c r="BW996" s="15"/>
      <c r="BX996" s="15"/>
      <c r="BY996" s="15"/>
      <c r="BZ996" s="15"/>
      <c r="CA996" s="15"/>
      <c r="CB996" s="17"/>
      <c r="CC996" s="17"/>
      <c r="CD996" s="18"/>
      <c r="CE996" s="18"/>
      <c r="CF996" s="18"/>
      <c r="CG996" s="18"/>
      <c r="CH996" s="18"/>
    </row>
    <row r="997">
      <c r="A997" s="15"/>
      <c r="B997" s="16"/>
      <c r="C997" s="15"/>
      <c r="D997" s="9"/>
      <c r="E997" s="15"/>
      <c r="F997" s="15"/>
      <c r="G997" s="13"/>
      <c r="H997" s="13"/>
      <c r="I997" s="13"/>
      <c r="J997" s="13"/>
      <c r="K997" s="13"/>
      <c r="L997" s="13"/>
      <c r="M997" s="13"/>
      <c r="N997" s="13"/>
      <c r="O997" s="13"/>
      <c r="P997" s="13"/>
      <c r="Q997" s="13"/>
      <c r="R997" s="13"/>
      <c r="S997" s="13"/>
      <c r="T997" s="13"/>
      <c r="U997" s="13"/>
      <c r="V997" s="13"/>
      <c r="W997" s="13"/>
      <c r="X997" s="13"/>
      <c r="Y997" s="13"/>
      <c r="Z997" s="13"/>
      <c r="AA997" s="13"/>
      <c r="AB997" s="15"/>
      <c r="AC997" s="15"/>
      <c r="AD997" s="15"/>
      <c r="AE997" s="13"/>
      <c r="AF997" s="13"/>
      <c r="AG997" s="13"/>
      <c r="AH997" s="15"/>
      <c r="AI997" s="13"/>
      <c r="AJ997" s="13"/>
      <c r="AK997" s="13"/>
      <c r="AL997" s="13"/>
      <c r="AM997" s="15"/>
      <c r="AN997" s="13"/>
      <c r="AO997" s="15"/>
      <c r="AP997" s="15"/>
      <c r="AQ997" s="13"/>
      <c r="AR997" s="13"/>
      <c r="AS997" s="13"/>
      <c r="AT997" s="13"/>
      <c r="AU997" s="13"/>
      <c r="AV997" s="13"/>
      <c r="AW997" s="13"/>
      <c r="AX997" s="13"/>
      <c r="AY997" s="15"/>
      <c r="AZ997" s="15"/>
      <c r="BA997" s="16"/>
      <c r="BB997" s="15"/>
      <c r="BC997" s="15"/>
      <c r="BD997" s="13"/>
      <c r="BE997" s="13"/>
      <c r="BF997" s="13"/>
      <c r="BG997" s="13"/>
      <c r="BH997" s="13"/>
      <c r="BI997" s="13"/>
      <c r="BJ997" s="13"/>
      <c r="BK997" s="13"/>
      <c r="BL997" s="13"/>
      <c r="BM997" s="13"/>
      <c r="BN997" s="13"/>
      <c r="BO997" s="13"/>
      <c r="BP997" s="13"/>
      <c r="BQ997" s="15"/>
      <c r="BR997" s="15"/>
      <c r="BS997" s="15"/>
      <c r="BT997" s="15"/>
      <c r="BU997" s="15"/>
      <c r="BV997" s="15"/>
      <c r="BW997" s="15"/>
      <c r="BX997" s="15"/>
      <c r="BY997" s="15"/>
      <c r="BZ997" s="15"/>
      <c r="CA997" s="15"/>
      <c r="CB997" s="17"/>
      <c r="CC997" s="17"/>
      <c r="CD997" s="18"/>
      <c r="CE997" s="18"/>
      <c r="CF997" s="18"/>
      <c r="CG997" s="18"/>
      <c r="CH997" s="18"/>
    </row>
    <row r="998">
      <c r="A998" s="15"/>
      <c r="B998" s="16"/>
      <c r="C998" s="15"/>
      <c r="D998" s="9"/>
      <c r="E998" s="15"/>
      <c r="F998" s="15"/>
      <c r="G998" s="13"/>
      <c r="H998" s="13"/>
      <c r="I998" s="13"/>
      <c r="J998" s="13"/>
      <c r="K998" s="13"/>
      <c r="L998" s="13"/>
      <c r="M998" s="13"/>
      <c r="N998" s="13"/>
      <c r="O998" s="13"/>
      <c r="P998" s="13"/>
      <c r="Q998" s="13"/>
      <c r="R998" s="13"/>
      <c r="S998" s="13"/>
      <c r="T998" s="13"/>
      <c r="U998" s="13"/>
      <c r="V998" s="13"/>
      <c r="W998" s="13"/>
      <c r="X998" s="13"/>
      <c r="Y998" s="13"/>
      <c r="Z998" s="13"/>
      <c r="AA998" s="13"/>
      <c r="AB998" s="15"/>
      <c r="AC998" s="15"/>
      <c r="AD998" s="15"/>
      <c r="AE998" s="13"/>
      <c r="AF998" s="13"/>
      <c r="AG998" s="13"/>
      <c r="AH998" s="15"/>
      <c r="AI998" s="13"/>
      <c r="AJ998" s="13"/>
      <c r="AK998" s="13"/>
      <c r="AL998" s="13"/>
      <c r="AM998" s="15"/>
      <c r="AN998" s="13"/>
      <c r="AO998" s="15"/>
      <c r="AP998" s="15"/>
      <c r="AQ998" s="13"/>
      <c r="AR998" s="13"/>
      <c r="AS998" s="13"/>
      <c r="AT998" s="13"/>
      <c r="AU998" s="13"/>
      <c r="AV998" s="13"/>
      <c r="AW998" s="13"/>
      <c r="AX998" s="13"/>
      <c r="AY998" s="15"/>
      <c r="AZ998" s="15"/>
      <c r="BA998" s="16"/>
      <c r="BB998" s="15"/>
      <c r="BC998" s="15"/>
      <c r="BD998" s="13"/>
      <c r="BE998" s="13"/>
      <c r="BF998" s="13"/>
      <c r="BG998" s="13"/>
      <c r="BH998" s="13"/>
      <c r="BI998" s="13"/>
      <c r="BJ998" s="13"/>
      <c r="BK998" s="13"/>
      <c r="BL998" s="13"/>
      <c r="BM998" s="13"/>
      <c r="BN998" s="13"/>
      <c r="BO998" s="13"/>
      <c r="BP998" s="13"/>
      <c r="BQ998" s="15"/>
      <c r="BR998" s="15"/>
      <c r="BS998" s="15"/>
      <c r="BT998" s="15"/>
      <c r="BU998" s="15"/>
      <c r="BV998" s="15"/>
      <c r="BW998" s="15"/>
      <c r="BX998" s="15"/>
      <c r="BY998" s="15"/>
      <c r="BZ998" s="15"/>
      <c r="CA998" s="15"/>
      <c r="CB998" s="17"/>
      <c r="CC998" s="17"/>
      <c r="CD998" s="18"/>
      <c r="CE998" s="18"/>
      <c r="CF998" s="18"/>
      <c r="CG998" s="18"/>
      <c r="CH998" s="18"/>
    </row>
    <row r="999">
      <c r="A999" s="15"/>
      <c r="B999" s="16"/>
      <c r="C999" s="15"/>
      <c r="D999" s="9"/>
      <c r="E999" s="15"/>
      <c r="F999" s="15"/>
      <c r="G999" s="13"/>
      <c r="H999" s="13"/>
      <c r="I999" s="13"/>
      <c r="J999" s="13"/>
      <c r="K999" s="13"/>
      <c r="L999" s="13"/>
      <c r="M999" s="13"/>
      <c r="N999" s="13"/>
      <c r="O999" s="13"/>
      <c r="P999" s="13"/>
      <c r="Q999" s="13"/>
      <c r="R999" s="13"/>
      <c r="S999" s="13"/>
      <c r="T999" s="13"/>
      <c r="U999" s="13"/>
      <c r="V999" s="13"/>
      <c r="W999" s="13"/>
      <c r="X999" s="13"/>
      <c r="Y999" s="13"/>
      <c r="Z999" s="13"/>
      <c r="AA999" s="13"/>
      <c r="AB999" s="15"/>
      <c r="AC999" s="15"/>
      <c r="AD999" s="15"/>
      <c r="AE999" s="13"/>
      <c r="AF999" s="13"/>
      <c r="AG999" s="13"/>
      <c r="AH999" s="15"/>
      <c r="AI999" s="13"/>
      <c r="AJ999" s="13"/>
      <c r="AK999" s="13"/>
      <c r="AL999" s="13"/>
      <c r="AM999" s="15"/>
      <c r="AN999" s="13"/>
      <c r="AO999" s="15"/>
      <c r="AP999" s="15"/>
      <c r="AQ999" s="13"/>
      <c r="AR999" s="13"/>
      <c r="AS999" s="13"/>
      <c r="AT999" s="13"/>
      <c r="AU999" s="13"/>
      <c r="AV999" s="13"/>
      <c r="AW999" s="13"/>
      <c r="AX999" s="13"/>
      <c r="AY999" s="15"/>
      <c r="AZ999" s="15"/>
      <c r="BA999" s="16"/>
      <c r="BB999" s="15"/>
      <c r="BC999" s="15"/>
      <c r="BD999" s="13"/>
      <c r="BE999" s="13"/>
      <c r="BF999" s="13"/>
      <c r="BG999" s="13"/>
      <c r="BH999" s="13"/>
      <c r="BI999" s="13"/>
      <c r="BJ999" s="13"/>
      <c r="BK999" s="13"/>
      <c r="BL999" s="13"/>
      <c r="BM999" s="13"/>
      <c r="BN999" s="13"/>
      <c r="BO999" s="13"/>
      <c r="BP999" s="13"/>
      <c r="BQ999" s="15"/>
      <c r="BR999" s="15"/>
      <c r="BS999" s="15"/>
      <c r="BT999" s="15"/>
      <c r="BU999" s="15"/>
      <c r="BV999" s="15"/>
      <c r="BW999" s="15"/>
      <c r="BX999" s="15"/>
      <c r="BY999" s="15"/>
      <c r="BZ999" s="15"/>
      <c r="CA999" s="15"/>
      <c r="CB999" s="17"/>
      <c r="CC999" s="17"/>
      <c r="CD999" s="18"/>
      <c r="CE999" s="18"/>
      <c r="CF999" s="18"/>
      <c r="CG999" s="18"/>
      <c r="CH999" s="18"/>
    </row>
    <row r="1000">
      <c r="A1000" s="15"/>
      <c r="B1000" s="16"/>
      <c r="C1000" s="15"/>
      <c r="D1000" s="9"/>
      <c r="E1000" s="15"/>
      <c r="F1000" s="15"/>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5"/>
      <c r="AC1000" s="15"/>
      <c r="AD1000" s="15"/>
      <c r="AE1000" s="13"/>
      <c r="AF1000" s="13"/>
      <c r="AG1000" s="13"/>
      <c r="AH1000" s="15"/>
      <c r="AI1000" s="13"/>
      <c r="AJ1000" s="13"/>
      <c r="AK1000" s="13"/>
      <c r="AL1000" s="13"/>
      <c r="AM1000" s="15"/>
      <c r="AN1000" s="13"/>
      <c r="AO1000" s="15"/>
      <c r="AP1000" s="15"/>
      <c r="AQ1000" s="13"/>
      <c r="AR1000" s="13"/>
      <c r="AS1000" s="13"/>
      <c r="AT1000" s="13"/>
      <c r="AU1000" s="13"/>
      <c r="AV1000" s="13"/>
      <c r="AW1000" s="13"/>
      <c r="AX1000" s="13"/>
      <c r="AY1000" s="15"/>
      <c r="AZ1000" s="15"/>
      <c r="BA1000" s="16"/>
      <c r="BB1000" s="15"/>
      <c r="BC1000" s="15"/>
      <c r="BD1000" s="13"/>
      <c r="BE1000" s="13"/>
      <c r="BF1000" s="13"/>
      <c r="BG1000" s="13"/>
      <c r="BH1000" s="13"/>
      <c r="BI1000" s="13"/>
      <c r="BJ1000" s="13"/>
      <c r="BK1000" s="13"/>
      <c r="BL1000" s="13"/>
      <c r="BM1000" s="13"/>
      <c r="BN1000" s="13"/>
      <c r="BO1000" s="13"/>
      <c r="BP1000" s="13"/>
      <c r="BQ1000" s="15"/>
      <c r="BR1000" s="15"/>
      <c r="BS1000" s="15"/>
      <c r="BT1000" s="15"/>
      <c r="BU1000" s="15"/>
      <c r="BV1000" s="15"/>
      <c r="BW1000" s="15"/>
      <c r="BX1000" s="15"/>
      <c r="BY1000" s="15"/>
      <c r="BZ1000" s="15"/>
      <c r="CA1000" s="15"/>
      <c r="CB1000" s="17"/>
      <c r="CC1000" s="17"/>
      <c r="CD1000" s="18"/>
      <c r="CE1000" s="18"/>
      <c r="CF1000" s="18"/>
      <c r="CG1000" s="18"/>
      <c r="CH1000" s="18"/>
    </row>
    <row r="1001">
      <c r="A1001" s="15"/>
      <c r="B1001" s="16"/>
      <c r="C1001" s="15"/>
      <c r="D1001" s="9"/>
      <c r="E1001" s="15"/>
      <c r="F1001" s="15"/>
      <c r="G1001" s="13"/>
      <c r="H1001" s="13"/>
      <c r="I1001" s="13"/>
      <c r="J1001" s="13"/>
      <c r="K1001" s="13"/>
      <c r="L1001" s="13"/>
      <c r="M1001" s="13"/>
      <c r="N1001" s="13"/>
      <c r="O1001" s="13"/>
      <c r="P1001" s="13"/>
      <c r="Q1001" s="13"/>
      <c r="R1001" s="13"/>
      <c r="S1001" s="13"/>
      <c r="T1001" s="13"/>
      <c r="U1001" s="13"/>
      <c r="V1001" s="13"/>
      <c r="W1001" s="13"/>
      <c r="X1001" s="13"/>
      <c r="Y1001" s="13"/>
      <c r="Z1001" s="13"/>
      <c r="AA1001" s="13"/>
      <c r="AB1001" s="15"/>
      <c r="AC1001" s="15"/>
      <c r="AD1001" s="15"/>
      <c r="AE1001" s="13"/>
      <c r="AF1001" s="13"/>
      <c r="AG1001" s="13"/>
      <c r="AH1001" s="15"/>
      <c r="AI1001" s="13"/>
      <c r="AJ1001" s="13"/>
      <c r="AK1001" s="13"/>
      <c r="AL1001" s="13"/>
      <c r="AM1001" s="15"/>
      <c r="AN1001" s="13"/>
      <c r="AO1001" s="15"/>
      <c r="AP1001" s="15"/>
      <c r="AQ1001" s="13"/>
      <c r="AR1001" s="13"/>
      <c r="AS1001" s="13"/>
      <c r="AT1001" s="13"/>
      <c r="AU1001" s="13"/>
      <c r="AV1001" s="13"/>
      <c r="AW1001" s="13"/>
      <c r="AX1001" s="13"/>
      <c r="AY1001" s="15"/>
      <c r="AZ1001" s="15"/>
      <c r="BA1001" s="16"/>
      <c r="BB1001" s="15"/>
      <c r="BC1001" s="15"/>
      <c r="BD1001" s="13"/>
      <c r="BE1001" s="13"/>
      <c r="BF1001" s="13"/>
      <c r="BG1001" s="13"/>
      <c r="BH1001" s="13"/>
      <c r="BI1001" s="13"/>
      <c r="BJ1001" s="13"/>
      <c r="BK1001" s="13"/>
      <c r="BL1001" s="13"/>
      <c r="BM1001" s="13"/>
      <c r="BN1001" s="13"/>
      <c r="BO1001" s="13"/>
      <c r="BP1001" s="13"/>
      <c r="BQ1001" s="15"/>
      <c r="BR1001" s="15"/>
      <c r="BS1001" s="15"/>
      <c r="BT1001" s="15"/>
      <c r="BU1001" s="15"/>
      <c r="BV1001" s="15"/>
      <c r="BW1001" s="15"/>
      <c r="BX1001" s="15"/>
      <c r="BY1001" s="15"/>
      <c r="BZ1001" s="15"/>
      <c r="CA1001" s="15"/>
      <c r="CB1001" s="17"/>
      <c r="CC1001" s="17"/>
      <c r="CD1001" s="18"/>
      <c r="CE1001" s="18"/>
      <c r="CF1001" s="18"/>
      <c r="CG1001" s="18"/>
      <c r="CH1001" s="18"/>
    </row>
    <row r="1002">
      <c r="A1002" s="15"/>
      <c r="B1002" s="16"/>
      <c r="C1002" s="15"/>
      <c r="D1002" s="9"/>
      <c r="E1002" s="15"/>
      <c r="F1002" s="15"/>
      <c r="G1002" s="13"/>
      <c r="H1002" s="13"/>
      <c r="I1002" s="13"/>
      <c r="J1002" s="13"/>
      <c r="K1002" s="13"/>
      <c r="L1002" s="13"/>
      <c r="M1002" s="13"/>
      <c r="N1002" s="13"/>
      <c r="O1002" s="13"/>
      <c r="P1002" s="13"/>
      <c r="Q1002" s="13"/>
      <c r="R1002" s="13"/>
      <c r="S1002" s="13"/>
      <c r="T1002" s="13"/>
      <c r="U1002" s="13"/>
      <c r="V1002" s="13"/>
      <c r="W1002" s="13"/>
      <c r="X1002" s="13"/>
      <c r="Y1002" s="13"/>
      <c r="Z1002" s="13"/>
      <c r="AA1002" s="13"/>
      <c r="AB1002" s="15"/>
      <c r="AC1002" s="15"/>
      <c r="AD1002" s="15"/>
      <c r="AE1002" s="13"/>
      <c r="AF1002" s="13"/>
      <c r="AG1002" s="13"/>
      <c r="AH1002" s="15"/>
      <c r="AI1002" s="13"/>
      <c r="AJ1002" s="13"/>
      <c r="AK1002" s="13"/>
      <c r="AL1002" s="13"/>
      <c r="AM1002" s="15"/>
      <c r="AN1002" s="13"/>
      <c r="AO1002" s="15"/>
      <c r="AP1002" s="15"/>
      <c r="AQ1002" s="13"/>
      <c r="AR1002" s="13"/>
      <c r="AS1002" s="13"/>
      <c r="AT1002" s="13"/>
      <c r="AU1002" s="13"/>
      <c r="AV1002" s="13"/>
      <c r="AW1002" s="13"/>
      <c r="AX1002" s="13"/>
      <c r="AY1002" s="15"/>
      <c r="AZ1002" s="15"/>
      <c r="BA1002" s="16"/>
      <c r="BB1002" s="15"/>
      <c r="BC1002" s="15"/>
      <c r="BD1002" s="13"/>
      <c r="BE1002" s="13"/>
      <c r="BF1002" s="13"/>
      <c r="BG1002" s="13"/>
      <c r="BH1002" s="13"/>
      <c r="BI1002" s="13"/>
      <c r="BJ1002" s="13"/>
      <c r="BK1002" s="13"/>
      <c r="BL1002" s="13"/>
      <c r="BM1002" s="13"/>
      <c r="BN1002" s="13"/>
      <c r="BO1002" s="13"/>
      <c r="BP1002" s="13"/>
      <c r="BQ1002" s="15"/>
      <c r="BR1002" s="15"/>
      <c r="BS1002" s="15"/>
      <c r="BT1002" s="15"/>
      <c r="BU1002" s="15"/>
      <c r="BV1002" s="15"/>
      <c r="BW1002" s="15"/>
      <c r="BX1002" s="15"/>
      <c r="BY1002" s="15"/>
      <c r="BZ1002" s="15"/>
      <c r="CA1002" s="15"/>
      <c r="CB1002" s="17"/>
      <c r="CC1002" s="17"/>
      <c r="CD1002" s="18"/>
      <c r="CE1002" s="18"/>
      <c r="CF1002" s="18"/>
      <c r="CG1002" s="18"/>
      <c r="CH1002" s="18"/>
    </row>
    <row r="1003">
      <c r="A1003" s="15"/>
      <c r="B1003" s="16"/>
      <c r="C1003" s="15"/>
      <c r="D1003" s="9"/>
      <c r="E1003" s="15"/>
      <c r="F1003" s="15"/>
      <c r="G1003" s="13"/>
      <c r="H1003" s="13"/>
      <c r="I1003" s="13"/>
      <c r="J1003" s="13"/>
      <c r="K1003" s="13"/>
      <c r="L1003" s="13"/>
      <c r="M1003" s="13"/>
      <c r="N1003" s="13"/>
      <c r="O1003" s="13"/>
      <c r="P1003" s="13"/>
      <c r="Q1003" s="13"/>
      <c r="R1003" s="13"/>
      <c r="S1003" s="13"/>
      <c r="T1003" s="13"/>
      <c r="U1003" s="13"/>
      <c r="V1003" s="13"/>
      <c r="W1003" s="13"/>
      <c r="X1003" s="13"/>
      <c r="Y1003" s="13"/>
      <c r="Z1003" s="13"/>
      <c r="AA1003" s="13"/>
      <c r="AB1003" s="15"/>
      <c r="AC1003" s="15"/>
      <c r="AD1003" s="15"/>
      <c r="AE1003" s="13"/>
      <c r="AF1003" s="13"/>
      <c r="AG1003" s="13"/>
      <c r="AH1003" s="15"/>
      <c r="AI1003" s="13"/>
      <c r="AJ1003" s="13"/>
      <c r="AK1003" s="13"/>
      <c r="AL1003" s="13"/>
      <c r="AM1003" s="15"/>
      <c r="AN1003" s="13"/>
      <c r="AO1003" s="15"/>
      <c r="AP1003" s="15"/>
      <c r="AQ1003" s="13"/>
      <c r="AR1003" s="13"/>
      <c r="AS1003" s="13"/>
      <c r="AT1003" s="13"/>
      <c r="AU1003" s="13"/>
      <c r="AV1003" s="13"/>
      <c r="AW1003" s="13"/>
      <c r="AX1003" s="13"/>
      <c r="AY1003" s="15"/>
      <c r="AZ1003" s="15"/>
      <c r="BA1003" s="16"/>
      <c r="BB1003" s="15"/>
      <c r="BC1003" s="15"/>
      <c r="BD1003" s="13"/>
      <c r="BE1003" s="13"/>
      <c r="BF1003" s="13"/>
      <c r="BG1003" s="13"/>
      <c r="BH1003" s="13"/>
      <c r="BI1003" s="13"/>
      <c r="BJ1003" s="13"/>
      <c r="BK1003" s="13"/>
      <c r="BL1003" s="13"/>
      <c r="BM1003" s="13"/>
      <c r="BN1003" s="13"/>
      <c r="BO1003" s="13"/>
      <c r="BP1003" s="13"/>
      <c r="BQ1003" s="15"/>
      <c r="BR1003" s="15"/>
      <c r="BS1003" s="15"/>
      <c r="BT1003" s="15"/>
      <c r="BU1003" s="15"/>
      <c r="BV1003" s="15"/>
      <c r="BW1003" s="15"/>
      <c r="BX1003" s="15"/>
      <c r="BY1003" s="15"/>
      <c r="BZ1003" s="15"/>
      <c r="CA1003" s="15"/>
      <c r="CB1003" s="17"/>
      <c r="CC1003" s="17"/>
      <c r="CD1003" s="18"/>
      <c r="CE1003" s="18"/>
      <c r="CF1003" s="18"/>
      <c r="CG1003" s="18"/>
      <c r="CH1003" s="18"/>
    </row>
    <row r="1004">
      <c r="A1004" s="15"/>
      <c r="B1004" s="16"/>
      <c r="C1004" s="15"/>
      <c r="D1004" s="9"/>
      <c r="E1004" s="15"/>
      <c r="F1004" s="15"/>
      <c r="G1004" s="13"/>
      <c r="H1004" s="13"/>
      <c r="I1004" s="13"/>
      <c r="J1004" s="13"/>
      <c r="K1004" s="13"/>
      <c r="L1004" s="13"/>
      <c r="M1004" s="13"/>
      <c r="N1004" s="13"/>
      <c r="O1004" s="13"/>
      <c r="P1004" s="13"/>
      <c r="Q1004" s="13"/>
      <c r="R1004" s="13"/>
      <c r="S1004" s="13"/>
      <c r="T1004" s="13"/>
      <c r="U1004" s="13"/>
      <c r="V1004" s="13"/>
      <c r="W1004" s="13"/>
      <c r="X1004" s="13"/>
      <c r="Y1004" s="13"/>
      <c r="Z1004" s="13"/>
      <c r="AA1004" s="13"/>
      <c r="AB1004" s="15"/>
      <c r="AC1004" s="15"/>
      <c r="AD1004" s="15"/>
      <c r="AE1004" s="13"/>
      <c r="AF1004" s="13"/>
      <c r="AG1004" s="13"/>
      <c r="AH1004" s="15"/>
      <c r="AI1004" s="13"/>
      <c r="AJ1004" s="13"/>
      <c r="AK1004" s="13"/>
      <c r="AL1004" s="13"/>
      <c r="AM1004" s="15"/>
      <c r="AN1004" s="13"/>
      <c r="AO1004" s="15"/>
      <c r="AP1004" s="15"/>
      <c r="AQ1004" s="13"/>
      <c r="AR1004" s="13"/>
      <c r="AS1004" s="13"/>
      <c r="AT1004" s="13"/>
      <c r="AU1004" s="13"/>
      <c r="AV1004" s="13"/>
      <c r="AW1004" s="13"/>
      <c r="AX1004" s="13"/>
      <c r="AY1004" s="15"/>
      <c r="AZ1004" s="15"/>
      <c r="BA1004" s="16"/>
      <c r="BB1004" s="15"/>
      <c r="BC1004" s="15"/>
      <c r="BD1004" s="13"/>
      <c r="BE1004" s="13"/>
      <c r="BF1004" s="13"/>
      <c r="BG1004" s="13"/>
      <c r="BH1004" s="13"/>
      <c r="BI1004" s="13"/>
      <c r="BJ1004" s="13"/>
      <c r="BK1004" s="13"/>
      <c r="BL1004" s="13"/>
      <c r="BM1004" s="13"/>
      <c r="BN1004" s="13"/>
      <c r="BO1004" s="13"/>
      <c r="BP1004" s="13"/>
      <c r="BQ1004" s="15"/>
      <c r="BR1004" s="15"/>
      <c r="BS1004" s="15"/>
      <c r="BT1004" s="15"/>
      <c r="BU1004" s="15"/>
      <c r="BV1004" s="15"/>
      <c r="BW1004" s="15"/>
      <c r="BX1004" s="15"/>
      <c r="BY1004" s="15"/>
      <c r="BZ1004" s="15"/>
      <c r="CA1004" s="15"/>
      <c r="CB1004" s="17"/>
      <c r="CC1004" s="17"/>
      <c r="CD1004" s="18"/>
      <c r="CE1004" s="18"/>
      <c r="CF1004" s="18"/>
      <c r="CG1004" s="18"/>
      <c r="CH1004" s="18"/>
    </row>
    <row r="1005">
      <c r="A1005" s="15"/>
      <c r="B1005" s="16"/>
      <c r="C1005" s="15"/>
      <c r="D1005" s="9"/>
      <c r="E1005" s="15"/>
      <c r="F1005" s="15"/>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5"/>
      <c r="AC1005" s="15"/>
      <c r="AD1005" s="15"/>
      <c r="AE1005" s="13"/>
      <c r="AF1005" s="13"/>
      <c r="AG1005" s="13"/>
      <c r="AH1005" s="15"/>
      <c r="AI1005" s="13"/>
      <c r="AJ1005" s="13"/>
      <c r="AK1005" s="13"/>
      <c r="AL1005" s="13"/>
      <c r="AM1005" s="15"/>
      <c r="AN1005" s="13"/>
      <c r="AO1005" s="15"/>
      <c r="AP1005" s="15"/>
      <c r="AQ1005" s="13"/>
      <c r="AR1005" s="13"/>
      <c r="AS1005" s="13"/>
      <c r="AT1005" s="13"/>
      <c r="AU1005" s="13"/>
      <c r="AV1005" s="13"/>
      <c r="AW1005" s="13"/>
      <c r="AX1005" s="13"/>
      <c r="AY1005" s="15"/>
      <c r="AZ1005" s="15"/>
      <c r="BA1005" s="16"/>
      <c r="BB1005" s="15"/>
      <c r="BC1005" s="15"/>
      <c r="BD1005" s="13"/>
      <c r="BE1005" s="13"/>
      <c r="BF1005" s="13"/>
      <c r="BG1005" s="13"/>
      <c r="BH1005" s="13"/>
      <c r="BI1005" s="13"/>
      <c r="BJ1005" s="13"/>
      <c r="BK1005" s="13"/>
      <c r="BL1005" s="13"/>
      <c r="BM1005" s="13"/>
      <c r="BN1005" s="13"/>
      <c r="BO1005" s="13"/>
      <c r="BP1005" s="13"/>
      <c r="BQ1005" s="15"/>
      <c r="BR1005" s="15"/>
      <c r="BS1005" s="15"/>
      <c r="BT1005" s="15"/>
      <c r="BU1005" s="15"/>
      <c r="BV1005" s="15"/>
      <c r="BW1005" s="15"/>
      <c r="BX1005" s="15"/>
      <c r="BY1005" s="15"/>
      <c r="BZ1005" s="15"/>
      <c r="CA1005" s="15"/>
      <c r="CB1005" s="17"/>
      <c r="CC1005" s="17"/>
      <c r="CD1005" s="18"/>
      <c r="CE1005" s="18"/>
      <c r="CF1005" s="18"/>
      <c r="CG1005" s="18"/>
      <c r="CH1005" s="18"/>
    </row>
    <row r="1006">
      <c r="A1006" s="15"/>
      <c r="B1006" s="16"/>
      <c r="C1006" s="15"/>
      <c r="D1006" s="9"/>
      <c r="E1006" s="15"/>
      <c r="F1006" s="15"/>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5"/>
      <c r="AC1006" s="15"/>
      <c r="AD1006" s="15"/>
      <c r="AE1006" s="13"/>
      <c r="AF1006" s="13"/>
      <c r="AG1006" s="13"/>
      <c r="AH1006" s="15"/>
      <c r="AI1006" s="13"/>
      <c r="AJ1006" s="13"/>
      <c r="AK1006" s="13"/>
      <c r="AL1006" s="13"/>
      <c r="AM1006" s="15"/>
      <c r="AN1006" s="13"/>
      <c r="AO1006" s="15"/>
      <c r="AP1006" s="15"/>
      <c r="AQ1006" s="13"/>
      <c r="AR1006" s="13"/>
      <c r="AS1006" s="13"/>
      <c r="AT1006" s="13"/>
      <c r="AU1006" s="13"/>
      <c r="AV1006" s="13"/>
      <c r="AW1006" s="13"/>
      <c r="AX1006" s="13"/>
      <c r="AY1006" s="15"/>
      <c r="AZ1006" s="15"/>
      <c r="BA1006" s="16"/>
      <c r="BB1006" s="15"/>
      <c r="BC1006" s="15"/>
      <c r="BD1006" s="13"/>
      <c r="BE1006" s="13"/>
      <c r="BF1006" s="13"/>
      <c r="BG1006" s="13"/>
      <c r="BH1006" s="13"/>
      <c r="BI1006" s="13"/>
      <c r="BJ1006" s="13"/>
      <c r="BK1006" s="13"/>
      <c r="BL1006" s="13"/>
      <c r="BM1006" s="13"/>
      <c r="BN1006" s="13"/>
      <c r="BO1006" s="13"/>
      <c r="BP1006" s="13"/>
      <c r="BQ1006" s="15"/>
      <c r="BR1006" s="15"/>
      <c r="BS1006" s="15"/>
      <c r="BT1006" s="15"/>
      <c r="BU1006" s="15"/>
      <c r="BV1006" s="15"/>
      <c r="BW1006" s="15"/>
      <c r="BX1006" s="15"/>
      <c r="BY1006" s="15"/>
      <c r="BZ1006" s="15"/>
      <c r="CA1006" s="15"/>
      <c r="CB1006" s="17"/>
      <c r="CC1006" s="17"/>
      <c r="CD1006" s="18"/>
      <c r="CE1006" s="18"/>
      <c r="CF1006" s="18"/>
      <c r="CG1006" s="18"/>
      <c r="CH1006" s="18"/>
    </row>
    <row r="1007">
      <c r="A1007" s="15"/>
      <c r="B1007" s="16"/>
      <c r="C1007" s="15"/>
      <c r="D1007" s="9"/>
      <c r="E1007" s="15"/>
      <c r="F1007" s="15"/>
      <c r="G1007" s="13"/>
      <c r="H1007" s="13"/>
      <c r="I1007" s="13"/>
      <c r="J1007" s="13"/>
      <c r="K1007" s="13"/>
      <c r="L1007" s="13"/>
      <c r="M1007" s="13"/>
      <c r="N1007" s="13"/>
      <c r="O1007" s="13"/>
      <c r="P1007" s="13"/>
      <c r="Q1007" s="13"/>
      <c r="R1007" s="13"/>
      <c r="S1007" s="13"/>
      <c r="T1007" s="13"/>
      <c r="U1007" s="13"/>
      <c r="V1007" s="13"/>
      <c r="W1007" s="13"/>
      <c r="X1007" s="13"/>
      <c r="Y1007" s="13"/>
      <c r="Z1007" s="13"/>
      <c r="AA1007" s="13"/>
      <c r="AB1007" s="15"/>
      <c r="AC1007" s="15"/>
      <c r="AD1007" s="15"/>
      <c r="AE1007" s="13"/>
      <c r="AF1007" s="13"/>
      <c r="AG1007" s="13"/>
      <c r="AH1007" s="15"/>
      <c r="AI1007" s="13"/>
      <c r="AJ1007" s="13"/>
      <c r="AK1007" s="13"/>
      <c r="AL1007" s="13"/>
      <c r="AM1007" s="15"/>
      <c r="AN1007" s="13"/>
      <c r="AO1007" s="15"/>
      <c r="AP1007" s="15"/>
      <c r="AQ1007" s="13"/>
      <c r="AR1007" s="13"/>
      <c r="AS1007" s="13"/>
      <c r="AT1007" s="13"/>
      <c r="AU1007" s="13"/>
      <c r="AV1007" s="13"/>
      <c r="AW1007" s="13"/>
      <c r="AX1007" s="13"/>
      <c r="AY1007" s="15"/>
      <c r="AZ1007" s="15"/>
      <c r="BA1007" s="16"/>
      <c r="BB1007" s="15"/>
      <c r="BC1007" s="15"/>
      <c r="BD1007" s="13"/>
      <c r="BE1007" s="13"/>
      <c r="BF1007" s="13"/>
      <c r="BG1007" s="13"/>
      <c r="BH1007" s="13"/>
      <c r="BI1007" s="13"/>
      <c r="BJ1007" s="13"/>
      <c r="BK1007" s="13"/>
      <c r="BL1007" s="13"/>
      <c r="BM1007" s="13"/>
      <c r="BN1007" s="13"/>
      <c r="BO1007" s="13"/>
      <c r="BP1007" s="13"/>
      <c r="BQ1007" s="15"/>
      <c r="BR1007" s="15"/>
      <c r="BS1007" s="15"/>
      <c r="BT1007" s="15"/>
      <c r="BU1007" s="15"/>
      <c r="BV1007" s="15"/>
      <c r="BW1007" s="15"/>
      <c r="BX1007" s="15"/>
      <c r="BY1007" s="15"/>
      <c r="BZ1007" s="15"/>
      <c r="CA1007" s="15"/>
      <c r="CB1007" s="17"/>
      <c r="CC1007" s="17"/>
      <c r="CD1007" s="18"/>
      <c r="CE1007" s="18"/>
      <c r="CF1007" s="18"/>
      <c r="CG1007" s="18"/>
      <c r="CH1007" s="18"/>
    </row>
    <row r="1008">
      <c r="A1008" s="15"/>
      <c r="B1008" s="16"/>
      <c r="C1008" s="15"/>
      <c r="D1008" s="9"/>
      <c r="E1008" s="15"/>
      <c r="F1008" s="15"/>
      <c r="G1008" s="13"/>
      <c r="H1008" s="13"/>
      <c r="I1008" s="13"/>
      <c r="J1008" s="13"/>
      <c r="K1008" s="13"/>
      <c r="L1008" s="13"/>
      <c r="M1008" s="13"/>
      <c r="N1008" s="13"/>
      <c r="O1008" s="13"/>
      <c r="P1008" s="13"/>
      <c r="Q1008" s="13"/>
      <c r="R1008" s="13"/>
      <c r="S1008" s="13"/>
      <c r="T1008" s="13"/>
      <c r="U1008" s="13"/>
      <c r="V1008" s="13"/>
      <c r="W1008" s="13"/>
      <c r="X1008" s="13"/>
      <c r="Y1008" s="13"/>
      <c r="Z1008" s="13"/>
      <c r="AA1008" s="13"/>
      <c r="AB1008" s="15"/>
      <c r="AC1008" s="15"/>
      <c r="AD1008" s="15"/>
      <c r="AE1008" s="13"/>
      <c r="AF1008" s="13"/>
      <c r="AG1008" s="13"/>
      <c r="AH1008" s="15"/>
      <c r="AI1008" s="13"/>
      <c r="AJ1008" s="13"/>
      <c r="AK1008" s="13"/>
      <c r="AL1008" s="13"/>
      <c r="AM1008" s="15"/>
      <c r="AN1008" s="13"/>
      <c r="AO1008" s="15"/>
      <c r="AP1008" s="15"/>
      <c r="AQ1008" s="13"/>
      <c r="AR1008" s="13"/>
      <c r="AS1008" s="13"/>
      <c r="AT1008" s="13"/>
      <c r="AU1008" s="13"/>
      <c r="AV1008" s="13"/>
      <c r="AW1008" s="13"/>
      <c r="AX1008" s="13"/>
      <c r="AY1008" s="15"/>
      <c r="AZ1008" s="15"/>
      <c r="BA1008" s="16"/>
      <c r="BB1008" s="15"/>
      <c r="BC1008" s="15"/>
      <c r="BD1008" s="13"/>
      <c r="BE1008" s="13"/>
      <c r="BF1008" s="13"/>
      <c r="BG1008" s="13"/>
      <c r="BH1008" s="13"/>
      <c r="BI1008" s="13"/>
      <c r="BJ1008" s="13"/>
      <c r="BK1008" s="13"/>
      <c r="BL1008" s="13"/>
      <c r="BM1008" s="13"/>
      <c r="BN1008" s="13"/>
      <c r="BO1008" s="13"/>
      <c r="BP1008" s="13"/>
      <c r="BQ1008" s="15"/>
      <c r="BR1008" s="15"/>
      <c r="BS1008" s="15"/>
      <c r="BT1008" s="15"/>
      <c r="BU1008" s="15"/>
      <c r="BV1008" s="15"/>
      <c r="BW1008" s="15"/>
      <c r="BX1008" s="15"/>
      <c r="BY1008" s="15"/>
      <c r="BZ1008" s="15"/>
      <c r="CA1008" s="15"/>
      <c r="CB1008" s="17"/>
      <c r="CC1008" s="17"/>
      <c r="CD1008" s="18"/>
      <c r="CE1008" s="18"/>
      <c r="CF1008" s="18"/>
      <c r="CG1008" s="18"/>
      <c r="CH1008" s="18"/>
    </row>
    <row r="1009">
      <c r="A1009" s="15"/>
      <c r="B1009" s="16"/>
      <c r="C1009" s="15"/>
      <c r="D1009" s="9"/>
      <c r="E1009" s="15"/>
      <c r="F1009" s="15"/>
      <c r="G1009" s="13"/>
      <c r="H1009" s="13"/>
      <c r="I1009" s="13"/>
      <c r="J1009" s="13"/>
      <c r="K1009" s="13"/>
      <c r="L1009" s="13"/>
      <c r="M1009" s="13"/>
      <c r="N1009" s="13"/>
      <c r="O1009" s="13"/>
      <c r="P1009" s="13"/>
      <c r="Q1009" s="13"/>
      <c r="R1009" s="13"/>
      <c r="S1009" s="13"/>
      <c r="T1009" s="13"/>
      <c r="U1009" s="13"/>
      <c r="V1009" s="13"/>
      <c r="W1009" s="13"/>
      <c r="X1009" s="13"/>
      <c r="Y1009" s="13"/>
      <c r="Z1009" s="13"/>
      <c r="AA1009" s="13"/>
      <c r="AB1009" s="15"/>
      <c r="AC1009" s="15"/>
      <c r="AD1009" s="15"/>
      <c r="AE1009" s="13"/>
      <c r="AF1009" s="13"/>
      <c r="AG1009" s="13"/>
      <c r="AH1009" s="15"/>
      <c r="AI1009" s="13"/>
      <c r="AJ1009" s="13"/>
      <c r="AK1009" s="13"/>
      <c r="AL1009" s="13"/>
      <c r="AM1009" s="15"/>
      <c r="AN1009" s="13"/>
      <c r="AO1009" s="15"/>
      <c r="AP1009" s="15"/>
      <c r="AQ1009" s="13"/>
      <c r="AR1009" s="13"/>
      <c r="AS1009" s="13"/>
      <c r="AT1009" s="13"/>
      <c r="AU1009" s="13"/>
      <c r="AV1009" s="13"/>
      <c r="AW1009" s="13"/>
      <c r="AX1009" s="13"/>
      <c r="AY1009" s="15"/>
      <c r="AZ1009" s="15"/>
      <c r="BA1009" s="16"/>
      <c r="BB1009" s="15"/>
      <c r="BC1009" s="15"/>
      <c r="BD1009" s="13"/>
      <c r="BE1009" s="13"/>
      <c r="BF1009" s="13"/>
      <c r="BG1009" s="13"/>
      <c r="BH1009" s="13"/>
      <c r="BI1009" s="13"/>
      <c r="BJ1009" s="13"/>
      <c r="BK1009" s="13"/>
      <c r="BL1009" s="13"/>
      <c r="BM1009" s="13"/>
      <c r="BN1009" s="13"/>
      <c r="BO1009" s="13"/>
      <c r="BP1009" s="13"/>
      <c r="BQ1009" s="15"/>
      <c r="BR1009" s="15"/>
      <c r="BS1009" s="15"/>
      <c r="BT1009" s="15"/>
      <c r="BU1009" s="15"/>
      <c r="BV1009" s="15"/>
      <c r="BW1009" s="15"/>
      <c r="BX1009" s="15"/>
      <c r="BY1009" s="15"/>
      <c r="BZ1009" s="15"/>
      <c r="CA1009" s="15"/>
      <c r="CB1009" s="17"/>
      <c r="CC1009" s="17"/>
      <c r="CD1009" s="18"/>
      <c r="CE1009" s="18"/>
      <c r="CF1009" s="18"/>
      <c r="CG1009" s="18"/>
      <c r="CH1009" s="18"/>
    </row>
    <row r="1010">
      <c r="A1010" s="15"/>
      <c r="B1010" s="16"/>
      <c r="C1010" s="15"/>
      <c r="D1010" s="9"/>
      <c r="E1010" s="15"/>
      <c r="F1010" s="15"/>
      <c r="G1010" s="13"/>
      <c r="H1010" s="13"/>
      <c r="I1010" s="13"/>
      <c r="J1010" s="13"/>
      <c r="K1010" s="13"/>
      <c r="L1010" s="13"/>
      <c r="M1010" s="13"/>
      <c r="N1010" s="13"/>
      <c r="O1010" s="13"/>
      <c r="P1010" s="13"/>
      <c r="Q1010" s="13"/>
      <c r="R1010" s="13"/>
      <c r="S1010" s="13"/>
      <c r="T1010" s="13"/>
      <c r="U1010" s="13"/>
      <c r="V1010" s="13"/>
      <c r="W1010" s="13"/>
      <c r="X1010" s="13"/>
      <c r="Y1010" s="13"/>
      <c r="Z1010" s="13"/>
      <c r="AA1010" s="13"/>
      <c r="AB1010" s="15"/>
      <c r="AC1010" s="15"/>
      <c r="AD1010" s="15"/>
      <c r="AE1010" s="13"/>
      <c r="AF1010" s="13"/>
      <c r="AG1010" s="13"/>
      <c r="AH1010" s="15"/>
      <c r="AI1010" s="13"/>
      <c r="AJ1010" s="13"/>
      <c r="AK1010" s="13"/>
      <c r="AL1010" s="13"/>
      <c r="AM1010" s="15"/>
      <c r="AN1010" s="13"/>
      <c r="AO1010" s="15"/>
      <c r="AP1010" s="15"/>
      <c r="AQ1010" s="13"/>
      <c r="AR1010" s="13"/>
      <c r="AS1010" s="13"/>
      <c r="AT1010" s="13"/>
      <c r="AU1010" s="13"/>
      <c r="AV1010" s="13"/>
      <c r="AW1010" s="13"/>
      <c r="AX1010" s="13"/>
      <c r="AY1010" s="15"/>
      <c r="AZ1010" s="15"/>
      <c r="BA1010" s="16"/>
      <c r="BB1010" s="15"/>
      <c r="BC1010" s="15"/>
      <c r="BD1010" s="13"/>
      <c r="BE1010" s="13"/>
      <c r="BF1010" s="13"/>
      <c r="BG1010" s="13"/>
      <c r="BH1010" s="13"/>
      <c r="BI1010" s="13"/>
      <c r="BJ1010" s="13"/>
      <c r="BK1010" s="13"/>
      <c r="BL1010" s="13"/>
      <c r="BM1010" s="13"/>
      <c r="BN1010" s="13"/>
      <c r="BO1010" s="13"/>
      <c r="BP1010" s="13"/>
      <c r="BQ1010" s="15"/>
      <c r="BR1010" s="15"/>
      <c r="BS1010" s="15"/>
      <c r="BT1010" s="15"/>
      <c r="BU1010" s="15"/>
      <c r="BV1010" s="15"/>
      <c r="BW1010" s="15"/>
      <c r="BX1010" s="15"/>
      <c r="BY1010" s="15"/>
      <c r="BZ1010" s="15"/>
      <c r="CA1010" s="15"/>
      <c r="CB1010" s="17"/>
      <c r="CC1010" s="17"/>
      <c r="CD1010" s="18"/>
      <c r="CE1010" s="18"/>
      <c r="CF1010" s="18"/>
      <c r="CG1010" s="18"/>
      <c r="CH1010" s="18"/>
    </row>
    <row r="1011">
      <c r="A1011" s="15"/>
      <c r="B1011" s="16"/>
      <c r="C1011" s="15"/>
      <c r="D1011" s="9"/>
      <c r="E1011" s="15"/>
      <c r="F1011" s="15"/>
      <c r="G1011" s="13"/>
      <c r="H1011" s="13"/>
      <c r="I1011" s="13"/>
      <c r="J1011" s="13"/>
      <c r="K1011" s="13"/>
      <c r="L1011" s="13"/>
      <c r="M1011" s="13"/>
      <c r="N1011" s="13"/>
      <c r="O1011" s="13"/>
      <c r="P1011" s="13"/>
      <c r="Q1011" s="13"/>
      <c r="R1011" s="13"/>
      <c r="S1011" s="13"/>
      <c r="T1011" s="13"/>
      <c r="U1011" s="13"/>
      <c r="V1011" s="13"/>
      <c r="W1011" s="13"/>
      <c r="X1011" s="13"/>
      <c r="Y1011" s="13"/>
      <c r="Z1011" s="13"/>
      <c r="AA1011" s="13"/>
      <c r="AB1011" s="15"/>
      <c r="AC1011" s="15"/>
      <c r="AD1011" s="15"/>
      <c r="AE1011" s="13"/>
      <c r="AF1011" s="13"/>
      <c r="AG1011" s="13"/>
      <c r="AH1011" s="15"/>
      <c r="AI1011" s="13"/>
      <c r="AJ1011" s="13"/>
      <c r="AK1011" s="13"/>
      <c r="AL1011" s="13"/>
      <c r="AM1011" s="15"/>
      <c r="AN1011" s="13"/>
      <c r="AO1011" s="15"/>
      <c r="AP1011" s="15"/>
      <c r="AQ1011" s="13"/>
      <c r="AR1011" s="13"/>
      <c r="AS1011" s="13"/>
      <c r="AT1011" s="13"/>
      <c r="AU1011" s="13"/>
      <c r="AV1011" s="13"/>
      <c r="AW1011" s="13"/>
      <c r="AX1011" s="13"/>
      <c r="AY1011" s="15"/>
      <c r="AZ1011" s="15"/>
      <c r="BA1011" s="16"/>
      <c r="BB1011" s="15"/>
      <c r="BC1011" s="15"/>
      <c r="BD1011" s="13"/>
      <c r="BE1011" s="13"/>
      <c r="BF1011" s="13"/>
      <c r="BG1011" s="13"/>
      <c r="BH1011" s="13"/>
      <c r="BI1011" s="13"/>
      <c r="BJ1011" s="13"/>
      <c r="BK1011" s="13"/>
      <c r="BL1011" s="13"/>
      <c r="BM1011" s="13"/>
      <c r="BN1011" s="13"/>
      <c r="BO1011" s="13"/>
      <c r="BP1011" s="13"/>
      <c r="BQ1011" s="15"/>
      <c r="BR1011" s="15"/>
      <c r="BS1011" s="15"/>
      <c r="BT1011" s="15"/>
      <c r="BU1011" s="15"/>
      <c r="BV1011" s="15"/>
      <c r="BW1011" s="15"/>
      <c r="BX1011" s="15"/>
      <c r="BY1011" s="15"/>
      <c r="BZ1011" s="15"/>
      <c r="CA1011" s="15"/>
      <c r="CB1011" s="17"/>
      <c r="CC1011" s="17"/>
      <c r="CD1011" s="18"/>
      <c r="CE1011" s="18"/>
      <c r="CF1011" s="18"/>
      <c r="CG1011" s="18"/>
      <c r="CH1011" s="18"/>
    </row>
    <row r="1012">
      <c r="A1012" s="15"/>
      <c r="B1012" s="16"/>
      <c r="C1012" s="15"/>
      <c r="D1012" s="9"/>
      <c r="E1012" s="15"/>
      <c r="F1012" s="15"/>
      <c r="G1012" s="13"/>
      <c r="H1012" s="13"/>
      <c r="I1012" s="13"/>
      <c r="J1012" s="13"/>
      <c r="K1012" s="13"/>
      <c r="L1012" s="13"/>
      <c r="M1012" s="13"/>
      <c r="N1012" s="13"/>
      <c r="O1012" s="13"/>
      <c r="P1012" s="13"/>
      <c r="Q1012" s="13"/>
      <c r="R1012" s="13"/>
      <c r="S1012" s="13"/>
      <c r="T1012" s="13"/>
      <c r="U1012" s="13"/>
      <c r="V1012" s="13"/>
      <c r="W1012" s="13"/>
      <c r="X1012" s="13"/>
      <c r="Y1012" s="13"/>
      <c r="Z1012" s="13"/>
      <c r="AA1012" s="13"/>
      <c r="AB1012" s="15"/>
      <c r="AC1012" s="15"/>
      <c r="AD1012" s="15"/>
      <c r="AE1012" s="13"/>
      <c r="AF1012" s="13"/>
      <c r="AG1012" s="13"/>
      <c r="AH1012" s="15"/>
      <c r="AI1012" s="13"/>
      <c r="AJ1012" s="13"/>
      <c r="AK1012" s="13"/>
      <c r="AL1012" s="13"/>
      <c r="AM1012" s="15"/>
      <c r="AN1012" s="13"/>
      <c r="AO1012" s="15"/>
      <c r="AP1012" s="15"/>
      <c r="AQ1012" s="13"/>
      <c r="AR1012" s="13"/>
      <c r="AS1012" s="13"/>
      <c r="AT1012" s="13"/>
      <c r="AU1012" s="13"/>
      <c r="AV1012" s="13"/>
      <c r="AW1012" s="13"/>
      <c r="AX1012" s="13"/>
      <c r="AY1012" s="15"/>
      <c r="AZ1012" s="15"/>
      <c r="BA1012" s="16"/>
      <c r="BB1012" s="15"/>
      <c r="BC1012" s="15"/>
      <c r="BD1012" s="13"/>
      <c r="BE1012" s="13"/>
      <c r="BF1012" s="13"/>
      <c r="BG1012" s="13"/>
      <c r="BH1012" s="13"/>
      <c r="BI1012" s="13"/>
      <c r="BJ1012" s="13"/>
      <c r="BK1012" s="13"/>
      <c r="BL1012" s="13"/>
      <c r="BM1012" s="13"/>
      <c r="BN1012" s="13"/>
      <c r="BO1012" s="13"/>
      <c r="BP1012" s="13"/>
      <c r="BQ1012" s="15"/>
      <c r="BR1012" s="15"/>
      <c r="BS1012" s="15"/>
      <c r="BT1012" s="15"/>
      <c r="BU1012" s="15"/>
      <c r="BV1012" s="15"/>
      <c r="BW1012" s="15"/>
      <c r="BX1012" s="15"/>
      <c r="BY1012" s="15"/>
      <c r="BZ1012" s="15"/>
      <c r="CA1012" s="15"/>
      <c r="CB1012" s="17"/>
      <c r="CC1012" s="17"/>
      <c r="CD1012" s="18"/>
      <c r="CE1012" s="18"/>
      <c r="CF1012" s="18"/>
      <c r="CG1012" s="18"/>
      <c r="CH1012" s="18"/>
    </row>
    <row r="1013">
      <c r="A1013" s="15"/>
      <c r="B1013" s="16"/>
      <c r="C1013" s="15"/>
      <c r="D1013" s="9"/>
      <c r="E1013" s="15"/>
      <c r="F1013" s="15"/>
      <c r="G1013" s="13"/>
      <c r="H1013" s="13"/>
      <c r="I1013" s="13"/>
      <c r="J1013" s="13"/>
      <c r="K1013" s="13"/>
      <c r="L1013" s="13"/>
      <c r="M1013" s="13"/>
      <c r="N1013" s="13"/>
      <c r="O1013" s="13"/>
      <c r="P1013" s="13"/>
      <c r="Q1013" s="13"/>
      <c r="R1013" s="13"/>
      <c r="S1013" s="13"/>
      <c r="T1013" s="13"/>
      <c r="U1013" s="13"/>
      <c r="V1013" s="13"/>
      <c r="W1013" s="13"/>
      <c r="X1013" s="13"/>
      <c r="Y1013" s="13"/>
      <c r="Z1013" s="13"/>
      <c r="AA1013" s="13"/>
      <c r="AB1013" s="15"/>
      <c r="AC1013" s="15"/>
      <c r="AD1013" s="15"/>
      <c r="AE1013" s="13"/>
      <c r="AF1013" s="13"/>
      <c r="AG1013" s="13"/>
      <c r="AH1013" s="15"/>
      <c r="AI1013" s="13"/>
      <c r="AJ1013" s="13"/>
      <c r="AK1013" s="13"/>
      <c r="AL1013" s="13"/>
      <c r="AM1013" s="15"/>
      <c r="AN1013" s="13"/>
      <c r="AO1013" s="15"/>
      <c r="AP1013" s="15"/>
      <c r="AQ1013" s="13"/>
      <c r="AR1013" s="13"/>
      <c r="AS1013" s="13"/>
      <c r="AT1013" s="13"/>
      <c r="AU1013" s="13"/>
      <c r="AV1013" s="13"/>
      <c r="AW1013" s="13"/>
      <c r="AX1013" s="13"/>
      <c r="AY1013" s="15"/>
      <c r="AZ1013" s="15"/>
      <c r="BA1013" s="16"/>
      <c r="BB1013" s="15"/>
      <c r="BC1013" s="15"/>
      <c r="BD1013" s="13"/>
      <c r="BE1013" s="13"/>
      <c r="BF1013" s="13"/>
      <c r="BG1013" s="13"/>
      <c r="BH1013" s="13"/>
      <c r="BI1013" s="13"/>
      <c r="BJ1013" s="13"/>
      <c r="BK1013" s="13"/>
      <c r="BL1013" s="13"/>
      <c r="BM1013" s="13"/>
      <c r="BN1013" s="13"/>
      <c r="BO1013" s="13"/>
      <c r="BP1013" s="13"/>
      <c r="BQ1013" s="15"/>
      <c r="BR1013" s="15"/>
      <c r="BS1013" s="15"/>
      <c r="BT1013" s="15"/>
      <c r="BU1013" s="15"/>
      <c r="BV1013" s="15"/>
      <c r="BW1013" s="15"/>
      <c r="BX1013" s="15"/>
      <c r="BY1013" s="15"/>
      <c r="BZ1013" s="15"/>
      <c r="CA1013" s="15"/>
      <c r="CB1013" s="17"/>
      <c r="CC1013" s="17"/>
      <c r="CD1013" s="18"/>
      <c r="CE1013" s="18"/>
      <c r="CF1013" s="18"/>
      <c r="CG1013" s="18"/>
      <c r="CH1013" s="18"/>
    </row>
    <row r="1014">
      <c r="A1014" s="15"/>
      <c r="B1014" s="16"/>
      <c r="C1014" s="15"/>
      <c r="D1014" s="9"/>
      <c r="E1014" s="15"/>
      <c r="F1014" s="15"/>
      <c r="G1014" s="13"/>
      <c r="H1014" s="13"/>
      <c r="I1014" s="13"/>
      <c r="J1014" s="13"/>
      <c r="K1014" s="13"/>
      <c r="L1014" s="13"/>
      <c r="M1014" s="13"/>
      <c r="N1014" s="13"/>
      <c r="O1014" s="13"/>
      <c r="P1014" s="13"/>
      <c r="Q1014" s="13"/>
      <c r="R1014" s="13"/>
      <c r="S1014" s="13"/>
      <c r="T1014" s="13"/>
      <c r="U1014" s="13"/>
      <c r="V1014" s="13"/>
      <c r="W1014" s="13"/>
      <c r="X1014" s="13"/>
      <c r="Y1014" s="13"/>
      <c r="Z1014" s="13"/>
      <c r="AA1014" s="13"/>
      <c r="AB1014" s="15"/>
      <c r="AC1014" s="15"/>
      <c r="AD1014" s="15"/>
      <c r="AE1014" s="13"/>
      <c r="AF1014" s="13"/>
      <c r="AG1014" s="13"/>
      <c r="AH1014" s="15"/>
      <c r="AI1014" s="13"/>
      <c r="AJ1014" s="13"/>
      <c r="AK1014" s="13"/>
      <c r="AL1014" s="13"/>
      <c r="AM1014" s="15"/>
      <c r="AN1014" s="13"/>
      <c r="AO1014" s="15"/>
      <c r="AP1014" s="15"/>
      <c r="AQ1014" s="13"/>
      <c r="AR1014" s="13"/>
      <c r="AS1014" s="13"/>
      <c r="AT1014" s="13"/>
      <c r="AU1014" s="13"/>
      <c r="AV1014" s="13"/>
      <c r="AW1014" s="13"/>
      <c r="AX1014" s="13"/>
      <c r="AY1014" s="15"/>
      <c r="AZ1014" s="15"/>
      <c r="BA1014" s="16"/>
      <c r="BB1014" s="15"/>
      <c r="BC1014" s="15"/>
      <c r="BD1014" s="13"/>
      <c r="BE1014" s="13"/>
      <c r="BF1014" s="13"/>
      <c r="BG1014" s="13"/>
      <c r="BH1014" s="13"/>
      <c r="BI1014" s="13"/>
      <c r="BJ1014" s="13"/>
      <c r="BK1014" s="13"/>
      <c r="BL1014" s="13"/>
      <c r="BM1014" s="13"/>
      <c r="BN1014" s="13"/>
      <c r="BO1014" s="13"/>
      <c r="BP1014" s="13"/>
      <c r="BQ1014" s="15"/>
      <c r="BR1014" s="15"/>
      <c r="BS1014" s="15"/>
      <c r="BT1014" s="15"/>
      <c r="BU1014" s="15"/>
      <c r="BV1014" s="15"/>
      <c r="BW1014" s="15"/>
      <c r="BX1014" s="15"/>
      <c r="BY1014" s="15"/>
      <c r="BZ1014" s="15"/>
      <c r="CA1014" s="15"/>
      <c r="CB1014" s="17"/>
      <c r="CC1014" s="17"/>
      <c r="CD1014" s="18"/>
      <c r="CE1014" s="18"/>
      <c r="CF1014" s="18"/>
      <c r="CG1014" s="18"/>
      <c r="CH1014" s="18"/>
    </row>
    <row r="1015">
      <c r="A1015" s="15"/>
      <c r="B1015" s="16"/>
      <c r="C1015" s="15"/>
      <c r="D1015" s="9"/>
      <c r="E1015" s="15"/>
      <c r="F1015" s="15"/>
      <c r="G1015" s="13"/>
      <c r="H1015" s="13"/>
      <c r="I1015" s="13"/>
      <c r="J1015" s="13"/>
      <c r="K1015" s="13"/>
      <c r="L1015" s="13"/>
      <c r="M1015" s="13"/>
      <c r="N1015" s="13"/>
      <c r="O1015" s="13"/>
      <c r="P1015" s="13"/>
      <c r="Q1015" s="13"/>
      <c r="R1015" s="13"/>
      <c r="S1015" s="13"/>
      <c r="T1015" s="13"/>
      <c r="U1015" s="13"/>
      <c r="V1015" s="13"/>
      <c r="W1015" s="13"/>
      <c r="X1015" s="13"/>
      <c r="Y1015" s="13"/>
      <c r="Z1015" s="13"/>
      <c r="AA1015" s="13"/>
      <c r="AB1015" s="15"/>
      <c r="AC1015" s="15"/>
      <c r="AD1015" s="15"/>
      <c r="AE1015" s="13"/>
      <c r="AF1015" s="13"/>
      <c r="AG1015" s="13"/>
      <c r="AH1015" s="15"/>
      <c r="AI1015" s="13"/>
      <c r="AJ1015" s="13"/>
      <c r="AK1015" s="13"/>
      <c r="AL1015" s="13"/>
      <c r="AM1015" s="15"/>
      <c r="AN1015" s="13"/>
      <c r="AO1015" s="15"/>
      <c r="AP1015" s="15"/>
      <c r="AQ1015" s="13"/>
      <c r="AR1015" s="13"/>
      <c r="AS1015" s="13"/>
      <c r="AT1015" s="13"/>
      <c r="AU1015" s="13"/>
      <c r="AV1015" s="13"/>
      <c r="AW1015" s="13"/>
      <c r="AX1015" s="13"/>
      <c r="AY1015" s="15"/>
      <c r="AZ1015" s="15"/>
      <c r="BA1015" s="16"/>
      <c r="BB1015" s="15"/>
      <c r="BC1015" s="15"/>
      <c r="BD1015" s="13"/>
      <c r="BE1015" s="13"/>
      <c r="BF1015" s="13"/>
      <c r="BG1015" s="13"/>
      <c r="BH1015" s="13"/>
      <c r="BI1015" s="13"/>
      <c r="BJ1015" s="13"/>
      <c r="BK1015" s="13"/>
      <c r="BL1015" s="13"/>
      <c r="BM1015" s="13"/>
      <c r="BN1015" s="13"/>
      <c r="BO1015" s="13"/>
      <c r="BP1015" s="13"/>
      <c r="BQ1015" s="15"/>
      <c r="BR1015" s="15"/>
      <c r="BS1015" s="15"/>
      <c r="BT1015" s="15"/>
      <c r="BU1015" s="15"/>
      <c r="BV1015" s="15"/>
      <c r="BW1015" s="15"/>
      <c r="BX1015" s="15"/>
      <c r="BY1015" s="15"/>
      <c r="BZ1015" s="15"/>
      <c r="CA1015" s="15"/>
      <c r="CB1015" s="17"/>
      <c r="CC1015" s="17"/>
      <c r="CD1015" s="18"/>
      <c r="CE1015" s="18"/>
      <c r="CF1015" s="18"/>
      <c r="CG1015" s="18"/>
      <c r="CH1015" s="18"/>
    </row>
    <row r="1016">
      <c r="A1016" s="15"/>
      <c r="B1016" s="16"/>
      <c r="C1016" s="15"/>
      <c r="D1016" s="9"/>
      <c r="E1016" s="15"/>
      <c r="F1016" s="15"/>
      <c r="G1016" s="13"/>
      <c r="H1016" s="13"/>
      <c r="I1016" s="13"/>
      <c r="J1016" s="13"/>
      <c r="K1016" s="13"/>
      <c r="L1016" s="13"/>
      <c r="M1016" s="13"/>
      <c r="N1016" s="13"/>
      <c r="O1016" s="13"/>
      <c r="P1016" s="13"/>
      <c r="Q1016" s="13"/>
      <c r="R1016" s="13"/>
      <c r="S1016" s="13"/>
      <c r="T1016" s="13"/>
      <c r="U1016" s="13"/>
      <c r="V1016" s="13"/>
      <c r="W1016" s="13"/>
      <c r="X1016" s="13"/>
      <c r="Y1016" s="13"/>
      <c r="Z1016" s="13"/>
      <c r="AA1016" s="13"/>
      <c r="AB1016" s="15"/>
      <c r="AC1016" s="15"/>
      <c r="AD1016" s="15"/>
      <c r="AE1016" s="13"/>
      <c r="AF1016" s="13"/>
      <c r="AG1016" s="13"/>
      <c r="AH1016" s="15"/>
      <c r="AI1016" s="13"/>
      <c r="AJ1016" s="13"/>
      <c r="AK1016" s="13"/>
      <c r="AL1016" s="13"/>
      <c r="AM1016" s="15"/>
      <c r="AN1016" s="13"/>
      <c r="AO1016" s="15"/>
      <c r="AP1016" s="15"/>
      <c r="AQ1016" s="13"/>
      <c r="AR1016" s="13"/>
      <c r="AS1016" s="13"/>
      <c r="AT1016" s="13"/>
      <c r="AU1016" s="13"/>
      <c r="AV1016" s="13"/>
      <c r="AW1016" s="13"/>
      <c r="AX1016" s="13"/>
      <c r="AY1016" s="15"/>
      <c r="AZ1016" s="15"/>
      <c r="BA1016" s="16"/>
      <c r="BB1016" s="15"/>
      <c r="BC1016" s="15"/>
      <c r="BD1016" s="13"/>
      <c r="BE1016" s="13"/>
      <c r="BF1016" s="13"/>
      <c r="BG1016" s="13"/>
      <c r="BH1016" s="13"/>
      <c r="BI1016" s="13"/>
      <c r="BJ1016" s="13"/>
      <c r="BK1016" s="13"/>
      <c r="BL1016" s="13"/>
      <c r="BM1016" s="13"/>
      <c r="BN1016" s="13"/>
      <c r="BO1016" s="13"/>
      <c r="BP1016" s="13"/>
      <c r="BQ1016" s="15"/>
      <c r="BR1016" s="15"/>
      <c r="BS1016" s="15"/>
      <c r="BT1016" s="15"/>
      <c r="BU1016" s="15"/>
      <c r="BV1016" s="15"/>
      <c r="BW1016" s="15"/>
      <c r="BX1016" s="15"/>
      <c r="BY1016" s="15"/>
      <c r="BZ1016" s="15"/>
      <c r="CA1016" s="15"/>
      <c r="CB1016" s="17"/>
      <c r="CC1016" s="17"/>
      <c r="CD1016" s="18"/>
      <c r="CE1016" s="18"/>
      <c r="CF1016" s="18"/>
      <c r="CG1016" s="18"/>
      <c r="CH1016" s="18"/>
    </row>
    <row r="1017">
      <c r="A1017" s="15"/>
      <c r="B1017" s="16"/>
      <c r="C1017" s="15"/>
      <c r="D1017" s="9"/>
      <c r="E1017" s="15"/>
      <c r="F1017" s="15"/>
      <c r="G1017" s="13"/>
      <c r="H1017" s="13"/>
      <c r="I1017" s="13"/>
      <c r="J1017" s="13"/>
      <c r="K1017" s="13"/>
      <c r="L1017" s="13"/>
      <c r="M1017" s="13"/>
      <c r="N1017" s="13"/>
      <c r="O1017" s="13"/>
      <c r="P1017" s="13"/>
      <c r="Q1017" s="13"/>
      <c r="R1017" s="13"/>
      <c r="S1017" s="13"/>
      <c r="T1017" s="13"/>
      <c r="U1017" s="13"/>
      <c r="V1017" s="13"/>
      <c r="W1017" s="13"/>
      <c r="X1017" s="13"/>
      <c r="Y1017" s="13"/>
      <c r="Z1017" s="13"/>
      <c r="AA1017" s="13"/>
      <c r="AB1017" s="15"/>
      <c r="AC1017" s="15"/>
      <c r="AD1017" s="15"/>
      <c r="AE1017" s="13"/>
      <c r="AF1017" s="13"/>
      <c r="AG1017" s="13"/>
      <c r="AH1017" s="15"/>
      <c r="AI1017" s="13"/>
      <c r="AJ1017" s="13"/>
      <c r="AK1017" s="13"/>
      <c r="AL1017" s="13"/>
      <c r="AM1017" s="15"/>
      <c r="AN1017" s="13"/>
      <c r="AO1017" s="15"/>
      <c r="AP1017" s="15"/>
      <c r="AQ1017" s="13"/>
      <c r="AR1017" s="13"/>
      <c r="AS1017" s="13"/>
      <c r="AT1017" s="13"/>
      <c r="AU1017" s="13"/>
      <c r="AV1017" s="13"/>
      <c r="AW1017" s="13"/>
      <c r="AX1017" s="13"/>
      <c r="AY1017" s="15"/>
      <c r="AZ1017" s="15"/>
      <c r="BA1017" s="16"/>
      <c r="BB1017" s="15"/>
      <c r="BC1017" s="15"/>
      <c r="BD1017" s="13"/>
      <c r="BE1017" s="13"/>
      <c r="BF1017" s="13"/>
      <c r="BG1017" s="13"/>
      <c r="BH1017" s="13"/>
      <c r="BI1017" s="13"/>
      <c r="BJ1017" s="13"/>
      <c r="BK1017" s="13"/>
      <c r="BL1017" s="13"/>
      <c r="BM1017" s="13"/>
      <c r="BN1017" s="13"/>
      <c r="BO1017" s="13"/>
      <c r="BP1017" s="13"/>
      <c r="BQ1017" s="15"/>
      <c r="BR1017" s="15"/>
      <c r="BS1017" s="15"/>
      <c r="BT1017" s="15"/>
      <c r="BU1017" s="15"/>
      <c r="BV1017" s="15"/>
      <c r="BW1017" s="15"/>
      <c r="BX1017" s="15"/>
      <c r="BY1017" s="15"/>
      <c r="BZ1017" s="15"/>
      <c r="CA1017" s="15"/>
      <c r="CB1017" s="17"/>
      <c r="CC1017" s="17"/>
      <c r="CD1017" s="18"/>
      <c r="CE1017" s="18"/>
      <c r="CF1017" s="18"/>
      <c r="CG1017" s="18"/>
      <c r="CH1017" s="18"/>
    </row>
    <row r="1018">
      <c r="A1018" s="15"/>
      <c r="B1018" s="16"/>
      <c r="C1018" s="15"/>
      <c r="D1018" s="9"/>
      <c r="E1018" s="15"/>
      <c r="F1018" s="15"/>
      <c r="G1018" s="13"/>
      <c r="H1018" s="13"/>
      <c r="I1018" s="13"/>
      <c r="J1018" s="13"/>
      <c r="K1018" s="13"/>
      <c r="L1018" s="13"/>
      <c r="M1018" s="13"/>
      <c r="N1018" s="13"/>
      <c r="O1018" s="13"/>
      <c r="P1018" s="13"/>
      <c r="Q1018" s="13"/>
      <c r="R1018" s="13"/>
      <c r="S1018" s="13"/>
      <c r="T1018" s="13"/>
      <c r="U1018" s="13"/>
      <c r="V1018" s="13"/>
      <c r="W1018" s="13"/>
      <c r="X1018" s="13"/>
      <c r="Y1018" s="13"/>
      <c r="Z1018" s="13"/>
      <c r="AA1018" s="13"/>
      <c r="AB1018" s="15"/>
      <c r="AC1018" s="15"/>
      <c r="AD1018" s="15"/>
      <c r="AE1018" s="13"/>
      <c r="AF1018" s="13"/>
      <c r="AG1018" s="13"/>
      <c r="AH1018" s="15"/>
      <c r="AI1018" s="13"/>
      <c r="AJ1018" s="13"/>
      <c r="AK1018" s="13"/>
      <c r="AL1018" s="13"/>
      <c r="AM1018" s="15"/>
      <c r="AN1018" s="13"/>
      <c r="AO1018" s="15"/>
      <c r="AP1018" s="15"/>
      <c r="AQ1018" s="13"/>
      <c r="AR1018" s="13"/>
      <c r="AS1018" s="13"/>
      <c r="AT1018" s="13"/>
      <c r="AU1018" s="13"/>
      <c r="AV1018" s="13"/>
      <c r="AW1018" s="13"/>
      <c r="AX1018" s="13"/>
      <c r="AY1018" s="15"/>
      <c r="AZ1018" s="15"/>
      <c r="BA1018" s="16"/>
      <c r="BB1018" s="15"/>
      <c r="BC1018" s="15"/>
      <c r="BD1018" s="13"/>
      <c r="BE1018" s="13"/>
      <c r="BF1018" s="13"/>
      <c r="BG1018" s="13"/>
      <c r="BH1018" s="13"/>
      <c r="BI1018" s="13"/>
      <c r="BJ1018" s="13"/>
      <c r="BK1018" s="13"/>
      <c r="BL1018" s="13"/>
      <c r="BM1018" s="13"/>
      <c r="BN1018" s="13"/>
      <c r="BO1018" s="13"/>
      <c r="BP1018" s="13"/>
      <c r="BQ1018" s="15"/>
      <c r="BR1018" s="15"/>
      <c r="BS1018" s="15"/>
      <c r="BT1018" s="15"/>
      <c r="BU1018" s="15"/>
      <c r="BV1018" s="15"/>
      <c r="BW1018" s="15"/>
      <c r="BX1018" s="15"/>
      <c r="BY1018" s="15"/>
      <c r="BZ1018" s="15"/>
      <c r="CA1018" s="15"/>
      <c r="CB1018" s="17"/>
      <c r="CC1018" s="17"/>
      <c r="CD1018" s="18"/>
      <c r="CE1018" s="18"/>
      <c r="CF1018" s="18"/>
      <c r="CG1018" s="18"/>
      <c r="CH1018" s="18"/>
    </row>
    <row r="1019">
      <c r="A1019" s="15"/>
      <c r="B1019" s="16"/>
      <c r="C1019" s="15"/>
      <c r="D1019" s="9"/>
      <c r="E1019" s="15"/>
      <c r="F1019" s="15"/>
      <c r="G1019" s="13"/>
      <c r="H1019" s="13"/>
      <c r="I1019" s="13"/>
      <c r="J1019" s="13"/>
      <c r="K1019" s="13"/>
      <c r="L1019" s="13"/>
      <c r="M1019" s="13"/>
      <c r="N1019" s="13"/>
      <c r="O1019" s="13"/>
      <c r="P1019" s="13"/>
      <c r="Q1019" s="13"/>
      <c r="R1019" s="13"/>
      <c r="S1019" s="13"/>
      <c r="T1019" s="13"/>
      <c r="U1019" s="13"/>
      <c r="V1019" s="13"/>
      <c r="W1019" s="13"/>
      <c r="X1019" s="13"/>
      <c r="Y1019" s="13"/>
      <c r="Z1019" s="13"/>
      <c r="AA1019" s="13"/>
      <c r="AB1019" s="15"/>
      <c r="AC1019" s="15"/>
      <c r="AD1019" s="15"/>
      <c r="AE1019" s="13"/>
      <c r="AF1019" s="13"/>
      <c r="AG1019" s="13"/>
      <c r="AH1019" s="15"/>
      <c r="AI1019" s="13"/>
      <c r="AJ1019" s="13"/>
      <c r="AK1019" s="13"/>
      <c r="AL1019" s="13"/>
      <c r="AM1019" s="15"/>
      <c r="AN1019" s="13"/>
      <c r="AO1019" s="15"/>
      <c r="AP1019" s="15"/>
      <c r="AQ1019" s="13"/>
      <c r="AR1019" s="13"/>
      <c r="AS1019" s="13"/>
      <c r="AT1019" s="13"/>
      <c r="AU1019" s="13"/>
      <c r="AV1019" s="13"/>
      <c r="AW1019" s="13"/>
      <c r="AX1019" s="13"/>
      <c r="AY1019" s="15"/>
      <c r="AZ1019" s="15"/>
      <c r="BA1019" s="16"/>
      <c r="BB1019" s="15"/>
      <c r="BC1019" s="15"/>
      <c r="BD1019" s="13"/>
      <c r="BE1019" s="13"/>
      <c r="BF1019" s="13"/>
      <c r="BG1019" s="13"/>
      <c r="BH1019" s="13"/>
      <c r="BI1019" s="13"/>
      <c r="BJ1019" s="13"/>
      <c r="BK1019" s="13"/>
      <c r="BL1019" s="13"/>
      <c r="BM1019" s="13"/>
      <c r="BN1019" s="13"/>
      <c r="BO1019" s="13"/>
      <c r="BP1019" s="13"/>
      <c r="BQ1019" s="15"/>
      <c r="BR1019" s="15"/>
      <c r="BS1019" s="15"/>
      <c r="BT1019" s="15"/>
      <c r="BU1019" s="15"/>
      <c r="BV1019" s="15"/>
      <c r="BW1019" s="15"/>
      <c r="BX1019" s="15"/>
      <c r="BY1019" s="15"/>
      <c r="BZ1019" s="15"/>
      <c r="CA1019" s="15"/>
      <c r="CB1019" s="17"/>
      <c r="CC1019" s="17"/>
      <c r="CD1019" s="18"/>
      <c r="CE1019" s="18"/>
      <c r="CF1019" s="18"/>
      <c r="CG1019" s="18"/>
      <c r="CH1019" s="18"/>
    </row>
    <row r="1020">
      <c r="A1020" s="15"/>
      <c r="B1020" s="16"/>
      <c r="C1020" s="15"/>
      <c r="D1020" s="9"/>
      <c r="E1020" s="15"/>
      <c r="F1020" s="15"/>
      <c r="G1020" s="13"/>
      <c r="H1020" s="13"/>
      <c r="I1020" s="13"/>
      <c r="J1020" s="13"/>
      <c r="K1020" s="13"/>
      <c r="L1020" s="13"/>
      <c r="M1020" s="13"/>
      <c r="N1020" s="13"/>
      <c r="O1020" s="13"/>
      <c r="P1020" s="13"/>
      <c r="Q1020" s="13"/>
      <c r="R1020" s="13"/>
      <c r="S1020" s="13"/>
      <c r="T1020" s="13"/>
      <c r="U1020" s="13"/>
      <c r="V1020" s="13"/>
      <c r="W1020" s="13"/>
      <c r="X1020" s="13"/>
      <c r="Y1020" s="13"/>
      <c r="Z1020" s="13"/>
      <c r="AA1020" s="13"/>
      <c r="AB1020" s="15"/>
      <c r="AC1020" s="15"/>
      <c r="AD1020" s="15"/>
      <c r="AE1020" s="13"/>
      <c r="AF1020" s="13"/>
      <c r="AG1020" s="13"/>
      <c r="AH1020" s="15"/>
      <c r="AI1020" s="13"/>
      <c r="AJ1020" s="13"/>
      <c r="AK1020" s="13"/>
      <c r="AL1020" s="13"/>
      <c r="AM1020" s="15"/>
      <c r="AN1020" s="13"/>
      <c r="AO1020" s="15"/>
      <c r="AP1020" s="15"/>
      <c r="AQ1020" s="13"/>
      <c r="AR1020" s="13"/>
      <c r="AS1020" s="13"/>
      <c r="AT1020" s="13"/>
      <c r="AU1020" s="13"/>
      <c r="AV1020" s="13"/>
      <c r="AW1020" s="13"/>
      <c r="AX1020" s="13"/>
      <c r="AY1020" s="15"/>
      <c r="AZ1020" s="15"/>
      <c r="BA1020" s="16"/>
      <c r="BB1020" s="15"/>
      <c r="BC1020" s="15"/>
      <c r="BD1020" s="13"/>
      <c r="BE1020" s="13"/>
      <c r="BF1020" s="13"/>
      <c r="BG1020" s="13"/>
      <c r="BH1020" s="13"/>
      <c r="BI1020" s="13"/>
      <c r="BJ1020" s="13"/>
      <c r="BK1020" s="13"/>
      <c r="BL1020" s="13"/>
      <c r="BM1020" s="13"/>
      <c r="BN1020" s="13"/>
      <c r="BO1020" s="13"/>
      <c r="BP1020" s="13"/>
      <c r="BQ1020" s="15"/>
      <c r="BR1020" s="15"/>
      <c r="BS1020" s="15"/>
      <c r="BT1020" s="15"/>
      <c r="BU1020" s="15"/>
      <c r="BV1020" s="15"/>
      <c r="BW1020" s="15"/>
      <c r="BX1020" s="15"/>
      <c r="BY1020" s="15"/>
      <c r="BZ1020" s="15"/>
      <c r="CA1020" s="15"/>
      <c r="CB1020" s="17"/>
      <c r="CC1020" s="17"/>
      <c r="CD1020" s="18"/>
      <c r="CE1020" s="18"/>
      <c r="CF1020" s="18"/>
      <c r="CG1020" s="18"/>
      <c r="CH1020" s="18"/>
    </row>
    <row r="1021">
      <c r="A1021" s="15"/>
      <c r="B1021" s="16"/>
      <c r="C1021" s="15"/>
      <c r="D1021" s="9"/>
      <c r="E1021" s="15"/>
      <c r="F1021" s="15"/>
      <c r="G1021" s="13"/>
      <c r="H1021" s="13"/>
      <c r="I1021" s="13"/>
      <c r="J1021" s="13"/>
      <c r="K1021" s="13"/>
      <c r="L1021" s="13"/>
      <c r="M1021" s="13"/>
      <c r="N1021" s="13"/>
      <c r="O1021" s="13"/>
      <c r="P1021" s="13"/>
      <c r="Q1021" s="13"/>
      <c r="R1021" s="13"/>
      <c r="S1021" s="13"/>
      <c r="T1021" s="13"/>
      <c r="U1021" s="13"/>
      <c r="V1021" s="13"/>
      <c r="W1021" s="13"/>
      <c r="X1021" s="13"/>
      <c r="Y1021" s="13"/>
      <c r="Z1021" s="13"/>
      <c r="AA1021" s="13"/>
      <c r="AB1021" s="15"/>
      <c r="AC1021" s="15"/>
      <c r="AD1021" s="15"/>
      <c r="AE1021" s="13"/>
      <c r="AF1021" s="13"/>
      <c r="AG1021" s="13"/>
      <c r="AH1021" s="15"/>
      <c r="AI1021" s="13"/>
      <c r="AJ1021" s="13"/>
      <c r="AK1021" s="13"/>
      <c r="AL1021" s="13"/>
      <c r="AM1021" s="15"/>
      <c r="AN1021" s="13"/>
      <c r="AO1021" s="15"/>
      <c r="AP1021" s="15"/>
      <c r="AQ1021" s="13"/>
      <c r="AR1021" s="13"/>
      <c r="AS1021" s="13"/>
      <c r="AT1021" s="13"/>
      <c r="AU1021" s="13"/>
      <c r="AV1021" s="13"/>
      <c r="AW1021" s="13"/>
      <c r="AX1021" s="13"/>
      <c r="AY1021" s="15"/>
      <c r="AZ1021" s="15"/>
      <c r="BA1021" s="16"/>
      <c r="BB1021" s="15"/>
      <c r="BC1021" s="15"/>
      <c r="BD1021" s="13"/>
      <c r="BE1021" s="13"/>
      <c r="BF1021" s="13"/>
      <c r="BG1021" s="13"/>
      <c r="BH1021" s="13"/>
      <c r="BI1021" s="13"/>
      <c r="BJ1021" s="13"/>
      <c r="BK1021" s="13"/>
      <c r="BL1021" s="13"/>
      <c r="BM1021" s="13"/>
      <c r="BN1021" s="13"/>
      <c r="BO1021" s="13"/>
      <c r="BP1021" s="13"/>
      <c r="BQ1021" s="15"/>
      <c r="BR1021" s="15"/>
      <c r="BS1021" s="15"/>
      <c r="BT1021" s="15"/>
      <c r="BU1021" s="15"/>
      <c r="BV1021" s="15"/>
      <c r="BW1021" s="15"/>
      <c r="BX1021" s="15"/>
      <c r="BY1021" s="15"/>
      <c r="BZ1021" s="15"/>
      <c r="CA1021" s="15"/>
      <c r="CB1021" s="17"/>
      <c r="CC1021" s="17"/>
      <c r="CD1021" s="18"/>
      <c r="CE1021" s="18"/>
      <c r="CF1021" s="18"/>
      <c r="CG1021" s="18"/>
      <c r="CH1021" s="18"/>
    </row>
    <row r="1022">
      <c r="A1022" s="15"/>
      <c r="B1022" s="16"/>
      <c r="C1022" s="15"/>
      <c r="D1022" s="9"/>
      <c r="E1022" s="15"/>
      <c r="F1022" s="15"/>
      <c r="G1022" s="13"/>
      <c r="H1022" s="13"/>
      <c r="I1022" s="13"/>
      <c r="J1022" s="13"/>
      <c r="K1022" s="13"/>
      <c r="L1022" s="13"/>
      <c r="M1022" s="13"/>
      <c r="N1022" s="13"/>
      <c r="O1022" s="13"/>
      <c r="P1022" s="13"/>
      <c r="Q1022" s="13"/>
      <c r="R1022" s="13"/>
      <c r="S1022" s="13"/>
      <c r="T1022" s="13"/>
      <c r="U1022" s="13"/>
      <c r="V1022" s="13"/>
      <c r="W1022" s="13"/>
      <c r="X1022" s="13"/>
      <c r="Y1022" s="13"/>
      <c r="Z1022" s="13"/>
      <c r="AA1022" s="13"/>
      <c r="AB1022" s="15"/>
      <c r="AC1022" s="15"/>
      <c r="AD1022" s="15"/>
      <c r="AE1022" s="13"/>
      <c r="AF1022" s="13"/>
      <c r="AG1022" s="13"/>
      <c r="AH1022" s="15"/>
      <c r="AI1022" s="13"/>
      <c r="AJ1022" s="13"/>
      <c r="AK1022" s="13"/>
      <c r="AL1022" s="13"/>
      <c r="AM1022" s="15"/>
      <c r="AN1022" s="13"/>
      <c r="AO1022" s="15"/>
      <c r="AP1022" s="15"/>
      <c r="AQ1022" s="13"/>
      <c r="AR1022" s="13"/>
      <c r="AS1022" s="13"/>
      <c r="AT1022" s="13"/>
      <c r="AU1022" s="13"/>
      <c r="AV1022" s="13"/>
      <c r="AW1022" s="13"/>
      <c r="AX1022" s="13"/>
      <c r="AY1022" s="15"/>
      <c r="AZ1022" s="15"/>
      <c r="BA1022" s="16"/>
      <c r="BB1022" s="15"/>
      <c r="BC1022" s="15"/>
      <c r="BD1022" s="13"/>
      <c r="BE1022" s="13"/>
      <c r="BF1022" s="13"/>
      <c r="BG1022" s="13"/>
      <c r="BH1022" s="13"/>
      <c r="BI1022" s="13"/>
      <c r="BJ1022" s="13"/>
      <c r="BK1022" s="13"/>
      <c r="BL1022" s="13"/>
      <c r="BM1022" s="13"/>
      <c r="BN1022" s="13"/>
      <c r="BO1022" s="13"/>
      <c r="BP1022" s="13"/>
      <c r="BQ1022" s="15"/>
      <c r="BR1022" s="15"/>
      <c r="BS1022" s="15"/>
      <c r="BT1022" s="15"/>
      <c r="BU1022" s="15"/>
      <c r="BV1022" s="15"/>
      <c r="BW1022" s="15"/>
      <c r="BX1022" s="15"/>
      <c r="BY1022" s="15"/>
      <c r="BZ1022" s="15"/>
      <c r="CA1022" s="15"/>
      <c r="CB1022" s="17"/>
      <c r="CC1022" s="17"/>
      <c r="CD1022" s="18"/>
      <c r="CE1022" s="18"/>
      <c r="CF1022" s="18"/>
      <c r="CG1022" s="18"/>
      <c r="CH1022" s="18"/>
    </row>
    <row r="1023">
      <c r="A1023" s="15"/>
      <c r="B1023" s="16"/>
      <c r="C1023" s="15"/>
      <c r="D1023" s="9"/>
      <c r="E1023" s="15"/>
      <c r="F1023" s="15"/>
      <c r="G1023" s="13"/>
      <c r="H1023" s="13"/>
      <c r="I1023" s="13"/>
      <c r="J1023" s="13"/>
      <c r="K1023" s="13"/>
      <c r="L1023" s="13"/>
      <c r="M1023" s="13"/>
      <c r="N1023" s="13"/>
      <c r="O1023" s="13"/>
      <c r="P1023" s="13"/>
      <c r="Q1023" s="13"/>
      <c r="R1023" s="13"/>
      <c r="S1023" s="13"/>
      <c r="T1023" s="13"/>
      <c r="U1023" s="13"/>
      <c r="V1023" s="13"/>
      <c r="W1023" s="13"/>
      <c r="X1023" s="13"/>
      <c r="Y1023" s="13"/>
      <c r="Z1023" s="13"/>
      <c r="AA1023" s="13"/>
      <c r="AB1023" s="15"/>
      <c r="AC1023" s="15"/>
      <c r="AD1023" s="15"/>
      <c r="AE1023" s="13"/>
      <c r="AF1023" s="13"/>
      <c r="AG1023" s="13"/>
      <c r="AH1023" s="15"/>
      <c r="AI1023" s="13"/>
      <c r="AJ1023" s="13"/>
      <c r="AK1023" s="13"/>
      <c r="AL1023" s="13"/>
      <c r="AM1023" s="15"/>
      <c r="AN1023" s="13"/>
      <c r="AO1023" s="15"/>
      <c r="AP1023" s="15"/>
      <c r="AQ1023" s="13"/>
      <c r="AR1023" s="13"/>
      <c r="AS1023" s="13"/>
      <c r="AT1023" s="13"/>
      <c r="AU1023" s="13"/>
      <c r="AV1023" s="13"/>
      <c r="AW1023" s="13"/>
      <c r="AX1023" s="13"/>
      <c r="AY1023" s="15"/>
      <c r="AZ1023" s="15"/>
      <c r="BA1023" s="16"/>
      <c r="BB1023" s="15"/>
      <c r="BC1023" s="15"/>
      <c r="BD1023" s="13"/>
      <c r="BE1023" s="13"/>
      <c r="BF1023" s="13"/>
      <c r="BG1023" s="13"/>
      <c r="BH1023" s="13"/>
      <c r="BI1023" s="13"/>
      <c r="BJ1023" s="13"/>
      <c r="BK1023" s="13"/>
      <c r="BL1023" s="13"/>
      <c r="BM1023" s="13"/>
      <c r="BN1023" s="13"/>
      <c r="BO1023" s="13"/>
      <c r="BP1023" s="13"/>
      <c r="BQ1023" s="15"/>
      <c r="BR1023" s="15"/>
      <c r="BS1023" s="15"/>
      <c r="BT1023" s="15"/>
      <c r="BU1023" s="15"/>
      <c r="BV1023" s="15"/>
      <c r="BW1023" s="15"/>
      <c r="BX1023" s="15"/>
      <c r="BY1023" s="15"/>
      <c r="BZ1023" s="15"/>
      <c r="CA1023" s="15"/>
      <c r="CB1023" s="17"/>
      <c r="CC1023" s="17"/>
      <c r="CD1023" s="18"/>
      <c r="CE1023" s="18"/>
      <c r="CF1023" s="18"/>
      <c r="CG1023" s="18"/>
      <c r="CH1023" s="18"/>
    </row>
    <row r="1024">
      <c r="A1024" s="15"/>
      <c r="B1024" s="16"/>
      <c r="C1024" s="15"/>
      <c r="D1024" s="9"/>
      <c r="E1024" s="15"/>
      <c r="F1024" s="15"/>
      <c r="G1024" s="13"/>
      <c r="H1024" s="13"/>
      <c r="I1024" s="13"/>
      <c r="J1024" s="13"/>
      <c r="K1024" s="13"/>
      <c r="L1024" s="13"/>
      <c r="M1024" s="13"/>
      <c r="N1024" s="13"/>
      <c r="O1024" s="13"/>
      <c r="P1024" s="13"/>
      <c r="Q1024" s="13"/>
      <c r="R1024" s="13"/>
      <c r="S1024" s="13"/>
      <c r="T1024" s="13"/>
      <c r="U1024" s="13"/>
      <c r="V1024" s="13"/>
      <c r="W1024" s="13"/>
      <c r="X1024" s="13"/>
      <c r="Y1024" s="13"/>
      <c r="Z1024" s="13"/>
      <c r="AA1024" s="13"/>
      <c r="AB1024" s="15"/>
      <c r="AC1024" s="15"/>
      <c r="AD1024" s="15"/>
      <c r="AE1024" s="13"/>
      <c r="AF1024" s="13"/>
      <c r="AG1024" s="13"/>
      <c r="AH1024" s="15"/>
      <c r="AI1024" s="13"/>
      <c r="AJ1024" s="13"/>
      <c r="AK1024" s="13"/>
      <c r="AL1024" s="13"/>
      <c r="AM1024" s="15"/>
      <c r="AN1024" s="13"/>
      <c r="AO1024" s="15"/>
      <c r="AP1024" s="15"/>
      <c r="AQ1024" s="13"/>
      <c r="AR1024" s="13"/>
      <c r="AS1024" s="13"/>
      <c r="AT1024" s="13"/>
      <c r="AU1024" s="13"/>
      <c r="AV1024" s="13"/>
      <c r="AW1024" s="13"/>
      <c r="AX1024" s="13"/>
      <c r="AY1024" s="15"/>
      <c r="AZ1024" s="15"/>
      <c r="BA1024" s="16"/>
      <c r="BB1024" s="15"/>
      <c r="BC1024" s="15"/>
      <c r="BD1024" s="13"/>
      <c r="BE1024" s="13"/>
      <c r="BF1024" s="13"/>
      <c r="BG1024" s="13"/>
      <c r="BH1024" s="13"/>
      <c r="BI1024" s="13"/>
      <c r="BJ1024" s="13"/>
      <c r="BK1024" s="13"/>
      <c r="BL1024" s="13"/>
      <c r="BM1024" s="13"/>
      <c r="BN1024" s="13"/>
      <c r="BO1024" s="13"/>
      <c r="BP1024" s="13"/>
      <c r="BQ1024" s="15"/>
      <c r="BR1024" s="15"/>
      <c r="BS1024" s="15"/>
      <c r="BT1024" s="15"/>
      <c r="BU1024" s="15"/>
      <c r="BV1024" s="15"/>
      <c r="BW1024" s="15"/>
      <c r="BX1024" s="15"/>
      <c r="BY1024" s="15"/>
      <c r="BZ1024" s="15"/>
      <c r="CA1024" s="15"/>
      <c r="CB1024" s="17"/>
      <c r="CC1024" s="17"/>
      <c r="CD1024" s="18"/>
      <c r="CE1024" s="18"/>
      <c r="CF1024" s="18"/>
      <c r="CG1024" s="18"/>
      <c r="CH1024" s="18"/>
    </row>
    <row r="1025">
      <c r="A1025" s="15"/>
      <c r="B1025" s="16"/>
      <c r="C1025" s="15"/>
      <c r="D1025" s="9"/>
      <c r="E1025" s="15"/>
      <c r="F1025" s="15"/>
      <c r="G1025" s="13"/>
      <c r="H1025" s="13"/>
      <c r="I1025" s="13"/>
      <c r="J1025" s="13"/>
      <c r="K1025" s="13"/>
      <c r="L1025" s="13"/>
      <c r="M1025" s="13"/>
      <c r="N1025" s="13"/>
      <c r="O1025" s="13"/>
      <c r="P1025" s="13"/>
      <c r="Q1025" s="13"/>
      <c r="R1025" s="13"/>
      <c r="S1025" s="13"/>
      <c r="T1025" s="13"/>
      <c r="U1025" s="13"/>
      <c r="V1025" s="13"/>
      <c r="W1025" s="13"/>
      <c r="X1025" s="13"/>
      <c r="Y1025" s="13"/>
      <c r="Z1025" s="13"/>
      <c r="AA1025" s="13"/>
      <c r="AB1025" s="15"/>
      <c r="AC1025" s="15"/>
      <c r="AD1025" s="15"/>
      <c r="AE1025" s="13"/>
      <c r="AF1025" s="13"/>
      <c r="AG1025" s="13"/>
      <c r="AH1025" s="15"/>
      <c r="AI1025" s="13"/>
      <c r="AJ1025" s="13"/>
      <c r="AK1025" s="13"/>
      <c r="AL1025" s="13"/>
      <c r="AM1025" s="15"/>
      <c r="AN1025" s="13"/>
      <c r="AO1025" s="15"/>
      <c r="AP1025" s="15"/>
      <c r="AQ1025" s="13"/>
      <c r="AR1025" s="13"/>
      <c r="AS1025" s="13"/>
      <c r="AT1025" s="13"/>
      <c r="AU1025" s="13"/>
      <c r="AV1025" s="13"/>
      <c r="AW1025" s="13"/>
      <c r="AX1025" s="13"/>
      <c r="AY1025" s="15"/>
      <c r="AZ1025" s="15"/>
      <c r="BA1025" s="16"/>
      <c r="BB1025" s="15"/>
      <c r="BC1025" s="15"/>
      <c r="BD1025" s="13"/>
      <c r="BE1025" s="13"/>
      <c r="BF1025" s="13"/>
      <c r="BG1025" s="13"/>
      <c r="BH1025" s="13"/>
      <c r="BI1025" s="13"/>
      <c r="BJ1025" s="13"/>
      <c r="BK1025" s="13"/>
      <c r="BL1025" s="13"/>
      <c r="BM1025" s="13"/>
      <c r="BN1025" s="13"/>
      <c r="BO1025" s="13"/>
      <c r="BP1025" s="13"/>
      <c r="BQ1025" s="15"/>
      <c r="BR1025" s="15"/>
      <c r="BS1025" s="15"/>
      <c r="BT1025" s="15"/>
      <c r="BU1025" s="15"/>
      <c r="BV1025" s="15"/>
      <c r="BW1025" s="15"/>
      <c r="BX1025" s="15"/>
      <c r="BY1025" s="15"/>
      <c r="BZ1025" s="15"/>
      <c r="CA1025" s="15"/>
      <c r="CB1025" s="17"/>
      <c r="CC1025" s="17"/>
      <c r="CD1025" s="18"/>
      <c r="CE1025" s="18"/>
      <c r="CF1025" s="18"/>
      <c r="CG1025" s="18"/>
      <c r="CH1025" s="18"/>
    </row>
    <row r="1026">
      <c r="A1026" s="15"/>
      <c r="B1026" s="16"/>
      <c r="C1026" s="15"/>
      <c r="D1026" s="9"/>
      <c r="E1026" s="15"/>
      <c r="F1026" s="15"/>
      <c r="G1026" s="13"/>
      <c r="H1026" s="13"/>
      <c r="I1026" s="13"/>
      <c r="J1026" s="13"/>
      <c r="K1026" s="13"/>
      <c r="L1026" s="13"/>
      <c r="M1026" s="13"/>
      <c r="N1026" s="13"/>
      <c r="O1026" s="13"/>
      <c r="P1026" s="13"/>
      <c r="Q1026" s="13"/>
      <c r="R1026" s="13"/>
      <c r="S1026" s="13"/>
      <c r="T1026" s="13"/>
      <c r="U1026" s="13"/>
      <c r="V1026" s="13"/>
      <c r="W1026" s="13"/>
      <c r="X1026" s="13"/>
      <c r="Y1026" s="13"/>
      <c r="Z1026" s="13"/>
      <c r="AA1026" s="13"/>
      <c r="AB1026" s="15"/>
      <c r="AC1026" s="15"/>
      <c r="AD1026" s="15"/>
      <c r="AE1026" s="13"/>
      <c r="AF1026" s="13"/>
      <c r="AG1026" s="13"/>
      <c r="AH1026" s="15"/>
      <c r="AI1026" s="13"/>
      <c r="AJ1026" s="13"/>
      <c r="AK1026" s="13"/>
      <c r="AL1026" s="13"/>
      <c r="AM1026" s="15"/>
      <c r="AN1026" s="13"/>
      <c r="AO1026" s="15"/>
      <c r="AP1026" s="15"/>
      <c r="AQ1026" s="13"/>
      <c r="AR1026" s="13"/>
      <c r="AS1026" s="13"/>
      <c r="AT1026" s="13"/>
      <c r="AU1026" s="13"/>
      <c r="AV1026" s="13"/>
      <c r="AW1026" s="13"/>
      <c r="AX1026" s="13"/>
      <c r="AY1026" s="15"/>
      <c r="AZ1026" s="15"/>
      <c r="BA1026" s="16"/>
      <c r="BB1026" s="15"/>
      <c r="BC1026" s="15"/>
      <c r="BD1026" s="13"/>
      <c r="BE1026" s="13"/>
      <c r="BF1026" s="13"/>
      <c r="BG1026" s="13"/>
      <c r="BH1026" s="13"/>
      <c r="BI1026" s="13"/>
      <c r="BJ1026" s="13"/>
      <c r="BK1026" s="13"/>
      <c r="BL1026" s="13"/>
      <c r="BM1026" s="13"/>
      <c r="BN1026" s="13"/>
      <c r="BO1026" s="13"/>
      <c r="BP1026" s="13"/>
      <c r="BQ1026" s="15"/>
      <c r="BR1026" s="15"/>
      <c r="BS1026" s="15"/>
      <c r="BT1026" s="15"/>
      <c r="BU1026" s="15"/>
      <c r="BV1026" s="15"/>
      <c r="BW1026" s="15"/>
      <c r="BX1026" s="15"/>
      <c r="BY1026" s="15"/>
      <c r="BZ1026" s="15"/>
      <c r="CA1026" s="15"/>
      <c r="CB1026" s="17"/>
      <c r="CC1026" s="17"/>
      <c r="CD1026" s="18"/>
      <c r="CE1026" s="18"/>
      <c r="CF1026" s="18"/>
      <c r="CG1026" s="18"/>
      <c r="CH1026" s="18"/>
    </row>
    <row r="1027">
      <c r="A1027" s="15"/>
      <c r="B1027" s="16"/>
      <c r="C1027" s="15"/>
      <c r="D1027" s="9"/>
      <c r="E1027" s="15"/>
      <c r="F1027" s="15"/>
      <c r="G1027" s="13"/>
      <c r="H1027" s="13"/>
      <c r="I1027" s="13"/>
      <c r="J1027" s="13"/>
      <c r="K1027" s="13"/>
      <c r="L1027" s="13"/>
      <c r="M1027" s="13"/>
      <c r="N1027" s="13"/>
      <c r="O1027" s="13"/>
      <c r="P1027" s="13"/>
      <c r="Q1027" s="13"/>
      <c r="R1027" s="13"/>
      <c r="S1027" s="13"/>
      <c r="T1027" s="13"/>
      <c r="U1027" s="13"/>
      <c r="V1027" s="13"/>
      <c r="W1027" s="13"/>
      <c r="X1027" s="13"/>
      <c r="Y1027" s="13"/>
      <c r="Z1027" s="13"/>
      <c r="AA1027" s="13"/>
      <c r="AB1027" s="15"/>
      <c r="AC1027" s="15"/>
      <c r="AD1027" s="15"/>
      <c r="AE1027" s="13"/>
      <c r="AF1027" s="13"/>
      <c r="AG1027" s="13"/>
      <c r="AH1027" s="15"/>
      <c r="AI1027" s="13"/>
      <c r="AJ1027" s="13"/>
      <c r="AK1027" s="13"/>
      <c r="AL1027" s="13"/>
      <c r="AM1027" s="15"/>
      <c r="AN1027" s="13"/>
      <c r="AO1027" s="15"/>
      <c r="AP1027" s="15"/>
      <c r="AQ1027" s="13"/>
      <c r="AR1027" s="13"/>
      <c r="AS1027" s="13"/>
      <c r="AT1027" s="13"/>
      <c r="AU1027" s="13"/>
      <c r="AV1027" s="13"/>
      <c r="AW1027" s="13"/>
      <c r="AX1027" s="13"/>
      <c r="AY1027" s="15"/>
      <c r="AZ1027" s="15"/>
      <c r="BA1027" s="16"/>
      <c r="BB1027" s="15"/>
      <c r="BC1027" s="15"/>
      <c r="BD1027" s="13"/>
      <c r="BE1027" s="13"/>
      <c r="BF1027" s="13"/>
      <c r="BG1027" s="13"/>
      <c r="BH1027" s="13"/>
      <c r="BI1027" s="13"/>
      <c r="BJ1027" s="13"/>
      <c r="BK1027" s="13"/>
      <c r="BL1027" s="13"/>
      <c r="BM1027" s="13"/>
      <c r="BN1027" s="13"/>
      <c r="BO1027" s="13"/>
      <c r="BP1027" s="13"/>
      <c r="BQ1027" s="15"/>
      <c r="BR1027" s="15"/>
      <c r="BS1027" s="15"/>
      <c r="BT1027" s="15"/>
      <c r="BU1027" s="15"/>
      <c r="BV1027" s="15"/>
      <c r="BW1027" s="15"/>
      <c r="BX1027" s="15"/>
      <c r="BY1027" s="15"/>
      <c r="BZ1027" s="15"/>
      <c r="CA1027" s="15"/>
      <c r="CB1027" s="17"/>
      <c r="CC1027" s="17"/>
      <c r="CD1027" s="18"/>
      <c r="CE1027" s="18"/>
      <c r="CF1027" s="18"/>
      <c r="CG1027" s="18"/>
      <c r="CH1027" s="18"/>
    </row>
    <row r="1028">
      <c r="A1028" s="15"/>
      <c r="B1028" s="16"/>
      <c r="C1028" s="15"/>
      <c r="D1028" s="9"/>
      <c r="E1028" s="15"/>
      <c r="F1028" s="15"/>
      <c r="G1028" s="13"/>
      <c r="H1028" s="13"/>
      <c r="I1028" s="13"/>
      <c r="J1028" s="13"/>
      <c r="K1028" s="13"/>
      <c r="L1028" s="13"/>
      <c r="M1028" s="13"/>
      <c r="N1028" s="13"/>
      <c r="O1028" s="13"/>
      <c r="P1028" s="13"/>
      <c r="Q1028" s="13"/>
      <c r="R1028" s="13"/>
      <c r="S1028" s="13"/>
      <c r="T1028" s="13"/>
      <c r="U1028" s="13"/>
      <c r="V1028" s="13"/>
      <c r="W1028" s="13"/>
      <c r="X1028" s="13"/>
      <c r="Y1028" s="13"/>
      <c r="Z1028" s="13"/>
      <c r="AA1028" s="13"/>
      <c r="AB1028" s="15"/>
      <c r="AC1028" s="15"/>
      <c r="AD1028" s="15"/>
      <c r="AE1028" s="13"/>
      <c r="AF1028" s="13"/>
      <c r="AG1028" s="13"/>
      <c r="AH1028" s="15"/>
      <c r="AI1028" s="13"/>
      <c r="AJ1028" s="13"/>
      <c r="AK1028" s="13"/>
      <c r="AL1028" s="13"/>
      <c r="AM1028" s="15"/>
      <c r="AN1028" s="13"/>
      <c r="AO1028" s="15"/>
      <c r="AP1028" s="15"/>
      <c r="AQ1028" s="13"/>
      <c r="AR1028" s="13"/>
      <c r="AS1028" s="13"/>
      <c r="AT1028" s="13"/>
      <c r="AU1028" s="13"/>
      <c r="AV1028" s="13"/>
      <c r="AW1028" s="13"/>
      <c r="AX1028" s="13"/>
      <c r="AY1028" s="15"/>
      <c r="AZ1028" s="15"/>
      <c r="BA1028" s="16"/>
      <c r="BB1028" s="15"/>
      <c r="BC1028" s="15"/>
      <c r="BD1028" s="13"/>
      <c r="BE1028" s="13"/>
      <c r="BF1028" s="13"/>
      <c r="BG1028" s="13"/>
      <c r="BH1028" s="13"/>
      <c r="BI1028" s="13"/>
      <c r="BJ1028" s="13"/>
      <c r="BK1028" s="13"/>
      <c r="BL1028" s="13"/>
      <c r="BM1028" s="13"/>
      <c r="BN1028" s="13"/>
      <c r="BO1028" s="13"/>
      <c r="BP1028" s="13"/>
      <c r="BQ1028" s="15"/>
      <c r="BR1028" s="15"/>
      <c r="BS1028" s="15"/>
      <c r="BT1028" s="15"/>
      <c r="BU1028" s="15"/>
      <c r="BV1028" s="15"/>
      <c r="BW1028" s="15"/>
      <c r="BX1028" s="15"/>
      <c r="BY1028" s="15"/>
      <c r="BZ1028" s="15"/>
      <c r="CA1028" s="15"/>
      <c r="CB1028" s="17"/>
      <c r="CC1028" s="17"/>
      <c r="CD1028" s="18"/>
      <c r="CE1028" s="18"/>
      <c r="CF1028" s="18"/>
      <c r="CG1028" s="18"/>
      <c r="CH1028" s="18"/>
    </row>
    <row r="1029">
      <c r="A1029" s="15"/>
      <c r="B1029" s="16"/>
      <c r="C1029" s="15"/>
      <c r="D1029" s="9"/>
      <c r="E1029" s="15"/>
      <c r="F1029" s="15"/>
      <c r="G1029" s="13"/>
      <c r="H1029" s="13"/>
      <c r="I1029" s="13"/>
      <c r="J1029" s="13"/>
      <c r="K1029" s="13"/>
      <c r="L1029" s="13"/>
      <c r="M1029" s="13"/>
      <c r="N1029" s="13"/>
      <c r="O1029" s="13"/>
      <c r="P1029" s="13"/>
      <c r="Q1029" s="13"/>
      <c r="R1029" s="13"/>
      <c r="S1029" s="13"/>
      <c r="T1029" s="13"/>
      <c r="U1029" s="13"/>
      <c r="V1029" s="13"/>
      <c r="W1029" s="13"/>
      <c r="X1029" s="13"/>
      <c r="Y1029" s="13"/>
      <c r="Z1029" s="13"/>
      <c r="AA1029" s="13"/>
      <c r="AB1029" s="15"/>
      <c r="AC1029" s="15"/>
      <c r="AD1029" s="15"/>
      <c r="AE1029" s="13"/>
      <c r="AF1029" s="13"/>
      <c r="AG1029" s="13"/>
      <c r="AH1029" s="15"/>
      <c r="AI1029" s="13"/>
      <c r="AJ1029" s="13"/>
      <c r="AK1029" s="13"/>
      <c r="AL1029" s="13"/>
      <c r="AM1029" s="15"/>
      <c r="AN1029" s="13"/>
      <c r="AO1029" s="15"/>
      <c r="AP1029" s="15"/>
      <c r="AQ1029" s="13"/>
      <c r="AR1029" s="13"/>
      <c r="AS1029" s="13"/>
      <c r="AT1029" s="13"/>
      <c r="AU1029" s="13"/>
      <c r="AV1029" s="13"/>
      <c r="AW1029" s="13"/>
      <c r="AX1029" s="13"/>
      <c r="AY1029" s="15"/>
      <c r="AZ1029" s="15"/>
      <c r="BA1029" s="16"/>
      <c r="BB1029" s="15"/>
      <c r="BC1029" s="15"/>
      <c r="BD1029" s="13"/>
      <c r="BE1029" s="13"/>
      <c r="BF1029" s="13"/>
      <c r="BG1029" s="13"/>
      <c r="BH1029" s="13"/>
      <c r="BI1029" s="13"/>
      <c r="BJ1029" s="13"/>
      <c r="BK1029" s="13"/>
      <c r="BL1029" s="13"/>
      <c r="BM1029" s="13"/>
      <c r="BN1029" s="13"/>
      <c r="BO1029" s="13"/>
      <c r="BP1029" s="13"/>
      <c r="BQ1029" s="15"/>
      <c r="BR1029" s="15"/>
      <c r="BS1029" s="15"/>
      <c r="BT1029" s="15"/>
      <c r="BU1029" s="15"/>
      <c r="BV1029" s="15"/>
      <c r="BW1029" s="15"/>
      <c r="BX1029" s="15"/>
      <c r="BY1029" s="15"/>
      <c r="BZ1029" s="15"/>
      <c r="CA1029" s="15"/>
      <c r="CB1029" s="17"/>
      <c r="CC1029" s="17"/>
      <c r="CD1029" s="18"/>
      <c r="CE1029" s="18"/>
      <c r="CF1029" s="18"/>
      <c r="CG1029" s="18"/>
      <c r="CH1029" s="18"/>
    </row>
    <row r="1030">
      <c r="A1030" s="15"/>
      <c r="B1030" s="16"/>
      <c r="C1030" s="15"/>
      <c r="D1030" s="9"/>
      <c r="E1030" s="15"/>
      <c r="F1030" s="15"/>
      <c r="G1030" s="13"/>
      <c r="H1030" s="13"/>
      <c r="I1030" s="13"/>
      <c r="J1030" s="13"/>
      <c r="K1030" s="13"/>
      <c r="L1030" s="13"/>
      <c r="M1030" s="13"/>
      <c r="N1030" s="13"/>
      <c r="O1030" s="13"/>
      <c r="P1030" s="13"/>
      <c r="Q1030" s="13"/>
      <c r="R1030" s="13"/>
      <c r="S1030" s="13"/>
      <c r="T1030" s="13"/>
      <c r="U1030" s="13"/>
      <c r="V1030" s="13"/>
      <c r="W1030" s="13"/>
      <c r="X1030" s="13"/>
      <c r="Y1030" s="13"/>
      <c r="Z1030" s="13"/>
      <c r="AA1030" s="13"/>
      <c r="AB1030" s="15"/>
      <c r="AC1030" s="15"/>
      <c r="AD1030" s="15"/>
      <c r="AE1030" s="13"/>
      <c r="AF1030" s="13"/>
      <c r="AG1030" s="13"/>
      <c r="AH1030" s="15"/>
      <c r="AI1030" s="13"/>
      <c r="AJ1030" s="13"/>
      <c r="AK1030" s="13"/>
      <c r="AL1030" s="13"/>
      <c r="AM1030" s="15"/>
      <c r="AN1030" s="13"/>
      <c r="AO1030" s="15"/>
      <c r="AP1030" s="15"/>
      <c r="AQ1030" s="13"/>
      <c r="AR1030" s="13"/>
      <c r="AS1030" s="13"/>
      <c r="AT1030" s="13"/>
      <c r="AU1030" s="13"/>
      <c r="AV1030" s="13"/>
      <c r="AW1030" s="13"/>
      <c r="AX1030" s="13"/>
      <c r="AY1030" s="15"/>
      <c r="AZ1030" s="15"/>
      <c r="BA1030" s="16"/>
      <c r="BB1030" s="15"/>
      <c r="BC1030" s="15"/>
      <c r="BD1030" s="13"/>
      <c r="BE1030" s="13"/>
      <c r="BF1030" s="13"/>
      <c r="BG1030" s="13"/>
      <c r="BH1030" s="13"/>
      <c r="BI1030" s="13"/>
      <c r="BJ1030" s="13"/>
      <c r="BK1030" s="13"/>
      <c r="BL1030" s="13"/>
      <c r="BM1030" s="13"/>
      <c r="BN1030" s="13"/>
      <c r="BO1030" s="13"/>
      <c r="BP1030" s="13"/>
      <c r="BQ1030" s="15"/>
      <c r="BR1030" s="15"/>
      <c r="BS1030" s="15"/>
      <c r="BT1030" s="15"/>
      <c r="BU1030" s="15"/>
      <c r="BV1030" s="15"/>
      <c r="BW1030" s="15"/>
      <c r="BX1030" s="15"/>
      <c r="BY1030" s="15"/>
      <c r="BZ1030" s="15"/>
      <c r="CA1030" s="15"/>
      <c r="CB1030" s="17"/>
      <c r="CC1030" s="17"/>
      <c r="CD1030" s="18"/>
      <c r="CE1030" s="18"/>
      <c r="CF1030" s="18"/>
      <c r="CG1030" s="18"/>
      <c r="CH1030" s="18"/>
    </row>
    <row r="1031">
      <c r="A1031" s="15"/>
      <c r="B1031" s="16"/>
      <c r="C1031" s="15"/>
      <c r="D1031" s="9"/>
      <c r="E1031" s="15"/>
      <c r="F1031" s="15"/>
      <c r="G1031" s="13"/>
      <c r="H1031" s="13"/>
      <c r="I1031" s="13"/>
      <c r="J1031" s="13"/>
      <c r="K1031" s="13"/>
      <c r="L1031" s="13"/>
      <c r="M1031" s="13"/>
      <c r="N1031" s="13"/>
      <c r="O1031" s="13"/>
      <c r="P1031" s="13"/>
      <c r="Q1031" s="13"/>
      <c r="R1031" s="13"/>
      <c r="S1031" s="13"/>
      <c r="T1031" s="13"/>
      <c r="U1031" s="13"/>
      <c r="V1031" s="13"/>
      <c r="W1031" s="13"/>
      <c r="X1031" s="13"/>
      <c r="Y1031" s="13"/>
      <c r="Z1031" s="13"/>
      <c r="AA1031" s="13"/>
      <c r="AB1031" s="15"/>
      <c r="AC1031" s="15"/>
      <c r="AD1031" s="15"/>
      <c r="AE1031" s="13"/>
      <c r="AF1031" s="13"/>
      <c r="AG1031" s="13"/>
      <c r="AH1031" s="15"/>
      <c r="AI1031" s="13"/>
      <c r="AJ1031" s="13"/>
      <c r="AK1031" s="13"/>
      <c r="AL1031" s="13"/>
      <c r="AM1031" s="15"/>
      <c r="AN1031" s="13"/>
      <c r="AO1031" s="15"/>
      <c r="AP1031" s="15"/>
      <c r="AQ1031" s="13"/>
      <c r="AR1031" s="13"/>
      <c r="AS1031" s="13"/>
      <c r="AT1031" s="13"/>
      <c r="AU1031" s="13"/>
      <c r="AV1031" s="13"/>
      <c r="AW1031" s="13"/>
      <c r="AX1031" s="13"/>
      <c r="AY1031" s="15"/>
      <c r="AZ1031" s="15"/>
      <c r="BA1031" s="16"/>
      <c r="BB1031" s="15"/>
      <c r="BC1031" s="15"/>
      <c r="BD1031" s="13"/>
      <c r="BE1031" s="13"/>
      <c r="BF1031" s="13"/>
      <c r="BG1031" s="13"/>
      <c r="BH1031" s="13"/>
      <c r="BI1031" s="13"/>
      <c r="BJ1031" s="13"/>
      <c r="BK1031" s="13"/>
      <c r="BL1031" s="13"/>
      <c r="BM1031" s="13"/>
      <c r="BN1031" s="13"/>
      <c r="BO1031" s="13"/>
      <c r="BP1031" s="13"/>
      <c r="BQ1031" s="15"/>
      <c r="BR1031" s="15"/>
      <c r="BS1031" s="15"/>
      <c r="BT1031" s="15"/>
      <c r="BU1031" s="15"/>
      <c r="BV1031" s="15"/>
      <c r="BW1031" s="15"/>
      <c r="BX1031" s="15"/>
      <c r="BY1031" s="15"/>
      <c r="BZ1031" s="15"/>
      <c r="CA1031" s="15"/>
      <c r="CB1031" s="17"/>
      <c r="CC1031" s="17"/>
      <c r="CD1031" s="18"/>
      <c r="CE1031" s="18"/>
      <c r="CF1031" s="18"/>
      <c r="CG1031" s="18"/>
      <c r="CH1031" s="18"/>
    </row>
    <row r="1032">
      <c r="A1032" s="15"/>
      <c r="B1032" s="16"/>
      <c r="C1032" s="15"/>
      <c r="D1032" s="9"/>
      <c r="E1032" s="15"/>
      <c r="F1032" s="15"/>
      <c r="G1032" s="13"/>
      <c r="H1032" s="13"/>
      <c r="I1032" s="13"/>
      <c r="J1032" s="13"/>
      <c r="K1032" s="13"/>
      <c r="L1032" s="13"/>
      <c r="M1032" s="13"/>
      <c r="N1032" s="13"/>
      <c r="O1032" s="13"/>
      <c r="P1032" s="13"/>
      <c r="Q1032" s="13"/>
      <c r="R1032" s="13"/>
      <c r="S1032" s="13"/>
      <c r="T1032" s="13"/>
      <c r="U1032" s="13"/>
      <c r="V1032" s="13"/>
      <c r="W1032" s="13"/>
      <c r="X1032" s="13"/>
      <c r="Y1032" s="13"/>
      <c r="Z1032" s="13"/>
      <c r="AA1032" s="13"/>
      <c r="AB1032" s="15"/>
      <c r="AC1032" s="15"/>
      <c r="AD1032" s="15"/>
      <c r="AE1032" s="13"/>
      <c r="AF1032" s="13"/>
      <c r="AG1032" s="13"/>
      <c r="AH1032" s="15"/>
      <c r="AI1032" s="13"/>
      <c r="AJ1032" s="13"/>
      <c r="AK1032" s="13"/>
      <c r="AL1032" s="13"/>
      <c r="AM1032" s="15"/>
      <c r="AN1032" s="13"/>
      <c r="AO1032" s="15"/>
      <c r="AP1032" s="15"/>
      <c r="AQ1032" s="13"/>
      <c r="AR1032" s="13"/>
      <c r="AS1032" s="13"/>
      <c r="AT1032" s="13"/>
      <c r="AU1032" s="13"/>
      <c r="AV1032" s="13"/>
      <c r="AW1032" s="13"/>
      <c r="AX1032" s="13"/>
      <c r="AY1032" s="15"/>
      <c r="AZ1032" s="15"/>
      <c r="BA1032" s="16"/>
      <c r="BB1032" s="15"/>
      <c r="BC1032" s="15"/>
      <c r="BD1032" s="13"/>
      <c r="BE1032" s="13"/>
      <c r="BF1032" s="13"/>
      <c r="BG1032" s="13"/>
      <c r="BH1032" s="13"/>
      <c r="BI1032" s="13"/>
      <c r="BJ1032" s="13"/>
      <c r="BK1032" s="13"/>
      <c r="BL1032" s="13"/>
      <c r="BM1032" s="13"/>
      <c r="BN1032" s="13"/>
      <c r="BO1032" s="13"/>
      <c r="BP1032" s="13"/>
      <c r="BQ1032" s="15"/>
      <c r="BR1032" s="15"/>
      <c r="BS1032" s="15"/>
      <c r="BT1032" s="15"/>
      <c r="BU1032" s="15"/>
      <c r="BV1032" s="15"/>
      <c r="BW1032" s="15"/>
      <c r="BX1032" s="15"/>
      <c r="BY1032" s="15"/>
      <c r="BZ1032" s="15"/>
      <c r="CA1032" s="15"/>
      <c r="CB1032" s="17"/>
      <c r="CC1032" s="17"/>
      <c r="CD1032" s="18"/>
      <c r="CE1032" s="18"/>
      <c r="CF1032" s="18"/>
      <c r="CG1032" s="18"/>
      <c r="CH1032" s="18"/>
    </row>
    <row r="1033">
      <c r="A1033" s="15"/>
      <c r="B1033" s="16"/>
      <c r="C1033" s="15"/>
      <c r="D1033" s="9"/>
      <c r="E1033" s="15"/>
      <c r="F1033" s="15"/>
      <c r="G1033" s="13"/>
      <c r="H1033" s="13"/>
      <c r="I1033" s="13"/>
      <c r="J1033" s="13"/>
      <c r="K1033" s="13"/>
      <c r="L1033" s="13"/>
      <c r="M1033" s="13"/>
      <c r="N1033" s="13"/>
      <c r="O1033" s="13"/>
      <c r="P1033" s="13"/>
      <c r="Q1033" s="13"/>
      <c r="R1033" s="13"/>
      <c r="S1033" s="13"/>
      <c r="T1033" s="13"/>
      <c r="U1033" s="13"/>
      <c r="V1033" s="13"/>
      <c r="W1033" s="13"/>
      <c r="X1033" s="13"/>
      <c r="Y1033" s="13"/>
      <c r="Z1033" s="13"/>
      <c r="AA1033" s="13"/>
      <c r="AB1033" s="15"/>
      <c r="AC1033" s="15"/>
      <c r="AD1033" s="15"/>
      <c r="AE1033" s="13"/>
      <c r="AF1033" s="13"/>
      <c r="AG1033" s="13"/>
      <c r="AH1033" s="15"/>
      <c r="AI1033" s="13"/>
      <c r="AJ1033" s="13"/>
      <c r="AK1033" s="13"/>
      <c r="AL1033" s="13"/>
      <c r="AM1033" s="15"/>
      <c r="AN1033" s="13"/>
      <c r="AO1033" s="15"/>
      <c r="AP1033" s="15"/>
      <c r="AQ1033" s="13"/>
      <c r="AR1033" s="13"/>
      <c r="AS1033" s="13"/>
      <c r="AT1033" s="13"/>
      <c r="AU1033" s="13"/>
      <c r="AV1033" s="13"/>
      <c r="AW1033" s="13"/>
      <c r="AX1033" s="13"/>
      <c r="AY1033" s="15"/>
      <c r="AZ1033" s="15"/>
      <c r="BA1033" s="16"/>
      <c r="BB1033" s="15"/>
      <c r="BC1033" s="15"/>
      <c r="BD1033" s="13"/>
      <c r="BE1033" s="13"/>
      <c r="BF1033" s="13"/>
      <c r="BG1033" s="13"/>
      <c r="BH1033" s="13"/>
      <c r="BI1033" s="13"/>
      <c r="BJ1033" s="13"/>
      <c r="BK1033" s="13"/>
      <c r="BL1033" s="13"/>
      <c r="BM1033" s="13"/>
      <c r="BN1033" s="13"/>
      <c r="BO1033" s="13"/>
      <c r="BP1033" s="13"/>
      <c r="BQ1033" s="15"/>
      <c r="BR1033" s="15"/>
      <c r="BS1033" s="15"/>
      <c r="BT1033" s="15"/>
      <c r="BU1033" s="15"/>
      <c r="BV1033" s="15"/>
      <c r="BW1033" s="15"/>
      <c r="BX1033" s="15"/>
      <c r="BY1033" s="15"/>
      <c r="BZ1033" s="15"/>
      <c r="CA1033" s="15"/>
      <c r="CB1033" s="17"/>
      <c r="CC1033" s="17"/>
      <c r="CD1033" s="18"/>
      <c r="CE1033" s="18"/>
      <c r="CF1033" s="18"/>
      <c r="CG1033" s="18"/>
      <c r="CH1033" s="18"/>
    </row>
    <row r="1034">
      <c r="A1034" s="15"/>
      <c r="B1034" s="16"/>
      <c r="C1034" s="15"/>
      <c r="D1034" s="9"/>
      <c r="E1034" s="15"/>
      <c r="F1034" s="15"/>
      <c r="G1034" s="13"/>
      <c r="H1034" s="13"/>
      <c r="I1034" s="13"/>
      <c r="J1034" s="13"/>
      <c r="K1034" s="13"/>
      <c r="L1034" s="13"/>
      <c r="M1034" s="13"/>
      <c r="N1034" s="13"/>
      <c r="O1034" s="13"/>
      <c r="P1034" s="13"/>
      <c r="Q1034" s="13"/>
      <c r="R1034" s="13"/>
      <c r="S1034" s="13"/>
      <c r="T1034" s="13"/>
      <c r="U1034" s="13"/>
      <c r="V1034" s="13"/>
      <c r="W1034" s="13"/>
      <c r="X1034" s="13"/>
      <c r="Y1034" s="13"/>
      <c r="Z1034" s="13"/>
      <c r="AA1034" s="13"/>
      <c r="AB1034" s="15"/>
      <c r="AC1034" s="15"/>
      <c r="AD1034" s="15"/>
      <c r="AE1034" s="13"/>
      <c r="AF1034" s="13"/>
      <c r="AG1034" s="13"/>
      <c r="AH1034" s="15"/>
      <c r="AI1034" s="13"/>
      <c r="AJ1034" s="13"/>
      <c r="AK1034" s="13"/>
      <c r="AL1034" s="13"/>
      <c r="AM1034" s="15"/>
      <c r="AN1034" s="13"/>
      <c r="AO1034" s="15"/>
      <c r="AP1034" s="15"/>
      <c r="AQ1034" s="13"/>
      <c r="AR1034" s="13"/>
      <c r="AS1034" s="13"/>
      <c r="AT1034" s="13"/>
      <c r="AU1034" s="13"/>
      <c r="AV1034" s="13"/>
      <c r="AW1034" s="13"/>
      <c r="AX1034" s="13"/>
      <c r="AY1034" s="15"/>
      <c r="AZ1034" s="15"/>
      <c r="BA1034" s="16"/>
      <c r="BB1034" s="15"/>
      <c r="BC1034" s="15"/>
      <c r="BD1034" s="13"/>
      <c r="BE1034" s="13"/>
      <c r="BF1034" s="13"/>
      <c r="BG1034" s="13"/>
      <c r="BH1034" s="13"/>
      <c r="BI1034" s="13"/>
      <c r="BJ1034" s="13"/>
      <c r="BK1034" s="13"/>
      <c r="BL1034" s="13"/>
      <c r="BM1034" s="13"/>
      <c r="BN1034" s="13"/>
      <c r="BO1034" s="13"/>
      <c r="BP1034" s="13"/>
      <c r="BQ1034" s="15"/>
      <c r="BR1034" s="15"/>
      <c r="BS1034" s="15"/>
      <c r="BT1034" s="15"/>
      <c r="BU1034" s="15"/>
      <c r="BV1034" s="15"/>
      <c r="BW1034" s="15"/>
      <c r="BX1034" s="15"/>
      <c r="BY1034" s="15"/>
      <c r="BZ1034" s="15"/>
      <c r="CA1034" s="15"/>
      <c r="CB1034" s="17"/>
      <c r="CC1034" s="17"/>
      <c r="CD1034" s="18"/>
      <c r="CE1034" s="18"/>
      <c r="CF1034" s="18"/>
      <c r="CG1034" s="18"/>
      <c r="CH1034" s="18"/>
    </row>
    <row r="1035">
      <c r="A1035" s="15"/>
      <c r="B1035" s="16"/>
      <c r="C1035" s="15"/>
      <c r="D1035" s="9"/>
      <c r="E1035" s="15"/>
      <c r="F1035" s="15"/>
      <c r="G1035" s="13"/>
      <c r="H1035" s="13"/>
      <c r="I1035" s="13"/>
      <c r="J1035" s="13"/>
      <c r="K1035" s="13"/>
      <c r="L1035" s="13"/>
      <c r="M1035" s="13"/>
      <c r="N1035" s="13"/>
      <c r="O1035" s="13"/>
      <c r="P1035" s="13"/>
      <c r="Q1035" s="13"/>
      <c r="R1035" s="13"/>
      <c r="S1035" s="13"/>
      <c r="T1035" s="13"/>
      <c r="U1035" s="13"/>
      <c r="V1035" s="13"/>
      <c r="W1035" s="13"/>
      <c r="X1035" s="13"/>
      <c r="Y1035" s="13"/>
      <c r="Z1035" s="13"/>
      <c r="AA1035" s="13"/>
      <c r="AB1035" s="15"/>
      <c r="AC1035" s="15"/>
      <c r="AD1035" s="15"/>
      <c r="AE1035" s="13"/>
      <c r="AF1035" s="13"/>
      <c r="AG1035" s="13"/>
      <c r="AH1035" s="15"/>
      <c r="AI1035" s="13"/>
      <c r="AJ1035" s="13"/>
      <c r="AK1035" s="13"/>
      <c r="AL1035" s="13"/>
      <c r="AM1035" s="15"/>
      <c r="AN1035" s="13"/>
      <c r="AO1035" s="15"/>
      <c r="AP1035" s="15"/>
      <c r="AQ1035" s="13"/>
      <c r="AR1035" s="13"/>
      <c r="AS1035" s="13"/>
      <c r="AT1035" s="13"/>
      <c r="AU1035" s="13"/>
      <c r="AV1035" s="13"/>
      <c r="AW1035" s="13"/>
      <c r="AX1035" s="13"/>
      <c r="AY1035" s="15"/>
      <c r="AZ1035" s="15"/>
      <c r="BA1035" s="16"/>
      <c r="BB1035" s="15"/>
      <c r="BC1035" s="15"/>
      <c r="BD1035" s="13"/>
      <c r="BE1035" s="13"/>
      <c r="BF1035" s="13"/>
      <c r="BG1035" s="13"/>
      <c r="BH1035" s="13"/>
      <c r="BI1035" s="13"/>
      <c r="BJ1035" s="13"/>
      <c r="BK1035" s="13"/>
      <c r="BL1035" s="13"/>
      <c r="BM1035" s="13"/>
      <c r="BN1035" s="13"/>
      <c r="BO1035" s="13"/>
      <c r="BP1035" s="13"/>
      <c r="BQ1035" s="15"/>
      <c r="BR1035" s="15"/>
      <c r="BS1035" s="15"/>
      <c r="BT1035" s="15"/>
      <c r="BU1035" s="15"/>
      <c r="BV1035" s="15"/>
      <c r="BW1035" s="15"/>
      <c r="BX1035" s="15"/>
      <c r="BY1035" s="15"/>
      <c r="BZ1035" s="15"/>
      <c r="CA1035" s="15"/>
      <c r="CB1035" s="17"/>
      <c r="CC1035" s="17"/>
      <c r="CD1035" s="18"/>
      <c r="CE1035" s="18"/>
      <c r="CF1035" s="18"/>
      <c r="CG1035" s="18"/>
      <c r="CH1035" s="18"/>
    </row>
    <row r="1036">
      <c r="A1036" s="15"/>
      <c r="B1036" s="16"/>
      <c r="C1036" s="15"/>
      <c r="D1036" s="9"/>
      <c r="E1036" s="15"/>
      <c r="F1036" s="15"/>
      <c r="G1036" s="13"/>
      <c r="H1036" s="13"/>
      <c r="I1036" s="13"/>
      <c r="J1036" s="13"/>
      <c r="K1036" s="13"/>
      <c r="L1036" s="13"/>
      <c r="M1036" s="13"/>
      <c r="N1036" s="13"/>
      <c r="O1036" s="13"/>
      <c r="P1036" s="13"/>
      <c r="Q1036" s="13"/>
      <c r="R1036" s="13"/>
      <c r="S1036" s="13"/>
      <c r="T1036" s="13"/>
      <c r="U1036" s="13"/>
      <c r="V1036" s="13"/>
      <c r="W1036" s="13"/>
      <c r="X1036" s="13"/>
      <c r="Y1036" s="13"/>
      <c r="Z1036" s="13"/>
      <c r="AA1036" s="13"/>
      <c r="AB1036" s="15"/>
      <c r="AC1036" s="15"/>
      <c r="AD1036" s="15"/>
      <c r="AE1036" s="13"/>
      <c r="AF1036" s="13"/>
      <c r="AG1036" s="13"/>
      <c r="AH1036" s="15"/>
      <c r="AI1036" s="13"/>
      <c r="AJ1036" s="13"/>
      <c r="AK1036" s="13"/>
      <c r="AL1036" s="13"/>
      <c r="AM1036" s="15"/>
      <c r="AN1036" s="13"/>
      <c r="AO1036" s="15"/>
      <c r="AP1036" s="15"/>
      <c r="AQ1036" s="13"/>
      <c r="AR1036" s="13"/>
      <c r="AS1036" s="13"/>
      <c r="AT1036" s="13"/>
      <c r="AU1036" s="13"/>
      <c r="AV1036" s="13"/>
      <c r="AW1036" s="13"/>
      <c r="AX1036" s="13"/>
      <c r="AY1036" s="15"/>
      <c r="AZ1036" s="15"/>
      <c r="BA1036" s="16"/>
      <c r="BB1036" s="15"/>
      <c r="BC1036" s="15"/>
      <c r="BD1036" s="13"/>
      <c r="BE1036" s="13"/>
      <c r="BF1036" s="13"/>
      <c r="BG1036" s="13"/>
      <c r="BH1036" s="13"/>
      <c r="BI1036" s="13"/>
      <c r="BJ1036" s="13"/>
      <c r="BK1036" s="13"/>
      <c r="BL1036" s="13"/>
      <c r="BM1036" s="13"/>
      <c r="BN1036" s="13"/>
      <c r="BO1036" s="13"/>
      <c r="BP1036" s="13"/>
      <c r="BQ1036" s="15"/>
      <c r="BR1036" s="15"/>
      <c r="BS1036" s="15"/>
      <c r="BT1036" s="15"/>
      <c r="BU1036" s="15"/>
      <c r="BV1036" s="15"/>
      <c r="BW1036" s="15"/>
      <c r="BX1036" s="15"/>
      <c r="BY1036" s="15"/>
      <c r="BZ1036" s="15"/>
      <c r="CA1036" s="15"/>
      <c r="CB1036" s="17"/>
      <c r="CC1036" s="17"/>
      <c r="CD1036" s="18"/>
      <c r="CE1036" s="18"/>
      <c r="CF1036" s="18"/>
      <c r="CG1036" s="18"/>
      <c r="CH1036" s="18"/>
    </row>
    <row r="1037">
      <c r="A1037" s="15"/>
      <c r="B1037" s="16"/>
      <c r="C1037" s="15"/>
      <c r="D1037" s="9"/>
      <c r="E1037" s="15"/>
      <c r="F1037" s="15"/>
      <c r="G1037" s="13"/>
      <c r="H1037" s="13"/>
      <c r="I1037" s="13"/>
      <c r="J1037" s="13"/>
      <c r="K1037" s="13"/>
      <c r="L1037" s="13"/>
      <c r="M1037" s="13"/>
      <c r="N1037" s="13"/>
      <c r="O1037" s="13"/>
      <c r="P1037" s="13"/>
      <c r="Q1037" s="13"/>
      <c r="R1037" s="13"/>
      <c r="S1037" s="13"/>
      <c r="T1037" s="13"/>
      <c r="U1037" s="13"/>
      <c r="V1037" s="13"/>
      <c r="W1037" s="13"/>
      <c r="X1037" s="13"/>
      <c r="Y1037" s="13"/>
      <c r="Z1037" s="13"/>
      <c r="AA1037" s="13"/>
      <c r="AB1037" s="15"/>
      <c r="AC1037" s="15"/>
      <c r="AD1037" s="15"/>
      <c r="AE1037" s="13"/>
      <c r="AF1037" s="13"/>
      <c r="AG1037" s="13"/>
      <c r="AH1037" s="15"/>
      <c r="AI1037" s="13"/>
      <c r="AJ1037" s="13"/>
      <c r="AK1037" s="13"/>
      <c r="AL1037" s="13"/>
      <c r="AM1037" s="15"/>
      <c r="AN1037" s="13"/>
      <c r="AO1037" s="15"/>
      <c r="AP1037" s="15"/>
      <c r="AQ1037" s="13"/>
      <c r="AR1037" s="13"/>
      <c r="AS1037" s="13"/>
      <c r="AT1037" s="13"/>
      <c r="AU1037" s="13"/>
      <c r="AV1037" s="13"/>
      <c r="AW1037" s="13"/>
      <c r="AX1037" s="13"/>
      <c r="AY1037" s="15"/>
      <c r="AZ1037" s="15"/>
      <c r="BA1037" s="16"/>
      <c r="BB1037" s="15"/>
      <c r="BC1037" s="15"/>
      <c r="BD1037" s="13"/>
      <c r="BE1037" s="13"/>
      <c r="BF1037" s="13"/>
      <c r="BG1037" s="13"/>
      <c r="BH1037" s="13"/>
      <c r="BI1037" s="13"/>
      <c r="BJ1037" s="13"/>
      <c r="BK1037" s="13"/>
      <c r="BL1037" s="13"/>
      <c r="BM1037" s="13"/>
      <c r="BN1037" s="13"/>
      <c r="BO1037" s="13"/>
      <c r="BP1037" s="13"/>
      <c r="BQ1037" s="15"/>
      <c r="BR1037" s="15"/>
      <c r="BS1037" s="15"/>
      <c r="BT1037" s="15"/>
      <c r="BU1037" s="15"/>
      <c r="BV1037" s="15"/>
      <c r="BW1037" s="15"/>
      <c r="BX1037" s="15"/>
      <c r="BY1037" s="15"/>
      <c r="BZ1037" s="15"/>
      <c r="CA1037" s="15"/>
      <c r="CB1037" s="17"/>
      <c r="CC1037" s="17"/>
      <c r="CD1037" s="18"/>
      <c r="CE1037" s="18"/>
      <c r="CF1037" s="18"/>
      <c r="CG1037" s="18"/>
      <c r="CH1037" s="18"/>
    </row>
    <row r="1038">
      <c r="A1038" s="15"/>
      <c r="B1038" s="16"/>
      <c r="C1038" s="15"/>
      <c r="D1038" s="9"/>
      <c r="E1038" s="15"/>
      <c r="F1038" s="15"/>
      <c r="G1038" s="13"/>
      <c r="H1038" s="13"/>
      <c r="I1038" s="13"/>
      <c r="J1038" s="13"/>
      <c r="K1038" s="13"/>
      <c r="L1038" s="13"/>
      <c r="M1038" s="13"/>
      <c r="N1038" s="13"/>
      <c r="O1038" s="13"/>
      <c r="P1038" s="13"/>
      <c r="Q1038" s="13"/>
      <c r="R1038" s="13"/>
      <c r="S1038" s="13"/>
      <c r="T1038" s="13"/>
      <c r="U1038" s="13"/>
      <c r="V1038" s="13"/>
      <c r="W1038" s="13"/>
      <c r="X1038" s="13"/>
      <c r="Y1038" s="13"/>
      <c r="Z1038" s="13"/>
      <c r="AA1038" s="13"/>
      <c r="AB1038" s="15"/>
      <c r="AC1038" s="15"/>
      <c r="AD1038" s="15"/>
      <c r="AE1038" s="13"/>
      <c r="AF1038" s="13"/>
      <c r="AG1038" s="13"/>
      <c r="AH1038" s="15"/>
      <c r="AI1038" s="13"/>
      <c r="AJ1038" s="13"/>
      <c r="AK1038" s="13"/>
      <c r="AL1038" s="13"/>
      <c r="AM1038" s="15"/>
      <c r="AN1038" s="13"/>
      <c r="AO1038" s="15"/>
      <c r="AP1038" s="15"/>
      <c r="AQ1038" s="13"/>
      <c r="AR1038" s="13"/>
      <c r="AS1038" s="13"/>
      <c r="AT1038" s="13"/>
      <c r="AU1038" s="13"/>
      <c r="AV1038" s="13"/>
      <c r="AW1038" s="13"/>
      <c r="AX1038" s="13"/>
      <c r="AY1038" s="15"/>
      <c r="AZ1038" s="15"/>
      <c r="BA1038" s="16"/>
      <c r="BB1038" s="15"/>
      <c r="BC1038" s="15"/>
      <c r="BD1038" s="13"/>
      <c r="BE1038" s="13"/>
      <c r="BF1038" s="13"/>
      <c r="BG1038" s="13"/>
      <c r="BH1038" s="13"/>
      <c r="BI1038" s="13"/>
      <c r="BJ1038" s="13"/>
      <c r="BK1038" s="13"/>
      <c r="BL1038" s="13"/>
      <c r="BM1038" s="13"/>
      <c r="BN1038" s="13"/>
      <c r="BO1038" s="13"/>
      <c r="BP1038" s="13"/>
      <c r="BQ1038" s="15"/>
      <c r="BR1038" s="15"/>
      <c r="BS1038" s="15"/>
      <c r="BT1038" s="15"/>
      <c r="BU1038" s="15"/>
      <c r="BV1038" s="15"/>
      <c r="BW1038" s="15"/>
      <c r="BX1038" s="15"/>
      <c r="BY1038" s="15"/>
      <c r="BZ1038" s="15"/>
      <c r="CA1038" s="15"/>
      <c r="CB1038" s="17"/>
      <c r="CC1038" s="17"/>
      <c r="CD1038" s="18"/>
      <c r="CE1038" s="18"/>
      <c r="CF1038" s="18"/>
      <c r="CG1038" s="18"/>
      <c r="CH1038" s="18"/>
    </row>
    <row r="1039">
      <c r="A1039" s="15"/>
      <c r="B1039" s="16"/>
      <c r="C1039" s="15"/>
      <c r="D1039" s="9"/>
      <c r="E1039" s="15"/>
      <c r="F1039" s="15"/>
      <c r="G1039" s="13"/>
      <c r="H1039" s="13"/>
      <c r="I1039" s="13"/>
      <c r="J1039" s="13"/>
      <c r="K1039" s="13"/>
      <c r="L1039" s="13"/>
      <c r="M1039" s="13"/>
      <c r="N1039" s="13"/>
      <c r="O1039" s="13"/>
      <c r="P1039" s="13"/>
      <c r="Q1039" s="13"/>
      <c r="R1039" s="13"/>
      <c r="S1039" s="13"/>
      <c r="T1039" s="13"/>
      <c r="U1039" s="13"/>
      <c r="V1039" s="13"/>
      <c r="W1039" s="13"/>
      <c r="X1039" s="13"/>
      <c r="Y1039" s="13"/>
      <c r="Z1039" s="13"/>
      <c r="AA1039" s="13"/>
      <c r="AB1039" s="15"/>
      <c r="AC1039" s="15"/>
      <c r="AD1039" s="15"/>
      <c r="AE1039" s="13"/>
      <c r="AF1039" s="13"/>
      <c r="AG1039" s="13"/>
      <c r="AH1039" s="15"/>
      <c r="AI1039" s="13"/>
      <c r="AJ1039" s="13"/>
      <c r="AK1039" s="13"/>
      <c r="AL1039" s="13"/>
      <c r="AM1039" s="15"/>
      <c r="AN1039" s="13"/>
      <c r="AO1039" s="15"/>
      <c r="AP1039" s="15"/>
      <c r="AQ1039" s="13"/>
      <c r="AR1039" s="13"/>
      <c r="AS1039" s="13"/>
      <c r="AT1039" s="13"/>
      <c r="AU1039" s="13"/>
      <c r="AV1039" s="13"/>
      <c r="AW1039" s="13"/>
      <c r="AX1039" s="13"/>
      <c r="AY1039" s="15"/>
      <c r="AZ1039" s="15"/>
      <c r="BA1039" s="16"/>
      <c r="BB1039" s="15"/>
      <c r="BC1039" s="15"/>
      <c r="BD1039" s="13"/>
      <c r="BE1039" s="13"/>
      <c r="BF1039" s="13"/>
      <c r="BG1039" s="13"/>
      <c r="BH1039" s="13"/>
      <c r="BI1039" s="13"/>
      <c r="BJ1039" s="13"/>
      <c r="BK1039" s="13"/>
      <c r="BL1039" s="13"/>
      <c r="BM1039" s="13"/>
      <c r="BN1039" s="13"/>
      <c r="BO1039" s="13"/>
      <c r="BP1039" s="13"/>
      <c r="BQ1039" s="15"/>
      <c r="BR1039" s="15"/>
      <c r="BS1039" s="15"/>
      <c r="BT1039" s="15"/>
      <c r="BU1039" s="15"/>
      <c r="BV1039" s="15"/>
      <c r="BW1039" s="15"/>
      <c r="BX1039" s="15"/>
      <c r="BY1039" s="15"/>
      <c r="BZ1039" s="15"/>
      <c r="CA1039" s="15"/>
      <c r="CB1039" s="17"/>
      <c r="CC1039" s="17"/>
      <c r="CD1039" s="18"/>
      <c r="CE1039" s="18"/>
      <c r="CF1039" s="18"/>
      <c r="CG1039" s="18"/>
      <c r="CH1039" s="18"/>
    </row>
    <row r="1040">
      <c r="A1040" s="15"/>
      <c r="B1040" s="16"/>
      <c r="C1040" s="15"/>
      <c r="D1040" s="9"/>
      <c r="E1040" s="15"/>
      <c r="F1040" s="15"/>
      <c r="G1040" s="13"/>
      <c r="H1040" s="13"/>
      <c r="I1040" s="13"/>
      <c r="J1040" s="13"/>
      <c r="K1040" s="13"/>
      <c r="L1040" s="13"/>
      <c r="M1040" s="13"/>
      <c r="N1040" s="13"/>
      <c r="O1040" s="13"/>
      <c r="P1040" s="13"/>
      <c r="Q1040" s="13"/>
      <c r="R1040" s="13"/>
      <c r="S1040" s="13"/>
      <c r="T1040" s="13"/>
      <c r="U1040" s="13"/>
      <c r="V1040" s="13"/>
      <c r="W1040" s="13"/>
      <c r="X1040" s="13"/>
      <c r="Y1040" s="13"/>
      <c r="Z1040" s="13"/>
      <c r="AA1040" s="13"/>
      <c r="AB1040" s="15"/>
      <c r="AC1040" s="15"/>
      <c r="AD1040" s="15"/>
      <c r="AE1040" s="13"/>
      <c r="AF1040" s="13"/>
      <c r="AG1040" s="13"/>
      <c r="AH1040" s="15"/>
      <c r="AI1040" s="13"/>
      <c r="AJ1040" s="13"/>
      <c r="AK1040" s="13"/>
      <c r="AL1040" s="13"/>
      <c r="AM1040" s="15"/>
      <c r="AN1040" s="13"/>
      <c r="AO1040" s="15"/>
      <c r="AP1040" s="15"/>
      <c r="AQ1040" s="13"/>
      <c r="AR1040" s="13"/>
      <c r="AS1040" s="13"/>
      <c r="AT1040" s="13"/>
      <c r="AU1040" s="13"/>
      <c r="AV1040" s="13"/>
      <c r="AW1040" s="13"/>
      <c r="AX1040" s="13"/>
      <c r="AY1040" s="15"/>
      <c r="AZ1040" s="15"/>
      <c r="BA1040" s="16"/>
      <c r="BB1040" s="15"/>
      <c r="BC1040" s="15"/>
      <c r="BD1040" s="13"/>
      <c r="BE1040" s="13"/>
      <c r="BF1040" s="13"/>
      <c r="BG1040" s="13"/>
      <c r="BH1040" s="13"/>
      <c r="BI1040" s="13"/>
      <c r="BJ1040" s="13"/>
      <c r="BK1040" s="13"/>
      <c r="BL1040" s="13"/>
      <c r="BM1040" s="13"/>
      <c r="BN1040" s="13"/>
      <c r="BO1040" s="13"/>
      <c r="BP1040" s="13"/>
      <c r="BQ1040" s="15"/>
      <c r="BR1040" s="15"/>
      <c r="BS1040" s="15"/>
      <c r="BT1040" s="15"/>
      <c r="BU1040" s="15"/>
      <c r="BV1040" s="15"/>
      <c r="BW1040" s="15"/>
      <c r="BX1040" s="15"/>
      <c r="BY1040" s="15"/>
      <c r="BZ1040" s="15"/>
      <c r="CA1040" s="15"/>
      <c r="CB1040" s="17"/>
      <c r="CC1040" s="17"/>
      <c r="CD1040" s="18"/>
      <c r="CE1040" s="18"/>
      <c r="CF1040" s="18"/>
      <c r="CG1040" s="18"/>
      <c r="CH1040" s="18"/>
    </row>
    <row r="1041">
      <c r="A1041" s="15"/>
      <c r="B1041" s="16"/>
      <c r="C1041" s="15"/>
      <c r="D1041" s="9"/>
      <c r="E1041" s="15"/>
      <c r="F1041" s="15"/>
      <c r="G1041" s="13"/>
      <c r="H1041" s="13"/>
      <c r="I1041" s="13"/>
      <c r="J1041" s="13"/>
      <c r="K1041" s="13"/>
      <c r="L1041" s="13"/>
      <c r="M1041" s="13"/>
      <c r="N1041" s="13"/>
      <c r="O1041" s="13"/>
      <c r="P1041" s="13"/>
      <c r="Q1041" s="13"/>
      <c r="R1041" s="13"/>
      <c r="S1041" s="13"/>
      <c r="T1041" s="13"/>
      <c r="U1041" s="13"/>
      <c r="V1041" s="13"/>
      <c r="W1041" s="13"/>
      <c r="X1041" s="13"/>
      <c r="Y1041" s="13"/>
      <c r="Z1041" s="13"/>
      <c r="AA1041" s="13"/>
      <c r="AB1041" s="15"/>
      <c r="AC1041" s="15"/>
      <c r="AD1041" s="15"/>
      <c r="AE1041" s="13"/>
      <c r="AF1041" s="13"/>
      <c r="AG1041" s="13"/>
      <c r="AH1041" s="15"/>
      <c r="AI1041" s="13"/>
      <c r="AJ1041" s="13"/>
      <c r="AK1041" s="13"/>
      <c r="AL1041" s="13"/>
      <c r="AM1041" s="15"/>
      <c r="AN1041" s="13"/>
      <c r="AO1041" s="15"/>
      <c r="AP1041" s="15"/>
      <c r="AQ1041" s="13"/>
      <c r="AR1041" s="13"/>
      <c r="AS1041" s="13"/>
      <c r="AT1041" s="13"/>
      <c r="AU1041" s="13"/>
      <c r="AV1041" s="13"/>
      <c r="AW1041" s="13"/>
      <c r="AX1041" s="13"/>
      <c r="AY1041" s="15"/>
      <c r="AZ1041" s="15"/>
      <c r="BA1041" s="16"/>
      <c r="BB1041" s="15"/>
      <c r="BC1041" s="15"/>
      <c r="BD1041" s="13"/>
      <c r="BE1041" s="13"/>
      <c r="BF1041" s="13"/>
      <c r="BG1041" s="13"/>
      <c r="BH1041" s="13"/>
      <c r="BI1041" s="13"/>
      <c r="BJ1041" s="13"/>
      <c r="BK1041" s="13"/>
      <c r="BL1041" s="13"/>
      <c r="BM1041" s="13"/>
      <c r="BN1041" s="13"/>
      <c r="BO1041" s="13"/>
      <c r="BP1041" s="13"/>
      <c r="BQ1041" s="15"/>
      <c r="BR1041" s="15"/>
      <c r="BS1041" s="15"/>
      <c r="BT1041" s="15"/>
      <c r="BU1041" s="15"/>
      <c r="BV1041" s="15"/>
      <c r="BW1041" s="15"/>
      <c r="BX1041" s="15"/>
      <c r="BY1041" s="15"/>
      <c r="BZ1041" s="15"/>
      <c r="CA1041" s="15"/>
      <c r="CB1041" s="17"/>
      <c r="CC1041" s="17"/>
      <c r="CD1041" s="18"/>
      <c r="CE1041" s="18"/>
      <c r="CF1041" s="18"/>
      <c r="CG1041" s="18"/>
      <c r="CH1041" s="18"/>
    </row>
    <row r="1042">
      <c r="A1042" s="15"/>
      <c r="B1042" s="16"/>
      <c r="C1042" s="15"/>
      <c r="D1042" s="9"/>
      <c r="E1042" s="15"/>
      <c r="F1042" s="15"/>
      <c r="G1042" s="13"/>
      <c r="H1042" s="13"/>
      <c r="I1042" s="13"/>
      <c r="J1042" s="13"/>
      <c r="K1042" s="13"/>
      <c r="L1042" s="13"/>
      <c r="M1042" s="13"/>
      <c r="N1042" s="13"/>
      <c r="O1042" s="13"/>
      <c r="P1042" s="13"/>
      <c r="Q1042" s="13"/>
      <c r="R1042" s="13"/>
      <c r="S1042" s="13"/>
      <c r="T1042" s="13"/>
      <c r="U1042" s="13"/>
      <c r="V1042" s="13"/>
      <c r="W1042" s="13"/>
      <c r="X1042" s="13"/>
      <c r="Y1042" s="13"/>
      <c r="Z1042" s="13"/>
      <c r="AA1042" s="13"/>
      <c r="AB1042" s="15"/>
      <c r="AC1042" s="15"/>
      <c r="AD1042" s="15"/>
      <c r="AE1042" s="13"/>
      <c r="AF1042" s="13"/>
      <c r="AG1042" s="13"/>
      <c r="AH1042" s="15"/>
      <c r="AI1042" s="13"/>
      <c r="AJ1042" s="13"/>
      <c r="AK1042" s="13"/>
      <c r="AL1042" s="13"/>
      <c r="AM1042" s="15"/>
      <c r="AN1042" s="13"/>
      <c r="AO1042" s="15"/>
      <c r="AP1042" s="15"/>
      <c r="AQ1042" s="13"/>
      <c r="AR1042" s="13"/>
      <c r="AS1042" s="13"/>
      <c r="AT1042" s="13"/>
      <c r="AU1042" s="13"/>
      <c r="AV1042" s="13"/>
      <c r="AW1042" s="13"/>
      <c r="AX1042" s="13"/>
      <c r="AY1042" s="15"/>
      <c r="AZ1042" s="15"/>
      <c r="BA1042" s="16"/>
      <c r="BB1042" s="15"/>
      <c r="BC1042" s="15"/>
      <c r="BD1042" s="13"/>
      <c r="BE1042" s="13"/>
      <c r="BF1042" s="13"/>
      <c r="BG1042" s="13"/>
      <c r="BH1042" s="13"/>
      <c r="BI1042" s="13"/>
      <c r="BJ1042" s="13"/>
      <c r="BK1042" s="13"/>
      <c r="BL1042" s="13"/>
      <c r="BM1042" s="13"/>
      <c r="BN1042" s="13"/>
      <c r="BO1042" s="13"/>
      <c r="BP1042" s="13"/>
      <c r="BQ1042" s="15"/>
      <c r="BR1042" s="15"/>
      <c r="BS1042" s="15"/>
      <c r="BT1042" s="15"/>
      <c r="BU1042" s="15"/>
      <c r="BV1042" s="15"/>
      <c r="BW1042" s="15"/>
      <c r="BX1042" s="15"/>
      <c r="BY1042" s="15"/>
      <c r="BZ1042" s="15"/>
      <c r="CA1042" s="15"/>
      <c r="CB1042" s="17"/>
      <c r="CC1042" s="17"/>
      <c r="CD1042" s="18"/>
      <c r="CE1042" s="18"/>
      <c r="CF1042" s="18"/>
      <c r="CG1042" s="18"/>
      <c r="CH1042" s="18"/>
    </row>
    <row r="1043">
      <c r="A1043" s="15"/>
      <c r="B1043" s="16"/>
      <c r="C1043" s="15"/>
      <c r="D1043" s="9"/>
      <c r="E1043" s="15"/>
      <c r="F1043" s="15"/>
      <c r="G1043" s="13"/>
      <c r="H1043" s="13"/>
      <c r="I1043" s="13"/>
      <c r="J1043" s="13"/>
      <c r="K1043" s="13"/>
      <c r="L1043" s="13"/>
      <c r="M1043" s="13"/>
      <c r="N1043" s="13"/>
      <c r="O1043" s="13"/>
      <c r="P1043" s="13"/>
      <c r="Q1043" s="13"/>
      <c r="R1043" s="13"/>
      <c r="S1043" s="13"/>
      <c r="T1043" s="13"/>
      <c r="U1043" s="13"/>
      <c r="V1043" s="13"/>
      <c r="W1043" s="13"/>
      <c r="X1043" s="13"/>
      <c r="Y1043" s="13"/>
      <c r="Z1043" s="13"/>
      <c r="AA1043" s="13"/>
      <c r="AB1043" s="15"/>
      <c r="AC1043" s="15"/>
      <c r="AD1043" s="15"/>
      <c r="AE1043" s="13"/>
      <c r="AF1043" s="13"/>
      <c r="AG1043" s="13"/>
      <c r="AH1043" s="15"/>
      <c r="AI1043" s="13"/>
      <c r="AJ1043" s="13"/>
      <c r="AK1043" s="13"/>
      <c r="AL1043" s="13"/>
      <c r="AM1043" s="15"/>
      <c r="AN1043" s="13"/>
      <c r="AO1043" s="15"/>
      <c r="AP1043" s="15"/>
      <c r="AQ1043" s="13"/>
      <c r="AR1043" s="13"/>
      <c r="AS1043" s="13"/>
      <c r="AT1043" s="13"/>
      <c r="AU1043" s="13"/>
      <c r="AV1043" s="13"/>
      <c r="AW1043" s="13"/>
      <c r="AX1043" s="13"/>
      <c r="AY1043" s="15"/>
      <c r="AZ1043" s="15"/>
      <c r="BA1043" s="16"/>
      <c r="BB1043" s="15"/>
      <c r="BC1043" s="15"/>
      <c r="BD1043" s="13"/>
      <c r="BE1043" s="13"/>
      <c r="BF1043" s="13"/>
      <c r="BG1043" s="13"/>
      <c r="BH1043" s="13"/>
      <c r="BI1043" s="13"/>
      <c r="BJ1043" s="13"/>
      <c r="BK1043" s="13"/>
      <c r="BL1043" s="13"/>
      <c r="BM1043" s="13"/>
      <c r="BN1043" s="13"/>
      <c r="BO1043" s="13"/>
      <c r="BP1043" s="13"/>
      <c r="BQ1043" s="15"/>
      <c r="BR1043" s="15"/>
      <c r="BS1043" s="15"/>
      <c r="BT1043" s="15"/>
      <c r="BU1043" s="15"/>
      <c r="BV1043" s="15"/>
      <c r="BW1043" s="15"/>
      <c r="BX1043" s="15"/>
      <c r="BY1043" s="15"/>
      <c r="BZ1043" s="15"/>
      <c r="CA1043" s="15"/>
      <c r="CB1043" s="17"/>
      <c r="CC1043" s="17"/>
      <c r="CD1043" s="18"/>
      <c r="CE1043" s="18"/>
      <c r="CF1043" s="18"/>
      <c r="CG1043" s="18"/>
      <c r="CH1043" s="18"/>
    </row>
    <row r="1044">
      <c r="A1044" s="15"/>
      <c r="B1044" s="16"/>
      <c r="C1044" s="15"/>
      <c r="D1044" s="9"/>
      <c r="E1044" s="15"/>
      <c r="F1044" s="15"/>
      <c r="G1044" s="13"/>
      <c r="H1044" s="13"/>
      <c r="I1044" s="13"/>
      <c r="J1044" s="13"/>
      <c r="K1044" s="13"/>
      <c r="L1044" s="13"/>
      <c r="M1044" s="13"/>
      <c r="N1044" s="13"/>
      <c r="O1044" s="13"/>
      <c r="P1044" s="13"/>
      <c r="Q1044" s="13"/>
      <c r="R1044" s="13"/>
      <c r="S1044" s="13"/>
      <c r="T1044" s="13"/>
      <c r="U1044" s="13"/>
      <c r="V1044" s="13"/>
      <c r="W1044" s="13"/>
      <c r="X1044" s="13"/>
      <c r="Y1044" s="13"/>
      <c r="Z1044" s="13"/>
      <c r="AA1044" s="13"/>
      <c r="AB1044" s="15"/>
      <c r="AC1044" s="15"/>
      <c r="AD1044" s="15"/>
      <c r="AE1044" s="13"/>
      <c r="AF1044" s="13"/>
      <c r="AG1044" s="13"/>
      <c r="AH1044" s="15"/>
      <c r="AI1044" s="13"/>
      <c r="AJ1044" s="13"/>
      <c r="AK1044" s="13"/>
      <c r="AL1044" s="13"/>
      <c r="AM1044" s="15"/>
      <c r="AN1044" s="13"/>
      <c r="AO1044" s="15"/>
      <c r="AP1044" s="15"/>
      <c r="AQ1044" s="13"/>
      <c r="AR1044" s="13"/>
      <c r="AS1044" s="13"/>
      <c r="AT1044" s="13"/>
      <c r="AU1044" s="13"/>
      <c r="AV1044" s="13"/>
      <c r="AW1044" s="13"/>
      <c r="AX1044" s="13"/>
      <c r="AY1044" s="15"/>
      <c r="AZ1044" s="15"/>
      <c r="BA1044" s="16"/>
      <c r="BB1044" s="15"/>
      <c r="BC1044" s="15"/>
      <c r="BD1044" s="13"/>
      <c r="BE1044" s="13"/>
      <c r="BF1044" s="13"/>
      <c r="BG1044" s="13"/>
      <c r="BH1044" s="13"/>
      <c r="BI1044" s="13"/>
      <c r="BJ1044" s="13"/>
      <c r="BK1044" s="13"/>
      <c r="BL1044" s="13"/>
      <c r="BM1044" s="13"/>
      <c r="BN1044" s="13"/>
      <c r="BO1044" s="13"/>
      <c r="BP1044" s="13"/>
      <c r="BQ1044" s="15"/>
      <c r="BR1044" s="15"/>
      <c r="BS1044" s="15"/>
      <c r="BT1044" s="15"/>
      <c r="BU1044" s="15"/>
      <c r="BV1044" s="15"/>
      <c r="BW1044" s="15"/>
      <c r="BX1044" s="15"/>
      <c r="BY1044" s="15"/>
      <c r="BZ1044" s="15"/>
      <c r="CA1044" s="15"/>
      <c r="CB1044" s="17"/>
      <c r="CC1044" s="17"/>
      <c r="CD1044" s="18"/>
      <c r="CE1044" s="18"/>
      <c r="CF1044" s="18"/>
      <c r="CG1044" s="18"/>
      <c r="CH1044" s="18"/>
    </row>
    <row r="1045">
      <c r="A1045" s="15"/>
      <c r="B1045" s="16"/>
      <c r="C1045" s="15"/>
      <c r="D1045" s="9"/>
      <c r="E1045" s="15"/>
      <c r="F1045" s="15"/>
      <c r="G1045" s="13"/>
      <c r="H1045" s="13"/>
      <c r="I1045" s="13"/>
      <c r="J1045" s="13"/>
      <c r="K1045" s="13"/>
      <c r="L1045" s="13"/>
      <c r="M1045" s="13"/>
      <c r="N1045" s="13"/>
      <c r="O1045" s="13"/>
      <c r="P1045" s="13"/>
      <c r="Q1045" s="13"/>
      <c r="R1045" s="13"/>
      <c r="S1045" s="13"/>
      <c r="T1045" s="13"/>
      <c r="U1045" s="13"/>
      <c r="V1045" s="13"/>
      <c r="W1045" s="13"/>
      <c r="X1045" s="13"/>
      <c r="Y1045" s="13"/>
      <c r="Z1045" s="13"/>
      <c r="AA1045" s="13"/>
      <c r="AB1045" s="15"/>
      <c r="AC1045" s="15"/>
      <c r="AD1045" s="15"/>
      <c r="AE1045" s="13"/>
      <c r="AF1045" s="13"/>
      <c r="AG1045" s="13"/>
      <c r="AH1045" s="15"/>
      <c r="AI1045" s="13"/>
      <c r="AJ1045" s="13"/>
      <c r="AK1045" s="13"/>
      <c r="AL1045" s="13"/>
      <c r="AM1045" s="15"/>
      <c r="AN1045" s="13"/>
      <c r="AO1045" s="15"/>
      <c r="AP1045" s="15"/>
      <c r="AQ1045" s="13"/>
      <c r="AR1045" s="13"/>
      <c r="AS1045" s="13"/>
      <c r="AT1045" s="13"/>
      <c r="AU1045" s="13"/>
      <c r="AV1045" s="13"/>
      <c r="AW1045" s="13"/>
      <c r="AX1045" s="13"/>
      <c r="AY1045" s="15"/>
      <c r="AZ1045" s="15"/>
      <c r="BA1045" s="16"/>
      <c r="BB1045" s="15"/>
      <c r="BC1045" s="15"/>
      <c r="BD1045" s="13"/>
      <c r="BE1045" s="13"/>
      <c r="BF1045" s="13"/>
      <c r="BG1045" s="13"/>
      <c r="BH1045" s="13"/>
      <c r="BI1045" s="13"/>
      <c r="BJ1045" s="13"/>
      <c r="BK1045" s="13"/>
      <c r="BL1045" s="13"/>
      <c r="BM1045" s="13"/>
      <c r="BN1045" s="13"/>
      <c r="BO1045" s="13"/>
      <c r="BP1045" s="13"/>
      <c r="BQ1045" s="15"/>
      <c r="BR1045" s="15"/>
      <c r="BS1045" s="15"/>
      <c r="BT1045" s="15"/>
      <c r="BU1045" s="15"/>
      <c r="BV1045" s="15"/>
      <c r="BW1045" s="15"/>
      <c r="BX1045" s="15"/>
      <c r="BY1045" s="15"/>
      <c r="BZ1045" s="15"/>
      <c r="CA1045" s="15"/>
      <c r="CB1045" s="17"/>
      <c r="CC1045" s="17"/>
      <c r="CD1045" s="18"/>
      <c r="CE1045" s="18"/>
      <c r="CF1045" s="18"/>
      <c r="CG1045" s="18"/>
      <c r="CH1045" s="18"/>
    </row>
    <row r="1046">
      <c r="A1046" s="15"/>
      <c r="B1046" s="16"/>
      <c r="C1046" s="15"/>
      <c r="D1046" s="9"/>
      <c r="E1046" s="15"/>
      <c r="F1046" s="15"/>
      <c r="G1046" s="13"/>
      <c r="H1046" s="13"/>
      <c r="I1046" s="13"/>
      <c r="J1046" s="13"/>
      <c r="K1046" s="13"/>
      <c r="L1046" s="13"/>
      <c r="M1046" s="13"/>
      <c r="N1046" s="13"/>
      <c r="O1046" s="13"/>
      <c r="P1046" s="13"/>
      <c r="Q1046" s="13"/>
      <c r="R1046" s="13"/>
      <c r="S1046" s="13"/>
      <c r="T1046" s="13"/>
      <c r="U1046" s="13"/>
      <c r="V1046" s="13"/>
      <c r="W1046" s="13"/>
      <c r="X1046" s="13"/>
      <c r="Y1046" s="13"/>
      <c r="Z1046" s="13"/>
      <c r="AA1046" s="13"/>
      <c r="AB1046" s="15"/>
      <c r="AC1046" s="15"/>
      <c r="AD1046" s="15"/>
      <c r="AE1046" s="13"/>
      <c r="AF1046" s="13"/>
      <c r="AG1046" s="13"/>
      <c r="AH1046" s="15"/>
      <c r="AI1046" s="13"/>
      <c r="AJ1046" s="13"/>
      <c r="AK1046" s="13"/>
      <c r="AL1046" s="13"/>
      <c r="AM1046" s="15"/>
      <c r="AN1046" s="13"/>
      <c r="AO1046" s="15"/>
      <c r="AP1046" s="15"/>
      <c r="AQ1046" s="13"/>
      <c r="AR1046" s="13"/>
      <c r="AS1046" s="13"/>
      <c r="AT1046" s="13"/>
      <c r="AU1046" s="13"/>
      <c r="AV1046" s="13"/>
      <c r="AW1046" s="13"/>
      <c r="AX1046" s="13"/>
      <c r="AY1046" s="15"/>
      <c r="AZ1046" s="15"/>
      <c r="BA1046" s="16"/>
      <c r="BB1046" s="15"/>
      <c r="BC1046" s="15"/>
      <c r="BD1046" s="13"/>
      <c r="BE1046" s="13"/>
      <c r="BF1046" s="13"/>
      <c r="BG1046" s="13"/>
      <c r="BH1046" s="13"/>
      <c r="BI1046" s="13"/>
      <c r="BJ1046" s="13"/>
      <c r="BK1046" s="13"/>
      <c r="BL1046" s="13"/>
      <c r="BM1046" s="13"/>
      <c r="BN1046" s="13"/>
      <c r="BO1046" s="13"/>
      <c r="BP1046" s="13"/>
      <c r="BQ1046" s="15"/>
      <c r="BR1046" s="15"/>
      <c r="BS1046" s="15"/>
      <c r="BT1046" s="15"/>
      <c r="BU1046" s="15"/>
      <c r="BV1046" s="15"/>
      <c r="BW1046" s="15"/>
      <c r="BX1046" s="15"/>
      <c r="BY1046" s="15"/>
      <c r="BZ1046" s="15"/>
      <c r="CA1046" s="15"/>
      <c r="CB1046" s="17"/>
      <c r="CC1046" s="17"/>
      <c r="CD1046" s="18"/>
      <c r="CE1046" s="18"/>
      <c r="CF1046" s="18"/>
      <c r="CG1046" s="18"/>
      <c r="CH1046" s="18"/>
    </row>
    <row r="1047">
      <c r="A1047" s="15"/>
      <c r="B1047" s="16"/>
      <c r="C1047" s="15"/>
      <c r="D1047" s="9"/>
      <c r="E1047" s="15"/>
      <c r="F1047" s="15"/>
      <c r="G1047" s="13"/>
      <c r="H1047" s="13"/>
      <c r="I1047" s="13"/>
      <c r="J1047" s="13"/>
      <c r="K1047" s="13"/>
      <c r="L1047" s="13"/>
      <c r="M1047" s="13"/>
      <c r="N1047" s="13"/>
      <c r="O1047" s="13"/>
      <c r="P1047" s="13"/>
      <c r="Q1047" s="13"/>
      <c r="R1047" s="13"/>
      <c r="S1047" s="13"/>
      <c r="T1047" s="13"/>
      <c r="U1047" s="13"/>
      <c r="V1047" s="13"/>
      <c r="W1047" s="13"/>
      <c r="X1047" s="13"/>
      <c r="Y1047" s="13"/>
      <c r="Z1047" s="13"/>
      <c r="AA1047" s="13"/>
      <c r="AB1047" s="15"/>
      <c r="AC1047" s="15"/>
      <c r="AD1047" s="15"/>
      <c r="AE1047" s="13"/>
      <c r="AF1047" s="13"/>
      <c r="AG1047" s="13"/>
      <c r="AH1047" s="15"/>
      <c r="AI1047" s="13"/>
      <c r="AJ1047" s="13"/>
      <c r="AK1047" s="13"/>
      <c r="AL1047" s="13"/>
      <c r="AM1047" s="15"/>
      <c r="AN1047" s="13"/>
      <c r="AO1047" s="15"/>
      <c r="AP1047" s="15"/>
      <c r="AQ1047" s="13"/>
      <c r="AR1047" s="13"/>
      <c r="AS1047" s="13"/>
      <c r="AT1047" s="13"/>
      <c r="AU1047" s="13"/>
      <c r="AV1047" s="13"/>
      <c r="AW1047" s="13"/>
      <c r="AX1047" s="13"/>
      <c r="AY1047" s="15"/>
      <c r="AZ1047" s="15"/>
      <c r="BA1047" s="16"/>
      <c r="BB1047" s="15"/>
      <c r="BC1047" s="15"/>
      <c r="BD1047" s="13"/>
      <c r="BE1047" s="13"/>
      <c r="BF1047" s="13"/>
      <c r="BG1047" s="13"/>
      <c r="BH1047" s="13"/>
      <c r="BI1047" s="13"/>
      <c r="BJ1047" s="13"/>
      <c r="BK1047" s="13"/>
      <c r="BL1047" s="13"/>
      <c r="BM1047" s="13"/>
      <c r="BN1047" s="13"/>
      <c r="BO1047" s="13"/>
      <c r="BP1047" s="13"/>
      <c r="BQ1047" s="15"/>
      <c r="BR1047" s="15"/>
      <c r="BS1047" s="15"/>
      <c r="BT1047" s="15"/>
      <c r="BU1047" s="15"/>
      <c r="BV1047" s="15"/>
      <c r="BW1047" s="15"/>
      <c r="BX1047" s="15"/>
      <c r="BY1047" s="15"/>
      <c r="BZ1047" s="15"/>
      <c r="CA1047" s="15"/>
      <c r="CB1047" s="17"/>
      <c r="CC1047" s="17"/>
      <c r="CD1047" s="18"/>
      <c r="CE1047" s="18"/>
      <c r="CF1047" s="18"/>
      <c r="CG1047" s="18"/>
      <c r="CH1047" s="18"/>
    </row>
    <row r="1048">
      <c r="A1048" s="15"/>
      <c r="B1048" s="16"/>
      <c r="C1048" s="15"/>
      <c r="D1048" s="9"/>
      <c r="E1048" s="15"/>
      <c r="F1048" s="15"/>
      <c r="G1048" s="13"/>
      <c r="H1048" s="13"/>
      <c r="I1048" s="13"/>
      <c r="J1048" s="13"/>
      <c r="K1048" s="13"/>
      <c r="L1048" s="13"/>
      <c r="M1048" s="13"/>
      <c r="N1048" s="13"/>
      <c r="O1048" s="13"/>
      <c r="P1048" s="13"/>
      <c r="Q1048" s="13"/>
      <c r="R1048" s="13"/>
      <c r="S1048" s="13"/>
      <c r="T1048" s="13"/>
      <c r="U1048" s="13"/>
      <c r="V1048" s="13"/>
      <c r="W1048" s="13"/>
      <c r="X1048" s="13"/>
      <c r="Y1048" s="13"/>
      <c r="Z1048" s="13"/>
      <c r="AA1048" s="13"/>
      <c r="AB1048" s="15"/>
      <c r="AC1048" s="15"/>
      <c r="AD1048" s="15"/>
      <c r="AE1048" s="13"/>
      <c r="AF1048" s="13"/>
      <c r="AG1048" s="13"/>
      <c r="AH1048" s="15"/>
      <c r="AI1048" s="13"/>
      <c r="AJ1048" s="13"/>
      <c r="AK1048" s="13"/>
      <c r="AL1048" s="13"/>
      <c r="AM1048" s="15"/>
      <c r="AN1048" s="13"/>
      <c r="AO1048" s="15"/>
      <c r="AP1048" s="15"/>
      <c r="AQ1048" s="13"/>
      <c r="AR1048" s="13"/>
      <c r="AS1048" s="13"/>
      <c r="AT1048" s="13"/>
      <c r="AU1048" s="13"/>
      <c r="AV1048" s="13"/>
      <c r="AW1048" s="13"/>
      <c r="AX1048" s="13"/>
      <c r="AY1048" s="15"/>
      <c r="AZ1048" s="15"/>
      <c r="BA1048" s="16"/>
      <c r="BB1048" s="15"/>
      <c r="BC1048" s="15"/>
      <c r="BD1048" s="13"/>
      <c r="BE1048" s="13"/>
      <c r="BF1048" s="13"/>
      <c r="BG1048" s="13"/>
      <c r="BH1048" s="13"/>
      <c r="BI1048" s="13"/>
      <c r="BJ1048" s="13"/>
      <c r="BK1048" s="13"/>
      <c r="BL1048" s="13"/>
      <c r="BM1048" s="13"/>
      <c r="BN1048" s="13"/>
      <c r="BO1048" s="13"/>
      <c r="BP1048" s="13"/>
      <c r="BQ1048" s="15"/>
      <c r="BR1048" s="15"/>
      <c r="BS1048" s="15"/>
      <c r="BT1048" s="15"/>
      <c r="BU1048" s="15"/>
      <c r="BV1048" s="15"/>
      <c r="BW1048" s="15"/>
      <c r="BX1048" s="15"/>
      <c r="BY1048" s="15"/>
      <c r="BZ1048" s="15"/>
      <c r="CA1048" s="15"/>
      <c r="CB1048" s="17"/>
      <c r="CC1048" s="17"/>
      <c r="CD1048" s="18"/>
      <c r="CE1048" s="18"/>
      <c r="CF1048" s="18"/>
      <c r="CG1048" s="18"/>
      <c r="CH1048" s="18"/>
    </row>
    <row r="1049">
      <c r="A1049" s="15"/>
      <c r="B1049" s="16"/>
      <c r="C1049" s="15"/>
      <c r="D1049" s="9"/>
      <c r="E1049" s="15"/>
      <c r="F1049" s="15"/>
      <c r="G1049" s="13"/>
      <c r="H1049" s="13"/>
      <c r="I1049" s="13"/>
      <c r="J1049" s="13"/>
      <c r="K1049" s="13"/>
      <c r="L1049" s="13"/>
      <c r="M1049" s="13"/>
      <c r="N1049" s="13"/>
      <c r="O1049" s="13"/>
      <c r="P1049" s="13"/>
      <c r="Q1049" s="13"/>
      <c r="R1049" s="13"/>
      <c r="S1049" s="13"/>
      <c r="T1049" s="13"/>
      <c r="U1049" s="13"/>
      <c r="V1049" s="13"/>
      <c r="W1049" s="13"/>
      <c r="X1049" s="13"/>
      <c r="Y1049" s="13"/>
      <c r="Z1049" s="13"/>
      <c r="AA1049" s="13"/>
      <c r="AB1049" s="15"/>
      <c r="AC1049" s="15"/>
      <c r="AD1049" s="15"/>
      <c r="AE1049" s="13"/>
      <c r="AF1049" s="13"/>
      <c r="AG1049" s="13"/>
      <c r="AH1049" s="15"/>
      <c r="AI1049" s="13"/>
      <c r="AJ1049" s="13"/>
      <c r="AK1049" s="13"/>
      <c r="AL1049" s="13"/>
      <c r="AM1049" s="15"/>
      <c r="AN1049" s="13"/>
      <c r="AO1049" s="15"/>
      <c r="AP1049" s="15"/>
      <c r="AQ1049" s="13"/>
      <c r="AR1049" s="13"/>
      <c r="AS1049" s="13"/>
      <c r="AT1049" s="13"/>
      <c r="AU1049" s="13"/>
      <c r="AV1049" s="13"/>
      <c r="AW1049" s="13"/>
      <c r="AX1049" s="13"/>
      <c r="AY1049" s="15"/>
      <c r="AZ1049" s="15"/>
      <c r="BA1049" s="16"/>
      <c r="BB1049" s="15"/>
      <c r="BC1049" s="15"/>
      <c r="BD1049" s="13"/>
      <c r="BE1049" s="13"/>
      <c r="BF1049" s="13"/>
      <c r="BG1049" s="13"/>
      <c r="BH1049" s="13"/>
      <c r="BI1049" s="13"/>
      <c r="BJ1049" s="13"/>
      <c r="BK1049" s="13"/>
      <c r="BL1049" s="13"/>
      <c r="BM1049" s="13"/>
      <c r="BN1049" s="13"/>
      <c r="BO1049" s="13"/>
      <c r="BP1049" s="13"/>
      <c r="BQ1049" s="15"/>
      <c r="BR1049" s="15"/>
      <c r="BS1049" s="15"/>
      <c r="BT1049" s="15"/>
      <c r="BU1049" s="15"/>
      <c r="BV1049" s="15"/>
      <c r="BW1049" s="15"/>
      <c r="BX1049" s="15"/>
      <c r="BY1049" s="15"/>
      <c r="BZ1049" s="15"/>
      <c r="CA1049" s="15"/>
      <c r="CB1049" s="17"/>
      <c r="CC1049" s="17"/>
      <c r="CD1049" s="18"/>
      <c r="CE1049" s="18"/>
      <c r="CF1049" s="18"/>
      <c r="CG1049" s="18"/>
      <c r="CH1049" s="18"/>
    </row>
    <row r="1050">
      <c r="A1050" s="15"/>
      <c r="B1050" s="16"/>
      <c r="C1050" s="15"/>
      <c r="D1050" s="9"/>
      <c r="E1050" s="15"/>
      <c r="F1050" s="15"/>
      <c r="G1050" s="13"/>
      <c r="H1050" s="13"/>
      <c r="I1050" s="13"/>
      <c r="J1050" s="13"/>
      <c r="K1050" s="13"/>
      <c r="L1050" s="13"/>
      <c r="M1050" s="13"/>
      <c r="N1050" s="13"/>
      <c r="O1050" s="13"/>
      <c r="P1050" s="13"/>
      <c r="Q1050" s="13"/>
      <c r="R1050" s="13"/>
      <c r="S1050" s="13"/>
      <c r="T1050" s="13"/>
      <c r="U1050" s="13"/>
      <c r="V1050" s="13"/>
      <c r="W1050" s="13"/>
      <c r="X1050" s="13"/>
      <c r="Y1050" s="13"/>
      <c r="Z1050" s="13"/>
      <c r="AA1050" s="13"/>
      <c r="AB1050" s="15"/>
      <c r="AC1050" s="15"/>
      <c r="AD1050" s="15"/>
      <c r="AE1050" s="13"/>
      <c r="AF1050" s="13"/>
      <c r="AG1050" s="13"/>
      <c r="AH1050" s="15"/>
      <c r="AI1050" s="13"/>
      <c r="AJ1050" s="13"/>
      <c r="AK1050" s="13"/>
      <c r="AL1050" s="13"/>
      <c r="AM1050" s="15"/>
      <c r="AN1050" s="13"/>
      <c r="AO1050" s="15"/>
      <c r="AP1050" s="15"/>
      <c r="AQ1050" s="13"/>
      <c r="AR1050" s="13"/>
      <c r="AS1050" s="13"/>
      <c r="AT1050" s="13"/>
      <c r="AU1050" s="13"/>
      <c r="AV1050" s="13"/>
      <c r="AW1050" s="13"/>
      <c r="AX1050" s="13"/>
      <c r="AY1050" s="15"/>
      <c r="AZ1050" s="15"/>
      <c r="BA1050" s="16"/>
      <c r="BB1050" s="15"/>
      <c r="BC1050" s="15"/>
      <c r="BD1050" s="13"/>
      <c r="BE1050" s="13"/>
      <c r="BF1050" s="13"/>
      <c r="BG1050" s="13"/>
      <c r="BH1050" s="13"/>
      <c r="BI1050" s="13"/>
      <c r="BJ1050" s="13"/>
      <c r="BK1050" s="13"/>
      <c r="BL1050" s="13"/>
      <c r="BM1050" s="13"/>
      <c r="BN1050" s="13"/>
      <c r="BO1050" s="13"/>
      <c r="BP1050" s="13"/>
      <c r="BQ1050" s="15"/>
      <c r="BR1050" s="15"/>
      <c r="BS1050" s="15"/>
      <c r="BT1050" s="15"/>
      <c r="BU1050" s="15"/>
      <c r="BV1050" s="15"/>
      <c r="BW1050" s="15"/>
      <c r="BX1050" s="15"/>
      <c r="BY1050" s="15"/>
      <c r="BZ1050" s="15"/>
      <c r="CA1050" s="15"/>
      <c r="CB1050" s="17"/>
      <c r="CC1050" s="17"/>
      <c r="CD1050" s="18"/>
      <c r="CE1050" s="18"/>
      <c r="CF1050" s="18"/>
      <c r="CG1050" s="18"/>
      <c r="CH1050" s="18"/>
    </row>
    <row r="1051">
      <c r="A1051" s="15"/>
      <c r="B1051" s="16"/>
      <c r="C1051" s="15"/>
      <c r="D1051" s="9"/>
      <c r="E1051" s="15"/>
      <c r="F1051" s="15"/>
      <c r="G1051" s="13"/>
      <c r="H1051" s="13"/>
      <c r="I1051" s="13"/>
      <c r="J1051" s="13"/>
      <c r="K1051" s="13"/>
      <c r="L1051" s="13"/>
      <c r="M1051" s="13"/>
      <c r="N1051" s="13"/>
      <c r="O1051" s="13"/>
      <c r="P1051" s="13"/>
      <c r="Q1051" s="13"/>
      <c r="R1051" s="13"/>
      <c r="S1051" s="13"/>
      <c r="T1051" s="13"/>
      <c r="U1051" s="13"/>
      <c r="V1051" s="13"/>
      <c r="W1051" s="13"/>
      <c r="X1051" s="13"/>
      <c r="Y1051" s="13"/>
      <c r="Z1051" s="13"/>
      <c r="AA1051" s="13"/>
      <c r="AB1051" s="15"/>
      <c r="AC1051" s="15"/>
      <c r="AD1051" s="15"/>
      <c r="AE1051" s="13"/>
      <c r="AF1051" s="13"/>
      <c r="AG1051" s="13"/>
      <c r="AH1051" s="15"/>
      <c r="AI1051" s="13"/>
      <c r="AJ1051" s="13"/>
      <c r="AK1051" s="13"/>
      <c r="AL1051" s="13"/>
      <c r="AM1051" s="15"/>
      <c r="AN1051" s="13"/>
      <c r="AO1051" s="15"/>
      <c r="AP1051" s="15"/>
      <c r="AQ1051" s="13"/>
      <c r="AR1051" s="13"/>
      <c r="AS1051" s="13"/>
      <c r="AT1051" s="13"/>
      <c r="AU1051" s="13"/>
      <c r="AV1051" s="13"/>
      <c r="AW1051" s="13"/>
      <c r="AX1051" s="13"/>
      <c r="AY1051" s="15"/>
      <c r="AZ1051" s="15"/>
      <c r="BA1051" s="16"/>
      <c r="BB1051" s="15"/>
      <c r="BC1051" s="15"/>
      <c r="BD1051" s="13"/>
      <c r="BE1051" s="13"/>
      <c r="BF1051" s="13"/>
      <c r="BG1051" s="13"/>
      <c r="BH1051" s="13"/>
      <c r="BI1051" s="13"/>
      <c r="BJ1051" s="13"/>
      <c r="BK1051" s="13"/>
      <c r="BL1051" s="13"/>
      <c r="BM1051" s="13"/>
      <c r="BN1051" s="13"/>
      <c r="BO1051" s="13"/>
      <c r="BP1051" s="13"/>
      <c r="BQ1051" s="15"/>
      <c r="BR1051" s="15"/>
      <c r="BS1051" s="15"/>
      <c r="BT1051" s="15"/>
      <c r="BU1051" s="15"/>
      <c r="BV1051" s="15"/>
      <c r="BW1051" s="15"/>
      <c r="BX1051" s="15"/>
      <c r="BY1051" s="15"/>
      <c r="BZ1051" s="15"/>
      <c r="CA1051" s="15"/>
      <c r="CB1051" s="17"/>
      <c r="CC1051" s="17"/>
      <c r="CD1051" s="18"/>
      <c r="CE1051" s="18"/>
      <c r="CF1051" s="18"/>
      <c r="CG1051" s="18"/>
      <c r="CH1051" s="18"/>
    </row>
    <row r="1052">
      <c r="A1052" s="15"/>
      <c r="B1052" s="16"/>
      <c r="C1052" s="15"/>
      <c r="D1052" s="9"/>
      <c r="E1052" s="15"/>
      <c r="F1052" s="15"/>
      <c r="G1052" s="13"/>
      <c r="H1052" s="13"/>
      <c r="I1052" s="13"/>
      <c r="J1052" s="13"/>
      <c r="K1052" s="13"/>
      <c r="L1052" s="13"/>
      <c r="M1052" s="13"/>
      <c r="N1052" s="13"/>
      <c r="O1052" s="13"/>
      <c r="P1052" s="13"/>
      <c r="Q1052" s="13"/>
      <c r="R1052" s="13"/>
      <c r="S1052" s="13"/>
      <c r="T1052" s="13"/>
      <c r="U1052" s="13"/>
      <c r="V1052" s="13"/>
      <c r="W1052" s="13"/>
      <c r="X1052" s="13"/>
      <c r="Y1052" s="13"/>
      <c r="Z1052" s="13"/>
      <c r="AA1052" s="13"/>
      <c r="AB1052" s="15"/>
      <c r="AC1052" s="15"/>
      <c r="AD1052" s="15"/>
      <c r="AE1052" s="13"/>
      <c r="AF1052" s="13"/>
      <c r="AG1052" s="13"/>
      <c r="AH1052" s="15"/>
      <c r="AI1052" s="13"/>
      <c r="AJ1052" s="13"/>
      <c r="AK1052" s="13"/>
      <c r="AL1052" s="13"/>
      <c r="AM1052" s="15"/>
      <c r="AN1052" s="13"/>
      <c r="AO1052" s="15"/>
      <c r="AP1052" s="15"/>
      <c r="AQ1052" s="13"/>
      <c r="AR1052" s="13"/>
      <c r="AS1052" s="13"/>
      <c r="AT1052" s="13"/>
      <c r="AU1052" s="13"/>
      <c r="AV1052" s="13"/>
      <c r="AW1052" s="13"/>
      <c r="AX1052" s="13"/>
      <c r="AY1052" s="15"/>
      <c r="AZ1052" s="15"/>
      <c r="BA1052" s="16"/>
      <c r="BB1052" s="15"/>
      <c r="BC1052" s="15"/>
      <c r="BD1052" s="13"/>
      <c r="BE1052" s="13"/>
      <c r="BF1052" s="13"/>
      <c r="BG1052" s="13"/>
      <c r="BH1052" s="13"/>
      <c r="BI1052" s="13"/>
      <c r="BJ1052" s="13"/>
      <c r="BK1052" s="13"/>
      <c r="BL1052" s="13"/>
      <c r="BM1052" s="13"/>
      <c r="BN1052" s="13"/>
      <c r="BO1052" s="13"/>
      <c r="BP1052" s="13"/>
      <c r="BQ1052" s="15"/>
      <c r="BR1052" s="15"/>
      <c r="BS1052" s="15"/>
      <c r="BT1052" s="15"/>
      <c r="BU1052" s="15"/>
      <c r="BV1052" s="15"/>
      <c r="BW1052" s="15"/>
      <c r="BX1052" s="15"/>
      <c r="BY1052" s="15"/>
      <c r="BZ1052" s="15"/>
      <c r="CA1052" s="15"/>
      <c r="CB1052" s="17"/>
      <c r="CC1052" s="17"/>
      <c r="CD1052" s="18"/>
      <c r="CE1052" s="18"/>
      <c r="CF1052" s="18"/>
      <c r="CG1052" s="18"/>
      <c r="CH1052" s="18"/>
    </row>
    <row r="1053">
      <c r="A1053" s="15"/>
      <c r="B1053" s="16"/>
      <c r="C1053" s="15"/>
      <c r="D1053" s="9"/>
      <c r="E1053" s="15"/>
      <c r="F1053" s="15"/>
      <c r="G1053" s="13"/>
      <c r="H1053" s="13"/>
      <c r="I1053" s="13"/>
      <c r="J1053" s="13"/>
      <c r="K1053" s="13"/>
      <c r="L1053" s="13"/>
      <c r="M1053" s="13"/>
      <c r="N1053" s="13"/>
      <c r="O1053" s="13"/>
      <c r="P1053" s="13"/>
      <c r="Q1053" s="13"/>
      <c r="R1053" s="13"/>
      <c r="S1053" s="13"/>
      <c r="T1053" s="13"/>
      <c r="U1053" s="13"/>
      <c r="V1053" s="13"/>
      <c r="W1053" s="13"/>
      <c r="X1053" s="13"/>
      <c r="Y1053" s="13"/>
      <c r="Z1053" s="13"/>
      <c r="AA1053" s="13"/>
      <c r="AB1053" s="15"/>
      <c r="AC1053" s="15"/>
      <c r="AD1053" s="15"/>
      <c r="AE1053" s="13"/>
      <c r="AF1053" s="13"/>
      <c r="AG1053" s="13"/>
      <c r="AH1053" s="15"/>
      <c r="AI1053" s="13"/>
      <c r="AJ1053" s="13"/>
      <c r="AK1053" s="13"/>
      <c r="AL1053" s="13"/>
      <c r="AM1053" s="15"/>
      <c r="AN1053" s="13"/>
      <c r="AO1053" s="15"/>
      <c r="AP1053" s="15"/>
      <c r="AQ1053" s="13"/>
      <c r="AR1053" s="13"/>
      <c r="AS1053" s="13"/>
      <c r="AT1053" s="13"/>
      <c r="AU1053" s="13"/>
      <c r="AV1053" s="13"/>
      <c r="AW1053" s="13"/>
      <c r="AX1053" s="13"/>
      <c r="AY1053" s="15"/>
      <c r="AZ1053" s="15"/>
      <c r="BA1053" s="16"/>
      <c r="BB1053" s="15"/>
      <c r="BC1053" s="15"/>
      <c r="BD1053" s="13"/>
      <c r="BE1053" s="13"/>
      <c r="BF1053" s="13"/>
      <c r="BG1053" s="13"/>
      <c r="BH1053" s="13"/>
      <c r="BI1053" s="13"/>
      <c r="BJ1053" s="13"/>
      <c r="BK1053" s="13"/>
      <c r="BL1053" s="13"/>
      <c r="BM1053" s="13"/>
      <c r="BN1053" s="13"/>
      <c r="BO1053" s="13"/>
      <c r="BP1053" s="13"/>
      <c r="BQ1053" s="15"/>
      <c r="BR1053" s="15"/>
      <c r="BS1053" s="15"/>
      <c r="BT1053" s="15"/>
      <c r="BU1053" s="15"/>
      <c r="BV1053" s="15"/>
      <c r="BW1053" s="15"/>
      <c r="BX1053" s="15"/>
      <c r="BY1053" s="15"/>
      <c r="BZ1053" s="15"/>
      <c r="CA1053" s="15"/>
      <c r="CB1053" s="17"/>
      <c r="CC1053" s="17"/>
      <c r="CD1053" s="18"/>
      <c r="CE1053" s="18"/>
      <c r="CF1053" s="18"/>
      <c r="CG1053" s="18"/>
      <c r="CH1053" s="18"/>
    </row>
    <row r="1054">
      <c r="A1054" s="15"/>
      <c r="B1054" s="16"/>
      <c r="C1054" s="15"/>
      <c r="D1054" s="9"/>
      <c r="E1054" s="15"/>
      <c r="F1054" s="15"/>
      <c r="G1054" s="13"/>
      <c r="H1054" s="13"/>
      <c r="I1054" s="13"/>
      <c r="J1054" s="13"/>
      <c r="K1054" s="13"/>
      <c r="L1054" s="13"/>
      <c r="M1054" s="13"/>
      <c r="N1054" s="13"/>
      <c r="O1054" s="13"/>
      <c r="P1054" s="13"/>
      <c r="Q1054" s="13"/>
      <c r="R1054" s="13"/>
      <c r="S1054" s="13"/>
      <c r="T1054" s="13"/>
      <c r="U1054" s="13"/>
      <c r="V1054" s="13"/>
      <c r="W1054" s="13"/>
      <c r="X1054" s="13"/>
      <c r="Y1054" s="13"/>
      <c r="Z1054" s="13"/>
      <c r="AA1054" s="13"/>
      <c r="AB1054" s="15"/>
      <c r="AC1054" s="15"/>
      <c r="AD1054" s="15"/>
      <c r="AE1054" s="13"/>
      <c r="AF1054" s="13"/>
      <c r="AG1054" s="13"/>
      <c r="AH1054" s="15"/>
      <c r="AI1054" s="13"/>
      <c r="AJ1054" s="13"/>
      <c r="AK1054" s="13"/>
      <c r="AL1054" s="13"/>
      <c r="AM1054" s="15"/>
      <c r="AN1054" s="13"/>
      <c r="AO1054" s="15"/>
      <c r="AP1054" s="15"/>
      <c r="AQ1054" s="13"/>
      <c r="AR1054" s="13"/>
      <c r="AS1054" s="13"/>
      <c r="AT1054" s="13"/>
      <c r="AU1054" s="13"/>
      <c r="AV1054" s="13"/>
      <c r="AW1054" s="13"/>
      <c r="AX1054" s="13"/>
      <c r="AY1054" s="15"/>
      <c r="AZ1054" s="15"/>
      <c r="BA1054" s="16"/>
      <c r="BB1054" s="15"/>
      <c r="BC1054" s="15"/>
      <c r="BD1054" s="13"/>
      <c r="BE1054" s="13"/>
      <c r="BF1054" s="13"/>
      <c r="BG1054" s="13"/>
      <c r="BH1054" s="13"/>
      <c r="BI1054" s="13"/>
      <c r="BJ1054" s="13"/>
      <c r="BK1054" s="13"/>
      <c r="BL1054" s="13"/>
      <c r="BM1054" s="13"/>
      <c r="BN1054" s="13"/>
      <c r="BO1054" s="13"/>
      <c r="BP1054" s="13"/>
      <c r="BQ1054" s="15"/>
      <c r="BR1054" s="15"/>
      <c r="BS1054" s="15"/>
      <c r="BT1054" s="15"/>
      <c r="BU1054" s="15"/>
      <c r="BV1054" s="15"/>
      <c r="BW1054" s="15"/>
      <c r="BX1054" s="15"/>
      <c r="BY1054" s="15"/>
      <c r="BZ1054" s="15"/>
      <c r="CA1054" s="15"/>
      <c r="CB1054" s="17"/>
      <c r="CC1054" s="17"/>
      <c r="CD1054" s="18"/>
      <c r="CE1054" s="18"/>
      <c r="CF1054" s="18"/>
      <c r="CG1054" s="18"/>
      <c r="CH1054" s="18"/>
    </row>
    <row r="1055">
      <c r="A1055" s="15"/>
      <c r="B1055" s="16"/>
      <c r="C1055" s="15"/>
      <c r="D1055" s="9"/>
      <c r="E1055" s="15"/>
      <c r="F1055" s="15"/>
      <c r="G1055" s="13"/>
      <c r="H1055" s="13"/>
      <c r="I1055" s="13"/>
      <c r="J1055" s="13"/>
      <c r="K1055" s="13"/>
      <c r="L1055" s="13"/>
      <c r="M1055" s="13"/>
      <c r="N1055" s="13"/>
      <c r="O1055" s="13"/>
      <c r="P1055" s="13"/>
      <c r="Q1055" s="13"/>
      <c r="R1055" s="13"/>
      <c r="S1055" s="13"/>
      <c r="T1055" s="13"/>
      <c r="U1055" s="13"/>
      <c r="V1055" s="13"/>
      <c r="W1055" s="13"/>
      <c r="X1055" s="13"/>
      <c r="Y1055" s="13"/>
      <c r="Z1055" s="13"/>
      <c r="AA1055" s="13"/>
      <c r="AB1055" s="15"/>
      <c r="AC1055" s="15"/>
      <c r="AD1055" s="15"/>
      <c r="AE1055" s="13"/>
      <c r="AF1055" s="13"/>
      <c r="AG1055" s="13"/>
      <c r="AH1055" s="15"/>
      <c r="AI1055" s="13"/>
      <c r="AJ1055" s="13"/>
      <c r="AK1055" s="13"/>
      <c r="AL1055" s="13"/>
      <c r="AM1055" s="15"/>
      <c r="AN1055" s="13"/>
      <c r="AO1055" s="15"/>
      <c r="AP1055" s="15"/>
      <c r="AQ1055" s="13"/>
      <c r="AR1055" s="13"/>
      <c r="AS1055" s="13"/>
      <c r="AT1055" s="13"/>
      <c r="AU1055" s="13"/>
      <c r="AV1055" s="13"/>
      <c r="AW1055" s="13"/>
      <c r="AX1055" s="13"/>
      <c r="AY1055" s="15"/>
      <c r="AZ1055" s="15"/>
      <c r="BA1055" s="16"/>
      <c r="BB1055" s="15"/>
      <c r="BC1055" s="15"/>
      <c r="BD1055" s="13"/>
      <c r="BE1055" s="13"/>
      <c r="BF1055" s="13"/>
      <c r="BG1055" s="13"/>
      <c r="BH1055" s="13"/>
      <c r="BI1055" s="13"/>
      <c r="BJ1055" s="13"/>
      <c r="BK1055" s="13"/>
      <c r="BL1055" s="13"/>
      <c r="BM1055" s="13"/>
      <c r="BN1055" s="13"/>
      <c r="BO1055" s="13"/>
      <c r="BP1055" s="13"/>
      <c r="BQ1055" s="15"/>
      <c r="BR1055" s="15"/>
      <c r="BS1055" s="15"/>
      <c r="BT1055" s="15"/>
      <c r="BU1055" s="15"/>
      <c r="BV1055" s="15"/>
      <c r="BW1055" s="15"/>
      <c r="BX1055" s="15"/>
      <c r="BY1055" s="15"/>
      <c r="BZ1055" s="15"/>
      <c r="CA1055" s="15"/>
      <c r="CB1055" s="17"/>
      <c r="CC1055" s="17"/>
      <c r="CD1055" s="18"/>
      <c r="CE1055" s="18"/>
      <c r="CF1055" s="18"/>
      <c r="CG1055" s="18"/>
      <c r="CH1055" s="18"/>
    </row>
    <row r="1056">
      <c r="A1056" s="15"/>
      <c r="B1056" s="16"/>
      <c r="C1056" s="15"/>
      <c r="D1056" s="9"/>
      <c r="E1056" s="15"/>
      <c r="F1056" s="15"/>
      <c r="G1056" s="13"/>
      <c r="H1056" s="13"/>
      <c r="I1056" s="13"/>
      <c r="J1056" s="13"/>
      <c r="K1056" s="13"/>
      <c r="L1056" s="13"/>
      <c r="M1056" s="13"/>
      <c r="N1056" s="13"/>
      <c r="O1056" s="13"/>
      <c r="P1056" s="13"/>
      <c r="Q1056" s="13"/>
      <c r="R1056" s="13"/>
      <c r="S1056" s="13"/>
      <c r="T1056" s="13"/>
      <c r="U1056" s="13"/>
      <c r="V1056" s="13"/>
      <c r="W1056" s="13"/>
      <c r="X1056" s="13"/>
      <c r="Y1056" s="13"/>
      <c r="Z1056" s="13"/>
      <c r="AA1056" s="13"/>
      <c r="AB1056" s="15"/>
      <c r="AC1056" s="15"/>
      <c r="AD1056" s="15"/>
      <c r="AE1056" s="13"/>
      <c r="AF1056" s="13"/>
      <c r="AG1056" s="13"/>
      <c r="AH1056" s="15"/>
      <c r="AI1056" s="13"/>
      <c r="AJ1056" s="13"/>
      <c r="AK1056" s="13"/>
      <c r="AL1056" s="13"/>
      <c r="AM1056" s="15"/>
      <c r="AN1056" s="13"/>
      <c r="AO1056" s="15"/>
      <c r="AP1056" s="15"/>
      <c r="AQ1056" s="13"/>
      <c r="AR1056" s="13"/>
      <c r="AS1056" s="13"/>
      <c r="AT1056" s="13"/>
      <c r="AU1056" s="13"/>
      <c r="AV1056" s="13"/>
      <c r="AW1056" s="13"/>
      <c r="AX1056" s="13"/>
      <c r="AY1056" s="15"/>
      <c r="AZ1056" s="15"/>
      <c r="BA1056" s="16"/>
      <c r="BB1056" s="15"/>
      <c r="BC1056" s="15"/>
      <c r="BD1056" s="13"/>
      <c r="BE1056" s="13"/>
      <c r="BF1056" s="13"/>
      <c r="BG1056" s="13"/>
      <c r="BH1056" s="13"/>
      <c r="BI1056" s="13"/>
      <c r="BJ1056" s="13"/>
      <c r="BK1056" s="13"/>
      <c r="BL1056" s="13"/>
      <c r="BM1056" s="13"/>
      <c r="BN1056" s="13"/>
      <c r="BO1056" s="13"/>
      <c r="BP1056" s="13"/>
      <c r="BQ1056" s="15"/>
      <c r="BR1056" s="15"/>
      <c r="BS1056" s="15"/>
      <c r="BT1056" s="15"/>
      <c r="BU1056" s="15"/>
      <c r="BV1056" s="15"/>
      <c r="BW1056" s="15"/>
      <c r="BX1056" s="15"/>
      <c r="BY1056" s="15"/>
      <c r="BZ1056" s="15"/>
      <c r="CA1056" s="15"/>
      <c r="CB1056" s="17"/>
      <c r="CC1056" s="17"/>
      <c r="CD1056" s="18"/>
      <c r="CE1056" s="18"/>
      <c r="CF1056" s="18"/>
      <c r="CG1056" s="18"/>
      <c r="CH1056" s="18"/>
    </row>
    <row r="1057">
      <c r="A1057" s="15"/>
      <c r="B1057" s="16"/>
      <c r="C1057" s="15"/>
      <c r="D1057" s="9"/>
      <c r="E1057" s="15"/>
      <c r="F1057" s="15"/>
      <c r="G1057" s="13"/>
      <c r="H1057" s="13"/>
      <c r="I1057" s="13"/>
      <c r="J1057" s="13"/>
      <c r="K1057" s="13"/>
      <c r="L1057" s="13"/>
      <c r="M1057" s="13"/>
      <c r="N1057" s="13"/>
      <c r="O1057" s="13"/>
      <c r="P1057" s="13"/>
      <c r="Q1057" s="13"/>
      <c r="R1057" s="13"/>
      <c r="S1057" s="13"/>
      <c r="T1057" s="13"/>
      <c r="U1057" s="13"/>
      <c r="V1057" s="13"/>
      <c r="W1057" s="13"/>
      <c r="X1057" s="13"/>
      <c r="Y1057" s="13"/>
      <c r="Z1057" s="13"/>
      <c r="AA1057" s="13"/>
      <c r="AB1057" s="15"/>
      <c r="AC1057" s="15"/>
      <c r="AD1057" s="15"/>
      <c r="AE1057" s="13"/>
      <c r="AF1057" s="13"/>
      <c r="AG1057" s="13"/>
      <c r="AH1057" s="15"/>
      <c r="AI1057" s="13"/>
      <c r="AJ1057" s="13"/>
      <c r="AK1057" s="13"/>
      <c r="AL1057" s="13"/>
      <c r="AM1057" s="15"/>
      <c r="AN1057" s="13"/>
      <c r="AO1057" s="15"/>
      <c r="AP1057" s="15"/>
      <c r="AQ1057" s="13"/>
      <c r="AR1057" s="13"/>
      <c r="AS1057" s="13"/>
      <c r="AT1057" s="13"/>
      <c r="AU1057" s="13"/>
      <c r="AV1057" s="13"/>
      <c r="AW1057" s="13"/>
      <c r="AX1057" s="13"/>
      <c r="AY1057" s="15"/>
      <c r="AZ1057" s="15"/>
      <c r="BA1057" s="16"/>
      <c r="BB1057" s="15"/>
      <c r="BC1057" s="15"/>
      <c r="BD1057" s="13"/>
      <c r="BE1057" s="13"/>
      <c r="BF1057" s="13"/>
      <c r="BG1057" s="13"/>
      <c r="BH1057" s="13"/>
      <c r="BI1057" s="13"/>
      <c r="BJ1057" s="13"/>
      <c r="BK1057" s="13"/>
      <c r="BL1057" s="13"/>
      <c r="BM1057" s="13"/>
      <c r="BN1057" s="13"/>
      <c r="BO1057" s="13"/>
      <c r="BP1057" s="13"/>
      <c r="BQ1057" s="15"/>
      <c r="BR1057" s="15"/>
      <c r="BS1057" s="15"/>
      <c r="BT1057" s="15"/>
      <c r="BU1057" s="15"/>
      <c r="BV1057" s="15"/>
      <c r="BW1057" s="15"/>
      <c r="BX1057" s="15"/>
      <c r="BY1057" s="15"/>
      <c r="BZ1057" s="15"/>
      <c r="CA1057" s="15"/>
      <c r="CB1057" s="17"/>
      <c r="CC1057" s="17"/>
      <c r="CD1057" s="18"/>
      <c r="CE1057" s="18"/>
      <c r="CF1057" s="18"/>
      <c r="CG1057" s="18"/>
      <c r="CH1057" s="18"/>
    </row>
    <row r="1058">
      <c r="A1058" s="15"/>
      <c r="B1058" s="16"/>
      <c r="C1058" s="15"/>
      <c r="D1058" s="9"/>
      <c r="E1058" s="15"/>
      <c r="F1058" s="15"/>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5"/>
      <c r="AC1058" s="15"/>
      <c r="AD1058" s="15"/>
      <c r="AE1058" s="13"/>
      <c r="AF1058" s="13"/>
      <c r="AG1058" s="13"/>
      <c r="AH1058" s="15"/>
      <c r="AI1058" s="13"/>
      <c r="AJ1058" s="13"/>
      <c r="AK1058" s="13"/>
      <c r="AL1058" s="13"/>
      <c r="AM1058" s="15"/>
      <c r="AN1058" s="13"/>
      <c r="AO1058" s="15"/>
      <c r="AP1058" s="15"/>
      <c r="AQ1058" s="13"/>
      <c r="AR1058" s="13"/>
      <c r="AS1058" s="13"/>
      <c r="AT1058" s="13"/>
      <c r="AU1058" s="13"/>
      <c r="AV1058" s="13"/>
      <c r="AW1058" s="13"/>
      <c r="AX1058" s="13"/>
      <c r="AY1058" s="15"/>
      <c r="AZ1058" s="15"/>
      <c r="BA1058" s="16"/>
      <c r="BB1058" s="15"/>
      <c r="BC1058" s="15"/>
      <c r="BD1058" s="13"/>
      <c r="BE1058" s="13"/>
      <c r="BF1058" s="13"/>
      <c r="BG1058" s="13"/>
      <c r="BH1058" s="13"/>
      <c r="BI1058" s="13"/>
      <c r="BJ1058" s="13"/>
      <c r="BK1058" s="13"/>
      <c r="BL1058" s="13"/>
      <c r="BM1058" s="13"/>
      <c r="BN1058" s="13"/>
      <c r="BO1058" s="13"/>
      <c r="BP1058" s="13"/>
      <c r="BQ1058" s="15"/>
      <c r="BR1058" s="15"/>
      <c r="BS1058" s="15"/>
      <c r="BT1058" s="15"/>
      <c r="BU1058" s="15"/>
      <c r="BV1058" s="15"/>
      <c r="BW1058" s="15"/>
      <c r="BX1058" s="15"/>
      <c r="BY1058" s="15"/>
      <c r="BZ1058" s="15"/>
      <c r="CA1058" s="15"/>
      <c r="CB1058" s="17"/>
      <c r="CC1058" s="17"/>
      <c r="CD1058" s="18"/>
      <c r="CE1058" s="18"/>
      <c r="CF1058" s="18"/>
      <c r="CG1058" s="18"/>
      <c r="CH1058" s="18"/>
    </row>
    <row r="1059">
      <c r="A1059" s="15"/>
      <c r="B1059" s="16"/>
      <c r="C1059" s="15"/>
      <c r="D1059" s="9"/>
      <c r="E1059" s="15"/>
      <c r="F1059" s="15"/>
      <c r="G1059" s="13"/>
      <c r="H1059" s="13"/>
      <c r="I1059" s="13"/>
      <c r="J1059" s="13"/>
      <c r="K1059" s="13"/>
      <c r="L1059" s="13"/>
      <c r="M1059" s="13"/>
      <c r="N1059" s="13"/>
      <c r="O1059" s="13"/>
      <c r="P1059" s="13"/>
      <c r="Q1059" s="13"/>
      <c r="R1059" s="13"/>
      <c r="S1059" s="13"/>
      <c r="T1059" s="13"/>
      <c r="U1059" s="13"/>
      <c r="V1059" s="13"/>
      <c r="W1059" s="13"/>
      <c r="X1059" s="13"/>
      <c r="Y1059" s="13"/>
      <c r="Z1059" s="13"/>
      <c r="AA1059" s="13"/>
      <c r="AB1059" s="15"/>
      <c r="AC1059" s="15"/>
      <c r="AD1059" s="15"/>
      <c r="AE1059" s="13"/>
      <c r="AF1059" s="13"/>
      <c r="AG1059" s="13"/>
      <c r="AH1059" s="15"/>
      <c r="AI1059" s="13"/>
      <c r="AJ1059" s="13"/>
      <c r="AK1059" s="13"/>
      <c r="AL1059" s="13"/>
      <c r="AM1059" s="15"/>
      <c r="AN1059" s="13"/>
      <c r="AO1059" s="15"/>
      <c r="AP1059" s="15"/>
      <c r="AQ1059" s="13"/>
      <c r="AR1059" s="13"/>
      <c r="AS1059" s="13"/>
      <c r="AT1059" s="13"/>
      <c r="AU1059" s="13"/>
      <c r="AV1059" s="13"/>
      <c r="AW1059" s="13"/>
      <c r="AX1059" s="13"/>
      <c r="AY1059" s="15"/>
      <c r="AZ1059" s="15"/>
      <c r="BA1059" s="16"/>
      <c r="BB1059" s="15"/>
      <c r="BC1059" s="15"/>
      <c r="BD1059" s="13"/>
      <c r="BE1059" s="13"/>
      <c r="BF1059" s="13"/>
      <c r="BG1059" s="13"/>
      <c r="BH1059" s="13"/>
      <c r="BI1059" s="13"/>
      <c r="BJ1059" s="13"/>
      <c r="BK1059" s="13"/>
      <c r="BL1059" s="13"/>
      <c r="BM1059" s="13"/>
      <c r="BN1059" s="13"/>
      <c r="BO1059" s="13"/>
      <c r="BP1059" s="13"/>
      <c r="BQ1059" s="15"/>
      <c r="BR1059" s="15"/>
      <c r="BS1059" s="15"/>
      <c r="BT1059" s="15"/>
      <c r="BU1059" s="15"/>
      <c r="BV1059" s="15"/>
      <c r="BW1059" s="15"/>
      <c r="BX1059" s="15"/>
      <c r="BY1059" s="15"/>
      <c r="BZ1059" s="15"/>
      <c r="CA1059" s="15"/>
      <c r="CB1059" s="17"/>
      <c r="CC1059" s="17"/>
      <c r="CD1059" s="18"/>
      <c r="CE1059" s="18"/>
      <c r="CF1059" s="18"/>
      <c r="CG1059" s="18"/>
      <c r="CH1059" s="18"/>
    </row>
    <row r="1060">
      <c r="A1060" s="15"/>
      <c r="B1060" s="16"/>
      <c r="C1060" s="15"/>
      <c r="D1060" s="9"/>
      <c r="E1060" s="15"/>
      <c r="F1060" s="15"/>
      <c r="G1060" s="13"/>
      <c r="H1060" s="13"/>
      <c r="I1060" s="13"/>
      <c r="J1060" s="13"/>
      <c r="K1060" s="13"/>
      <c r="L1060" s="13"/>
      <c r="M1060" s="13"/>
      <c r="N1060" s="13"/>
      <c r="O1060" s="13"/>
      <c r="P1060" s="13"/>
      <c r="Q1060" s="13"/>
      <c r="R1060" s="13"/>
      <c r="S1060" s="13"/>
      <c r="T1060" s="13"/>
      <c r="U1060" s="13"/>
      <c r="V1060" s="13"/>
      <c r="W1060" s="13"/>
      <c r="X1060" s="13"/>
      <c r="Y1060" s="13"/>
      <c r="Z1060" s="13"/>
      <c r="AA1060" s="13"/>
      <c r="AB1060" s="15"/>
      <c r="AC1060" s="15"/>
      <c r="AD1060" s="15"/>
      <c r="AE1060" s="13"/>
      <c r="AF1060" s="13"/>
      <c r="AG1060" s="13"/>
      <c r="AH1060" s="15"/>
      <c r="AI1060" s="13"/>
      <c r="AJ1060" s="13"/>
      <c r="AK1060" s="13"/>
      <c r="AL1060" s="13"/>
      <c r="AM1060" s="15"/>
      <c r="AN1060" s="13"/>
      <c r="AO1060" s="15"/>
      <c r="AP1060" s="15"/>
      <c r="AQ1060" s="13"/>
      <c r="AR1060" s="13"/>
      <c r="AS1060" s="13"/>
      <c r="AT1060" s="13"/>
      <c r="AU1060" s="13"/>
      <c r="AV1060" s="13"/>
      <c r="AW1060" s="13"/>
      <c r="AX1060" s="13"/>
      <c r="AY1060" s="15"/>
      <c r="AZ1060" s="15"/>
      <c r="BA1060" s="16"/>
      <c r="BB1060" s="15"/>
      <c r="BC1060" s="15"/>
      <c r="BD1060" s="13"/>
      <c r="BE1060" s="13"/>
      <c r="BF1060" s="13"/>
      <c r="BG1060" s="13"/>
      <c r="BH1060" s="13"/>
      <c r="BI1060" s="13"/>
      <c r="BJ1060" s="13"/>
      <c r="BK1060" s="13"/>
      <c r="BL1060" s="13"/>
      <c r="BM1060" s="13"/>
      <c r="BN1060" s="13"/>
      <c r="BO1060" s="13"/>
      <c r="BP1060" s="13"/>
      <c r="BQ1060" s="15"/>
      <c r="BR1060" s="15"/>
      <c r="BS1060" s="15"/>
      <c r="BT1060" s="15"/>
      <c r="BU1060" s="15"/>
      <c r="BV1060" s="15"/>
      <c r="BW1060" s="15"/>
      <c r="BX1060" s="15"/>
      <c r="BY1060" s="15"/>
      <c r="BZ1060" s="15"/>
      <c r="CA1060" s="15"/>
      <c r="CB1060" s="17"/>
      <c r="CC1060" s="17"/>
      <c r="CD1060" s="18"/>
      <c r="CE1060" s="18"/>
      <c r="CF1060" s="18"/>
      <c r="CG1060" s="18"/>
      <c r="CH1060" s="18"/>
    </row>
    <row r="1061">
      <c r="A1061" s="15"/>
      <c r="B1061" s="16"/>
      <c r="C1061" s="15"/>
      <c r="D1061" s="9"/>
      <c r="E1061" s="15"/>
      <c r="F1061" s="15"/>
      <c r="G1061" s="13"/>
      <c r="H1061" s="13"/>
      <c r="I1061" s="13"/>
      <c r="J1061" s="13"/>
      <c r="K1061" s="13"/>
      <c r="L1061" s="13"/>
      <c r="M1061" s="13"/>
      <c r="N1061" s="13"/>
      <c r="O1061" s="13"/>
      <c r="P1061" s="13"/>
      <c r="Q1061" s="13"/>
      <c r="R1061" s="13"/>
      <c r="S1061" s="13"/>
      <c r="T1061" s="13"/>
      <c r="U1061" s="13"/>
      <c r="V1061" s="13"/>
      <c r="W1061" s="13"/>
      <c r="X1061" s="13"/>
      <c r="Y1061" s="13"/>
      <c r="Z1061" s="13"/>
      <c r="AA1061" s="13"/>
      <c r="AB1061" s="15"/>
      <c r="AC1061" s="15"/>
      <c r="AD1061" s="15"/>
      <c r="AE1061" s="13"/>
      <c r="AF1061" s="13"/>
      <c r="AG1061" s="13"/>
      <c r="AH1061" s="15"/>
      <c r="AI1061" s="13"/>
      <c r="AJ1061" s="13"/>
      <c r="AK1061" s="13"/>
      <c r="AL1061" s="13"/>
      <c r="AM1061" s="15"/>
      <c r="AN1061" s="13"/>
      <c r="AO1061" s="15"/>
      <c r="AP1061" s="15"/>
      <c r="AQ1061" s="13"/>
      <c r="AR1061" s="13"/>
      <c r="AS1061" s="13"/>
      <c r="AT1061" s="13"/>
      <c r="AU1061" s="13"/>
      <c r="AV1061" s="13"/>
      <c r="AW1061" s="13"/>
      <c r="AX1061" s="13"/>
      <c r="AY1061" s="15"/>
      <c r="AZ1061" s="15"/>
      <c r="BA1061" s="16"/>
      <c r="BB1061" s="15"/>
      <c r="BC1061" s="15"/>
      <c r="BD1061" s="13"/>
      <c r="BE1061" s="13"/>
      <c r="BF1061" s="13"/>
      <c r="BG1061" s="13"/>
      <c r="BH1061" s="13"/>
      <c r="BI1061" s="13"/>
      <c r="BJ1061" s="13"/>
      <c r="BK1061" s="13"/>
      <c r="BL1061" s="13"/>
      <c r="BM1061" s="13"/>
      <c r="BN1061" s="13"/>
      <c r="BO1061" s="13"/>
      <c r="BP1061" s="13"/>
      <c r="BQ1061" s="15"/>
      <c r="BR1061" s="15"/>
      <c r="BS1061" s="15"/>
      <c r="BT1061" s="15"/>
      <c r="BU1061" s="15"/>
      <c r="BV1061" s="15"/>
      <c r="BW1061" s="15"/>
      <c r="BX1061" s="15"/>
      <c r="BY1061" s="15"/>
      <c r="BZ1061" s="15"/>
      <c r="CA1061" s="15"/>
      <c r="CB1061" s="17"/>
      <c r="CC1061" s="17"/>
      <c r="CD1061" s="18"/>
      <c r="CE1061" s="18"/>
      <c r="CF1061" s="18"/>
      <c r="CG1061" s="18"/>
      <c r="CH1061" s="18"/>
    </row>
    <row r="1062">
      <c r="A1062" s="15"/>
      <c r="B1062" s="16"/>
      <c r="C1062" s="15"/>
      <c r="D1062" s="9"/>
      <c r="E1062" s="15"/>
      <c r="F1062" s="15"/>
      <c r="G1062" s="13"/>
      <c r="H1062" s="13"/>
      <c r="I1062" s="13"/>
      <c r="J1062" s="13"/>
      <c r="K1062" s="13"/>
      <c r="L1062" s="13"/>
      <c r="M1062" s="13"/>
      <c r="N1062" s="13"/>
      <c r="O1062" s="13"/>
      <c r="P1062" s="13"/>
      <c r="Q1062" s="13"/>
      <c r="R1062" s="13"/>
      <c r="S1062" s="13"/>
      <c r="T1062" s="13"/>
      <c r="U1062" s="13"/>
      <c r="V1062" s="13"/>
      <c r="W1062" s="13"/>
      <c r="X1062" s="13"/>
      <c r="Y1062" s="13"/>
      <c r="Z1062" s="13"/>
      <c r="AA1062" s="13"/>
      <c r="AB1062" s="15"/>
      <c r="AC1062" s="15"/>
      <c r="AD1062" s="15"/>
      <c r="AE1062" s="13"/>
      <c r="AF1062" s="13"/>
      <c r="AG1062" s="13"/>
      <c r="AH1062" s="15"/>
      <c r="AI1062" s="13"/>
      <c r="AJ1062" s="13"/>
      <c r="AK1062" s="13"/>
      <c r="AL1062" s="13"/>
      <c r="AM1062" s="15"/>
      <c r="AN1062" s="13"/>
      <c r="AO1062" s="15"/>
      <c r="AP1062" s="15"/>
      <c r="AQ1062" s="13"/>
      <c r="AR1062" s="13"/>
      <c r="AS1062" s="13"/>
      <c r="AT1062" s="13"/>
      <c r="AU1062" s="13"/>
      <c r="AV1062" s="13"/>
      <c r="AW1062" s="13"/>
      <c r="AX1062" s="13"/>
      <c r="AY1062" s="15"/>
      <c r="AZ1062" s="15"/>
      <c r="BA1062" s="16"/>
      <c r="BB1062" s="15"/>
      <c r="BC1062" s="15"/>
      <c r="BD1062" s="13"/>
      <c r="BE1062" s="13"/>
      <c r="BF1062" s="13"/>
      <c r="BG1062" s="13"/>
      <c r="BH1062" s="13"/>
      <c r="BI1062" s="13"/>
      <c r="BJ1062" s="13"/>
      <c r="BK1062" s="13"/>
      <c r="BL1062" s="13"/>
      <c r="BM1062" s="13"/>
      <c r="BN1062" s="13"/>
      <c r="BO1062" s="13"/>
      <c r="BP1062" s="13"/>
      <c r="BQ1062" s="15"/>
      <c r="BR1062" s="15"/>
      <c r="BS1062" s="15"/>
      <c r="BT1062" s="15"/>
      <c r="BU1062" s="15"/>
      <c r="BV1062" s="15"/>
      <c r="BW1062" s="15"/>
      <c r="BX1062" s="15"/>
      <c r="BY1062" s="15"/>
      <c r="BZ1062" s="15"/>
      <c r="CA1062" s="15"/>
      <c r="CB1062" s="17"/>
      <c r="CC1062" s="17"/>
      <c r="CD1062" s="18"/>
      <c r="CE1062" s="18"/>
      <c r="CF1062" s="18"/>
      <c r="CG1062" s="18"/>
      <c r="CH1062" s="18"/>
    </row>
    <row r="1063">
      <c r="A1063" s="15"/>
      <c r="B1063" s="16"/>
      <c r="C1063" s="15"/>
      <c r="D1063" s="9"/>
      <c r="E1063" s="15"/>
      <c r="F1063" s="15"/>
      <c r="G1063" s="13"/>
      <c r="H1063" s="13"/>
      <c r="I1063" s="13"/>
      <c r="J1063" s="13"/>
      <c r="K1063" s="13"/>
      <c r="L1063" s="13"/>
      <c r="M1063" s="13"/>
      <c r="N1063" s="13"/>
      <c r="O1063" s="13"/>
      <c r="P1063" s="13"/>
      <c r="Q1063" s="13"/>
      <c r="R1063" s="13"/>
      <c r="S1063" s="13"/>
      <c r="T1063" s="13"/>
      <c r="U1063" s="13"/>
      <c r="V1063" s="13"/>
      <c r="W1063" s="13"/>
      <c r="X1063" s="13"/>
      <c r="Y1063" s="13"/>
      <c r="Z1063" s="13"/>
      <c r="AA1063" s="13"/>
      <c r="AB1063" s="15"/>
      <c r="AC1063" s="15"/>
      <c r="AD1063" s="15"/>
      <c r="AE1063" s="13"/>
      <c r="AF1063" s="13"/>
      <c r="AG1063" s="13"/>
      <c r="AH1063" s="15"/>
      <c r="AI1063" s="13"/>
      <c r="AJ1063" s="13"/>
      <c r="AK1063" s="13"/>
      <c r="AL1063" s="13"/>
      <c r="AM1063" s="15"/>
      <c r="AN1063" s="13"/>
      <c r="AO1063" s="15"/>
      <c r="AP1063" s="15"/>
      <c r="AQ1063" s="13"/>
      <c r="AR1063" s="13"/>
      <c r="AS1063" s="13"/>
      <c r="AT1063" s="13"/>
      <c r="AU1063" s="13"/>
      <c r="AV1063" s="13"/>
      <c r="AW1063" s="13"/>
      <c r="AX1063" s="13"/>
      <c r="AY1063" s="15"/>
      <c r="AZ1063" s="15"/>
      <c r="BA1063" s="16"/>
      <c r="BB1063" s="15"/>
      <c r="BC1063" s="15"/>
      <c r="BD1063" s="13"/>
      <c r="BE1063" s="13"/>
      <c r="BF1063" s="13"/>
      <c r="BG1063" s="13"/>
      <c r="BH1063" s="13"/>
      <c r="BI1063" s="13"/>
      <c r="BJ1063" s="13"/>
      <c r="BK1063" s="13"/>
      <c r="BL1063" s="13"/>
      <c r="BM1063" s="13"/>
      <c r="BN1063" s="13"/>
      <c r="BO1063" s="13"/>
      <c r="BP1063" s="13"/>
      <c r="BQ1063" s="15"/>
      <c r="BR1063" s="15"/>
      <c r="BS1063" s="15"/>
      <c r="BT1063" s="15"/>
      <c r="BU1063" s="15"/>
      <c r="BV1063" s="15"/>
      <c r="BW1063" s="15"/>
      <c r="BX1063" s="15"/>
      <c r="BY1063" s="15"/>
      <c r="BZ1063" s="15"/>
      <c r="CA1063" s="15"/>
      <c r="CB1063" s="17"/>
      <c r="CC1063" s="17"/>
      <c r="CD1063" s="18"/>
      <c r="CE1063" s="18"/>
      <c r="CF1063" s="18"/>
      <c r="CG1063" s="18"/>
      <c r="CH1063" s="18"/>
    </row>
    <row r="1064">
      <c r="A1064" s="15"/>
      <c r="B1064" s="16"/>
      <c r="C1064" s="15"/>
      <c r="D1064" s="9"/>
      <c r="E1064" s="15"/>
      <c r="F1064" s="15"/>
      <c r="G1064" s="13"/>
      <c r="H1064" s="13"/>
      <c r="I1064" s="13"/>
      <c r="J1064" s="13"/>
      <c r="K1064" s="13"/>
      <c r="L1064" s="13"/>
      <c r="M1064" s="13"/>
      <c r="N1064" s="13"/>
      <c r="O1064" s="13"/>
      <c r="P1064" s="13"/>
      <c r="Q1064" s="13"/>
      <c r="R1064" s="13"/>
      <c r="S1064" s="13"/>
      <c r="T1064" s="13"/>
      <c r="U1064" s="13"/>
      <c r="V1064" s="13"/>
      <c r="W1064" s="13"/>
      <c r="X1064" s="13"/>
      <c r="Y1064" s="13"/>
      <c r="Z1064" s="13"/>
      <c r="AA1064" s="13"/>
      <c r="AB1064" s="15"/>
      <c r="AC1064" s="15"/>
      <c r="AD1064" s="15"/>
      <c r="AE1064" s="13"/>
      <c r="AF1064" s="13"/>
      <c r="AG1064" s="13"/>
      <c r="AH1064" s="15"/>
      <c r="AI1064" s="13"/>
      <c r="AJ1064" s="13"/>
      <c r="AK1064" s="13"/>
      <c r="AL1064" s="13"/>
      <c r="AM1064" s="15"/>
      <c r="AN1064" s="13"/>
      <c r="AO1064" s="15"/>
      <c r="AP1064" s="15"/>
      <c r="AQ1064" s="13"/>
      <c r="AR1064" s="13"/>
      <c r="AS1064" s="13"/>
      <c r="AT1064" s="13"/>
      <c r="AU1064" s="13"/>
      <c r="AV1064" s="13"/>
      <c r="AW1064" s="13"/>
      <c r="AX1064" s="13"/>
      <c r="AY1064" s="15"/>
      <c r="AZ1064" s="15"/>
      <c r="BA1064" s="16"/>
      <c r="BB1064" s="15"/>
      <c r="BC1064" s="15"/>
      <c r="BD1064" s="13"/>
      <c r="BE1064" s="13"/>
      <c r="BF1064" s="13"/>
      <c r="BG1064" s="13"/>
      <c r="BH1064" s="13"/>
      <c r="BI1064" s="13"/>
      <c r="BJ1064" s="13"/>
      <c r="BK1064" s="13"/>
      <c r="BL1064" s="13"/>
      <c r="BM1064" s="13"/>
      <c r="BN1064" s="13"/>
      <c r="BO1064" s="13"/>
      <c r="BP1064" s="13"/>
      <c r="BQ1064" s="15"/>
      <c r="BR1064" s="15"/>
      <c r="BS1064" s="15"/>
      <c r="BT1064" s="15"/>
      <c r="BU1064" s="15"/>
      <c r="BV1064" s="15"/>
      <c r="BW1064" s="15"/>
      <c r="BX1064" s="15"/>
      <c r="BY1064" s="15"/>
      <c r="BZ1064" s="15"/>
      <c r="CA1064" s="15"/>
      <c r="CB1064" s="17"/>
      <c r="CC1064" s="17"/>
      <c r="CD1064" s="18"/>
      <c r="CE1064" s="18"/>
      <c r="CF1064" s="18"/>
      <c r="CG1064" s="18"/>
      <c r="CH1064" s="18"/>
    </row>
    <row r="1065">
      <c r="A1065" s="15"/>
      <c r="B1065" s="16"/>
      <c r="C1065" s="15"/>
      <c r="D1065" s="9"/>
      <c r="E1065" s="15"/>
      <c r="F1065" s="15"/>
      <c r="G1065" s="13"/>
      <c r="H1065" s="13"/>
      <c r="I1065" s="13"/>
      <c r="J1065" s="13"/>
      <c r="K1065" s="13"/>
      <c r="L1065" s="13"/>
      <c r="M1065" s="13"/>
      <c r="N1065" s="13"/>
      <c r="O1065" s="13"/>
      <c r="P1065" s="13"/>
      <c r="Q1065" s="13"/>
      <c r="R1065" s="13"/>
      <c r="S1065" s="13"/>
      <c r="T1065" s="13"/>
      <c r="U1065" s="13"/>
      <c r="V1065" s="13"/>
      <c r="W1065" s="13"/>
      <c r="X1065" s="13"/>
      <c r="Y1065" s="13"/>
      <c r="Z1065" s="13"/>
      <c r="AA1065" s="13"/>
      <c r="AB1065" s="15"/>
      <c r="AC1065" s="15"/>
      <c r="AD1065" s="15"/>
      <c r="AE1065" s="13"/>
      <c r="AF1065" s="13"/>
      <c r="AG1065" s="13"/>
      <c r="AH1065" s="15"/>
      <c r="AI1065" s="13"/>
      <c r="AJ1065" s="13"/>
      <c r="AK1065" s="13"/>
      <c r="AL1065" s="13"/>
      <c r="AM1065" s="15"/>
      <c r="AN1065" s="13"/>
      <c r="AO1065" s="15"/>
      <c r="AP1065" s="15"/>
      <c r="AQ1065" s="13"/>
      <c r="AR1065" s="13"/>
      <c r="AS1065" s="13"/>
      <c r="AT1065" s="13"/>
      <c r="AU1065" s="13"/>
      <c r="AV1065" s="13"/>
      <c r="AW1065" s="13"/>
      <c r="AX1065" s="13"/>
      <c r="AY1065" s="15"/>
      <c r="AZ1065" s="15"/>
      <c r="BA1065" s="16"/>
      <c r="BB1065" s="15"/>
      <c r="BC1065" s="15"/>
      <c r="BD1065" s="13"/>
      <c r="BE1065" s="13"/>
      <c r="BF1065" s="13"/>
      <c r="BG1065" s="13"/>
      <c r="BH1065" s="13"/>
      <c r="BI1065" s="13"/>
      <c r="BJ1065" s="13"/>
      <c r="BK1065" s="13"/>
      <c r="BL1065" s="13"/>
      <c r="BM1065" s="13"/>
      <c r="BN1065" s="13"/>
      <c r="BO1065" s="13"/>
      <c r="BP1065" s="13"/>
      <c r="BQ1065" s="15"/>
      <c r="BR1065" s="15"/>
      <c r="BS1065" s="15"/>
      <c r="BT1065" s="15"/>
      <c r="BU1065" s="15"/>
      <c r="BV1065" s="15"/>
      <c r="BW1065" s="15"/>
      <c r="BX1065" s="15"/>
      <c r="BY1065" s="15"/>
      <c r="BZ1065" s="15"/>
      <c r="CA1065" s="15"/>
      <c r="CB1065" s="17"/>
      <c r="CC1065" s="17"/>
      <c r="CD1065" s="18"/>
      <c r="CE1065" s="18"/>
      <c r="CF1065" s="18"/>
      <c r="CG1065" s="18"/>
      <c r="CH1065" s="18"/>
    </row>
    <row r="1066">
      <c r="A1066" s="15"/>
      <c r="B1066" s="16"/>
      <c r="C1066" s="15"/>
      <c r="D1066" s="9"/>
      <c r="E1066" s="15"/>
      <c r="F1066" s="15"/>
      <c r="G1066" s="13"/>
      <c r="H1066" s="13"/>
      <c r="I1066" s="13"/>
      <c r="J1066" s="13"/>
      <c r="K1066" s="13"/>
      <c r="L1066" s="13"/>
      <c r="M1066" s="13"/>
      <c r="N1066" s="13"/>
      <c r="O1066" s="13"/>
      <c r="P1066" s="13"/>
      <c r="Q1066" s="13"/>
      <c r="R1066" s="13"/>
      <c r="S1066" s="13"/>
      <c r="T1066" s="13"/>
      <c r="U1066" s="13"/>
      <c r="V1066" s="13"/>
      <c r="W1066" s="13"/>
      <c r="X1066" s="13"/>
      <c r="Y1066" s="13"/>
      <c r="Z1066" s="13"/>
      <c r="AA1066" s="13"/>
      <c r="AB1066" s="15"/>
      <c r="AC1066" s="15"/>
      <c r="AD1066" s="15"/>
      <c r="AE1066" s="13"/>
      <c r="AF1066" s="13"/>
      <c r="AG1066" s="13"/>
      <c r="AH1066" s="15"/>
      <c r="AI1066" s="13"/>
      <c r="AJ1066" s="13"/>
      <c r="AK1066" s="13"/>
      <c r="AL1066" s="13"/>
      <c r="AM1066" s="15"/>
      <c r="AN1066" s="13"/>
      <c r="AO1066" s="15"/>
      <c r="AP1066" s="15"/>
      <c r="AQ1066" s="13"/>
      <c r="AR1066" s="13"/>
      <c r="AS1066" s="13"/>
      <c r="AT1066" s="13"/>
      <c r="AU1066" s="13"/>
      <c r="AV1066" s="13"/>
      <c r="AW1066" s="13"/>
      <c r="AX1066" s="13"/>
      <c r="AY1066" s="15"/>
      <c r="AZ1066" s="15"/>
      <c r="BA1066" s="16"/>
      <c r="BB1066" s="15"/>
      <c r="BC1066" s="15"/>
      <c r="BD1066" s="13"/>
      <c r="BE1066" s="13"/>
      <c r="BF1066" s="13"/>
      <c r="BG1066" s="13"/>
      <c r="BH1066" s="13"/>
      <c r="BI1066" s="13"/>
      <c r="BJ1066" s="13"/>
      <c r="BK1066" s="13"/>
      <c r="BL1066" s="13"/>
      <c r="BM1066" s="13"/>
      <c r="BN1066" s="13"/>
      <c r="BO1066" s="13"/>
      <c r="BP1066" s="13"/>
      <c r="BQ1066" s="15"/>
      <c r="BR1066" s="15"/>
      <c r="BS1066" s="15"/>
      <c r="BT1066" s="15"/>
      <c r="BU1066" s="15"/>
      <c r="BV1066" s="15"/>
      <c r="BW1066" s="15"/>
      <c r="BX1066" s="15"/>
      <c r="BY1066" s="15"/>
      <c r="BZ1066" s="15"/>
      <c r="CA1066" s="15"/>
      <c r="CB1066" s="17"/>
      <c r="CC1066" s="17"/>
      <c r="CD1066" s="18"/>
      <c r="CE1066" s="18"/>
      <c r="CF1066" s="18"/>
      <c r="CG1066" s="18"/>
      <c r="CH1066" s="18"/>
    </row>
    <row r="1067">
      <c r="A1067" s="15"/>
      <c r="B1067" s="16"/>
      <c r="C1067" s="15"/>
      <c r="D1067" s="9"/>
      <c r="E1067" s="15"/>
      <c r="F1067" s="15"/>
      <c r="G1067" s="13"/>
      <c r="H1067" s="13"/>
      <c r="I1067" s="13"/>
      <c r="J1067" s="13"/>
      <c r="K1067" s="13"/>
      <c r="L1067" s="13"/>
      <c r="M1067" s="13"/>
      <c r="N1067" s="13"/>
      <c r="O1067" s="13"/>
      <c r="P1067" s="13"/>
      <c r="Q1067" s="13"/>
      <c r="R1067" s="13"/>
      <c r="S1067" s="13"/>
      <c r="T1067" s="13"/>
      <c r="U1067" s="13"/>
      <c r="V1067" s="13"/>
      <c r="W1067" s="13"/>
      <c r="X1067" s="13"/>
      <c r="Y1067" s="13"/>
      <c r="Z1067" s="13"/>
      <c r="AA1067" s="13"/>
      <c r="AB1067" s="15"/>
      <c r="AC1067" s="15"/>
      <c r="AD1067" s="15"/>
      <c r="AE1067" s="13"/>
      <c r="AF1067" s="13"/>
      <c r="AG1067" s="13"/>
      <c r="AH1067" s="15"/>
      <c r="AI1067" s="13"/>
      <c r="AJ1067" s="13"/>
      <c r="AK1067" s="13"/>
      <c r="AL1067" s="13"/>
      <c r="AM1067" s="15"/>
      <c r="AN1067" s="13"/>
      <c r="AO1067" s="15"/>
      <c r="AP1067" s="15"/>
      <c r="AQ1067" s="13"/>
      <c r="AR1067" s="13"/>
      <c r="AS1067" s="13"/>
      <c r="AT1067" s="13"/>
      <c r="AU1067" s="13"/>
      <c r="AV1067" s="13"/>
      <c r="AW1067" s="13"/>
      <c r="AX1067" s="13"/>
      <c r="AY1067" s="15"/>
      <c r="AZ1067" s="15"/>
      <c r="BA1067" s="16"/>
      <c r="BB1067" s="15"/>
      <c r="BC1067" s="15"/>
      <c r="BD1067" s="13"/>
      <c r="BE1067" s="13"/>
      <c r="BF1067" s="13"/>
      <c r="BG1067" s="13"/>
      <c r="BH1067" s="13"/>
      <c r="BI1067" s="13"/>
      <c r="BJ1067" s="13"/>
      <c r="BK1067" s="13"/>
      <c r="BL1067" s="13"/>
      <c r="BM1067" s="13"/>
      <c r="BN1067" s="13"/>
      <c r="BO1067" s="13"/>
      <c r="BP1067" s="13"/>
      <c r="BQ1067" s="15"/>
      <c r="BR1067" s="15"/>
      <c r="BS1067" s="15"/>
      <c r="BT1067" s="15"/>
      <c r="BU1067" s="15"/>
      <c r="BV1067" s="15"/>
      <c r="BW1067" s="15"/>
      <c r="BX1067" s="15"/>
      <c r="BY1067" s="15"/>
      <c r="BZ1067" s="15"/>
      <c r="CA1067" s="15"/>
      <c r="CB1067" s="17"/>
      <c r="CC1067" s="17"/>
      <c r="CD1067" s="18"/>
      <c r="CE1067" s="18"/>
      <c r="CF1067" s="18"/>
      <c r="CG1067" s="18"/>
      <c r="CH1067" s="18"/>
    </row>
    <row r="1068">
      <c r="A1068" s="15"/>
      <c r="B1068" s="16"/>
      <c r="C1068" s="15"/>
      <c r="D1068" s="9"/>
      <c r="E1068" s="15"/>
      <c r="F1068" s="15"/>
      <c r="G1068" s="13"/>
      <c r="H1068" s="13"/>
      <c r="I1068" s="13"/>
      <c r="J1068" s="13"/>
      <c r="K1068" s="13"/>
      <c r="L1068" s="13"/>
      <c r="M1068" s="13"/>
      <c r="N1068" s="13"/>
      <c r="O1068" s="13"/>
      <c r="P1068" s="13"/>
      <c r="Q1068" s="13"/>
      <c r="R1068" s="13"/>
      <c r="S1068" s="13"/>
      <c r="T1068" s="13"/>
      <c r="U1068" s="13"/>
      <c r="V1068" s="13"/>
      <c r="W1068" s="13"/>
      <c r="X1068" s="13"/>
      <c r="Y1068" s="13"/>
      <c r="Z1068" s="13"/>
      <c r="AA1068" s="13"/>
      <c r="AB1068" s="15"/>
      <c r="AC1068" s="15"/>
      <c r="AD1068" s="15"/>
      <c r="AE1068" s="13"/>
      <c r="AF1068" s="13"/>
      <c r="AG1068" s="13"/>
      <c r="AH1068" s="15"/>
      <c r="AI1068" s="13"/>
      <c r="AJ1068" s="13"/>
      <c r="AK1068" s="13"/>
      <c r="AL1068" s="13"/>
      <c r="AM1068" s="15"/>
      <c r="AN1068" s="13"/>
      <c r="AO1068" s="15"/>
      <c r="AP1068" s="15"/>
      <c r="AQ1068" s="13"/>
      <c r="AR1068" s="13"/>
      <c r="AS1068" s="13"/>
      <c r="AT1068" s="13"/>
      <c r="AU1068" s="13"/>
      <c r="AV1068" s="13"/>
      <c r="AW1068" s="13"/>
      <c r="AX1068" s="13"/>
      <c r="AY1068" s="15"/>
      <c r="AZ1068" s="15"/>
      <c r="BA1068" s="16"/>
      <c r="BB1068" s="15"/>
      <c r="BC1068" s="15"/>
      <c r="BD1068" s="13"/>
      <c r="BE1068" s="13"/>
      <c r="BF1068" s="13"/>
      <c r="BG1068" s="13"/>
      <c r="BH1068" s="13"/>
      <c r="BI1068" s="13"/>
      <c r="BJ1068" s="13"/>
      <c r="BK1068" s="13"/>
      <c r="BL1068" s="13"/>
      <c r="BM1068" s="13"/>
      <c r="BN1068" s="13"/>
      <c r="BO1068" s="13"/>
      <c r="BP1068" s="13"/>
      <c r="BQ1068" s="15"/>
      <c r="BR1068" s="15"/>
      <c r="BS1068" s="15"/>
      <c r="BT1068" s="15"/>
      <c r="BU1068" s="15"/>
      <c r="BV1068" s="15"/>
      <c r="BW1068" s="15"/>
      <c r="BX1068" s="15"/>
      <c r="BY1068" s="15"/>
      <c r="BZ1068" s="15"/>
      <c r="CA1068" s="15"/>
      <c r="CB1068" s="17"/>
      <c r="CC1068" s="17"/>
      <c r="CD1068" s="18"/>
      <c r="CE1068" s="18"/>
      <c r="CF1068" s="18"/>
      <c r="CG1068" s="18"/>
      <c r="CH1068" s="18"/>
    </row>
    <row r="1069">
      <c r="A1069" s="15"/>
      <c r="B1069" s="16"/>
      <c r="C1069" s="15"/>
      <c r="D1069" s="9"/>
      <c r="E1069" s="15"/>
      <c r="F1069" s="15"/>
      <c r="G1069" s="13"/>
      <c r="H1069" s="13"/>
      <c r="I1069" s="13"/>
      <c r="J1069" s="13"/>
      <c r="K1069" s="13"/>
      <c r="L1069" s="13"/>
      <c r="M1069" s="13"/>
      <c r="N1069" s="13"/>
      <c r="O1069" s="13"/>
      <c r="P1069" s="13"/>
      <c r="Q1069" s="13"/>
      <c r="R1069" s="13"/>
      <c r="S1069" s="13"/>
      <c r="T1069" s="13"/>
      <c r="U1069" s="13"/>
      <c r="V1069" s="13"/>
      <c r="W1069" s="13"/>
      <c r="X1069" s="13"/>
      <c r="Y1069" s="13"/>
      <c r="Z1069" s="13"/>
      <c r="AA1069" s="13"/>
      <c r="AB1069" s="15"/>
      <c r="AC1069" s="15"/>
      <c r="AD1069" s="15"/>
      <c r="AE1069" s="13"/>
      <c r="AF1069" s="13"/>
      <c r="AG1069" s="13"/>
      <c r="AH1069" s="15"/>
      <c r="AI1069" s="13"/>
      <c r="AJ1069" s="13"/>
      <c r="AK1069" s="13"/>
      <c r="AL1069" s="13"/>
      <c r="AM1069" s="15"/>
      <c r="AN1069" s="13"/>
      <c r="AO1069" s="15"/>
      <c r="AP1069" s="15"/>
      <c r="AQ1069" s="13"/>
      <c r="AR1069" s="13"/>
      <c r="AS1069" s="13"/>
      <c r="AT1069" s="13"/>
      <c r="AU1069" s="13"/>
      <c r="AV1069" s="13"/>
      <c r="AW1069" s="13"/>
      <c r="AX1069" s="13"/>
      <c r="AY1069" s="15"/>
      <c r="AZ1069" s="15"/>
      <c r="BA1069" s="16"/>
      <c r="BB1069" s="15"/>
      <c r="BC1069" s="15"/>
      <c r="BD1069" s="13"/>
      <c r="BE1069" s="13"/>
      <c r="BF1069" s="13"/>
      <c r="BG1069" s="13"/>
      <c r="BH1069" s="13"/>
      <c r="BI1069" s="13"/>
      <c r="BJ1069" s="13"/>
      <c r="BK1069" s="13"/>
      <c r="BL1069" s="13"/>
      <c r="BM1069" s="13"/>
      <c r="BN1069" s="13"/>
      <c r="BO1069" s="13"/>
      <c r="BP1069" s="13"/>
      <c r="BQ1069" s="15"/>
      <c r="BR1069" s="15"/>
      <c r="BS1069" s="15"/>
      <c r="BT1069" s="15"/>
      <c r="BU1069" s="15"/>
      <c r="BV1069" s="15"/>
      <c r="BW1069" s="15"/>
      <c r="BX1069" s="15"/>
      <c r="BY1069" s="15"/>
      <c r="BZ1069" s="15"/>
      <c r="CA1069" s="15"/>
      <c r="CB1069" s="17"/>
      <c r="CC1069" s="17"/>
      <c r="CD1069" s="18"/>
      <c r="CE1069" s="18"/>
      <c r="CF1069" s="18"/>
      <c r="CG1069" s="18"/>
      <c r="CH1069" s="18"/>
    </row>
    <row r="1070">
      <c r="A1070" s="15"/>
      <c r="B1070" s="16"/>
      <c r="C1070" s="15"/>
      <c r="D1070" s="9"/>
      <c r="E1070" s="15"/>
      <c r="F1070" s="15"/>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5"/>
      <c r="AC1070" s="15"/>
      <c r="AD1070" s="15"/>
      <c r="AE1070" s="13"/>
      <c r="AF1070" s="13"/>
      <c r="AG1070" s="13"/>
      <c r="AH1070" s="15"/>
      <c r="AI1070" s="13"/>
      <c r="AJ1070" s="13"/>
      <c r="AK1070" s="13"/>
      <c r="AL1070" s="13"/>
      <c r="AM1070" s="15"/>
      <c r="AN1070" s="13"/>
      <c r="AO1070" s="15"/>
      <c r="AP1070" s="15"/>
      <c r="AQ1070" s="13"/>
      <c r="AR1070" s="13"/>
      <c r="AS1070" s="13"/>
      <c r="AT1070" s="13"/>
      <c r="AU1070" s="13"/>
      <c r="AV1070" s="13"/>
      <c r="AW1070" s="13"/>
      <c r="AX1070" s="13"/>
      <c r="AY1070" s="15"/>
      <c r="AZ1070" s="15"/>
      <c r="BA1070" s="16"/>
      <c r="BB1070" s="15"/>
      <c r="BC1070" s="15"/>
      <c r="BD1070" s="13"/>
      <c r="BE1070" s="13"/>
      <c r="BF1070" s="13"/>
      <c r="BG1070" s="13"/>
      <c r="BH1070" s="13"/>
      <c r="BI1070" s="13"/>
      <c r="BJ1070" s="13"/>
      <c r="BK1070" s="13"/>
      <c r="BL1070" s="13"/>
      <c r="BM1070" s="13"/>
      <c r="BN1070" s="13"/>
      <c r="BO1070" s="13"/>
      <c r="BP1070" s="13"/>
      <c r="BQ1070" s="15"/>
      <c r="BR1070" s="15"/>
      <c r="BS1070" s="15"/>
      <c r="BT1070" s="15"/>
      <c r="BU1070" s="15"/>
      <c r="BV1070" s="15"/>
      <c r="BW1070" s="15"/>
      <c r="BX1070" s="15"/>
      <c r="BY1070" s="15"/>
      <c r="BZ1070" s="15"/>
      <c r="CA1070" s="15"/>
      <c r="CB1070" s="17"/>
      <c r="CC1070" s="17"/>
      <c r="CD1070" s="18"/>
      <c r="CE1070" s="18"/>
      <c r="CF1070" s="18"/>
      <c r="CG1070" s="18"/>
      <c r="CH1070" s="18"/>
    </row>
    <row r="1071">
      <c r="A1071" s="15"/>
      <c r="B1071" s="16"/>
      <c r="C1071" s="15"/>
      <c r="D1071" s="9"/>
      <c r="E1071" s="15"/>
      <c r="F1071" s="15"/>
      <c r="G1071" s="13"/>
      <c r="H1071" s="13"/>
      <c r="I1071" s="13"/>
      <c r="J1071" s="13"/>
      <c r="K1071" s="13"/>
      <c r="L1071" s="13"/>
      <c r="M1071" s="13"/>
      <c r="N1071" s="13"/>
      <c r="O1071" s="13"/>
      <c r="P1071" s="13"/>
      <c r="Q1071" s="13"/>
      <c r="R1071" s="13"/>
      <c r="S1071" s="13"/>
      <c r="T1071" s="13"/>
      <c r="U1071" s="13"/>
      <c r="V1071" s="13"/>
      <c r="W1071" s="13"/>
      <c r="X1071" s="13"/>
      <c r="Y1071" s="13"/>
      <c r="Z1071" s="13"/>
      <c r="AA1071" s="13"/>
      <c r="AB1071" s="15"/>
      <c r="AC1071" s="15"/>
      <c r="AD1071" s="15"/>
      <c r="AE1071" s="13"/>
      <c r="AF1071" s="13"/>
      <c r="AG1071" s="13"/>
      <c r="AH1071" s="15"/>
      <c r="AI1071" s="13"/>
      <c r="AJ1071" s="13"/>
      <c r="AK1071" s="13"/>
      <c r="AL1071" s="13"/>
      <c r="AM1071" s="15"/>
      <c r="AN1071" s="13"/>
      <c r="AO1071" s="15"/>
      <c r="AP1071" s="15"/>
      <c r="AQ1071" s="13"/>
      <c r="AR1071" s="13"/>
      <c r="AS1071" s="13"/>
      <c r="AT1071" s="13"/>
      <c r="AU1071" s="13"/>
      <c r="AV1071" s="13"/>
      <c r="AW1071" s="13"/>
      <c r="AX1071" s="13"/>
      <c r="AY1071" s="15"/>
      <c r="AZ1071" s="15"/>
      <c r="BA1071" s="16"/>
      <c r="BB1071" s="15"/>
      <c r="BC1071" s="15"/>
      <c r="BD1071" s="13"/>
      <c r="BE1071" s="13"/>
      <c r="BF1071" s="13"/>
      <c r="BG1071" s="13"/>
      <c r="BH1071" s="13"/>
      <c r="BI1071" s="13"/>
      <c r="BJ1071" s="13"/>
      <c r="BK1071" s="13"/>
      <c r="BL1071" s="13"/>
      <c r="BM1071" s="13"/>
      <c r="BN1071" s="13"/>
      <c r="BO1071" s="13"/>
      <c r="BP1071" s="13"/>
      <c r="BQ1071" s="15"/>
      <c r="BR1071" s="15"/>
      <c r="BS1071" s="15"/>
      <c r="BT1071" s="15"/>
      <c r="BU1071" s="15"/>
      <c r="BV1071" s="15"/>
      <c r="BW1071" s="15"/>
      <c r="BX1071" s="15"/>
      <c r="BY1071" s="15"/>
      <c r="BZ1071" s="15"/>
      <c r="CA1071" s="15"/>
      <c r="CB1071" s="17"/>
      <c r="CC1071" s="17"/>
      <c r="CD1071" s="18"/>
      <c r="CE1071" s="18"/>
      <c r="CF1071" s="18"/>
      <c r="CG1071" s="18"/>
      <c r="CH1071" s="18"/>
    </row>
    <row r="1072">
      <c r="A1072" s="15"/>
      <c r="B1072" s="16"/>
      <c r="C1072" s="15"/>
      <c r="D1072" s="9"/>
      <c r="E1072" s="15"/>
      <c r="F1072" s="15"/>
      <c r="G1072" s="13"/>
      <c r="H1072" s="13"/>
      <c r="I1072" s="13"/>
      <c r="J1072" s="13"/>
      <c r="K1072" s="13"/>
      <c r="L1072" s="13"/>
      <c r="M1072" s="13"/>
      <c r="N1072" s="13"/>
      <c r="O1072" s="13"/>
      <c r="P1072" s="13"/>
      <c r="Q1072" s="13"/>
      <c r="R1072" s="13"/>
      <c r="S1072" s="13"/>
      <c r="T1072" s="13"/>
      <c r="U1072" s="13"/>
      <c r="V1072" s="13"/>
      <c r="W1072" s="13"/>
      <c r="X1072" s="13"/>
      <c r="Y1072" s="13"/>
      <c r="Z1072" s="13"/>
      <c r="AA1072" s="13"/>
      <c r="AB1072" s="15"/>
      <c r="AC1072" s="15"/>
      <c r="AD1072" s="15"/>
      <c r="AE1072" s="13"/>
      <c r="AF1072" s="13"/>
      <c r="AG1072" s="13"/>
      <c r="AH1072" s="15"/>
      <c r="AI1072" s="13"/>
      <c r="AJ1072" s="13"/>
      <c r="AK1072" s="13"/>
      <c r="AL1072" s="13"/>
      <c r="AM1072" s="15"/>
      <c r="AN1072" s="13"/>
      <c r="AO1072" s="15"/>
      <c r="AP1072" s="15"/>
      <c r="AQ1072" s="13"/>
      <c r="AR1072" s="13"/>
      <c r="AS1072" s="13"/>
      <c r="AT1072" s="13"/>
      <c r="AU1072" s="13"/>
      <c r="AV1072" s="13"/>
      <c r="AW1072" s="13"/>
      <c r="AX1072" s="13"/>
      <c r="AY1072" s="15"/>
      <c r="AZ1072" s="15"/>
      <c r="BA1072" s="16"/>
      <c r="BB1072" s="15"/>
      <c r="BC1072" s="15"/>
      <c r="BD1072" s="13"/>
      <c r="BE1072" s="13"/>
      <c r="BF1072" s="13"/>
      <c r="BG1072" s="13"/>
      <c r="BH1072" s="13"/>
      <c r="BI1072" s="13"/>
      <c r="BJ1072" s="13"/>
      <c r="BK1072" s="13"/>
      <c r="BL1072" s="13"/>
      <c r="BM1072" s="13"/>
      <c r="BN1072" s="13"/>
      <c r="BO1072" s="13"/>
      <c r="BP1072" s="13"/>
      <c r="BQ1072" s="15"/>
      <c r="BR1072" s="15"/>
      <c r="BS1072" s="15"/>
      <c r="BT1072" s="15"/>
      <c r="BU1072" s="15"/>
      <c r="BV1072" s="15"/>
      <c r="BW1072" s="15"/>
      <c r="BX1072" s="15"/>
      <c r="BY1072" s="15"/>
      <c r="BZ1072" s="15"/>
      <c r="CA1072" s="15"/>
      <c r="CB1072" s="17"/>
      <c r="CC1072" s="17"/>
      <c r="CD1072" s="18"/>
      <c r="CE1072" s="18"/>
      <c r="CF1072" s="18"/>
      <c r="CG1072" s="18"/>
      <c r="CH1072" s="18"/>
    </row>
    <row r="1073">
      <c r="A1073" s="15"/>
      <c r="B1073" s="16"/>
      <c r="C1073" s="15"/>
      <c r="D1073" s="9"/>
      <c r="E1073" s="15"/>
      <c r="F1073" s="15"/>
      <c r="G1073" s="13"/>
      <c r="H1073" s="13"/>
      <c r="I1073" s="13"/>
      <c r="J1073" s="13"/>
      <c r="K1073" s="13"/>
      <c r="L1073" s="13"/>
      <c r="M1073" s="13"/>
      <c r="N1073" s="13"/>
      <c r="O1073" s="13"/>
      <c r="P1073" s="13"/>
      <c r="Q1073" s="13"/>
      <c r="R1073" s="13"/>
      <c r="S1073" s="13"/>
      <c r="T1073" s="13"/>
      <c r="U1073" s="13"/>
      <c r="V1073" s="13"/>
      <c r="W1073" s="13"/>
      <c r="X1073" s="13"/>
      <c r="Y1073" s="13"/>
      <c r="Z1073" s="13"/>
      <c r="AA1073" s="13"/>
      <c r="AB1073" s="15"/>
      <c r="AC1073" s="15"/>
      <c r="AD1073" s="15"/>
      <c r="AE1073" s="13"/>
      <c r="AF1073" s="13"/>
      <c r="AG1073" s="13"/>
      <c r="AH1073" s="15"/>
      <c r="AI1073" s="13"/>
      <c r="AJ1073" s="13"/>
      <c r="AK1073" s="13"/>
      <c r="AL1073" s="13"/>
      <c r="AM1073" s="15"/>
      <c r="AN1073" s="13"/>
      <c r="AO1073" s="15"/>
      <c r="AP1073" s="15"/>
      <c r="AQ1073" s="13"/>
      <c r="AR1073" s="13"/>
      <c r="AS1073" s="13"/>
      <c r="AT1073" s="13"/>
      <c r="AU1073" s="13"/>
      <c r="AV1073" s="13"/>
      <c r="AW1073" s="13"/>
      <c r="AX1073" s="13"/>
      <c r="AY1073" s="15"/>
      <c r="AZ1073" s="15"/>
      <c r="BA1073" s="16"/>
      <c r="BB1073" s="15"/>
      <c r="BC1073" s="15"/>
      <c r="BD1073" s="13"/>
      <c r="BE1073" s="13"/>
      <c r="BF1073" s="13"/>
      <c r="BG1073" s="13"/>
      <c r="BH1073" s="13"/>
      <c r="BI1073" s="13"/>
      <c r="BJ1073" s="13"/>
      <c r="BK1073" s="13"/>
      <c r="BL1073" s="13"/>
      <c r="BM1073" s="13"/>
      <c r="BN1073" s="13"/>
      <c r="BO1073" s="13"/>
      <c r="BP1073" s="13"/>
      <c r="BQ1073" s="15"/>
      <c r="BR1073" s="15"/>
      <c r="BS1073" s="15"/>
      <c r="BT1073" s="15"/>
      <c r="BU1073" s="15"/>
      <c r="BV1073" s="15"/>
      <c r="BW1073" s="15"/>
      <c r="BX1073" s="15"/>
      <c r="BY1073" s="15"/>
      <c r="BZ1073" s="15"/>
      <c r="CA1073" s="15"/>
      <c r="CB1073" s="17"/>
      <c r="CC1073" s="17"/>
      <c r="CD1073" s="18"/>
      <c r="CE1073" s="18"/>
      <c r="CF1073" s="18"/>
      <c r="CG1073" s="18"/>
      <c r="CH1073" s="18"/>
    </row>
    <row r="1074">
      <c r="A1074" s="15"/>
      <c r="B1074" s="16"/>
      <c r="C1074" s="15"/>
      <c r="D1074" s="9"/>
      <c r="E1074" s="15"/>
      <c r="F1074" s="15"/>
      <c r="G1074" s="13"/>
      <c r="H1074" s="13"/>
      <c r="I1074" s="13"/>
      <c r="J1074" s="13"/>
      <c r="K1074" s="13"/>
      <c r="L1074" s="13"/>
      <c r="M1074" s="13"/>
      <c r="N1074" s="13"/>
      <c r="O1074" s="13"/>
      <c r="P1074" s="13"/>
      <c r="Q1074" s="13"/>
      <c r="R1074" s="13"/>
      <c r="S1074" s="13"/>
      <c r="T1074" s="13"/>
      <c r="U1074" s="13"/>
      <c r="V1074" s="13"/>
      <c r="W1074" s="13"/>
      <c r="X1074" s="13"/>
      <c r="Y1074" s="13"/>
      <c r="Z1074" s="13"/>
      <c r="AA1074" s="13"/>
      <c r="AB1074" s="15"/>
      <c r="AC1074" s="15"/>
      <c r="AD1074" s="15"/>
      <c r="AE1074" s="13"/>
      <c r="AF1074" s="13"/>
      <c r="AG1074" s="13"/>
      <c r="AH1074" s="15"/>
      <c r="AI1074" s="13"/>
      <c r="AJ1074" s="13"/>
      <c r="AK1074" s="13"/>
      <c r="AL1074" s="13"/>
      <c r="AM1074" s="15"/>
      <c r="AN1074" s="13"/>
      <c r="AO1074" s="15"/>
      <c r="AP1074" s="15"/>
      <c r="AQ1074" s="13"/>
      <c r="AR1074" s="13"/>
      <c r="AS1074" s="13"/>
      <c r="AT1074" s="13"/>
      <c r="AU1074" s="13"/>
      <c r="AV1074" s="13"/>
      <c r="AW1074" s="13"/>
      <c r="AX1074" s="13"/>
      <c r="AY1074" s="15"/>
      <c r="AZ1074" s="15"/>
      <c r="BA1074" s="16"/>
      <c r="BB1074" s="15"/>
      <c r="BC1074" s="15"/>
      <c r="BD1074" s="13"/>
      <c r="BE1074" s="13"/>
      <c r="BF1074" s="13"/>
      <c r="BG1074" s="13"/>
      <c r="BH1074" s="13"/>
      <c r="BI1074" s="13"/>
      <c r="BJ1074" s="13"/>
      <c r="BK1074" s="13"/>
      <c r="BL1074" s="13"/>
      <c r="BM1074" s="13"/>
      <c r="BN1074" s="13"/>
      <c r="BO1074" s="13"/>
      <c r="BP1074" s="13"/>
      <c r="BQ1074" s="15"/>
      <c r="BR1074" s="15"/>
      <c r="BS1074" s="15"/>
      <c r="BT1074" s="15"/>
      <c r="BU1074" s="15"/>
      <c r="BV1074" s="15"/>
      <c r="BW1074" s="15"/>
      <c r="BX1074" s="15"/>
      <c r="BY1074" s="15"/>
      <c r="BZ1074" s="15"/>
      <c r="CA1074" s="15"/>
      <c r="CB1074" s="17"/>
      <c r="CC1074" s="17"/>
      <c r="CD1074" s="18"/>
      <c r="CE1074" s="18"/>
      <c r="CF1074" s="18"/>
      <c r="CG1074" s="18"/>
      <c r="CH1074" s="18"/>
    </row>
    <row r="1075">
      <c r="A1075" s="15"/>
      <c r="B1075" s="16"/>
      <c r="C1075" s="15"/>
      <c r="D1075" s="9"/>
      <c r="E1075" s="15"/>
      <c r="F1075" s="15"/>
      <c r="G1075" s="13"/>
      <c r="H1075" s="13"/>
      <c r="I1075" s="13"/>
      <c r="J1075" s="13"/>
      <c r="K1075" s="13"/>
      <c r="L1075" s="13"/>
      <c r="M1075" s="13"/>
      <c r="N1075" s="13"/>
      <c r="O1075" s="13"/>
      <c r="P1075" s="13"/>
      <c r="Q1075" s="13"/>
      <c r="R1075" s="13"/>
      <c r="S1075" s="13"/>
      <c r="T1075" s="13"/>
      <c r="U1075" s="13"/>
      <c r="V1075" s="13"/>
      <c r="W1075" s="13"/>
      <c r="X1075" s="13"/>
      <c r="Y1075" s="13"/>
      <c r="Z1075" s="13"/>
      <c r="AA1075" s="13"/>
      <c r="AB1075" s="15"/>
      <c r="AC1075" s="15"/>
      <c r="AD1075" s="15"/>
      <c r="AE1075" s="13"/>
      <c r="AF1075" s="13"/>
      <c r="AG1075" s="13"/>
      <c r="AH1075" s="15"/>
      <c r="AI1075" s="13"/>
      <c r="AJ1075" s="13"/>
      <c r="AK1075" s="13"/>
      <c r="AL1075" s="13"/>
      <c r="AM1075" s="15"/>
      <c r="AN1075" s="13"/>
      <c r="AO1075" s="15"/>
      <c r="AP1075" s="15"/>
      <c r="AQ1075" s="13"/>
      <c r="AR1075" s="13"/>
      <c r="AS1075" s="13"/>
      <c r="AT1075" s="13"/>
      <c r="AU1075" s="13"/>
      <c r="AV1075" s="13"/>
      <c r="AW1075" s="13"/>
      <c r="AX1075" s="13"/>
      <c r="AY1075" s="15"/>
      <c r="AZ1075" s="15"/>
      <c r="BA1075" s="16"/>
      <c r="BB1075" s="15"/>
      <c r="BC1075" s="15"/>
      <c r="BD1075" s="13"/>
      <c r="BE1075" s="13"/>
      <c r="BF1075" s="13"/>
      <c r="BG1075" s="13"/>
      <c r="BH1075" s="13"/>
      <c r="BI1075" s="13"/>
      <c r="BJ1075" s="13"/>
      <c r="BK1075" s="13"/>
      <c r="BL1075" s="13"/>
      <c r="BM1075" s="13"/>
      <c r="BN1075" s="13"/>
      <c r="BO1075" s="13"/>
      <c r="BP1075" s="13"/>
      <c r="BQ1075" s="15"/>
      <c r="BR1075" s="15"/>
      <c r="BS1075" s="15"/>
      <c r="BT1075" s="15"/>
      <c r="BU1075" s="15"/>
      <c r="BV1075" s="15"/>
      <c r="BW1075" s="15"/>
      <c r="BX1075" s="15"/>
      <c r="BY1075" s="15"/>
      <c r="BZ1075" s="15"/>
      <c r="CA1075" s="15"/>
      <c r="CB1075" s="17"/>
      <c r="CC1075" s="17"/>
      <c r="CD1075" s="18"/>
      <c r="CE1075" s="18"/>
      <c r="CF1075" s="18"/>
      <c r="CG1075" s="18"/>
      <c r="CH1075" s="18"/>
    </row>
    <row r="1076">
      <c r="A1076" s="15"/>
      <c r="B1076" s="16"/>
      <c r="C1076" s="15"/>
      <c r="D1076" s="9"/>
      <c r="E1076" s="15"/>
      <c r="F1076" s="15"/>
      <c r="G1076" s="13"/>
      <c r="H1076" s="13"/>
      <c r="I1076" s="13"/>
      <c r="J1076" s="13"/>
      <c r="K1076" s="13"/>
      <c r="L1076" s="13"/>
      <c r="M1076" s="13"/>
      <c r="N1076" s="13"/>
      <c r="O1076" s="13"/>
      <c r="P1076" s="13"/>
      <c r="Q1076" s="13"/>
      <c r="R1076" s="13"/>
      <c r="S1076" s="13"/>
      <c r="T1076" s="13"/>
      <c r="U1076" s="13"/>
      <c r="V1076" s="13"/>
      <c r="W1076" s="13"/>
      <c r="X1076" s="13"/>
      <c r="Y1076" s="13"/>
      <c r="Z1076" s="13"/>
      <c r="AA1076" s="13"/>
      <c r="AB1076" s="15"/>
      <c r="AC1076" s="15"/>
      <c r="AD1076" s="15"/>
      <c r="AE1076" s="13"/>
      <c r="AF1076" s="13"/>
      <c r="AG1076" s="13"/>
      <c r="AH1076" s="15"/>
      <c r="AI1076" s="13"/>
      <c r="AJ1076" s="13"/>
      <c r="AK1076" s="13"/>
      <c r="AL1076" s="13"/>
      <c r="AM1076" s="15"/>
      <c r="AN1076" s="13"/>
      <c r="AO1076" s="15"/>
      <c r="AP1076" s="15"/>
      <c r="AQ1076" s="13"/>
      <c r="AR1076" s="13"/>
      <c r="AS1076" s="13"/>
      <c r="AT1076" s="13"/>
      <c r="AU1076" s="13"/>
      <c r="AV1076" s="13"/>
      <c r="AW1076" s="13"/>
      <c r="AX1076" s="13"/>
      <c r="AY1076" s="15"/>
      <c r="AZ1076" s="15"/>
      <c r="BA1076" s="16"/>
      <c r="BB1076" s="15"/>
      <c r="BC1076" s="15"/>
      <c r="BD1076" s="13"/>
      <c r="BE1076" s="13"/>
      <c r="BF1076" s="13"/>
      <c r="BG1076" s="13"/>
      <c r="BH1076" s="13"/>
      <c r="BI1076" s="13"/>
      <c r="BJ1076" s="13"/>
      <c r="BK1076" s="13"/>
      <c r="BL1076" s="13"/>
      <c r="BM1076" s="13"/>
      <c r="BN1076" s="13"/>
      <c r="BO1076" s="13"/>
      <c r="BP1076" s="13"/>
      <c r="BQ1076" s="15"/>
      <c r="BR1076" s="15"/>
      <c r="BS1076" s="15"/>
      <c r="BT1076" s="15"/>
      <c r="BU1076" s="15"/>
      <c r="BV1076" s="15"/>
      <c r="BW1076" s="15"/>
      <c r="BX1076" s="15"/>
      <c r="BY1076" s="15"/>
      <c r="BZ1076" s="15"/>
      <c r="CA1076" s="15"/>
      <c r="CB1076" s="17"/>
      <c r="CC1076" s="17"/>
      <c r="CD1076" s="18"/>
      <c r="CE1076" s="18"/>
      <c r="CF1076" s="18"/>
      <c r="CG1076" s="18"/>
      <c r="CH1076" s="18"/>
    </row>
    <row r="1077">
      <c r="A1077" s="15"/>
      <c r="B1077" s="16"/>
      <c r="C1077" s="15"/>
      <c r="D1077" s="9"/>
      <c r="E1077" s="15"/>
      <c r="F1077" s="15"/>
      <c r="G1077" s="13"/>
      <c r="H1077" s="13"/>
      <c r="I1077" s="13"/>
      <c r="J1077" s="13"/>
      <c r="K1077" s="13"/>
      <c r="L1077" s="13"/>
      <c r="M1077" s="13"/>
      <c r="N1077" s="13"/>
      <c r="O1077" s="13"/>
      <c r="P1077" s="13"/>
      <c r="Q1077" s="13"/>
      <c r="R1077" s="13"/>
      <c r="S1077" s="13"/>
      <c r="T1077" s="13"/>
      <c r="U1077" s="13"/>
      <c r="V1077" s="13"/>
      <c r="W1077" s="13"/>
      <c r="X1077" s="13"/>
      <c r="Y1077" s="13"/>
      <c r="Z1077" s="13"/>
      <c r="AA1077" s="13"/>
      <c r="AB1077" s="15"/>
      <c r="AC1077" s="15"/>
      <c r="AD1077" s="15"/>
      <c r="AE1077" s="13"/>
      <c r="AF1077" s="13"/>
      <c r="AG1077" s="13"/>
      <c r="AH1077" s="15"/>
      <c r="AI1077" s="13"/>
      <c r="AJ1077" s="13"/>
      <c r="AK1077" s="13"/>
      <c r="AL1077" s="13"/>
      <c r="AM1077" s="15"/>
      <c r="AN1077" s="13"/>
      <c r="AO1077" s="15"/>
      <c r="AP1077" s="15"/>
      <c r="AQ1077" s="13"/>
      <c r="AR1077" s="13"/>
      <c r="AS1077" s="13"/>
      <c r="AT1077" s="13"/>
      <c r="AU1077" s="13"/>
      <c r="AV1077" s="13"/>
      <c r="AW1077" s="13"/>
      <c r="AX1077" s="13"/>
      <c r="AY1077" s="15"/>
      <c r="AZ1077" s="15"/>
      <c r="BA1077" s="16"/>
      <c r="BB1077" s="15"/>
      <c r="BC1077" s="15"/>
      <c r="BD1077" s="13"/>
      <c r="BE1077" s="13"/>
      <c r="BF1077" s="13"/>
      <c r="BG1077" s="13"/>
      <c r="BH1077" s="13"/>
      <c r="BI1077" s="13"/>
      <c r="BJ1077" s="13"/>
      <c r="BK1077" s="13"/>
      <c r="BL1077" s="13"/>
      <c r="BM1077" s="13"/>
      <c r="BN1077" s="13"/>
      <c r="BO1077" s="13"/>
      <c r="BP1077" s="13"/>
      <c r="BQ1077" s="15"/>
      <c r="BR1077" s="15"/>
      <c r="BS1077" s="15"/>
      <c r="BT1077" s="15"/>
      <c r="BU1077" s="15"/>
      <c r="BV1077" s="15"/>
      <c r="BW1077" s="15"/>
      <c r="BX1077" s="15"/>
      <c r="BY1077" s="15"/>
      <c r="BZ1077" s="15"/>
      <c r="CA1077" s="15"/>
      <c r="CB1077" s="17"/>
      <c r="CC1077" s="17"/>
      <c r="CD1077" s="18"/>
      <c r="CE1077" s="18"/>
      <c r="CF1077" s="18"/>
      <c r="CG1077" s="18"/>
      <c r="CH1077" s="18"/>
    </row>
    <row r="1078">
      <c r="A1078" s="15"/>
      <c r="B1078" s="16"/>
      <c r="C1078" s="15"/>
      <c r="D1078" s="9"/>
      <c r="E1078" s="15"/>
      <c r="F1078" s="15"/>
      <c r="G1078" s="13"/>
      <c r="H1078" s="13"/>
      <c r="I1078" s="13"/>
      <c r="J1078" s="13"/>
      <c r="K1078" s="13"/>
      <c r="L1078" s="13"/>
      <c r="M1078" s="13"/>
      <c r="N1078" s="13"/>
      <c r="O1078" s="13"/>
      <c r="P1078" s="13"/>
      <c r="Q1078" s="13"/>
      <c r="R1078" s="13"/>
      <c r="S1078" s="13"/>
      <c r="T1078" s="13"/>
      <c r="U1078" s="13"/>
      <c r="V1078" s="13"/>
      <c r="W1078" s="13"/>
      <c r="X1078" s="13"/>
      <c r="Y1078" s="13"/>
      <c r="Z1078" s="13"/>
      <c r="AA1078" s="13"/>
      <c r="AB1078" s="15"/>
      <c r="AC1078" s="15"/>
      <c r="AD1078" s="15"/>
      <c r="AE1078" s="13"/>
      <c r="AF1078" s="13"/>
      <c r="AG1078" s="13"/>
      <c r="AH1078" s="15"/>
      <c r="AI1078" s="13"/>
      <c r="AJ1078" s="13"/>
      <c r="AK1078" s="13"/>
      <c r="AL1078" s="13"/>
      <c r="AM1078" s="15"/>
      <c r="AN1078" s="13"/>
      <c r="AO1078" s="15"/>
      <c r="AP1078" s="15"/>
      <c r="AQ1078" s="13"/>
      <c r="AR1078" s="13"/>
      <c r="AS1078" s="13"/>
      <c r="AT1078" s="13"/>
      <c r="AU1078" s="13"/>
      <c r="AV1078" s="13"/>
      <c r="AW1078" s="13"/>
      <c r="AX1078" s="13"/>
      <c r="AY1078" s="15"/>
      <c r="AZ1078" s="15"/>
      <c r="BA1078" s="16"/>
      <c r="BB1078" s="15"/>
      <c r="BC1078" s="15"/>
      <c r="BD1078" s="13"/>
      <c r="BE1078" s="13"/>
      <c r="BF1078" s="13"/>
      <c r="BG1078" s="13"/>
      <c r="BH1078" s="13"/>
      <c r="BI1078" s="13"/>
      <c r="BJ1078" s="13"/>
      <c r="BK1078" s="13"/>
      <c r="BL1078" s="13"/>
      <c r="BM1078" s="13"/>
      <c r="BN1078" s="13"/>
      <c r="BO1078" s="13"/>
      <c r="BP1078" s="13"/>
      <c r="BQ1078" s="15"/>
      <c r="BR1078" s="15"/>
      <c r="BS1078" s="15"/>
      <c r="BT1078" s="15"/>
      <c r="BU1078" s="15"/>
      <c r="BV1078" s="15"/>
      <c r="BW1078" s="15"/>
      <c r="BX1078" s="15"/>
      <c r="BY1078" s="15"/>
      <c r="BZ1078" s="15"/>
      <c r="CA1078" s="15"/>
      <c r="CB1078" s="17"/>
      <c r="CC1078" s="17"/>
      <c r="CD1078" s="18"/>
      <c r="CE1078" s="18"/>
      <c r="CF1078" s="18"/>
      <c r="CG1078" s="18"/>
      <c r="CH1078" s="18"/>
    </row>
    <row r="1079">
      <c r="A1079" s="15"/>
      <c r="B1079" s="16"/>
      <c r="C1079" s="15"/>
      <c r="D1079" s="9"/>
      <c r="E1079" s="15"/>
      <c r="F1079" s="15"/>
      <c r="G1079" s="13"/>
      <c r="H1079" s="13"/>
      <c r="I1079" s="13"/>
      <c r="J1079" s="13"/>
      <c r="K1079" s="13"/>
      <c r="L1079" s="13"/>
      <c r="M1079" s="13"/>
      <c r="N1079" s="13"/>
      <c r="O1079" s="13"/>
      <c r="P1079" s="13"/>
      <c r="Q1079" s="13"/>
      <c r="R1079" s="13"/>
      <c r="S1079" s="13"/>
      <c r="T1079" s="13"/>
      <c r="U1079" s="13"/>
      <c r="V1079" s="13"/>
      <c r="W1079" s="13"/>
      <c r="X1079" s="13"/>
      <c r="Y1079" s="13"/>
      <c r="Z1079" s="13"/>
      <c r="AA1079" s="13"/>
      <c r="AB1079" s="15"/>
      <c r="AC1079" s="15"/>
      <c r="AD1079" s="15"/>
      <c r="AE1079" s="13"/>
      <c r="AF1079" s="13"/>
      <c r="AG1079" s="13"/>
      <c r="AH1079" s="15"/>
      <c r="AI1079" s="13"/>
      <c r="AJ1079" s="13"/>
      <c r="AK1079" s="13"/>
      <c r="AL1079" s="13"/>
      <c r="AM1079" s="15"/>
      <c r="AN1079" s="13"/>
      <c r="AO1079" s="15"/>
      <c r="AP1079" s="15"/>
      <c r="AQ1079" s="13"/>
      <c r="AR1079" s="13"/>
      <c r="AS1079" s="13"/>
      <c r="AT1079" s="13"/>
      <c r="AU1079" s="13"/>
      <c r="AV1079" s="13"/>
      <c r="AW1079" s="13"/>
      <c r="AX1079" s="13"/>
      <c r="AY1079" s="15"/>
      <c r="AZ1079" s="15"/>
      <c r="BA1079" s="16"/>
      <c r="BB1079" s="15"/>
      <c r="BC1079" s="15"/>
      <c r="BD1079" s="13"/>
      <c r="BE1079" s="13"/>
      <c r="BF1079" s="13"/>
      <c r="BG1079" s="13"/>
      <c r="BH1079" s="13"/>
      <c r="BI1079" s="13"/>
      <c r="BJ1079" s="13"/>
      <c r="BK1079" s="13"/>
      <c r="BL1079" s="13"/>
      <c r="BM1079" s="13"/>
      <c r="BN1079" s="13"/>
      <c r="BO1079" s="13"/>
      <c r="BP1079" s="13"/>
      <c r="BQ1079" s="15"/>
      <c r="BR1079" s="15"/>
      <c r="BS1079" s="15"/>
      <c r="BT1079" s="15"/>
      <c r="BU1079" s="15"/>
      <c r="BV1079" s="15"/>
      <c r="BW1079" s="15"/>
      <c r="BX1079" s="15"/>
      <c r="BY1079" s="15"/>
      <c r="BZ1079" s="15"/>
      <c r="CA1079" s="15"/>
      <c r="CB1079" s="17"/>
      <c r="CC1079" s="17"/>
      <c r="CD1079" s="18"/>
      <c r="CE1079" s="18"/>
      <c r="CF1079" s="18"/>
      <c r="CG1079" s="18"/>
      <c r="CH1079" s="18"/>
    </row>
    <row r="1080">
      <c r="A1080" s="15"/>
      <c r="B1080" s="16"/>
      <c r="C1080" s="15"/>
      <c r="D1080" s="9"/>
      <c r="E1080" s="15"/>
      <c r="F1080" s="15"/>
      <c r="G1080" s="13"/>
      <c r="H1080" s="13"/>
      <c r="I1080" s="13"/>
      <c r="J1080" s="13"/>
      <c r="K1080" s="13"/>
      <c r="L1080" s="13"/>
      <c r="M1080" s="13"/>
      <c r="N1080" s="13"/>
      <c r="O1080" s="13"/>
      <c r="P1080" s="13"/>
      <c r="Q1080" s="13"/>
      <c r="R1080" s="13"/>
      <c r="S1080" s="13"/>
      <c r="T1080" s="13"/>
      <c r="U1080" s="13"/>
      <c r="V1080" s="13"/>
      <c r="W1080" s="13"/>
      <c r="X1080" s="13"/>
      <c r="Y1080" s="13"/>
      <c r="Z1080" s="13"/>
      <c r="AA1080" s="13"/>
      <c r="AB1080" s="15"/>
      <c r="AC1080" s="15"/>
      <c r="AD1080" s="15"/>
      <c r="AE1080" s="13"/>
      <c r="AF1080" s="13"/>
      <c r="AG1080" s="13"/>
      <c r="AH1080" s="15"/>
      <c r="AI1080" s="13"/>
      <c r="AJ1080" s="13"/>
      <c r="AK1080" s="13"/>
      <c r="AL1080" s="13"/>
      <c r="AM1080" s="15"/>
      <c r="AN1080" s="13"/>
      <c r="AO1080" s="15"/>
      <c r="AP1080" s="15"/>
      <c r="AQ1080" s="13"/>
      <c r="AR1080" s="13"/>
      <c r="AS1080" s="13"/>
      <c r="AT1080" s="13"/>
      <c r="AU1080" s="13"/>
      <c r="AV1080" s="13"/>
      <c r="AW1080" s="13"/>
      <c r="AX1080" s="13"/>
      <c r="AY1080" s="15"/>
      <c r="AZ1080" s="15"/>
      <c r="BA1080" s="16"/>
      <c r="BB1080" s="15"/>
      <c r="BC1080" s="15"/>
      <c r="BD1080" s="13"/>
      <c r="BE1080" s="13"/>
      <c r="BF1080" s="13"/>
      <c r="BG1080" s="13"/>
      <c r="BH1080" s="13"/>
      <c r="BI1080" s="13"/>
      <c r="BJ1080" s="13"/>
      <c r="BK1080" s="13"/>
      <c r="BL1080" s="13"/>
      <c r="BM1080" s="13"/>
      <c r="BN1080" s="13"/>
      <c r="BO1080" s="13"/>
      <c r="BP1080" s="13"/>
      <c r="BQ1080" s="15"/>
      <c r="BR1080" s="15"/>
      <c r="BS1080" s="15"/>
      <c r="BT1080" s="15"/>
      <c r="BU1080" s="15"/>
      <c r="BV1080" s="15"/>
      <c r="BW1080" s="15"/>
      <c r="BX1080" s="15"/>
      <c r="BY1080" s="15"/>
      <c r="BZ1080" s="15"/>
      <c r="CA1080" s="15"/>
      <c r="CB1080" s="17"/>
      <c r="CC1080" s="17"/>
      <c r="CD1080" s="18"/>
      <c r="CE1080" s="18"/>
      <c r="CF1080" s="18"/>
      <c r="CG1080" s="18"/>
      <c r="CH1080" s="18"/>
    </row>
    <row r="1081">
      <c r="A1081" s="15"/>
      <c r="B1081" s="16"/>
      <c r="C1081" s="15"/>
      <c r="D1081" s="9"/>
      <c r="E1081" s="15"/>
      <c r="F1081" s="15"/>
      <c r="G1081" s="13"/>
      <c r="H1081" s="13"/>
      <c r="I1081" s="13"/>
      <c r="J1081" s="13"/>
      <c r="K1081" s="13"/>
      <c r="L1081" s="13"/>
      <c r="M1081" s="13"/>
      <c r="N1081" s="13"/>
      <c r="O1081" s="13"/>
      <c r="P1081" s="13"/>
      <c r="Q1081" s="13"/>
      <c r="R1081" s="13"/>
      <c r="S1081" s="13"/>
      <c r="T1081" s="13"/>
      <c r="U1081" s="13"/>
      <c r="V1081" s="13"/>
      <c r="W1081" s="13"/>
      <c r="X1081" s="13"/>
      <c r="Y1081" s="13"/>
      <c r="Z1081" s="13"/>
      <c r="AA1081" s="13"/>
      <c r="AB1081" s="15"/>
      <c r="AC1081" s="15"/>
      <c r="AD1081" s="15"/>
      <c r="AE1081" s="13"/>
      <c r="AF1081" s="13"/>
      <c r="AG1081" s="13"/>
      <c r="AH1081" s="15"/>
      <c r="AI1081" s="13"/>
      <c r="AJ1081" s="13"/>
      <c r="AK1081" s="13"/>
      <c r="AL1081" s="13"/>
      <c r="AM1081" s="15"/>
      <c r="AN1081" s="13"/>
      <c r="AO1081" s="15"/>
      <c r="AP1081" s="15"/>
      <c r="AQ1081" s="13"/>
      <c r="AR1081" s="13"/>
      <c r="AS1081" s="13"/>
      <c r="AT1081" s="13"/>
      <c r="AU1081" s="13"/>
      <c r="AV1081" s="13"/>
      <c r="AW1081" s="13"/>
      <c r="AX1081" s="13"/>
      <c r="AY1081" s="15"/>
      <c r="AZ1081" s="15"/>
      <c r="BA1081" s="16"/>
      <c r="BB1081" s="15"/>
      <c r="BC1081" s="15"/>
      <c r="BD1081" s="13"/>
      <c r="BE1081" s="13"/>
      <c r="BF1081" s="13"/>
      <c r="BG1081" s="13"/>
      <c r="BH1081" s="13"/>
      <c r="BI1081" s="13"/>
      <c r="BJ1081" s="13"/>
      <c r="BK1081" s="13"/>
      <c r="BL1081" s="13"/>
      <c r="BM1081" s="13"/>
      <c r="BN1081" s="13"/>
      <c r="BO1081" s="13"/>
      <c r="BP1081" s="13"/>
      <c r="BQ1081" s="15"/>
      <c r="BR1081" s="15"/>
      <c r="BS1081" s="15"/>
      <c r="BT1081" s="15"/>
      <c r="BU1081" s="15"/>
      <c r="BV1081" s="15"/>
      <c r="BW1081" s="15"/>
      <c r="BX1081" s="15"/>
      <c r="BY1081" s="15"/>
      <c r="BZ1081" s="15"/>
      <c r="CA1081" s="15"/>
      <c r="CB1081" s="17"/>
      <c r="CC1081" s="17"/>
      <c r="CD1081" s="18"/>
      <c r="CE1081" s="18"/>
      <c r="CF1081" s="18"/>
      <c r="CG1081" s="18"/>
      <c r="CH1081" s="18"/>
    </row>
    <row r="1082">
      <c r="A1082" s="15"/>
      <c r="B1082" s="16"/>
      <c r="C1082" s="15"/>
      <c r="D1082" s="9"/>
      <c r="E1082" s="15"/>
      <c r="F1082" s="15"/>
      <c r="G1082" s="13"/>
      <c r="H1082" s="13"/>
      <c r="I1082" s="13"/>
      <c r="J1082" s="13"/>
      <c r="K1082" s="13"/>
      <c r="L1082" s="13"/>
      <c r="M1082" s="13"/>
      <c r="N1082" s="13"/>
      <c r="O1082" s="13"/>
      <c r="P1082" s="13"/>
      <c r="Q1082" s="13"/>
      <c r="R1082" s="13"/>
      <c r="S1082" s="13"/>
      <c r="T1082" s="13"/>
      <c r="U1082" s="13"/>
      <c r="V1082" s="13"/>
      <c r="W1082" s="13"/>
      <c r="X1082" s="13"/>
      <c r="Y1082" s="13"/>
      <c r="Z1082" s="13"/>
      <c r="AA1082" s="13"/>
      <c r="AB1082" s="15"/>
      <c r="AC1082" s="15"/>
      <c r="AD1082" s="15"/>
      <c r="AE1082" s="13"/>
      <c r="AF1082" s="13"/>
      <c r="AG1082" s="13"/>
      <c r="AH1082" s="15"/>
      <c r="AI1082" s="13"/>
      <c r="AJ1082" s="13"/>
      <c r="AK1082" s="13"/>
      <c r="AL1082" s="13"/>
      <c r="AM1082" s="15"/>
      <c r="AN1082" s="13"/>
      <c r="AO1082" s="15"/>
      <c r="AP1082" s="15"/>
      <c r="AQ1082" s="13"/>
      <c r="AR1082" s="13"/>
      <c r="AS1082" s="13"/>
      <c r="AT1082" s="13"/>
      <c r="AU1082" s="13"/>
      <c r="AV1082" s="13"/>
      <c r="AW1082" s="13"/>
      <c r="AX1082" s="13"/>
      <c r="AY1082" s="15"/>
      <c r="AZ1082" s="15"/>
      <c r="BA1082" s="16"/>
      <c r="BB1082" s="15"/>
      <c r="BC1082" s="15"/>
      <c r="BD1082" s="13"/>
      <c r="BE1082" s="13"/>
      <c r="BF1082" s="13"/>
      <c r="BG1082" s="13"/>
      <c r="BH1082" s="13"/>
      <c r="BI1082" s="13"/>
      <c r="BJ1082" s="13"/>
      <c r="BK1082" s="13"/>
      <c r="BL1082" s="13"/>
      <c r="BM1082" s="13"/>
      <c r="BN1082" s="13"/>
      <c r="BO1082" s="13"/>
      <c r="BP1082" s="13"/>
      <c r="BQ1082" s="15"/>
      <c r="BR1082" s="15"/>
      <c r="BS1082" s="15"/>
      <c r="BT1082" s="15"/>
      <c r="BU1082" s="15"/>
      <c r="BV1082" s="15"/>
      <c r="BW1082" s="15"/>
      <c r="BX1082" s="15"/>
      <c r="BY1082" s="15"/>
      <c r="BZ1082" s="15"/>
      <c r="CA1082" s="15"/>
      <c r="CB1082" s="17"/>
      <c r="CC1082" s="17"/>
      <c r="CD1082" s="18"/>
      <c r="CE1082" s="18"/>
      <c r="CF1082" s="18"/>
      <c r="CG1082" s="18"/>
      <c r="CH1082" s="18"/>
    </row>
    <row r="1083">
      <c r="A1083" s="15"/>
      <c r="B1083" s="16"/>
      <c r="C1083" s="15"/>
      <c r="D1083" s="9"/>
      <c r="E1083" s="15"/>
      <c r="F1083" s="15"/>
      <c r="G1083" s="13"/>
      <c r="H1083" s="13"/>
      <c r="I1083" s="13"/>
      <c r="J1083" s="13"/>
      <c r="K1083" s="13"/>
      <c r="L1083" s="13"/>
      <c r="M1083" s="13"/>
      <c r="N1083" s="13"/>
      <c r="O1083" s="13"/>
      <c r="P1083" s="13"/>
      <c r="Q1083" s="13"/>
      <c r="R1083" s="13"/>
      <c r="S1083" s="13"/>
      <c r="T1083" s="13"/>
      <c r="U1083" s="13"/>
      <c r="V1083" s="13"/>
      <c r="W1083" s="13"/>
      <c r="X1083" s="13"/>
      <c r="Y1083" s="13"/>
      <c r="Z1083" s="13"/>
      <c r="AA1083" s="13"/>
      <c r="AB1083" s="15"/>
      <c r="AC1083" s="15"/>
      <c r="AD1083" s="15"/>
      <c r="AE1083" s="13"/>
      <c r="AF1083" s="13"/>
      <c r="AG1083" s="13"/>
      <c r="AH1083" s="15"/>
      <c r="AI1083" s="13"/>
      <c r="AJ1083" s="13"/>
      <c r="AK1083" s="13"/>
      <c r="AL1083" s="13"/>
      <c r="AM1083" s="15"/>
      <c r="AN1083" s="13"/>
      <c r="AO1083" s="15"/>
      <c r="AP1083" s="15"/>
      <c r="AQ1083" s="13"/>
      <c r="AR1083" s="13"/>
      <c r="AS1083" s="13"/>
      <c r="AT1083" s="13"/>
      <c r="AU1083" s="13"/>
      <c r="AV1083" s="13"/>
      <c r="AW1083" s="13"/>
      <c r="AX1083" s="13"/>
      <c r="AY1083" s="15"/>
      <c r="AZ1083" s="15"/>
      <c r="BA1083" s="16"/>
      <c r="BB1083" s="15"/>
      <c r="BC1083" s="15"/>
      <c r="BD1083" s="13"/>
      <c r="BE1083" s="13"/>
      <c r="BF1083" s="13"/>
      <c r="BG1083" s="13"/>
      <c r="BH1083" s="13"/>
      <c r="BI1083" s="13"/>
      <c r="BJ1083" s="13"/>
      <c r="BK1083" s="13"/>
      <c r="BL1083" s="13"/>
      <c r="BM1083" s="13"/>
      <c r="BN1083" s="13"/>
      <c r="BO1083" s="13"/>
      <c r="BP1083" s="13"/>
      <c r="BQ1083" s="15"/>
      <c r="BR1083" s="15"/>
      <c r="BS1083" s="15"/>
      <c r="BT1083" s="15"/>
      <c r="BU1083" s="15"/>
      <c r="BV1083" s="15"/>
      <c r="BW1083" s="15"/>
      <c r="BX1083" s="15"/>
      <c r="BY1083" s="15"/>
      <c r="BZ1083" s="15"/>
      <c r="CA1083" s="15"/>
      <c r="CB1083" s="17"/>
      <c r="CC1083" s="17"/>
      <c r="CD1083" s="18"/>
      <c r="CE1083" s="18"/>
      <c r="CF1083" s="18"/>
      <c r="CG1083" s="18"/>
      <c r="CH1083" s="18"/>
    </row>
    <row r="1084">
      <c r="A1084" s="15"/>
      <c r="B1084" s="16"/>
      <c r="C1084" s="15"/>
      <c r="D1084" s="9"/>
      <c r="E1084" s="15"/>
      <c r="F1084" s="15"/>
      <c r="G1084" s="13"/>
      <c r="H1084" s="13"/>
      <c r="I1084" s="13"/>
      <c r="J1084" s="13"/>
      <c r="K1084" s="13"/>
      <c r="L1084" s="13"/>
      <c r="M1084" s="13"/>
      <c r="N1084" s="13"/>
      <c r="O1084" s="13"/>
      <c r="P1084" s="13"/>
      <c r="Q1084" s="13"/>
      <c r="R1084" s="13"/>
      <c r="S1084" s="13"/>
      <c r="T1084" s="13"/>
      <c r="U1084" s="13"/>
      <c r="V1084" s="13"/>
      <c r="W1084" s="13"/>
      <c r="X1084" s="13"/>
      <c r="Y1084" s="13"/>
      <c r="Z1084" s="13"/>
      <c r="AA1084" s="13"/>
      <c r="AB1084" s="15"/>
      <c r="AC1084" s="15"/>
      <c r="AD1084" s="15"/>
      <c r="AE1084" s="13"/>
      <c r="AF1084" s="13"/>
      <c r="AG1084" s="13"/>
      <c r="AH1084" s="15"/>
      <c r="AI1084" s="13"/>
      <c r="AJ1084" s="13"/>
      <c r="AK1084" s="13"/>
      <c r="AL1084" s="13"/>
      <c r="AM1084" s="15"/>
      <c r="AN1084" s="13"/>
      <c r="AO1084" s="15"/>
      <c r="AP1084" s="15"/>
      <c r="AQ1084" s="13"/>
      <c r="AR1084" s="13"/>
      <c r="AS1084" s="13"/>
      <c r="AT1084" s="13"/>
      <c r="AU1084" s="13"/>
      <c r="AV1084" s="13"/>
      <c r="AW1084" s="13"/>
      <c r="AX1084" s="13"/>
      <c r="AY1084" s="15"/>
      <c r="AZ1084" s="15"/>
      <c r="BA1084" s="16"/>
      <c r="BB1084" s="15"/>
      <c r="BC1084" s="15"/>
      <c r="BD1084" s="13"/>
      <c r="BE1084" s="13"/>
      <c r="BF1084" s="13"/>
      <c r="BG1084" s="13"/>
      <c r="BH1084" s="13"/>
      <c r="BI1084" s="13"/>
      <c r="BJ1084" s="13"/>
      <c r="BK1084" s="13"/>
      <c r="BL1084" s="13"/>
      <c r="BM1084" s="13"/>
      <c r="BN1084" s="13"/>
      <c r="BO1084" s="13"/>
      <c r="BP1084" s="13"/>
      <c r="BQ1084" s="15"/>
      <c r="BR1084" s="15"/>
      <c r="BS1084" s="15"/>
      <c r="BT1084" s="15"/>
      <c r="BU1084" s="15"/>
      <c r="BV1084" s="15"/>
      <c r="BW1084" s="15"/>
      <c r="BX1084" s="15"/>
      <c r="BY1084" s="15"/>
      <c r="BZ1084" s="15"/>
      <c r="CA1084" s="15"/>
      <c r="CB1084" s="17"/>
      <c r="CC1084" s="17"/>
      <c r="CD1084" s="18"/>
      <c r="CE1084" s="18"/>
      <c r="CF1084" s="18"/>
      <c r="CG1084" s="18"/>
      <c r="CH1084" s="18"/>
    </row>
    <row r="1085">
      <c r="A1085" s="15"/>
      <c r="B1085" s="16"/>
      <c r="C1085" s="15"/>
      <c r="D1085" s="9"/>
      <c r="E1085" s="15"/>
      <c r="F1085" s="15"/>
      <c r="G1085" s="13"/>
      <c r="H1085" s="13"/>
      <c r="I1085" s="13"/>
      <c r="J1085" s="13"/>
      <c r="K1085" s="13"/>
      <c r="L1085" s="13"/>
      <c r="M1085" s="13"/>
      <c r="N1085" s="13"/>
      <c r="O1085" s="13"/>
      <c r="P1085" s="13"/>
      <c r="Q1085" s="13"/>
      <c r="R1085" s="13"/>
      <c r="S1085" s="13"/>
      <c r="T1085" s="13"/>
      <c r="U1085" s="13"/>
      <c r="V1085" s="13"/>
      <c r="W1085" s="13"/>
      <c r="X1085" s="13"/>
      <c r="Y1085" s="13"/>
      <c r="Z1085" s="13"/>
      <c r="AA1085" s="13"/>
      <c r="AB1085" s="15"/>
      <c r="AC1085" s="15"/>
      <c r="AD1085" s="15"/>
      <c r="AE1085" s="13"/>
      <c r="AF1085" s="13"/>
      <c r="AG1085" s="13"/>
      <c r="AH1085" s="15"/>
      <c r="AI1085" s="13"/>
      <c r="AJ1085" s="13"/>
      <c r="AK1085" s="13"/>
      <c r="AL1085" s="13"/>
      <c r="AM1085" s="15"/>
      <c r="AN1085" s="13"/>
      <c r="AO1085" s="15"/>
      <c r="AP1085" s="15"/>
      <c r="AQ1085" s="13"/>
      <c r="AR1085" s="13"/>
      <c r="AS1085" s="13"/>
      <c r="AT1085" s="13"/>
      <c r="AU1085" s="13"/>
      <c r="AV1085" s="13"/>
      <c r="AW1085" s="13"/>
      <c r="AX1085" s="13"/>
      <c r="AY1085" s="15"/>
      <c r="AZ1085" s="15"/>
      <c r="BA1085" s="16"/>
      <c r="BB1085" s="15"/>
      <c r="BC1085" s="15"/>
      <c r="BD1085" s="13"/>
      <c r="BE1085" s="13"/>
      <c r="BF1085" s="13"/>
      <c r="BG1085" s="13"/>
      <c r="BH1085" s="13"/>
      <c r="BI1085" s="13"/>
      <c r="BJ1085" s="13"/>
      <c r="BK1085" s="13"/>
      <c r="BL1085" s="13"/>
      <c r="BM1085" s="13"/>
      <c r="BN1085" s="13"/>
      <c r="BO1085" s="13"/>
      <c r="BP1085" s="13"/>
      <c r="BQ1085" s="15"/>
      <c r="BR1085" s="15"/>
      <c r="BS1085" s="15"/>
      <c r="BT1085" s="15"/>
      <c r="BU1085" s="15"/>
      <c r="BV1085" s="15"/>
      <c r="BW1085" s="15"/>
      <c r="BX1085" s="15"/>
      <c r="BY1085" s="15"/>
      <c r="BZ1085" s="15"/>
      <c r="CA1085" s="15"/>
      <c r="CB1085" s="17"/>
      <c r="CC1085" s="17"/>
      <c r="CD1085" s="18"/>
      <c r="CE1085" s="18"/>
      <c r="CF1085" s="18"/>
      <c r="CG1085" s="18"/>
      <c r="CH1085" s="18"/>
    </row>
    <row r="1086">
      <c r="A1086" s="15"/>
      <c r="B1086" s="16"/>
      <c r="C1086" s="15"/>
      <c r="D1086" s="9"/>
      <c r="E1086" s="15"/>
      <c r="F1086" s="15"/>
      <c r="G1086" s="13"/>
      <c r="H1086" s="13"/>
      <c r="I1086" s="13"/>
      <c r="J1086" s="13"/>
      <c r="K1086" s="13"/>
      <c r="L1086" s="13"/>
      <c r="M1086" s="13"/>
      <c r="N1086" s="13"/>
      <c r="O1086" s="13"/>
      <c r="P1086" s="13"/>
      <c r="Q1086" s="13"/>
      <c r="R1086" s="13"/>
      <c r="S1086" s="13"/>
      <c r="T1086" s="13"/>
      <c r="U1086" s="13"/>
      <c r="V1086" s="13"/>
      <c r="W1086" s="13"/>
      <c r="X1086" s="13"/>
      <c r="Y1086" s="13"/>
      <c r="Z1086" s="13"/>
      <c r="AA1086" s="13"/>
      <c r="AB1086" s="15"/>
      <c r="AC1086" s="15"/>
      <c r="AD1086" s="15"/>
      <c r="AE1086" s="13"/>
      <c r="AF1086" s="13"/>
      <c r="AG1086" s="13"/>
      <c r="AH1086" s="15"/>
      <c r="AI1086" s="13"/>
      <c r="AJ1086" s="13"/>
      <c r="AK1086" s="13"/>
      <c r="AL1086" s="13"/>
      <c r="AM1086" s="15"/>
      <c r="AN1086" s="13"/>
      <c r="AO1086" s="15"/>
      <c r="AP1086" s="15"/>
      <c r="AQ1086" s="13"/>
      <c r="AR1086" s="13"/>
      <c r="AS1086" s="13"/>
      <c r="AT1086" s="13"/>
      <c r="AU1086" s="13"/>
      <c r="AV1086" s="13"/>
      <c r="AW1086" s="13"/>
      <c r="AX1086" s="13"/>
      <c r="AY1086" s="15"/>
      <c r="AZ1086" s="15"/>
      <c r="BA1086" s="16"/>
      <c r="BB1086" s="15"/>
      <c r="BC1086" s="15"/>
      <c r="BD1086" s="13"/>
      <c r="BE1086" s="13"/>
      <c r="BF1086" s="13"/>
      <c r="BG1086" s="13"/>
      <c r="BH1086" s="13"/>
      <c r="BI1086" s="13"/>
      <c r="BJ1086" s="13"/>
      <c r="BK1086" s="13"/>
      <c r="BL1086" s="13"/>
      <c r="BM1086" s="13"/>
      <c r="BN1086" s="13"/>
      <c r="BO1086" s="13"/>
      <c r="BP1086" s="13"/>
      <c r="BQ1086" s="15"/>
      <c r="BR1086" s="15"/>
      <c r="BS1086" s="15"/>
      <c r="BT1086" s="15"/>
      <c r="BU1086" s="15"/>
      <c r="BV1086" s="15"/>
      <c r="BW1086" s="15"/>
      <c r="BX1086" s="15"/>
      <c r="BY1086" s="15"/>
      <c r="BZ1086" s="15"/>
      <c r="CA1086" s="15"/>
      <c r="CB1086" s="17"/>
      <c r="CC1086" s="17"/>
      <c r="CD1086" s="18"/>
      <c r="CE1086" s="18"/>
      <c r="CF1086" s="18"/>
      <c r="CG1086" s="18"/>
      <c r="CH1086" s="18"/>
    </row>
    <row r="1087">
      <c r="A1087" s="15"/>
      <c r="B1087" s="16"/>
      <c r="C1087" s="15"/>
      <c r="D1087" s="9"/>
      <c r="E1087" s="15"/>
      <c r="F1087" s="15"/>
      <c r="G1087" s="13"/>
      <c r="H1087" s="13"/>
      <c r="I1087" s="13"/>
      <c r="J1087" s="13"/>
      <c r="K1087" s="13"/>
      <c r="L1087" s="13"/>
      <c r="M1087" s="13"/>
      <c r="N1087" s="13"/>
      <c r="O1087" s="13"/>
      <c r="P1087" s="13"/>
      <c r="Q1087" s="13"/>
      <c r="R1087" s="13"/>
      <c r="S1087" s="13"/>
      <c r="T1087" s="13"/>
      <c r="U1087" s="13"/>
      <c r="V1087" s="13"/>
      <c r="W1087" s="13"/>
      <c r="X1087" s="13"/>
      <c r="Y1087" s="13"/>
      <c r="Z1087" s="13"/>
      <c r="AA1087" s="13"/>
      <c r="AB1087" s="15"/>
      <c r="AC1087" s="15"/>
      <c r="AD1087" s="15"/>
      <c r="AE1087" s="13"/>
      <c r="AF1087" s="13"/>
      <c r="AG1087" s="13"/>
      <c r="AH1087" s="15"/>
      <c r="AI1087" s="13"/>
      <c r="AJ1087" s="13"/>
      <c r="AK1087" s="13"/>
      <c r="AL1087" s="13"/>
      <c r="AM1087" s="15"/>
      <c r="AN1087" s="13"/>
      <c r="AO1087" s="15"/>
      <c r="AP1087" s="15"/>
      <c r="AQ1087" s="13"/>
      <c r="AR1087" s="13"/>
      <c r="AS1087" s="13"/>
      <c r="AT1087" s="13"/>
      <c r="AU1087" s="13"/>
      <c r="AV1087" s="13"/>
      <c r="AW1087" s="13"/>
      <c r="AX1087" s="13"/>
      <c r="AY1087" s="15"/>
      <c r="AZ1087" s="15"/>
      <c r="BA1087" s="16"/>
      <c r="BB1087" s="15"/>
      <c r="BC1087" s="15"/>
      <c r="BD1087" s="13"/>
      <c r="BE1087" s="13"/>
      <c r="BF1087" s="13"/>
      <c r="BG1087" s="13"/>
      <c r="BH1087" s="13"/>
      <c r="BI1087" s="13"/>
      <c r="BJ1087" s="13"/>
      <c r="BK1087" s="13"/>
      <c r="BL1087" s="13"/>
      <c r="BM1087" s="13"/>
      <c r="BN1087" s="13"/>
      <c r="BO1087" s="13"/>
      <c r="BP1087" s="13"/>
      <c r="BQ1087" s="15"/>
      <c r="BR1087" s="15"/>
      <c r="BS1087" s="15"/>
      <c r="BT1087" s="15"/>
      <c r="BU1087" s="15"/>
      <c r="BV1087" s="15"/>
      <c r="BW1087" s="15"/>
      <c r="BX1087" s="15"/>
      <c r="BY1087" s="15"/>
      <c r="BZ1087" s="15"/>
      <c r="CA1087" s="15"/>
      <c r="CB1087" s="17"/>
      <c r="CC1087" s="17"/>
      <c r="CD1087" s="18"/>
      <c r="CE1087" s="18"/>
      <c r="CF1087" s="18"/>
      <c r="CG1087" s="18"/>
      <c r="CH1087" s="18"/>
    </row>
    <row r="1088">
      <c r="A1088" s="15"/>
      <c r="B1088" s="16"/>
      <c r="C1088" s="15"/>
      <c r="D1088" s="9"/>
      <c r="E1088" s="15"/>
      <c r="F1088" s="15"/>
      <c r="G1088" s="13"/>
      <c r="H1088" s="13"/>
      <c r="I1088" s="13"/>
      <c r="J1088" s="13"/>
      <c r="K1088" s="13"/>
      <c r="L1088" s="13"/>
      <c r="M1088" s="13"/>
      <c r="N1088" s="13"/>
      <c r="O1088" s="13"/>
      <c r="P1088" s="13"/>
      <c r="Q1088" s="13"/>
      <c r="R1088" s="13"/>
      <c r="S1088" s="13"/>
      <c r="T1088" s="13"/>
      <c r="U1088" s="13"/>
      <c r="V1088" s="13"/>
      <c r="W1088" s="13"/>
      <c r="X1088" s="13"/>
      <c r="Y1088" s="13"/>
      <c r="Z1088" s="13"/>
      <c r="AA1088" s="13"/>
      <c r="AB1088" s="15"/>
      <c r="AC1088" s="15"/>
      <c r="AD1088" s="15"/>
      <c r="AE1088" s="13"/>
      <c r="AF1088" s="13"/>
      <c r="AG1088" s="13"/>
      <c r="AH1088" s="15"/>
      <c r="AI1088" s="13"/>
      <c r="AJ1088" s="13"/>
      <c r="AK1088" s="13"/>
      <c r="AL1088" s="13"/>
      <c r="AM1088" s="15"/>
      <c r="AN1088" s="13"/>
      <c r="AO1088" s="15"/>
      <c r="AP1088" s="15"/>
      <c r="AQ1088" s="13"/>
      <c r="AR1088" s="13"/>
      <c r="AS1088" s="13"/>
      <c r="AT1088" s="13"/>
      <c r="AU1088" s="13"/>
      <c r="AV1088" s="13"/>
      <c r="AW1088" s="13"/>
      <c r="AX1088" s="13"/>
      <c r="AY1088" s="15"/>
      <c r="AZ1088" s="15"/>
      <c r="BA1088" s="16"/>
      <c r="BB1088" s="15"/>
      <c r="BC1088" s="15"/>
      <c r="BD1088" s="13"/>
      <c r="BE1088" s="13"/>
      <c r="BF1088" s="13"/>
      <c r="BG1088" s="13"/>
      <c r="BH1088" s="13"/>
      <c r="BI1088" s="13"/>
      <c r="BJ1088" s="13"/>
      <c r="BK1088" s="13"/>
      <c r="BL1088" s="13"/>
      <c r="BM1088" s="13"/>
      <c r="BN1088" s="13"/>
      <c r="BO1088" s="13"/>
      <c r="BP1088" s="13"/>
      <c r="BQ1088" s="15"/>
      <c r="BR1088" s="15"/>
      <c r="BS1088" s="15"/>
      <c r="BT1088" s="15"/>
      <c r="BU1088" s="15"/>
      <c r="BV1088" s="15"/>
      <c r="BW1088" s="15"/>
      <c r="BX1088" s="15"/>
      <c r="BY1088" s="15"/>
      <c r="BZ1088" s="15"/>
      <c r="CA1088" s="15"/>
      <c r="CB1088" s="17"/>
      <c r="CC1088" s="17"/>
      <c r="CD1088" s="18"/>
      <c r="CE1088" s="18"/>
      <c r="CF1088" s="18"/>
      <c r="CG1088" s="18"/>
      <c r="CH1088" s="18"/>
    </row>
    <row r="1089">
      <c r="A1089" s="15"/>
      <c r="B1089" s="16"/>
      <c r="C1089" s="15"/>
      <c r="D1089" s="9"/>
      <c r="E1089" s="15"/>
      <c r="F1089" s="15"/>
      <c r="G1089" s="13"/>
      <c r="H1089" s="13"/>
      <c r="I1089" s="13"/>
      <c r="J1089" s="13"/>
      <c r="K1089" s="13"/>
      <c r="L1089" s="13"/>
      <c r="M1089" s="13"/>
      <c r="N1089" s="13"/>
      <c r="O1089" s="13"/>
      <c r="P1089" s="13"/>
      <c r="Q1089" s="13"/>
      <c r="R1089" s="13"/>
      <c r="S1089" s="13"/>
      <c r="T1089" s="13"/>
      <c r="U1089" s="13"/>
      <c r="V1089" s="13"/>
      <c r="W1089" s="13"/>
      <c r="X1089" s="13"/>
      <c r="Y1089" s="13"/>
      <c r="Z1089" s="13"/>
      <c r="AA1089" s="13"/>
      <c r="AB1089" s="15"/>
      <c r="AC1089" s="15"/>
      <c r="AD1089" s="15"/>
      <c r="AE1089" s="13"/>
      <c r="AF1089" s="13"/>
      <c r="AG1089" s="13"/>
      <c r="AH1089" s="15"/>
      <c r="AI1089" s="13"/>
      <c r="AJ1089" s="13"/>
      <c r="AK1089" s="13"/>
      <c r="AL1089" s="13"/>
      <c r="AM1089" s="15"/>
      <c r="AN1089" s="13"/>
      <c r="AO1089" s="15"/>
      <c r="AP1089" s="15"/>
      <c r="AQ1089" s="13"/>
      <c r="AR1089" s="13"/>
      <c r="AS1089" s="13"/>
      <c r="AT1089" s="13"/>
      <c r="AU1089" s="13"/>
      <c r="AV1089" s="13"/>
      <c r="AW1089" s="13"/>
      <c r="AX1089" s="13"/>
      <c r="AY1089" s="15"/>
      <c r="AZ1089" s="15"/>
      <c r="BA1089" s="16"/>
      <c r="BB1089" s="15"/>
      <c r="BC1089" s="15"/>
      <c r="BD1089" s="13"/>
      <c r="BE1089" s="13"/>
      <c r="BF1089" s="13"/>
      <c r="BG1089" s="13"/>
      <c r="BH1089" s="13"/>
      <c r="BI1089" s="13"/>
      <c r="BJ1089" s="13"/>
      <c r="BK1089" s="13"/>
      <c r="BL1089" s="13"/>
      <c r="BM1089" s="13"/>
      <c r="BN1089" s="13"/>
      <c r="BO1089" s="13"/>
      <c r="BP1089" s="13"/>
      <c r="BQ1089" s="15"/>
      <c r="BR1089" s="15"/>
      <c r="BS1089" s="15"/>
      <c r="BT1089" s="15"/>
      <c r="BU1089" s="15"/>
      <c r="BV1089" s="15"/>
      <c r="BW1089" s="15"/>
      <c r="BX1089" s="15"/>
      <c r="BY1089" s="15"/>
      <c r="BZ1089" s="15"/>
      <c r="CA1089" s="15"/>
      <c r="CB1089" s="17"/>
      <c r="CC1089" s="17"/>
      <c r="CD1089" s="18"/>
      <c r="CE1089" s="18"/>
      <c r="CF1089" s="18"/>
      <c r="CG1089" s="18"/>
      <c r="CH1089" s="18"/>
    </row>
    <row r="1090">
      <c r="A1090" s="15"/>
      <c r="B1090" s="16"/>
      <c r="C1090" s="15"/>
      <c r="D1090" s="9"/>
      <c r="E1090" s="15"/>
      <c r="F1090" s="15"/>
      <c r="G1090" s="13"/>
      <c r="H1090" s="13"/>
      <c r="I1090" s="13"/>
      <c r="J1090" s="13"/>
      <c r="K1090" s="13"/>
      <c r="L1090" s="13"/>
      <c r="M1090" s="13"/>
      <c r="N1090" s="13"/>
      <c r="O1090" s="13"/>
      <c r="P1090" s="13"/>
      <c r="Q1090" s="13"/>
      <c r="R1090" s="13"/>
      <c r="S1090" s="13"/>
      <c r="T1090" s="13"/>
      <c r="U1090" s="13"/>
      <c r="V1090" s="13"/>
      <c r="W1090" s="13"/>
      <c r="X1090" s="13"/>
      <c r="Y1090" s="13"/>
      <c r="Z1090" s="13"/>
      <c r="AA1090" s="13"/>
      <c r="AB1090" s="15"/>
      <c r="AC1090" s="15"/>
      <c r="AD1090" s="15"/>
      <c r="AE1090" s="13"/>
      <c r="AF1090" s="13"/>
      <c r="AG1090" s="13"/>
      <c r="AH1090" s="15"/>
      <c r="AI1090" s="13"/>
      <c r="AJ1090" s="13"/>
      <c r="AK1090" s="13"/>
      <c r="AL1090" s="13"/>
      <c r="AM1090" s="15"/>
      <c r="AN1090" s="13"/>
      <c r="AO1090" s="15"/>
      <c r="AP1090" s="15"/>
      <c r="AQ1090" s="13"/>
      <c r="AR1090" s="13"/>
      <c r="AS1090" s="13"/>
      <c r="AT1090" s="13"/>
      <c r="AU1090" s="13"/>
      <c r="AV1090" s="13"/>
      <c r="AW1090" s="13"/>
      <c r="AX1090" s="13"/>
      <c r="AY1090" s="15"/>
      <c r="AZ1090" s="15"/>
      <c r="BA1090" s="16"/>
      <c r="BB1090" s="15"/>
      <c r="BC1090" s="15"/>
      <c r="BD1090" s="13"/>
      <c r="BE1090" s="13"/>
      <c r="BF1090" s="13"/>
      <c r="BG1090" s="13"/>
      <c r="BH1090" s="13"/>
      <c r="BI1090" s="13"/>
      <c r="BJ1090" s="13"/>
      <c r="BK1090" s="13"/>
      <c r="BL1090" s="13"/>
      <c r="BM1090" s="13"/>
      <c r="BN1090" s="13"/>
      <c r="BO1090" s="13"/>
      <c r="BP1090" s="13"/>
      <c r="BQ1090" s="15"/>
      <c r="BR1090" s="15"/>
      <c r="BS1090" s="15"/>
      <c r="BT1090" s="15"/>
      <c r="BU1090" s="15"/>
      <c r="BV1090" s="15"/>
      <c r="BW1090" s="15"/>
      <c r="BX1090" s="15"/>
      <c r="BY1090" s="15"/>
      <c r="BZ1090" s="15"/>
      <c r="CA1090" s="15"/>
      <c r="CB1090" s="17"/>
      <c r="CC1090" s="17"/>
      <c r="CD1090" s="18"/>
      <c r="CE1090" s="18"/>
      <c r="CF1090" s="18"/>
      <c r="CG1090" s="18"/>
      <c r="CH1090" s="18"/>
    </row>
    <row r="1091">
      <c r="A1091" s="15"/>
      <c r="B1091" s="16"/>
      <c r="C1091" s="15"/>
      <c r="D1091" s="9"/>
      <c r="E1091" s="15"/>
      <c r="F1091" s="15"/>
      <c r="G1091" s="13"/>
      <c r="H1091" s="13"/>
      <c r="I1091" s="13"/>
      <c r="J1091" s="13"/>
      <c r="K1091" s="13"/>
      <c r="L1091" s="13"/>
      <c r="M1091" s="13"/>
      <c r="N1091" s="13"/>
      <c r="O1091" s="13"/>
      <c r="P1091" s="13"/>
      <c r="Q1091" s="13"/>
      <c r="R1091" s="13"/>
      <c r="S1091" s="13"/>
      <c r="T1091" s="13"/>
      <c r="U1091" s="13"/>
      <c r="V1091" s="13"/>
      <c r="W1091" s="13"/>
      <c r="X1091" s="13"/>
      <c r="Y1091" s="13"/>
      <c r="Z1091" s="13"/>
      <c r="AA1091" s="13"/>
      <c r="AB1091" s="15"/>
      <c r="AC1091" s="15"/>
      <c r="AD1091" s="15"/>
      <c r="AE1091" s="13"/>
      <c r="AF1091" s="13"/>
      <c r="AG1091" s="13"/>
      <c r="AH1091" s="15"/>
      <c r="AI1091" s="13"/>
      <c r="AJ1091" s="13"/>
      <c r="AK1091" s="13"/>
      <c r="AL1091" s="13"/>
      <c r="AM1091" s="15"/>
      <c r="AN1091" s="13"/>
      <c r="AO1091" s="15"/>
      <c r="AP1091" s="15"/>
      <c r="AQ1091" s="13"/>
      <c r="AR1091" s="13"/>
      <c r="AS1091" s="13"/>
      <c r="AT1091" s="13"/>
      <c r="AU1091" s="13"/>
      <c r="AV1091" s="13"/>
      <c r="AW1091" s="13"/>
      <c r="AX1091" s="13"/>
      <c r="AY1091" s="15"/>
      <c r="AZ1091" s="15"/>
      <c r="BA1091" s="16"/>
      <c r="BB1091" s="15"/>
      <c r="BC1091" s="15"/>
      <c r="BD1091" s="13"/>
      <c r="BE1091" s="13"/>
      <c r="BF1091" s="13"/>
      <c r="BG1091" s="13"/>
      <c r="BH1091" s="13"/>
      <c r="BI1091" s="13"/>
      <c r="BJ1091" s="13"/>
      <c r="BK1091" s="13"/>
      <c r="BL1091" s="13"/>
      <c r="BM1091" s="13"/>
      <c r="BN1091" s="13"/>
      <c r="BO1091" s="13"/>
      <c r="BP1091" s="13"/>
      <c r="BQ1091" s="15"/>
      <c r="BR1091" s="15"/>
      <c r="BS1091" s="15"/>
      <c r="BT1091" s="15"/>
      <c r="BU1091" s="15"/>
      <c r="BV1091" s="15"/>
      <c r="BW1091" s="15"/>
      <c r="BX1091" s="15"/>
      <c r="BY1091" s="15"/>
      <c r="BZ1091" s="15"/>
      <c r="CA1091" s="15"/>
      <c r="CB1091" s="17"/>
      <c r="CC1091" s="17"/>
      <c r="CD1091" s="18"/>
      <c r="CE1091" s="18"/>
      <c r="CF1091" s="18"/>
      <c r="CG1091" s="18"/>
      <c r="CH1091" s="18"/>
    </row>
    <row r="1092">
      <c r="A1092" s="15"/>
      <c r="B1092" s="16"/>
      <c r="C1092" s="15"/>
      <c r="D1092" s="9"/>
      <c r="E1092" s="15"/>
      <c r="F1092" s="15"/>
      <c r="G1092" s="13"/>
      <c r="H1092" s="13"/>
      <c r="I1092" s="13"/>
      <c r="J1092" s="13"/>
      <c r="K1092" s="13"/>
      <c r="L1092" s="13"/>
      <c r="M1092" s="13"/>
      <c r="N1092" s="13"/>
      <c r="O1092" s="13"/>
      <c r="P1092" s="13"/>
      <c r="Q1092" s="13"/>
      <c r="R1092" s="13"/>
      <c r="S1092" s="13"/>
      <c r="T1092" s="13"/>
      <c r="U1092" s="13"/>
      <c r="V1092" s="13"/>
      <c r="W1092" s="13"/>
      <c r="X1092" s="13"/>
      <c r="Y1092" s="13"/>
      <c r="Z1092" s="13"/>
      <c r="AA1092" s="13"/>
      <c r="AB1092" s="15"/>
      <c r="AC1092" s="15"/>
      <c r="AD1092" s="15"/>
      <c r="AE1092" s="13"/>
      <c r="AF1092" s="13"/>
      <c r="AG1092" s="13"/>
      <c r="AH1092" s="15"/>
      <c r="AI1092" s="13"/>
      <c r="AJ1092" s="13"/>
      <c r="AK1092" s="13"/>
      <c r="AL1092" s="13"/>
      <c r="AM1092" s="15"/>
      <c r="AN1092" s="13"/>
      <c r="AO1092" s="15"/>
      <c r="AP1092" s="15"/>
      <c r="AQ1092" s="13"/>
      <c r="AR1092" s="13"/>
      <c r="AS1092" s="13"/>
      <c r="AT1092" s="13"/>
      <c r="AU1092" s="13"/>
      <c r="AV1092" s="13"/>
      <c r="AW1092" s="13"/>
      <c r="AX1092" s="13"/>
      <c r="AY1092" s="15"/>
      <c r="AZ1092" s="15"/>
      <c r="BA1092" s="16"/>
      <c r="BB1092" s="15"/>
      <c r="BC1092" s="15"/>
      <c r="BD1092" s="13"/>
      <c r="BE1092" s="13"/>
      <c r="BF1092" s="13"/>
      <c r="BG1092" s="13"/>
      <c r="BH1092" s="13"/>
      <c r="BI1092" s="13"/>
      <c r="BJ1092" s="13"/>
      <c r="BK1092" s="13"/>
      <c r="BL1092" s="13"/>
      <c r="BM1092" s="13"/>
      <c r="BN1092" s="13"/>
      <c r="BO1092" s="13"/>
      <c r="BP1092" s="13"/>
      <c r="BQ1092" s="15"/>
      <c r="BR1092" s="15"/>
      <c r="BS1092" s="15"/>
      <c r="BT1092" s="15"/>
      <c r="BU1092" s="15"/>
      <c r="BV1092" s="15"/>
      <c r="BW1092" s="15"/>
      <c r="BX1092" s="15"/>
      <c r="BY1092" s="15"/>
      <c r="BZ1092" s="15"/>
      <c r="CA1092" s="15"/>
      <c r="CB1092" s="17"/>
      <c r="CC1092" s="17"/>
      <c r="CD1092" s="18"/>
      <c r="CE1092" s="18"/>
      <c r="CF1092" s="18"/>
      <c r="CG1092" s="18"/>
      <c r="CH1092" s="18"/>
    </row>
    <row r="1093">
      <c r="A1093" s="15"/>
      <c r="B1093" s="16"/>
      <c r="C1093" s="15"/>
      <c r="D1093" s="9"/>
      <c r="E1093" s="15"/>
      <c r="F1093" s="15"/>
      <c r="G1093" s="13"/>
      <c r="H1093" s="13"/>
      <c r="I1093" s="13"/>
      <c r="J1093" s="13"/>
      <c r="K1093" s="13"/>
      <c r="L1093" s="13"/>
      <c r="M1093" s="13"/>
      <c r="N1093" s="13"/>
      <c r="O1093" s="13"/>
      <c r="P1093" s="13"/>
      <c r="Q1093" s="13"/>
      <c r="R1093" s="13"/>
      <c r="S1093" s="13"/>
      <c r="T1093" s="13"/>
      <c r="U1093" s="13"/>
      <c r="V1093" s="13"/>
      <c r="W1093" s="13"/>
      <c r="X1093" s="13"/>
      <c r="Y1093" s="13"/>
      <c r="Z1093" s="13"/>
      <c r="AA1093" s="13"/>
      <c r="AB1093" s="15"/>
      <c r="AC1093" s="15"/>
      <c r="AD1093" s="15"/>
      <c r="AE1093" s="13"/>
      <c r="AF1093" s="13"/>
      <c r="AG1093" s="13"/>
      <c r="AH1093" s="15"/>
      <c r="AI1093" s="13"/>
      <c r="AJ1093" s="13"/>
      <c r="AK1093" s="13"/>
      <c r="AL1093" s="13"/>
      <c r="AM1093" s="15"/>
      <c r="AN1093" s="13"/>
      <c r="AO1093" s="15"/>
      <c r="AP1093" s="15"/>
      <c r="AQ1093" s="13"/>
      <c r="AR1093" s="13"/>
      <c r="AS1093" s="13"/>
      <c r="AT1093" s="13"/>
      <c r="AU1093" s="13"/>
      <c r="AV1093" s="13"/>
      <c r="AW1093" s="13"/>
      <c r="AX1093" s="13"/>
      <c r="AY1093" s="15"/>
      <c r="AZ1093" s="15"/>
      <c r="BA1093" s="16"/>
      <c r="BB1093" s="15"/>
      <c r="BC1093" s="15"/>
      <c r="BD1093" s="13"/>
      <c r="BE1093" s="13"/>
      <c r="BF1093" s="13"/>
      <c r="BG1093" s="13"/>
      <c r="BH1093" s="13"/>
      <c r="BI1093" s="13"/>
      <c r="BJ1093" s="13"/>
      <c r="BK1093" s="13"/>
      <c r="BL1093" s="13"/>
      <c r="BM1093" s="13"/>
      <c r="BN1093" s="13"/>
      <c r="BO1093" s="13"/>
      <c r="BP1093" s="13"/>
      <c r="BQ1093" s="15"/>
      <c r="BR1093" s="15"/>
      <c r="BS1093" s="15"/>
      <c r="BT1093" s="15"/>
      <c r="BU1093" s="15"/>
      <c r="BV1093" s="15"/>
      <c r="BW1093" s="15"/>
      <c r="BX1093" s="15"/>
      <c r="BY1093" s="15"/>
      <c r="BZ1093" s="15"/>
      <c r="CA1093" s="15"/>
      <c r="CB1093" s="17"/>
      <c r="CC1093" s="17"/>
      <c r="CD1093" s="18"/>
      <c r="CE1093" s="18"/>
      <c r="CF1093" s="18"/>
      <c r="CG1093" s="18"/>
      <c r="CH1093" s="18"/>
    </row>
    <row r="1094">
      <c r="A1094" s="15"/>
      <c r="B1094" s="16"/>
      <c r="C1094" s="15"/>
      <c r="D1094" s="9"/>
      <c r="E1094" s="15"/>
      <c r="F1094" s="15"/>
      <c r="G1094" s="13"/>
      <c r="H1094" s="13"/>
      <c r="I1094" s="13"/>
      <c r="J1094" s="13"/>
      <c r="K1094" s="13"/>
      <c r="L1094" s="13"/>
      <c r="M1094" s="13"/>
      <c r="N1094" s="13"/>
      <c r="O1094" s="13"/>
      <c r="P1094" s="13"/>
      <c r="Q1094" s="13"/>
      <c r="R1094" s="13"/>
      <c r="S1094" s="13"/>
      <c r="T1094" s="13"/>
      <c r="U1094" s="13"/>
      <c r="V1094" s="13"/>
      <c r="W1094" s="13"/>
      <c r="X1094" s="13"/>
      <c r="Y1094" s="13"/>
      <c r="Z1094" s="13"/>
      <c r="AA1094" s="13"/>
      <c r="AB1094" s="15"/>
      <c r="AC1094" s="15"/>
      <c r="AD1094" s="15"/>
      <c r="AE1094" s="13"/>
      <c r="AF1094" s="13"/>
      <c r="AG1094" s="13"/>
      <c r="AH1094" s="15"/>
      <c r="AI1094" s="13"/>
      <c r="AJ1094" s="13"/>
      <c r="AK1094" s="13"/>
      <c r="AL1094" s="13"/>
      <c r="AM1094" s="15"/>
      <c r="AN1094" s="13"/>
      <c r="AO1094" s="15"/>
      <c r="AP1094" s="15"/>
      <c r="AQ1094" s="13"/>
      <c r="AR1094" s="13"/>
      <c r="AS1094" s="13"/>
      <c r="AT1094" s="13"/>
      <c r="AU1094" s="13"/>
      <c r="AV1094" s="13"/>
      <c r="AW1094" s="13"/>
      <c r="AX1094" s="13"/>
      <c r="AY1094" s="15"/>
      <c r="AZ1094" s="15"/>
      <c r="BA1094" s="16"/>
      <c r="BB1094" s="15"/>
      <c r="BC1094" s="15"/>
      <c r="BD1094" s="13"/>
      <c r="BE1094" s="13"/>
      <c r="BF1094" s="13"/>
      <c r="BG1094" s="13"/>
      <c r="BH1094" s="13"/>
      <c r="BI1094" s="13"/>
      <c r="BJ1094" s="13"/>
      <c r="BK1094" s="13"/>
      <c r="BL1094" s="13"/>
      <c r="BM1094" s="13"/>
      <c r="BN1094" s="13"/>
      <c r="BO1094" s="13"/>
      <c r="BP1094" s="13"/>
      <c r="BQ1094" s="15"/>
      <c r="BR1094" s="15"/>
      <c r="BS1094" s="15"/>
      <c r="BT1094" s="15"/>
      <c r="BU1094" s="15"/>
      <c r="BV1094" s="15"/>
      <c r="BW1094" s="15"/>
      <c r="BX1094" s="15"/>
      <c r="BY1094" s="15"/>
      <c r="BZ1094" s="15"/>
      <c r="CA1094" s="15"/>
      <c r="CB1094" s="17"/>
      <c r="CC1094" s="17"/>
      <c r="CD1094" s="18"/>
      <c r="CE1094" s="18"/>
      <c r="CF1094" s="18"/>
      <c r="CG1094" s="18"/>
      <c r="CH1094" s="18"/>
    </row>
    <row r="1095">
      <c r="A1095" s="15"/>
      <c r="B1095" s="16"/>
      <c r="C1095" s="15"/>
      <c r="D1095" s="9"/>
      <c r="E1095" s="15"/>
      <c r="F1095" s="15"/>
      <c r="G1095" s="13"/>
      <c r="H1095" s="13"/>
      <c r="I1095" s="13"/>
      <c r="J1095" s="13"/>
      <c r="K1095" s="13"/>
      <c r="L1095" s="13"/>
      <c r="M1095" s="13"/>
      <c r="N1095" s="13"/>
      <c r="O1095" s="13"/>
      <c r="P1095" s="13"/>
      <c r="Q1095" s="13"/>
      <c r="R1095" s="13"/>
      <c r="S1095" s="13"/>
      <c r="T1095" s="13"/>
      <c r="U1095" s="13"/>
      <c r="V1095" s="13"/>
      <c r="W1095" s="13"/>
      <c r="X1095" s="13"/>
      <c r="Y1095" s="13"/>
      <c r="Z1095" s="13"/>
      <c r="AA1095" s="13"/>
      <c r="AB1095" s="15"/>
      <c r="AC1095" s="15"/>
      <c r="AD1095" s="15"/>
      <c r="AE1095" s="13"/>
      <c r="AF1095" s="13"/>
      <c r="AG1095" s="13"/>
      <c r="AH1095" s="15"/>
      <c r="AI1095" s="13"/>
      <c r="AJ1095" s="13"/>
      <c r="AK1095" s="13"/>
      <c r="AL1095" s="13"/>
      <c r="AM1095" s="15"/>
      <c r="AN1095" s="13"/>
      <c r="AO1095" s="15"/>
      <c r="AP1095" s="15"/>
      <c r="AQ1095" s="13"/>
      <c r="AR1095" s="13"/>
      <c r="AS1095" s="13"/>
      <c r="AT1095" s="13"/>
      <c r="AU1095" s="13"/>
      <c r="AV1095" s="13"/>
      <c r="AW1095" s="13"/>
      <c r="AX1095" s="13"/>
      <c r="AY1095" s="15"/>
      <c r="AZ1095" s="15"/>
      <c r="BA1095" s="16"/>
      <c r="BB1095" s="15"/>
      <c r="BC1095" s="15"/>
      <c r="BD1095" s="13"/>
      <c r="BE1095" s="13"/>
      <c r="BF1095" s="13"/>
      <c r="BG1095" s="13"/>
      <c r="BH1095" s="13"/>
      <c r="BI1095" s="13"/>
      <c r="BJ1095" s="13"/>
      <c r="BK1095" s="13"/>
      <c r="BL1095" s="13"/>
      <c r="BM1095" s="13"/>
      <c r="BN1095" s="13"/>
      <c r="BO1095" s="13"/>
      <c r="BP1095" s="13"/>
      <c r="BQ1095" s="15"/>
      <c r="BR1095" s="15"/>
      <c r="BS1095" s="15"/>
      <c r="BT1095" s="15"/>
      <c r="BU1095" s="15"/>
      <c r="BV1095" s="15"/>
      <c r="BW1095" s="15"/>
      <c r="BX1095" s="15"/>
      <c r="BY1095" s="15"/>
      <c r="BZ1095" s="15"/>
      <c r="CA1095" s="15"/>
      <c r="CB1095" s="17"/>
      <c r="CC1095" s="17"/>
      <c r="CD1095" s="18"/>
      <c r="CE1095" s="18"/>
      <c r="CF1095" s="18"/>
      <c r="CG1095" s="18"/>
      <c r="CH1095" s="18"/>
    </row>
    <row r="1096">
      <c r="A1096" s="15"/>
      <c r="B1096" s="16"/>
      <c r="C1096" s="15"/>
      <c r="D1096" s="9"/>
      <c r="E1096" s="15"/>
      <c r="F1096" s="15"/>
      <c r="G1096" s="13"/>
      <c r="H1096" s="13"/>
      <c r="I1096" s="13"/>
      <c r="J1096" s="13"/>
      <c r="K1096" s="13"/>
      <c r="L1096" s="13"/>
      <c r="M1096" s="13"/>
      <c r="N1096" s="13"/>
      <c r="O1096" s="13"/>
      <c r="P1096" s="13"/>
      <c r="Q1096" s="13"/>
      <c r="R1096" s="13"/>
      <c r="S1096" s="13"/>
      <c r="T1096" s="13"/>
      <c r="U1096" s="13"/>
      <c r="V1096" s="13"/>
      <c r="W1096" s="13"/>
      <c r="X1096" s="13"/>
      <c r="Y1096" s="13"/>
      <c r="Z1096" s="13"/>
      <c r="AA1096" s="13"/>
      <c r="AB1096" s="15"/>
      <c r="AC1096" s="15"/>
      <c r="AD1096" s="15"/>
      <c r="AE1096" s="13"/>
      <c r="AF1096" s="13"/>
      <c r="AG1096" s="13"/>
      <c r="AH1096" s="15"/>
      <c r="AI1096" s="13"/>
      <c r="AJ1096" s="13"/>
      <c r="AK1096" s="13"/>
      <c r="AL1096" s="13"/>
      <c r="AM1096" s="15"/>
      <c r="AN1096" s="13"/>
      <c r="AO1096" s="15"/>
      <c r="AP1096" s="15"/>
      <c r="AQ1096" s="13"/>
      <c r="AR1096" s="13"/>
      <c r="AS1096" s="13"/>
      <c r="AT1096" s="13"/>
      <c r="AU1096" s="13"/>
      <c r="AV1096" s="13"/>
      <c r="AW1096" s="13"/>
      <c r="AX1096" s="13"/>
      <c r="AY1096" s="15"/>
      <c r="AZ1096" s="15"/>
      <c r="BA1096" s="16"/>
      <c r="BB1096" s="15"/>
      <c r="BC1096" s="15"/>
      <c r="BD1096" s="13"/>
      <c r="BE1096" s="13"/>
      <c r="BF1096" s="13"/>
      <c r="BG1096" s="13"/>
      <c r="BH1096" s="13"/>
      <c r="BI1096" s="13"/>
      <c r="BJ1096" s="13"/>
      <c r="BK1096" s="13"/>
      <c r="BL1096" s="13"/>
      <c r="BM1096" s="13"/>
      <c r="BN1096" s="13"/>
      <c r="BO1096" s="13"/>
      <c r="BP1096" s="13"/>
      <c r="BQ1096" s="15"/>
      <c r="BR1096" s="15"/>
      <c r="BS1096" s="15"/>
      <c r="BT1096" s="15"/>
      <c r="BU1096" s="15"/>
      <c r="BV1096" s="15"/>
      <c r="BW1096" s="15"/>
      <c r="BX1096" s="15"/>
      <c r="BY1096" s="15"/>
      <c r="BZ1096" s="15"/>
      <c r="CA1096" s="15"/>
      <c r="CB1096" s="17"/>
      <c r="CC1096" s="17"/>
      <c r="CD1096" s="18"/>
      <c r="CE1096" s="18"/>
      <c r="CF1096" s="18"/>
      <c r="CG1096" s="18"/>
      <c r="CH1096" s="18"/>
    </row>
    <row r="1097">
      <c r="A1097" s="15"/>
      <c r="B1097" s="16"/>
      <c r="C1097" s="15"/>
      <c r="D1097" s="9"/>
      <c r="E1097" s="15"/>
      <c r="F1097" s="15"/>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5"/>
      <c r="AC1097" s="15"/>
      <c r="AD1097" s="15"/>
      <c r="AE1097" s="13"/>
      <c r="AF1097" s="13"/>
      <c r="AG1097" s="13"/>
      <c r="AH1097" s="15"/>
      <c r="AI1097" s="13"/>
      <c r="AJ1097" s="13"/>
      <c r="AK1097" s="13"/>
      <c r="AL1097" s="13"/>
      <c r="AM1097" s="15"/>
      <c r="AN1097" s="13"/>
      <c r="AO1097" s="15"/>
      <c r="AP1097" s="15"/>
      <c r="AQ1097" s="13"/>
      <c r="AR1097" s="13"/>
      <c r="AS1097" s="13"/>
      <c r="AT1097" s="13"/>
      <c r="AU1097" s="13"/>
      <c r="AV1097" s="13"/>
      <c r="AW1097" s="13"/>
      <c r="AX1097" s="13"/>
      <c r="AY1097" s="15"/>
      <c r="AZ1097" s="15"/>
      <c r="BA1097" s="16"/>
      <c r="BB1097" s="15"/>
      <c r="BC1097" s="15"/>
      <c r="BD1097" s="13"/>
      <c r="BE1097" s="13"/>
      <c r="BF1097" s="13"/>
      <c r="BG1097" s="13"/>
      <c r="BH1097" s="13"/>
      <c r="BI1097" s="13"/>
      <c r="BJ1097" s="13"/>
      <c r="BK1097" s="13"/>
      <c r="BL1097" s="13"/>
      <c r="BM1097" s="13"/>
      <c r="BN1097" s="13"/>
      <c r="BO1097" s="13"/>
      <c r="BP1097" s="13"/>
      <c r="BQ1097" s="15"/>
      <c r="BR1097" s="15"/>
      <c r="BS1097" s="15"/>
      <c r="BT1097" s="15"/>
      <c r="BU1097" s="15"/>
      <c r="BV1097" s="15"/>
      <c r="BW1097" s="15"/>
      <c r="BX1097" s="15"/>
      <c r="BY1097" s="15"/>
      <c r="BZ1097" s="15"/>
      <c r="CA1097" s="15"/>
      <c r="CB1097" s="17"/>
      <c r="CC1097" s="17"/>
      <c r="CD1097" s="18"/>
      <c r="CE1097" s="18"/>
      <c r="CF1097" s="18"/>
      <c r="CG1097" s="18"/>
      <c r="CH1097" s="18"/>
    </row>
    <row r="1098">
      <c r="A1098" s="15"/>
      <c r="B1098" s="16"/>
      <c r="C1098" s="15"/>
      <c r="D1098" s="9"/>
      <c r="E1098" s="15"/>
      <c r="F1098" s="15"/>
      <c r="G1098" s="13"/>
      <c r="H1098" s="13"/>
      <c r="I1098" s="13"/>
      <c r="J1098" s="13"/>
      <c r="K1098" s="13"/>
      <c r="L1098" s="13"/>
      <c r="M1098" s="13"/>
      <c r="N1098" s="13"/>
      <c r="O1098" s="13"/>
      <c r="P1098" s="13"/>
      <c r="Q1098" s="13"/>
      <c r="R1098" s="13"/>
      <c r="S1098" s="13"/>
      <c r="T1098" s="13"/>
      <c r="U1098" s="13"/>
      <c r="V1098" s="13"/>
      <c r="W1098" s="13"/>
      <c r="X1098" s="13"/>
      <c r="Y1098" s="13"/>
      <c r="Z1098" s="13"/>
      <c r="AA1098" s="13"/>
      <c r="AB1098" s="15"/>
      <c r="AC1098" s="15"/>
      <c r="AD1098" s="15"/>
      <c r="AE1098" s="13"/>
      <c r="AF1098" s="13"/>
      <c r="AG1098" s="13"/>
      <c r="AH1098" s="15"/>
      <c r="AI1098" s="13"/>
      <c r="AJ1098" s="13"/>
      <c r="AK1098" s="13"/>
      <c r="AL1098" s="13"/>
      <c r="AM1098" s="15"/>
      <c r="AN1098" s="13"/>
      <c r="AO1098" s="15"/>
      <c r="AP1098" s="15"/>
      <c r="AQ1098" s="13"/>
      <c r="AR1098" s="13"/>
      <c r="AS1098" s="13"/>
      <c r="AT1098" s="13"/>
      <c r="AU1098" s="13"/>
      <c r="AV1098" s="13"/>
      <c r="AW1098" s="13"/>
      <c r="AX1098" s="13"/>
      <c r="AY1098" s="15"/>
      <c r="AZ1098" s="15"/>
      <c r="BA1098" s="16"/>
      <c r="BB1098" s="15"/>
      <c r="BC1098" s="15"/>
      <c r="BD1098" s="13"/>
      <c r="BE1098" s="13"/>
      <c r="BF1098" s="13"/>
      <c r="BG1098" s="13"/>
      <c r="BH1098" s="13"/>
      <c r="BI1098" s="13"/>
      <c r="BJ1098" s="13"/>
      <c r="BK1098" s="13"/>
      <c r="BL1098" s="13"/>
      <c r="BM1098" s="13"/>
      <c r="BN1098" s="13"/>
      <c r="BO1098" s="13"/>
      <c r="BP1098" s="13"/>
      <c r="BQ1098" s="15"/>
      <c r="BR1098" s="15"/>
      <c r="BS1098" s="15"/>
      <c r="BT1098" s="15"/>
      <c r="BU1098" s="15"/>
      <c r="BV1098" s="15"/>
      <c r="BW1098" s="15"/>
      <c r="BX1098" s="15"/>
      <c r="BY1098" s="15"/>
      <c r="BZ1098" s="15"/>
      <c r="CA1098" s="15"/>
      <c r="CB1098" s="17"/>
      <c r="CC1098" s="17"/>
      <c r="CD1098" s="18"/>
      <c r="CE1098" s="18"/>
      <c r="CF1098" s="18"/>
      <c r="CG1098" s="18"/>
      <c r="CH1098" s="18"/>
    </row>
    <row r="1099">
      <c r="A1099" s="15"/>
      <c r="B1099" s="16"/>
      <c r="C1099" s="15"/>
      <c r="D1099" s="9"/>
      <c r="E1099" s="15"/>
      <c r="F1099" s="15"/>
      <c r="G1099" s="13"/>
      <c r="H1099" s="13"/>
      <c r="I1099" s="13"/>
      <c r="J1099" s="13"/>
      <c r="K1099" s="13"/>
      <c r="L1099" s="13"/>
      <c r="M1099" s="13"/>
      <c r="N1099" s="13"/>
      <c r="O1099" s="13"/>
      <c r="P1099" s="13"/>
      <c r="Q1099" s="13"/>
      <c r="R1099" s="13"/>
      <c r="S1099" s="13"/>
      <c r="T1099" s="13"/>
      <c r="U1099" s="13"/>
      <c r="V1099" s="13"/>
      <c r="W1099" s="13"/>
      <c r="X1099" s="13"/>
      <c r="Y1099" s="13"/>
      <c r="Z1099" s="13"/>
      <c r="AA1099" s="13"/>
      <c r="AB1099" s="15"/>
      <c r="AC1099" s="15"/>
      <c r="AD1099" s="15"/>
      <c r="AE1099" s="13"/>
      <c r="AF1099" s="13"/>
      <c r="AG1099" s="13"/>
      <c r="AH1099" s="15"/>
      <c r="AI1099" s="13"/>
      <c r="AJ1099" s="13"/>
      <c r="AK1099" s="13"/>
      <c r="AL1099" s="13"/>
      <c r="AM1099" s="15"/>
      <c r="AN1099" s="13"/>
      <c r="AO1099" s="15"/>
      <c r="AP1099" s="15"/>
      <c r="AQ1099" s="13"/>
      <c r="AR1099" s="13"/>
      <c r="AS1099" s="13"/>
      <c r="AT1099" s="13"/>
      <c r="AU1099" s="13"/>
      <c r="AV1099" s="13"/>
      <c r="AW1099" s="13"/>
      <c r="AX1099" s="13"/>
      <c r="AY1099" s="15"/>
      <c r="AZ1099" s="15"/>
      <c r="BA1099" s="16"/>
      <c r="BB1099" s="15"/>
      <c r="BC1099" s="15"/>
      <c r="BD1099" s="13"/>
      <c r="BE1099" s="13"/>
      <c r="BF1099" s="13"/>
      <c r="BG1099" s="13"/>
      <c r="BH1099" s="13"/>
      <c r="BI1099" s="13"/>
      <c r="BJ1099" s="13"/>
      <c r="BK1099" s="13"/>
      <c r="BL1099" s="13"/>
      <c r="BM1099" s="13"/>
      <c r="BN1099" s="13"/>
      <c r="BO1099" s="13"/>
      <c r="BP1099" s="13"/>
      <c r="BQ1099" s="15"/>
      <c r="BR1099" s="15"/>
      <c r="BS1099" s="15"/>
      <c r="BT1099" s="15"/>
      <c r="BU1099" s="15"/>
      <c r="BV1099" s="15"/>
      <c r="BW1099" s="15"/>
      <c r="BX1099" s="15"/>
      <c r="BY1099" s="15"/>
      <c r="BZ1099" s="15"/>
      <c r="CA1099" s="15"/>
      <c r="CB1099" s="17"/>
      <c r="CC1099" s="17"/>
      <c r="CD1099" s="18"/>
      <c r="CE1099" s="18"/>
      <c r="CF1099" s="18"/>
      <c r="CG1099" s="18"/>
      <c r="CH1099" s="18"/>
    </row>
    <row r="1100">
      <c r="A1100" s="15"/>
      <c r="B1100" s="16"/>
      <c r="C1100" s="15"/>
      <c r="D1100" s="9"/>
      <c r="E1100" s="15"/>
      <c r="F1100" s="15"/>
      <c r="G1100" s="13"/>
      <c r="H1100" s="13"/>
      <c r="I1100" s="13"/>
      <c r="J1100" s="13"/>
      <c r="K1100" s="13"/>
      <c r="L1100" s="13"/>
      <c r="M1100" s="13"/>
      <c r="N1100" s="13"/>
      <c r="O1100" s="13"/>
      <c r="P1100" s="13"/>
      <c r="Q1100" s="13"/>
      <c r="R1100" s="13"/>
      <c r="S1100" s="13"/>
      <c r="T1100" s="13"/>
      <c r="U1100" s="13"/>
      <c r="V1100" s="13"/>
      <c r="W1100" s="13"/>
      <c r="X1100" s="13"/>
      <c r="Y1100" s="13"/>
      <c r="Z1100" s="13"/>
      <c r="AA1100" s="13"/>
      <c r="AB1100" s="15"/>
      <c r="AC1100" s="15"/>
      <c r="AD1100" s="15"/>
      <c r="AE1100" s="13"/>
      <c r="AF1100" s="13"/>
      <c r="AG1100" s="13"/>
      <c r="AH1100" s="15"/>
      <c r="AI1100" s="13"/>
      <c r="AJ1100" s="13"/>
      <c r="AK1100" s="13"/>
      <c r="AL1100" s="13"/>
      <c r="AM1100" s="15"/>
      <c r="AN1100" s="13"/>
      <c r="AO1100" s="15"/>
      <c r="AP1100" s="15"/>
      <c r="AQ1100" s="13"/>
      <c r="AR1100" s="13"/>
      <c r="AS1100" s="13"/>
      <c r="AT1100" s="13"/>
      <c r="AU1100" s="13"/>
      <c r="AV1100" s="13"/>
      <c r="AW1100" s="13"/>
      <c r="AX1100" s="13"/>
      <c r="AY1100" s="15"/>
      <c r="AZ1100" s="15"/>
      <c r="BA1100" s="16"/>
      <c r="BB1100" s="15"/>
      <c r="BC1100" s="15"/>
      <c r="BD1100" s="13"/>
      <c r="BE1100" s="13"/>
      <c r="BF1100" s="13"/>
      <c r="BG1100" s="13"/>
      <c r="BH1100" s="13"/>
      <c r="BI1100" s="13"/>
      <c r="BJ1100" s="13"/>
      <c r="BK1100" s="13"/>
      <c r="BL1100" s="13"/>
      <c r="BM1100" s="13"/>
      <c r="BN1100" s="13"/>
      <c r="BO1100" s="13"/>
      <c r="BP1100" s="13"/>
      <c r="BQ1100" s="15"/>
      <c r="BR1100" s="15"/>
      <c r="BS1100" s="15"/>
      <c r="BT1100" s="15"/>
      <c r="BU1100" s="15"/>
      <c r="BV1100" s="15"/>
      <c r="BW1100" s="15"/>
      <c r="BX1100" s="15"/>
      <c r="BY1100" s="15"/>
      <c r="BZ1100" s="15"/>
      <c r="CA1100" s="15"/>
      <c r="CB1100" s="17"/>
      <c r="CC1100" s="17"/>
      <c r="CD1100" s="18"/>
      <c r="CE1100" s="18"/>
      <c r="CF1100" s="18"/>
      <c r="CG1100" s="18"/>
      <c r="CH1100" s="18"/>
    </row>
    <row r="1101">
      <c r="A1101" s="15"/>
      <c r="B1101" s="16"/>
      <c r="C1101" s="15"/>
      <c r="D1101" s="9"/>
      <c r="E1101" s="15"/>
      <c r="F1101" s="15"/>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5"/>
      <c r="AC1101" s="15"/>
      <c r="AD1101" s="15"/>
      <c r="AE1101" s="13"/>
      <c r="AF1101" s="13"/>
      <c r="AG1101" s="13"/>
      <c r="AH1101" s="15"/>
      <c r="AI1101" s="13"/>
      <c r="AJ1101" s="13"/>
      <c r="AK1101" s="13"/>
      <c r="AL1101" s="13"/>
      <c r="AM1101" s="15"/>
      <c r="AN1101" s="13"/>
      <c r="AO1101" s="15"/>
      <c r="AP1101" s="15"/>
      <c r="AQ1101" s="13"/>
      <c r="AR1101" s="13"/>
      <c r="AS1101" s="13"/>
      <c r="AT1101" s="13"/>
      <c r="AU1101" s="13"/>
      <c r="AV1101" s="13"/>
      <c r="AW1101" s="13"/>
      <c r="AX1101" s="13"/>
      <c r="AY1101" s="15"/>
      <c r="AZ1101" s="15"/>
      <c r="BA1101" s="16"/>
      <c r="BB1101" s="15"/>
      <c r="BC1101" s="15"/>
      <c r="BD1101" s="13"/>
      <c r="BE1101" s="13"/>
      <c r="BF1101" s="13"/>
      <c r="BG1101" s="13"/>
      <c r="BH1101" s="13"/>
      <c r="BI1101" s="13"/>
      <c r="BJ1101" s="13"/>
      <c r="BK1101" s="13"/>
      <c r="BL1101" s="13"/>
      <c r="BM1101" s="13"/>
      <c r="BN1101" s="13"/>
      <c r="BO1101" s="13"/>
      <c r="BP1101" s="13"/>
      <c r="BQ1101" s="15"/>
      <c r="BR1101" s="15"/>
      <c r="BS1101" s="15"/>
      <c r="BT1101" s="15"/>
      <c r="BU1101" s="15"/>
      <c r="BV1101" s="15"/>
      <c r="BW1101" s="15"/>
      <c r="BX1101" s="15"/>
      <c r="BY1101" s="15"/>
      <c r="BZ1101" s="15"/>
      <c r="CA1101" s="15"/>
      <c r="CB1101" s="17"/>
      <c r="CC1101" s="17"/>
      <c r="CD1101" s="18"/>
      <c r="CE1101" s="18"/>
      <c r="CF1101" s="18"/>
      <c r="CG1101" s="18"/>
      <c r="CH1101" s="18"/>
    </row>
    <row r="1102">
      <c r="A1102" s="15"/>
      <c r="B1102" s="16"/>
      <c r="C1102" s="15"/>
      <c r="D1102" s="9"/>
      <c r="E1102" s="15"/>
      <c r="F1102" s="15"/>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5"/>
      <c r="AC1102" s="15"/>
      <c r="AD1102" s="15"/>
      <c r="AE1102" s="13"/>
      <c r="AF1102" s="13"/>
      <c r="AG1102" s="13"/>
      <c r="AH1102" s="15"/>
      <c r="AI1102" s="13"/>
      <c r="AJ1102" s="13"/>
      <c r="AK1102" s="13"/>
      <c r="AL1102" s="13"/>
      <c r="AM1102" s="15"/>
      <c r="AN1102" s="13"/>
      <c r="AO1102" s="15"/>
      <c r="AP1102" s="15"/>
      <c r="AQ1102" s="13"/>
      <c r="AR1102" s="13"/>
      <c r="AS1102" s="13"/>
      <c r="AT1102" s="13"/>
      <c r="AU1102" s="13"/>
      <c r="AV1102" s="13"/>
      <c r="AW1102" s="13"/>
      <c r="AX1102" s="13"/>
      <c r="AY1102" s="15"/>
      <c r="AZ1102" s="15"/>
      <c r="BA1102" s="16"/>
      <c r="BB1102" s="15"/>
      <c r="BC1102" s="15"/>
      <c r="BD1102" s="13"/>
      <c r="BE1102" s="13"/>
      <c r="BF1102" s="13"/>
      <c r="BG1102" s="13"/>
      <c r="BH1102" s="13"/>
      <c r="BI1102" s="13"/>
      <c r="BJ1102" s="13"/>
      <c r="BK1102" s="13"/>
      <c r="BL1102" s="13"/>
      <c r="BM1102" s="13"/>
      <c r="BN1102" s="13"/>
      <c r="BO1102" s="13"/>
      <c r="BP1102" s="13"/>
      <c r="BQ1102" s="15"/>
      <c r="BR1102" s="15"/>
      <c r="BS1102" s="15"/>
      <c r="BT1102" s="15"/>
      <c r="BU1102" s="15"/>
      <c r="BV1102" s="15"/>
      <c r="BW1102" s="15"/>
      <c r="BX1102" s="15"/>
      <c r="BY1102" s="15"/>
      <c r="BZ1102" s="15"/>
      <c r="CA1102" s="15"/>
      <c r="CB1102" s="17"/>
      <c r="CC1102" s="17"/>
      <c r="CD1102" s="18"/>
      <c r="CE1102" s="18"/>
      <c r="CF1102" s="18"/>
      <c r="CG1102" s="18"/>
      <c r="CH1102" s="18"/>
    </row>
    <row r="1103">
      <c r="A1103" s="15"/>
      <c r="B1103" s="16"/>
      <c r="C1103" s="15"/>
      <c r="D1103" s="9"/>
      <c r="E1103" s="15"/>
      <c r="F1103" s="15"/>
      <c r="G1103" s="13"/>
      <c r="H1103" s="13"/>
      <c r="I1103" s="13"/>
      <c r="J1103" s="13"/>
      <c r="K1103" s="13"/>
      <c r="L1103" s="13"/>
      <c r="M1103" s="13"/>
      <c r="N1103" s="13"/>
      <c r="O1103" s="13"/>
      <c r="P1103" s="13"/>
      <c r="Q1103" s="13"/>
      <c r="R1103" s="13"/>
      <c r="S1103" s="13"/>
      <c r="T1103" s="13"/>
      <c r="U1103" s="13"/>
      <c r="V1103" s="13"/>
      <c r="W1103" s="13"/>
      <c r="X1103" s="13"/>
      <c r="Y1103" s="13"/>
      <c r="Z1103" s="13"/>
      <c r="AA1103" s="13"/>
      <c r="AB1103" s="15"/>
      <c r="AC1103" s="15"/>
      <c r="AD1103" s="15"/>
      <c r="AE1103" s="13"/>
      <c r="AF1103" s="13"/>
      <c r="AG1103" s="13"/>
      <c r="AH1103" s="15"/>
      <c r="AI1103" s="13"/>
      <c r="AJ1103" s="13"/>
      <c r="AK1103" s="13"/>
      <c r="AL1103" s="13"/>
      <c r="AM1103" s="15"/>
      <c r="AN1103" s="13"/>
      <c r="AO1103" s="15"/>
      <c r="AP1103" s="15"/>
      <c r="AQ1103" s="13"/>
      <c r="AR1103" s="13"/>
      <c r="AS1103" s="13"/>
      <c r="AT1103" s="13"/>
      <c r="AU1103" s="13"/>
      <c r="AV1103" s="13"/>
      <c r="AW1103" s="13"/>
      <c r="AX1103" s="13"/>
      <c r="AY1103" s="15"/>
      <c r="AZ1103" s="15"/>
      <c r="BA1103" s="16"/>
      <c r="BB1103" s="15"/>
      <c r="BC1103" s="15"/>
      <c r="BD1103" s="13"/>
      <c r="BE1103" s="13"/>
      <c r="BF1103" s="13"/>
      <c r="BG1103" s="13"/>
      <c r="BH1103" s="13"/>
      <c r="BI1103" s="13"/>
      <c r="BJ1103" s="13"/>
      <c r="BK1103" s="13"/>
      <c r="BL1103" s="13"/>
      <c r="BM1103" s="13"/>
      <c r="BN1103" s="13"/>
      <c r="BO1103" s="13"/>
      <c r="BP1103" s="13"/>
      <c r="BQ1103" s="15"/>
      <c r="BR1103" s="15"/>
      <c r="BS1103" s="15"/>
      <c r="BT1103" s="15"/>
      <c r="BU1103" s="15"/>
      <c r="BV1103" s="15"/>
      <c r="BW1103" s="15"/>
      <c r="BX1103" s="15"/>
      <c r="BY1103" s="15"/>
      <c r="BZ1103" s="15"/>
      <c r="CA1103" s="15"/>
      <c r="CB1103" s="17"/>
      <c r="CC1103" s="17"/>
      <c r="CD1103" s="18"/>
      <c r="CE1103" s="18"/>
      <c r="CF1103" s="18"/>
      <c r="CG1103" s="18"/>
      <c r="CH1103" s="18"/>
    </row>
    <row r="1104">
      <c r="A1104" s="15"/>
      <c r="B1104" s="16"/>
      <c r="C1104" s="15"/>
      <c r="D1104" s="9"/>
      <c r="E1104" s="15"/>
      <c r="F1104" s="15"/>
      <c r="G1104" s="13"/>
      <c r="H1104" s="13"/>
      <c r="I1104" s="13"/>
      <c r="J1104" s="13"/>
      <c r="K1104" s="13"/>
      <c r="L1104" s="13"/>
      <c r="M1104" s="13"/>
      <c r="N1104" s="13"/>
      <c r="O1104" s="13"/>
      <c r="P1104" s="13"/>
      <c r="Q1104" s="13"/>
      <c r="R1104" s="13"/>
      <c r="S1104" s="13"/>
      <c r="T1104" s="13"/>
      <c r="U1104" s="13"/>
      <c r="V1104" s="13"/>
      <c r="W1104" s="13"/>
      <c r="X1104" s="13"/>
      <c r="Y1104" s="13"/>
      <c r="Z1104" s="13"/>
      <c r="AA1104" s="13"/>
      <c r="AB1104" s="15"/>
      <c r="AC1104" s="15"/>
      <c r="AD1104" s="15"/>
      <c r="AE1104" s="13"/>
      <c r="AF1104" s="13"/>
      <c r="AG1104" s="13"/>
      <c r="AH1104" s="15"/>
      <c r="AI1104" s="13"/>
      <c r="AJ1104" s="13"/>
      <c r="AK1104" s="13"/>
      <c r="AL1104" s="13"/>
      <c r="AM1104" s="15"/>
      <c r="AN1104" s="13"/>
      <c r="AO1104" s="15"/>
      <c r="AP1104" s="15"/>
      <c r="AQ1104" s="13"/>
      <c r="AR1104" s="13"/>
      <c r="AS1104" s="13"/>
      <c r="AT1104" s="13"/>
      <c r="AU1104" s="13"/>
      <c r="AV1104" s="13"/>
      <c r="AW1104" s="13"/>
      <c r="AX1104" s="13"/>
      <c r="AY1104" s="15"/>
      <c r="AZ1104" s="15"/>
      <c r="BA1104" s="16"/>
      <c r="BB1104" s="15"/>
      <c r="BC1104" s="15"/>
      <c r="BD1104" s="13"/>
      <c r="BE1104" s="13"/>
      <c r="BF1104" s="13"/>
      <c r="BG1104" s="13"/>
      <c r="BH1104" s="13"/>
      <c r="BI1104" s="13"/>
      <c r="BJ1104" s="13"/>
      <c r="BK1104" s="13"/>
      <c r="BL1104" s="13"/>
      <c r="BM1104" s="13"/>
      <c r="BN1104" s="13"/>
      <c r="BO1104" s="13"/>
      <c r="BP1104" s="13"/>
      <c r="BQ1104" s="15"/>
      <c r="BR1104" s="15"/>
      <c r="BS1104" s="15"/>
      <c r="BT1104" s="15"/>
      <c r="BU1104" s="15"/>
      <c r="BV1104" s="15"/>
      <c r="BW1104" s="15"/>
      <c r="BX1104" s="15"/>
      <c r="BY1104" s="15"/>
      <c r="BZ1104" s="15"/>
      <c r="CA1104" s="15"/>
      <c r="CB1104" s="17"/>
      <c r="CC1104" s="17"/>
      <c r="CD1104" s="18"/>
      <c r="CE1104" s="18"/>
      <c r="CF1104" s="18"/>
      <c r="CG1104" s="18"/>
      <c r="CH1104" s="18"/>
    </row>
    <row r="1105">
      <c r="A1105" s="15"/>
      <c r="B1105" s="16"/>
      <c r="C1105" s="15"/>
      <c r="D1105" s="9"/>
      <c r="E1105" s="15"/>
      <c r="F1105" s="15"/>
      <c r="G1105" s="13"/>
      <c r="H1105" s="13"/>
      <c r="I1105" s="13"/>
      <c r="J1105" s="13"/>
      <c r="K1105" s="13"/>
      <c r="L1105" s="13"/>
      <c r="M1105" s="13"/>
      <c r="N1105" s="13"/>
      <c r="O1105" s="13"/>
      <c r="P1105" s="13"/>
      <c r="Q1105" s="13"/>
      <c r="R1105" s="13"/>
      <c r="S1105" s="13"/>
      <c r="T1105" s="13"/>
      <c r="U1105" s="13"/>
      <c r="V1105" s="13"/>
      <c r="W1105" s="13"/>
      <c r="X1105" s="13"/>
      <c r="Y1105" s="13"/>
      <c r="Z1105" s="13"/>
      <c r="AA1105" s="13"/>
      <c r="AB1105" s="15"/>
      <c r="AC1105" s="15"/>
      <c r="AD1105" s="15"/>
      <c r="AE1105" s="13"/>
      <c r="AF1105" s="13"/>
      <c r="AG1105" s="13"/>
      <c r="AH1105" s="15"/>
      <c r="AI1105" s="13"/>
      <c r="AJ1105" s="13"/>
      <c r="AK1105" s="13"/>
      <c r="AL1105" s="13"/>
      <c r="AM1105" s="15"/>
      <c r="AN1105" s="13"/>
      <c r="AO1105" s="15"/>
      <c r="AP1105" s="15"/>
      <c r="AQ1105" s="13"/>
      <c r="AR1105" s="13"/>
      <c r="AS1105" s="13"/>
      <c r="AT1105" s="13"/>
      <c r="AU1105" s="13"/>
      <c r="AV1105" s="13"/>
      <c r="AW1105" s="13"/>
      <c r="AX1105" s="13"/>
      <c r="AY1105" s="15"/>
      <c r="AZ1105" s="15"/>
      <c r="BA1105" s="16"/>
      <c r="BB1105" s="15"/>
      <c r="BC1105" s="15"/>
      <c r="BD1105" s="13"/>
      <c r="BE1105" s="13"/>
      <c r="BF1105" s="13"/>
      <c r="BG1105" s="13"/>
      <c r="BH1105" s="13"/>
      <c r="BI1105" s="13"/>
      <c r="BJ1105" s="13"/>
      <c r="BK1105" s="13"/>
      <c r="BL1105" s="13"/>
      <c r="BM1105" s="13"/>
      <c r="BN1105" s="13"/>
      <c r="BO1105" s="13"/>
      <c r="BP1105" s="13"/>
      <c r="BQ1105" s="15"/>
      <c r="BR1105" s="15"/>
      <c r="BS1105" s="15"/>
      <c r="BT1105" s="15"/>
      <c r="BU1105" s="15"/>
      <c r="BV1105" s="15"/>
      <c r="BW1105" s="15"/>
      <c r="BX1105" s="15"/>
      <c r="BY1105" s="15"/>
      <c r="BZ1105" s="15"/>
      <c r="CA1105" s="15"/>
      <c r="CB1105" s="17"/>
      <c r="CC1105" s="17"/>
      <c r="CD1105" s="18"/>
      <c r="CE1105" s="18"/>
      <c r="CF1105" s="18"/>
      <c r="CG1105" s="18"/>
      <c r="CH1105" s="18"/>
    </row>
    <row r="1106">
      <c r="A1106" s="15"/>
      <c r="B1106" s="16"/>
      <c r="C1106" s="15"/>
      <c r="D1106" s="9"/>
      <c r="E1106" s="15"/>
      <c r="F1106" s="15"/>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5"/>
      <c r="AC1106" s="15"/>
      <c r="AD1106" s="15"/>
      <c r="AE1106" s="13"/>
      <c r="AF1106" s="13"/>
      <c r="AG1106" s="13"/>
      <c r="AH1106" s="15"/>
      <c r="AI1106" s="13"/>
      <c r="AJ1106" s="13"/>
      <c r="AK1106" s="13"/>
      <c r="AL1106" s="13"/>
      <c r="AM1106" s="15"/>
      <c r="AN1106" s="13"/>
      <c r="AO1106" s="15"/>
      <c r="AP1106" s="15"/>
      <c r="AQ1106" s="13"/>
      <c r="AR1106" s="13"/>
      <c r="AS1106" s="13"/>
      <c r="AT1106" s="13"/>
      <c r="AU1106" s="13"/>
      <c r="AV1106" s="13"/>
      <c r="AW1106" s="13"/>
      <c r="AX1106" s="13"/>
      <c r="AY1106" s="15"/>
      <c r="AZ1106" s="15"/>
      <c r="BA1106" s="16"/>
      <c r="BB1106" s="15"/>
      <c r="BC1106" s="15"/>
      <c r="BD1106" s="13"/>
      <c r="BE1106" s="13"/>
      <c r="BF1106" s="13"/>
      <c r="BG1106" s="13"/>
      <c r="BH1106" s="13"/>
      <c r="BI1106" s="13"/>
      <c r="BJ1106" s="13"/>
      <c r="BK1106" s="13"/>
      <c r="BL1106" s="13"/>
      <c r="BM1106" s="13"/>
      <c r="BN1106" s="13"/>
      <c r="BO1106" s="13"/>
      <c r="BP1106" s="13"/>
      <c r="BQ1106" s="15"/>
      <c r="BR1106" s="15"/>
      <c r="BS1106" s="15"/>
      <c r="BT1106" s="15"/>
      <c r="BU1106" s="15"/>
      <c r="BV1106" s="15"/>
      <c r="BW1106" s="15"/>
      <c r="BX1106" s="15"/>
      <c r="BY1106" s="15"/>
      <c r="BZ1106" s="15"/>
      <c r="CA1106" s="15"/>
      <c r="CB1106" s="17"/>
      <c r="CC1106" s="17"/>
      <c r="CD1106" s="18"/>
      <c r="CE1106" s="18"/>
      <c r="CF1106" s="18"/>
      <c r="CG1106" s="18"/>
      <c r="CH1106" s="18"/>
    </row>
    <row r="1107">
      <c r="A1107" s="15"/>
      <c r="B1107" s="16"/>
      <c r="C1107" s="15"/>
      <c r="D1107" s="9"/>
      <c r="E1107" s="15"/>
      <c r="F1107" s="15"/>
      <c r="G1107" s="13"/>
      <c r="H1107" s="13"/>
      <c r="I1107" s="13"/>
      <c r="J1107" s="13"/>
      <c r="K1107" s="13"/>
      <c r="L1107" s="13"/>
      <c r="M1107" s="13"/>
      <c r="N1107" s="13"/>
      <c r="O1107" s="13"/>
      <c r="P1107" s="13"/>
      <c r="Q1107" s="13"/>
      <c r="R1107" s="13"/>
      <c r="S1107" s="13"/>
      <c r="T1107" s="13"/>
      <c r="U1107" s="13"/>
      <c r="V1107" s="13"/>
      <c r="W1107" s="13"/>
      <c r="X1107" s="13"/>
      <c r="Y1107" s="13"/>
      <c r="Z1107" s="13"/>
      <c r="AA1107" s="13"/>
      <c r="AB1107" s="15"/>
      <c r="AC1107" s="15"/>
      <c r="AD1107" s="15"/>
      <c r="AE1107" s="13"/>
      <c r="AF1107" s="13"/>
      <c r="AG1107" s="13"/>
      <c r="AH1107" s="15"/>
      <c r="AI1107" s="13"/>
      <c r="AJ1107" s="13"/>
      <c r="AK1107" s="13"/>
      <c r="AL1107" s="13"/>
      <c r="AM1107" s="15"/>
      <c r="AN1107" s="13"/>
      <c r="AO1107" s="15"/>
      <c r="AP1107" s="15"/>
      <c r="AQ1107" s="13"/>
      <c r="AR1107" s="13"/>
      <c r="AS1107" s="13"/>
      <c r="AT1107" s="13"/>
      <c r="AU1107" s="13"/>
      <c r="AV1107" s="13"/>
      <c r="AW1107" s="13"/>
      <c r="AX1107" s="13"/>
      <c r="AY1107" s="15"/>
      <c r="AZ1107" s="15"/>
      <c r="BA1107" s="16"/>
      <c r="BB1107" s="15"/>
      <c r="BC1107" s="15"/>
      <c r="BD1107" s="13"/>
      <c r="BE1107" s="13"/>
      <c r="BF1107" s="13"/>
      <c r="BG1107" s="13"/>
      <c r="BH1107" s="13"/>
      <c r="BI1107" s="13"/>
      <c r="BJ1107" s="13"/>
      <c r="BK1107" s="13"/>
      <c r="BL1107" s="13"/>
      <c r="BM1107" s="13"/>
      <c r="BN1107" s="13"/>
      <c r="BO1107" s="13"/>
      <c r="BP1107" s="13"/>
      <c r="BQ1107" s="15"/>
      <c r="BR1107" s="15"/>
      <c r="BS1107" s="15"/>
      <c r="BT1107" s="15"/>
      <c r="BU1107" s="15"/>
      <c r="BV1107" s="15"/>
      <c r="BW1107" s="15"/>
      <c r="BX1107" s="15"/>
      <c r="BY1107" s="15"/>
      <c r="BZ1107" s="15"/>
      <c r="CA1107" s="15"/>
      <c r="CB1107" s="17"/>
      <c r="CC1107" s="17"/>
      <c r="CD1107" s="18"/>
      <c r="CE1107" s="18"/>
      <c r="CF1107" s="18"/>
      <c r="CG1107" s="18"/>
      <c r="CH1107" s="18"/>
    </row>
    <row r="1108">
      <c r="A1108" s="15"/>
      <c r="B1108" s="16"/>
      <c r="C1108" s="15"/>
      <c r="D1108" s="9"/>
      <c r="E1108" s="15"/>
      <c r="F1108" s="15"/>
      <c r="G1108" s="13"/>
      <c r="H1108" s="13"/>
      <c r="I1108" s="13"/>
      <c r="J1108" s="13"/>
      <c r="K1108" s="13"/>
      <c r="L1108" s="13"/>
      <c r="M1108" s="13"/>
      <c r="N1108" s="13"/>
      <c r="O1108" s="13"/>
      <c r="P1108" s="13"/>
      <c r="Q1108" s="13"/>
      <c r="R1108" s="13"/>
      <c r="S1108" s="13"/>
      <c r="T1108" s="13"/>
      <c r="U1108" s="13"/>
      <c r="V1108" s="13"/>
      <c r="W1108" s="13"/>
      <c r="X1108" s="13"/>
      <c r="Y1108" s="13"/>
      <c r="Z1108" s="13"/>
      <c r="AA1108" s="13"/>
      <c r="AB1108" s="15"/>
      <c r="AC1108" s="15"/>
      <c r="AD1108" s="15"/>
      <c r="AE1108" s="13"/>
      <c r="AF1108" s="13"/>
      <c r="AG1108" s="13"/>
      <c r="AH1108" s="15"/>
      <c r="AI1108" s="13"/>
      <c r="AJ1108" s="13"/>
      <c r="AK1108" s="13"/>
      <c r="AL1108" s="13"/>
      <c r="AM1108" s="15"/>
      <c r="AN1108" s="13"/>
      <c r="AO1108" s="15"/>
      <c r="AP1108" s="15"/>
      <c r="AQ1108" s="13"/>
      <c r="AR1108" s="13"/>
      <c r="AS1108" s="13"/>
      <c r="AT1108" s="13"/>
      <c r="AU1108" s="13"/>
      <c r="AV1108" s="13"/>
      <c r="AW1108" s="13"/>
      <c r="AX1108" s="13"/>
      <c r="AY1108" s="15"/>
      <c r="AZ1108" s="15"/>
      <c r="BA1108" s="16"/>
      <c r="BB1108" s="15"/>
      <c r="BC1108" s="15"/>
      <c r="BD1108" s="13"/>
      <c r="BE1108" s="13"/>
      <c r="BF1108" s="13"/>
      <c r="BG1108" s="13"/>
      <c r="BH1108" s="13"/>
      <c r="BI1108" s="13"/>
      <c r="BJ1108" s="13"/>
      <c r="BK1108" s="13"/>
      <c r="BL1108" s="13"/>
      <c r="BM1108" s="13"/>
      <c r="BN1108" s="13"/>
      <c r="BO1108" s="13"/>
      <c r="BP1108" s="13"/>
      <c r="BQ1108" s="15"/>
      <c r="BR1108" s="15"/>
      <c r="BS1108" s="15"/>
      <c r="BT1108" s="15"/>
      <c r="BU1108" s="15"/>
      <c r="BV1108" s="15"/>
      <c r="BW1108" s="15"/>
      <c r="BX1108" s="15"/>
      <c r="BY1108" s="15"/>
      <c r="BZ1108" s="15"/>
      <c r="CA1108" s="15"/>
      <c r="CB1108" s="17"/>
      <c r="CC1108" s="17"/>
      <c r="CD1108" s="18"/>
      <c r="CE1108" s="18"/>
      <c r="CF1108" s="18"/>
      <c r="CG1108" s="18"/>
      <c r="CH1108" s="18"/>
    </row>
    <row r="1109">
      <c r="A1109" s="15"/>
      <c r="B1109" s="16"/>
      <c r="C1109" s="15"/>
      <c r="D1109" s="9"/>
      <c r="E1109" s="15"/>
      <c r="F1109" s="15"/>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5"/>
      <c r="AC1109" s="15"/>
      <c r="AD1109" s="15"/>
      <c r="AE1109" s="13"/>
      <c r="AF1109" s="13"/>
      <c r="AG1109" s="13"/>
      <c r="AH1109" s="15"/>
      <c r="AI1109" s="13"/>
      <c r="AJ1109" s="13"/>
      <c r="AK1109" s="13"/>
      <c r="AL1109" s="13"/>
      <c r="AM1109" s="15"/>
      <c r="AN1109" s="13"/>
      <c r="AO1109" s="15"/>
      <c r="AP1109" s="15"/>
      <c r="AQ1109" s="13"/>
      <c r="AR1109" s="13"/>
      <c r="AS1109" s="13"/>
      <c r="AT1109" s="13"/>
      <c r="AU1109" s="13"/>
      <c r="AV1109" s="13"/>
      <c r="AW1109" s="13"/>
      <c r="AX1109" s="13"/>
      <c r="AY1109" s="15"/>
      <c r="AZ1109" s="15"/>
      <c r="BA1109" s="16"/>
      <c r="BB1109" s="15"/>
      <c r="BC1109" s="15"/>
      <c r="BD1109" s="13"/>
      <c r="BE1109" s="13"/>
      <c r="BF1109" s="13"/>
      <c r="BG1109" s="13"/>
      <c r="BH1109" s="13"/>
      <c r="BI1109" s="13"/>
      <c r="BJ1109" s="13"/>
      <c r="BK1109" s="13"/>
      <c r="BL1109" s="13"/>
      <c r="BM1109" s="13"/>
      <c r="BN1109" s="13"/>
      <c r="BO1109" s="13"/>
      <c r="BP1109" s="13"/>
      <c r="BQ1109" s="15"/>
      <c r="BR1109" s="15"/>
      <c r="BS1109" s="15"/>
      <c r="BT1109" s="15"/>
      <c r="BU1109" s="15"/>
      <c r="BV1109" s="15"/>
      <c r="BW1109" s="15"/>
      <c r="BX1109" s="15"/>
      <c r="BY1109" s="15"/>
      <c r="BZ1109" s="15"/>
      <c r="CA1109" s="15"/>
      <c r="CB1109" s="17"/>
      <c r="CC1109" s="17"/>
      <c r="CD1109" s="18"/>
      <c r="CE1109" s="18"/>
      <c r="CF1109" s="18"/>
      <c r="CG1109" s="18"/>
      <c r="CH1109" s="18"/>
    </row>
    <row r="1110">
      <c r="A1110" s="15"/>
      <c r="B1110" s="16"/>
      <c r="C1110" s="15"/>
      <c r="D1110" s="9"/>
      <c r="E1110" s="15"/>
      <c r="F1110" s="15"/>
      <c r="G1110" s="13"/>
      <c r="H1110" s="13"/>
      <c r="I1110" s="13"/>
      <c r="J1110" s="13"/>
      <c r="K1110" s="13"/>
      <c r="L1110" s="13"/>
      <c r="M1110" s="13"/>
      <c r="N1110" s="13"/>
      <c r="O1110" s="13"/>
      <c r="P1110" s="13"/>
      <c r="Q1110" s="13"/>
      <c r="R1110" s="13"/>
      <c r="S1110" s="13"/>
      <c r="T1110" s="13"/>
      <c r="U1110" s="13"/>
      <c r="V1110" s="13"/>
      <c r="W1110" s="13"/>
      <c r="X1110" s="13"/>
      <c r="Y1110" s="13"/>
      <c r="Z1110" s="13"/>
      <c r="AA1110" s="13"/>
      <c r="AB1110" s="15"/>
      <c r="AC1110" s="15"/>
      <c r="AD1110" s="15"/>
      <c r="AE1110" s="13"/>
      <c r="AF1110" s="13"/>
      <c r="AG1110" s="13"/>
      <c r="AH1110" s="15"/>
      <c r="AI1110" s="13"/>
      <c r="AJ1110" s="13"/>
      <c r="AK1110" s="13"/>
      <c r="AL1110" s="13"/>
      <c r="AM1110" s="15"/>
      <c r="AN1110" s="13"/>
      <c r="AO1110" s="15"/>
      <c r="AP1110" s="15"/>
      <c r="AQ1110" s="13"/>
      <c r="AR1110" s="13"/>
      <c r="AS1110" s="13"/>
      <c r="AT1110" s="13"/>
      <c r="AU1110" s="13"/>
      <c r="AV1110" s="13"/>
      <c r="AW1110" s="13"/>
      <c r="AX1110" s="13"/>
      <c r="AY1110" s="15"/>
      <c r="AZ1110" s="15"/>
      <c r="BA1110" s="16"/>
      <c r="BB1110" s="15"/>
      <c r="BC1110" s="15"/>
      <c r="BD1110" s="13"/>
      <c r="BE1110" s="13"/>
      <c r="BF1110" s="13"/>
      <c r="BG1110" s="13"/>
      <c r="BH1110" s="13"/>
      <c r="BI1110" s="13"/>
      <c r="BJ1110" s="13"/>
      <c r="BK1110" s="13"/>
      <c r="BL1110" s="13"/>
      <c r="BM1110" s="13"/>
      <c r="BN1110" s="13"/>
      <c r="BO1110" s="13"/>
      <c r="BP1110" s="13"/>
      <c r="BQ1110" s="15"/>
      <c r="BR1110" s="15"/>
      <c r="BS1110" s="15"/>
      <c r="BT1110" s="15"/>
      <c r="BU1110" s="15"/>
      <c r="BV1110" s="15"/>
      <c r="BW1110" s="15"/>
      <c r="BX1110" s="15"/>
      <c r="BY1110" s="15"/>
      <c r="BZ1110" s="15"/>
      <c r="CA1110" s="15"/>
      <c r="CB1110" s="17"/>
      <c r="CC1110" s="17"/>
      <c r="CD1110" s="18"/>
      <c r="CE1110" s="18"/>
      <c r="CF1110" s="18"/>
      <c r="CG1110" s="18"/>
      <c r="CH1110" s="18"/>
    </row>
    <row r="1111">
      <c r="A1111" s="15"/>
      <c r="B1111" s="16"/>
      <c r="C1111" s="15"/>
      <c r="D1111" s="9"/>
      <c r="E1111" s="15"/>
      <c r="F1111" s="15"/>
      <c r="G1111" s="13"/>
      <c r="H1111" s="13"/>
      <c r="I1111" s="13"/>
      <c r="J1111" s="13"/>
      <c r="K1111" s="13"/>
      <c r="L1111" s="13"/>
      <c r="M1111" s="13"/>
      <c r="N1111" s="13"/>
      <c r="O1111" s="13"/>
      <c r="P1111" s="13"/>
      <c r="Q1111" s="13"/>
      <c r="R1111" s="13"/>
      <c r="S1111" s="13"/>
      <c r="T1111" s="13"/>
      <c r="U1111" s="13"/>
      <c r="V1111" s="13"/>
      <c r="W1111" s="13"/>
      <c r="X1111" s="13"/>
      <c r="Y1111" s="13"/>
      <c r="Z1111" s="13"/>
      <c r="AA1111" s="13"/>
      <c r="AB1111" s="15"/>
      <c r="AC1111" s="15"/>
      <c r="AD1111" s="15"/>
      <c r="AE1111" s="13"/>
      <c r="AF1111" s="13"/>
      <c r="AG1111" s="13"/>
      <c r="AH1111" s="15"/>
      <c r="AI1111" s="13"/>
      <c r="AJ1111" s="13"/>
      <c r="AK1111" s="13"/>
      <c r="AL1111" s="13"/>
      <c r="AM1111" s="15"/>
      <c r="AN1111" s="13"/>
      <c r="AO1111" s="15"/>
      <c r="AP1111" s="15"/>
      <c r="AQ1111" s="13"/>
      <c r="AR1111" s="13"/>
      <c r="AS1111" s="13"/>
      <c r="AT1111" s="13"/>
      <c r="AU1111" s="13"/>
      <c r="AV1111" s="13"/>
      <c r="AW1111" s="13"/>
      <c r="AX1111" s="13"/>
      <c r="AY1111" s="15"/>
      <c r="AZ1111" s="15"/>
      <c r="BA1111" s="16"/>
      <c r="BB1111" s="15"/>
      <c r="BC1111" s="15"/>
      <c r="BD1111" s="13"/>
      <c r="BE1111" s="13"/>
      <c r="BF1111" s="13"/>
      <c r="BG1111" s="13"/>
      <c r="BH1111" s="13"/>
      <c r="BI1111" s="13"/>
      <c r="BJ1111" s="13"/>
      <c r="BK1111" s="13"/>
      <c r="BL1111" s="13"/>
      <c r="BM1111" s="13"/>
      <c r="BN1111" s="13"/>
      <c r="BO1111" s="13"/>
      <c r="BP1111" s="13"/>
      <c r="BQ1111" s="15"/>
      <c r="BR1111" s="15"/>
      <c r="BS1111" s="15"/>
      <c r="BT1111" s="15"/>
      <c r="BU1111" s="15"/>
      <c r="BV1111" s="15"/>
      <c r="BW1111" s="15"/>
      <c r="BX1111" s="15"/>
      <c r="BY1111" s="15"/>
      <c r="BZ1111" s="15"/>
      <c r="CA1111" s="15"/>
      <c r="CB1111" s="17"/>
      <c r="CC1111" s="17"/>
      <c r="CD1111" s="18"/>
      <c r="CE1111" s="18"/>
      <c r="CF1111" s="18"/>
      <c r="CG1111" s="18"/>
      <c r="CH1111" s="18"/>
    </row>
    <row r="1112">
      <c r="A1112" s="15"/>
      <c r="B1112" s="16"/>
      <c r="C1112" s="15"/>
      <c r="D1112" s="9"/>
      <c r="E1112" s="15"/>
      <c r="F1112" s="15"/>
      <c r="G1112" s="13"/>
      <c r="H1112" s="13"/>
      <c r="I1112" s="13"/>
      <c r="J1112" s="13"/>
      <c r="K1112" s="13"/>
      <c r="L1112" s="13"/>
      <c r="M1112" s="13"/>
      <c r="N1112" s="13"/>
      <c r="O1112" s="13"/>
      <c r="P1112" s="13"/>
      <c r="Q1112" s="13"/>
      <c r="R1112" s="13"/>
      <c r="S1112" s="13"/>
      <c r="T1112" s="13"/>
      <c r="U1112" s="13"/>
      <c r="V1112" s="13"/>
      <c r="W1112" s="13"/>
      <c r="X1112" s="13"/>
      <c r="Y1112" s="13"/>
      <c r="Z1112" s="13"/>
      <c r="AA1112" s="13"/>
      <c r="AB1112" s="15"/>
      <c r="AC1112" s="15"/>
      <c r="AD1112" s="15"/>
      <c r="AE1112" s="13"/>
      <c r="AF1112" s="13"/>
      <c r="AG1112" s="13"/>
      <c r="AH1112" s="15"/>
      <c r="AI1112" s="13"/>
      <c r="AJ1112" s="13"/>
      <c r="AK1112" s="13"/>
      <c r="AL1112" s="13"/>
      <c r="AM1112" s="15"/>
      <c r="AN1112" s="13"/>
      <c r="AO1112" s="15"/>
      <c r="AP1112" s="15"/>
      <c r="AQ1112" s="13"/>
      <c r="AR1112" s="13"/>
      <c r="AS1112" s="13"/>
      <c r="AT1112" s="13"/>
      <c r="AU1112" s="13"/>
      <c r="AV1112" s="13"/>
      <c r="AW1112" s="13"/>
      <c r="AX1112" s="13"/>
      <c r="AY1112" s="15"/>
      <c r="AZ1112" s="15"/>
      <c r="BA1112" s="16"/>
      <c r="BB1112" s="15"/>
      <c r="BC1112" s="15"/>
      <c r="BD1112" s="13"/>
      <c r="BE1112" s="13"/>
      <c r="BF1112" s="13"/>
      <c r="BG1112" s="13"/>
      <c r="BH1112" s="13"/>
      <c r="BI1112" s="13"/>
      <c r="BJ1112" s="13"/>
      <c r="BK1112" s="13"/>
      <c r="BL1112" s="13"/>
      <c r="BM1112" s="13"/>
      <c r="BN1112" s="13"/>
      <c r="BO1112" s="13"/>
      <c r="BP1112" s="13"/>
      <c r="BQ1112" s="15"/>
      <c r="BR1112" s="15"/>
      <c r="BS1112" s="15"/>
      <c r="BT1112" s="15"/>
      <c r="BU1112" s="15"/>
      <c r="BV1112" s="15"/>
      <c r="BW1112" s="15"/>
      <c r="BX1112" s="15"/>
      <c r="BY1112" s="15"/>
      <c r="BZ1112" s="15"/>
      <c r="CA1112" s="15"/>
      <c r="CB1112" s="17"/>
      <c r="CC1112" s="17"/>
      <c r="CD1112" s="18"/>
      <c r="CE1112" s="18"/>
      <c r="CF1112" s="18"/>
      <c r="CG1112" s="18"/>
      <c r="CH1112" s="18"/>
    </row>
    <row r="1113">
      <c r="A1113" s="15"/>
      <c r="B1113" s="16"/>
      <c r="C1113" s="15"/>
      <c r="D1113" s="9"/>
      <c r="E1113" s="15"/>
      <c r="F1113" s="15"/>
      <c r="G1113" s="13"/>
      <c r="H1113" s="13"/>
      <c r="I1113" s="13"/>
      <c r="J1113" s="13"/>
      <c r="K1113" s="13"/>
      <c r="L1113" s="13"/>
      <c r="M1113" s="13"/>
      <c r="N1113" s="13"/>
      <c r="O1113" s="13"/>
      <c r="P1113" s="13"/>
      <c r="Q1113" s="13"/>
      <c r="R1113" s="13"/>
      <c r="S1113" s="13"/>
      <c r="T1113" s="13"/>
      <c r="U1113" s="13"/>
      <c r="V1113" s="13"/>
      <c r="W1113" s="13"/>
      <c r="X1113" s="13"/>
      <c r="Y1113" s="13"/>
      <c r="Z1113" s="13"/>
      <c r="AA1113" s="13"/>
      <c r="AB1113" s="15"/>
      <c r="AC1113" s="15"/>
      <c r="AD1113" s="15"/>
      <c r="AE1113" s="13"/>
      <c r="AF1113" s="13"/>
      <c r="AG1113" s="13"/>
      <c r="AH1113" s="15"/>
      <c r="AI1113" s="13"/>
      <c r="AJ1113" s="13"/>
      <c r="AK1113" s="13"/>
      <c r="AL1113" s="13"/>
      <c r="AM1113" s="15"/>
      <c r="AN1113" s="13"/>
      <c r="AO1113" s="15"/>
      <c r="AP1113" s="15"/>
      <c r="AQ1113" s="13"/>
      <c r="AR1113" s="13"/>
      <c r="AS1113" s="13"/>
      <c r="AT1113" s="13"/>
      <c r="AU1113" s="13"/>
      <c r="AV1113" s="13"/>
      <c r="AW1113" s="13"/>
      <c r="AX1113" s="13"/>
      <c r="AY1113" s="15"/>
      <c r="AZ1113" s="15"/>
      <c r="BA1113" s="16"/>
      <c r="BB1113" s="15"/>
      <c r="BC1113" s="15"/>
      <c r="BD1113" s="13"/>
      <c r="BE1113" s="13"/>
      <c r="BF1113" s="13"/>
      <c r="BG1113" s="13"/>
      <c r="BH1113" s="13"/>
      <c r="BI1113" s="13"/>
      <c r="BJ1113" s="13"/>
      <c r="BK1113" s="13"/>
      <c r="BL1113" s="13"/>
      <c r="BM1113" s="13"/>
      <c r="BN1113" s="13"/>
      <c r="BO1113" s="13"/>
      <c r="BP1113" s="13"/>
      <c r="BQ1113" s="15"/>
      <c r="BR1113" s="15"/>
      <c r="BS1113" s="15"/>
      <c r="BT1113" s="15"/>
      <c r="BU1113" s="15"/>
      <c r="BV1113" s="15"/>
      <c r="BW1113" s="15"/>
      <c r="BX1113" s="15"/>
      <c r="BY1113" s="15"/>
      <c r="BZ1113" s="15"/>
      <c r="CA1113" s="15"/>
      <c r="CB1113" s="17"/>
      <c r="CC1113" s="17"/>
      <c r="CD1113" s="18"/>
      <c r="CE1113" s="18"/>
      <c r="CF1113" s="18"/>
      <c r="CG1113" s="18"/>
      <c r="CH1113" s="18"/>
    </row>
    <row r="1114">
      <c r="A1114" s="15"/>
      <c r="B1114" s="16"/>
      <c r="C1114" s="15"/>
      <c r="D1114" s="9"/>
      <c r="E1114" s="15"/>
      <c r="F1114" s="15"/>
      <c r="G1114" s="13"/>
      <c r="H1114" s="13"/>
      <c r="I1114" s="13"/>
      <c r="J1114" s="13"/>
      <c r="K1114" s="13"/>
      <c r="L1114" s="13"/>
      <c r="M1114" s="13"/>
      <c r="N1114" s="13"/>
      <c r="O1114" s="13"/>
      <c r="P1114" s="13"/>
      <c r="Q1114" s="13"/>
      <c r="R1114" s="13"/>
      <c r="S1114" s="13"/>
      <c r="T1114" s="13"/>
      <c r="U1114" s="13"/>
      <c r="V1114" s="13"/>
      <c r="W1114" s="13"/>
      <c r="X1114" s="13"/>
      <c r="Y1114" s="13"/>
      <c r="Z1114" s="13"/>
      <c r="AA1114" s="13"/>
      <c r="AB1114" s="15"/>
      <c r="AC1114" s="15"/>
      <c r="AD1114" s="15"/>
      <c r="AE1114" s="13"/>
      <c r="AF1114" s="13"/>
      <c r="AG1114" s="13"/>
      <c r="AH1114" s="15"/>
      <c r="AI1114" s="13"/>
      <c r="AJ1114" s="13"/>
      <c r="AK1114" s="13"/>
      <c r="AL1114" s="13"/>
      <c r="AM1114" s="15"/>
      <c r="AN1114" s="13"/>
      <c r="AO1114" s="15"/>
      <c r="AP1114" s="15"/>
      <c r="AQ1114" s="13"/>
      <c r="AR1114" s="13"/>
      <c r="AS1114" s="13"/>
      <c r="AT1114" s="13"/>
      <c r="AU1114" s="13"/>
      <c r="AV1114" s="13"/>
      <c r="AW1114" s="13"/>
      <c r="AX1114" s="13"/>
      <c r="AY1114" s="15"/>
      <c r="AZ1114" s="15"/>
      <c r="BA1114" s="16"/>
      <c r="BB1114" s="15"/>
      <c r="BC1114" s="15"/>
      <c r="BD1114" s="13"/>
      <c r="BE1114" s="13"/>
      <c r="BF1114" s="13"/>
      <c r="BG1114" s="13"/>
      <c r="BH1114" s="13"/>
      <c r="BI1114" s="13"/>
      <c r="BJ1114" s="13"/>
      <c r="BK1114" s="13"/>
      <c r="BL1114" s="13"/>
      <c r="BM1114" s="13"/>
      <c r="BN1114" s="13"/>
      <c r="BO1114" s="13"/>
      <c r="BP1114" s="13"/>
      <c r="BQ1114" s="15"/>
      <c r="BR1114" s="15"/>
      <c r="BS1114" s="15"/>
      <c r="BT1114" s="15"/>
      <c r="BU1114" s="15"/>
      <c r="BV1114" s="15"/>
      <c r="BW1114" s="15"/>
      <c r="BX1114" s="15"/>
      <c r="BY1114" s="15"/>
      <c r="BZ1114" s="15"/>
      <c r="CA1114" s="15"/>
      <c r="CB1114" s="17"/>
      <c r="CC1114" s="17"/>
      <c r="CD1114" s="18"/>
      <c r="CE1114" s="18"/>
      <c r="CF1114" s="18"/>
      <c r="CG1114" s="18"/>
      <c r="CH1114" s="18"/>
    </row>
    <row r="1115">
      <c r="A1115" s="15"/>
      <c r="B1115" s="16"/>
      <c r="C1115" s="15"/>
      <c r="D1115" s="9"/>
      <c r="E1115" s="15"/>
      <c r="F1115" s="15"/>
      <c r="G1115" s="13"/>
      <c r="H1115" s="13"/>
      <c r="I1115" s="13"/>
      <c r="J1115" s="13"/>
      <c r="K1115" s="13"/>
      <c r="L1115" s="13"/>
      <c r="M1115" s="13"/>
      <c r="N1115" s="13"/>
      <c r="O1115" s="13"/>
      <c r="P1115" s="13"/>
      <c r="Q1115" s="13"/>
      <c r="R1115" s="13"/>
      <c r="S1115" s="13"/>
      <c r="T1115" s="13"/>
      <c r="U1115" s="13"/>
      <c r="V1115" s="13"/>
      <c r="W1115" s="13"/>
      <c r="X1115" s="13"/>
      <c r="Y1115" s="13"/>
      <c r="Z1115" s="13"/>
      <c r="AA1115" s="13"/>
      <c r="AB1115" s="15"/>
      <c r="AC1115" s="15"/>
      <c r="AD1115" s="15"/>
      <c r="AE1115" s="13"/>
      <c r="AF1115" s="13"/>
      <c r="AG1115" s="13"/>
      <c r="AH1115" s="15"/>
      <c r="AI1115" s="13"/>
      <c r="AJ1115" s="13"/>
      <c r="AK1115" s="13"/>
      <c r="AL1115" s="13"/>
      <c r="AM1115" s="15"/>
      <c r="AN1115" s="13"/>
      <c r="AO1115" s="15"/>
      <c r="AP1115" s="15"/>
      <c r="AQ1115" s="13"/>
      <c r="AR1115" s="13"/>
      <c r="AS1115" s="13"/>
      <c r="AT1115" s="13"/>
      <c r="AU1115" s="13"/>
      <c r="AV1115" s="13"/>
      <c r="AW1115" s="13"/>
      <c r="AX1115" s="13"/>
      <c r="AY1115" s="15"/>
      <c r="AZ1115" s="15"/>
      <c r="BA1115" s="16"/>
      <c r="BB1115" s="15"/>
      <c r="BC1115" s="15"/>
      <c r="BD1115" s="13"/>
      <c r="BE1115" s="13"/>
      <c r="BF1115" s="13"/>
      <c r="BG1115" s="13"/>
      <c r="BH1115" s="13"/>
      <c r="BI1115" s="13"/>
      <c r="BJ1115" s="13"/>
      <c r="BK1115" s="13"/>
      <c r="BL1115" s="13"/>
      <c r="BM1115" s="13"/>
      <c r="BN1115" s="13"/>
      <c r="BO1115" s="13"/>
      <c r="BP1115" s="13"/>
      <c r="BQ1115" s="15"/>
      <c r="BR1115" s="15"/>
      <c r="BS1115" s="15"/>
      <c r="BT1115" s="15"/>
      <c r="BU1115" s="15"/>
      <c r="BV1115" s="15"/>
      <c r="BW1115" s="15"/>
      <c r="BX1115" s="15"/>
      <c r="BY1115" s="15"/>
      <c r="BZ1115" s="15"/>
      <c r="CA1115" s="15"/>
      <c r="CB1115" s="17"/>
      <c r="CC1115" s="17"/>
      <c r="CD1115" s="18"/>
      <c r="CE1115" s="18"/>
      <c r="CF1115" s="18"/>
      <c r="CG1115" s="18"/>
      <c r="CH1115" s="18"/>
    </row>
    <row r="1116">
      <c r="A1116" s="15"/>
      <c r="B1116" s="16"/>
      <c r="C1116" s="15"/>
      <c r="D1116" s="9"/>
      <c r="E1116" s="15"/>
      <c r="F1116" s="15"/>
      <c r="G1116" s="13"/>
      <c r="H1116" s="13"/>
      <c r="I1116" s="13"/>
      <c r="J1116" s="13"/>
      <c r="K1116" s="13"/>
      <c r="L1116" s="13"/>
      <c r="M1116" s="13"/>
      <c r="N1116" s="13"/>
      <c r="O1116" s="13"/>
      <c r="P1116" s="13"/>
      <c r="Q1116" s="13"/>
      <c r="R1116" s="13"/>
      <c r="S1116" s="13"/>
      <c r="T1116" s="13"/>
      <c r="U1116" s="13"/>
      <c r="V1116" s="13"/>
      <c r="W1116" s="13"/>
      <c r="X1116" s="13"/>
      <c r="Y1116" s="13"/>
      <c r="Z1116" s="13"/>
      <c r="AA1116" s="13"/>
      <c r="AB1116" s="15"/>
      <c r="AC1116" s="15"/>
      <c r="AD1116" s="15"/>
      <c r="AE1116" s="13"/>
      <c r="AF1116" s="13"/>
      <c r="AG1116" s="13"/>
      <c r="AH1116" s="15"/>
      <c r="AI1116" s="13"/>
      <c r="AJ1116" s="13"/>
      <c r="AK1116" s="13"/>
      <c r="AL1116" s="13"/>
      <c r="AM1116" s="15"/>
      <c r="AN1116" s="13"/>
      <c r="AO1116" s="15"/>
      <c r="AP1116" s="15"/>
      <c r="AQ1116" s="13"/>
      <c r="AR1116" s="13"/>
      <c r="AS1116" s="13"/>
      <c r="AT1116" s="13"/>
      <c r="AU1116" s="13"/>
      <c r="AV1116" s="13"/>
      <c r="AW1116" s="13"/>
      <c r="AX1116" s="13"/>
      <c r="AY1116" s="15"/>
      <c r="AZ1116" s="15"/>
      <c r="BA1116" s="16"/>
      <c r="BB1116" s="15"/>
      <c r="BC1116" s="15"/>
      <c r="BD1116" s="13"/>
      <c r="BE1116" s="13"/>
      <c r="BF1116" s="13"/>
      <c r="BG1116" s="13"/>
      <c r="BH1116" s="13"/>
      <c r="BI1116" s="13"/>
      <c r="BJ1116" s="13"/>
      <c r="BK1116" s="13"/>
      <c r="BL1116" s="13"/>
      <c r="BM1116" s="13"/>
      <c r="BN1116" s="13"/>
      <c r="BO1116" s="13"/>
      <c r="BP1116" s="13"/>
      <c r="BQ1116" s="15"/>
      <c r="BR1116" s="15"/>
      <c r="BS1116" s="15"/>
      <c r="BT1116" s="15"/>
      <c r="BU1116" s="15"/>
      <c r="BV1116" s="15"/>
      <c r="BW1116" s="15"/>
      <c r="BX1116" s="15"/>
      <c r="BY1116" s="15"/>
      <c r="BZ1116" s="15"/>
      <c r="CA1116" s="15"/>
      <c r="CB1116" s="17"/>
      <c r="CC1116" s="17"/>
      <c r="CD1116" s="18"/>
      <c r="CE1116" s="18"/>
      <c r="CF1116" s="18"/>
      <c r="CG1116" s="18"/>
      <c r="CH1116" s="18"/>
    </row>
    <row r="1117">
      <c r="A1117" s="15"/>
      <c r="B1117" s="16"/>
      <c r="C1117" s="15"/>
      <c r="D1117" s="9"/>
      <c r="E1117" s="15"/>
      <c r="F1117" s="15"/>
      <c r="G1117" s="13"/>
      <c r="H1117" s="13"/>
      <c r="I1117" s="13"/>
      <c r="J1117" s="13"/>
      <c r="K1117" s="13"/>
      <c r="L1117" s="13"/>
      <c r="M1117" s="13"/>
      <c r="N1117" s="13"/>
      <c r="O1117" s="13"/>
      <c r="P1117" s="13"/>
      <c r="Q1117" s="13"/>
      <c r="R1117" s="13"/>
      <c r="S1117" s="13"/>
      <c r="T1117" s="13"/>
      <c r="U1117" s="13"/>
      <c r="V1117" s="13"/>
      <c r="W1117" s="13"/>
      <c r="X1117" s="13"/>
      <c r="Y1117" s="13"/>
      <c r="Z1117" s="13"/>
      <c r="AA1117" s="13"/>
      <c r="AB1117" s="15"/>
      <c r="AC1117" s="15"/>
      <c r="AD1117" s="15"/>
      <c r="AE1117" s="13"/>
      <c r="AF1117" s="13"/>
      <c r="AG1117" s="13"/>
      <c r="AH1117" s="15"/>
      <c r="AI1117" s="13"/>
      <c r="AJ1117" s="13"/>
      <c r="AK1117" s="13"/>
      <c r="AL1117" s="13"/>
      <c r="AM1117" s="15"/>
      <c r="AN1117" s="13"/>
      <c r="AO1117" s="15"/>
      <c r="AP1117" s="15"/>
      <c r="AQ1117" s="13"/>
      <c r="AR1117" s="13"/>
      <c r="AS1117" s="13"/>
      <c r="AT1117" s="13"/>
      <c r="AU1117" s="13"/>
      <c r="AV1117" s="13"/>
      <c r="AW1117" s="13"/>
      <c r="AX1117" s="13"/>
      <c r="AY1117" s="15"/>
      <c r="AZ1117" s="15"/>
      <c r="BA1117" s="16"/>
      <c r="BB1117" s="15"/>
      <c r="BC1117" s="15"/>
      <c r="BD1117" s="13"/>
      <c r="BE1117" s="13"/>
      <c r="BF1117" s="13"/>
      <c r="BG1117" s="13"/>
      <c r="BH1117" s="13"/>
      <c r="BI1117" s="13"/>
      <c r="BJ1117" s="13"/>
      <c r="BK1117" s="13"/>
      <c r="BL1117" s="13"/>
      <c r="BM1117" s="13"/>
      <c r="BN1117" s="13"/>
      <c r="BO1117" s="13"/>
      <c r="BP1117" s="13"/>
      <c r="BQ1117" s="15"/>
      <c r="BR1117" s="15"/>
      <c r="BS1117" s="15"/>
      <c r="BT1117" s="15"/>
      <c r="BU1117" s="15"/>
      <c r="BV1117" s="15"/>
      <c r="BW1117" s="15"/>
      <c r="BX1117" s="15"/>
      <c r="BY1117" s="15"/>
      <c r="BZ1117" s="15"/>
      <c r="CA1117" s="15"/>
      <c r="CB1117" s="17"/>
      <c r="CC1117" s="17"/>
      <c r="CD1117" s="18"/>
      <c r="CE1117" s="18"/>
      <c r="CF1117" s="18"/>
      <c r="CG1117" s="18"/>
      <c r="CH1117" s="18"/>
    </row>
    <row r="1118">
      <c r="A1118" s="15"/>
      <c r="B1118" s="16"/>
      <c r="C1118" s="15"/>
      <c r="D1118" s="9"/>
      <c r="E1118" s="15"/>
      <c r="F1118" s="15"/>
      <c r="G1118" s="13"/>
      <c r="H1118" s="13"/>
      <c r="I1118" s="13"/>
      <c r="J1118" s="13"/>
      <c r="K1118" s="13"/>
      <c r="L1118" s="13"/>
      <c r="M1118" s="13"/>
      <c r="N1118" s="13"/>
      <c r="O1118" s="13"/>
      <c r="P1118" s="13"/>
      <c r="Q1118" s="13"/>
      <c r="R1118" s="13"/>
      <c r="S1118" s="13"/>
      <c r="T1118" s="13"/>
      <c r="U1118" s="13"/>
      <c r="V1118" s="13"/>
      <c r="W1118" s="13"/>
      <c r="X1118" s="13"/>
      <c r="Y1118" s="13"/>
      <c r="Z1118" s="13"/>
      <c r="AA1118" s="13"/>
      <c r="AB1118" s="15"/>
      <c r="AC1118" s="15"/>
      <c r="AD1118" s="15"/>
      <c r="AE1118" s="13"/>
      <c r="AF1118" s="13"/>
      <c r="AG1118" s="13"/>
      <c r="AH1118" s="15"/>
      <c r="AI1118" s="13"/>
      <c r="AJ1118" s="13"/>
      <c r="AK1118" s="13"/>
      <c r="AL1118" s="13"/>
      <c r="AM1118" s="15"/>
      <c r="AN1118" s="13"/>
      <c r="AO1118" s="15"/>
      <c r="AP1118" s="15"/>
      <c r="AQ1118" s="13"/>
      <c r="AR1118" s="13"/>
      <c r="AS1118" s="13"/>
      <c r="AT1118" s="13"/>
      <c r="AU1118" s="13"/>
      <c r="AV1118" s="13"/>
      <c r="AW1118" s="13"/>
      <c r="AX1118" s="13"/>
      <c r="AY1118" s="15"/>
      <c r="AZ1118" s="15"/>
      <c r="BA1118" s="16"/>
      <c r="BB1118" s="15"/>
      <c r="BC1118" s="15"/>
      <c r="BD1118" s="13"/>
      <c r="BE1118" s="13"/>
      <c r="BF1118" s="13"/>
      <c r="BG1118" s="13"/>
      <c r="BH1118" s="13"/>
      <c r="BI1118" s="13"/>
      <c r="BJ1118" s="13"/>
      <c r="BK1118" s="13"/>
      <c r="BL1118" s="13"/>
      <c r="BM1118" s="13"/>
      <c r="BN1118" s="13"/>
      <c r="BO1118" s="13"/>
      <c r="BP1118" s="13"/>
      <c r="BQ1118" s="15"/>
      <c r="BR1118" s="15"/>
      <c r="BS1118" s="15"/>
      <c r="BT1118" s="15"/>
      <c r="BU1118" s="15"/>
      <c r="BV1118" s="15"/>
      <c r="BW1118" s="15"/>
      <c r="BX1118" s="15"/>
      <c r="BY1118" s="15"/>
      <c r="BZ1118" s="15"/>
      <c r="CA1118" s="15"/>
      <c r="CB1118" s="17"/>
      <c r="CC1118" s="17"/>
      <c r="CD1118" s="18"/>
      <c r="CE1118" s="18"/>
      <c r="CF1118" s="18"/>
      <c r="CG1118" s="18"/>
      <c r="CH1118" s="18"/>
    </row>
    <row r="1119">
      <c r="A1119" s="15"/>
      <c r="B1119" s="16"/>
      <c r="C1119" s="15"/>
      <c r="D1119" s="9"/>
      <c r="E1119" s="15"/>
      <c r="F1119" s="15"/>
      <c r="G1119" s="13"/>
      <c r="H1119" s="13"/>
      <c r="I1119" s="13"/>
      <c r="J1119" s="13"/>
      <c r="K1119" s="13"/>
      <c r="L1119" s="13"/>
      <c r="M1119" s="13"/>
      <c r="N1119" s="13"/>
      <c r="O1119" s="13"/>
      <c r="P1119" s="13"/>
      <c r="Q1119" s="13"/>
      <c r="R1119" s="13"/>
      <c r="S1119" s="13"/>
      <c r="T1119" s="13"/>
      <c r="U1119" s="13"/>
      <c r="V1119" s="13"/>
      <c r="W1119" s="13"/>
      <c r="X1119" s="13"/>
      <c r="Y1119" s="13"/>
      <c r="Z1119" s="13"/>
      <c r="AA1119" s="13"/>
      <c r="AB1119" s="15"/>
      <c r="AC1119" s="15"/>
      <c r="AD1119" s="15"/>
      <c r="AE1119" s="13"/>
      <c r="AF1119" s="13"/>
      <c r="AG1119" s="13"/>
      <c r="AH1119" s="15"/>
      <c r="AI1119" s="13"/>
      <c r="AJ1119" s="13"/>
      <c r="AK1119" s="13"/>
      <c r="AL1119" s="13"/>
      <c r="AM1119" s="15"/>
      <c r="AN1119" s="13"/>
      <c r="AO1119" s="15"/>
      <c r="AP1119" s="15"/>
      <c r="AQ1119" s="13"/>
      <c r="AR1119" s="13"/>
      <c r="AS1119" s="13"/>
      <c r="AT1119" s="13"/>
      <c r="AU1119" s="13"/>
      <c r="AV1119" s="13"/>
      <c r="AW1119" s="13"/>
      <c r="AX1119" s="13"/>
      <c r="AY1119" s="15"/>
      <c r="AZ1119" s="15"/>
      <c r="BA1119" s="16"/>
      <c r="BB1119" s="15"/>
      <c r="BC1119" s="15"/>
      <c r="BD1119" s="13"/>
      <c r="BE1119" s="13"/>
      <c r="BF1119" s="13"/>
      <c r="BG1119" s="13"/>
      <c r="BH1119" s="13"/>
      <c r="BI1119" s="13"/>
      <c r="BJ1119" s="13"/>
      <c r="BK1119" s="13"/>
      <c r="BL1119" s="13"/>
      <c r="BM1119" s="13"/>
      <c r="BN1119" s="13"/>
      <c r="BO1119" s="13"/>
      <c r="BP1119" s="13"/>
      <c r="BQ1119" s="15"/>
      <c r="BR1119" s="15"/>
      <c r="BS1119" s="15"/>
      <c r="BT1119" s="15"/>
      <c r="BU1119" s="15"/>
      <c r="BV1119" s="15"/>
      <c r="BW1119" s="15"/>
      <c r="BX1119" s="15"/>
      <c r="BY1119" s="15"/>
      <c r="BZ1119" s="15"/>
      <c r="CA1119" s="15"/>
      <c r="CB1119" s="17"/>
      <c r="CC1119" s="17"/>
      <c r="CD1119" s="18"/>
      <c r="CE1119" s="18"/>
      <c r="CF1119" s="18"/>
      <c r="CG1119" s="18"/>
      <c r="CH1119" s="18"/>
    </row>
    <row r="1120">
      <c r="A1120" s="15"/>
      <c r="B1120" s="16"/>
      <c r="C1120" s="15"/>
      <c r="D1120" s="9"/>
      <c r="E1120" s="15"/>
      <c r="F1120" s="15"/>
      <c r="G1120" s="13"/>
      <c r="H1120" s="13"/>
      <c r="I1120" s="13"/>
      <c r="J1120" s="13"/>
      <c r="K1120" s="13"/>
      <c r="L1120" s="13"/>
      <c r="M1120" s="13"/>
      <c r="N1120" s="13"/>
      <c r="O1120" s="13"/>
      <c r="P1120" s="13"/>
      <c r="Q1120" s="13"/>
      <c r="R1120" s="13"/>
      <c r="S1120" s="13"/>
      <c r="T1120" s="13"/>
      <c r="U1120" s="13"/>
      <c r="V1120" s="13"/>
      <c r="W1120" s="13"/>
      <c r="X1120" s="13"/>
      <c r="Y1120" s="13"/>
      <c r="Z1120" s="13"/>
      <c r="AA1120" s="13"/>
      <c r="AB1120" s="15"/>
      <c r="AC1120" s="15"/>
      <c r="AD1120" s="15"/>
      <c r="AE1120" s="13"/>
      <c r="AF1120" s="13"/>
      <c r="AG1120" s="13"/>
      <c r="AH1120" s="15"/>
      <c r="AI1120" s="13"/>
      <c r="AJ1120" s="13"/>
      <c r="AK1120" s="13"/>
      <c r="AL1120" s="13"/>
      <c r="AM1120" s="15"/>
      <c r="AN1120" s="13"/>
      <c r="AO1120" s="15"/>
      <c r="AP1120" s="15"/>
      <c r="AQ1120" s="13"/>
      <c r="AR1120" s="13"/>
      <c r="AS1120" s="13"/>
      <c r="AT1120" s="13"/>
      <c r="AU1120" s="13"/>
      <c r="AV1120" s="13"/>
      <c r="AW1120" s="13"/>
      <c r="AX1120" s="13"/>
      <c r="AY1120" s="15"/>
      <c r="AZ1120" s="15"/>
      <c r="BA1120" s="16"/>
      <c r="BB1120" s="15"/>
      <c r="BC1120" s="15"/>
      <c r="BD1120" s="13"/>
      <c r="BE1120" s="13"/>
      <c r="BF1120" s="13"/>
      <c r="BG1120" s="13"/>
      <c r="BH1120" s="13"/>
      <c r="BI1120" s="13"/>
      <c r="BJ1120" s="13"/>
      <c r="BK1120" s="13"/>
      <c r="BL1120" s="13"/>
      <c r="BM1120" s="13"/>
      <c r="BN1120" s="13"/>
      <c r="BO1120" s="13"/>
      <c r="BP1120" s="13"/>
      <c r="BQ1120" s="15"/>
      <c r="BR1120" s="15"/>
      <c r="BS1120" s="15"/>
      <c r="BT1120" s="15"/>
      <c r="BU1120" s="15"/>
      <c r="BV1120" s="15"/>
      <c r="BW1120" s="15"/>
      <c r="BX1120" s="15"/>
      <c r="BY1120" s="15"/>
      <c r="BZ1120" s="15"/>
      <c r="CA1120" s="15"/>
      <c r="CB1120" s="17"/>
      <c r="CC1120" s="17"/>
      <c r="CD1120" s="18"/>
      <c r="CE1120" s="18"/>
      <c r="CF1120" s="18"/>
      <c r="CG1120" s="18"/>
      <c r="CH1120" s="18"/>
    </row>
    <row r="1121">
      <c r="A1121" s="15"/>
      <c r="B1121" s="16"/>
      <c r="C1121" s="15"/>
      <c r="D1121" s="9"/>
      <c r="E1121" s="15"/>
      <c r="F1121" s="15"/>
      <c r="G1121" s="13"/>
      <c r="H1121" s="13"/>
      <c r="I1121" s="13"/>
      <c r="J1121" s="13"/>
      <c r="K1121" s="13"/>
      <c r="L1121" s="13"/>
      <c r="M1121" s="13"/>
      <c r="N1121" s="13"/>
      <c r="O1121" s="13"/>
      <c r="P1121" s="13"/>
      <c r="Q1121" s="13"/>
      <c r="R1121" s="13"/>
      <c r="S1121" s="13"/>
      <c r="T1121" s="13"/>
      <c r="U1121" s="13"/>
      <c r="V1121" s="13"/>
      <c r="W1121" s="13"/>
      <c r="X1121" s="13"/>
      <c r="Y1121" s="13"/>
      <c r="Z1121" s="13"/>
      <c r="AA1121" s="13"/>
      <c r="AB1121" s="15"/>
      <c r="AC1121" s="15"/>
      <c r="AD1121" s="15"/>
      <c r="AE1121" s="13"/>
      <c r="AF1121" s="13"/>
      <c r="AG1121" s="13"/>
      <c r="AH1121" s="15"/>
      <c r="AI1121" s="13"/>
      <c r="AJ1121" s="13"/>
      <c r="AK1121" s="13"/>
      <c r="AL1121" s="13"/>
      <c r="AM1121" s="15"/>
      <c r="AN1121" s="13"/>
      <c r="AO1121" s="15"/>
      <c r="AP1121" s="15"/>
      <c r="AQ1121" s="13"/>
      <c r="AR1121" s="13"/>
      <c r="AS1121" s="13"/>
      <c r="AT1121" s="13"/>
      <c r="AU1121" s="13"/>
      <c r="AV1121" s="13"/>
      <c r="AW1121" s="13"/>
      <c r="AX1121" s="13"/>
      <c r="AY1121" s="15"/>
      <c r="AZ1121" s="15"/>
      <c r="BA1121" s="16"/>
      <c r="BB1121" s="15"/>
      <c r="BC1121" s="15"/>
      <c r="BD1121" s="13"/>
      <c r="BE1121" s="13"/>
      <c r="BF1121" s="13"/>
      <c r="BG1121" s="13"/>
      <c r="BH1121" s="13"/>
      <c r="BI1121" s="13"/>
      <c r="BJ1121" s="13"/>
      <c r="BK1121" s="13"/>
      <c r="BL1121" s="13"/>
      <c r="BM1121" s="13"/>
      <c r="BN1121" s="13"/>
      <c r="BO1121" s="13"/>
      <c r="BP1121" s="13"/>
      <c r="BQ1121" s="15"/>
      <c r="BR1121" s="15"/>
      <c r="BS1121" s="15"/>
      <c r="BT1121" s="15"/>
      <c r="BU1121" s="15"/>
      <c r="BV1121" s="15"/>
      <c r="BW1121" s="15"/>
      <c r="BX1121" s="15"/>
      <c r="BY1121" s="15"/>
      <c r="BZ1121" s="15"/>
      <c r="CA1121" s="15"/>
      <c r="CB1121" s="17"/>
      <c r="CC1121" s="17"/>
      <c r="CD1121" s="18"/>
      <c r="CE1121" s="18"/>
      <c r="CF1121" s="18"/>
      <c r="CG1121" s="18"/>
      <c r="CH1121" s="18"/>
    </row>
    <row r="1122">
      <c r="A1122" s="15"/>
      <c r="B1122" s="16"/>
      <c r="C1122" s="15"/>
      <c r="D1122" s="9"/>
      <c r="E1122" s="15"/>
      <c r="F1122" s="15"/>
      <c r="G1122" s="13"/>
      <c r="H1122" s="13"/>
      <c r="I1122" s="13"/>
      <c r="J1122" s="13"/>
      <c r="K1122" s="13"/>
      <c r="L1122" s="13"/>
      <c r="M1122" s="13"/>
      <c r="N1122" s="13"/>
      <c r="O1122" s="13"/>
      <c r="P1122" s="13"/>
      <c r="Q1122" s="13"/>
      <c r="R1122" s="13"/>
      <c r="S1122" s="13"/>
      <c r="T1122" s="13"/>
      <c r="U1122" s="13"/>
      <c r="V1122" s="13"/>
      <c r="W1122" s="13"/>
      <c r="X1122" s="13"/>
      <c r="Y1122" s="13"/>
      <c r="Z1122" s="13"/>
      <c r="AA1122" s="13"/>
      <c r="AB1122" s="15"/>
      <c r="AC1122" s="15"/>
      <c r="AD1122" s="15"/>
      <c r="AE1122" s="13"/>
      <c r="AF1122" s="13"/>
      <c r="AG1122" s="13"/>
      <c r="AH1122" s="15"/>
      <c r="AI1122" s="13"/>
      <c r="AJ1122" s="13"/>
      <c r="AK1122" s="13"/>
      <c r="AL1122" s="13"/>
      <c r="AM1122" s="15"/>
      <c r="AN1122" s="13"/>
      <c r="AO1122" s="15"/>
      <c r="AP1122" s="15"/>
      <c r="AQ1122" s="13"/>
      <c r="AR1122" s="13"/>
      <c r="AS1122" s="13"/>
      <c r="AT1122" s="13"/>
      <c r="AU1122" s="13"/>
      <c r="AV1122" s="13"/>
      <c r="AW1122" s="13"/>
      <c r="AX1122" s="13"/>
      <c r="AY1122" s="15"/>
      <c r="AZ1122" s="15"/>
      <c r="BA1122" s="16"/>
      <c r="BB1122" s="15"/>
      <c r="BC1122" s="15"/>
      <c r="BD1122" s="13"/>
      <c r="BE1122" s="13"/>
      <c r="BF1122" s="13"/>
      <c r="BG1122" s="13"/>
      <c r="BH1122" s="13"/>
      <c r="BI1122" s="13"/>
      <c r="BJ1122" s="13"/>
      <c r="BK1122" s="13"/>
      <c r="BL1122" s="13"/>
      <c r="BM1122" s="13"/>
      <c r="BN1122" s="13"/>
      <c r="BO1122" s="13"/>
      <c r="BP1122" s="13"/>
      <c r="BQ1122" s="15"/>
      <c r="BR1122" s="15"/>
      <c r="BS1122" s="15"/>
      <c r="BT1122" s="15"/>
      <c r="BU1122" s="15"/>
      <c r="BV1122" s="15"/>
      <c r="BW1122" s="15"/>
      <c r="BX1122" s="15"/>
      <c r="BY1122" s="15"/>
      <c r="BZ1122" s="15"/>
      <c r="CA1122" s="15"/>
      <c r="CB1122" s="17"/>
      <c r="CC1122" s="17"/>
      <c r="CD1122" s="18"/>
      <c r="CE1122" s="18"/>
      <c r="CF1122" s="18"/>
      <c r="CG1122" s="18"/>
      <c r="CH1122" s="18"/>
    </row>
    <row r="1123">
      <c r="A1123" s="15"/>
      <c r="B1123" s="16"/>
      <c r="C1123" s="15"/>
      <c r="D1123" s="9"/>
      <c r="E1123" s="15"/>
      <c r="F1123" s="15"/>
      <c r="G1123" s="13"/>
      <c r="H1123" s="13"/>
      <c r="I1123" s="13"/>
      <c r="J1123" s="13"/>
      <c r="K1123" s="13"/>
      <c r="L1123" s="13"/>
      <c r="M1123" s="13"/>
      <c r="N1123" s="13"/>
      <c r="O1123" s="13"/>
      <c r="P1123" s="13"/>
      <c r="Q1123" s="13"/>
      <c r="R1123" s="13"/>
      <c r="S1123" s="13"/>
      <c r="T1123" s="13"/>
      <c r="U1123" s="13"/>
      <c r="V1123" s="13"/>
      <c r="W1123" s="13"/>
      <c r="X1123" s="13"/>
      <c r="Y1123" s="13"/>
      <c r="Z1123" s="13"/>
      <c r="AA1123" s="13"/>
      <c r="AB1123" s="15"/>
      <c r="AC1123" s="15"/>
      <c r="AD1123" s="15"/>
      <c r="AE1123" s="13"/>
      <c r="AF1123" s="13"/>
      <c r="AG1123" s="13"/>
      <c r="AH1123" s="15"/>
      <c r="AI1123" s="13"/>
      <c r="AJ1123" s="13"/>
      <c r="AK1123" s="13"/>
      <c r="AL1123" s="13"/>
      <c r="AM1123" s="15"/>
      <c r="AN1123" s="13"/>
      <c r="AO1123" s="15"/>
      <c r="AP1123" s="15"/>
      <c r="AQ1123" s="13"/>
      <c r="AR1123" s="13"/>
      <c r="AS1123" s="13"/>
      <c r="AT1123" s="13"/>
      <c r="AU1123" s="13"/>
      <c r="AV1123" s="13"/>
      <c r="AW1123" s="13"/>
      <c r="AX1123" s="13"/>
      <c r="AY1123" s="15"/>
      <c r="AZ1123" s="15"/>
      <c r="BA1123" s="16"/>
      <c r="BB1123" s="15"/>
      <c r="BC1123" s="15"/>
      <c r="BD1123" s="13"/>
      <c r="BE1123" s="13"/>
      <c r="BF1123" s="13"/>
      <c r="BG1123" s="13"/>
      <c r="BH1123" s="13"/>
      <c r="BI1123" s="13"/>
      <c r="BJ1123" s="13"/>
      <c r="BK1123" s="13"/>
      <c r="BL1123" s="13"/>
      <c r="BM1123" s="13"/>
      <c r="BN1123" s="13"/>
      <c r="BO1123" s="13"/>
      <c r="BP1123" s="13"/>
      <c r="BQ1123" s="15"/>
      <c r="BR1123" s="15"/>
      <c r="BS1123" s="15"/>
      <c r="BT1123" s="15"/>
      <c r="BU1123" s="15"/>
      <c r="BV1123" s="15"/>
      <c r="BW1123" s="15"/>
      <c r="BX1123" s="15"/>
      <c r="BY1123" s="15"/>
      <c r="BZ1123" s="15"/>
      <c r="CA1123" s="15"/>
      <c r="CB1123" s="17"/>
      <c r="CC1123" s="17"/>
      <c r="CD1123" s="18"/>
      <c r="CE1123" s="18"/>
      <c r="CF1123" s="18"/>
      <c r="CG1123" s="18"/>
      <c r="CH1123" s="18"/>
    </row>
    <row r="1124">
      <c r="A1124" s="15"/>
      <c r="B1124" s="16"/>
      <c r="C1124" s="15"/>
      <c r="D1124" s="9"/>
      <c r="E1124" s="15"/>
      <c r="F1124" s="15"/>
      <c r="G1124" s="13"/>
      <c r="H1124" s="13"/>
      <c r="I1124" s="13"/>
      <c r="J1124" s="13"/>
      <c r="K1124" s="13"/>
      <c r="L1124" s="13"/>
      <c r="M1124" s="13"/>
      <c r="N1124" s="13"/>
      <c r="O1124" s="13"/>
      <c r="P1124" s="13"/>
      <c r="Q1124" s="13"/>
      <c r="R1124" s="13"/>
      <c r="S1124" s="13"/>
      <c r="T1124" s="13"/>
      <c r="U1124" s="13"/>
      <c r="V1124" s="13"/>
      <c r="W1124" s="13"/>
      <c r="X1124" s="13"/>
      <c r="Y1124" s="13"/>
      <c r="Z1124" s="13"/>
      <c r="AA1124" s="13"/>
      <c r="AB1124" s="15"/>
      <c r="AC1124" s="15"/>
      <c r="AD1124" s="15"/>
      <c r="AE1124" s="13"/>
      <c r="AF1124" s="13"/>
      <c r="AG1124" s="13"/>
      <c r="AH1124" s="15"/>
      <c r="AI1124" s="13"/>
      <c r="AJ1124" s="13"/>
      <c r="AK1124" s="13"/>
      <c r="AL1124" s="13"/>
      <c r="AM1124" s="15"/>
      <c r="AN1124" s="13"/>
      <c r="AO1124" s="15"/>
      <c r="AP1124" s="15"/>
      <c r="AQ1124" s="13"/>
      <c r="AR1124" s="13"/>
      <c r="AS1124" s="13"/>
      <c r="AT1124" s="13"/>
      <c r="AU1124" s="13"/>
      <c r="AV1124" s="13"/>
      <c r="AW1124" s="13"/>
      <c r="AX1124" s="13"/>
      <c r="AY1124" s="15"/>
      <c r="AZ1124" s="15"/>
      <c r="BA1124" s="16"/>
      <c r="BB1124" s="15"/>
      <c r="BC1124" s="15"/>
      <c r="BD1124" s="13"/>
      <c r="BE1124" s="13"/>
      <c r="BF1124" s="13"/>
      <c r="BG1124" s="13"/>
      <c r="BH1124" s="13"/>
      <c r="BI1124" s="13"/>
      <c r="BJ1124" s="13"/>
      <c r="BK1124" s="13"/>
      <c r="BL1124" s="13"/>
      <c r="BM1124" s="13"/>
      <c r="BN1124" s="13"/>
      <c r="BO1124" s="13"/>
      <c r="BP1124" s="13"/>
      <c r="BQ1124" s="15"/>
      <c r="BR1124" s="15"/>
      <c r="BS1124" s="15"/>
      <c r="BT1124" s="15"/>
      <c r="BU1124" s="15"/>
      <c r="BV1124" s="15"/>
      <c r="BW1124" s="15"/>
      <c r="BX1124" s="15"/>
      <c r="BY1124" s="15"/>
      <c r="BZ1124" s="15"/>
      <c r="CA1124" s="15"/>
      <c r="CB1124" s="17"/>
      <c r="CC1124" s="17"/>
      <c r="CD1124" s="18"/>
      <c r="CE1124" s="18"/>
      <c r="CF1124" s="18"/>
      <c r="CG1124" s="18"/>
      <c r="CH1124" s="18"/>
    </row>
    <row r="1125">
      <c r="A1125" s="15"/>
      <c r="B1125" s="16"/>
      <c r="C1125" s="15"/>
      <c r="D1125" s="9"/>
      <c r="E1125" s="15"/>
      <c r="F1125" s="15"/>
      <c r="G1125" s="13"/>
      <c r="H1125" s="13"/>
      <c r="I1125" s="13"/>
      <c r="J1125" s="13"/>
      <c r="K1125" s="13"/>
      <c r="L1125" s="13"/>
      <c r="M1125" s="13"/>
      <c r="N1125" s="13"/>
      <c r="O1125" s="13"/>
      <c r="P1125" s="13"/>
      <c r="Q1125" s="13"/>
      <c r="R1125" s="13"/>
      <c r="S1125" s="13"/>
      <c r="T1125" s="13"/>
      <c r="U1125" s="13"/>
      <c r="V1125" s="13"/>
      <c r="W1125" s="13"/>
      <c r="X1125" s="13"/>
      <c r="Y1125" s="13"/>
      <c r="Z1125" s="13"/>
      <c r="AA1125" s="13"/>
      <c r="AB1125" s="15"/>
      <c r="AC1125" s="15"/>
      <c r="AD1125" s="15"/>
      <c r="AE1125" s="13"/>
      <c r="AF1125" s="13"/>
      <c r="AG1125" s="13"/>
      <c r="AH1125" s="15"/>
      <c r="AI1125" s="13"/>
      <c r="AJ1125" s="13"/>
      <c r="AK1125" s="13"/>
      <c r="AL1125" s="13"/>
      <c r="AM1125" s="15"/>
      <c r="AN1125" s="13"/>
      <c r="AO1125" s="15"/>
      <c r="AP1125" s="15"/>
      <c r="AQ1125" s="13"/>
      <c r="AR1125" s="13"/>
      <c r="AS1125" s="13"/>
      <c r="AT1125" s="13"/>
      <c r="AU1125" s="13"/>
      <c r="AV1125" s="13"/>
      <c r="AW1125" s="13"/>
      <c r="AX1125" s="13"/>
      <c r="AY1125" s="15"/>
      <c r="AZ1125" s="15"/>
      <c r="BA1125" s="16"/>
      <c r="BB1125" s="15"/>
      <c r="BC1125" s="15"/>
      <c r="BD1125" s="13"/>
      <c r="BE1125" s="13"/>
      <c r="BF1125" s="13"/>
      <c r="BG1125" s="13"/>
      <c r="BH1125" s="13"/>
      <c r="BI1125" s="13"/>
      <c r="BJ1125" s="13"/>
      <c r="BK1125" s="13"/>
      <c r="BL1125" s="13"/>
      <c r="BM1125" s="13"/>
      <c r="BN1125" s="13"/>
      <c r="BO1125" s="13"/>
      <c r="BP1125" s="13"/>
      <c r="BQ1125" s="15"/>
      <c r="BR1125" s="15"/>
      <c r="BS1125" s="15"/>
      <c r="BT1125" s="15"/>
      <c r="BU1125" s="15"/>
      <c r="BV1125" s="15"/>
      <c r="BW1125" s="15"/>
      <c r="BX1125" s="15"/>
      <c r="BY1125" s="15"/>
      <c r="BZ1125" s="15"/>
      <c r="CA1125" s="15"/>
      <c r="CB1125" s="17"/>
      <c r="CC1125" s="17"/>
      <c r="CD1125" s="18"/>
      <c r="CE1125" s="18"/>
      <c r="CF1125" s="18"/>
      <c r="CG1125" s="18"/>
      <c r="CH1125" s="18"/>
    </row>
    <row r="1126">
      <c r="A1126" s="15"/>
      <c r="B1126" s="16"/>
      <c r="C1126" s="15"/>
      <c r="D1126" s="9"/>
      <c r="E1126" s="15"/>
      <c r="F1126" s="15"/>
      <c r="G1126" s="13"/>
      <c r="H1126" s="13"/>
      <c r="I1126" s="13"/>
      <c r="J1126" s="13"/>
      <c r="K1126" s="13"/>
      <c r="L1126" s="13"/>
      <c r="M1126" s="13"/>
      <c r="N1126" s="13"/>
      <c r="O1126" s="13"/>
      <c r="P1126" s="13"/>
      <c r="Q1126" s="13"/>
      <c r="R1126" s="13"/>
      <c r="S1126" s="13"/>
      <c r="T1126" s="13"/>
      <c r="U1126" s="13"/>
      <c r="V1126" s="13"/>
      <c r="W1126" s="13"/>
      <c r="X1126" s="13"/>
      <c r="Y1126" s="13"/>
      <c r="Z1126" s="13"/>
      <c r="AA1126" s="13"/>
      <c r="AB1126" s="15"/>
      <c r="AC1126" s="15"/>
      <c r="AD1126" s="15"/>
      <c r="AE1126" s="13"/>
      <c r="AF1126" s="13"/>
      <c r="AG1126" s="13"/>
      <c r="AH1126" s="15"/>
      <c r="AI1126" s="13"/>
      <c r="AJ1126" s="13"/>
      <c r="AK1126" s="13"/>
      <c r="AL1126" s="13"/>
      <c r="AM1126" s="15"/>
      <c r="AN1126" s="13"/>
      <c r="AO1126" s="15"/>
      <c r="AP1126" s="15"/>
      <c r="AQ1126" s="13"/>
      <c r="AR1126" s="13"/>
      <c r="AS1126" s="13"/>
      <c r="AT1126" s="13"/>
      <c r="AU1126" s="13"/>
      <c r="AV1126" s="13"/>
      <c r="AW1126" s="13"/>
      <c r="AX1126" s="13"/>
      <c r="AY1126" s="15"/>
      <c r="AZ1126" s="15"/>
      <c r="BA1126" s="16"/>
      <c r="BB1126" s="15"/>
      <c r="BC1126" s="15"/>
      <c r="BD1126" s="13"/>
      <c r="BE1126" s="13"/>
      <c r="BF1126" s="13"/>
      <c r="BG1126" s="13"/>
      <c r="BH1126" s="13"/>
      <c r="BI1126" s="13"/>
      <c r="BJ1126" s="13"/>
      <c r="BK1126" s="13"/>
      <c r="BL1126" s="13"/>
      <c r="BM1126" s="13"/>
      <c r="BN1126" s="13"/>
      <c r="BO1126" s="13"/>
      <c r="BP1126" s="13"/>
      <c r="BQ1126" s="15"/>
      <c r="BR1126" s="15"/>
      <c r="BS1126" s="15"/>
      <c r="BT1126" s="15"/>
      <c r="BU1126" s="15"/>
      <c r="BV1126" s="15"/>
      <c r="BW1126" s="15"/>
      <c r="BX1126" s="15"/>
      <c r="BY1126" s="15"/>
      <c r="BZ1126" s="15"/>
      <c r="CA1126" s="15"/>
      <c r="CB1126" s="17"/>
      <c r="CC1126" s="17"/>
      <c r="CD1126" s="18"/>
      <c r="CE1126" s="18"/>
      <c r="CF1126" s="18"/>
      <c r="CG1126" s="18"/>
      <c r="CH1126" s="18"/>
    </row>
    <row r="1127">
      <c r="A1127" s="15"/>
      <c r="B1127" s="16"/>
      <c r="C1127" s="15"/>
      <c r="D1127" s="9"/>
      <c r="E1127" s="15"/>
      <c r="F1127" s="15"/>
      <c r="G1127" s="13"/>
      <c r="H1127" s="13"/>
      <c r="I1127" s="13"/>
      <c r="J1127" s="13"/>
      <c r="K1127" s="13"/>
      <c r="L1127" s="13"/>
      <c r="M1127" s="13"/>
      <c r="N1127" s="13"/>
      <c r="O1127" s="13"/>
      <c r="P1127" s="13"/>
      <c r="Q1127" s="13"/>
      <c r="R1127" s="13"/>
      <c r="S1127" s="13"/>
      <c r="T1127" s="13"/>
      <c r="U1127" s="13"/>
      <c r="V1127" s="13"/>
      <c r="W1127" s="13"/>
      <c r="X1127" s="13"/>
      <c r="Y1127" s="13"/>
      <c r="Z1127" s="13"/>
      <c r="AA1127" s="13"/>
      <c r="AB1127" s="15"/>
      <c r="AC1127" s="15"/>
      <c r="AD1127" s="15"/>
      <c r="AE1127" s="13"/>
      <c r="AF1127" s="13"/>
      <c r="AG1127" s="13"/>
      <c r="AH1127" s="15"/>
      <c r="AI1127" s="13"/>
      <c r="AJ1127" s="13"/>
      <c r="AK1127" s="13"/>
      <c r="AL1127" s="13"/>
      <c r="AM1127" s="15"/>
      <c r="AN1127" s="13"/>
      <c r="AO1127" s="15"/>
      <c r="AP1127" s="15"/>
      <c r="AQ1127" s="13"/>
      <c r="AR1127" s="13"/>
      <c r="AS1127" s="13"/>
      <c r="AT1127" s="13"/>
      <c r="AU1127" s="13"/>
      <c r="AV1127" s="13"/>
      <c r="AW1127" s="13"/>
      <c r="AX1127" s="13"/>
      <c r="AY1127" s="15"/>
      <c r="AZ1127" s="15"/>
      <c r="BA1127" s="16"/>
      <c r="BB1127" s="15"/>
      <c r="BC1127" s="15"/>
      <c r="BD1127" s="13"/>
      <c r="BE1127" s="13"/>
      <c r="BF1127" s="13"/>
      <c r="BG1127" s="13"/>
      <c r="BH1127" s="13"/>
      <c r="BI1127" s="13"/>
      <c r="BJ1127" s="13"/>
      <c r="BK1127" s="13"/>
      <c r="BL1127" s="13"/>
      <c r="BM1127" s="13"/>
      <c r="BN1127" s="13"/>
      <c r="BO1127" s="13"/>
      <c r="BP1127" s="13"/>
      <c r="BQ1127" s="15"/>
      <c r="BR1127" s="15"/>
      <c r="BS1127" s="15"/>
      <c r="BT1127" s="15"/>
      <c r="BU1127" s="15"/>
      <c r="BV1127" s="15"/>
      <c r="BW1127" s="15"/>
      <c r="BX1127" s="15"/>
      <c r="BY1127" s="15"/>
      <c r="BZ1127" s="15"/>
      <c r="CA1127" s="15"/>
      <c r="CB1127" s="17"/>
      <c r="CC1127" s="17"/>
      <c r="CD1127" s="18"/>
      <c r="CE1127" s="18"/>
      <c r="CF1127" s="18"/>
      <c r="CG1127" s="18"/>
      <c r="CH1127" s="18"/>
    </row>
    <row r="1128">
      <c r="A1128" s="15"/>
      <c r="B1128" s="16"/>
      <c r="C1128" s="15"/>
      <c r="D1128" s="9"/>
      <c r="E1128" s="15"/>
      <c r="F1128" s="15"/>
      <c r="G1128" s="13"/>
      <c r="H1128" s="13"/>
      <c r="I1128" s="13"/>
      <c r="J1128" s="13"/>
      <c r="K1128" s="13"/>
      <c r="L1128" s="13"/>
      <c r="M1128" s="13"/>
      <c r="N1128" s="13"/>
      <c r="O1128" s="13"/>
      <c r="P1128" s="13"/>
      <c r="Q1128" s="13"/>
      <c r="R1128" s="13"/>
      <c r="S1128" s="13"/>
      <c r="T1128" s="13"/>
      <c r="U1128" s="13"/>
      <c r="V1128" s="13"/>
      <c r="W1128" s="13"/>
      <c r="X1128" s="13"/>
      <c r="Y1128" s="13"/>
      <c r="Z1128" s="13"/>
      <c r="AA1128" s="13"/>
      <c r="AB1128" s="15"/>
      <c r="AC1128" s="15"/>
      <c r="AD1128" s="15"/>
      <c r="AE1128" s="13"/>
      <c r="AF1128" s="13"/>
      <c r="AG1128" s="13"/>
      <c r="AH1128" s="15"/>
      <c r="AI1128" s="13"/>
      <c r="AJ1128" s="13"/>
      <c r="AK1128" s="13"/>
      <c r="AL1128" s="13"/>
      <c r="AM1128" s="15"/>
      <c r="AN1128" s="13"/>
      <c r="AO1128" s="15"/>
      <c r="AP1128" s="15"/>
      <c r="AQ1128" s="13"/>
      <c r="AR1128" s="13"/>
      <c r="AS1128" s="13"/>
      <c r="AT1128" s="13"/>
      <c r="AU1128" s="13"/>
      <c r="AV1128" s="13"/>
      <c r="AW1128" s="13"/>
      <c r="AX1128" s="13"/>
      <c r="AY1128" s="15"/>
      <c r="AZ1128" s="15"/>
      <c r="BA1128" s="16"/>
      <c r="BB1128" s="15"/>
      <c r="BC1128" s="15"/>
      <c r="BD1128" s="13"/>
      <c r="BE1128" s="13"/>
      <c r="BF1128" s="13"/>
      <c r="BG1128" s="13"/>
      <c r="BH1128" s="13"/>
      <c r="BI1128" s="13"/>
      <c r="BJ1128" s="13"/>
      <c r="BK1128" s="13"/>
      <c r="BL1128" s="13"/>
      <c r="BM1128" s="13"/>
      <c r="BN1128" s="13"/>
      <c r="BO1128" s="13"/>
      <c r="BP1128" s="13"/>
      <c r="BQ1128" s="15"/>
      <c r="BR1128" s="15"/>
      <c r="BS1128" s="15"/>
      <c r="BT1128" s="15"/>
      <c r="BU1128" s="15"/>
      <c r="BV1128" s="15"/>
      <c r="BW1128" s="15"/>
      <c r="BX1128" s="15"/>
      <c r="BY1128" s="15"/>
      <c r="BZ1128" s="15"/>
      <c r="CA1128" s="15"/>
      <c r="CB1128" s="17"/>
      <c r="CC1128" s="17"/>
      <c r="CD1128" s="18"/>
      <c r="CE1128" s="18"/>
      <c r="CF1128" s="18"/>
      <c r="CG1128" s="18"/>
      <c r="CH1128" s="18"/>
    </row>
    <row r="1129">
      <c r="A1129" s="15"/>
      <c r="B1129" s="16"/>
      <c r="C1129" s="15"/>
      <c r="D1129" s="9"/>
      <c r="E1129" s="15"/>
      <c r="F1129" s="15"/>
      <c r="G1129" s="13"/>
      <c r="H1129" s="13"/>
      <c r="I1129" s="13"/>
      <c r="J1129" s="13"/>
      <c r="K1129" s="13"/>
      <c r="L1129" s="13"/>
      <c r="M1129" s="13"/>
      <c r="N1129" s="13"/>
      <c r="O1129" s="13"/>
      <c r="P1129" s="13"/>
      <c r="Q1129" s="13"/>
      <c r="R1129" s="13"/>
      <c r="S1129" s="13"/>
      <c r="T1129" s="13"/>
      <c r="U1129" s="13"/>
      <c r="V1129" s="13"/>
      <c r="W1129" s="13"/>
      <c r="X1129" s="13"/>
      <c r="Y1129" s="13"/>
      <c r="Z1129" s="13"/>
      <c r="AA1129" s="13"/>
      <c r="AB1129" s="15"/>
      <c r="AC1129" s="15"/>
      <c r="AD1129" s="15"/>
      <c r="AE1129" s="13"/>
      <c r="AF1129" s="13"/>
      <c r="AG1129" s="13"/>
      <c r="AH1129" s="15"/>
      <c r="AI1129" s="13"/>
      <c r="AJ1129" s="13"/>
      <c r="AK1129" s="13"/>
      <c r="AL1129" s="13"/>
      <c r="AM1129" s="15"/>
      <c r="AN1129" s="13"/>
      <c r="AO1129" s="15"/>
      <c r="AP1129" s="15"/>
      <c r="AQ1129" s="13"/>
      <c r="AR1129" s="13"/>
      <c r="AS1129" s="13"/>
      <c r="AT1129" s="13"/>
      <c r="AU1129" s="13"/>
      <c r="AV1129" s="13"/>
      <c r="AW1129" s="13"/>
      <c r="AX1129" s="13"/>
      <c r="AY1129" s="15"/>
      <c r="AZ1129" s="15"/>
      <c r="BA1129" s="16"/>
      <c r="BB1129" s="15"/>
      <c r="BC1129" s="15"/>
      <c r="BD1129" s="13"/>
      <c r="BE1129" s="13"/>
      <c r="BF1129" s="13"/>
      <c r="BG1129" s="13"/>
      <c r="BH1129" s="13"/>
      <c r="BI1129" s="13"/>
      <c r="BJ1129" s="13"/>
      <c r="BK1129" s="13"/>
      <c r="BL1129" s="13"/>
      <c r="BM1129" s="13"/>
      <c r="BN1129" s="13"/>
      <c r="BO1129" s="13"/>
      <c r="BP1129" s="13"/>
      <c r="BQ1129" s="15"/>
      <c r="BR1129" s="15"/>
      <c r="BS1129" s="15"/>
      <c r="BT1129" s="15"/>
      <c r="BU1129" s="15"/>
      <c r="BV1129" s="15"/>
      <c r="BW1129" s="15"/>
      <c r="BX1129" s="15"/>
      <c r="BY1129" s="15"/>
      <c r="BZ1129" s="15"/>
      <c r="CA1129" s="15"/>
      <c r="CB1129" s="17"/>
      <c r="CC1129" s="17"/>
      <c r="CD1129" s="18"/>
      <c r="CE1129" s="18"/>
      <c r="CF1129" s="18"/>
      <c r="CG1129" s="18"/>
      <c r="CH1129" s="18"/>
    </row>
    <row r="1130">
      <c r="A1130" s="15"/>
      <c r="B1130" s="16"/>
      <c r="C1130" s="15"/>
      <c r="D1130" s="9"/>
      <c r="E1130" s="15"/>
      <c r="F1130" s="15"/>
      <c r="G1130" s="13"/>
      <c r="H1130" s="13"/>
      <c r="I1130" s="13"/>
      <c r="J1130" s="13"/>
      <c r="K1130" s="13"/>
      <c r="L1130" s="13"/>
      <c r="M1130" s="13"/>
      <c r="N1130" s="13"/>
      <c r="O1130" s="13"/>
      <c r="P1130" s="13"/>
      <c r="Q1130" s="13"/>
      <c r="R1130" s="13"/>
      <c r="S1130" s="13"/>
      <c r="T1130" s="13"/>
      <c r="U1130" s="13"/>
      <c r="V1130" s="13"/>
      <c r="W1130" s="13"/>
      <c r="X1130" s="13"/>
      <c r="Y1130" s="13"/>
      <c r="Z1130" s="13"/>
      <c r="AA1130" s="13"/>
      <c r="AB1130" s="15"/>
      <c r="AC1130" s="15"/>
      <c r="AD1130" s="15"/>
      <c r="AE1130" s="13"/>
      <c r="AF1130" s="13"/>
      <c r="AG1130" s="13"/>
      <c r="AH1130" s="15"/>
      <c r="AI1130" s="13"/>
      <c r="AJ1130" s="13"/>
      <c r="AK1130" s="13"/>
      <c r="AL1130" s="13"/>
      <c r="AM1130" s="15"/>
      <c r="AN1130" s="13"/>
      <c r="AO1130" s="15"/>
      <c r="AP1130" s="15"/>
      <c r="AQ1130" s="13"/>
      <c r="AR1130" s="13"/>
      <c r="AS1130" s="13"/>
      <c r="AT1130" s="13"/>
      <c r="AU1130" s="13"/>
      <c r="AV1130" s="13"/>
      <c r="AW1130" s="13"/>
      <c r="AX1130" s="13"/>
      <c r="AY1130" s="15"/>
      <c r="AZ1130" s="15"/>
      <c r="BA1130" s="16"/>
      <c r="BB1130" s="15"/>
      <c r="BC1130" s="15"/>
      <c r="BD1130" s="13"/>
      <c r="BE1130" s="13"/>
      <c r="BF1130" s="13"/>
      <c r="BG1130" s="13"/>
      <c r="BH1130" s="13"/>
      <c r="BI1130" s="13"/>
      <c r="BJ1130" s="13"/>
      <c r="BK1130" s="13"/>
      <c r="BL1130" s="13"/>
      <c r="BM1130" s="13"/>
      <c r="BN1130" s="13"/>
      <c r="BO1130" s="13"/>
      <c r="BP1130" s="13"/>
      <c r="BQ1130" s="15"/>
      <c r="BR1130" s="15"/>
      <c r="BS1130" s="15"/>
      <c r="BT1130" s="15"/>
      <c r="BU1130" s="15"/>
      <c r="BV1130" s="15"/>
      <c r="BW1130" s="15"/>
      <c r="BX1130" s="15"/>
      <c r="BY1130" s="15"/>
      <c r="BZ1130" s="15"/>
      <c r="CA1130" s="15"/>
      <c r="CB1130" s="17"/>
      <c r="CC1130" s="17"/>
      <c r="CD1130" s="18"/>
      <c r="CE1130" s="18"/>
      <c r="CF1130" s="18"/>
      <c r="CG1130" s="18"/>
      <c r="CH1130" s="18"/>
    </row>
    <row r="1131">
      <c r="A1131" s="15"/>
      <c r="B1131" s="16"/>
      <c r="C1131" s="15"/>
      <c r="D1131" s="9"/>
      <c r="E1131" s="15"/>
      <c r="F1131" s="15"/>
      <c r="G1131" s="13"/>
      <c r="H1131" s="13"/>
      <c r="I1131" s="13"/>
      <c r="J1131" s="13"/>
      <c r="K1131" s="13"/>
      <c r="L1131" s="13"/>
      <c r="M1131" s="13"/>
      <c r="N1131" s="13"/>
      <c r="O1131" s="13"/>
      <c r="P1131" s="13"/>
      <c r="Q1131" s="13"/>
      <c r="R1131" s="13"/>
      <c r="S1131" s="13"/>
      <c r="T1131" s="13"/>
      <c r="U1131" s="13"/>
      <c r="V1131" s="13"/>
      <c r="W1131" s="13"/>
      <c r="X1131" s="13"/>
      <c r="Y1131" s="13"/>
      <c r="Z1131" s="13"/>
      <c r="AA1131" s="13"/>
      <c r="AB1131" s="15"/>
      <c r="AC1131" s="15"/>
      <c r="AD1131" s="15"/>
      <c r="AE1131" s="13"/>
      <c r="AF1131" s="13"/>
      <c r="AG1131" s="13"/>
      <c r="AH1131" s="15"/>
      <c r="AI1131" s="13"/>
      <c r="AJ1131" s="13"/>
      <c r="AK1131" s="13"/>
      <c r="AL1131" s="13"/>
      <c r="AM1131" s="15"/>
      <c r="AN1131" s="13"/>
      <c r="AO1131" s="15"/>
      <c r="AP1131" s="15"/>
      <c r="AQ1131" s="13"/>
      <c r="AR1131" s="13"/>
      <c r="AS1131" s="13"/>
      <c r="AT1131" s="13"/>
      <c r="AU1131" s="13"/>
      <c r="AV1131" s="13"/>
      <c r="AW1131" s="13"/>
      <c r="AX1131" s="13"/>
      <c r="AY1131" s="15"/>
      <c r="AZ1131" s="15"/>
      <c r="BA1131" s="16"/>
      <c r="BB1131" s="15"/>
      <c r="BC1131" s="15"/>
      <c r="BD1131" s="13"/>
      <c r="BE1131" s="13"/>
      <c r="BF1131" s="13"/>
      <c r="BG1131" s="13"/>
      <c r="BH1131" s="13"/>
      <c r="BI1131" s="13"/>
      <c r="BJ1131" s="13"/>
      <c r="BK1131" s="13"/>
      <c r="BL1131" s="13"/>
      <c r="BM1131" s="13"/>
      <c r="BN1131" s="13"/>
      <c r="BO1131" s="13"/>
      <c r="BP1131" s="13"/>
      <c r="BQ1131" s="15"/>
      <c r="BR1131" s="15"/>
      <c r="BS1131" s="15"/>
      <c r="BT1131" s="15"/>
      <c r="BU1131" s="15"/>
      <c r="BV1131" s="15"/>
      <c r="BW1131" s="15"/>
      <c r="BX1131" s="15"/>
      <c r="BY1131" s="15"/>
      <c r="BZ1131" s="15"/>
      <c r="CA1131" s="15"/>
      <c r="CB1131" s="17"/>
      <c r="CC1131" s="17"/>
      <c r="CD1131" s="18"/>
      <c r="CE1131" s="18"/>
      <c r="CF1131" s="18"/>
      <c r="CG1131" s="18"/>
      <c r="CH1131" s="18"/>
    </row>
    <row r="1132">
      <c r="A1132" s="15"/>
      <c r="B1132" s="16"/>
      <c r="C1132" s="15"/>
      <c r="D1132" s="9"/>
      <c r="E1132" s="15"/>
      <c r="F1132" s="15"/>
      <c r="G1132" s="13"/>
      <c r="H1132" s="13"/>
      <c r="I1132" s="13"/>
      <c r="J1132" s="13"/>
      <c r="K1132" s="13"/>
      <c r="L1132" s="13"/>
      <c r="M1132" s="13"/>
      <c r="N1132" s="13"/>
      <c r="O1132" s="13"/>
      <c r="P1132" s="13"/>
      <c r="Q1132" s="13"/>
      <c r="R1132" s="13"/>
      <c r="S1132" s="13"/>
      <c r="T1132" s="13"/>
      <c r="U1132" s="13"/>
      <c r="V1132" s="13"/>
      <c r="W1132" s="13"/>
      <c r="X1132" s="13"/>
      <c r="Y1132" s="13"/>
      <c r="Z1132" s="13"/>
      <c r="AA1132" s="13"/>
      <c r="AB1132" s="15"/>
      <c r="AC1132" s="15"/>
      <c r="AD1132" s="15"/>
      <c r="AE1132" s="13"/>
      <c r="AF1132" s="13"/>
      <c r="AG1132" s="13"/>
      <c r="AH1132" s="15"/>
      <c r="AI1132" s="13"/>
      <c r="AJ1132" s="13"/>
      <c r="AK1132" s="13"/>
      <c r="AL1132" s="13"/>
      <c r="AM1132" s="15"/>
      <c r="AN1132" s="13"/>
      <c r="AO1132" s="15"/>
      <c r="AP1132" s="15"/>
      <c r="AQ1132" s="13"/>
      <c r="AR1132" s="13"/>
      <c r="AS1132" s="13"/>
      <c r="AT1132" s="13"/>
      <c r="AU1132" s="13"/>
      <c r="AV1132" s="13"/>
      <c r="AW1132" s="13"/>
      <c r="AX1132" s="13"/>
      <c r="AY1132" s="15"/>
      <c r="AZ1132" s="15"/>
      <c r="BA1132" s="16"/>
      <c r="BB1132" s="15"/>
      <c r="BC1132" s="15"/>
      <c r="BD1132" s="13"/>
      <c r="BE1132" s="13"/>
      <c r="BF1132" s="13"/>
      <c r="BG1132" s="13"/>
      <c r="BH1132" s="13"/>
      <c r="BI1132" s="13"/>
      <c r="BJ1132" s="13"/>
      <c r="BK1132" s="13"/>
      <c r="BL1132" s="13"/>
      <c r="BM1132" s="13"/>
      <c r="BN1132" s="13"/>
      <c r="BO1132" s="13"/>
      <c r="BP1132" s="13"/>
      <c r="BQ1132" s="15"/>
      <c r="BR1132" s="15"/>
      <c r="BS1132" s="15"/>
      <c r="BT1132" s="15"/>
      <c r="BU1132" s="15"/>
      <c r="BV1132" s="15"/>
      <c r="BW1132" s="15"/>
      <c r="BX1132" s="15"/>
      <c r="BY1132" s="15"/>
      <c r="BZ1132" s="15"/>
      <c r="CA1132" s="15"/>
      <c r="CB1132" s="17"/>
      <c r="CC1132" s="17"/>
      <c r="CD1132" s="18"/>
      <c r="CE1132" s="18"/>
      <c r="CF1132" s="18"/>
      <c r="CG1132" s="18"/>
      <c r="CH1132" s="18"/>
    </row>
    <row r="1133">
      <c r="A1133" s="15"/>
      <c r="B1133" s="16"/>
      <c r="C1133" s="15"/>
      <c r="D1133" s="9"/>
      <c r="E1133" s="15"/>
      <c r="F1133" s="15"/>
      <c r="G1133" s="13"/>
      <c r="H1133" s="13"/>
      <c r="I1133" s="13"/>
      <c r="J1133" s="13"/>
      <c r="K1133" s="13"/>
      <c r="L1133" s="13"/>
      <c r="M1133" s="13"/>
      <c r="N1133" s="13"/>
      <c r="O1133" s="13"/>
      <c r="P1133" s="13"/>
      <c r="Q1133" s="13"/>
      <c r="R1133" s="13"/>
      <c r="S1133" s="13"/>
      <c r="T1133" s="13"/>
      <c r="U1133" s="13"/>
      <c r="V1133" s="13"/>
      <c r="W1133" s="13"/>
      <c r="X1133" s="13"/>
      <c r="Y1133" s="13"/>
      <c r="Z1133" s="13"/>
      <c r="AA1133" s="13"/>
      <c r="AB1133" s="15"/>
      <c r="AC1133" s="15"/>
      <c r="AD1133" s="15"/>
      <c r="AE1133" s="13"/>
      <c r="AF1133" s="13"/>
      <c r="AG1133" s="13"/>
      <c r="AH1133" s="15"/>
      <c r="AI1133" s="13"/>
      <c r="AJ1133" s="13"/>
      <c r="AK1133" s="13"/>
      <c r="AL1133" s="13"/>
      <c r="AM1133" s="15"/>
      <c r="AN1133" s="13"/>
      <c r="AO1133" s="15"/>
      <c r="AP1133" s="15"/>
      <c r="AQ1133" s="13"/>
      <c r="AR1133" s="13"/>
      <c r="AS1133" s="13"/>
      <c r="AT1133" s="13"/>
      <c r="AU1133" s="13"/>
      <c r="AV1133" s="13"/>
      <c r="AW1133" s="13"/>
      <c r="AX1133" s="13"/>
      <c r="AY1133" s="15"/>
      <c r="AZ1133" s="15"/>
      <c r="BA1133" s="16"/>
      <c r="BB1133" s="15"/>
      <c r="BC1133" s="15"/>
      <c r="BD1133" s="13"/>
      <c r="BE1133" s="13"/>
      <c r="BF1133" s="13"/>
      <c r="BG1133" s="13"/>
      <c r="BH1133" s="13"/>
      <c r="BI1133" s="13"/>
      <c r="BJ1133" s="13"/>
      <c r="BK1133" s="13"/>
      <c r="BL1133" s="13"/>
      <c r="BM1133" s="13"/>
      <c r="BN1133" s="13"/>
      <c r="BO1133" s="13"/>
      <c r="BP1133" s="13"/>
      <c r="BQ1133" s="15"/>
      <c r="BR1133" s="15"/>
      <c r="BS1133" s="15"/>
      <c r="BT1133" s="15"/>
      <c r="BU1133" s="15"/>
      <c r="BV1133" s="15"/>
      <c r="BW1133" s="15"/>
      <c r="BX1133" s="15"/>
      <c r="BY1133" s="15"/>
      <c r="BZ1133" s="15"/>
      <c r="CA1133" s="15"/>
      <c r="CB1133" s="17"/>
      <c r="CC1133" s="17"/>
      <c r="CD1133" s="18"/>
      <c r="CE1133" s="18"/>
      <c r="CF1133" s="18"/>
      <c r="CG1133" s="18"/>
      <c r="CH1133" s="18"/>
    </row>
    <row r="1134">
      <c r="A1134" s="15"/>
      <c r="B1134" s="16"/>
      <c r="C1134" s="15"/>
      <c r="D1134" s="9"/>
      <c r="E1134" s="15"/>
      <c r="F1134" s="15"/>
      <c r="G1134" s="13"/>
      <c r="H1134" s="13"/>
      <c r="I1134" s="13"/>
      <c r="J1134" s="13"/>
      <c r="K1134" s="13"/>
      <c r="L1134" s="13"/>
      <c r="M1134" s="13"/>
      <c r="N1134" s="13"/>
      <c r="O1134" s="13"/>
      <c r="P1134" s="13"/>
      <c r="Q1134" s="13"/>
      <c r="R1134" s="13"/>
      <c r="S1134" s="13"/>
      <c r="T1134" s="13"/>
      <c r="U1134" s="13"/>
      <c r="V1134" s="13"/>
      <c r="W1134" s="13"/>
      <c r="X1134" s="13"/>
      <c r="Y1134" s="13"/>
      <c r="Z1134" s="13"/>
      <c r="AA1134" s="13"/>
      <c r="AB1134" s="15"/>
      <c r="AC1134" s="15"/>
      <c r="AD1134" s="15"/>
      <c r="AE1134" s="13"/>
      <c r="AF1134" s="13"/>
      <c r="AG1134" s="13"/>
      <c r="AH1134" s="15"/>
      <c r="AI1134" s="13"/>
      <c r="AJ1134" s="13"/>
      <c r="AK1134" s="13"/>
      <c r="AL1134" s="13"/>
      <c r="AM1134" s="15"/>
      <c r="AN1134" s="13"/>
      <c r="AO1134" s="15"/>
      <c r="AP1134" s="15"/>
      <c r="AQ1134" s="13"/>
      <c r="AR1134" s="13"/>
      <c r="AS1134" s="13"/>
      <c r="AT1134" s="13"/>
      <c r="AU1134" s="13"/>
      <c r="AV1134" s="13"/>
      <c r="AW1134" s="13"/>
      <c r="AX1134" s="13"/>
      <c r="AY1134" s="15"/>
      <c r="AZ1134" s="15"/>
      <c r="BA1134" s="16"/>
      <c r="BB1134" s="15"/>
      <c r="BC1134" s="15"/>
      <c r="BD1134" s="13"/>
      <c r="BE1134" s="13"/>
      <c r="BF1134" s="13"/>
      <c r="BG1134" s="13"/>
      <c r="BH1134" s="13"/>
      <c r="BI1134" s="13"/>
      <c r="BJ1134" s="13"/>
      <c r="BK1134" s="13"/>
      <c r="BL1134" s="13"/>
      <c r="BM1134" s="13"/>
      <c r="BN1134" s="13"/>
      <c r="BO1134" s="13"/>
      <c r="BP1134" s="13"/>
      <c r="BQ1134" s="15"/>
      <c r="BR1134" s="15"/>
      <c r="BS1134" s="15"/>
      <c r="BT1134" s="15"/>
      <c r="BU1134" s="15"/>
      <c r="BV1134" s="15"/>
      <c r="BW1134" s="15"/>
      <c r="BX1134" s="15"/>
      <c r="BY1134" s="15"/>
      <c r="BZ1134" s="15"/>
      <c r="CA1134" s="15"/>
      <c r="CB1134" s="17"/>
      <c r="CC1134" s="17"/>
      <c r="CD1134" s="18"/>
      <c r="CE1134" s="18"/>
      <c r="CF1134" s="18"/>
      <c r="CG1134" s="18"/>
      <c r="CH1134" s="18"/>
    </row>
    <row r="1135">
      <c r="A1135" s="15"/>
      <c r="B1135" s="16"/>
      <c r="C1135" s="15"/>
      <c r="D1135" s="9"/>
      <c r="E1135" s="15"/>
      <c r="F1135" s="15"/>
      <c r="G1135" s="13"/>
      <c r="H1135" s="13"/>
      <c r="I1135" s="13"/>
      <c r="J1135" s="13"/>
      <c r="K1135" s="13"/>
      <c r="L1135" s="13"/>
      <c r="M1135" s="13"/>
      <c r="N1135" s="13"/>
      <c r="O1135" s="13"/>
      <c r="P1135" s="13"/>
      <c r="Q1135" s="13"/>
      <c r="R1135" s="13"/>
      <c r="S1135" s="13"/>
      <c r="T1135" s="13"/>
      <c r="U1135" s="13"/>
      <c r="V1135" s="13"/>
      <c r="W1135" s="13"/>
      <c r="X1135" s="13"/>
      <c r="Y1135" s="13"/>
      <c r="Z1135" s="13"/>
      <c r="AA1135" s="13"/>
      <c r="AB1135" s="15"/>
      <c r="AC1135" s="15"/>
      <c r="AD1135" s="15"/>
      <c r="AE1135" s="13"/>
      <c r="AF1135" s="13"/>
      <c r="AG1135" s="13"/>
      <c r="AH1135" s="15"/>
      <c r="AI1135" s="13"/>
      <c r="AJ1135" s="13"/>
      <c r="AK1135" s="13"/>
      <c r="AL1135" s="13"/>
      <c r="AM1135" s="15"/>
      <c r="AN1135" s="13"/>
      <c r="AO1135" s="15"/>
      <c r="AP1135" s="15"/>
      <c r="AQ1135" s="13"/>
      <c r="AR1135" s="13"/>
      <c r="AS1135" s="13"/>
      <c r="AT1135" s="13"/>
      <c r="AU1135" s="13"/>
      <c r="AV1135" s="13"/>
      <c r="AW1135" s="13"/>
      <c r="AX1135" s="13"/>
      <c r="AY1135" s="15"/>
      <c r="AZ1135" s="15"/>
      <c r="BA1135" s="16"/>
      <c r="BB1135" s="15"/>
      <c r="BC1135" s="15"/>
      <c r="BD1135" s="13"/>
      <c r="BE1135" s="13"/>
      <c r="BF1135" s="13"/>
      <c r="BG1135" s="13"/>
      <c r="BH1135" s="13"/>
      <c r="BI1135" s="13"/>
      <c r="BJ1135" s="13"/>
      <c r="BK1135" s="13"/>
      <c r="BL1135" s="13"/>
      <c r="BM1135" s="13"/>
      <c r="BN1135" s="13"/>
      <c r="BO1135" s="13"/>
      <c r="BP1135" s="13"/>
      <c r="BQ1135" s="15"/>
      <c r="BR1135" s="15"/>
      <c r="BS1135" s="15"/>
      <c r="BT1135" s="15"/>
      <c r="BU1135" s="15"/>
      <c r="BV1135" s="15"/>
      <c r="BW1135" s="15"/>
      <c r="BX1135" s="15"/>
      <c r="BY1135" s="15"/>
      <c r="BZ1135" s="15"/>
      <c r="CA1135" s="15"/>
      <c r="CB1135" s="17"/>
      <c r="CC1135" s="17"/>
      <c r="CD1135" s="18"/>
      <c r="CE1135" s="18"/>
      <c r="CF1135" s="18"/>
      <c r="CG1135" s="18"/>
      <c r="CH1135" s="18"/>
    </row>
    <row r="1136">
      <c r="A1136" s="15"/>
      <c r="B1136" s="16"/>
      <c r="C1136" s="15"/>
      <c r="D1136" s="9"/>
      <c r="E1136" s="15"/>
      <c r="F1136" s="15"/>
      <c r="G1136" s="13"/>
      <c r="H1136" s="13"/>
      <c r="I1136" s="13"/>
      <c r="J1136" s="13"/>
      <c r="K1136" s="13"/>
      <c r="L1136" s="13"/>
      <c r="M1136" s="13"/>
      <c r="N1136" s="13"/>
      <c r="O1136" s="13"/>
      <c r="P1136" s="13"/>
      <c r="Q1136" s="13"/>
      <c r="R1136" s="13"/>
      <c r="S1136" s="13"/>
      <c r="T1136" s="13"/>
      <c r="U1136" s="13"/>
      <c r="V1136" s="13"/>
      <c r="W1136" s="13"/>
      <c r="X1136" s="13"/>
      <c r="Y1136" s="13"/>
      <c r="Z1136" s="13"/>
      <c r="AA1136" s="13"/>
      <c r="AB1136" s="15"/>
      <c r="AC1136" s="15"/>
      <c r="AD1136" s="15"/>
      <c r="AE1136" s="13"/>
      <c r="AF1136" s="13"/>
      <c r="AG1136" s="13"/>
      <c r="AH1136" s="15"/>
      <c r="AI1136" s="13"/>
      <c r="AJ1136" s="13"/>
      <c r="AK1136" s="13"/>
      <c r="AL1136" s="13"/>
      <c r="AM1136" s="15"/>
      <c r="AN1136" s="13"/>
      <c r="AO1136" s="15"/>
      <c r="AP1136" s="15"/>
      <c r="AQ1136" s="13"/>
      <c r="AR1136" s="13"/>
      <c r="AS1136" s="13"/>
      <c r="AT1136" s="13"/>
      <c r="AU1136" s="13"/>
      <c r="AV1136" s="13"/>
      <c r="AW1136" s="13"/>
      <c r="AX1136" s="13"/>
      <c r="AY1136" s="15"/>
      <c r="AZ1136" s="15"/>
      <c r="BA1136" s="16"/>
      <c r="BB1136" s="15"/>
      <c r="BC1136" s="15"/>
      <c r="BD1136" s="13"/>
      <c r="BE1136" s="13"/>
      <c r="BF1136" s="13"/>
      <c r="BG1136" s="13"/>
      <c r="BH1136" s="13"/>
      <c r="BI1136" s="13"/>
      <c r="BJ1136" s="13"/>
      <c r="BK1136" s="13"/>
      <c r="BL1136" s="13"/>
      <c r="BM1136" s="13"/>
      <c r="BN1136" s="13"/>
      <c r="BO1136" s="13"/>
      <c r="BP1136" s="13"/>
      <c r="BQ1136" s="15"/>
      <c r="BR1136" s="15"/>
      <c r="BS1136" s="15"/>
      <c r="BT1136" s="15"/>
      <c r="BU1136" s="15"/>
      <c r="BV1136" s="15"/>
      <c r="BW1136" s="15"/>
      <c r="BX1136" s="15"/>
      <c r="BY1136" s="15"/>
      <c r="BZ1136" s="15"/>
      <c r="CA1136" s="15"/>
      <c r="CB1136" s="17"/>
      <c r="CC1136" s="17"/>
      <c r="CD1136" s="18"/>
      <c r="CE1136" s="18"/>
      <c r="CF1136" s="18"/>
      <c r="CG1136" s="18"/>
      <c r="CH1136" s="18"/>
    </row>
    <row r="1137">
      <c r="A1137" s="15"/>
      <c r="B1137" s="16"/>
      <c r="C1137" s="15"/>
      <c r="D1137" s="9"/>
      <c r="E1137" s="15"/>
      <c r="F1137" s="15"/>
      <c r="G1137" s="13"/>
      <c r="H1137" s="13"/>
      <c r="I1137" s="13"/>
      <c r="J1137" s="13"/>
      <c r="K1137" s="13"/>
      <c r="L1137" s="13"/>
      <c r="M1137" s="13"/>
      <c r="N1137" s="13"/>
      <c r="O1137" s="13"/>
      <c r="P1137" s="13"/>
      <c r="Q1137" s="13"/>
      <c r="R1137" s="13"/>
      <c r="S1137" s="13"/>
      <c r="T1137" s="13"/>
      <c r="U1137" s="13"/>
      <c r="V1137" s="13"/>
      <c r="W1137" s="13"/>
      <c r="X1137" s="13"/>
      <c r="Y1137" s="13"/>
      <c r="Z1137" s="13"/>
      <c r="AA1137" s="13"/>
      <c r="AB1137" s="15"/>
      <c r="AC1137" s="15"/>
      <c r="AD1137" s="15"/>
      <c r="AE1137" s="13"/>
      <c r="AF1137" s="13"/>
      <c r="AG1137" s="13"/>
      <c r="AH1137" s="15"/>
      <c r="AI1137" s="13"/>
      <c r="AJ1137" s="13"/>
      <c r="AK1137" s="13"/>
      <c r="AL1137" s="13"/>
      <c r="AM1137" s="15"/>
      <c r="AN1137" s="13"/>
      <c r="AO1137" s="15"/>
      <c r="AP1137" s="15"/>
      <c r="AQ1137" s="13"/>
      <c r="AR1137" s="13"/>
      <c r="AS1137" s="13"/>
      <c r="AT1137" s="13"/>
      <c r="AU1137" s="13"/>
      <c r="AV1137" s="13"/>
      <c r="AW1137" s="13"/>
      <c r="AX1137" s="13"/>
      <c r="AY1137" s="15"/>
      <c r="AZ1137" s="15"/>
      <c r="BA1137" s="16"/>
      <c r="BB1137" s="15"/>
      <c r="BC1137" s="15"/>
      <c r="BD1137" s="13"/>
      <c r="BE1137" s="13"/>
      <c r="BF1137" s="13"/>
      <c r="BG1137" s="13"/>
      <c r="BH1137" s="13"/>
      <c r="BI1137" s="13"/>
      <c r="BJ1137" s="13"/>
      <c r="BK1137" s="13"/>
      <c r="BL1137" s="13"/>
      <c r="BM1137" s="13"/>
      <c r="BN1137" s="13"/>
      <c r="BO1137" s="13"/>
      <c r="BP1137" s="13"/>
      <c r="BQ1137" s="15"/>
      <c r="BR1137" s="15"/>
      <c r="BS1137" s="15"/>
      <c r="BT1137" s="15"/>
      <c r="BU1137" s="15"/>
      <c r="BV1137" s="15"/>
      <c r="BW1137" s="15"/>
      <c r="BX1137" s="15"/>
      <c r="BY1137" s="15"/>
      <c r="BZ1137" s="15"/>
      <c r="CA1137" s="15"/>
      <c r="CB1137" s="17"/>
      <c r="CC1137" s="17"/>
      <c r="CD1137" s="18"/>
      <c r="CE1137" s="18"/>
      <c r="CF1137" s="18"/>
      <c r="CG1137" s="18"/>
      <c r="CH1137" s="18"/>
    </row>
    <row r="1138">
      <c r="A1138" s="15"/>
      <c r="B1138" s="16"/>
      <c r="C1138" s="15"/>
      <c r="D1138" s="9"/>
      <c r="E1138" s="15"/>
      <c r="F1138" s="15"/>
      <c r="G1138" s="13"/>
      <c r="H1138" s="13"/>
      <c r="I1138" s="13"/>
      <c r="J1138" s="13"/>
      <c r="K1138" s="13"/>
      <c r="L1138" s="13"/>
      <c r="M1138" s="13"/>
      <c r="N1138" s="13"/>
      <c r="O1138" s="13"/>
      <c r="P1138" s="13"/>
      <c r="Q1138" s="13"/>
      <c r="R1138" s="13"/>
      <c r="S1138" s="13"/>
      <c r="T1138" s="13"/>
      <c r="U1138" s="13"/>
      <c r="V1138" s="13"/>
      <c r="W1138" s="13"/>
      <c r="X1138" s="13"/>
      <c r="Y1138" s="13"/>
      <c r="Z1138" s="13"/>
      <c r="AA1138" s="13"/>
      <c r="AB1138" s="15"/>
      <c r="AC1138" s="15"/>
      <c r="AD1138" s="15"/>
      <c r="AE1138" s="13"/>
      <c r="AF1138" s="13"/>
      <c r="AG1138" s="13"/>
      <c r="AH1138" s="15"/>
      <c r="AI1138" s="13"/>
      <c r="AJ1138" s="13"/>
      <c r="AK1138" s="13"/>
      <c r="AL1138" s="13"/>
      <c r="AM1138" s="15"/>
      <c r="AN1138" s="13"/>
      <c r="AO1138" s="15"/>
      <c r="AP1138" s="15"/>
      <c r="AQ1138" s="13"/>
      <c r="AR1138" s="13"/>
      <c r="AS1138" s="13"/>
      <c r="AT1138" s="13"/>
      <c r="AU1138" s="13"/>
      <c r="AV1138" s="13"/>
      <c r="AW1138" s="13"/>
      <c r="AX1138" s="13"/>
      <c r="AY1138" s="15"/>
      <c r="AZ1138" s="15"/>
      <c r="BA1138" s="16"/>
      <c r="BB1138" s="15"/>
      <c r="BC1138" s="15"/>
      <c r="BD1138" s="13"/>
      <c r="BE1138" s="13"/>
      <c r="BF1138" s="13"/>
      <c r="BG1138" s="13"/>
      <c r="BH1138" s="13"/>
      <c r="BI1138" s="13"/>
      <c r="BJ1138" s="13"/>
      <c r="BK1138" s="13"/>
      <c r="BL1138" s="13"/>
      <c r="BM1138" s="13"/>
      <c r="BN1138" s="13"/>
      <c r="BO1138" s="13"/>
      <c r="BP1138" s="13"/>
      <c r="BQ1138" s="15"/>
      <c r="BR1138" s="15"/>
      <c r="BS1138" s="15"/>
      <c r="BT1138" s="15"/>
      <c r="BU1138" s="15"/>
      <c r="BV1138" s="15"/>
      <c r="BW1138" s="15"/>
      <c r="BX1138" s="15"/>
      <c r="BY1138" s="15"/>
      <c r="BZ1138" s="15"/>
      <c r="CA1138" s="15"/>
      <c r="CB1138" s="17"/>
      <c r="CC1138" s="17"/>
      <c r="CD1138" s="18"/>
      <c r="CE1138" s="18"/>
      <c r="CF1138" s="18"/>
      <c r="CG1138" s="18"/>
      <c r="CH1138" s="18"/>
    </row>
    <row r="1139">
      <c r="A1139" s="15"/>
      <c r="B1139" s="16"/>
      <c r="C1139" s="15"/>
      <c r="D1139" s="9"/>
      <c r="E1139" s="15"/>
      <c r="F1139" s="15"/>
      <c r="G1139" s="13"/>
      <c r="H1139" s="13"/>
      <c r="I1139" s="13"/>
      <c r="J1139" s="13"/>
      <c r="K1139" s="13"/>
      <c r="L1139" s="13"/>
      <c r="M1139" s="13"/>
      <c r="N1139" s="13"/>
      <c r="O1139" s="13"/>
      <c r="P1139" s="13"/>
      <c r="Q1139" s="13"/>
      <c r="R1139" s="13"/>
      <c r="S1139" s="13"/>
      <c r="T1139" s="13"/>
      <c r="U1139" s="13"/>
      <c r="V1139" s="13"/>
      <c r="W1139" s="13"/>
      <c r="X1139" s="13"/>
      <c r="Y1139" s="13"/>
      <c r="Z1139" s="13"/>
      <c r="AA1139" s="13"/>
      <c r="AB1139" s="15"/>
      <c r="AC1139" s="15"/>
      <c r="AD1139" s="15"/>
      <c r="AE1139" s="13"/>
      <c r="AF1139" s="13"/>
      <c r="AG1139" s="13"/>
      <c r="AH1139" s="15"/>
      <c r="AI1139" s="13"/>
      <c r="AJ1139" s="13"/>
      <c r="AK1139" s="13"/>
      <c r="AL1139" s="13"/>
      <c r="AM1139" s="15"/>
      <c r="AN1139" s="13"/>
      <c r="AO1139" s="15"/>
      <c r="AP1139" s="15"/>
      <c r="AQ1139" s="13"/>
      <c r="AR1139" s="13"/>
      <c r="AS1139" s="13"/>
      <c r="AT1139" s="13"/>
      <c r="AU1139" s="13"/>
      <c r="AV1139" s="13"/>
      <c r="AW1139" s="13"/>
      <c r="AX1139" s="13"/>
      <c r="AY1139" s="15"/>
      <c r="AZ1139" s="15"/>
      <c r="BA1139" s="16"/>
      <c r="BB1139" s="15"/>
      <c r="BC1139" s="15"/>
      <c r="BD1139" s="13"/>
      <c r="BE1139" s="13"/>
      <c r="BF1139" s="13"/>
      <c r="BG1139" s="13"/>
      <c r="BH1139" s="13"/>
      <c r="BI1139" s="13"/>
      <c r="BJ1139" s="13"/>
      <c r="BK1139" s="13"/>
      <c r="BL1139" s="13"/>
      <c r="BM1139" s="13"/>
      <c r="BN1139" s="13"/>
      <c r="BO1139" s="13"/>
      <c r="BP1139" s="13"/>
      <c r="BQ1139" s="15"/>
      <c r="BR1139" s="15"/>
      <c r="BS1139" s="15"/>
      <c r="BT1139" s="15"/>
      <c r="BU1139" s="15"/>
      <c r="BV1139" s="15"/>
      <c r="BW1139" s="15"/>
      <c r="BX1139" s="15"/>
      <c r="BY1139" s="15"/>
      <c r="BZ1139" s="15"/>
      <c r="CA1139" s="15"/>
      <c r="CB1139" s="17"/>
      <c r="CC1139" s="17"/>
      <c r="CD1139" s="18"/>
      <c r="CE1139" s="18"/>
      <c r="CF1139" s="18"/>
      <c r="CG1139" s="18"/>
      <c r="CH1139" s="18"/>
    </row>
    <row r="1140">
      <c r="A1140" s="15"/>
      <c r="B1140" s="16"/>
      <c r="C1140" s="15"/>
      <c r="D1140" s="9"/>
      <c r="E1140" s="15"/>
      <c r="F1140" s="15"/>
      <c r="G1140" s="13"/>
      <c r="H1140" s="13"/>
      <c r="I1140" s="13"/>
      <c r="J1140" s="13"/>
      <c r="K1140" s="13"/>
      <c r="L1140" s="13"/>
      <c r="M1140" s="13"/>
      <c r="N1140" s="13"/>
      <c r="O1140" s="13"/>
      <c r="P1140" s="13"/>
      <c r="Q1140" s="13"/>
      <c r="R1140" s="13"/>
      <c r="S1140" s="13"/>
      <c r="T1140" s="13"/>
      <c r="U1140" s="13"/>
      <c r="V1140" s="13"/>
      <c r="W1140" s="13"/>
      <c r="X1140" s="13"/>
      <c r="Y1140" s="13"/>
      <c r="Z1140" s="13"/>
      <c r="AA1140" s="13"/>
      <c r="AB1140" s="15"/>
      <c r="AC1140" s="15"/>
      <c r="AD1140" s="15"/>
      <c r="AE1140" s="13"/>
      <c r="AF1140" s="13"/>
      <c r="AG1140" s="13"/>
      <c r="AH1140" s="15"/>
      <c r="AI1140" s="13"/>
      <c r="AJ1140" s="13"/>
      <c r="AK1140" s="13"/>
      <c r="AL1140" s="13"/>
      <c r="AM1140" s="15"/>
      <c r="AN1140" s="13"/>
      <c r="AO1140" s="15"/>
      <c r="AP1140" s="15"/>
      <c r="AQ1140" s="13"/>
      <c r="AR1140" s="13"/>
      <c r="AS1140" s="13"/>
      <c r="AT1140" s="13"/>
      <c r="AU1140" s="13"/>
      <c r="AV1140" s="13"/>
      <c r="AW1140" s="13"/>
      <c r="AX1140" s="13"/>
      <c r="AY1140" s="15"/>
      <c r="AZ1140" s="15"/>
      <c r="BA1140" s="16"/>
      <c r="BB1140" s="15"/>
      <c r="BC1140" s="15"/>
      <c r="BD1140" s="13"/>
      <c r="BE1140" s="13"/>
      <c r="BF1140" s="13"/>
      <c r="BG1140" s="13"/>
      <c r="BH1140" s="13"/>
      <c r="BI1140" s="13"/>
      <c r="BJ1140" s="13"/>
      <c r="BK1140" s="13"/>
      <c r="BL1140" s="13"/>
      <c r="BM1140" s="13"/>
      <c r="BN1140" s="13"/>
      <c r="BO1140" s="13"/>
      <c r="BP1140" s="13"/>
      <c r="BQ1140" s="15"/>
      <c r="BR1140" s="15"/>
      <c r="BS1140" s="15"/>
      <c r="BT1140" s="15"/>
      <c r="BU1140" s="15"/>
      <c r="BV1140" s="15"/>
      <c r="BW1140" s="15"/>
      <c r="BX1140" s="15"/>
      <c r="BY1140" s="15"/>
      <c r="BZ1140" s="15"/>
      <c r="CA1140" s="15"/>
      <c r="CB1140" s="17"/>
      <c r="CC1140" s="17"/>
      <c r="CD1140" s="18"/>
      <c r="CE1140" s="18"/>
      <c r="CF1140" s="18"/>
      <c r="CG1140" s="18"/>
      <c r="CH1140" s="18"/>
    </row>
    <row r="1141">
      <c r="A1141" s="15"/>
      <c r="B1141" s="16"/>
      <c r="C1141" s="15"/>
      <c r="D1141" s="9"/>
      <c r="E1141" s="15"/>
      <c r="F1141" s="15"/>
      <c r="G1141" s="13"/>
      <c r="H1141" s="13"/>
      <c r="I1141" s="13"/>
      <c r="J1141" s="13"/>
      <c r="K1141" s="13"/>
      <c r="L1141" s="13"/>
      <c r="M1141" s="13"/>
      <c r="N1141" s="13"/>
      <c r="O1141" s="13"/>
      <c r="P1141" s="13"/>
      <c r="Q1141" s="13"/>
      <c r="R1141" s="13"/>
      <c r="S1141" s="13"/>
      <c r="T1141" s="13"/>
      <c r="U1141" s="13"/>
      <c r="V1141" s="13"/>
      <c r="W1141" s="13"/>
      <c r="X1141" s="13"/>
      <c r="Y1141" s="13"/>
      <c r="Z1141" s="13"/>
      <c r="AA1141" s="13"/>
      <c r="AB1141" s="15"/>
      <c r="AC1141" s="15"/>
      <c r="AD1141" s="15"/>
      <c r="AE1141" s="13"/>
      <c r="AF1141" s="13"/>
      <c r="AG1141" s="13"/>
      <c r="AH1141" s="15"/>
      <c r="AI1141" s="13"/>
      <c r="AJ1141" s="13"/>
      <c r="AK1141" s="13"/>
      <c r="AL1141" s="13"/>
      <c r="AM1141" s="15"/>
      <c r="AN1141" s="13"/>
      <c r="AO1141" s="15"/>
      <c r="AP1141" s="15"/>
      <c r="AQ1141" s="13"/>
      <c r="AR1141" s="13"/>
      <c r="AS1141" s="13"/>
      <c r="AT1141" s="13"/>
      <c r="AU1141" s="13"/>
      <c r="AV1141" s="13"/>
      <c r="AW1141" s="13"/>
      <c r="AX1141" s="13"/>
      <c r="AY1141" s="15"/>
      <c r="AZ1141" s="15"/>
      <c r="BA1141" s="16"/>
      <c r="BB1141" s="15"/>
      <c r="BC1141" s="15"/>
      <c r="BD1141" s="13"/>
      <c r="BE1141" s="13"/>
      <c r="BF1141" s="13"/>
      <c r="BG1141" s="13"/>
      <c r="BH1141" s="13"/>
      <c r="BI1141" s="13"/>
      <c r="BJ1141" s="13"/>
      <c r="BK1141" s="13"/>
      <c r="BL1141" s="13"/>
      <c r="BM1141" s="13"/>
      <c r="BN1141" s="13"/>
      <c r="BO1141" s="13"/>
      <c r="BP1141" s="13"/>
      <c r="BQ1141" s="15"/>
      <c r="BR1141" s="15"/>
      <c r="BS1141" s="15"/>
      <c r="BT1141" s="15"/>
      <c r="BU1141" s="15"/>
      <c r="BV1141" s="15"/>
      <c r="BW1141" s="15"/>
      <c r="BX1141" s="15"/>
      <c r="BY1141" s="15"/>
      <c r="BZ1141" s="15"/>
      <c r="CA1141" s="15"/>
      <c r="CB1141" s="17"/>
      <c r="CC1141" s="17"/>
      <c r="CD1141" s="18"/>
      <c r="CE1141" s="18"/>
      <c r="CF1141" s="18"/>
      <c r="CG1141" s="18"/>
      <c r="CH1141" s="18"/>
    </row>
    <row r="1142">
      <c r="A1142" s="15"/>
      <c r="B1142" s="16"/>
      <c r="C1142" s="15"/>
      <c r="D1142" s="9"/>
      <c r="E1142" s="15"/>
      <c r="F1142" s="15"/>
      <c r="G1142" s="13"/>
      <c r="H1142" s="13"/>
      <c r="I1142" s="13"/>
      <c r="J1142" s="13"/>
      <c r="K1142" s="13"/>
      <c r="L1142" s="13"/>
      <c r="M1142" s="13"/>
      <c r="N1142" s="13"/>
      <c r="O1142" s="13"/>
      <c r="P1142" s="13"/>
      <c r="Q1142" s="13"/>
      <c r="R1142" s="13"/>
      <c r="S1142" s="13"/>
      <c r="T1142" s="13"/>
      <c r="U1142" s="13"/>
      <c r="V1142" s="13"/>
      <c r="W1142" s="13"/>
      <c r="X1142" s="13"/>
      <c r="Y1142" s="13"/>
      <c r="Z1142" s="13"/>
      <c r="AA1142" s="13"/>
      <c r="AB1142" s="15"/>
      <c r="AC1142" s="15"/>
      <c r="AD1142" s="15"/>
      <c r="AE1142" s="13"/>
      <c r="AF1142" s="13"/>
      <c r="AG1142" s="13"/>
      <c r="AH1142" s="15"/>
      <c r="AI1142" s="13"/>
      <c r="AJ1142" s="13"/>
      <c r="AK1142" s="13"/>
      <c r="AL1142" s="13"/>
      <c r="AM1142" s="15"/>
      <c r="AN1142" s="13"/>
      <c r="AO1142" s="15"/>
      <c r="AP1142" s="15"/>
      <c r="AQ1142" s="13"/>
      <c r="AR1142" s="13"/>
      <c r="AS1142" s="13"/>
      <c r="AT1142" s="13"/>
      <c r="AU1142" s="13"/>
      <c r="AV1142" s="13"/>
      <c r="AW1142" s="13"/>
      <c r="AX1142" s="13"/>
      <c r="AY1142" s="15"/>
      <c r="AZ1142" s="15"/>
      <c r="BA1142" s="16"/>
      <c r="BB1142" s="15"/>
      <c r="BC1142" s="15"/>
      <c r="BD1142" s="13"/>
      <c r="BE1142" s="13"/>
      <c r="BF1142" s="13"/>
      <c r="BG1142" s="13"/>
      <c r="BH1142" s="13"/>
      <c r="BI1142" s="13"/>
      <c r="BJ1142" s="13"/>
      <c r="BK1142" s="13"/>
      <c r="BL1142" s="13"/>
      <c r="BM1142" s="13"/>
      <c r="BN1142" s="13"/>
      <c r="BO1142" s="13"/>
      <c r="BP1142" s="13"/>
      <c r="BQ1142" s="15"/>
      <c r="BR1142" s="15"/>
      <c r="BS1142" s="15"/>
      <c r="BT1142" s="15"/>
      <c r="BU1142" s="15"/>
      <c r="BV1142" s="15"/>
      <c r="BW1142" s="15"/>
      <c r="BX1142" s="15"/>
      <c r="BY1142" s="15"/>
      <c r="BZ1142" s="15"/>
      <c r="CA1142" s="15"/>
      <c r="CB1142" s="17"/>
      <c r="CC1142" s="17"/>
      <c r="CD1142" s="18"/>
      <c r="CE1142" s="18"/>
      <c r="CF1142" s="18"/>
      <c r="CG1142" s="18"/>
      <c r="CH1142" s="18"/>
    </row>
    <row r="1143">
      <c r="A1143" s="15"/>
      <c r="B1143" s="16"/>
      <c r="C1143" s="15"/>
      <c r="D1143" s="9"/>
      <c r="E1143" s="15"/>
      <c r="F1143" s="15"/>
      <c r="G1143" s="13"/>
      <c r="H1143" s="13"/>
      <c r="I1143" s="13"/>
      <c r="J1143" s="13"/>
      <c r="K1143" s="13"/>
      <c r="L1143" s="13"/>
      <c r="M1143" s="13"/>
      <c r="N1143" s="13"/>
      <c r="O1143" s="13"/>
      <c r="P1143" s="13"/>
      <c r="Q1143" s="13"/>
      <c r="R1143" s="13"/>
      <c r="S1143" s="13"/>
      <c r="T1143" s="13"/>
      <c r="U1143" s="13"/>
      <c r="V1143" s="13"/>
      <c r="W1143" s="13"/>
      <c r="X1143" s="13"/>
      <c r="Y1143" s="13"/>
      <c r="Z1143" s="13"/>
      <c r="AA1143" s="13"/>
      <c r="AB1143" s="15"/>
      <c r="AC1143" s="15"/>
      <c r="AD1143" s="15"/>
      <c r="AE1143" s="13"/>
      <c r="AF1143" s="13"/>
      <c r="AG1143" s="13"/>
      <c r="AH1143" s="15"/>
      <c r="AI1143" s="13"/>
      <c r="AJ1143" s="13"/>
      <c r="AK1143" s="13"/>
      <c r="AL1143" s="13"/>
      <c r="AM1143" s="15"/>
      <c r="AN1143" s="13"/>
      <c r="AO1143" s="15"/>
      <c r="AP1143" s="15"/>
      <c r="AQ1143" s="13"/>
      <c r="AR1143" s="13"/>
      <c r="AS1143" s="13"/>
      <c r="AT1143" s="13"/>
      <c r="AU1143" s="13"/>
      <c r="AV1143" s="13"/>
      <c r="AW1143" s="13"/>
      <c r="AX1143" s="13"/>
      <c r="AY1143" s="15"/>
      <c r="AZ1143" s="15"/>
      <c r="BA1143" s="16"/>
      <c r="BB1143" s="15"/>
      <c r="BC1143" s="15"/>
      <c r="BD1143" s="13"/>
      <c r="BE1143" s="13"/>
      <c r="BF1143" s="13"/>
      <c r="BG1143" s="13"/>
      <c r="BH1143" s="13"/>
      <c r="BI1143" s="13"/>
      <c r="BJ1143" s="13"/>
      <c r="BK1143" s="13"/>
      <c r="BL1143" s="13"/>
      <c r="BM1143" s="13"/>
      <c r="BN1143" s="13"/>
      <c r="BO1143" s="13"/>
      <c r="BP1143" s="13"/>
      <c r="BQ1143" s="15"/>
      <c r="BR1143" s="15"/>
      <c r="BS1143" s="15"/>
      <c r="BT1143" s="15"/>
      <c r="BU1143" s="15"/>
      <c r="BV1143" s="15"/>
      <c r="BW1143" s="15"/>
      <c r="BX1143" s="15"/>
      <c r="BY1143" s="15"/>
      <c r="BZ1143" s="15"/>
      <c r="CA1143" s="15"/>
      <c r="CB1143" s="17"/>
      <c r="CC1143" s="17"/>
      <c r="CD1143" s="18"/>
      <c r="CE1143" s="18"/>
      <c r="CF1143" s="18"/>
      <c r="CG1143" s="18"/>
      <c r="CH1143" s="18"/>
    </row>
    <row r="1144">
      <c r="A1144" s="15"/>
      <c r="B1144" s="16"/>
      <c r="C1144" s="15"/>
      <c r="D1144" s="9"/>
      <c r="E1144" s="15"/>
      <c r="F1144" s="15"/>
      <c r="G1144" s="13"/>
      <c r="H1144" s="13"/>
      <c r="I1144" s="13"/>
      <c r="J1144" s="13"/>
      <c r="K1144" s="13"/>
      <c r="L1144" s="13"/>
      <c r="M1144" s="13"/>
      <c r="N1144" s="13"/>
      <c r="O1144" s="13"/>
      <c r="P1144" s="13"/>
      <c r="Q1144" s="13"/>
      <c r="R1144" s="13"/>
      <c r="S1144" s="13"/>
      <c r="T1144" s="13"/>
      <c r="U1144" s="13"/>
      <c r="V1144" s="13"/>
      <c r="W1144" s="13"/>
      <c r="X1144" s="13"/>
      <c r="Y1144" s="13"/>
      <c r="Z1144" s="13"/>
      <c r="AA1144" s="13"/>
      <c r="AB1144" s="15"/>
      <c r="AC1144" s="15"/>
      <c r="AD1144" s="15"/>
      <c r="AE1144" s="13"/>
      <c r="AF1144" s="13"/>
      <c r="AG1144" s="13"/>
      <c r="AH1144" s="15"/>
      <c r="AI1144" s="13"/>
      <c r="AJ1144" s="13"/>
      <c r="AK1144" s="13"/>
      <c r="AL1144" s="13"/>
      <c r="AM1144" s="15"/>
      <c r="AN1144" s="13"/>
      <c r="AO1144" s="15"/>
      <c r="AP1144" s="15"/>
      <c r="AQ1144" s="13"/>
      <c r="AR1144" s="13"/>
      <c r="AS1144" s="13"/>
      <c r="AT1144" s="13"/>
      <c r="AU1144" s="13"/>
      <c r="AV1144" s="13"/>
      <c r="AW1144" s="13"/>
      <c r="AX1144" s="13"/>
      <c r="AY1144" s="15"/>
      <c r="AZ1144" s="15"/>
      <c r="BA1144" s="16"/>
      <c r="BB1144" s="15"/>
      <c r="BC1144" s="15"/>
      <c r="BD1144" s="13"/>
      <c r="BE1144" s="13"/>
      <c r="BF1144" s="13"/>
      <c r="BG1144" s="13"/>
      <c r="BH1144" s="13"/>
      <c r="BI1144" s="13"/>
      <c r="BJ1144" s="13"/>
      <c r="BK1144" s="13"/>
      <c r="BL1144" s="13"/>
      <c r="BM1144" s="13"/>
      <c r="BN1144" s="13"/>
      <c r="BO1144" s="13"/>
      <c r="BP1144" s="13"/>
      <c r="BQ1144" s="15"/>
      <c r="BR1144" s="15"/>
      <c r="BS1144" s="15"/>
      <c r="BT1144" s="15"/>
      <c r="BU1144" s="15"/>
      <c r="BV1144" s="15"/>
      <c r="BW1144" s="15"/>
      <c r="BX1144" s="15"/>
      <c r="BY1144" s="15"/>
      <c r="BZ1144" s="15"/>
      <c r="CA1144" s="15"/>
      <c r="CB1144" s="17"/>
      <c r="CC1144" s="17"/>
      <c r="CD1144" s="18"/>
      <c r="CE1144" s="18"/>
      <c r="CF1144" s="18"/>
      <c r="CG1144" s="18"/>
      <c r="CH1144" s="18"/>
    </row>
    <row r="1145">
      <c r="A1145" s="15"/>
      <c r="B1145" s="16"/>
      <c r="C1145" s="15"/>
      <c r="D1145" s="9"/>
      <c r="E1145" s="15"/>
      <c r="F1145" s="15"/>
      <c r="G1145" s="13"/>
      <c r="H1145" s="13"/>
      <c r="I1145" s="13"/>
      <c r="J1145" s="13"/>
      <c r="K1145" s="13"/>
      <c r="L1145" s="13"/>
      <c r="M1145" s="13"/>
      <c r="N1145" s="13"/>
      <c r="O1145" s="13"/>
      <c r="P1145" s="13"/>
      <c r="Q1145" s="13"/>
      <c r="R1145" s="13"/>
      <c r="S1145" s="13"/>
      <c r="T1145" s="13"/>
      <c r="U1145" s="13"/>
      <c r="V1145" s="13"/>
      <c r="W1145" s="13"/>
      <c r="X1145" s="13"/>
      <c r="Y1145" s="13"/>
      <c r="Z1145" s="13"/>
      <c r="AA1145" s="13"/>
      <c r="AB1145" s="15"/>
      <c r="AC1145" s="15"/>
      <c r="AD1145" s="15"/>
      <c r="AE1145" s="13"/>
      <c r="AF1145" s="13"/>
      <c r="AG1145" s="13"/>
      <c r="AH1145" s="15"/>
      <c r="AI1145" s="13"/>
      <c r="AJ1145" s="13"/>
      <c r="AK1145" s="13"/>
      <c r="AL1145" s="13"/>
      <c r="AM1145" s="15"/>
      <c r="AN1145" s="13"/>
      <c r="AO1145" s="15"/>
      <c r="AP1145" s="15"/>
      <c r="AQ1145" s="13"/>
      <c r="AR1145" s="13"/>
      <c r="AS1145" s="13"/>
      <c r="AT1145" s="13"/>
      <c r="AU1145" s="13"/>
      <c r="AV1145" s="13"/>
      <c r="AW1145" s="13"/>
      <c r="AX1145" s="13"/>
      <c r="AY1145" s="15"/>
      <c r="AZ1145" s="15"/>
      <c r="BA1145" s="16"/>
      <c r="BB1145" s="15"/>
      <c r="BC1145" s="15"/>
      <c r="BD1145" s="13"/>
      <c r="BE1145" s="13"/>
      <c r="BF1145" s="13"/>
      <c r="BG1145" s="13"/>
      <c r="BH1145" s="13"/>
      <c r="BI1145" s="13"/>
      <c r="BJ1145" s="13"/>
      <c r="BK1145" s="13"/>
      <c r="BL1145" s="13"/>
      <c r="BM1145" s="13"/>
      <c r="BN1145" s="13"/>
      <c r="BO1145" s="13"/>
      <c r="BP1145" s="13"/>
      <c r="BQ1145" s="15"/>
      <c r="BR1145" s="15"/>
      <c r="BS1145" s="15"/>
      <c r="BT1145" s="15"/>
      <c r="BU1145" s="15"/>
      <c r="BV1145" s="15"/>
      <c r="BW1145" s="15"/>
      <c r="BX1145" s="15"/>
      <c r="BY1145" s="15"/>
      <c r="BZ1145" s="15"/>
      <c r="CA1145" s="15"/>
      <c r="CB1145" s="17"/>
      <c r="CC1145" s="17"/>
      <c r="CD1145" s="18"/>
      <c r="CE1145" s="18"/>
      <c r="CF1145" s="18"/>
      <c r="CG1145" s="18"/>
      <c r="CH1145" s="18"/>
    </row>
    <row r="1146">
      <c r="A1146" s="15"/>
      <c r="B1146" s="16"/>
      <c r="C1146" s="15"/>
      <c r="D1146" s="9"/>
      <c r="E1146" s="15"/>
      <c r="F1146" s="15"/>
      <c r="G1146" s="13"/>
      <c r="H1146" s="13"/>
      <c r="I1146" s="13"/>
      <c r="J1146" s="13"/>
      <c r="K1146" s="13"/>
      <c r="L1146" s="13"/>
      <c r="M1146" s="13"/>
      <c r="N1146" s="13"/>
      <c r="O1146" s="13"/>
      <c r="P1146" s="13"/>
      <c r="Q1146" s="13"/>
      <c r="R1146" s="13"/>
      <c r="S1146" s="13"/>
      <c r="T1146" s="13"/>
      <c r="U1146" s="13"/>
      <c r="V1146" s="13"/>
      <c r="W1146" s="13"/>
      <c r="X1146" s="13"/>
      <c r="Y1146" s="13"/>
      <c r="Z1146" s="13"/>
      <c r="AA1146" s="13"/>
      <c r="AB1146" s="15"/>
      <c r="AC1146" s="15"/>
      <c r="AD1146" s="15"/>
      <c r="AE1146" s="13"/>
      <c r="AF1146" s="13"/>
      <c r="AG1146" s="13"/>
      <c r="AH1146" s="15"/>
      <c r="AI1146" s="13"/>
      <c r="AJ1146" s="13"/>
      <c r="AK1146" s="13"/>
      <c r="AL1146" s="13"/>
      <c r="AM1146" s="15"/>
      <c r="AN1146" s="13"/>
      <c r="AO1146" s="15"/>
      <c r="AP1146" s="15"/>
      <c r="AQ1146" s="13"/>
      <c r="AR1146" s="13"/>
      <c r="AS1146" s="13"/>
      <c r="AT1146" s="13"/>
      <c r="AU1146" s="13"/>
      <c r="AV1146" s="13"/>
      <c r="AW1146" s="13"/>
      <c r="AX1146" s="13"/>
      <c r="AY1146" s="15"/>
      <c r="AZ1146" s="15"/>
      <c r="BA1146" s="16"/>
      <c r="BB1146" s="15"/>
      <c r="BC1146" s="15"/>
      <c r="BD1146" s="13"/>
      <c r="BE1146" s="13"/>
      <c r="BF1146" s="13"/>
      <c r="BG1146" s="13"/>
      <c r="BH1146" s="13"/>
      <c r="BI1146" s="13"/>
      <c r="BJ1146" s="13"/>
      <c r="BK1146" s="13"/>
      <c r="BL1146" s="13"/>
      <c r="BM1146" s="13"/>
      <c r="BN1146" s="13"/>
      <c r="BO1146" s="13"/>
      <c r="BP1146" s="13"/>
      <c r="BQ1146" s="15"/>
      <c r="BR1146" s="15"/>
      <c r="BS1146" s="15"/>
      <c r="BT1146" s="15"/>
      <c r="BU1146" s="15"/>
      <c r="BV1146" s="15"/>
      <c r="BW1146" s="15"/>
      <c r="BX1146" s="15"/>
      <c r="BY1146" s="15"/>
      <c r="BZ1146" s="15"/>
      <c r="CA1146" s="15"/>
      <c r="CB1146" s="17"/>
      <c r="CC1146" s="17"/>
      <c r="CD1146" s="18"/>
      <c r="CE1146" s="18"/>
      <c r="CF1146" s="18"/>
      <c r="CG1146" s="18"/>
      <c r="CH1146" s="18"/>
    </row>
    <row r="1147">
      <c r="A1147" s="15"/>
      <c r="B1147" s="16"/>
      <c r="C1147" s="15"/>
      <c r="D1147" s="9"/>
      <c r="E1147" s="15"/>
      <c r="F1147" s="15"/>
      <c r="G1147" s="13"/>
      <c r="H1147" s="13"/>
      <c r="I1147" s="13"/>
      <c r="J1147" s="13"/>
      <c r="K1147" s="13"/>
      <c r="L1147" s="13"/>
      <c r="M1147" s="13"/>
      <c r="N1147" s="13"/>
      <c r="O1147" s="13"/>
      <c r="P1147" s="13"/>
      <c r="Q1147" s="13"/>
      <c r="R1147" s="13"/>
      <c r="S1147" s="13"/>
      <c r="T1147" s="13"/>
      <c r="U1147" s="13"/>
      <c r="V1147" s="13"/>
      <c r="W1147" s="13"/>
      <c r="X1147" s="13"/>
      <c r="Y1147" s="13"/>
      <c r="Z1147" s="13"/>
      <c r="AA1147" s="13"/>
      <c r="AB1147" s="15"/>
      <c r="AC1147" s="15"/>
      <c r="AD1147" s="15"/>
      <c r="AE1147" s="13"/>
      <c r="AF1147" s="13"/>
      <c r="AG1147" s="13"/>
      <c r="AH1147" s="15"/>
      <c r="AI1147" s="13"/>
      <c r="AJ1147" s="13"/>
      <c r="AK1147" s="13"/>
      <c r="AL1147" s="13"/>
      <c r="AM1147" s="15"/>
      <c r="AN1147" s="13"/>
      <c r="AO1147" s="15"/>
      <c r="AP1147" s="15"/>
      <c r="AQ1147" s="13"/>
      <c r="AR1147" s="13"/>
      <c r="AS1147" s="13"/>
      <c r="AT1147" s="13"/>
      <c r="AU1147" s="13"/>
      <c r="AV1147" s="13"/>
      <c r="AW1147" s="13"/>
      <c r="AX1147" s="13"/>
      <c r="AY1147" s="15"/>
      <c r="AZ1147" s="15"/>
      <c r="BA1147" s="16"/>
      <c r="BB1147" s="15"/>
      <c r="BC1147" s="15"/>
      <c r="BD1147" s="13"/>
      <c r="BE1147" s="13"/>
      <c r="BF1147" s="13"/>
      <c r="BG1147" s="13"/>
      <c r="BH1147" s="13"/>
      <c r="BI1147" s="13"/>
      <c r="BJ1147" s="13"/>
      <c r="BK1147" s="13"/>
      <c r="BL1147" s="13"/>
      <c r="BM1147" s="13"/>
      <c r="BN1147" s="13"/>
      <c r="BO1147" s="13"/>
      <c r="BP1147" s="13"/>
      <c r="BQ1147" s="15"/>
      <c r="BR1147" s="15"/>
      <c r="BS1147" s="15"/>
      <c r="BT1147" s="15"/>
      <c r="BU1147" s="15"/>
      <c r="BV1147" s="15"/>
      <c r="BW1147" s="15"/>
      <c r="BX1147" s="15"/>
      <c r="BY1147" s="15"/>
      <c r="BZ1147" s="15"/>
      <c r="CA1147" s="15"/>
      <c r="CB1147" s="17"/>
      <c r="CC1147" s="17"/>
      <c r="CD1147" s="18"/>
      <c r="CE1147" s="18"/>
      <c r="CF1147" s="18"/>
      <c r="CG1147" s="18"/>
      <c r="CH1147" s="18"/>
    </row>
    <row r="1148">
      <c r="A1148" s="15"/>
      <c r="B1148" s="16"/>
      <c r="C1148" s="15"/>
      <c r="D1148" s="9"/>
      <c r="E1148" s="15"/>
      <c r="F1148" s="15"/>
      <c r="G1148" s="13"/>
      <c r="H1148" s="13"/>
      <c r="I1148" s="13"/>
      <c r="J1148" s="13"/>
      <c r="K1148" s="13"/>
      <c r="L1148" s="13"/>
      <c r="M1148" s="13"/>
      <c r="N1148" s="13"/>
      <c r="O1148" s="13"/>
      <c r="P1148" s="13"/>
      <c r="Q1148" s="13"/>
      <c r="R1148" s="13"/>
      <c r="S1148" s="13"/>
      <c r="T1148" s="13"/>
      <c r="U1148" s="13"/>
      <c r="V1148" s="13"/>
      <c r="W1148" s="13"/>
      <c r="X1148" s="13"/>
      <c r="Y1148" s="13"/>
      <c r="Z1148" s="13"/>
      <c r="AA1148" s="13"/>
      <c r="AB1148" s="15"/>
      <c r="AC1148" s="15"/>
      <c r="AD1148" s="15"/>
      <c r="AE1148" s="13"/>
      <c r="AF1148" s="13"/>
      <c r="AG1148" s="13"/>
      <c r="AH1148" s="15"/>
      <c r="AI1148" s="13"/>
      <c r="AJ1148" s="13"/>
      <c r="AK1148" s="13"/>
      <c r="AL1148" s="13"/>
      <c r="AM1148" s="15"/>
      <c r="AN1148" s="13"/>
      <c r="AO1148" s="15"/>
      <c r="AP1148" s="15"/>
      <c r="AQ1148" s="13"/>
      <c r="AR1148" s="13"/>
      <c r="AS1148" s="13"/>
      <c r="AT1148" s="13"/>
      <c r="AU1148" s="13"/>
      <c r="AV1148" s="13"/>
      <c r="AW1148" s="13"/>
      <c r="AX1148" s="13"/>
      <c r="AY1148" s="15"/>
      <c r="AZ1148" s="15"/>
      <c r="BA1148" s="16"/>
      <c r="BB1148" s="15"/>
      <c r="BC1148" s="15"/>
      <c r="BD1148" s="13"/>
      <c r="BE1148" s="13"/>
      <c r="BF1148" s="13"/>
      <c r="BG1148" s="13"/>
      <c r="BH1148" s="13"/>
      <c r="BI1148" s="13"/>
      <c r="BJ1148" s="13"/>
      <c r="BK1148" s="13"/>
      <c r="BL1148" s="13"/>
      <c r="BM1148" s="13"/>
      <c r="BN1148" s="13"/>
      <c r="BO1148" s="13"/>
      <c r="BP1148" s="13"/>
      <c r="BQ1148" s="15"/>
      <c r="BR1148" s="15"/>
      <c r="BS1148" s="15"/>
      <c r="BT1148" s="15"/>
      <c r="BU1148" s="15"/>
      <c r="BV1148" s="15"/>
      <c r="BW1148" s="15"/>
      <c r="BX1148" s="15"/>
      <c r="BY1148" s="15"/>
      <c r="BZ1148" s="15"/>
      <c r="CA1148" s="15"/>
      <c r="CB1148" s="17"/>
      <c r="CC1148" s="17"/>
      <c r="CD1148" s="18"/>
      <c r="CE1148" s="18"/>
      <c r="CF1148" s="18"/>
      <c r="CG1148" s="18"/>
      <c r="CH1148" s="18"/>
    </row>
    <row r="1149">
      <c r="A1149" s="15"/>
      <c r="B1149" s="16"/>
      <c r="C1149" s="15"/>
      <c r="D1149" s="9"/>
      <c r="E1149" s="15"/>
      <c r="F1149" s="15"/>
      <c r="G1149" s="13"/>
      <c r="H1149" s="13"/>
      <c r="I1149" s="13"/>
      <c r="J1149" s="13"/>
      <c r="K1149" s="13"/>
      <c r="L1149" s="13"/>
      <c r="M1149" s="13"/>
      <c r="N1149" s="13"/>
      <c r="O1149" s="13"/>
      <c r="P1149" s="13"/>
      <c r="Q1149" s="13"/>
      <c r="R1149" s="13"/>
      <c r="S1149" s="13"/>
      <c r="T1149" s="13"/>
      <c r="U1149" s="13"/>
      <c r="V1149" s="13"/>
      <c r="W1149" s="13"/>
      <c r="X1149" s="13"/>
      <c r="Y1149" s="13"/>
      <c r="Z1149" s="13"/>
      <c r="AA1149" s="13"/>
      <c r="AB1149" s="15"/>
      <c r="AC1149" s="15"/>
      <c r="AD1149" s="15"/>
      <c r="AE1149" s="13"/>
      <c r="AF1149" s="13"/>
      <c r="AG1149" s="13"/>
      <c r="AH1149" s="15"/>
      <c r="AI1149" s="13"/>
      <c r="AJ1149" s="13"/>
      <c r="AK1149" s="13"/>
      <c r="AL1149" s="13"/>
      <c r="AM1149" s="15"/>
      <c r="AN1149" s="13"/>
      <c r="AO1149" s="15"/>
      <c r="AP1149" s="15"/>
      <c r="AQ1149" s="13"/>
      <c r="AR1149" s="13"/>
      <c r="AS1149" s="13"/>
      <c r="AT1149" s="13"/>
      <c r="AU1149" s="13"/>
      <c r="AV1149" s="13"/>
      <c r="AW1149" s="13"/>
      <c r="AX1149" s="13"/>
      <c r="AY1149" s="15"/>
      <c r="AZ1149" s="15"/>
      <c r="BA1149" s="16"/>
      <c r="BB1149" s="15"/>
      <c r="BC1149" s="15"/>
      <c r="BD1149" s="13"/>
      <c r="BE1149" s="13"/>
      <c r="BF1149" s="13"/>
      <c r="BG1149" s="13"/>
      <c r="BH1149" s="13"/>
      <c r="BI1149" s="13"/>
      <c r="BJ1149" s="13"/>
      <c r="BK1149" s="13"/>
      <c r="BL1149" s="13"/>
      <c r="BM1149" s="13"/>
      <c r="BN1149" s="13"/>
      <c r="BO1149" s="13"/>
      <c r="BP1149" s="13"/>
      <c r="BQ1149" s="15"/>
      <c r="BR1149" s="15"/>
      <c r="BS1149" s="15"/>
      <c r="BT1149" s="15"/>
      <c r="BU1149" s="15"/>
      <c r="BV1149" s="15"/>
      <c r="BW1149" s="15"/>
      <c r="BX1149" s="15"/>
      <c r="BY1149" s="15"/>
      <c r="BZ1149" s="15"/>
      <c r="CA1149" s="15"/>
      <c r="CB1149" s="17"/>
      <c r="CC1149" s="17"/>
      <c r="CD1149" s="18"/>
      <c r="CE1149" s="18"/>
      <c r="CF1149" s="18"/>
      <c r="CG1149" s="18"/>
      <c r="CH1149" s="18"/>
    </row>
    <row r="1150">
      <c r="A1150" s="15"/>
      <c r="B1150" s="16"/>
      <c r="C1150" s="15"/>
      <c r="D1150" s="9"/>
      <c r="E1150" s="15"/>
      <c r="F1150" s="15"/>
      <c r="G1150" s="13"/>
      <c r="H1150" s="13"/>
      <c r="I1150" s="13"/>
      <c r="J1150" s="13"/>
      <c r="K1150" s="13"/>
      <c r="L1150" s="13"/>
      <c r="M1150" s="13"/>
      <c r="N1150" s="13"/>
      <c r="O1150" s="13"/>
      <c r="P1150" s="13"/>
      <c r="Q1150" s="13"/>
      <c r="R1150" s="13"/>
      <c r="S1150" s="13"/>
      <c r="T1150" s="13"/>
      <c r="U1150" s="13"/>
      <c r="V1150" s="13"/>
      <c r="W1150" s="13"/>
      <c r="X1150" s="13"/>
      <c r="Y1150" s="13"/>
      <c r="Z1150" s="13"/>
      <c r="AA1150" s="13"/>
      <c r="AB1150" s="15"/>
      <c r="AC1150" s="15"/>
      <c r="AD1150" s="15"/>
      <c r="AE1150" s="13"/>
      <c r="AF1150" s="13"/>
      <c r="AG1150" s="13"/>
      <c r="AH1150" s="15"/>
      <c r="AI1150" s="13"/>
      <c r="AJ1150" s="13"/>
      <c r="AK1150" s="13"/>
      <c r="AL1150" s="13"/>
      <c r="AM1150" s="15"/>
      <c r="AN1150" s="13"/>
      <c r="AO1150" s="15"/>
      <c r="AP1150" s="15"/>
      <c r="AQ1150" s="13"/>
      <c r="AR1150" s="13"/>
      <c r="AS1150" s="13"/>
      <c r="AT1150" s="13"/>
      <c r="AU1150" s="13"/>
      <c r="AV1150" s="13"/>
      <c r="AW1150" s="13"/>
      <c r="AX1150" s="13"/>
      <c r="AY1150" s="15"/>
      <c r="AZ1150" s="15"/>
      <c r="BA1150" s="16"/>
      <c r="BB1150" s="15"/>
      <c r="BC1150" s="15"/>
      <c r="BD1150" s="13"/>
      <c r="BE1150" s="13"/>
      <c r="BF1150" s="13"/>
      <c r="BG1150" s="13"/>
      <c r="BH1150" s="13"/>
      <c r="BI1150" s="13"/>
      <c r="BJ1150" s="13"/>
      <c r="BK1150" s="13"/>
      <c r="BL1150" s="13"/>
      <c r="BM1150" s="13"/>
      <c r="BN1150" s="13"/>
      <c r="BO1150" s="13"/>
      <c r="BP1150" s="13"/>
      <c r="BQ1150" s="15"/>
      <c r="BR1150" s="15"/>
      <c r="BS1150" s="15"/>
      <c r="BT1150" s="15"/>
      <c r="BU1150" s="15"/>
      <c r="BV1150" s="15"/>
      <c r="BW1150" s="15"/>
      <c r="BX1150" s="15"/>
      <c r="BY1150" s="15"/>
      <c r="BZ1150" s="15"/>
      <c r="CA1150" s="15"/>
      <c r="CB1150" s="17"/>
      <c r="CC1150" s="17"/>
      <c r="CD1150" s="18"/>
      <c r="CE1150" s="18"/>
      <c r="CF1150" s="18"/>
      <c r="CG1150" s="18"/>
      <c r="CH1150" s="18"/>
    </row>
    <row r="1151">
      <c r="A1151" s="15"/>
      <c r="B1151" s="16"/>
      <c r="C1151" s="15"/>
      <c r="D1151" s="9"/>
      <c r="E1151" s="15"/>
      <c r="F1151" s="15"/>
      <c r="G1151" s="13"/>
      <c r="H1151" s="13"/>
      <c r="I1151" s="13"/>
      <c r="J1151" s="13"/>
      <c r="K1151" s="13"/>
      <c r="L1151" s="13"/>
      <c r="M1151" s="13"/>
      <c r="N1151" s="13"/>
      <c r="O1151" s="13"/>
      <c r="P1151" s="13"/>
      <c r="Q1151" s="13"/>
      <c r="R1151" s="13"/>
      <c r="S1151" s="13"/>
      <c r="T1151" s="13"/>
      <c r="U1151" s="13"/>
      <c r="V1151" s="13"/>
      <c r="W1151" s="13"/>
      <c r="X1151" s="13"/>
      <c r="Y1151" s="13"/>
      <c r="Z1151" s="13"/>
      <c r="AA1151" s="13"/>
      <c r="AB1151" s="15"/>
      <c r="AC1151" s="15"/>
      <c r="AD1151" s="15"/>
      <c r="AE1151" s="13"/>
      <c r="AF1151" s="13"/>
      <c r="AG1151" s="13"/>
      <c r="AH1151" s="15"/>
      <c r="AI1151" s="13"/>
      <c r="AJ1151" s="13"/>
      <c r="AK1151" s="13"/>
      <c r="AL1151" s="13"/>
      <c r="AM1151" s="15"/>
      <c r="AN1151" s="13"/>
      <c r="AO1151" s="15"/>
      <c r="AP1151" s="15"/>
      <c r="AQ1151" s="13"/>
      <c r="AR1151" s="13"/>
      <c r="AS1151" s="13"/>
      <c r="AT1151" s="13"/>
      <c r="AU1151" s="13"/>
      <c r="AV1151" s="13"/>
      <c r="AW1151" s="13"/>
      <c r="AX1151" s="13"/>
      <c r="AY1151" s="15"/>
      <c r="AZ1151" s="15"/>
      <c r="BA1151" s="16"/>
      <c r="BB1151" s="15"/>
      <c r="BC1151" s="15"/>
      <c r="BD1151" s="13"/>
      <c r="BE1151" s="13"/>
      <c r="BF1151" s="13"/>
      <c r="BG1151" s="13"/>
      <c r="BH1151" s="13"/>
      <c r="BI1151" s="13"/>
      <c r="BJ1151" s="13"/>
      <c r="BK1151" s="13"/>
      <c r="BL1151" s="13"/>
      <c r="BM1151" s="13"/>
      <c r="BN1151" s="13"/>
      <c r="BO1151" s="13"/>
      <c r="BP1151" s="13"/>
      <c r="BQ1151" s="15"/>
      <c r="BR1151" s="15"/>
      <c r="BS1151" s="15"/>
      <c r="BT1151" s="15"/>
      <c r="BU1151" s="15"/>
      <c r="BV1151" s="15"/>
      <c r="BW1151" s="15"/>
      <c r="BX1151" s="15"/>
      <c r="BY1151" s="15"/>
      <c r="BZ1151" s="15"/>
      <c r="CA1151" s="15"/>
      <c r="CB1151" s="17"/>
      <c r="CC1151" s="17"/>
      <c r="CD1151" s="18"/>
      <c r="CE1151" s="18"/>
      <c r="CF1151" s="18"/>
      <c r="CG1151" s="18"/>
      <c r="CH1151" s="18"/>
    </row>
    <row r="1152">
      <c r="A1152" s="15"/>
      <c r="B1152" s="16"/>
      <c r="C1152" s="15"/>
      <c r="D1152" s="9"/>
      <c r="E1152" s="15"/>
      <c r="F1152" s="15"/>
      <c r="G1152" s="13"/>
      <c r="H1152" s="13"/>
      <c r="I1152" s="13"/>
      <c r="J1152" s="13"/>
      <c r="K1152" s="13"/>
      <c r="L1152" s="13"/>
      <c r="M1152" s="13"/>
      <c r="N1152" s="13"/>
      <c r="O1152" s="13"/>
      <c r="P1152" s="13"/>
      <c r="Q1152" s="13"/>
      <c r="R1152" s="13"/>
      <c r="S1152" s="13"/>
      <c r="T1152" s="13"/>
      <c r="U1152" s="13"/>
      <c r="V1152" s="13"/>
      <c r="W1152" s="13"/>
      <c r="X1152" s="13"/>
      <c r="Y1152" s="13"/>
      <c r="Z1152" s="13"/>
      <c r="AA1152" s="13"/>
      <c r="AB1152" s="15"/>
      <c r="AC1152" s="15"/>
      <c r="AD1152" s="15"/>
      <c r="AE1152" s="13"/>
      <c r="AF1152" s="13"/>
      <c r="AG1152" s="13"/>
      <c r="AH1152" s="15"/>
      <c r="AI1152" s="13"/>
      <c r="AJ1152" s="13"/>
      <c r="AK1152" s="13"/>
      <c r="AL1152" s="13"/>
      <c r="AM1152" s="15"/>
      <c r="AN1152" s="13"/>
      <c r="AO1152" s="15"/>
      <c r="AP1152" s="15"/>
      <c r="AQ1152" s="13"/>
      <c r="AR1152" s="13"/>
      <c r="AS1152" s="13"/>
      <c r="AT1152" s="13"/>
      <c r="AU1152" s="13"/>
      <c r="AV1152" s="13"/>
      <c r="AW1152" s="13"/>
      <c r="AX1152" s="13"/>
      <c r="AY1152" s="15"/>
      <c r="AZ1152" s="15"/>
      <c r="BA1152" s="16"/>
      <c r="BB1152" s="15"/>
      <c r="BC1152" s="15"/>
      <c r="BD1152" s="13"/>
      <c r="BE1152" s="13"/>
      <c r="BF1152" s="13"/>
      <c r="BG1152" s="13"/>
      <c r="BH1152" s="13"/>
      <c r="BI1152" s="13"/>
      <c r="BJ1152" s="13"/>
      <c r="BK1152" s="13"/>
      <c r="BL1152" s="13"/>
      <c r="BM1152" s="13"/>
      <c r="BN1152" s="13"/>
      <c r="BO1152" s="13"/>
      <c r="BP1152" s="13"/>
      <c r="BQ1152" s="15"/>
      <c r="BR1152" s="15"/>
      <c r="BS1152" s="15"/>
      <c r="BT1152" s="15"/>
      <c r="BU1152" s="15"/>
      <c r="BV1152" s="15"/>
      <c r="BW1152" s="15"/>
      <c r="BX1152" s="15"/>
      <c r="BY1152" s="15"/>
      <c r="BZ1152" s="15"/>
      <c r="CA1152" s="15"/>
      <c r="CB1152" s="17"/>
      <c r="CC1152" s="17"/>
      <c r="CD1152" s="18"/>
      <c r="CE1152" s="18"/>
      <c r="CF1152" s="18"/>
      <c r="CG1152" s="18"/>
      <c r="CH1152" s="18"/>
    </row>
    <row r="1153">
      <c r="A1153" s="15"/>
      <c r="B1153" s="16"/>
      <c r="C1153" s="15"/>
      <c r="D1153" s="9"/>
      <c r="E1153" s="15"/>
      <c r="F1153" s="15"/>
      <c r="G1153" s="13"/>
      <c r="H1153" s="13"/>
      <c r="I1153" s="13"/>
      <c r="J1153" s="13"/>
      <c r="K1153" s="13"/>
      <c r="L1153" s="13"/>
      <c r="M1153" s="13"/>
      <c r="N1153" s="13"/>
      <c r="O1153" s="13"/>
      <c r="P1153" s="13"/>
      <c r="Q1153" s="13"/>
      <c r="R1153" s="13"/>
      <c r="S1153" s="13"/>
      <c r="T1153" s="13"/>
      <c r="U1153" s="13"/>
      <c r="V1153" s="13"/>
      <c r="W1153" s="13"/>
      <c r="X1153" s="13"/>
      <c r="Y1153" s="13"/>
      <c r="Z1153" s="13"/>
      <c r="AA1153" s="13"/>
      <c r="AB1153" s="15"/>
      <c r="AC1153" s="15"/>
      <c r="AD1153" s="15"/>
      <c r="AE1153" s="13"/>
      <c r="AF1153" s="13"/>
      <c r="AG1153" s="13"/>
      <c r="AH1153" s="15"/>
      <c r="AI1153" s="13"/>
      <c r="AJ1153" s="13"/>
      <c r="AK1153" s="13"/>
      <c r="AL1153" s="13"/>
      <c r="AM1153" s="15"/>
      <c r="AN1153" s="13"/>
      <c r="AO1153" s="15"/>
      <c r="AP1153" s="15"/>
      <c r="AQ1153" s="13"/>
      <c r="AR1153" s="13"/>
      <c r="AS1153" s="13"/>
      <c r="AT1153" s="13"/>
      <c r="AU1153" s="13"/>
      <c r="AV1153" s="13"/>
      <c r="AW1153" s="13"/>
      <c r="AX1153" s="13"/>
      <c r="AY1153" s="15"/>
      <c r="AZ1153" s="15"/>
      <c r="BA1153" s="16"/>
      <c r="BB1153" s="15"/>
      <c r="BC1153" s="15"/>
      <c r="BD1153" s="13"/>
      <c r="BE1153" s="13"/>
      <c r="BF1153" s="13"/>
      <c r="BG1153" s="13"/>
      <c r="BH1153" s="13"/>
      <c r="BI1153" s="13"/>
      <c r="BJ1153" s="13"/>
      <c r="BK1153" s="13"/>
      <c r="BL1153" s="13"/>
      <c r="BM1153" s="13"/>
      <c r="BN1153" s="13"/>
      <c r="BO1153" s="13"/>
      <c r="BP1153" s="13"/>
      <c r="BQ1153" s="15"/>
      <c r="BR1153" s="15"/>
      <c r="BS1153" s="15"/>
      <c r="BT1153" s="15"/>
      <c r="BU1153" s="15"/>
      <c r="BV1153" s="15"/>
      <c r="BW1153" s="15"/>
      <c r="BX1153" s="15"/>
      <c r="BY1153" s="15"/>
      <c r="BZ1153" s="15"/>
      <c r="CA1153" s="15"/>
      <c r="CB1153" s="17"/>
      <c r="CC1153" s="17"/>
      <c r="CD1153" s="18"/>
      <c r="CE1153" s="18"/>
      <c r="CF1153" s="18"/>
      <c r="CG1153" s="18"/>
      <c r="CH1153" s="18"/>
    </row>
    <row r="1154">
      <c r="A1154" s="15"/>
      <c r="B1154" s="16"/>
      <c r="C1154" s="15"/>
      <c r="D1154" s="9"/>
      <c r="E1154" s="15"/>
      <c r="F1154" s="15"/>
      <c r="G1154" s="13"/>
      <c r="H1154" s="13"/>
      <c r="I1154" s="13"/>
      <c r="J1154" s="13"/>
      <c r="K1154" s="13"/>
      <c r="L1154" s="13"/>
      <c r="M1154" s="13"/>
      <c r="N1154" s="13"/>
      <c r="O1154" s="13"/>
      <c r="P1154" s="13"/>
      <c r="Q1154" s="13"/>
      <c r="R1154" s="13"/>
      <c r="S1154" s="13"/>
      <c r="T1154" s="13"/>
      <c r="U1154" s="13"/>
      <c r="V1154" s="13"/>
      <c r="W1154" s="13"/>
      <c r="X1154" s="13"/>
      <c r="Y1154" s="13"/>
      <c r="Z1154" s="13"/>
      <c r="AA1154" s="13"/>
      <c r="AB1154" s="15"/>
      <c r="AC1154" s="15"/>
      <c r="AD1154" s="15"/>
      <c r="AE1154" s="13"/>
      <c r="AF1154" s="13"/>
      <c r="AG1154" s="13"/>
      <c r="AH1154" s="15"/>
      <c r="AI1154" s="13"/>
      <c r="AJ1154" s="13"/>
      <c r="AK1154" s="13"/>
      <c r="AL1154" s="13"/>
      <c r="AM1154" s="15"/>
      <c r="AN1154" s="13"/>
      <c r="AO1154" s="15"/>
      <c r="AP1154" s="15"/>
      <c r="AQ1154" s="13"/>
      <c r="AR1154" s="13"/>
      <c r="AS1154" s="13"/>
      <c r="AT1154" s="13"/>
      <c r="AU1154" s="13"/>
      <c r="AV1154" s="13"/>
      <c r="AW1154" s="13"/>
      <c r="AX1154" s="13"/>
      <c r="AY1154" s="15"/>
      <c r="AZ1154" s="15"/>
      <c r="BA1154" s="16"/>
      <c r="BB1154" s="15"/>
      <c r="BC1154" s="15"/>
      <c r="BD1154" s="13"/>
      <c r="BE1154" s="13"/>
      <c r="BF1154" s="13"/>
      <c r="BG1154" s="13"/>
      <c r="BH1154" s="13"/>
      <c r="BI1154" s="13"/>
      <c r="BJ1154" s="13"/>
      <c r="BK1154" s="13"/>
      <c r="BL1154" s="13"/>
      <c r="BM1154" s="13"/>
      <c r="BN1154" s="13"/>
      <c r="BO1154" s="13"/>
      <c r="BP1154" s="13"/>
      <c r="BQ1154" s="15"/>
      <c r="BR1154" s="15"/>
      <c r="BS1154" s="15"/>
      <c r="BT1154" s="15"/>
      <c r="BU1154" s="15"/>
      <c r="BV1154" s="15"/>
      <c r="BW1154" s="15"/>
      <c r="BX1154" s="15"/>
      <c r="BY1154" s="15"/>
      <c r="BZ1154" s="15"/>
      <c r="CA1154" s="15"/>
      <c r="CB1154" s="17"/>
      <c r="CC1154" s="17"/>
      <c r="CD1154" s="18"/>
      <c r="CE1154" s="18"/>
      <c r="CF1154" s="18"/>
      <c r="CG1154" s="18"/>
      <c r="CH1154" s="18"/>
    </row>
    <row r="1155">
      <c r="A1155" s="15"/>
      <c r="B1155" s="16"/>
      <c r="C1155" s="15"/>
      <c r="D1155" s="9"/>
      <c r="E1155" s="15"/>
      <c r="F1155" s="15"/>
      <c r="G1155" s="13"/>
      <c r="H1155" s="13"/>
      <c r="I1155" s="13"/>
      <c r="J1155" s="13"/>
      <c r="K1155" s="13"/>
      <c r="L1155" s="13"/>
      <c r="M1155" s="13"/>
      <c r="N1155" s="13"/>
      <c r="O1155" s="13"/>
      <c r="P1155" s="13"/>
      <c r="Q1155" s="13"/>
      <c r="R1155" s="13"/>
      <c r="S1155" s="13"/>
      <c r="T1155" s="13"/>
      <c r="U1155" s="13"/>
      <c r="V1155" s="13"/>
      <c r="W1155" s="13"/>
      <c r="X1155" s="13"/>
      <c r="Y1155" s="13"/>
      <c r="Z1155" s="13"/>
      <c r="AA1155" s="13"/>
      <c r="AB1155" s="15"/>
      <c r="AC1155" s="15"/>
      <c r="AD1155" s="15"/>
      <c r="AE1155" s="13"/>
      <c r="AF1155" s="13"/>
      <c r="AG1155" s="13"/>
      <c r="AH1155" s="15"/>
      <c r="AI1155" s="13"/>
      <c r="AJ1155" s="13"/>
      <c r="AK1155" s="13"/>
      <c r="AL1155" s="13"/>
      <c r="AM1155" s="15"/>
      <c r="AN1155" s="13"/>
      <c r="AO1155" s="15"/>
      <c r="AP1155" s="15"/>
      <c r="AQ1155" s="13"/>
      <c r="AR1155" s="13"/>
      <c r="AS1155" s="13"/>
      <c r="AT1155" s="13"/>
      <c r="AU1155" s="13"/>
      <c r="AV1155" s="13"/>
      <c r="AW1155" s="13"/>
      <c r="AX1155" s="13"/>
      <c r="AY1155" s="15"/>
      <c r="AZ1155" s="15"/>
      <c r="BA1155" s="16"/>
      <c r="BB1155" s="15"/>
      <c r="BC1155" s="15"/>
      <c r="BD1155" s="13"/>
      <c r="BE1155" s="13"/>
      <c r="BF1155" s="13"/>
      <c r="BG1155" s="13"/>
      <c r="BH1155" s="13"/>
      <c r="BI1155" s="13"/>
      <c r="BJ1155" s="13"/>
      <c r="BK1155" s="13"/>
      <c r="BL1155" s="13"/>
      <c r="BM1155" s="13"/>
      <c r="BN1155" s="13"/>
      <c r="BO1155" s="13"/>
      <c r="BP1155" s="13"/>
      <c r="BQ1155" s="15"/>
      <c r="BR1155" s="15"/>
      <c r="BS1155" s="15"/>
      <c r="BT1155" s="15"/>
      <c r="BU1155" s="15"/>
      <c r="BV1155" s="15"/>
      <c r="BW1155" s="15"/>
      <c r="BX1155" s="15"/>
      <c r="BY1155" s="15"/>
      <c r="BZ1155" s="15"/>
      <c r="CA1155" s="15"/>
      <c r="CB1155" s="17"/>
      <c r="CC1155" s="17"/>
      <c r="CD1155" s="18"/>
      <c r="CE1155" s="18"/>
      <c r="CF1155" s="18"/>
      <c r="CG1155" s="18"/>
      <c r="CH1155" s="18"/>
    </row>
    <row r="1156">
      <c r="A1156" s="15"/>
      <c r="B1156" s="16"/>
      <c r="C1156" s="15"/>
      <c r="D1156" s="9"/>
      <c r="E1156" s="15"/>
      <c r="F1156" s="15"/>
      <c r="G1156" s="13"/>
      <c r="H1156" s="13"/>
      <c r="I1156" s="13"/>
      <c r="J1156" s="13"/>
      <c r="K1156" s="13"/>
      <c r="L1156" s="13"/>
      <c r="M1156" s="13"/>
      <c r="N1156" s="13"/>
      <c r="O1156" s="13"/>
      <c r="P1156" s="13"/>
      <c r="Q1156" s="13"/>
      <c r="R1156" s="13"/>
      <c r="S1156" s="13"/>
      <c r="T1156" s="13"/>
      <c r="U1156" s="13"/>
      <c r="V1156" s="13"/>
      <c r="W1156" s="13"/>
      <c r="X1156" s="13"/>
      <c r="Y1156" s="13"/>
      <c r="Z1156" s="13"/>
      <c r="AA1156" s="13"/>
      <c r="AB1156" s="15"/>
      <c r="AC1156" s="15"/>
      <c r="AD1156" s="15"/>
      <c r="AE1156" s="13"/>
      <c r="AF1156" s="13"/>
      <c r="AG1156" s="13"/>
      <c r="AH1156" s="15"/>
      <c r="AI1156" s="13"/>
      <c r="AJ1156" s="13"/>
      <c r="AK1156" s="13"/>
      <c r="AL1156" s="13"/>
      <c r="AM1156" s="15"/>
      <c r="AN1156" s="13"/>
      <c r="AO1156" s="15"/>
      <c r="AP1156" s="15"/>
      <c r="AQ1156" s="13"/>
      <c r="AR1156" s="13"/>
      <c r="AS1156" s="13"/>
      <c r="AT1156" s="13"/>
      <c r="AU1156" s="13"/>
      <c r="AV1156" s="13"/>
      <c r="AW1156" s="13"/>
      <c r="AX1156" s="13"/>
      <c r="AY1156" s="15"/>
      <c r="AZ1156" s="15"/>
      <c r="BA1156" s="16"/>
      <c r="BB1156" s="15"/>
      <c r="BC1156" s="15"/>
      <c r="BD1156" s="13"/>
      <c r="BE1156" s="13"/>
      <c r="BF1156" s="13"/>
      <c r="BG1156" s="13"/>
      <c r="BH1156" s="13"/>
      <c r="BI1156" s="13"/>
      <c r="BJ1156" s="13"/>
      <c r="BK1156" s="13"/>
      <c r="BL1156" s="13"/>
      <c r="BM1156" s="13"/>
      <c r="BN1156" s="13"/>
      <c r="BO1156" s="13"/>
      <c r="BP1156" s="13"/>
      <c r="BQ1156" s="15"/>
      <c r="BR1156" s="15"/>
      <c r="BS1156" s="15"/>
      <c r="BT1156" s="15"/>
      <c r="BU1156" s="15"/>
      <c r="BV1156" s="15"/>
      <c r="BW1156" s="15"/>
      <c r="BX1156" s="15"/>
      <c r="BY1156" s="15"/>
      <c r="BZ1156" s="15"/>
      <c r="CA1156" s="15"/>
      <c r="CB1156" s="17"/>
      <c r="CC1156" s="17"/>
      <c r="CD1156" s="18"/>
      <c r="CE1156" s="18"/>
      <c r="CF1156" s="18"/>
      <c r="CG1156" s="18"/>
      <c r="CH1156" s="18"/>
    </row>
    <row r="1157">
      <c r="A1157" s="15"/>
      <c r="B1157" s="16"/>
      <c r="C1157" s="15"/>
      <c r="D1157" s="9"/>
      <c r="E1157" s="15"/>
      <c r="F1157" s="15"/>
      <c r="G1157" s="13"/>
      <c r="H1157" s="13"/>
      <c r="I1157" s="13"/>
      <c r="J1157" s="13"/>
      <c r="K1157" s="13"/>
      <c r="L1157" s="13"/>
      <c r="M1157" s="13"/>
      <c r="N1157" s="13"/>
      <c r="O1157" s="13"/>
      <c r="P1157" s="13"/>
      <c r="Q1157" s="13"/>
      <c r="R1157" s="13"/>
      <c r="S1157" s="13"/>
      <c r="T1157" s="13"/>
      <c r="U1157" s="13"/>
      <c r="V1157" s="13"/>
      <c r="W1157" s="13"/>
      <c r="X1157" s="13"/>
      <c r="Y1157" s="13"/>
      <c r="Z1157" s="13"/>
      <c r="AA1157" s="13"/>
      <c r="AB1157" s="15"/>
      <c r="AC1157" s="15"/>
      <c r="AD1157" s="15"/>
      <c r="AE1157" s="13"/>
      <c r="AF1157" s="13"/>
      <c r="AG1157" s="13"/>
      <c r="AH1157" s="15"/>
      <c r="AI1157" s="13"/>
      <c r="AJ1157" s="13"/>
      <c r="AK1157" s="13"/>
      <c r="AL1157" s="13"/>
      <c r="AM1157" s="15"/>
      <c r="AN1157" s="13"/>
      <c r="AO1157" s="15"/>
      <c r="AP1157" s="15"/>
      <c r="AQ1157" s="13"/>
      <c r="AR1157" s="13"/>
      <c r="AS1157" s="13"/>
      <c r="AT1157" s="13"/>
      <c r="AU1157" s="13"/>
      <c r="AV1157" s="13"/>
      <c r="AW1157" s="13"/>
      <c r="AX1157" s="13"/>
      <c r="AY1157" s="15"/>
      <c r="AZ1157" s="15"/>
      <c r="BA1157" s="16"/>
      <c r="BB1157" s="15"/>
      <c r="BC1157" s="15"/>
      <c r="BD1157" s="13"/>
      <c r="BE1157" s="13"/>
      <c r="BF1157" s="13"/>
      <c r="BG1157" s="13"/>
      <c r="BH1157" s="13"/>
      <c r="BI1157" s="13"/>
      <c r="BJ1157" s="13"/>
      <c r="BK1157" s="13"/>
      <c r="BL1157" s="13"/>
      <c r="BM1157" s="13"/>
      <c r="BN1157" s="13"/>
      <c r="BO1157" s="13"/>
      <c r="BP1157" s="13"/>
      <c r="BQ1157" s="15"/>
      <c r="BR1157" s="15"/>
      <c r="BS1157" s="15"/>
      <c r="BT1157" s="15"/>
      <c r="BU1157" s="15"/>
      <c r="BV1157" s="15"/>
      <c r="BW1157" s="15"/>
      <c r="BX1157" s="15"/>
      <c r="BY1157" s="15"/>
      <c r="BZ1157" s="15"/>
      <c r="CA1157" s="15"/>
      <c r="CB1157" s="17"/>
      <c r="CC1157" s="17"/>
      <c r="CD1157" s="18"/>
      <c r="CE1157" s="18"/>
      <c r="CF1157" s="18"/>
      <c r="CG1157" s="18"/>
      <c r="CH1157" s="18"/>
    </row>
    <row r="1158">
      <c r="A1158" s="15"/>
      <c r="B1158" s="16"/>
      <c r="C1158" s="15"/>
      <c r="D1158" s="9"/>
      <c r="E1158" s="15"/>
      <c r="F1158" s="15"/>
      <c r="G1158" s="13"/>
      <c r="H1158" s="13"/>
      <c r="I1158" s="13"/>
      <c r="J1158" s="13"/>
      <c r="K1158" s="13"/>
      <c r="L1158" s="13"/>
      <c r="M1158" s="13"/>
      <c r="N1158" s="13"/>
      <c r="O1158" s="13"/>
      <c r="P1158" s="13"/>
      <c r="Q1158" s="13"/>
      <c r="R1158" s="13"/>
      <c r="S1158" s="13"/>
      <c r="T1158" s="13"/>
      <c r="U1158" s="13"/>
      <c r="V1158" s="13"/>
      <c r="W1158" s="13"/>
      <c r="X1158" s="13"/>
      <c r="Y1158" s="13"/>
      <c r="Z1158" s="13"/>
      <c r="AA1158" s="13"/>
      <c r="AB1158" s="15"/>
      <c r="AC1158" s="15"/>
      <c r="AD1158" s="15"/>
      <c r="AE1158" s="13"/>
      <c r="AF1158" s="13"/>
      <c r="AG1158" s="13"/>
      <c r="AH1158" s="15"/>
      <c r="AI1158" s="13"/>
      <c r="AJ1158" s="13"/>
      <c r="AK1158" s="13"/>
      <c r="AL1158" s="13"/>
      <c r="AM1158" s="15"/>
      <c r="AN1158" s="13"/>
      <c r="AO1158" s="15"/>
      <c r="AP1158" s="15"/>
      <c r="AQ1158" s="13"/>
      <c r="AR1158" s="13"/>
      <c r="AS1158" s="13"/>
      <c r="AT1158" s="13"/>
      <c r="AU1158" s="13"/>
      <c r="AV1158" s="13"/>
      <c r="AW1158" s="13"/>
      <c r="AX1158" s="13"/>
      <c r="AY1158" s="15"/>
      <c r="AZ1158" s="15"/>
      <c r="BA1158" s="16"/>
      <c r="BB1158" s="15"/>
      <c r="BC1158" s="15"/>
      <c r="BD1158" s="13"/>
      <c r="BE1158" s="13"/>
      <c r="BF1158" s="13"/>
      <c r="BG1158" s="13"/>
      <c r="BH1158" s="13"/>
      <c r="BI1158" s="13"/>
      <c r="BJ1158" s="13"/>
      <c r="BK1158" s="13"/>
      <c r="BL1158" s="13"/>
      <c r="BM1158" s="13"/>
      <c r="BN1158" s="13"/>
      <c r="BO1158" s="13"/>
      <c r="BP1158" s="13"/>
      <c r="BQ1158" s="15"/>
      <c r="BR1158" s="15"/>
      <c r="BS1158" s="15"/>
      <c r="BT1158" s="15"/>
      <c r="BU1158" s="15"/>
      <c r="BV1158" s="15"/>
      <c r="BW1158" s="15"/>
      <c r="BX1158" s="15"/>
      <c r="BY1158" s="15"/>
      <c r="BZ1158" s="15"/>
      <c r="CA1158" s="15"/>
      <c r="CB1158" s="17"/>
      <c r="CC1158" s="17"/>
      <c r="CD1158" s="18"/>
      <c r="CE1158" s="18"/>
      <c r="CF1158" s="18"/>
      <c r="CG1158" s="18"/>
      <c r="CH1158" s="18"/>
    </row>
    <row r="1159">
      <c r="A1159" s="15"/>
      <c r="B1159" s="16"/>
      <c r="C1159" s="15"/>
      <c r="D1159" s="9"/>
      <c r="E1159" s="15"/>
      <c r="F1159" s="15"/>
      <c r="G1159" s="13"/>
      <c r="H1159" s="13"/>
      <c r="I1159" s="13"/>
      <c r="J1159" s="13"/>
      <c r="K1159" s="13"/>
      <c r="L1159" s="13"/>
      <c r="M1159" s="13"/>
      <c r="N1159" s="13"/>
      <c r="O1159" s="13"/>
      <c r="P1159" s="13"/>
      <c r="Q1159" s="13"/>
      <c r="R1159" s="13"/>
      <c r="S1159" s="13"/>
      <c r="T1159" s="13"/>
      <c r="U1159" s="13"/>
      <c r="V1159" s="13"/>
      <c r="W1159" s="13"/>
      <c r="X1159" s="13"/>
      <c r="Y1159" s="13"/>
      <c r="Z1159" s="13"/>
      <c r="AA1159" s="13"/>
      <c r="AB1159" s="15"/>
      <c r="AC1159" s="15"/>
      <c r="AD1159" s="15"/>
      <c r="AE1159" s="13"/>
      <c r="AF1159" s="13"/>
      <c r="AG1159" s="13"/>
      <c r="AH1159" s="15"/>
      <c r="AI1159" s="13"/>
      <c r="AJ1159" s="13"/>
      <c r="AK1159" s="13"/>
      <c r="AL1159" s="13"/>
      <c r="AM1159" s="15"/>
      <c r="AN1159" s="13"/>
      <c r="AO1159" s="15"/>
      <c r="AP1159" s="15"/>
      <c r="AQ1159" s="13"/>
      <c r="AR1159" s="13"/>
      <c r="AS1159" s="13"/>
      <c r="AT1159" s="13"/>
      <c r="AU1159" s="13"/>
      <c r="AV1159" s="13"/>
      <c r="AW1159" s="13"/>
      <c r="AX1159" s="13"/>
      <c r="AY1159" s="15"/>
      <c r="AZ1159" s="15"/>
      <c r="BA1159" s="16"/>
      <c r="BB1159" s="15"/>
      <c r="BC1159" s="15"/>
      <c r="BD1159" s="13"/>
      <c r="BE1159" s="13"/>
      <c r="BF1159" s="13"/>
      <c r="BG1159" s="13"/>
      <c r="BH1159" s="13"/>
      <c r="BI1159" s="13"/>
      <c r="BJ1159" s="13"/>
      <c r="BK1159" s="13"/>
      <c r="BL1159" s="13"/>
      <c r="BM1159" s="13"/>
      <c r="BN1159" s="13"/>
      <c r="BO1159" s="13"/>
      <c r="BP1159" s="13"/>
      <c r="BQ1159" s="15"/>
      <c r="BR1159" s="15"/>
      <c r="BS1159" s="15"/>
      <c r="BT1159" s="15"/>
      <c r="BU1159" s="15"/>
      <c r="BV1159" s="15"/>
      <c r="BW1159" s="15"/>
      <c r="BX1159" s="15"/>
      <c r="BY1159" s="15"/>
      <c r="BZ1159" s="15"/>
      <c r="CA1159" s="15"/>
      <c r="CB1159" s="17"/>
      <c r="CC1159" s="17"/>
      <c r="CD1159" s="18"/>
      <c r="CE1159" s="18"/>
      <c r="CF1159" s="18"/>
      <c r="CG1159" s="18"/>
      <c r="CH1159" s="18"/>
    </row>
    <row r="1160">
      <c r="A1160" s="15"/>
      <c r="B1160" s="16"/>
      <c r="C1160" s="15"/>
      <c r="D1160" s="9"/>
      <c r="E1160" s="15"/>
      <c r="F1160" s="15"/>
      <c r="G1160" s="13"/>
      <c r="H1160" s="13"/>
      <c r="I1160" s="13"/>
      <c r="J1160" s="13"/>
      <c r="K1160" s="13"/>
      <c r="L1160" s="13"/>
      <c r="M1160" s="13"/>
      <c r="N1160" s="13"/>
      <c r="O1160" s="13"/>
      <c r="P1160" s="13"/>
      <c r="Q1160" s="13"/>
      <c r="R1160" s="13"/>
      <c r="S1160" s="13"/>
      <c r="T1160" s="13"/>
      <c r="U1160" s="13"/>
      <c r="V1160" s="13"/>
      <c r="W1160" s="13"/>
      <c r="X1160" s="13"/>
      <c r="Y1160" s="13"/>
      <c r="Z1160" s="13"/>
      <c r="AA1160" s="13"/>
      <c r="AB1160" s="15"/>
      <c r="AC1160" s="15"/>
      <c r="AD1160" s="15"/>
      <c r="AE1160" s="13"/>
      <c r="AF1160" s="13"/>
      <c r="AG1160" s="13"/>
      <c r="AH1160" s="15"/>
      <c r="AI1160" s="13"/>
      <c r="AJ1160" s="13"/>
      <c r="AK1160" s="13"/>
      <c r="AL1160" s="13"/>
      <c r="AM1160" s="15"/>
      <c r="AN1160" s="13"/>
      <c r="AO1160" s="15"/>
      <c r="AP1160" s="15"/>
      <c r="AQ1160" s="13"/>
      <c r="AR1160" s="13"/>
      <c r="AS1160" s="13"/>
      <c r="AT1160" s="13"/>
      <c r="AU1160" s="13"/>
      <c r="AV1160" s="13"/>
      <c r="AW1160" s="13"/>
      <c r="AX1160" s="13"/>
      <c r="AY1160" s="15"/>
      <c r="AZ1160" s="15"/>
      <c r="BA1160" s="16"/>
      <c r="BB1160" s="15"/>
      <c r="BC1160" s="15"/>
      <c r="BD1160" s="13"/>
      <c r="BE1160" s="13"/>
      <c r="BF1160" s="13"/>
      <c r="BG1160" s="13"/>
      <c r="BH1160" s="13"/>
      <c r="BI1160" s="13"/>
      <c r="BJ1160" s="13"/>
      <c r="BK1160" s="13"/>
      <c r="BL1160" s="13"/>
      <c r="BM1160" s="13"/>
      <c r="BN1160" s="13"/>
      <c r="BO1160" s="13"/>
      <c r="BP1160" s="13"/>
      <c r="BQ1160" s="15"/>
      <c r="BR1160" s="15"/>
      <c r="BS1160" s="15"/>
      <c r="BT1160" s="15"/>
      <c r="BU1160" s="15"/>
      <c r="BV1160" s="15"/>
      <c r="BW1160" s="15"/>
      <c r="BX1160" s="15"/>
      <c r="BY1160" s="15"/>
      <c r="BZ1160" s="15"/>
      <c r="CA1160" s="15"/>
      <c r="CB1160" s="17"/>
      <c r="CC1160" s="17"/>
      <c r="CD1160" s="18"/>
      <c r="CE1160" s="18"/>
      <c r="CF1160" s="18"/>
      <c r="CG1160" s="18"/>
      <c r="CH1160" s="18"/>
    </row>
    <row r="1161">
      <c r="A1161" s="15"/>
      <c r="B1161" s="16"/>
      <c r="C1161" s="15"/>
      <c r="D1161" s="9"/>
      <c r="E1161" s="15"/>
      <c r="F1161" s="15"/>
      <c r="G1161" s="13"/>
      <c r="H1161" s="13"/>
      <c r="I1161" s="13"/>
      <c r="J1161" s="13"/>
      <c r="K1161" s="13"/>
      <c r="L1161" s="13"/>
      <c r="M1161" s="13"/>
      <c r="N1161" s="13"/>
      <c r="O1161" s="13"/>
      <c r="P1161" s="13"/>
      <c r="Q1161" s="13"/>
      <c r="R1161" s="13"/>
      <c r="S1161" s="13"/>
      <c r="T1161" s="13"/>
      <c r="U1161" s="13"/>
      <c r="V1161" s="13"/>
      <c r="W1161" s="13"/>
      <c r="X1161" s="13"/>
      <c r="Y1161" s="13"/>
      <c r="Z1161" s="13"/>
      <c r="AA1161" s="13"/>
      <c r="AB1161" s="15"/>
      <c r="AC1161" s="15"/>
      <c r="AD1161" s="15"/>
      <c r="AE1161" s="13"/>
      <c r="AF1161" s="13"/>
      <c r="AG1161" s="13"/>
      <c r="AH1161" s="15"/>
      <c r="AI1161" s="13"/>
      <c r="AJ1161" s="13"/>
      <c r="AK1161" s="13"/>
      <c r="AL1161" s="13"/>
      <c r="AM1161" s="15"/>
      <c r="AN1161" s="13"/>
      <c r="AO1161" s="15"/>
      <c r="AP1161" s="15"/>
      <c r="AQ1161" s="13"/>
      <c r="AR1161" s="13"/>
      <c r="AS1161" s="13"/>
      <c r="AT1161" s="13"/>
      <c r="AU1161" s="13"/>
      <c r="AV1161" s="13"/>
      <c r="AW1161" s="13"/>
      <c r="AX1161" s="13"/>
      <c r="AY1161" s="15"/>
      <c r="AZ1161" s="15"/>
      <c r="BA1161" s="16"/>
      <c r="BB1161" s="15"/>
      <c r="BC1161" s="15"/>
      <c r="BD1161" s="13"/>
      <c r="BE1161" s="13"/>
      <c r="BF1161" s="13"/>
      <c r="BG1161" s="13"/>
      <c r="BH1161" s="13"/>
      <c r="BI1161" s="13"/>
      <c r="BJ1161" s="13"/>
      <c r="BK1161" s="13"/>
      <c r="BL1161" s="13"/>
      <c r="BM1161" s="13"/>
      <c r="BN1161" s="13"/>
      <c r="BO1161" s="13"/>
      <c r="BP1161" s="13"/>
      <c r="BQ1161" s="15"/>
      <c r="BR1161" s="15"/>
      <c r="BS1161" s="15"/>
      <c r="BT1161" s="15"/>
      <c r="BU1161" s="15"/>
      <c r="BV1161" s="15"/>
      <c r="BW1161" s="15"/>
      <c r="BX1161" s="15"/>
      <c r="BY1161" s="15"/>
      <c r="BZ1161" s="15"/>
      <c r="CA1161" s="15"/>
      <c r="CB1161" s="17"/>
      <c r="CC1161" s="17"/>
      <c r="CD1161" s="18"/>
      <c r="CE1161" s="18"/>
      <c r="CF1161" s="18"/>
      <c r="CG1161" s="18"/>
      <c r="CH1161" s="18"/>
    </row>
    <row r="1162">
      <c r="A1162" s="15"/>
      <c r="B1162" s="16"/>
      <c r="C1162" s="15"/>
      <c r="D1162" s="9"/>
      <c r="E1162" s="15"/>
      <c r="F1162" s="15"/>
      <c r="G1162" s="13"/>
      <c r="H1162" s="13"/>
      <c r="I1162" s="13"/>
      <c r="J1162" s="13"/>
      <c r="K1162" s="13"/>
      <c r="L1162" s="13"/>
      <c r="M1162" s="13"/>
      <c r="N1162" s="13"/>
      <c r="O1162" s="13"/>
      <c r="P1162" s="13"/>
      <c r="Q1162" s="13"/>
      <c r="R1162" s="13"/>
      <c r="S1162" s="13"/>
      <c r="T1162" s="13"/>
      <c r="U1162" s="13"/>
      <c r="V1162" s="13"/>
      <c r="W1162" s="13"/>
      <c r="X1162" s="13"/>
      <c r="Y1162" s="13"/>
      <c r="Z1162" s="13"/>
      <c r="AA1162" s="13"/>
      <c r="AB1162" s="15"/>
      <c r="AC1162" s="15"/>
      <c r="AD1162" s="15"/>
      <c r="AE1162" s="13"/>
      <c r="AF1162" s="13"/>
      <c r="AG1162" s="13"/>
      <c r="AH1162" s="15"/>
      <c r="AI1162" s="13"/>
      <c r="AJ1162" s="13"/>
      <c r="AK1162" s="13"/>
      <c r="AL1162" s="13"/>
      <c r="AM1162" s="15"/>
      <c r="AN1162" s="13"/>
      <c r="AO1162" s="15"/>
      <c r="AP1162" s="15"/>
      <c r="AQ1162" s="13"/>
      <c r="AR1162" s="13"/>
      <c r="AS1162" s="13"/>
      <c r="AT1162" s="13"/>
      <c r="AU1162" s="13"/>
      <c r="AV1162" s="13"/>
      <c r="AW1162" s="13"/>
      <c r="AX1162" s="13"/>
      <c r="AY1162" s="15"/>
      <c r="AZ1162" s="15"/>
      <c r="BA1162" s="16"/>
      <c r="BB1162" s="15"/>
      <c r="BC1162" s="15"/>
      <c r="BD1162" s="13"/>
      <c r="BE1162" s="13"/>
      <c r="BF1162" s="13"/>
      <c r="BG1162" s="13"/>
      <c r="BH1162" s="13"/>
      <c r="BI1162" s="13"/>
      <c r="BJ1162" s="13"/>
      <c r="BK1162" s="13"/>
      <c r="BL1162" s="13"/>
      <c r="BM1162" s="13"/>
      <c r="BN1162" s="13"/>
      <c r="BO1162" s="13"/>
      <c r="BP1162" s="13"/>
      <c r="BQ1162" s="15"/>
      <c r="BR1162" s="15"/>
      <c r="BS1162" s="15"/>
      <c r="BT1162" s="15"/>
      <c r="BU1162" s="15"/>
      <c r="BV1162" s="15"/>
      <c r="BW1162" s="15"/>
      <c r="BX1162" s="15"/>
      <c r="BY1162" s="15"/>
      <c r="BZ1162" s="15"/>
      <c r="CA1162" s="15"/>
      <c r="CB1162" s="17"/>
      <c r="CC1162" s="17"/>
      <c r="CD1162" s="18"/>
      <c r="CE1162" s="18"/>
      <c r="CF1162" s="18"/>
      <c r="CG1162" s="18"/>
      <c r="CH1162" s="18"/>
    </row>
    <row r="1163">
      <c r="A1163" s="15"/>
      <c r="B1163" s="16"/>
      <c r="C1163" s="15"/>
      <c r="D1163" s="9"/>
      <c r="E1163" s="15"/>
      <c r="F1163" s="15"/>
      <c r="G1163" s="13"/>
      <c r="H1163" s="13"/>
      <c r="I1163" s="13"/>
      <c r="J1163" s="13"/>
      <c r="K1163" s="13"/>
      <c r="L1163" s="13"/>
      <c r="M1163" s="13"/>
      <c r="N1163" s="13"/>
      <c r="O1163" s="13"/>
      <c r="P1163" s="13"/>
      <c r="Q1163" s="13"/>
      <c r="R1163" s="13"/>
      <c r="S1163" s="13"/>
      <c r="T1163" s="13"/>
      <c r="U1163" s="13"/>
      <c r="V1163" s="13"/>
      <c r="W1163" s="13"/>
      <c r="X1163" s="13"/>
      <c r="Y1163" s="13"/>
      <c r="Z1163" s="13"/>
      <c r="AA1163" s="13"/>
      <c r="AB1163" s="15"/>
      <c r="AC1163" s="15"/>
      <c r="AD1163" s="15"/>
      <c r="AE1163" s="13"/>
      <c r="AF1163" s="13"/>
      <c r="AG1163" s="13"/>
      <c r="AH1163" s="15"/>
      <c r="AI1163" s="13"/>
      <c r="AJ1163" s="13"/>
      <c r="AK1163" s="13"/>
      <c r="AL1163" s="13"/>
      <c r="AM1163" s="15"/>
      <c r="AN1163" s="13"/>
      <c r="AO1163" s="15"/>
      <c r="AP1163" s="15"/>
      <c r="AQ1163" s="13"/>
      <c r="AR1163" s="13"/>
      <c r="AS1163" s="13"/>
      <c r="AT1163" s="13"/>
      <c r="AU1163" s="13"/>
      <c r="AV1163" s="13"/>
      <c r="AW1163" s="13"/>
      <c r="AX1163" s="13"/>
      <c r="AY1163" s="15"/>
      <c r="AZ1163" s="15"/>
      <c r="BA1163" s="16"/>
      <c r="BB1163" s="15"/>
      <c r="BC1163" s="15"/>
      <c r="BD1163" s="13"/>
      <c r="BE1163" s="13"/>
      <c r="BF1163" s="13"/>
      <c r="BG1163" s="13"/>
      <c r="BH1163" s="13"/>
      <c r="BI1163" s="13"/>
      <c r="BJ1163" s="13"/>
      <c r="BK1163" s="13"/>
      <c r="BL1163" s="13"/>
      <c r="BM1163" s="13"/>
      <c r="BN1163" s="13"/>
      <c r="BO1163" s="13"/>
      <c r="BP1163" s="13"/>
      <c r="BQ1163" s="15"/>
      <c r="BR1163" s="15"/>
      <c r="BS1163" s="15"/>
      <c r="BT1163" s="15"/>
      <c r="BU1163" s="15"/>
      <c r="BV1163" s="15"/>
      <c r="BW1163" s="15"/>
      <c r="BX1163" s="15"/>
      <c r="BY1163" s="15"/>
      <c r="BZ1163" s="15"/>
      <c r="CA1163" s="15"/>
      <c r="CB1163" s="17"/>
      <c r="CC1163" s="17"/>
      <c r="CD1163" s="18"/>
      <c r="CE1163" s="18"/>
      <c r="CF1163" s="18"/>
      <c r="CG1163" s="18"/>
      <c r="CH1163" s="18"/>
    </row>
    <row r="1164">
      <c r="A1164" s="15"/>
      <c r="B1164" s="16"/>
      <c r="C1164" s="15"/>
      <c r="D1164" s="9"/>
      <c r="E1164" s="15"/>
      <c r="F1164" s="15"/>
      <c r="G1164" s="13"/>
      <c r="H1164" s="13"/>
      <c r="I1164" s="13"/>
      <c r="J1164" s="13"/>
      <c r="K1164" s="13"/>
      <c r="L1164" s="13"/>
      <c r="M1164" s="13"/>
      <c r="N1164" s="13"/>
      <c r="O1164" s="13"/>
      <c r="P1164" s="13"/>
      <c r="Q1164" s="13"/>
      <c r="R1164" s="13"/>
      <c r="S1164" s="13"/>
      <c r="T1164" s="13"/>
      <c r="U1164" s="13"/>
      <c r="V1164" s="13"/>
      <c r="W1164" s="13"/>
      <c r="X1164" s="13"/>
      <c r="Y1164" s="13"/>
      <c r="Z1164" s="13"/>
      <c r="AA1164" s="13"/>
      <c r="AB1164" s="15"/>
      <c r="AC1164" s="15"/>
      <c r="AD1164" s="15"/>
      <c r="AE1164" s="13"/>
      <c r="AF1164" s="13"/>
      <c r="AG1164" s="13"/>
      <c r="AH1164" s="15"/>
      <c r="AI1164" s="13"/>
      <c r="AJ1164" s="13"/>
      <c r="AK1164" s="13"/>
      <c r="AL1164" s="13"/>
      <c r="AM1164" s="15"/>
      <c r="AN1164" s="13"/>
      <c r="AO1164" s="15"/>
      <c r="AP1164" s="15"/>
      <c r="AQ1164" s="13"/>
      <c r="AR1164" s="13"/>
      <c r="AS1164" s="13"/>
      <c r="AT1164" s="13"/>
      <c r="AU1164" s="13"/>
      <c r="AV1164" s="13"/>
      <c r="AW1164" s="13"/>
      <c r="AX1164" s="13"/>
      <c r="AY1164" s="15"/>
      <c r="AZ1164" s="15"/>
      <c r="BA1164" s="16"/>
      <c r="BB1164" s="15"/>
      <c r="BC1164" s="15"/>
      <c r="BD1164" s="13"/>
      <c r="BE1164" s="13"/>
      <c r="BF1164" s="13"/>
      <c r="BG1164" s="13"/>
      <c r="BH1164" s="13"/>
      <c r="BI1164" s="13"/>
      <c r="BJ1164" s="13"/>
      <c r="BK1164" s="13"/>
      <c r="BL1164" s="13"/>
      <c r="BM1164" s="13"/>
      <c r="BN1164" s="13"/>
      <c r="BO1164" s="13"/>
      <c r="BP1164" s="13"/>
      <c r="BQ1164" s="15"/>
      <c r="BR1164" s="15"/>
      <c r="BS1164" s="15"/>
      <c r="BT1164" s="15"/>
      <c r="BU1164" s="15"/>
      <c r="BV1164" s="15"/>
      <c r="BW1164" s="15"/>
      <c r="BX1164" s="15"/>
      <c r="BY1164" s="15"/>
      <c r="BZ1164" s="15"/>
      <c r="CA1164" s="15"/>
      <c r="CB1164" s="17"/>
      <c r="CC1164" s="17"/>
      <c r="CD1164" s="18"/>
      <c r="CE1164" s="18"/>
      <c r="CF1164" s="18"/>
      <c r="CG1164" s="18"/>
      <c r="CH1164" s="18"/>
    </row>
    <row r="1165">
      <c r="A1165" s="15"/>
      <c r="B1165" s="16"/>
      <c r="C1165" s="15"/>
      <c r="D1165" s="9"/>
      <c r="E1165" s="15"/>
      <c r="F1165" s="15"/>
      <c r="G1165" s="13"/>
      <c r="H1165" s="13"/>
      <c r="I1165" s="13"/>
      <c r="J1165" s="13"/>
      <c r="K1165" s="13"/>
      <c r="L1165" s="13"/>
      <c r="M1165" s="13"/>
      <c r="N1165" s="13"/>
      <c r="O1165" s="13"/>
      <c r="P1165" s="13"/>
      <c r="Q1165" s="13"/>
      <c r="R1165" s="13"/>
      <c r="S1165" s="13"/>
      <c r="T1165" s="13"/>
      <c r="U1165" s="13"/>
      <c r="V1165" s="13"/>
      <c r="W1165" s="13"/>
      <c r="X1165" s="13"/>
      <c r="Y1165" s="13"/>
      <c r="Z1165" s="13"/>
      <c r="AA1165" s="13"/>
      <c r="AB1165" s="15"/>
      <c r="AC1165" s="15"/>
      <c r="AD1165" s="15"/>
      <c r="AE1165" s="13"/>
      <c r="AF1165" s="13"/>
      <c r="AG1165" s="13"/>
      <c r="AH1165" s="15"/>
      <c r="AI1165" s="13"/>
      <c r="AJ1165" s="13"/>
      <c r="AK1165" s="13"/>
      <c r="AL1165" s="13"/>
      <c r="AM1165" s="15"/>
      <c r="AN1165" s="13"/>
      <c r="AO1165" s="15"/>
      <c r="AP1165" s="15"/>
      <c r="AQ1165" s="13"/>
      <c r="AR1165" s="13"/>
      <c r="AS1165" s="13"/>
      <c r="AT1165" s="13"/>
      <c r="AU1165" s="13"/>
      <c r="AV1165" s="13"/>
      <c r="AW1165" s="13"/>
      <c r="AX1165" s="13"/>
      <c r="AY1165" s="15"/>
      <c r="AZ1165" s="15"/>
      <c r="BA1165" s="16"/>
      <c r="BB1165" s="15"/>
      <c r="BC1165" s="15"/>
      <c r="BD1165" s="13"/>
      <c r="BE1165" s="13"/>
      <c r="BF1165" s="13"/>
      <c r="BG1165" s="13"/>
      <c r="BH1165" s="13"/>
      <c r="BI1165" s="13"/>
      <c r="BJ1165" s="13"/>
      <c r="BK1165" s="13"/>
      <c r="BL1165" s="13"/>
      <c r="BM1165" s="13"/>
      <c r="BN1165" s="13"/>
      <c r="BO1165" s="13"/>
      <c r="BP1165" s="13"/>
      <c r="BQ1165" s="15"/>
      <c r="BR1165" s="15"/>
      <c r="BS1165" s="15"/>
      <c r="BT1165" s="15"/>
      <c r="BU1165" s="15"/>
      <c r="BV1165" s="15"/>
      <c r="BW1165" s="15"/>
      <c r="BX1165" s="15"/>
      <c r="BY1165" s="15"/>
      <c r="BZ1165" s="15"/>
      <c r="CA1165" s="15"/>
      <c r="CB1165" s="17"/>
      <c r="CC1165" s="17"/>
      <c r="CD1165" s="18"/>
      <c r="CE1165" s="18"/>
      <c r="CF1165" s="18"/>
      <c r="CG1165" s="18"/>
      <c r="CH1165" s="18"/>
    </row>
    <row r="1166">
      <c r="A1166" s="15"/>
      <c r="B1166" s="16"/>
      <c r="C1166" s="15"/>
      <c r="D1166" s="9"/>
      <c r="E1166" s="15"/>
      <c r="F1166" s="15"/>
      <c r="G1166" s="13"/>
      <c r="H1166" s="13"/>
      <c r="I1166" s="13"/>
      <c r="J1166" s="13"/>
      <c r="K1166" s="13"/>
      <c r="L1166" s="13"/>
      <c r="M1166" s="13"/>
      <c r="N1166" s="13"/>
      <c r="O1166" s="13"/>
      <c r="P1166" s="13"/>
      <c r="Q1166" s="13"/>
      <c r="R1166" s="13"/>
      <c r="S1166" s="13"/>
      <c r="T1166" s="13"/>
      <c r="U1166" s="13"/>
      <c r="V1166" s="13"/>
      <c r="W1166" s="13"/>
      <c r="X1166" s="13"/>
      <c r="Y1166" s="13"/>
      <c r="Z1166" s="13"/>
      <c r="AA1166" s="13"/>
      <c r="AB1166" s="15"/>
      <c r="AC1166" s="15"/>
      <c r="AD1166" s="15"/>
      <c r="AE1166" s="13"/>
      <c r="AF1166" s="13"/>
      <c r="AG1166" s="13"/>
      <c r="AH1166" s="15"/>
      <c r="AI1166" s="13"/>
      <c r="AJ1166" s="13"/>
      <c r="AK1166" s="13"/>
      <c r="AL1166" s="13"/>
      <c r="AM1166" s="15"/>
      <c r="AN1166" s="13"/>
      <c r="AO1166" s="15"/>
      <c r="AP1166" s="15"/>
      <c r="AQ1166" s="13"/>
      <c r="AR1166" s="13"/>
      <c r="AS1166" s="13"/>
      <c r="AT1166" s="13"/>
      <c r="AU1166" s="13"/>
      <c r="AV1166" s="13"/>
      <c r="AW1166" s="13"/>
      <c r="AX1166" s="13"/>
      <c r="AY1166" s="15"/>
      <c r="AZ1166" s="15"/>
      <c r="BA1166" s="16"/>
      <c r="BB1166" s="15"/>
      <c r="BC1166" s="15"/>
      <c r="BD1166" s="13"/>
      <c r="BE1166" s="13"/>
      <c r="BF1166" s="13"/>
      <c r="BG1166" s="13"/>
      <c r="BH1166" s="13"/>
      <c r="BI1166" s="13"/>
      <c r="BJ1166" s="13"/>
      <c r="BK1166" s="13"/>
      <c r="BL1166" s="13"/>
      <c r="BM1166" s="13"/>
      <c r="BN1166" s="13"/>
      <c r="BO1166" s="13"/>
      <c r="BP1166" s="13"/>
      <c r="BQ1166" s="15"/>
      <c r="BR1166" s="15"/>
      <c r="BS1166" s="15"/>
      <c r="BT1166" s="15"/>
      <c r="BU1166" s="15"/>
      <c r="BV1166" s="15"/>
      <c r="BW1166" s="15"/>
      <c r="BX1166" s="15"/>
      <c r="BY1166" s="15"/>
      <c r="BZ1166" s="15"/>
      <c r="CA1166" s="15"/>
      <c r="CB1166" s="17"/>
      <c r="CC1166" s="17"/>
      <c r="CD1166" s="18"/>
      <c r="CE1166" s="18"/>
      <c r="CF1166" s="18"/>
      <c r="CG1166" s="18"/>
      <c r="CH1166" s="18"/>
    </row>
    <row r="1167">
      <c r="A1167" s="15"/>
      <c r="B1167" s="16"/>
      <c r="C1167" s="15"/>
      <c r="D1167" s="9"/>
      <c r="E1167" s="15"/>
      <c r="F1167" s="15"/>
      <c r="G1167" s="13"/>
      <c r="H1167" s="13"/>
      <c r="I1167" s="13"/>
      <c r="J1167" s="13"/>
      <c r="K1167" s="13"/>
      <c r="L1167" s="13"/>
      <c r="M1167" s="13"/>
      <c r="N1167" s="13"/>
      <c r="O1167" s="13"/>
      <c r="P1167" s="13"/>
      <c r="Q1167" s="13"/>
      <c r="R1167" s="13"/>
      <c r="S1167" s="13"/>
      <c r="T1167" s="13"/>
      <c r="U1167" s="13"/>
      <c r="V1167" s="13"/>
      <c r="W1167" s="13"/>
      <c r="X1167" s="13"/>
      <c r="Y1167" s="13"/>
      <c r="Z1167" s="13"/>
      <c r="AA1167" s="13"/>
      <c r="AB1167" s="15"/>
      <c r="AC1167" s="15"/>
      <c r="AD1167" s="15"/>
      <c r="AE1167" s="13"/>
      <c r="AF1167" s="13"/>
      <c r="AG1167" s="13"/>
      <c r="AH1167" s="15"/>
      <c r="AI1167" s="13"/>
      <c r="AJ1167" s="13"/>
      <c r="AK1167" s="13"/>
      <c r="AL1167" s="13"/>
      <c r="AM1167" s="15"/>
      <c r="AN1167" s="13"/>
      <c r="AO1167" s="15"/>
      <c r="AP1167" s="15"/>
      <c r="AQ1167" s="13"/>
      <c r="AR1167" s="13"/>
      <c r="AS1167" s="13"/>
      <c r="AT1167" s="13"/>
      <c r="AU1167" s="13"/>
      <c r="AV1167" s="13"/>
      <c r="AW1167" s="13"/>
      <c r="AX1167" s="13"/>
      <c r="AY1167" s="15"/>
      <c r="AZ1167" s="15"/>
      <c r="BA1167" s="16"/>
      <c r="BB1167" s="15"/>
      <c r="BC1167" s="15"/>
      <c r="BD1167" s="13"/>
      <c r="BE1167" s="13"/>
      <c r="BF1167" s="13"/>
      <c r="BG1167" s="13"/>
      <c r="BH1167" s="13"/>
      <c r="BI1167" s="13"/>
      <c r="BJ1167" s="13"/>
      <c r="BK1167" s="13"/>
      <c r="BL1167" s="13"/>
      <c r="BM1167" s="13"/>
      <c r="BN1167" s="13"/>
      <c r="BO1167" s="13"/>
      <c r="BP1167" s="13"/>
      <c r="BQ1167" s="15"/>
      <c r="BR1167" s="15"/>
      <c r="BS1167" s="15"/>
      <c r="BT1167" s="15"/>
      <c r="BU1167" s="15"/>
      <c r="BV1167" s="15"/>
      <c r="BW1167" s="15"/>
      <c r="BX1167" s="15"/>
      <c r="BY1167" s="15"/>
      <c r="BZ1167" s="15"/>
      <c r="CA1167" s="15"/>
      <c r="CB1167" s="17"/>
      <c r="CC1167" s="17"/>
      <c r="CD1167" s="18"/>
      <c r="CE1167" s="18"/>
      <c r="CF1167" s="18"/>
      <c r="CG1167" s="18"/>
      <c r="CH1167" s="18"/>
    </row>
    <row r="1168">
      <c r="A1168" s="15"/>
      <c r="B1168" s="16"/>
      <c r="C1168" s="15"/>
      <c r="D1168" s="9"/>
      <c r="E1168" s="15"/>
      <c r="F1168" s="15"/>
      <c r="G1168" s="13"/>
      <c r="H1168" s="13"/>
      <c r="I1168" s="13"/>
      <c r="J1168" s="13"/>
      <c r="K1168" s="13"/>
      <c r="L1168" s="13"/>
      <c r="M1168" s="13"/>
      <c r="N1168" s="13"/>
      <c r="O1168" s="13"/>
      <c r="P1168" s="13"/>
      <c r="Q1168" s="13"/>
      <c r="R1168" s="13"/>
      <c r="S1168" s="13"/>
      <c r="T1168" s="13"/>
      <c r="U1168" s="13"/>
      <c r="V1168" s="13"/>
      <c r="W1168" s="13"/>
      <c r="X1168" s="13"/>
      <c r="Y1168" s="13"/>
      <c r="Z1168" s="13"/>
      <c r="AA1168" s="13"/>
      <c r="AB1168" s="15"/>
      <c r="AC1168" s="15"/>
      <c r="AD1168" s="15"/>
      <c r="AE1168" s="13"/>
      <c r="AF1168" s="13"/>
      <c r="AG1168" s="13"/>
      <c r="AH1168" s="15"/>
      <c r="AI1168" s="13"/>
      <c r="AJ1168" s="13"/>
      <c r="AK1168" s="13"/>
      <c r="AL1168" s="13"/>
      <c r="AM1168" s="15"/>
      <c r="AN1168" s="13"/>
      <c r="AO1168" s="15"/>
      <c r="AP1168" s="15"/>
      <c r="AQ1168" s="13"/>
      <c r="AR1168" s="13"/>
      <c r="AS1168" s="13"/>
      <c r="AT1168" s="13"/>
      <c r="AU1168" s="13"/>
      <c r="AV1168" s="13"/>
      <c r="AW1168" s="13"/>
      <c r="AX1168" s="13"/>
      <c r="AY1168" s="15"/>
      <c r="AZ1168" s="15"/>
      <c r="BA1168" s="16"/>
      <c r="BB1168" s="15"/>
      <c r="BC1168" s="15"/>
      <c r="BD1168" s="13"/>
      <c r="BE1168" s="13"/>
      <c r="BF1168" s="13"/>
      <c r="BG1168" s="13"/>
      <c r="BH1168" s="13"/>
      <c r="BI1168" s="13"/>
      <c r="BJ1168" s="13"/>
      <c r="BK1168" s="13"/>
      <c r="BL1168" s="13"/>
      <c r="BM1168" s="13"/>
      <c r="BN1168" s="13"/>
      <c r="BO1168" s="13"/>
      <c r="BP1168" s="13"/>
      <c r="BQ1168" s="15"/>
      <c r="BR1168" s="15"/>
      <c r="BS1168" s="15"/>
      <c r="BT1168" s="15"/>
      <c r="BU1168" s="15"/>
      <c r="BV1168" s="15"/>
      <c r="BW1168" s="15"/>
      <c r="BX1168" s="15"/>
      <c r="BY1168" s="15"/>
      <c r="BZ1168" s="15"/>
      <c r="CA1168" s="15"/>
      <c r="CB1168" s="17"/>
      <c r="CC1168" s="17"/>
      <c r="CD1168" s="18"/>
      <c r="CE1168" s="18"/>
      <c r="CF1168" s="18"/>
      <c r="CG1168" s="18"/>
      <c r="CH1168" s="18"/>
    </row>
    <row r="1169">
      <c r="A1169" s="15"/>
      <c r="B1169" s="16"/>
      <c r="C1169" s="15"/>
      <c r="D1169" s="9"/>
      <c r="E1169" s="15"/>
      <c r="F1169" s="15"/>
      <c r="G1169" s="13"/>
      <c r="H1169" s="13"/>
      <c r="I1169" s="13"/>
      <c r="J1169" s="13"/>
      <c r="K1169" s="13"/>
      <c r="L1169" s="13"/>
      <c r="M1169" s="13"/>
      <c r="N1169" s="13"/>
      <c r="O1169" s="13"/>
      <c r="P1169" s="13"/>
      <c r="Q1169" s="13"/>
      <c r="R1169" s="13"/>
      <c r="S1169" s="13"/>
      <c r="T1169" s="13"/>
      <c r="U1169" s="13"/>
      <c r="V1169" s="13"/>
      <c r="W1169" s="13"/>
      <c r="X1169" s="13"/>
      <c r="Y1169" s="13"/>
      <c r="Z1169" s="13"/>
      <c r="AA1169" s="13"/>
      <c r="AB1169" s="15"/>
      <c r="AC1169" s="15"/>
      <c r="AD1169" s="15"/>
      <c r="AE1169" s="13"/>
      <c r="AF1169" s="13"/>
      <c r="AG1169" s="13"/>
      <c r="AH1169" s="15"/>
      <c r="AI1169" s="13"/>
      <c r="AJ1169" s="13"/>
      <c r="AK1169" s="13"/>
      <c r="AL1169" s="13"/>
      <c r="AM1169" s="15"/>
      <c r="AN1169" s="13"/>
      <c r="AO1169" s="15"/>
      <c r="AP1169" s="15"/>
      <c r="AQ1169" s="13"/>
      <c r="AR1169" s="13"/>
      <c r="AS1169" s="13"/>
      <c r="AT1169" s="13"/>
      <c r="AU1169" s="13"/>
      <c r="AV1169" s="13"/>
      <c r="AW1169" s="13"/>
      <c r="AX1169" s="13"/>
      <c r="AY1169" s="15"/>
      <c r="AZ1169" s="15"/>
      <c r="BA1169" s="16"/>
      <c r="BB1169" s="15"/>
      <c r="BC1169" s="15"/>
      <c r="BD1169" s="13"/>
      <c r="BE1169" s="13"/>
      <c r="BF1169" s="13"/>
      <c r="BG1169" s="13"/>
      <c r="BH1169" s="13"/>
      <c r="BI1169" s="13"/>
      <c r="BJ1169" s="13"/>
      <c r="BK1169" s="13"/>
      <c r="BL1169" s="13"/>
      <c r="BM1169" s="13"/>
      <c r="BN1169" s="13"/>
      <c r="BO1169" s="13"/>
      <c r="BP1169" s="13"/>
      <c r="BQ1169" s="15"/>
      <c r="BR1169" s="15"/>
      <c r="BS1169" s="15"/>
      <c r="BT1169" s="15"/>
      <c r="BU1169" s="15"/>
      <c r="BV1169" s="15"/>
      <c r="BW1169" s="15"/>
      <c r="BX1169" s="15"/>
      <c r="BY1169" s="15"/>
      <c r="BZ1169" s="15"/>
      <c r="CA1169" s="15"/>
      <c r="CB1169" s="17"/>
      <c r="CC1169" s="17"/>
      <c r="CD1169" s="18"/>
      <c r="CE1169" s="18"/>
      <c r="CF1169" s="18"/>
      <c r="CG1169" s="18"/>
      <c r="CH1169" s="18"/>
    </row>
    <row r="1170">
      <c r="A1170" s="15"/>
      <c r="B1170" s="16"/>
      <c r="C1170" s="15"/>
      <c r="D1170" s="9"/>
      <c r="E1170" s="15"/>
      <c r="F1170" s="15"/>
      <c r="G1170" s="13"/>
      <c r="H1170" s="13"/>
      <c r="I1170" s="13"/>
      <c r="J1170" s="13"/>
      <c r="K1170" s="13"/>
      <c r="L1170" s="13"/>
      <c r="M1170" s="13"/>
      <c r="N1170" s="13"/>
      <c r="O1170" s="13"/>
      <c r="P1170" s="13"/>
      <c r="Q1170" s="13"/>
      <c r="R1170" s="13"/>
      <c r="S1170" s="13"/>
      <c r="T1170" s="13"/>
      <c r="U1170" s="13"/>
      <c r="V1170" s="13"/>
      <c r="W1170" s="13"/>
      <c r="X1170" s="13"/>
      <c r="Y1170" s="13"/>
      <c r="Z1170" s="13"/>
      <c r="AA1170" s="13"/>
      <c r="AB1170" s="15"/>
      <c r="AC1170" s="15"/>
      <c r="AD1170" s="15"/>
      <c r="AE1170" s="13"/>
      <c r="AF1170" s="13"/>
      <c r="AG1170" s="13"/>
      <c r="AH1170" s="15"/>
      <c r="AI1170" s="13"/>
      <c r="AJ1170" s="13"/>
      <c r="AK1170" s="13"/>
      <c r="AL1170" s="13"/>
      <c r="AM1170" s="15"/>
      <c r="AN1170" s="13"/>
      <c r="AO1170" s="15"/>
      <c r="AP1170" s="15"/>
      <c r="AQ1170" s="13"/>
      <c r="AR1170" s="13"/>
      <c r="AS1170" s="13"/>
      <c r="AT1170" s="13"/>
      <c r="AU1170" s="13"/>
      <c r="AV1170" s="13"/>
      <c r="AW1170" s="13"/>
      <c r="AX1170" s="13"/>
      <c r="AY1170" s="15"/>
      <c r="AZ1170" s="15"/>
      <c r="BA1170" s="16"/>
      <c r="BB1170" s="15"/>
      <c r="BC1170" s="15"/>
      <c r="BD1170" s="13"/>
      <c r="BE1170" s="13"/>
      <c r="BF1170" s="13"/>
      <c r="BG1170" s="13"/>
      <c r="BH1170" s="13"/>
      <c r="BI1170" s="13"/>
      <c r="BJ1170" s="13"/>
      <c r="BK1170" s="13"/>
      <c r="BL1170" s="13"/>
      <c r="BM1170" s="13"/>
      <c r="BN1170" s="13"/>
      <c r="BO1170" s="13"/>
      <c r="BP1170" s="13"/>
      <c r="BQ1170" s="15"/>
      <c r="BR1170" s="15"/>
      <c r="BS1170" s="15"/>
      <c r="BT1170" s="15"/>
      <c r="BU1170" s="15"/>
      <c r="BV1170" s="15"/>
      <c r="BW1170" s="15"/>
      <c r="BX1170" s="15"/>
      <c r="BY1170" s="15"/>
      <c r="BZ1170" s="15"/>
      <c r="CA1170" s="15"/>
      <c r="CB1170" s="17"/>
      <c r="CC1170" s="17"/>
      <c r="CD1170" s="18"/>
      <c r="CE1170" s="18"/>
      <c r="CF1170" s="18"/>
      <c r="CG1170" s="18"/>
      <c r="CH1170" s="18"/>
    </row>
    <row r="1171">
      <c r="A1171" s="15"/>
      <c r="B1171" s="16"/>
      <c r="C1171" s="15"/>
      <c r="D1171" s="9"/>
      <c r="E1171" s="15"/>
      <c r="F1171" s="15"/>
      <c r="G1171" s="13"/>
      <c r="H1171" s="13"/>
      <c r="I1171" s="13"/>
      <c r="J1171" s="13"/>
      <c r="K1171" s="13"/>
      <c r="L1171" s="13"/>
      <c r="M1171" s="13"/>
      <c r="N1171" s="13"/>
      <c r="O1171" s="13"/>
      <c r="P1171" s="13"/>
      <c r="Q1171" s="13"/>
      <c r="R1171" s="13"/>
      <c r="S1171" s="13"/>
      <c r="T1171" s="13"/>
      <c r="U1171" s="13"/>
      <c r="V1171" s="13"/>
      <c r="W1171" s="13"/>
      <c r="X1171" s="13"/>
      <c r="Y1171" s="13"/>
      <c r="Z1171" s="13"/>
      <c r="AA1171" s="13"/>
      <c r="AB1171" s="15"/>
      <c r="AC1171" s="15"/>
      <c r="AD1171" s="15"/>
      <c r="AE1171" s="13"/>
      <c r="AF1171" s="13"/>
      <c r="AG1171" s="13"/>
      <c r="AH1171" s="15"/>
      <c r="AI1171" s="13"/>
      <c r="AJ1171" s="13"/>
      <c r="AK1171" s="13"/>
      <c r="AL1171" s="13"/>
      <c r="AM1171" s="15"/>
      <c r="AN1171" s="13"/>
      <c r="AO1171" s="15"/>
      <c r="AP1171" s="15"/>
      <c r="AQ1171" s="13"/>
      <c r="AR1171" s="13"/>
      <c r="AS1171" s="13"/>
      <c r="AT1171" s="13"/>
      <c r="AU1171" s="13"/>
      <c r="AV1171" s="13"/>
      <c r="AW1171" s="13"/>
      <c r="AX1171" s="13"/>
      <c r="AY1171" s="15"/>
      <c r="AZ1171" s="15"/>
      <c r="BA1171" s="16"/>
      <c r="BB1171" s="15"/>
      <c r="BC1171" s="15"/>
      <c r="BD1171" s="13"/>
      <c r="BE1171" s="13"/>
      <c r="BF1171" s="13"/>
      <c r="BG1171" s="13"/>
      <c r="BH1171" s="13"/>
      <c r="BI1171" s="13"/>
      <c r="BJ1171" s="13"/>
      <c r="BK1171" s="13"/>
      <c r="BL1171" s="13"/>
      <c r="BM1171" s="13"/>
      <c r="BN1171" s="13"/>
      <c r="BO1171" s="13"/>
      <c r="BP1171" s="13"/>
      <c r="BQ1171" s="15"/>
      <c r="BR1171" s="15"/>
      <c r="BS1171" s="15"/>
      <c r="BT1171" s="15"/>
      <c r="BU1171" s="15"/>
      <c r="BV1171" s="15"/>
      <c r="BW1171" s="15"/>
      <c r="BX1171" s="15"/>
      <c r="BY1171" s="15"/>
      <c r="BZ1171" s="15"/>
      <c r="CA1171" s="15"/>
      <c r="CB1171" s="17"/>
      <c r="CC1171" s="17"/>
      <c r="CD1171" s="18"/>
      <c r="CE1171" s="18"/>
      <c r="CF1171" s="18"/>
      <c r="CG1171" s="18"/>
      <c r="CH1171" s="18"/>
    </row>
    <row r="1172">
      <c r="A1172" s="15"/>
      <c r="B1172" s="16"/>
      <c r="C1172" s="15"/>
      <c r="D1172" s="9"/>
      <c r="E1172" s="15"/>
      <c r="F1172" s="15"/>
      <c r="G1172" s="13"/>
      <c r="H1172" s="13"/>
      <c r="I1172" s="13"/>
      <c r="J1172" s="13"/>
      <c r="K1172" s="13"/>
      <c r="L1172" s="13"/>
      <c r="M1172" s="13"/>
      <c r="N1172" s="13"/>
      <c r="O1172" s="13"/>
      <c r="P1172" s="13"/>
      <c r="Q1172" s="13"/>
      <c r="R1172" s="13"/>
      <c r="S1172" s="13"/>
      <c r="T1172" s="13"/>
      <c r="U1172" s="13"/>
      <c r="V1172" s="13"/>
      <c r="W1172" s="13"/>
      <c r="X1172" s="13"/>
      <c r="Y1172" s="13"/>
      <c r="Z1172" s="13"/>
      <c r="AA1172" s="13"/>
      <c r="AB1172" s="15"/>
      <c r="AC1172" s="15"/>
      <c r="AD1172" s="15"/>
      <c r="AE1172" s="13"/>
      <c r="AF1172" s="13"/>
      <c r="AG1172" s="13"/>
      <c r="AH1172" s="15"/>
      <c r="AI1172" s="13"/>
      <c r="AJ1172" s="13"/>
      <c r="AK1172" s="13"/>
      <c r="AL1172" s="13"/>
      <c r="AM1172" s="15"/>
      <c r="AN1172" s="13"/>
      <c r="AO1172" s="15"/>
      <c r="AP1172" s="15"/>
      <c r="AQ1172" s="13"/>
      <c r="AR1172" s="13"/>
      <c r="AS1172" s="13"/>
      <c r="AT1172" s="13"/>
      <c r="AU1172" s="13"/>
      <c r="AV1172" s="13"/>
      <c r="AW1172" s="13"/>
      <c r="AX1172" s="13"/>
      <c r="AY1172" s="15"/>
      <c r="AZ1172" s="15"/>
      <c r="BA1172" s="16"/>
      <c r="BB1172" s="15"/>
      <c r="BC1172" s="15"/>
      <c r="BD1172" s="13"/>
      <c r="BE1172" s="13"/>
      <c r="BF1172" s="13"/>
      <c r="BG1172" s="13"/>
      <c r="BH1172" s="13"/>
      <c r="BI1172" s="13"/>
      <c r="BJ1172" s="13"/>
      <c r="BK1172" s="13"/>
      <c r="BL1172" s="13"/>
      <c r="BM1172" s="13"/>
      <c r="BN1172" s="13"/>
      <c r="BO1172" s="13"/>
      <c r="BP1172" s="13"/>
      <c r="BQ1172" s="15"/>
      <c r="BR1172" s="15"/>
      <c r="BS1172" s="15"/>
      <c r="BT1172" s="15"/>
      <c r="BU1172" s="15"/>
      <c r="BV1172" s="15"/>
      <c r="BW1172" s="15"/>
      <c r="BX1172" s="15"/>
      <c r="BY1172" s="15"/>
      <c r="BZ1172" s="15"/>
      <c r="CA1172" s="15"/>
      <c r="CB1172" s="17"/>
      <c r="CC1172" s="17"/>
      <c r="CD1172" s="18"/>
      <c r="CE1172" s="18"/>
      <c r="CF1172" s="18"/>
      <c r="CG1172" s="18"/>
      <c r="CH1172" s="18"/>
    </row>
    <row r="1173">
      <c r="A1173" s="15"/>
      <c r="B1173" s="16"/>
      <c r="C1173" s="15"/>
      <c r="D1173" s="9"/>
      <c r="E1173" s="15"/>
      <c r="F1173" s="15"/>
      <c r="G1173" s="13"/>
      <c r="H1173" s="13"/>
      <c r="I1173" s="13"/>
      <c r="J1173" s="13"/>
      <c r="K1173" s="13"/>
      <c r="L1173" s="13"/>
      <c r="M1173" s="13"/>
      <c r="N1173" s="13"/>
      <c r="O1173" s="13"/>
      <c r="P1173" s="13"/>
      <c r="Q1173" s="13"/>
      <c r="R1173" s="13"/>
      <c r="S1173" s="13"/>
      <c r="T1173" s="13"/>
      <c r="U1173" s="13"/>
      <c r="V1173" s="13"/>
      <c r="W1173" s="13"/>
      <c r="X1173" s="13"/>
      <c r="Y1173" s="13"/>
      <c r="Z1173" s="13"/>
      <c r="AA1173" s="13"/>
      <c r="AB1173" s="15"/>
      <c r="AC1173" s="15"/>
      <c r="AD1173" s="15"/>
      <c r="AE1173" s="13"/>
      <c r="AF1173" s="13"/>
      <c r="AG1173" s="13"/>
      <c r="AH1173" s="15"/>
      <c r="AI1173" s="13"/>
      <c r="AJ1173" s="13"/>
      <c r="AK1173" s="13"/>
      <c r="AL1173" s="13"/>
      <c r="AM1173" s="15"/>
      <c r="AN1173" s="13"/>
      <c r="AO1173" s="15"/>
      <c r="AP1173" s="15"/>
      <c r="AQ1173" s="13"/>
      <c r="AR1173" s="13"/>
      <c r="AS1173" s="13"/>
      <c r="AT1173" s="13"/>
      <c r="AU1173" s="13"/>
      <c r="AV1173" s="13"/>
      <c r="AW1173" s="13"/>
      <c r="AX1173" s="13"/>
      <c r="AY1173" s="15"/>
      <c r="AZ1173" s="15"/>
      <c r="BA1173" s="16"/>
      <c r="BB1173" s="15"/>
      <c r="BC1173" s="15"/>
      <c r="BD1173" s="13"/>
      <c r="BE1173" s="13"/>
      <c r="BF1173" s="13"/>
      <c r="BG1173" s="13"/>
      <c r="BH1173" s="13"/>
      <c r="BI1173" s="13"/>
      <c r="BJ1173" s="13"/>
      <c r="BK1173" s="13"/>
      <c r="BL1173" s="13"/>
      <c r="BM1173" s="13"/>
      <c r="BN1173" s="13"/>
      <c r="BO1173" s="13"/>
      <c r="BP1173" s="13"/>
      <c r="BQ1173" s="15"/>
      <c r="BR1173" s="15"/>
      <c r="BS1173" s="15"/>
      <c r="BT1173" s="15"/>
      <c r="BU1173" s="15"/>
      <c r="BV1173" s="15"/>
      <c r="BW1173" s="15"/>
      <c r="BX1173" s="15"/>
      <c r="BY1173" s="15"/>
      <c r="BZ1173" s="15"/>
      <c r="CA1173" s="15"/>
      <c r="CB1173" s="17"/>
      <c r="CC1173" s="17"/>
      <c r="CD1173" s="18"/>
      <c r="CE1173" s="18"/>
      <c r="CF1173" s="18"/>
      <c r="CG1173" s="18"/>
      <c r="CH1173" s="18"/>
    </row>
    <row r="1174">
      <c r="A1174" s="15"/>
      <c r="B1174" s="16"/>
      <c r="C1174" s="15"/>
      <c r="D1174" s="9"/>
      <c r="E1174" s="15"/>
      <c r="F1174" s="15"/>
      <c r="G1174" s="13"/>
      <c r="H1174" s="13"/>
      <c r="I1174" s="13"/>
      <c r="J1174" s="13"/>
      <c r="K1174" s="13"/>
      <c r="L1174" s="13"/>
      <c r="M1174" s="13"/>
      <c r="N1174" s="13"/>
      <c r="O1174" s="13"/>
      <c r="P1174" s="13"/>
      <c r="Q1174" s="13"/>
      <c r="R1174" s="13"/>
      <c r="S1174" s="13"/>
      <c r="T1174" s="13"/>
      <c r="U1174" s="13"/>
      <c r="V1174" s="13"/>
      <c r="W1174" s="13"/>
      <c r="X1174" s="13"/>
      <c r="Y1174" s="13"/>
      <c r="Z1174" s="13"/>
      <c r="AA1174" s="13"/>
      <c r="AB1174" s="15"/>
      <c r="AC1174" s="15"/>
      <c r="AD1174" s="15"/>
      <c r="AE1174" s="13"/>
      <c r="AF1174" s="13"/>
      <c r="AG1174" s="13"/>
      <c r="AH1174" s="15"/>
      <c r="AI1174" s="13"/>
      <c r="AJ1174" s="13"/>
      <c r="AK1174" s="13"/>
      <c r="AL1174" s="13"/>
      <c r="AM1174" s="15"/>
      <c r="AN1174" s="13"/>
      <c r="AO1174" s="15"/>
      <c r="AP1174" s="15"/>
      <c r="AQ1174" s="13"/>
      <c r="AR1174" s="13"/>
      <c r="AS1174" s="13"/>
      <c r="AT1174" s="13"/>
      <c r="AU1174" s="13"/>
      <c r="AV1174" s="13"/>
      <c r="AW1174" s="13"/>
      <c r="AX1174" s="13"/>
      <c r="AY1174" s="15"/>
      <c r="AZ1174" s="15"/>
      <c r="BA1174" s="16"/>
      <c r="BB1174" s="15"/>
      <c r="BC1174" s="15"/>
      <c r="BD1174" s="13"/>
      <c r="BE1174" s="13"/>
      <c r="BF1174" s="13"/>
      <c r="BG1174" s="13"/>
      <c r="BH1174" s="13"/>
      <c r="BI1174" s="13"/>
      <c r="BJ1174" s="13"/>
      <c r="BK1174" s="13"/>
      <c r="BL1174" s="13"/>
      <c r="BM1174" s="13"/>
      <c r="BN1174" s="13"/>
      <c r="BO1174" s="13"/>
      <c r="BP1174" s="13"/>
      <c r="BQ1174" s="15"/>
      <c r="BR1174" s="15"/>
      <c r="BS1174" s="15"/>
      <c r="BT1174" s="15"/>
      <c r="BU1174" s="15"/>
      <c r="BV1174" s="15"/>
      <c r="BW1174" s="15"/>
      <c r="BX1174" s="15"/>
      <c r="BY1174" s="15"/>
      <c r="BZ1174" s="15"/>
      <c r="CA1174" s="15"/>
      <c r="CB1174" s="17"/>
      <c r="CC1174" s="17"/>
      <c r="CD1174" s="18"/>
      <c r="CE1174" s="18"/>
      <c r="CF1174" s="18"/>
      <c r="CG1174" s="18"/>
      <c r="CH1174" s="18"/>
    </row>
    <row r="1175">
      <c r="A1175" s="15"/>
      <c r="B1175" s="16"/>
      <c r="C1175" s="15"/>
      <c r="D1175" s="9"/>
      <c r="E1175" s="15"/>
      <c r="F1175" s="15"/>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5"/>
      <c r="AC1175" s="15"/>
      <c r="AD1175" s="15"/>
      <c r="AE1175" s="13"/>
      <c r="AF1175" s="13"/>
      <c r="AG1175" s="13"/>
      <c r="AH1175" s="15"/>
      <c r="AI1175" s="13"/>
      <c r="AJ1175" s="13"/>
      <c r="AK1175" s="13"/>
      <c r="AL1175" s="13"/>
      <c r="AM1175" s="15"/>
      <c r="AN1175" s="13"/>
      <c r="AO1175" s="15"/>
      <c r="AP1175" s="15"/>
      <c r="AQ1175" s="13"/>
      <c r="AR1175" s="13"/>
      <c r="AS1175" s="13"/>
      <c r="AT1175" s="13"/>
      <c r="AU1175" s="13"/>
      <c r="AV1175" s="13"/>
      <c r="AW1175" s="13"/>
      <c r="AX1175" s="13"/>
      <c r="AY1175" s="15"/>
      <c r="AZ1175" s="15"/>
      <c r="BA1175" s="16"/>
      <c r="BB1175" s="15"/>
      <c r="BC1175" s="15"/>
      <c r="BD1175" s="13"/>
      <c r="BE1175" s="13"/>
      <c r="BF1175" s="13"/>
      <c r="BG1175" s="13"/>
      <c r="BH1175" s="13"/>
      <c r="BI1175" s="13"/>
      <c r="BJ1175" s="13"/>
      <c r="BK1175" s="13"/>
      <c r="BL1175" s="13"/>
      <c r="BM1175" s="13"/>
      <c r="BN1175" s="13"/>
      <c r="BO1175" s="13"/>
      <c r="BP1175" s="13"/>
      <c r="BQ1175" s="15"/>
      <c r="BR1175" s="15"/>
      <c r="BS1175" s="15"/>
      <c r="BT1175" s="15"/>
      <c r="BU1175" s="15"/>
      <c r="BV1175" s="15"/>
      <c r="BW1175" s="15"/>
      <c r="BX1175" s="15"/>
      <c r="BY1175" s="15"/>
      <c r="BZ1175" s="15"/>
      <c r="CA1175" s="15"/>
      <c r="CB1175" s="17"/>
      <c r="CC1175" s="17"/>
      <c r="CD1175" s="18"/>
      <c r="CE1175" s="18"/>
      <c r="CF1175" s="18"/>
      <c r="CG1175" s="18"/>
      <c r="CH1175" s="18"/>
    </row>
    <row r="1176">
      <c r="A1176" s="15"/>
      <c r="B1176" s="16"/>
      <c r="C1176" s="15"/>
      <c r="D1176" s="9"/>
      <c r="E1176" s="15"/>
      <c r="F1176" s="15"/>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5"/>
      <c r="AC1176" s="15"/>
      <c r="AD1176" s="15"/>
      <c r="AE1176" s="13"/>
      <c r="AF1176" s="13"/>
      <c r="AG1176" s="13"/>
      <c r="AH1176" s="15"/>
      <c r="AI1176" s="13"/>
      <c r="AJ1176" s="13"/>
      <c r="AK1176" s="13"/>
      <c r="AL1176" s="13"/>
      <c r="AM1176" s="15"/>
      <c r="AN1176" s="13"/>
      <c r="AO1176" s="15"/>
      <c r="AP1176" s="15"/>
      <c r="AQ1176" s="13"/>
      <c r="AR1176" s="13"/>
      <c r="AS1176" s="13"/>
      <c r="AT1176" s="13"/>
      <c r="AU1176" s="13"/>
      <c r="AV1176" s="13"/>
      <c r="AW1176" s="13"/>
      <c r="AX1176" s="13"/>
      <c r="AY1176" s="15"/>
      <c r="AZ1176" s="15"/>
      <c r="BA1176" s="16"/>
      <c r="BB1176" s="15"/>
      <c r="BC1176" s="15"/>
      <c r="BD1176" s="13"/>
      <c r="BE1176" s="13"/>
      <c r="BF1176" s="13"/>
      <c r="BG1176" s="13"/>
      <c r="BH1176" s="13"/>
      <c r="BI1176" s="13"/>
      <c r="BJ1176" s="13"/>
      <c r="BK1176" s="13"/>
      <c r="BL1176" s="13"/>
      <c r="BM1176" s="13"/>
      <c r="BN1176" s="13"/>
      <c r="BO1176" s="13"/>
      <c r="BP1176" s="13"/>
      <c r="BQ1176" s="15"/>
      <c r="BR1176" s="15"/>
      <c r="BS1176" s="15"/>
      <c r="BT1176" s="15"/>
      <c r="BU1176" s="15"/>
      <c r="BV1176" s="15"/>
      <c r="BW1176" s="15"/>
      <c r="BX1176" s="15"/>
      <c r="BY1176" s="15"/>
      <c r="BZ1176" s="15"/>
      <c r="CA1176" s="15"/>
      <c r="CB1176" s="17"/>
      <c r="CC1176" s="17"/>
      <c r="CD1176" s="18"/>
      <c r="CE1176" s="18"/>
      <c r="CF1176" s="18"/>
      <c r="CG1176" s="18"/>
      <c r="CH1176" s="18"/>
    </row>
    <row r="1177">
      <c r="A1177" s="15"/>
      <c r="B1177" s="16"/>
      <c r="C1177" s="15"/>
      <c r="D1177" s="9"/>
      <c r="E1177" s="15"/>
      <c r="F1177" s="15"/>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5"/>
      <c r="AC1177" s="15"/>
      <c r="AD1177" s="15"/>
      <c r="AE1177" s="13"/>
      <c r="AF1177" s="13"/>
      <c r="AG1177" s="13"/>
      <c r="AH1177" s="15"/>
      <c r="AI1177" s="13"/>
      <c r="AJ1177" s="13"/>
      <c r="AK1177" s="13"/>
      <c r="AL1177" s="13"/>
      <c r="AM1177" s="15"/>
      <c r="AN1177" s="13"/>
      <c r="AO1177" s="15"/>
      <c r="AP1177" s="15"/>
      <c r="AQ1177" s="13"/>
      <c r="AR1177" s="13"/>
      <c r="AS1177" s="13"/>
      <c r="AT1177" s="13"/>
      <c r="AU1177" s="13"/>
      <c r="AV1177" s="13"/>
      <c r="AW1177" s="13"/>
      <c r="AX1177" s="13"/>
      <c r="AY1177" s="15"/>
      <c r="AZ1177" s="15"/>
      <c r="BA1177" s="16"/>
      <c r="BB1177" s="15"/>
      <c r="BC1177" s="15"/>
      <c r="BD1177" s="13"/>
      <c r="BE1177" s="13"/>
      <c r="BF1177" s="13"/>
      <c r="BG1177" s="13"/>
      <c r="BH1177" s="13"/>
      <c r="BI1177" s="13"/>
      <c r="BJ1177" s="13"/>
      <c r="BK1177" s="13"/>
      <c r="BL1177" s="13"/>
      <c r="BM1177" s="13"/>
      <c r="BN1177" s="13"/>
      <c r="BO1177" s="13"/>
      <c r="BP1177" s="13"/>
      <c r="BQ1177" s="15"/>
      <c r="BR1177" s="15"/>
      <c r="BS1177" s="15"/>
      <c r="BT1177" s="15"/>
      <c r="BU1177" s="15"/>
      <c r="BV1177" s="15"/>
      <c r="BW1177" s="15"/>
      <c r="BX1177" s="15"/>
      <c r="BY1177" s="15"/>
      <c r="BZ1177" s="15"/>
      <c r="CA1177" s="15"/>
      <c r="CB1177" s="17"/>
      <c r="CC1177" s="17"/>
      <c r="CD1177" s="18"/>
      <c r="CE1177" s="18"/>
      <c r="CF1177" s="18"/>
      <c r="CG1177" s="18"/>
      <c r="CH1177" s="18"/>
    </row>
    <row r="1178">
      <c r="A1178" s="15"/>
      <c r="B1178" s="16"/>
      <c r="C1178" s="15"/>
      <c r="D1178" s="9"/>
      <c r="E1178" s="15"/>
      <c r="F1178" s="15"/>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5"/>
      <c r="AC1178" s="15"/>
      <c r="AD1178" s="15"/>
      <c r="AE1178" s="13"/>
      <c r="AF1178" s="13"/>
      <c r="AG1178" s="13"/>
      <c r="AH1178" s="15"/>
      <c r="AI1178" s="13"/>
      <c r="AJ1178" s="13"/>
      <c r="AK1178" s="13"/>
      <c r="AL1178" s="13"/>
      <c r="AM1178" s="15"/>
      <c r="AN1178" s="13"/>
      <c r="AO1178" s="15"/>
      <c r="AP1178" s="15"/>
      <c r="AQ1178" s="13"/>
      <c r="AR1178" s="13"/>
      <c r="AS1178" s="13"/>
      <c r="AT1178" s="13"/>
      <c r="AU1178" s="13"/>
      <c r="AV1178" s="13"/>
      <c r="AW1178" s="13"/>
      <c r="AX1178" s="13"/>
      <c r="AY1178" s="15"/>
      <c r="AZ1178" s="15"/>
      <c r="BA1178" s="16"/>
      <c r="BB1178" s="15"/>
      <c r="BC1178" s="15"/>
      <c r="BD1178" s="13"/>
      <c r="BE1178" s="13"/>
      <c r="BF1178" s="13"/>
      <c r="BG1178" s="13"/>
      <c r="BH1178" s="13"/>
      <c r="BI1178" s="13"/>
      <c r="BJ1178" s="13"/>
      <c r="BK1178" s="13"/>
      <c r="BL1178" s="13"/>
      <c r="BM1178" s="13"/>
      <c r="BN1178" s="13"/>
      <c r="BO1178" s="13"/>
      <c r="BP1178" s="13"/>
      <c r="BQ1178" s="15"/>
      <c r="BR1178" s="15"/>
      <c r="BS1178" s="15"/>
      <c r="BT1178" s="15"/>
      <c r="BU1178" s="15"/>
      <c r="BV1178" s="15"/>
      <c r="BW1178" s="15"/>
      <c r="BX1178" s="15"/>
      <c r="BY1178" s="15"/>
      <c r="BZ1178" s="15"/>
      <c r="CA1178" s="15"/>
      <c r="CB1178" s="17"/>
      <c r="CC1178" s="17"/>
      <c r="CD1178" s="18"/>
      <c r="CE1178" s="18"/>
      <c r="CF1178" s="18"/>
      <c r="CG1178" s="18"/>
      <c r="CH1178" s="18"/>
    </row>
    <row r="1179">
      <c r="A1179" s="15"/>
      <c r="B1179" s="16"/>
      <c r="C1179" s="15"/>
      <c r="D1179" s="9"/>
      <c r="E1179" s="15"/>
      <c r="F1179" s="15"/>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5"/>
      <c r="AC1179" s="15"/>
      <c r="AD1179" s="15"/>
      <c r="AE1179" s="13"/>
      <c r="AF1179" s="13"/>
      <c r="AG1179" s="13"/>
      <c r="AH1179" s="15"/>
      <c r="AI1179" s="13"/>
      <c r="AJ1179" s="13"/>
      <c r="AK1179" s="13"/>
      <c r="AL1179" s="13"/>
      <c r="AM1179" s="15"/>
      <c r="AN1179" s="13"/>
      <c r="AO1179" s="15"/>
      <c r="AP1179" s="15"/>
      <c r="AQ1179" s="13"/>
      <c r="AR1179" s="13"/>
      <c r="AS1179" s="13"/>
      <c r="AT1179" s="13"/>
      <c r="AU1179" s="13"/>
      <c r="AV1179" s="13"/>
      <c r="AW1179" s="13"/>
      <c r="AX1179" s="13"/>
      <c r="AY1179" s="15"/>
      <c r="AZ1179" s="15"/>
      <c r="BA1179" s="16"/>
      <c r="BB1179" s="15"/>
      <c r="BC1179" s="15"/>
      <c r="BD1179" s="13"/>
      <c r="BE1179" s="13"/>
      <c r="BF1179" s="13"/>
      <c r="BG1179" s="13"/>
      <c r="BH1179" s="13"/>
      <c r="BI1179" s="13"/>
      <c r="BJ1179" s="13"/>
      <c r="BK1179" s="13"/>
      <c r="BL1179" s="13"/>
      <c r="BM1179" s="13"/>
      <c r="BN1179" s="13"/>
      <c r="BO1179" s="13"/>
      <c r="BP1179" s="13"/>
      <c r="BQ1179" s="15"/>
      <c r="BR1179" s="15"/>
      <c r="BS1179" s="15"/>
      <c r="BT1179" s="15"/>
      <c r="BU1179" s="15"/>
      <c r="BV1179" s="15"/>
      <c r="BW1179" s="15"/>
      <c r="BX1179" s="15"/>
      <c r="BY1179" s="15"/>
      <c r="BZ1179" s="15"/>
      <c r="CA1179" s="15"/>
      <c r="CB1179" s="17"/>
      <c r="CC1179" s="17"/>
      <c r="CD1179" s="18"/>
      <c r="CE1179" s="18"/>
      <c r="CF1179" s="18"/>
      <c r="CG1179" s="18"/>
      <c r="CH1179" s="18"/>
    </row>
    <row r="1180">
      <c r="A1180" s="15"/>
      <c r="B1180" s="16"/>
      <c r="C1180" s="15"/>
      <c r="D1180" s="9"/>
      <c r="E1180" s="15"/>
      <c r="F1180" s="15"/>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5"/>
      <c r="AC1180" s="15"/>
      <c r="AD1180" s="15"/>
      <c r="AE1180" s="13"/>
      <c r="AF1180" s="13"/>
      <c r="AG1180" s="13"/>
      <c r="AH1180" s="15"/>
      <c r="AI1180" s="13"/>
      <c r="AJ1180" s="13"/>
      <c r="AK1180" s="13"/>
      <c r="AL1180" s="13"/>
      <c r="AM1180" s="15"/>
      <c r="AN1180" s="13"/>
      <c r="AO1180" s="15"/>
      <c r="AP1180" s="15"/>
      <c r="AQ1180" s="13"/>
      <c r="AR1180" s="13"/>
      <c r="AS1180" s="13"/>
      <c r="AT1180" s="13"/>
      <c r="AU1180" s="13"/>
      <c r="AV1180" s="13"/>
      <c r="AW1180" s="13"/>
      <c r="AX1180" s="13"/>
      <c r="AY1180" s="15"/>
      <c r="AZ1180" s="15"/>
      <c r="BA1180" s="16"/>
      <c r="BB1180" s="15"/>
      <c r="BC1180" s="15"/>
      <c r="BD1180" s="13"/>
      <c r="BE1180" s="13"/>
      <c r="BF1180" s="13"/>
      <c r="BG1180" s="13"/>
      <c r="BH1180" s="13"/>
      <c r="BI1180" s="13"/>
      <c r="BJ1180" s="13"/>
      <c r="BK1180" s="13"/>
      <c r="BL1180" s="13"/>
      <c r="BM1180" s="13"/>
      <c r="BN1180" s="13"/>
      <c r="BO1180" s="13"/>
      <c r="BP1180" s="13"/>
      <c r="BQ1180" s="15"/>
      <c r="BR1180" s="15"/>
      <c r="BS1180" s="15"/>
      <c r="BT1180" s="15"/>
      <c r="BU1180" s="15"/>
      <c r="BV1180" s="15"/>
      <c r="BW1180" s="15"/>
      <c r="BX1180" s="15"/>
      <c r="BY1180" s="15"/>
      <c r="BZ1180" s="15"/>
      <c r="CA1180" s="15"/>
      <c r="CB1180" s="17"/>
      <c r="CC1180" s="17"/>
      <c r="CD1180" s="18"/>
      <c r="CE1180" s="18"/>
      <c r="CF1180" s="18"/>
      <c r="CG1180" s="18"/>
      <c r="CH1180" s="18"/>
    </row>
    <row r="1181">
      <c r="A1181" s="15"/>
      <c r="B1181" s="16"/>
      <c r="C1181" s="15"/>
      <c r="D1181" s="9"/>
      <c r="E1181" s="15"/>
      <c r="F1181" s="15"/>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5"/>
      <c r="AC1181" s="15"/>
      <c r="AD1181" s="15"/>
      <c r="AE1181" s="13"/>
      <c r="AF1181" s="13"/>
      <c r="AG1181" s="13"/>
      <c r="AH1181" s="15"/>
      <c r="AI1181" s="13"/>
      <c r="AJ1181" s="13"/>
      <c r="AK1181" s="13"/>
      <c r="AL1181" s="13"/>
      <c r="AM1181" s="15"/>
      <c r="AN1181" s="13"/>
      <c r="AO1181" s="15"/>
      <c r="AP1181" s="15"/>
      <c r="AQ1181" s="13"/>
      <c r="AR1181" s="13"/>
      <c r="AS1181" s="13"/>
      <c r="AT1181" s="13"/>
      <c r="AU1181" s="13"/>
      <c r="AV1181" s="13"/>
      <c r="AW1181" s="13"/>
      <c r="AX1181" s="13"/>
      <c r="AY1181" s="15"/>
      <c r="AZ1181" s="15"/>
      <c r="BA1181" s="16"/>
      <c r="BB1181" s="15"/>
      <c r="BC1181" s="15"/>
      <c r="BD1181" s="13"/>
      <c r="BE1181" s="13"/>
      <c r="BF1181" s="13"/>
      <c r="BG1181" s="13"/>
      <c r="BH1181" s="13"/>
      <c r="BI1181" s="13"/>
      <c r="BJ1181" s="13"/>
      <c r="BK1181" s="13"/>
      <c r="BL1181" s="13"/>
      <c r="BM1181" s="13"/>
      <c r="BN1181" s="13"/>
      <c r="BO1181" s="13"/>
      <c r="BP1181" s="13"/>
      <c r="BQ1181" s="15"/>
      <c r="BR1181" s="15"/>
      <c r="BS1181" s="15"/>
      <c r="BT1181" s="15"/>
      <c r="BU1181" s="15"/>
      <c r="BV1181" s="15"/>
      <c r="BW1181" s="15"/>
      <c r="BX1181" s="15"/>
      <c r="BY1181" s="15"/>
      <c r="BZ1181" s="15"/>
      <c r="CA1181" s="15"/>
      <c r="CB1181" s="17"/>
      <c r="CC1181" s="17"/>
      <c r="CD1181" s="18"/>
      <c r="CE1181" s="18"/>
      <c r="CF1181" s="18"/>
      <c r="CG1181" s="18"/>
      <c r="CH1181" s="18"/>
    </row>
    <row r="1182">
      <c r="A1182" s="15"/>
      <c r="B1182" s="16"/>
      <c r="C1182" s="15"/>
      <c r="D1182" s="9"/>
      <c r="E1182" s="15"/>
      <c r="F1182" s="15"/>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5"/>
      <c r="AC1182" s="15"/>
      <c r="AD1182" s="15"/>
      <c r="AE1182" s="13"/>
      <c r="AF1182" s="13"/>
      <c r="AG1182" s="13"/>
      <c r="AH1182" s="15"/>
      <c r="AI1182" s="13"/>
      <c r="AJ1182" s="13"/>
      <c r="AK1182" s="13"/>
      <c r="AL1182" s="13"/>
      <c r="AM1182" s="15"/>
      <c r="AN1182" s="13"/>
      <c r="AO1182" s="15"/>
      <c r="AP1182" s="15"/>
      <c r="AQ1182" s="13"/>
      <c r="AR1182" s="13"/>
      <c r="AS1182" s="13"/>
      <c r="AT1182" s="13"/>
      <c r="AU1182" s="13"/>
      <c r="AV1182" s="13"/>
      <c r="AW1182" s="13"/>
      <c r="AX1182" s="13"/>
      <c r="AY1182" s="15"/>
      <c r="AZ1182" s="15"/>
      <c r="BA1182" s="16"/>
      <c r="BB1182" s="15"/>
      <c r="BC1182" s="15"/>
      <c r="BD1182" s="13"/>
      <c r="BE1182" s="13"/>
      <c r="BF1182" s="13"/>
      <c r="BG1182" s="13"/>
      <c r="BH1182" s="13"/>
      <c r="BI1182" s="13"/>
      <c r="BJ1182" s="13"/>
      <c r="BK1182" s="13"/>
      <c r="BL1182" s="13"/>
      <c r="BM1182" s="13"/>
      <c r="BN1182" s="13"/>
      <c r="BO1182" s="13"/>
      <c r="BP1182" s="13"/>
      <c r="BQ1182" s="15"/>
      <c r="BR1182" s="15"/>
      <c r="BS1182" s="15"/>
      <c r="BT1182" s="15"/>
      <c r="BU1182" s="15"/>
      <c r="BV1182" s="15"/>
      <c r="BW1182" s="15"/>
      <c r="BX1182" s="15"/>
      <c r="BY1182" s="15"/>
      <c r="BZ1182" s="15"/>
      <c r="CA1182" s="15"/>
      <c r="CB1182" s="17"/>
      <c r="CC1182" s="17"/>
      <c r="CD1182" s="18"/>
      <c r="CE1182" s="18"/>
      <c r="CF1182" s="18"/>
      <c r="CG1182" s="18"/>
      <c r="CH1182" s="18"/>
    </row>
    <row r="1183">
      <c r="A1183" s="15"/>
      <c r="B1183" s="16"/>
      <c r="C1183" s="15"/>
      <c r="D1183" s="9"/>
      <c r="E1183" s="15"/>
      <c r="F1183" s="15"/>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5"/>
      <c r="AC1183" s="15"/>
      <c r="AD1183" s="15"/>
      <c r="AE1183" s="13"/>
      <c r="AF1183" s="13"/>
      <c r="AG1183" s="13"/>
      <c r="AH1183" s="15"/>
      <c r="AI1183" s="13"/>
      <c r="AJ1183" s="13"/>
      <c r="AK1183" s="13"/>
      <c r="AL1183" s="13"/>
      <c r="AM1183" s="15"/>
      <c r="AN1183" s="13"/>
      <c r="AO1183" s="15"/>
      <c r="AP1183" s="15"/>
      <c r="AQ1183" s="13"/>
      <c r="AR1183" s="13"/>
      <c r="AS1183" s="13"/>
      <c r="AT1183" s="13"/>
      <c r="AU1183" s="13"/>
      <c r="AV1183" s="13"/>
      <c r="AW1183" s="13"/>
      <c r="AX1183" s="13"/>
      <c r="AY1183" s="15"/>
      <c r="AZ1183" s="15"/>
      <c r="BA1183" s="16"/>
      <c r="BB1183" s="15"/>
      <c r="BC1183" s="15"/>
      <c r="BD1183" s="13"/>
      <c r="BE1183" s="13"/>
      <c r="BF1183" s="13"/>
      <c r="BG1183" s="13"/>
      <c r="BH1183" s="13"/>
      <c r="BI1183" s="13"/>
      <c r="BJ1183" s="13"/>
      <c r="BK1183" s="13"/>
      <c r="BL1183" s="13"/>
      <c r="BM1183" s="13"/>
      <c r="BN1183" s="13"/>
      <c r="BO1183" s="13"/>
      <c r="BP1183" s="13"/>
      <c r="BQ1183" s="15"/>
      <c r="BR1183" s="15"/>
      <c r="BS1183" s="15"/>
      <c r="BT1183" s="15"/>
      <c r="BU1183" s="15"/>
      <c r="BV1183" s="15"/>
      <c r="BW1183" s="15"/>
      <c r="BX1183" s="15"/>
      <c r="BY1183" s="15"/>
      <c r="BZ1183" s="15"/>
      <c r="CA1183" s="15"/>
      <c r="CB1183" s="17"/>
      <c r="CC1183" s="17"/>
      <c r="CD1183" s="18"/>
      <c r="CE1183" s="18"/>
      <c r="CF1183" s="18"/>
      <c r="CG1183" s="18"/>
      <c r="CH1183" s="18"/>
    </row>
    <row r="1184">
      <c r="A1184" s="15"/>
      <c r="B1184" s="16"/>
      <c r="C1184" s="15"/>
      <c r="D1184" s="9"/>
      <c r="E1184" s="15"/>
      <c r="F1184" s="15"/>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5"/>
      <c r="AC1184" s="15"/>
      <c r="AD1184" s="15"/>
      <c r="AE1184" s="13"/>
      <c r="AF1184" s="13"/>
      <c r="AG1184" s="13"/>
      <c r="AH1184" s="15"/>
      <c r="AI1184" s="13"/>
      <c r="AJ1184" s="13"/>
      <c r="AK1184" s="13"/>
      <c r="AL1184" s="13"/>
      <c r="AM1184" s="15"/>
      <c r="AN1184" s="13"/>
      <c r="AO1184" s="15"/>
      <c r="AP1184" s="15"/>
      <c r="AQ1184" s="13"/>
      <c r="AR1184" s="13"/>
      <c r="AS1184" s="13"/>
      <c r="AT1184" s="13"/>
      <c r="AU1184" s="13"/>
      <c r="AV1184" s="13"/>
      <c r="AW1184" s="13"/>
      <c r="AX1184" s="13"/>
      <c r="AY1184" s="15"/>
      <c r="AZ1184" s="15"/>
      <c r="BA1184" s="16"/>
      <c r="BB1184" s="15"/>
      <c r="BC1184" s="15"/>
      <c r="BD1184" s="13"/>
      <c r="BE1184" s="13"/>
      <c r="BF1184" s="13"/>
      <c r="BG1184" s="13"/>
      <c r="BH1184" s="13"/>
      <c r="BI1184" s="13"/>
      <c r="BJ1184" s="13"/>
      <c r="BK1184" s="13"/>
      <c r="BL1184" s="13"/>
      <c r="BM1184" s="13"/>
      <c r="BN1184" s="13"/>
      <c r="BO1184" s="13"/>
      <c r="BP1184" s="13"/>
      <c r="BQ1184" s="15"/>
      <c r="BR1184" s="15"/>
      <c r="BS1184" s="15"/>
      <c r="BT1184" s="15"/>
      <c r="BU1184" s="15"/>
      <c r="BV1184" s="15"/>
      <c r="BW1184" s="15"/>
      <c r="BX1184" s="15"/>
      <c r="BY1184" s="15"/>
      <c r="BZ1184" s="15"/>
      <c r="CA1184" s="15"/>
      <c r="CB1184" s="17"/>
      <c r="CC1184" s="17"/>
      <c r="CD1184" s="18"/>
      <c r="CE1184" s="18"/>
      <c r="CF1184" s="18"/>
      <c r="CG1184" s="18"/>
      <c r="CH1184" s="18"/>
    </row>
    <row r="1185">
      <c r="A1185" s="15"/>
      <c r="B1185" s="16"/>
      <c r="C1185" s="15"/>
      <c r="D1185" s="9"/>
      <c r="E1185" s="15"/>
      <c r="F1185" s="15"/>
      <c r="G1185" s="13"/>
      <c r="H1185" s="13"/>
      <c r="I1185" s="13"/>
      <c r="J1185" s="13"/>
      <c r="K1185" s="13"/>
      <c r="L1185" s="13"/>
      <c r="M1185" s="13"/>
      <c r="N1185" s="13"/>
      <c r="O1185" s="13"/>
      <c r="P1185" s="13"/>
      <c r="Q1185" s="13"/>
      <c r="R1185" s="13"/>
      <c r="S1185" s="13"/>
      <c r="T1185" s="13"/>
      <c r="U1185" s="13"/>
      <c r="V1185" s="13"/>
      <c r="W1185" s="13"/>
      <c r="X1185" s="13"/>
      <c r="Y1185" s="13"/>
      <c r="Z1185" s="13"/>
      <c r="AA1185" s="13"/>
      <c r="AB1185" s="15"/>
      <c r="AC1185" s="15"/>
      <c r="AD1185" s="15"/>
      <c r="AE1185" s="13"/>
      <c r="AF1185" s="13"/>
      <c r="AG1185" s="13"/>
      <c r="AH1185" s="15"/>
      <c r="AI1185" s="13"/>
      <c r="AJ1185" s="13"/>
      <c r="AK1185" s="13"/>
      <c r="AL1185" s="13"/>
      <c r="AM1185" s="15"/>
      <c r="AN1185" s="13"/>
      <c r="AO1185" s="15"/>
      <c r="AP1185" s="15"/>
      <c r="AQ1185" s="13"/>
      <c r="AR1185" s="13"/>
      <c r="AS1185" s="13"/>
      <c r="AT1185" s="13"/>
      <c r="AU1185" s="13"/>
      <c r="AV1185" s="13"/>
      <c r="AW1185" s="13"/>
      <c r="AX1185" s="13"/>
      <c r="AY1185" s="15"/>
      <c r="AZ1185" s="15"/>
      <c r="BA1185" s="16"/>
      <c r="BB1185" s="15"/>
      <c r="BC1185" s="15"/>
      <c r="BD1185" s="13"/>
      <c r="BE1185" s="13"/>
      <c r="BF1185" s="13"/>
      <c r="BG1185" s="13"/>
      <c r="BH1185" s="13"/>
      <c r="BI1185" s="13"/>
      <c r="BJ1185" s="13"/>
      <c r="BK1185" s="13"/>
      <c r="BL1185" s="13"/>
      <c r="BM1185" s="13"/>
      <c r="BN1185" s="13"/>
      <c r="BO1185" s="13"/>
      <c r="BP1185" s="13"/>
      <c r="BQ1185" s="15"/>
      <c r="BR1185" s="15"/>
      <c r="BS1185" s="15"/>
      <c r="BT1185" s="15"/>
      <c r="BU1185" s="15"/>
      <c r="BV1185" s="15"/>
      <c r="BW1185" s="15"/>
      <c r="BX1185" s="15"/>
      <c r="BY1185" s="15"/>
      <c r="BZ1185" s="15"/>
      <c r="CA1185" s="15"/>
      <c r="CB1185" s="17"/>
      <c r="CC1185" s="17"/>
      <c r="CD1185" s="18"/>
      <c r="CE1185" s="18"/>
      <c r="CF1185" s="18"/>
      <c r="CG1185" s="18"/>
      <c r="CH1185" s="18"/>
    </row>
    <row r="1186">
      <c r="A1186" s="15"/>
      <c r="B1186" s="16"/>
      <c r="C1186" s="15"/>
      <c r="D1186" s="9"/>
      <c r="E1186" s="15"/>
      <c r="F1186" s="15"/>
      <c r="G1186" s="13"/>
      <c r="H1186" s="13"/>
      <c r="I1186" s="13"/>
      <c r="J1186" s="13"/>
      <c r="K1186" s="13"/>
      <c r="L1186" s="13"/>
      <c r="M1186" s="13"/>
      <c r="N1186" s="13"/>
      <c r="O1186" s="13"/>
      <c r="P1186" s="13"/>
      <c r="Q1186" s="13"/>
      <c r="R1186" s="13"/>
      <c r="S1186" s="13"/>
      <c r="T1186" s="13"/>
      <c r="U1186" s="13"/>
      <c r="V1186" s="13"/>
      <c r="W1186" s="13"/>
      <c r="X1186" s="13"/>
      <c r="Y1186" s="13"/>
      <c r="Z1186" s="13"/>
      <c r="AA1186" s="13"/>
      <c r="AB1186" s="15"/>
      <c r="AC1186" s="15"/>
      <c r="AD1186" s="15"/>
      <c r="AE1186" s="13"/>
      <c r="AF1186" s="13"/>
      <c r="AG1186" s="13"/>
      <c r="AH1186" s="15"/>
      <c r="AI1186" s="13"/>
      <c r="AJ1186" s="13"/>
      <c r="AK1186" s="13"/>
      <c r="AL1186" s="13"/>
      <c r="AM1186" s="15"/>
      <c r="AN1186" s="13"/>
      <c r="AO1186" s="15"/>
      <c r="AP1186" s="15"/>
      <c r="AQ1186" s="13"/>
      <c r="AR1186" s="13"/>
      <c r="AS1186" s="13"/>
      <c r="AT1186" s="13"/>
      <c r="AU1186" s="13"/>
      <c r="AV1186" s="13"/>
      <c r="AW1186" s="13"/>
      <c r="AX1186" s="13"/>
      <c r="AY1186" s="15"/>
      <c r="AZ1186" s="15"/>
      <c r="BA1186" s="16"/>
      <c r="BB1186" s="15"/>
      <c r="BC1186" s="15"/>
      <c r="BD1186" s="13"/>
      <c r="BE1186" s="13"/>
      <c r="BF1186" s="13"/>
      <c r="BG1186" s="13"/>
      <c r="BH1186" s="13"/>
      <c r="BI1186" s="13"/>
      <c r="BJ1186" s="13"/>
      <c r="BK1186" s="13"/>
      <c r="BL1186" s="13"/>
      <c r="BM1186" s="13"/>
      <c r="BN1186" s="13"/>
      <c r="BO1186" s="13"/>
      <c r="BP1186" s="13"/>
      <c r="BQ1186" s="15"/>
      <c r="BR1186" s="15"/>
      <c r="BS1186" s="15"/>
      <c r="BT1186" s="15"/>
      <c r="BU1186" s="15"/>
      <c r="BV1186" s="15"/>
      <c r="BW1186" s="15"/>
      <c r="BX1186" s="15"/>
      <c r="BY1186" s="15"/>
      <c r="BZ1186" s="15"/>
      <c r="CA1186" s="15"/>
      <c r="CB1186" s="17"/>
      <c r="CC1186" s="17"/>
      <c r="CD1186" s="18"/>
      <c r="CE1186" s="18"/>
      <c r="CF1186" s="18"/>
      <c r="CG1186" s="18"/>
      <c r="CH1186" s="18"/>
    </row>
    <row r="1187">
      <c r="A1187" s="15"/>
      <c r="B1187" s="16"/>
      <c r="C1187" s="15"/>
      <c r="D1187" s="9"/>
      <c r="E1187" s="15"/>
      <c r="F1187" s="15"/>
      <c r="G1187" s="13"/>
      <c r="H1187" s="13"/>
      <c r="I1187" s="13"/>
      <c r="J1187" s="13"/>
      <c r="K1187" s="13"/>
      <c r="L1187" s="13"/>
      <c r="M1187" s="13"/>
      <c r="N1187" s="13"/>
      <c r="O1187" s="13"/>
      <c r="P1187" s="13"/>
      <c r="Q1187" s="13"/>
      <c r="R1187" s="13"/>
      <c r="S1187" s="13"/>
      <c r="T1187" s="13"/>
      <c r="U1187" s="13"/>
      <c r="V1187" s="13"/>
      <c r="W1187" s="13"/>
      <c r="X1187" s="13"/>
      <c r="Y1187" s="13"/>
      <c r="Z1187" s="13"/>
      <c r="AA1187" s="13"/>
      <c r="AB1187" s="15"/>
      <c r="AC1187" s="15"/>
      <c r="AD1187" s="15"/>
      <c r="AE1187" s="13"/>
      <c r="AF1187" s="13"/>
      <c r="AG1187" s="13"/>
      <c r="AH1187" s="15"/>
      <c r="AI1187" s="13"/>
      <c r="AJ1187" s="13"/>
      <c r="AK1187" s="13"/>
      <c r="AL1187" s="13"/>
      <c r="AM1187" s="15"/>
      <c r="AN1187" s="13"/>
      <c r="AO1187" s="15"/>
      <c r="AP1187" s="15"/>
      <c r="AQ1187" s="13"/>
      <c r="AR1187" s="13"/>
      <c r="AS1187" s="13"/>
      <c r="AT1187" s="13"/>
      <c r="AU1187" s="13"/>
      <c r="AV1187" s="13"/>
      <c r="AW1187" s="13"/>
      <c r="AX1187" s="13"/>
      <c r="AY1187" s="15"/>
      <c r="AZ1187" s="15"/>
      <c r="BA1187" s="16"/>
      <c r="BB1187" s="15"/>
      <c r="BC1187" s="15"/>
      <c r="BD1187" s="13"/>
      <c r="BE1187" s="13"/>
      <c r="BF1187" s="13"/>
      <c r="BG1187" s="13"/>
      <c r="BH1187" s="13"/>
      <c r="BI1187" s="13"/>
      <c r="BJ1187" s="13"/>
      <c r="BK1187" s="13"/>
      <c r="BL1187" s="13"/>
      <c r="BM1187" s="13"/>
      <c r="BN1187" s="13"/>
      <c r="BO1187" s="13"/>
      <c r="BP1187" s="13"/>
      <c r="BQ1187" s="15"/>
      <c r="BR1187" s="15"/>
      <c r="BS1187" s="15"/>
      <c r="BT1187" s="15"/>
      <c r="BU1187" s="15"/>
      <c r="BV1187" s="15"/>
      <c r="BW1187" s="15"/>
      <c r="BX1187" s="15"/>
      <c r="BY1187" s="15"/>
      <c r="BZ1187" s="15"/>
      <c r="CA1187" s="15"/>
      <c r="CB1187" s="17"/>
      <c r="CC1187" s="17"/>
      <c r="CD1187" s="18"/>
      <c r="CE1187" s="18"/>
      <c r="CF1187" s="18"/>
      <c r="CG1187" s="18"/>
      <c r="CH1187" s="18"/>
    </row>
    <row r="1188">
      <c r="A1188" s="15"/>
      <c r="B1188" s="16"/>
      <c r="C1188" s="15"/>
      <c r="D1188" s="9"/>
      <c r="E1188" s="15"/>
      <c r="F1188" s="15"/>
      <c r="G1188" s="13"/>
      <c r="H1188" s="13"/>
      <c r="I1188" s="13"/>
      <c r="J1188" s="13"/>
      <c r="K1188" s="13"/>
      <c r="L1188" s="13"/>
      <c r="M1188" s="13"/>
      <c r="N1188" s="13"/>
      <c r="O1188" s="13"/>
      <c r="P1188" s="13"/>
      <c r="Q1188" s="13"/>
      <c r="R1188" s="13"/>
      <c r="S1188" s="13"/>
      <c r="T1188" s="13"/>
      <c r="U1188" s="13"/>
      <c r="V1188" s="13"/>
      <c r="W1188" s="13"/>
      <c r="X1188" s="13"/>
      <c r="Y1188" s="13"/>
      <c r="Z1188" s="13"/>
      <c r="AA1188" s="13"/>
      <c r="AB1188" s="15"/>
      <c r="AC1188" s="15"/>
      <c r="AD1188" s="15"/>
      <c r="AE1188" s="13"/>
      <c r="AF1188" s="13"/>
      <c r="AG1188" s="13"/>
      <c r="AH1188" s="15"/>
      <c r="AI1188" s="13"/>
      <c r="AJ1188" s="13"/>
      <c r="AK1188" s="13"/>
      <c r="AL1188" s="13"/>
      <c r="AM1188" s="15"/>
      <c r="AN1188" s="13"/>
      <c r="AO1188" s="15"/>
      <c r="AP1188" s="15"/>
      <c r="AQ1188" s="13"/>
      <c r="AR1188" s="13"/>
      <c r="AS1188" s="13"/>
      <c r="AT1188" s="13"/>
      <c r="AU1188" s="13"/>
      <c r="AV1188" s="13"/>
      <c r="AW1188" s="13"/>
      <c r="AX1188" s="13"/>
      <c r="AY1188" s="15"/>
      <c r="AZ1188" s="15"/>
      <c r="BA1188" s="16"/>
      <c r="BB1188" s="15"/>
      <c r="BC1188" s="15"/>
      <c r="BD1188" s="13"/>
      <c r="BE1188" s="13"/>
      <c r="BF1188" s="13"/>
      <c r="BG1188" s="13"/>
      <c r="BH1188" s="13"/>
      <c r="BI1188" s="13"/>
      <c r="BJ1188" s="13"/>
      <c r="BK1188" s="13"/>
      <c r="BL1188" s="13"/>
      <c r="BM1188" s="13"/>
      <c r="BN1188" s="13"/>
      <c r="BO1188" s="13"/>
      <c r="BP1188" s="13"/>
      <c r="BQ1188" s="15"/>
      <c r="BR1188" s="15"/>
      <c r="BS1188" s="15"/>
      <c r="BT1188" s="15"/>
      <c r="BU1188" s="15"/>
      <c r="BV1188" s="15"/>
      <c r="BW1188" s="15"/>
      <c r="BX1188" s="15"/>
      <c r="BY1188" s="15"/>
      <c r="BZ1188" s="15"/>
      <c r="CA1188" s="15"/>
      <c r="CB1188" s="17"/>
      <c r="CC1188" s="17"/>
      <c r="CD1188" s="18"/>
      <c r="CE1188" s="18"/>
      <c r="CF1188" s="18"/>
      <c r="CG1188" s="18"/>
      <c r="CH1188" s="18"/>
    </row>
    <row r="1189">
      <c r="A1189" s="15"/>
      <c r="B1189" s="16"/>
      <c r="C1189" s="15"/>
      <c r="D1189" s="9"/>
      <c r="E1189" s="15"/>
      <c r="F1189" s="15"/>
      <c r="G1189" s="13"/>
      <c r="H1189" s="13"/>
      <c r="I1189" s="13"/>
      <c r="J1189" s="13"/>
      <c r="K1189" s="13"/>
      <c r="L1189" s="13"/>
      <c r="M1189" s="13"/>
      <c r="N1189" s="13"/>
      <c r="O1189" s="13"/>
      <c r="P1189" s="13"/>
      <c r="Q1189" s="13"/>
      <c r="R1189" s="13"/>
      <c r="S1189" s="13"/>
      <c r="T1189" s="13"/>
      <c r="U1189" s="13"/>
      <c r="V1189" s="13"/>
      <c r="W1189" s="13"/>
      <c r="X1189" s="13"/>
      <c r="Y1189" s="13"/>
      <c r="Z1189" s="13"/>
      <c r="AA1189" s="13"/>
      <c r="AB1189" s="15"/>
      <c r="AC1189" s="15"/>
      <c r="AD1189" s="15"/>
      <c r="AE1189" s="13"/>
      <c r="AF1189" s="13"/>
      <c r="AG1189" s="13"/>
      <c r="AH1189" s="15"/>
      <c r="AI1189" s="13"/>
      <c r="AJ1189" s="13"/>
      <c r="AK1189" s="13"/>
      <c r="AL1189" s="13"/>
      <c r="AM1189" s="15"/>
      <c r="AN1189" s="13"/>
      <c r="AO1189" s="15"/>
      <c r="AP1189" s="15"/>
      <c r="AQ1189" s="13"/>
      <c r="AR1189" s="13"/>
      <c r="AS1189" s="13"/>
      <c r="AT1189" s="13"/>
      <c r="AU1189" s="13"/>
      <c r="AV1189" s="13"/>
      <c r="AW1189" s="13"/>
      <c r="AX1189" s="13"/>
      <c r="AY1189" s="15"/>
      <c r="AZ1189" s="15"/>
      <c r="BA1189" s="16"/>
      <c r="BB1189" s="15"/>
      <c r="BC1189" s="15"/>
      <c r="BD1189" s="13"/>
      <c r="BE1189" s="13"/>
      <c r="BF1189" s="13"/>
      <c r="BG1189" s="13"/>
      <c r="BH1189" s="13"/>
      <c r="BI1189" s="13"/>
      <c r="BJ1189" s="13"/>
      <c r="BK1189" s="13"/>
      <c r="BL1189" s="13"/>
      <c r="BM1189" s="13"/>
      <c r="BN1189" s="13"/>
      <c r="BO1189" s="13"/>
      <c r="BP1189" s="13"/>
      <c r="BQ1189" s="15"/>
      <c r="BR1189" s="15"/>
      <c r="BS1189" s="15"/>
      <c r="BT1189" s="15"/>
      <c r="BU1189" s="15"/>
      <c r="BV1189" s="15"/>
      <c r="BW1189" s="15"/>
      <c r="BX1189" s="15"/>
      <c r="BY1189" s="15"/>
      <c r="BZ1189" s="15"/>
      <c r="CA1189" s="15"/>
      <c r="CB1189" s="17"/>
      <c r="CC1189" s="17"/>
      <c r="CD1189" s="18"/>
      <c r="CE1189" s="18"/>
      <c r="CF1189" s="18"/>
      <c r="CG1189" s="18"/>
      <c r="CH1189" s="18"/>
    </row>
    <row r="1190">
      <c r="A1190" s="15"/>
      <c r="B1190" s="16"/>
      <c r="C1190" s="15"/>
      <c r="D1190" s="9"/>
      <c r="E1190" s="15"/>
      <c r="F1190" s="15"/>
      <c r="G1190" s="13"/>
      <c r="H1190" s="13"/>
      <c r="I1190" s="13"/>
      <c r="J1190" s="13"/>
      <c r="K1190" s="13"/>
      <c r="L1190" s="13"/>
      <c r="M1190" s="13"/>
      <c r="N1190" s="13"/>
      <c r="O1190" s="13"/>
      <c r="P1190" s="13"/>
      <c r="Q1190" s="13"/>
      <c r="R1190" s="13"/>
      <c r="S1190" s="13"/>
      <c r="T1190" s="13"/>
      <c r="U1190" s="13"/>
      <c r="V1190" s="13"/>
      <c r="W1190" s="13"/>
      <c r="X1190" s="13"/>
      <c r="Y1190" s="13"/>
      <c r="Z1190" s="13"/>
      <c r="AA1190" s="13"/>
      <c r="AB1190" s="15"/>
      <c r="AC1190" s="15"/>
      <c r="AD1190" s="15"/>
      <c r="AE1190" s="13"/>
      <c r="AF1190" s="13"/>
      <c r="AG1190" s="13"/>
      <c r="AH1190" s="15"/>
      <c r="AI1190" s="13"/>
      <c r="AJ1190" s="13"/>
      <c r="AK1190" s="13"/>
      <c r="AL1190" s="13"/>
      <c r="AM1190" s="15"/>
      <c r="AN1190" s="13"/>
      <c r="AO1190" s="15"/>
      <c r="AP1190" s="15"/>
      <c r="AQ1190" s="13"/>
      <c r="AR1190" s="13"/>
      <c r="AS1190" s="13"/>
      <c r="AT1190" s="13"/>
      <c r="AU1190" s="13"/>
      <c r="AV1190" s="13"/>
      <c r="AW1190" s="13"/>
      <c r="AX1190" s="13"/>
      <c r="AY1190" s="15"/>
      <c r="AZ1190" s="15"/>
      <c r="BA1190" s="16"/>
      <c r="BB1190" s="15"/>
      <c r="BC1190" s="15"/>
      <c r="BD1190" s="13"/>
      <c r="BE1190" s="13"/>
      <c r="BF1190" s="13"/>
      <c r="BG1190" s="13"/>
      <c r="BH1190" s="13"/>
      <c r="BI1190" s="13"/>
      <c r="BJ1190" s="13"/>
      <c r="BK1190" s="13"/>
      <c r="BL1190" s="13"/>
      <c r="BM1190" s="13"/>
      <c r="BN1190" s="13"/>
      <c r="BO1190" s="13"/>
      <c r="BP1190" s="13"/>
      <c r="BQ1190" s="15"/>
      <c r="BR1190" s="15"/>
      <c r="BS1190" s="15"/>
      <c r="BT1190" s="15"/>
      <c r="BU1190" s="15"/>
      <c r="BV1190" s="15"/>
      <c r="BW1190" s="15"/>
      <c r="BX1190" s="15"/>
      <c r="BY1190" s="15"/>
      <c r="BZ1190" s="15"/>
      <c r="CA1190" s="15"/>
      <c r="CB1190" s="17"/>
      <c r="CC1190" s="17"/>
      <c r="CD1190" s="18"/>
      <c r="CE1190" s="18"/>
      <c r="CF1190" s="18"/>
      <c r="CG1190" s="18"/>
      <c r="CH1190" s="18"/>
    </row>
    <row r="1191">
      <c r="A1191" s="15"/>
      <c r="B1191" s="16"/>
      <c r="C1191" s="15"/>
      <c r="D1191" s="9"/>
      <c r="E1191" s="15"/>
      <c r="F1191" s="15"/>
      <c r="G1191" s="13"/>
      <c r="H1191" s="13"/>
      <c r="I1191" s="13"/>
      <c r="J1191" s="13"/>
      <c r="K1191" s="13"/>
      <c r="L1191" s="13"/>
      <c r="M1191" s="13"/>
      <c r="N1191" s="13"/>
      <c r="O1191" s="13"/>
      <c r="P1191" s="13"/>
      <c r="Q1191" s="13"/>
      <c r="R1191" s="13"/>
      <c r="S1191" s="13"/>
      <c r="T1191" s="13"/>
      <c r="U1191" s="13"/>
      <c r="V1191" s="13"/>
      <c r="W1191" s="13"/>
      <c r="X1191" s="13"/>
      <c r="Y1191" s="13"/>
      <c r="Z1191" s="13"/>
      <c r="AA1191" s="13"/>
      <c r="AB1191" s="15"/>
      <c r="AC1191" s="15"/>
      <c r="AD1191" s="15"/>
      <c r="AE1191" s="13"/>
      <c r="AF1191" s="13"/>
      <c r="AG1191" s="13"/>
      <c r="AH1191" s="15"/>
      <c r="AI1191" s="13"/>
      <c r="AJ1191" s="13"/>
      <c r="AK1191" s="13"/>
      <c r="AL1191" s="13"/>
      <c r="AM1191" s="15"/>
      <c r="AN1191" s="13"/>
      <c r="AO1191" s="15"/>
      <c r="AP1191" s="15"/>
      <c r="AQ1191" s="13"/>
      <c r="AR1191" s="13"/>
      <c r="AS1191" s="13"/>
      <c r="AT1191" s="13"/>
      <c r="AU1191" s="13"/>
      <c r="AV1191" s="13"/>
      <c r="AW1191" s="13"/>
      <c r="AX1191" s="13"/>
      <c r="AY1191" s="15"/>
      <c r="AZ1191" s="15"/>
      <c r="BA1191" s="16"/>
      <c r="BB1191" s="15"/>
      <c r="BC1191" s="15"/>
      <c r="BD1191" s="13"/>
      <c r="BE1191" s="13"/>
      <c r="BF1191" s="13"/>
      <c r="BG1191" s="13"/>
      <c r="BH1191" s="13"/>
      <c r="BI1191" s="13"/>
      <c r="BJ1191" s="13"/>
      <c r="BK1191" s="13"/>
      <c r="BL1191" s="13"/>
      <c r="BM1191" s="13"/>
      <c r="BN1191" s="13"/>
      <c r="BO1191" s="13"/>
      <c r="BP1191" s="13"/>
      <c r="BQ1191" s="15"/>
      <c r="BR1191" s="15"/>
      <c r="BS1191" s="15"/>
      <c r="BT1191" s="15"/>
      <c r="BU1191" s="15"/>
      <c r="BV1191" s="15"/>
      <c r="BW1191" s="15"/>
      <c r="BX1191" s="15"/>
      <c r="BY1191" s="15"/>
      <c r="BZ1191" s="15"/>
      <c r="CA1191" s="15"/>
      <c r="CB1191" s="17"/>
      <c r="CC1191" s="17"/>
      <c r="CD1191" s="18"/>
      <c r="CE1191" s="18"/>
      <c r="CF1191" s="18"/>
      <c r="CG1191" s="18"/>
      <c r="CH1191" s="18"/>
    </row>
    <row r="1192">
      <c r="A1192" s="15"/>
      <c r="B1192" s="16"/>
      <c r="C1192" s="15"/>
      <c r="D1192" s="9"/>
      <c r="E1192" s="15"/>
      <c r="F1192" s="15"/>
      <c r="G1192" s="13"/>
      <c r="H1192" s="13"/>
      <c r="I1192" s="13"/>
      <c r="J1192" s="13"/>
      <c r="K1192" s="13"/>
      <c r="L1192" s="13"/>
      <c r="M1192" s="13"/>
      <c r="N1192" s="13"/>
      <c r="O1192" s="13"/>
      <c r="P1192" s="13"/>
      <c r="Q1192" s="13"/>
      <c r="R1192" s="13"/>
      <c r="S1192" s="13"/>
      <c r="T1192" s="13"/>
      <c r="U1192" s="13"/>
      <c r="V1192" s="13"/>
      <c r="W1192" s="13"/>
      <c r="X1192" s="13"/>
      <c r="Y1192" s="13"/>
      <c r="Z1192" s="13"/>
      <c r="AA1192" s="13"/>
      <c r="AB1192" s="15"/>
      <c r="AC1192" s="15"/>
      <c r="AD1192" s="15"/>
      <c r="AE1192" s="13"/>
      <c r="AF1192" s="13"/>
      <c r="AG1192" s="13"/>
      <c r="AH1192" s="15"/>
      <c r="AI1192" s="13"/>
      <c r="AJ1192" s="13"/>
      <c r="AK1192" s="13"/>
      <c r="AL1192" s="13"/>
      <c r="AM1192" s="15"/>
      <c r="AN1192" s="13"/>
      <c r="AO1192" s="15"/>
      <c r="AP1192" s="15"/>
      <c r="AQ1192" s="13"/>
      <c r="AR1192" s="13"/>
      <c r="AS1192" s="13"/>
      <c r="AT1192" s="13"/>
      <c r="AU1192" s="13"/>
      <c r="AV1192" s="13"/>
      <c r="AW1192" s="13"/>
      <c r="AX1192" s="13"/>
      <c r="AY1192" s="15"/>
      <c r="AZ1192" s="15"/>
      <c r="BA1192" s="16"/>
      <c r="BB1192" s="15"/>
      <c r="BC1192" s="15"/>
      <c r="BD1192" s="13"/>
      <c r="BE1192" s="13"/>
      <c r="BF1192" s="13"/>
      <c r="BG1192" s="13"/>
      <c r="BH1192" s="13"/>
      <c r="BI1192" s="13"/>
      <c r="BJ1192" s="13"/>
      <c r="BK1192" s="13"/>
      <c r="BL1192" s="13"/>
      <c r="BM1192" s="13"/>
      <c r="BN1192" s="13"/>
      <c r="BO1192" s="13"/>
      <c r="BP1192" s="13"/>
      <c r="BQ1192" s="15"/>
      <c r="BR1192" s="15"/>
      <c r="BS1192" s="15"/>
      <c r="BT1192" s="15"/>
      <c r="BU1192" s="15"/>
      <c r="BV1192" s="15"/>
      <c r="BW1192" s="15"/>
      <c r="BX1192" s="15"/>
      <c r="BY1192" s="15"/>
      <c r="BZ1192" s="15"/>
      <c r="CA1192" s="15"/>
      <c r="CB1192" s="17"/>
      <c r="CC1192" s="17"/>
      <c r="CD1192" s="18"/>
      <c r="CE1192" s="18"/>
      <c r="CF1192" s="18"/>
      <c r="CG1192" s="18"/>
      <c r="CH1192" s="18"/>
    </row>
    <row r="1193">
      <c r="A1193" s="15"/>
      <c r="B1193" s="16"/>
      <c r="C1193" s="15"/>
      <c r="D1193" s="9"/>
      <c r="E1193" s="15"/>
      <c r="F1193" s="15"/>
      <c r="G1193" s="13"/>
      <c r="H1193" s="13"/>
      <c r="I1193" s="13"/>
      <c r="J1193" s="13"/>
      <c r="K1193" s="13"/>
      <c r="L1193" s="13"/>
      <c r="M1193" s="13"/>
      <c r="N1193" s="13"/>
      <c r="O1193" s="13"/>
      <c r="P1193" s="13"/>
      <c r="Q1193" s="13"/>
      <c r="R1193" s="13"/>
      <c r="S1193" s="13"/>
      <c r="T1193" s="13"/>
      <c r="U1193" s="13"/>
      <c r="V1193" s="13"/>
      <c r="W1193" s="13"/>
      <c r="X1193" s="13"/>
      <c r="Y1193" s="13"/>
      <c r="Z1193" s="13"/>
      <c r="AA1193" s="13"/>
      <c r="AB1193" s="15"/>
      <c r="AC1193" s="15"/>
      <c r="AD1193" s="15"/>
      <c r="AE1193" s="13"/>
      <c r="AF1193" s="13"/>
      <c r="AG1193" s="13"/>
      <c r="AH1193" s="15"/>
      <c r="AI1193" s="13"/>
      <c r="AJ1193" s="13"/>
      <c r="AK1193" s="13"/>
      <c r="AL1193" s="13"/>
      <c r="AM1193" s="15"/>
      <c r="AN1193" s="13"/>
      <c r="AO1193" s="15"/>
      <c r="AP1193" s="15"/>
      <c r="AQ1193" s="13"/>
      <c r="AR1193" s="13"/>
      <c r="AS1193" s="13"/>
      <c r="AT1193" s="13"/>
      <c r="AU1193" s="13"/>
      <c r="AV1193" s="13"/>
      <c r="AW1193" s="13"/>
      <c r="AX1193" s="13"/>
      <c r="AY1193" s="15"/>
      <c r="AZ1193" s="15"/>
      <c r="BA1193" s="16"/>
      <c r="BB1193" s="15"/>
      <c r="BC1193" s="15"/>
      <c r="BD1193" s="13"/>
      <c r="BE1193" s="13"/>
      <c r="BF1193" s="13"/>
      <c r="BG1193" s="13"/>
      <c r="BH1193" s="13"/>
      <c r="BI1193" s="13"/>
      <c r="BJ1193" s="13"/>
      <c r="BK1193" s="13"/>
      <c r="BL1193" s="13"/>
      <c r="BM1193" s="13"/>
      <c r="BN1193" s="13"/>
      <c r="BO1193" s="13"/>
      <c r="BP1193" s="13"/>
      <c r="BQ1193" s="15"/>
      <c r="BR1193" s="15"/>
      <c r="BS1193" s="15"/>
      <c r="BT1193" s="15"/>
      <c r="BU1193" s="15"/>
      <c r="BV1193" s="15"/>
      <c r="BW1193" s="15"/>
      <c r="BX1193" s="15"/>
      <c r="BY1193" s="15"/>
      <c r="BZ1193" s="15"/>
      <c r="CA1193" s="15"/>
      <c r="CB1193" s="17"/>
      <c r="CC1193" s="17"/>
      <c r="CD1193" s="18"/>
      <c r="CE1193" s="18"/>
      <c r="CF1193" s="18"/>
      <c r="CG1193" s="18"/>
      <c r="CH1193" s="18"/>
    </row>
    <row r="1194">
      <c r="A1194" s="15"/>
      <c r="B1194" s="16"/>
      <c r="C1194" s="15"/>
      <c r="D1194" s="9"/>
      <c r="E1194" s="15"/>
      <c r="F1194" s="15"/>
      <c r="G1194" s="13"/>
      <c r="H1194" s="13"/>
      <c r="I1194" s="13"/>
      <c r="J1194" s="13"/>
      <c r="K1194" s="13"/>
      <c r="L1194" s="13"/>
      <c r="M1194" s="13"/>
      <c r="N1194" s="13"/>
      <c r="O1194" s="13"/>
      <c r="P1194" s="13"/>
      <c r="Q1194" s="13"/>
      <c r="R1194" s="13"/>
      <c r="S1194" s="13"/>
      <c r="T1194" s="13"/>
      <c r="U1194" s="13"/>
      <c r="V1194" s="13"/>
      <c r="W1194" s="13"/>
      <c r="X1194" s="13"/>
      <c r="Y1194" s="13"/>
      <c r="Z1194" s="13"/>
      <c r="AA1194" s="13"/>
      <c r="AB1194" s="15"/>
      <c r="AC1194" s="15"/>
      <c r="AD1194" s="15"/>
      <c r="AE1194" s="13"/>
      <c r="AF1194" s="13"/>
      <c r="AG1194" s="13"/>
      <c r="AH1194" s="15"/>
      <c r="AI1194" s="13"/>
      <c r="AJ1194" s="13"/>
      <c r="AK1194" s="13"/>
      <c r="AL1194" s="13"/>
      <c r="AM1194" s="15"/>
      <c r="AN1194" s="13"/>
      <c r="AO1194" s="15"/>
      <c r="AP1194" s="15"/>
      <c r="AQ1194" s="13"/>
      <c r="AR1194" s="13"/>
      <c r="AS1194" s="13"/>
      <c r="AT1194" s="13"/>
      <c r="AU1194" s="13"/>
      <c r="AV1194" s="13"/>
      <c r="AW1194" s="13"/>
      <c r="AX1194" s="13"/>
      <c r="AY1194" s="15"/>
      <c r="AZ1194" s="15"/>
      <c r="BA1194" s="16"/>
      <c r="BB1194" s="15"/>
      <c r="BC1194" s="15"/>
      <c r="BD1194" s="13"/>
      <c r="BE1194" s="13"/>
      <c r="BF1194" s="13"/>
      <c r="BG1194" s="13"/>
      <c r="BH1194" s="13"/>
      <c r="BI1194" s="13"/>
      <c r="BJ1194" s="13"/>
      <c r="BK1194" s="13"/>
      <c r="BL1194" s="13"/>
      <c r="BM1194" s="13"/>
      <c r="BN1194" s="13"/>
      <c r="BO1194" s="13"/>
      <c r="BP1194" s="13"/>
      <c r="BQ1194" s="15"/>
      <c r="BR1194" s="15"/>
      <c r="BS1194" s="15"/>
      <c r="BT1194" s="15"/>
      <c r="BU1194" s="15"/>
      <c r="BV1194" s="15"/>
      <c r="BW1194" s="15"/>
      <c r="BX1194" s="15"/>
      <c r="BY1194" s="15"/>
      <c r="BZ1194" s="15"/>
      <c r="CA1194" s="15"/>
      <c r="CB1194" s="17"/>
      <c r="CC1194" s="17"/>
      <c r="CD1194" s="18"/>
      <c r="CE1194" s="18"/>
      <c r="CF1194" s="18"/>
      <c r="CG1194" s="18"/>
      <c r="CH1194" s="18"/>
    </row>
    <row r="1195">
      <c r="A1195" s="15"/>
      <c r="B1195" s="16"/>
      <c r="C1195" s="15"/>
      <c r="D1195" s="9"/>
      <c r="E1195" s="15"/>
      <c r="F1195" s="15"/>
      <c r="G1195" s="13"/>
      <c r="H1195" s="13"/>
      <c r="I1195" s="13"/>
      <c r="J1195" s="13"/>
      <c r="K1195" s="13"/>
      <c r="L1195" s="13"/>
      <c r="M1195" s="13"/>
      <c r="N1195" s="13"/>
      <c r="O1195" s="13"/>
      <c r="P1195" s="13"/>
      <c r="Q1195" s="13"/>
      <c r="R1195" s="13"/>
      <c r="S1195" s="13"/>
      <c r="T1195" s="13"/>
      <c r="U1195" s="13"/>
      <c r="V1195" s="13"/>
      <c r="W1195" s="13"/>
      <c r="X1195" s="13"/>
      <c r="Y1195" s="13"/>
      <c r="Z1195" s="13"/>
      <c r="AA1195" s="13"/>
      <c r="AB1195" s="15"/>
      <c r="AC1195" s="15"/>
      <c r="AD1195" s="15"/>
      <c r="AE1195" s="13"/>
      <c r="AF1195" s="13"/>
      <c r="AG1195" s="13"/>
      <c r="AH1195" s="15"/>
      <c r="AI1195" s="13"/>
      <c r="AJ1195" s="13"/>
      <c r="AK1195" s="13"/>
      <c r="AL1195" s="13"/>
      <c r="AM1195" s="15"/>
      <c r="AN1195" s="13"/>
      <c r="AO1195" s="15"/>
      <c r="AP1195" s="15"/>
      <c r="AQ1195" s="13"/>
      <c r="AR1195" s="13"/>
      <c r="AS1195" s="13"/>
      <c r="AT1195" s="13"/>
      <c r="AU1195" s="13"/>
      <c r="AV1195" s="13"/>
      <c r="AW1195" s="13"/>
      <c r="AX1195" s="13"/>
      <c r="AY1195" s="15"/>
      <c r="AZ1195" s="15"/>
      <c r="BA1195" s="16"/>
      <c r="BB1195" s="15"/>
      <c r="BC1195" s="15"/>
      <c r="BD1195" s="13"/>
      <c r="BE1195" s="13"/>
      <c r="BF1195" s="13"/>
      <c r="BG1195" s="13"/>
      <c r="BH1195" s="13"/>
      <c r="BI1195" s="13"/>
      <c r="BJ1195" s="13"/>
      <c r="BK1195" s="13"/>
      <c r="BL1195" s="13"/>
      <c r="BM1195" s="13"/>
      <c r="BN1195" s="13"/>
      <c r="BO1195" s="13"/>
      <c r="BP1195" s="13"/>
      <c r="BQ1195" s="15"/>
      <c r="BR1195" s="15"/>
      <c r="BS1195" s="15"/>
      <c r="BT1195" s="15"/>
      <c r="BU1195" s="15"/>
      <c r="BV1195" s="15"/>
      <c r="BW1195" s="15"/>
      <c r="BX1195" s="15"/>
      <c r="BY1195" s="15"/>
      <c r="BZ1195" s="15"/>
      <c r="CA1195" s="15"/>
      <c r="CB1195" s="17"/>
      <c r="CC1195" s="17"/>
      <c r="CD1195" s="18"/>
      <c r="CE1195" s="18"/>
      <c r="CF1195" s="18"/>
      <c r="CG1195" s="18"/>
      <c r="CH1195" s="18"/>
    </row>
    <row r="1196">
      <c r="A1196" s="15"/>
      <c r="B1196" s="16"/>
      <c r="C1196" s="15"/>
      <c r="D1196" s="9"/>
      <c r="E1196" s="15"/>
      <c r="F1196" s="15"/>
      <c r="G1196" s="13"/>
      <c r="H1196" s="13"/>
      <c r="I1196" s="13"/>
      <c r="J1196" s="13"/>
      <c r="K1196" s="13"/>
      <c r="L1196" s="13"/>
      <c r="M1196" s="13"/>
      <c r="N1196" s="13"/>
      <c r="O1196" s="13"/>
      <c r="P1196" s="13"/>
      <c r="Q1196" s="13"/>
      <c r="R1196" s="13"/>
      <c r="S1196" s="13"/>
      <c r="T1196" s="13"/>
      <c r="U1196" s="13"/>
      <c r="V1196" s="13"/>
      <c r="W1196" s="13"/>
      <c r="X1196" s="13"/>
      <c r="Y1196" s="13"/>
      <c r="Z1196" s="13"/>
      <c r="AA1196" s="13"/>
      <c r="AB1196" s="15"/>
      <c r="AC1196" s="15"/>
      <c r="AD1196" s="15"/>
      <c r="AE1196" s="13"/>
      <c r="AF1196" s="13"/>
      <c r="AG1196" s="13"/>
      <c r="AH1196" s="15"/>
      <c r="AI1196" s="13"/>
      <c r="AJ1196" s="13"/>
      <c r="AK1196" s="13"/>
      <c r="AL1196" s="13"/>
      <c r="AM1196" s="15"/>
      <c r="AN1196" s="13"/>
      <c r="AO1196" s="15"/>
      <c r="AP1196" s="15"/>
      <c r="AQ1196" s="13"/>
      <c r="AR1196" s="13"/>
      <c r="AS1196" s="13"/>
      <c r="AT1196" s="13"/>
      <c r="AU1196" s="13"/>
      <c r="AV1196" s="13"/>
      <c r="AW1196" s="13"/>
      <c r="AX1196" s="13"/>
      <c r="AY1196" s="15"/>
      <c r="AZ1196" s="15"/>
      <c r="BA1196" s="16"/>
      <c r="BB1196" s="15"/>
      <c r="BC1196" s="15"/>
      <c r="BD1196" s="13"/>
      <c r="BE1196" s="13"/>
      <c r="BF1196" s="13"/>
      <c r="BG1196" s="13"/>
      <c r="BH1196" s="13"/>
      <c r="BI1196" s="13"/>
      <c r="BJ1196" s="13"/>
      <c r="BK1196" s="13"/>
      <c r="BL1196" s="13"/>
      <c r="BM1196" s="13"/>
      <c r="BN1196" s="13"/>
      <c r="BO1196" s="13"/>
      <c r="BP1196" s="13"/>
      <c r="BQ1196" s="15"/>
      <c r="BR1196" s="15"/>
      <c r="BS1196" s="15"/>
      <c r="BT1196" s="15"/>
      <c r="BU1196" s="15"/>
      <c r="BV1196" s="15"/>
      <c r="BW1196" s="15"/>
      <c r="BX1196" s="15"/>
      <c r="BY1196" s="15"/>
      <c r="BZ1196" s="15"/>
      <c r="CA1196" s="15"/>
      <c r="CB1196" s="17"/>
      <c r="CC1196" s="17"/>
      <c r="CD1196" s="18"/>
      <c r="CE1196" s="18"/>
      <c r="CF1196" s="18"/>
      <c r="CG1196" s="18"/>
      <c r="CH1196" s="18"/>
    </row>
    <row r="1197">
      <c r="A1197" s="15"/>
      <c r="B1197" s="16"/>
      <c r="C1197" s="15"/>
      <c r="D1197" s="9"/>
      <c r="E1197" s="15"/>
      <c r="F1197" s="15"/>
      <c r="G1197" s="13"/>
      <c r="H1197" s="13"/>
      <c r="I1197" s="13"/>
      <c r="J1197" s="13"/>
      <c r="K1197" s="13"/>
      <c r="L1197" s="13"/>
      <c r="M1197" s="13"/>
      <c r="N1197" s="13"/>
      <c r="O1197" s="13"/>
      <c r="P1197" s="13"/>
      <c r="Q1197" s="13"/>
      <c r="R1197" s="13"/>
      <c r="S1197" s="13"/>
      <c r="T1197" s="13"/>
      <c r="U1197" s="13"/>
      <c r="V1197" s="13"/>
      <c r="W1197" s="13"/>
      <c r="X1197" s="13"/>
      <c r="Y1197" s="13"/>
      <c r="Z1197" s="13"/>
      <c r="AA1197" s="13"/>
      <c r="AB1197" s="15"/>
      <c r="AC1197" s="15"/>
      <c r="AD1197" s="15"/>
      <c r="AE1197" s="13"/>
      <c r="AF1197" s="13"/>
      <c r="AG1197" s="13"/>
      <c r="AH1197" s="15"/>
      <c r="AI1197" s="13"/>
      <c r="AJ1197" s="13"/>
      <c r="AK1197" s="13"/>
      <c r="AL1197" s="13"/>
      <c r="AM1197" s="15"/>
      <c r="AN1197" s="13"/>
      <c r="AO1197" s="15"/>
      <c r="AP1197" s="15"/>
      <c r="AQ1197" s="13"/>
      <c r="AR1197" s="13"/>
      <c r="AS1197" s="13"/>
      <c r="AT1197" s="13"/>
      <c r="AU1197" s="13"/>
      <c r="AV1197" s="13"/>
      <c r="AW1197" s="13"/>
      <c r="AX1197" s="13"/>
      <c r="AY1197" s="15"/>
      <c r="AZ1197" s="15"/>
      <c r="BA1197" s="16"/>
      <c r="BB1197" s="15"/>
      <c r="BC1197" s="15"/>
      <c r="BD1197" s="13"/>
      <c r="BE1197" s="13"/>
      <c r="BF1197" s="13"/>
      <c r="BG1197" s="13"/>
      <c r="BH1197" s="13"/>
      <c r="BI1197" s="13"/>
      <c r="BJ1197" s="13"/>
      <c r="BK1197" s="13"/>
      <c r="BL1197" s="13"/>
      <c r="BM1197" s="13"/>
      <c r="BN1197" s="13"/>
      <c r="BO1197" s="13"/>
      <c r="BP1197" s="13"/>
      <c r="BQ1197" s="15"/>
      <c r="BR1197" s="15"/>
      <c r="BS1197" s="15"/>
      <c r="BT1197" s="15"/>
      <c r="BU1197" s="15"/>
      <c r="BV1197" s="15"/>
      <c r="BW1197" s="15"/>
      <c r="BX1197" s="15"/>
      <c r="BY1197" s="15"/>
      <c r="BZ1197" s="15"/>
      <c r="CA1197" s="15"/>
      <c r="CB1197" s="17"/>
      <c r="CC1197" s="17"/>
      <c r="CD1197" s="18"/>
      <c r="CE1197" s="18"/>
      <c r="CF1197" s="18"/>
      <c r="CG1197" s="18"/>
      <c r="CH1197" s="18"/>
    </row>
    <row r="1198">
      <c r="A1198" s="15"/>
      <c r="B1198" s="16"/>
      <c r="C1198" s="15"/>
      <c r="D1198" s="9"/>
      <c r="E1198" s="15"/>
      <c r="F1198" s="15"/>
      <c r="G1198" s="13"/>
      <c r="H1198" s="13"/>
      <c r="I1198" s="13"/>
      <c r="J1198" s="13"/>
      <c r="K1198" s="13"/>
      <c r="L1198" s="13"/>
      <c r="M1198" s="13"/>
      <c r="N1198" s="13"/>
      <c r="O1198" s="13"/>
      <c r="P1198" s="13"/>
      <c r="Q1198" s="13"/>
      <c r="R1198" s="13"/>
      <c r="S1198" s="13"/>
      <c r="T1198" s="13"/>
      <c r="U1198" s="13"/>
      <c r="V1198" s="13"/>
      <c r="W1198" s="13"/>
      <c r="X1198" s="13"/>
      <c r="Y1198" s="13"/>
      <c r="Z1198" s="13"/>
      <c r="AA1198" s="13"/>
      <c r="AB1198" s="15"/>
      <c r="AC1198" s="15"/>
      <c r="AD1198" s="15"/>
      <c r="AE1198" s="13"/>
      <c r="AF1198" s="13"/>
      <c r="AG1198" s="13"/>
      <c r="AH1198" s="15"/>
      <c r="AI1198" s="13"/>
      <c r="AJ1198" s="13"/>
      <c r="AK1198" s="13"/>
      <c r="AL1198" s="13"/>
      <c r="AM1198" s="15"/>
      <c r="AN1198" s="13"/>
      <c r="AO1198" s="15"/>
      <c r="AP1198" s="15"/>
      <c r="AQ1198" s="13"/>
      <c r="AR1198" s="13"/>
      <c r="AS1198" s="13"/>
      <c r="AT1198" s="13"/>
      <c r="AU1198" s="13"/>
      <c r="AV1198" s="13"/>
      <c r="AW1198" s="13"/>
      <c r="AX1198" s="13"/>
      <c r="AY1198" s="15"/>
      <c r="AZ1198" s="15"/>
      <c r="BA1198" s="16"/>
      <c r="BB1198" s="15"/>
      <c r="BC1198" s="15"/>
      <c r="BD1198" s="13"/>
      <c r="BE1198" s="13"/>
      <c r="BF1198" s="13"/>
      <c r="BG1198" s="13"/>
      <c r="BH1198" s="13"/>
      <c r="BI1198" s="13"/>
      <c r="BJ1198" s="13"/>
      <c r="BK1198" s="13"/>
      <c r="BL1198" s="13"/>
      <c r="BM1198" s="13"/>
      <c r="BN1198" s="13"/>
      <c r="BO1198" s="13"/>
      <c r="BP1198" s="13"/>
      <c r="BQ1198" s="15"/>
      <c r="BR1198" s="15"/>
      <c r="BS1198" s="15"/>
      <c r="BT1198" s="15"/>
      <c r="BU1198" s="15"/>
      <c r="BV1198" s="15"/>
      <c r="BW1198" s="15"/>
      <c r="BX1198" s="15"/>
      <c r="BY1198" s="15"/>
      <c r="BZ1198" s="15"/>
      <c r="CA1198" s="15"/>
      <c r="CB1198" s="17"/>
      <c r="CC1198" s="17"/>
      <c r="CD1198" s="18"/>
      <c r="CE1198" s="18"/>
      <c r="CF1198" s="18"/>
      <c r="CG1198" s="18"/>
      <c r="CH1198" s="18"/>
    </row>
    <row r="1199">
      <c r="A1199" s="15"/>
      <c r="B1199" s="16"/>
      <c r="C1199" s="15"/>
      <c r="D1199" s="9"/>
      <c r="E1199" s="15"/>
      <c r="F1199" s="15"/>
      <c r="G1199" s="13"/>
      <c r="H1199" s="13"/>
      <c r="I1199" s="13"/>
      <c r="J1199" s="13"/>
      <c r="K1199" s="13"/>
      <c r="L1199" s="13"/>
      <c r="M1199" s="13"/>
      <c r="N1199" s="13"/>
      <c r="O1199" s="13"/>
      <c r="P1199" s="13"/>
      <c r="Q1199" s="13"/>
      <c r="R1199" s="13"/>
      <c r="S1199" s="13"/>
      <c r="T1199" s="13"/>
      <c r="U1199" s="13"/>
      <c r="V1199" s="13"/>
      <c r="W1199" s="13"/>
      <c r="X1199" s="13"/>
      <c r="Y1199" s="13"/>
      <c r="Z1199" s="13"/>
      <c r="AA1199" s="13"/>
      <c r="AB1199" s="15"/>
      <c r="AC1199" s="15"/>
      <c r="AD1199" s="15"/>
      <c r="AE1199" s="13"/>
      <c r="AF1199" s="13"/>
      <c r="AG1199" s="13"/>
      <c r="AH1199" s="15"/>
      <c r="AI1199" s="13"/>
      <c r="AJ1199" s="13"/>
      <c r="AK1199" s="13"/>
      <c r="AL1199" s="13"/>
      <c r="AM1199" s="15"/>
      <c r="AN1199" s="13"/>
      <c r="AO1199" s="15"/>
      <c r="AP1199" s="15"/>
      <c r="AQ1199" s="13"/>
      <c r="AR1199" s="13"/>
      <c r="AS1199" s="13"/>
      <c r="AT1199" s="13"/>
      <c r="AU1199" s="13"/>
      <c r="AV1199" s="13"/>
      <c r="AW1199" s="13"/>
      <c r="AX1199" s="13"/>
      <c r="AY1199" s="15"/>
      <c r="AZ1199" s="15"/>
      <c r="BA1199" s="16"/>
      <c r="BB1199" s="15"/>
      <c r="BC1199" s="15"/>
      <c r="BD1199" s="13"/>
      <c r="BE1199" s="13"/>
      <c r="BF1199" s="13"/>
      <c r="BG1199" s="13"/>
      <c r="BH1199" s="13"/>
      <c r="BI1199" s="13"/>
      <c r="BJ1199" s="13"/>
      <c r="BK1199" s="13"/>
      <c r="BL1199" s="13"/>
      <c r="BM1199" s="13"/>
      <c r="BN1199" s="13"/>
      <c r="BO1199" s="13"/>
      <c r="BP1199" s="13"/>
      <c r="BQ1199" s="15"/>
      <c r="BR1199" s="15"/>
      <c r="BS1199" s="15"/>
      <c r="BT1199" s="15"/>
      <c r="BU1199" s="15"/>
      <c r="BV1199" s="15"/>
      <c r="BW1199" s="15"/>
      <c r="BX1199" s="15"/>
      <c r="BY1199" s="15"/>
      <c r="BZ1199" s="15"/>
      <c r="CA1199" s="15"/>
      <c r="CB1199" s="17"/>
      <c r="CC1199" s="17"/>
      <c r="CD1199" s="18"/>
      <c r="CE1199" s="18"/>
      <c r="CF1199" s="18"/>
      <c r="CG1199" s="18"/>
      <c r="CH1199" s="18"/>
    </row>
    <row r="1200">
      <c r="A1200" s="15"/>
      <c r="B1200" s="16"/>
      <c r="C1200" s="15"/>
      <c r="D1200" s="9"/>
      <c r="E1200" s="15"/>
      <c r="F1200" s="15"/>
      <c r="G1200" s="13"/>
      <c r="H1200" s="13"/>
      <c r="I1200" s="13"/>
      <c r="J1200" s="13"/>
      <c r="K1200" s="13"/>
      <c r="L1200" s="13"/>
      <c r="M1200" s="13"/>
      <c r="N1200" s="13"/>
      <c r="O1200" s="13"/>
      <c r="P1200" s="13"/>
      <c r="Q1200" s="13"/>
      <c r="R1200" s="13"/>
      <c r="S1200" s="13"/>
      <c r="T1200" s="13"/>
      <c r="U1200" s="13"/>
      <c r="V1200" s="13"/>
      <c r="W1200" s="13"/>
      <c r="X1200" s="13"/>
      <c r="Y1200" s="13"/>
      <c r="Z1200" s="13"/>
      <c r="AA1200" s="13"/>
      <c r="AB1200" s="15"/>
      <c r="AC1200" s="15"/>
      <c r="AD1200" s="15"/>
      <c r="AE1200" s="13"/>
      <c r="AF1200" s="13"/>
      <c r="AG1200" s="13"/>
      <c r="AH1200" s="15"/>
      <c r="AI1200" s="13"/>
      <c r="AJ1200" s="13"/>
      <c r="AK1200" s="13"/>
      <c r="AL1200" s="13"/>
      <c r="AM1200" s="15"/>
      <c r="AN1200" s="13"/>
      <c r="AO1200" s="15"/>
      <c r="AP1200" s="15"/>
      <c r="AQ1200" s="13"/>
      <c r="AR1200" s="13"/>
      <c r="AS1200" s="13"/>
      <c r="AT1200" s="13"/>
      <c r="AU1200" s="13"/>
      <c r="AV1200" s="13"/>
      <c r="AW1200" s="13"/>
      <c r="AX1200" s="13"/>
      <c r="AY1200" s="15"/>
      <c r="AZ1200" s="15"/>
      <c r="BA1200" s="16"/>
      <c r="BB1200" s="15"/>
      <c r="BC1200" s="15"/>
      <c r="BD1200" s="13"/>
      <c r="BE1200" s="13"/>
      <c r="BF1200" s="13"/>
      <c r="BG1200" s="13"/>
      <c r="BH1200" s="13"/>
      <c r="BI1200" s="13"/>
      <c r="BJ1200" s="13"/>
      <c r="BK1200" s="13"/>
      <c r="BL1200" s="13"/>
      <c r="BM1200" s="13"/>
      <c r="BN1200" s="13"/>
      <c r="BO1200" s="13"/>
      <c r="BP1200" s="13"/>
      <c r="BQ1200" s="15"/>
      <c r="BR1200" s="15"/>
      <c r="BS1200" s="15"/>
      <c r="BT1200" s="15"/>
      <c r="BU1200" s="15"/>
      <c r="BV1200" s="15"/>
      <c r="BW1200" s="15"/>
      <c r="BX1200" s="15"/>
      <c r="BY1200" s="15"/>
      <c r="BZ1200" s="15"/>
      <c r="CA1200" s="15"/>
      <c r="CB1200" s="17"/>
      <c r="CC1200" s="17"/>
      <c r="CD1200" s="18"/>
      <c r="CE1200" s="18"/>
      <c r="CF1200" s="18"/>
      <c r="CG1200" s="18"/>
      <c r="CH1200" s="18"/>
    </row>
    <row r="1201">
      <c r="A1201" s="15"/>
      <c r="B1201" s="16"/>
      <c r="C1201" s="15"/>
      <c r="D1201" s="9"/>
      <c r="E1201" s="15"/>
      <c r="F1201" s="15"/>
      <c r="G1201" s="13"/>
      <c r="H1201" s="13"/>
      <c r="I1201" s="13"/>
      <c r="J1201" s="13"/>
      <c r="K1201" s="13"/>
      <c r="L1201" s="13"/>
      <c r="M1201" s="13"/>
      <c r="N1201" s="13"/>
      <c r="O1201" s="13"/>
      <c r="P1201" s="13"/>
      <c r="Q1201" s="13"/>
      <c r="R1201" s="13"/>
      <c r="S1201" s="13"/>
      <c r="T1201" s="13"/>
      <c r="U1201" s="13"/>
      <c r="V1201" s="13"/>
      <c r="W1201" s="13"/>
      <c r="X1201" s="13"/>
      <c r="Y1201" s="13"/>
      <c r="Z1201" s="13"/>
      <c r="AA1201" s="13"/>
      <c r="AB1201" s="15"/>
      <c r="AC1201" s="15"/>
      <c r="AD1201" s="15"/>
      <c r="AE1201" s="13"/>
      <c r="AF1201" s="13"/>
      <c r="AG1201" s="13"/>
      <c r="AH1201" s="15"/>
      <c r="AI1201" s="13"/>
      <c r="AJ1201" s="13"/>
      <c r="AK1201" s="13"/>
      <c r="AL1201" s="13"/>
      <c r="AM1201" s="15"/>
      <c r="AN1201" s="13"/>
      <c r="AO1201" s="15"/>
      <c r="AP1201" s="15"/>
      <c r="AQ1201" s="13"/>
      <c r="AR1201" s="13"/>
      <c r="AS1201" s="13"/>
      <c r="AT1201" s="13"/>
      <c r="AU1201" s="13"/>
      <c r="AV1201" s="13"/>
      <c r="AW1201" s="13"/>
      <c r="AX1201" s="13"/>
      <c r="AY1201" s="15"/>
      <c r="AZ1201" s="15"/>
      <c r="BA1201" s="16"/>
      <c r="BB1201" s="15"/>
      <c r="BC1201" s="15"/>
      <c r="BD1201" s="13"/>
      <c r="BE1201" s="13"/>
      <c r="BF1201" s="13"/>
      <c r="BG1201" s="13"/>
      <c r="BH1201" s="13"/>
      <c r="BI1201" s="13"/>
      <c r="BJ1201" s="13"/>
      <c r="BK1201" s="13"/>
      <c r="BL1201" s="13"/>
      <c r="BM1201" s="13"/>
      <c r="BN1201" s="13"/>
      <c r="BO1201" s="13"/>
      <c r="BP1201" s="13"/>
      <c r="BQ1201" s="15"/>
      <c r="BR1201" s="15"/>
      <c r="BS1201" s="15"/>
      <c r="BT1201" s="15"/>
      <c r="BU1201" s="15"/>
      <c r="BV1201" s="15"/>
      <c r="BW1201" s="15"/>
      <c r="BX1201" s="15"/>
      <c r="BY1201" s="15"/>
      <c r="BZ1201" s="15"/>
      <c r="CA1201" s="15"/>
      <c r="CB1201" s="17"/>
      <c r="CC1201" s="17"/>
      <c r="CD1201" s="18"/>
      <c r="CE1201" s="18"/>
      <c r="CF1201" s="18"/>
      <c r="CG1201" s="18"/>
      <c r="CH1201" s="18"/>
    </row>
    <row r="1202">
      <c r="A1202" s="15"/>
      <c r="B1202" s="16"/>
      <c r="C1202" s="15"/>
      <c r="D1202" s="9"/>
      <c r="E1202" s="15"/>
      <c r="F1202" s="15"/>
      <c r="G1202" s="13"/>
      <c r="H1202" s="13"/>
      <c r="I1202" s="13"/>
      <c r="J1202" s="13"/>
      <c r="K1202" s="13"/>
      <c r="L1202" s="13"/>
      <c r="M1202" s="13"/>
      <c r="N1202" s="13"/>
      <c r="O1202" s="13"/>
      <c r="P1202" s="13"/>
      <c r="Q1202" s="13"/>
      <c r="R1202" s="13"/>
      <c r="S1202" s="13"/>
      <c r="T1202" s="13"/>
      <c r="U1202" s="13"/>
      <c r="V1202" s="13"/>
      <c r="W1202" s="13"/>
      <c r="X1202" s="13"/>
      <c r="Y1202" s="13"/>
      <c r="Z1202" s="13"/>
      <c r="AA1202" s="13"/>
      <c r="AB1202" s="15"/>
      <c r="AC1202" s="15"/>
      <c r="AD1202" s="15"/>
      <c r="AE1202" s="13"/>
      <c r="AF1202" s="13"/>
      <c r="AG1202" s="13"/>
      <c r="AH1202" s="15"/>
      <c r="AI1202" s="13"/>
      <c r="AJ1202" s="13"/>
      <c r="AK1202" s="13"/>
      <c r="AL1202" s="13"/>
      <c r="AM1202" s="15"/>
      <c r="AN1202" s="13"/>
      <c r="AO1202" s="15"/>
      <c r="AP1202" s="15"/>
      <c r="AQ1202" s="13"/>
      <c r="AR1202" s="13"/>
      <c r="AS1202" s="13"/>
      <c r="AT1202" s="13"/>
      <c r="AU1202" s="13"/>
      <c r="AV1202" s="13"/>
      <c r="AW1202" s="13"/>
      <c r="AX1202" s="13"/>
      <c r="AY1202" s="15"/>
      <c r="AZ1202" s="15"/>
      <c r="BA1202" s="16"/>
      <c r="BB1202" s="15"/>
      <c r="BC1202" s="15"/>
      <c r="BD1202" s="13"/>
      <c r="BE1202" s="13"/>
      <c r="BF1202" s="13"/>
      <c r="BG1202" s="13"/>
      <c r="BH1202" s="13"/>
      <c r="BI1202" s="13"/>
      <c r="BJ1202" s="13"/>
      <c r="BK1202" s="13"/>
      <c r="BL1202" s="13"/>
      <c r="BM1202" s="13"/>
      <c r="BN1202" s="13"/>
      <c r="BO1202" s="13"/>
      <c r="BP1202" s="13"/>
      <c r="BQ1202" s="15"/>
      <c r="BR1202" s="15"/>
      <c r="BS1202" s="15"/>
      <c r="BT1202" s="15"/>
      <c r="BU1202" s="15"/>
      <c r="BV1202" s="15"/>
      <c r="BW1202" s="15"/>
      <c r="BX1202" s="15"/>
      <c r="BY1202" s="15"/>
      <c r="BZ1202" s="15"/>
      <c r="CA1202" s="15"/>
      <c r="CB1202" s="17"/>
      <c r="CC1202" s="17"/>
      <c r="CD1202" s="18"/>
      <c r="CE1202" s="18"/>
      <c r="CF1202" s="18"/>
      <c r="CG1202" s="18"/>
      <c r="CH1202" s="18"/>
    </row>
    <row r="1203">
      <c r="A1203" s="15"/>
      <c r="B1203" s="16"/>
      <c r="C1203" s="15"/>
      <c r="D1203" s="9"/>
      <c r="E1203" s="15"/>
      <c r="F1203" s="15"/>
      <c r="G1203" s="13"/>
      <c r="H1203" s="13"/>
      <c r="I1203" s="13"/>
      <c r="J1203" s="13"/>
      <c r="K1203" s="13"/>
      <c r="L1203" s="13"/>
      <c r="M1203" s="13"/>
      <c r="N1203" s="13"/>
      <c r="O1203" s="13"/>
      <c r="P1203" s="13"/>
      <c r="Q1203" s="13"/>
      <c r="R1203" s="13"/>
      <c r="S1203" s="13"/>
      <c r="T1203" s="13"/>
      <c r="U1203" s="13"/>
      <c r="V1203" s="13"/>
      <c r="W1203" s="13"/>
      <c r="X1203" s="13"/>
      <c r="Y1203" s="13"/>
      <c r="Z1203" s="13"/>
      <c r="AA1203" s="13"/>
      <c r="AB1203" s="15"/>
      <c r="AC1203" s="15"/>
      <c r="AD1203" s="15"/>
      <c r="AE1203" s="13"/>
      <c r="AF1203" s="13"/>
      <c r="AG1203" s="13"/>
      <c r="AH1203" s="15"/>
      <c r="AI1203" s="13"/>
      <c r="AJ1203" s="13"/>
      <c r="AK1203" s="13"/>
      <c r="AL1203" s="13"/>
      <c r="AM1203" s="15"/>
      <c r="AN1203" s="13"/>
      <c r="AO1203" s="15"/>
      <c r="AP1203" s="15"/>
      <c r="AQ1203" s="13"/>
      <c r="AR1203" s="13"/>
      <c r="AS1203" s="13"/>
      <c r="AT1203" s="13"/>
      <c r="AU1203" s="13"/>
      <c r="AV1203" s="13"/>
      <c r="AW1203" s="13"/>
      <c r="AX1203" s="13"/>
      <c r="AY1203" s="15"/>
      <c r="AZ1203" s="15"/>
      <c r="BA1203" s="16"/>
      <c r="BB1203" s="15"/>
      <c r="BC1203" s="15"/>
      <c r="BD1203" s="13"/>
      <c r="BE1203" s="13"/>
      <c r="BF1203" s="13"/>
      <c r="BG1203" s="13"/>
      <c r="BH1203" s="13"/>
      <c r="BI1203" s="13"/>
      <c r="BJ1203" s="13"/>
      <c r="BK1203" s="13"/>
      <c r="BL1203" s="13"/>
      <c r="BM1203" s="13"/>
      <c r="BN1203" s="13"/>
      <c r="BO1203" s="13"/>
      <c r="BP1203" s="13"/>
      <c r="BQ1203" s="15"/>
      <c r="BR1203" s="15"/>
      <c r="BS1203" s="15"/>
      <c r="BT1203" s="15"/>
      <c r="BU1203" s="15"/>
      <c r="BV1203" s="15"/>
      <c r="BW1203" s="15"/>
      <c r="BX1203" s="15"/>
      <c r="BY1203" s="15"/>
      <c r="BZ1203" s="15"/>
      <c r="CA1203" s="15"/>
      <c r="CB1203" s="17"/>
      <c r="CC1203" s="17"/>
      <c r="CD1203" s="18"/>
      <c r="CE1203" s="18"/>
      <c r="CF1203" s="18"/>
      <c r="CG1203" s="18"/>
      <c r="CH1203" s="18"/>
    </row>
    <row r="1204">
      <c r="A1204" s="15"/>
      <c r="B1204" s="16"/>
      <c r="C1204" s="15"/>
      <c r="D1204" s="9"/>
      <c r="E1204" s="15"/>
      <c r="F1204" s="15"/>
      <c r="G1204" s="13"/>
      <c r="H1204" s="13"/>
      <c r="I1204" s="13"/>
      <c r="J1204" s="13"/>
      <c r="K1204" s="13"/>
      <c r="L1204" s="13"/>
      <c r="M1204" s="13"/>
      <c r="N1204" s="13"/>
      <c r="O1204" s="13"/>
      <c r="P1204" s="13"/>
      <c r="Q1204" s="13"/>
      <c r="R1204" s="13"/>
      <c r="S1204" s="13"/>
      <c r="T1204" s="13"/>
      <c r="U1204" s="13"/>
      <c r="V1204" s="13"/>
      <c r="W1204" s="13"/>
      <c r="X1204" s="13"/>
      <c r="Y1204" s="13"/>
      <c r="Z1204" s="13"/>
      <c r="AA1204" s="13"/>
      <c r="AB1204" s="15"/>
      <c r="AC1204" s="15"/>
      <c r="AD1204" s="15"/>
      <c r="AE1204" s="13"/>
      <c r="AF1204" s="13"/>
      <c r="AG1204" s="13"/>
      <c r="AH1204" s="15"/>
      <c r="AI1204" s="13"/>
      <c r="AJ1204" s="13"/>
      <c r="AK1204" s="13"/>
      <c r="AL1204" s="13"/>
      <c r="AM1204" s="15"/>
      <c r="AN1204" s="13"/>
      <c r="AO1204" s="15"/>
      <c r="AP1204" s="15"/>
      <c r="AQ1204" s="13"/>
      <c r="AR1204" s="13"/>
      <c r="AS1204" s="13"/>
      <c r="AT1204" s="13"/>
      <c r="AU1204" s="13"/>
      <c r="AV1204" s="13"/>
      <c r="AW1204" s="13"/>
      <c r="AX1204" s="13"/>
      <c r="AY1204" s="15"/>
      <c r="AZ1204" s="15"/>
      <c r="BA1204" s="16"/>
      <c r="BB1204" s="15"/>
      <c r="BC1204" s="15"/>
      <c r="BD1204" s="13"/>
      <c r="BE1204" s="13"/>
      <c r="BF1204" s="13"/>
      <c r="BG1204" s="13"/>
      <c r="BH1204" s="13"/>
      <c r="BI1204" s="13"/>
      <c r="BJ1204" s="13"/>
      <c r="BK1204" s="13"/>
      <c r="BL1204" s="13"/>
      <c r="BM1204" s="13"/>
      <c r="BN1204" s="13"/>
      <c r="BO1204" s="13"/>
      <c r="BP1204" s="13"/>
      <c r="BQ1204" s="15"/>
      <c r="BR1204" s="15"/>
      <c r="BS1204" s="15"/>
      <c r="BT1204" s="15"/>
      <c r="BU1204" s="15"/>
      <c r="BV1204" s="15"/>
      <c r="BW1204" s="15"/>
      <c r="BX1204" s="15"/>
      <c r="BY1204" s="15"/>
      <c r="BZ1204" s="15"/>
      <c r="CA1204" s="15"/>
      <c r="CB1204" s="17"/>
      <c r="CC1204" s="17"/>
      <c r="CD1204" s="18"/>
      <c r="CE1204" s="18"/>
      <c r="CF1204" s="18"/>
      <c r="CG1204" s="18"/>
      <c r="CH1204" s="18"/>
    </row>
    <row r="1205">
      <c r="A1205" s="15"/>
      <c r="B1205" s="16"/>
      <c r="C1205" s="15"/>
      <c r="D1205" s="9"/>
      <c r="E1205" s="15"/>
      <c r="F1205" s="15"/>
      <c r="G1205" s="13"/>
      <c r="H1205" s="13"/>
      <c r="I1205" s="13"/>
      <c r="J1205" s="13"/>
      <c r="K1205" s="13"/>
      <c r="L1205" s="13"/>
      <c r="M1205" s="13"/>
      <c r="N1205" s="13"/>
      <c r="O1205" s="13"/>
      <c r="P1205" s="13"/>
      <c r="Q1205" s="13"/>
      <c r="R1205" s="13"/>
      <c r="S1205" s="13"/>
      <c r="T1205" s="13"/>
      <c r="U1205" s="13"/>
      <c r="V1205" s="13"/>
      <c r="W1205" s="13"/>
      <c r="X1205" s="13"/>
      <c r="Y1205" s="13"/>
      <c r="Z1205" s="13"/>
      <c r="AA1205" s="13"/>
      <c r="AB1205" s="15"/>
      <c r="AC1205" s="15"/>
      <c r="AD1205" s="15"/>
      <c r="AE1205" s="13"/>
      <c r="AF1205" s="13"/>
      <c r="AG1205" s="13"/>
      <c r="AH1205" s="15"/>
      <c r="AI1205" s="13"/>
      <c r="AJ1205" s="13"/>
      <c r="AK1205" s="13"/>
      <c r="AL1205" s="13"/>
      <c r="AM1205" s="15"/>
      <c r="AN1205" s="13"/>
      <c r="AO1205" s="15"/>
      <c r="AP1205" s="15"/>
      <c r="AQ1205" s="13"/>
      <c r="AR1205" s="13"/>
      <c r="AS1205" s="13"/>
      <c r="AT1205" s="13"/>
      <c r="AU1205" s="13"/>
      <c r="AV1205" s="13"/>
      <c r="AW1205" s="13"/>
      <c r="AX1205" s="13"/>
      <c r="AY1205" s="15"/>
      <c r="AZ1205" s="15"/>
      <c r="BA1205" s="16"/>
      <c r="BB1205" s="15"/>
      <c r="BC1205" s="15"/>
      <c r="BD1205" s="13"/>
      <c r="BE1205" s="13"/>
      <c r="BF1205" s="13"/>
      <c r="BG1205" s="13"/>
      <c r="BH1205" s="13"/>
      <c r="BI1205" s="13"/>
      <c r="BJ1205" s="13"/>
      <c r="BK1205" s="13"/>
      <c r="BL1205" s="13"/>
      <c r="BM1205" s="13"/>
      <c r="BN1205" s="13"/>
      <c r="BO1205" s="13"/>
      <c r="BP1205" s="13"/>
      <c r="BQ1205" s="15"/>
      <c r="BR1205" s="15"/>
      <c r="BS1205" s="15"/>
      <c r="BT1205" s="15"/>
      <c r="BU1205" s="15"/>
      <c r="BV1205" s="15"/>
      <c r="BW1205" s="15"/>
      <c r="BX1205" s="15"/>
      <c r="BY1205" s="15"/>
      <c r="BZ1205" s="15"/>
      <c r="CA1205" s="15"/>
      <c r="CB1205" s="17"/>
      <c r="CC1205" s="17"/>
      <c r="CD1205" s="18"/>
      <c r="CE1205" s="18"/>
      <c r="CF1205" s="18"/>
      <c r="CG1205" s="18"/>
      <c r="CH1205" s="18"/>
    </row>
    <row r="1206">
      <c r="A1206" s="15"/>
      <c r="B1206" s="16"/>
      <c r="C1206" s="15"/>
      <c r="D1206" s="9"/>
      <c r="E1206" s="15"/>
      <c r="F1206" s="15"/>
      <c r="G1206" s="13"/>
      <c r="H1206" s="13"/>
      <c r="I1206" s="13"/>
      <c r="J1206" s="13"/>
      <c r="K1206" s="13"/>
      <c r="L1206" s="13"/>
      <c r="M1206" s="13"/>
      <c r="N1206" s="13"/>
      <c r="O1206" s="13"/>
      <c r="P1206" s="13"/>
      <c r="Q1206" s="13"/>
      <c r="R1206" s="13"/>
      <c r="S1206" s="13"/>
      <c r="T1206" s="13"/>
      <c r="U1206" s="13"/>
      <c r="V1206" s="13"/>
      <c r="W1206" s="13"/>
      <c r="X1206" s="13"/>
      <c r="Y1206" s="13"/>
      <c r="Z1206" s="13"/>
      <c r="AA1206" s="13"/>
      <c r="AB1206" s="15"/>
      <c r="AC1206" s="15"/>
      <c r="AD1206" s="15"/>
      <c r="AE1206" s="13"/>
      <c r="AF1206" s="13"/>
      <c r="AG1206" s="13"/>
      <c r="AH1206" s="15"/>
      <c r="AI1206" s="13"/>
      <c r="AJ1206" s="13"/>
      <c r="AK1206" s="13"/>
      <c r="AL1206" s="13"/>
      <c r="AM1206" s="15"/>
      <c r="AN1206" s="13"/>
      <c r="AO1206" s="15"/>
      <c r="AP1206" s="15"/>
      <c r="AQ1206" s="13"/>
      <c r="AR1206" s="13"/>
      <c r="AS1206" s="13"/>
      <c r="AT1206" s="13"/>
      <c r="AU1206" s="13"/>
      <c r="AV1206" s="13"/>
      <c r="AW1206" s="13"/>
      <c r="AX1206" s="13"/>
      <c r="AY1206" s="15"/>
      <c r="AZ1206" s="15"/>
      <c r="BA1206" s="16"/>
      <c r="BB1206" s="15"/>
      <c r="BC1206" s="15"/>
      <c r="BD1206" s="13"/>
      <c r="BE1206" s="13"/>
      <c r="BF1206" s="13"/>
      <c r="BG1206" s="13"/>
      <c r="BH1206" s="13"/>
      <c r="BI1206" s="13"/>
      <c r="BJ1206" s="13"/>
      <c r="BK1206" s="13"/>
      <c r="BL1206" s="13"/>
      <c r="BM1206" s="13"/>
      <c r="BN1206" s="13"/>
      <c r="BO1206" s="13"/>
      <c r="BP1206" s="13"/>
      <c r="BQ1206" s="15"/>
      <c r="BR1206" s="15"/>
      <c r="BS1206" s="15"/>
      <c r="BT1206" s="15"/>
      <c r="BU1206" s="15"/>
      <c r="BV1206" s="15"/>
      <c r="BW1206" s="15"/>
      <c r="BX1206" s="15"/>
      <c r="BY1206" s="15"/>
      <c r="BZ1206" s="15"/>
      <c r="CA1206" s="15"/>
      <c r="CB1206" s="17"/>
      <c r="CC1206" s="17"/>
      <c r="CD1206" s="18"/>
      <c r="CE1206" s="18"/>
      <c r="CF1206" s="18"/>
      <c r="CG1206" s="18"/>
      <c r="CH1206" s="18"/>
    </row>
    <row r="1207">
      <c r="A1207" s="15"/>
      <c r="B1207" s="16"/>
      <c r="C1207" s="15"/>
      <c r="D1207" s="9"/>
      <c r="E1207" s="15"/>
      <c r="F1207" s="15"/>
      <c r="G1207" s="13"/>
      <c r="H1207" s="13"/>
      <c r="I1207" s="13"/>
      <c r="J1207" s="13"/>
      <c r="K1207" s="13"/>
      <c r="L1207" s="13"/>
      <c r="M1207" s="13"/>
      <c r="N1207" s="13"/>
      <c r="O1207" s="13"/>
      <c r="P1207" s="13"/>
      <c r="Q1207" s="13"/>
      <c r="R1207" s="13"/>
      <c r="S1207" s="13"/>
      <c r="T1207" s="13"/>
      <c r="U1207" s="13"/>
      <c r="V1207" s="13"/>
      <c r="W1207" s="13"/>
      <c r="X1207" s="13"/>
      <c r="Y1207" s="13"/>
      <c r="Z1207" s="13"/>
      <c r="AA1207" s="13"/>
      <c r="AB1207" s="15"/>
      <c r="AC1207" s="15"/>
      <c r="AD1207" s="15"/>
      <c r="AE1207" s="13"/>
      <c r="AF1207" s="13"/>
      <c r="AG1207" s="13"/>
      <c r="AH1207" s="15"/>
      <c r="AI1207" s="13"/>
      <c r="AJ1207" s="13"/>
      <c r="AK1207" s="13"/>
      <c r="AL1207" s="13"/>
      <c r="AM1207" s="15"/>
      <c r="AN1207" s="13"/>
      <c r="AO1207" s="15"/>
      <c r="AP1207" s="15"/>
      <c r="AQ1207" s="13"/>
      <c r="AR1207" s="13"/>
      <c r="AS1207" s="13"/>
      <c r="AT1207" s="13"/>
      <c r="AU1207" s="13"/>
      <c r="AV1207" s="13"/>
      <c r="AW1207" s="13"/>
      <c r="AX1207" s="13"/>
      <c r="AY1207" s="15"/>
      <c r="AZ1207" s="15"/>
      <c r="BA1207" s="16"/>
      <c r="BB1207" s="15"/>
      <c r="BC1207" s="15"/>
      <c r="BD1207" s="13"/>
      <c r="BE1207" s="13"/>
      <c r="BF1207" s="13"/>
      <c r="BG1207" s="13"/>
      <c r="BH1207" s="13"/>
      <c r="BI1207" s="13"/>
      <c r="BJ1207" s="13"/>
      <c r="BK1207" s="13"/>
      <c r="BL1207" s="13"/>
      <c r="BM1207" s="13"/>
      <c r="BN1207" s="13"/>
      <c r="BO1207" s="13"/>
      <c r="BP1207" s="13"/>
      <c r="BQ1207" s="15"/>
      <c r="BR1207" s="15"/>
      <c r="BS1207" s="15"/>
      <c r="BT1207" s="15"/>
      <c r="BU1207" s="15"/>
      <c r="BV1207" s="15"/>
      <c r="BW1207" s="15"/>
      <c r="BX1207" s="15"/>
      <c r="BY1207" s="15"/>
      <c r="BZ1207" s="15"/>
      <c r="CA1207" s="15"/>
      <c r="CB1207" s="17"/>
      <c r="CC1207" s="17"/>
      <c r="CD1207" s="18"/>
      <c r="CE1207" s="18"/>
      <c r="CF1207" s="18"/>
      <c r="CG1207" s="18"/>
      <c r="CH1207" s="18"/>
    </row>
    <row r="1208">
      <c r="A1208" s="15"/>
      <c r="B1208" s="16"/>
      <c r="C1208" s="15"/>
      <c r="D1208" s="9"/>
      <c r="E1208" s="15"/>
      <c r="F1208" s="15"/>
      <c r="G1208" s="13"/>
      <c r="H1208" s="13"/>
      <c r="I1208" s="13"/>
      <c r="J1208" s="13"/>
      <c r="K1208" s="13"/>
      <c r="L1208" s="13"/>
      <c r="M1208" s="13"/>
      <c r="N1208" s="13"/>
      <c r="O1208" s="13"/>
      <c r="P1208" s="13"/>
      <c r="Q1208" s="13"/>
      <c r="R1208" s="13"/>
      <c r="S1208" s="13"/>
      <c r="T1208" s="13"/>
      <c r="U1208" s="13"/>
      <c r="V1208" s="13"/>
      <c r="W1208" s="13"/>
      <c r="X1208" s="13"/>
      <c r="Y1208" s="13"/>
      <c r="Z1208" s="13"/>
      <c r="AA1208" s="13"/>
      <c r="AB1208" s="15"/>
      <c r="AC1208" s="15"/>
      <c r="AD1208" s="15"/>
      <c r="AE1208" s="13"/>
      <c r="AF1208" s="13"/>
      <c r="AG1208" s="13"/>
      <c r="AH1208" s="15"/>
      <c r="AI1208" s="13"/>
      <c r="AJ1208" s="13"/>
      <c r="AK1208" s="13"/>
      <c r="AL1208" s="13"/>
      <c r="AM1208" s="15"/>
      <c r="AN1208" s="13"/>
      <c r="AO1208" s="15"/>
      <c r="AP1208" s="15"/>
      <c r="AQ1208" s="13"/>
      <c r="AR1208" s="13"/>
      <c r="AS1208" s="13"/>
      <c r="AT1208" s="13"/>
      <c r="AU1208" s="13"/>
      <c r="AV1208" s="13"/>
      <c r="AW1208" s="13"/>
      <c r="AX1208" s="13"/>
      <c r="AY1208" s="15"/>
      <c r="AZ1208" s="15"/>
      <c r="BA1208" s="16"/>
      <c r="BB1208" s="15"/>
      <c r="BC1208" s="15"/>
      <c r="BD1208" s="13"/>
      <c r="BE1208" s="13"/>
      <c r="BF1208" s="13"/>
      <c r="BG1208" s="13"/>
      <c r="BH1208" s="13"/>
      <c r="BI1208" s="13"/>
      <c r="BJ1208" s="13"/>
      <c r="BK1208" s="13"/>
      <c r="BL1208" s="13"/>
      <c r="BM1208" s="13"/>
      <c r="BN1208" s="13"/>
      <c r="BO1208" s="13"/>
      <c r="BP1208" s="13"/>
      <c r="BQ1208" s="15"/>
      <c r="BR1208" s="15"/>
      <c r="BS1208" s="15"/>
      <c r="BT1208" s="15"/>
      <c r="BU1208" s="15"/>
      <c r="BV1208" s="15"/>
      <c r="BW1208" s="15"/>
      <c r="BX1208" s="15"/>
      <c r="BY1208" s="15"/>
      <c r="BZ1208" s="15"/>
      <c r="CA1208" s="15"/>
      <c r="CB1208" s="17"/>
      <c r="CC1208" s="17"/>
      <c r="CD1208" s="18"/>
      <c r="CE1208" s="18"/>
      <c r="CF1208" s="18"/>
      <c r="CG1208" s="18"/>
      <c r="CH1208" s="18"/>
    </row>
    <row r="1209">
      <c r="A1209" s="15"/>
      <c r="B1209" s="16"/>
      <c r="C1209" s="15"/>
      <c r="D1209" s="9"/>
      <c r="E1209" s="15"/>
      <c r="F1209" s="15"/>
      <c r="G1209" s="13"/>
      <c r="H1209" s="13"/>
      <c r="I1209" s="13"/>
      <c r="J1209" s="13"/>
      <c r="K1209" s="13"/>
      <c r="L1209" s="13"/>
      <c r="M1209" s="13"/>
      <c r="N1209" s="13"/>
      <c r="O1209" s="13"/>
      <c r="P1209" s="13"/>
      <c r="Q1209" s="13"/>
      <c r="R1209" s="13"/>
      <c r="S1209" s="13"/>
      <c r="T1209" s="13"/>
      <c r="U1209" s="13"/>
      <c r="V1209" s="13"/>
      <c r="W1209" s="13"/>
      <c r="X1209" s="13"/>
      <c r="Y1209" s="13"/>
      <c r="Z1209" s="13"/>
      <c r="AA1209" s="13"/>
      <c r="AB1209" s="15"/>
      <c r="AC1209" s="15"/>
      <c r="AD1209" s="15"/>
      <c r="AE1209" s="13"/>
      <c r="AF1209" s="13"/>
      <c r="AG1209" s="13"/>
      <c r="AH1209" s="15"/>
      <c r="AI1209" s="13"/>
      <c r="AJ1209" s="13"/>
      <c r="AK1209" s="13"/>
      <c r="AL1209" s="13"/>
      <c r="AM1209" s="15"/>
      <c r="AN1209" s="13"/>
      <c r="AO1209" s="15"/>
      <c r="AP1209" s="15"/>
      <c r="AQ1209" s="13"/>
      <c r="AR1209" s="13"/>
      <c r="AS1209" s="13"/>
      <c r="AT1209" s="13"/>
      <c r="AU1209" s="13"/>
      <c r="AV1209" s="13"/>
      <c r="AW1209" s="13"/>
      <c r="AX1209" s="13"/>
      <c r="AY1209" s="15"/>
      <c r="AZ1209" s="15"/>
      <c r="BA1209" s="16"/>
      <c r="BB1209" s="15"/>
      <c r="BC1209" s="15"/>
      <c r="BD1209" s="13"/>
      <c r="BE1209" s="13"/>
      <c r="BF1209" s="13"/>
      <c r="BG1209" s="13"/>
      <c r="BH1209" s="13"/>
      <c r="BI1209" s="13"/>
      <c r="BJ1209" s="13"/>
      <c r="BK1209" s="13"/>
      <c r="BL1209" s="13"/>
      <c r="BM1209" s="13"/>
      <c r="BN1209" s="13"/>
      <c r="BO1209" s="13"/>
      <c r="BP1209" s="13"/>
      <c r="BQ1209" s="15"/>
      <c r="BR1209" s="15"/>
      <c r="BS1209" s="15"/>
      <c r="BT1209" s="15"/>
      <c r="BU1209" s="15"/>
      <c r="BV1209" s="15"/>
      <c r="BW1209" s="15"/>
      <c r="BX1209" s="15"/>
      <c r="BY1209" s="15"/>
      <c r="BZ1209" s="15"/>
      <c r="CA1209" s="15"/>
      <c r="CB1209" s="17"/>
      <c r="CC1209" s="17"/>
      <c r="CD1209" s="18"/>
      <c r="CE1209" s="18"/>
      <c r="CF1209" s="18"/>
      <c r="CG1209" s="18"/>
      <c r="CH1209" s="18"/>
    </row>
    <row r="1210">
      <c r="A1210" s="15"/>
      <c r="B1210" s="16"/>
      <c r="C1210" s="15"/>
      <c r="D1210" s="9"/>
      <c r="E1210" s="15"/>
      <c r="F1210" s="15"/>
      <c r="G1210" s="13"/>
      <c r="H1210" s="13"/>
      <c r="I1210" s="13"/>
      <c r="J1210" s="13"/>
      <c r="K1210" s="13"/>
      <c r="L1210" s="13"/>
      <c r="M1210" s="13"/>
      <c r="N1210" s="13"/>
      <c r="O1210" s="13"/>
      <c r="P1210" s="13"/>
      <c r="Q1210" s="13"/>
      <c r="R1210" s="13"/>
      <c r="S1210" s="13"/>
      <c r="T1210" s="13"/>
      <c r="U1210" s="13"/>
      <c r="V1210" s="13"/>
      <c r="W1210" s="13"/>
      <c r="X1210" s="13"/>
      <c r="Y1210" s="13"/>
      <c r="Z1210" s="13"/>
      <c r="AA1210" s="13"/>
      <c r="AB1210" s="15"/>
      <c r="AC1210" s="15"/>
      <c r="AD1210" s="15"/>
      <c r="AE1210" s="13"/>
      <c r="AF1210" s="13"/>
      <c r="AG1210" s="13"/>
      <c r="AH1210" s="15"/>
      <c r="AI1210" s="13"/>
      <c r="AJ1210" s="13"/>
      <c r="AK1210" s="13"/>
      <c r="AL1210" s="13"/>
      <c r="AM1210" s="15"/>
      <c r="AN1210" s="13"/>
      <c r="AO1210" s="15"/>
      <c r="AP1210" s="15"/>
      <c r="AQ1210" s="13"/>
      <c r="AR1210" s="13"/>
      <c r="AS1210" s="13"/>
      <c r="AT1210" s="13"/>
      <c r="AU1210" s="13"/>
      <c r="AV1210" s="13"/>
      <c r="AW1210" s="13"/>
      <c r="AX1210" s="13"/>
      <c r="AY1210" s="15"/>
      <c r="AZ1210" s="15"/>
      <c r="BA1210" s="16"/>
      <c r="BB1210" s="15"/>
      <c r="BC1210" s="15"/>
      <c r="BD1210" s="13"/>
      <c r="BE1210" s="13"/>
      <c r="BF1210" s="13"/>
      <c r="BG1210" s="13"/>
      <c r="BH1210" s="13"/>
      <c r="BI1210" s="13"/>
      <c r="BJ1210" s="13"/>
      <c r="BK1210" s="13"/>
      <c r="BL1210" s="13"/>
      <c r="BM1210" s="13"/>
      <c r="BN1210" s="13"/>
      <c r="BO1210" s="13"/>
      <c r="BP1210" s="13"/>
      <c r="BQ1210" s="15"/>
      <c r="BR1210" s="15"/>
      <c r="BS1210" s="15"/>
      <c r="BT1210" s="15"/>
      <c r="BU1210" s="15"/>
      <c r="BV1210" s="15"/>
      <c r="BW1210" s="15"/>
      <c r="BX1210" s="15"/>
      <c r="BY1210" s="15"/>
      <c r="BZ1210" s="15"/>
      <c r="CA1210" s="15"/>
      <c r="CB1210" s="17"/>
      <c r="CC1210" s="17"/>
      <c r="CD1210" s="18"/>
      <c r="CE1210" s="18"/>
      <c r="CF1210" s="18"/>
      <c r="CG1210" s="18"/>
      <c r="CH1210" s="18"/>
    </row>
    <row r="1211">
      <c r="A1211" s="15"/>
      <c r="B1211" s="16"/>
      <c r="C1211" s="15"/>
      <c r="D1211" s="9"/>
      <c r="E1211" s="15"/>
      <c r="F1211" s="15"/>
      <c r="G1211" s="13"/>
      <c r="H1211" s="13"/>
      <c r="I1211" s="13"/>
      <c r="J1211" s="13"/>
      <c r="K1211" s="13"/>
      <c r="L1211" s="13"/>
      <c r="M1211" s="13"/>
      <c r="N1211" s="13"/>
      <c r="O1211" s="13"/>
      <c r="P1211" s="13"/>
      <c r="Q1211" s="13"/>
      <c r="R1211" s="13"/>
      <c r="S1211" s="13"/>
      <c r="T1211" s="13"/>
      <c r="U1211" s="13"/>
      <c r="V1211" s="13"/>
      <c r="W1211" s="13"/>
      <c r="X1211" s="13"/>
      <c r="Y1211" s="13"/>
      <c r="Z1211" s="13"/>
      <c r="AA1211" s="13"/>
      <c r="AB1211" s="15"/>
      <c r="AC1211" s="15"/>
      <c r="AD1211" s="15"/>
      <c r="AE1211" s="13"/>
      <c r="AF1211" s="13"/>
      <c r="AG1211" s="13"/>
      <c r="AH1211" s="15"/>
      <c r="AI1211" s="13"/>
      <c r="AJ1211" s="13"/>
      <c r="AK1211" s="13"/>
      <c r="AL1211" s="13"/>
      <c r="AM1211" s="15"/>
      <c r="AN1211" s="13"/>
      <c r="AO1211" s="15"/>
      <c r="AP1211" s="15"/>
      <c r="AQ1211" s="13"/>
      <c r="AR1211" s="13"/>
      <c r="AS1211" s="13"/>
      <c r="AT1211" s="13"/>
      <c r="AU1211" s="13"/>
      <c r="AV1211" s="13"/>
      <c r="AW1211" s="13"/>
      <c r="AX1211" s="13"/>
      <c r="AY1211" s="15"/>
      <c r="AZ1211" s="15"/>
      <c r="BA1211" s="16"/>
      <c r="BB1211" s="15"/>
      <c r="BC1211" s="15"/>
      <c r="BD1211" s="13"/>
      <c r="BE1211" s="13"/>
      <c r="BF1211" s="13"/>
      <c r="BG1211" s="13"/>
      <c r="BH1211" s="13"/>
      <c r="BI1211" s="13"/>
      <c r="BJ1211" s="13"/>
      <c r="BK1211" s="13"/>
      <c r="BL1211" s="13"/>
      <c r="BM1211" s="13"/>
      <c r="BN1211" s="13"/>
      <c r="BO1211" s="13"/>
      <c r="BP1211" s="13"/>
      <c r="BQ1211" s="15"/>
      <c r="BR1211" s="15"/>
      <c r="BS1211" s="15"/>
      <c r="BT1211" s="15"/>
      <c r="BU1211" s="15"/>
      <c r="BV1211" s="15"/>
      <c r="BW1211" s="15"/>
      <c r="BX1211" s="15"/>
      <c r="BY1211" s="15"/>
      <c r="BZ1211" s="15"/>
      <c r="CA1211" s="15"/>
      <c r="CB1211" s="17"/>
      <c r="CC1211" s="17"/>
      <c r="CD1211" s="18"/>
      <c r="CE1211" s="18"/>
      <c r="CF1211" s="18"/>
      <c r="CG1211" s="18"/>
      <c r="CH1211" s="18"/>
    </row>
    <row r="1212">
      <c r="A1212" s="15"/>
      <c r="B1212" s="16"/>
      <c r="C1212" s="15"/>
      <c r="D1212" s="9"/>
      <c r="E1212" s="15"/>
      <c r="F1212" s="15"/>
      <c r="G1212" s="13"/>
      <c r="H1212" s="13"/>
      <c r="I1212" s="13"/>
      <c r="J1212" s="13"/>
      <c r="K1212" s="13"/>
      <c r="L1212" s="13"/>
      <c r="M1212" s="13"/>
      <c r="N1212" s="13"/>
      <c r="O1212" s="13"/>
      <c r="P1212" s="13"/>
      <c r="Q1212" s="13"/>
      <c r="R1212" s="13"/>
      <c r="S1212" s="13"/>
      <c r="T1212" s="13"/>
      <c r="U1212" s="13"/>
      <c r="V1212" s="13"/>
      <c r="W1212" s="13"/>
      <c r="X1212" s="13"/>
      <c r="Y1212" s="13"/>
      <c r="Z1212" s="13"/>
      <c r="AA1212" s="13"/>
      <c r="AB1212" s="15"/>
      <c r="AC1212" s="15"/>
      <c r="AD1212" s="15"/>
      <c r="AE1212" s="13"/>
      <c r="AF1212" s="13"/>
      <c r="AG1212" s="13"/>
      <c r="AH1212" s="15"/>
      <c r="AI1212" s="13"/>
      <c r="AJ1212" s="13"/>
      <c r="AK1212" s="13"/>
      <c r="AL1212" s="13"/>
      <c r="AM1212" s="15"/>
      <c r="AN1212" s="13"/>
      <c r="AO1212" s="15"/>
      <c r="AP1212" s="15"/>
      <c r="AQ1212" s="13"/>
      <c r="AR1212" s="13"/>
      <c r="AS1212" s="13"/>
      <c r="AT1212" s="13"/>
      <c r="AU1212" s="13"/>
      <c r="AV1212" s="13"/>
      <c r="AW1212" s="13"/>
      <c r="AX1212" s="13"/>
      <c r="AY1212" s="15"/>
      <c r="AZ1212" s="15"/>
      <c r="BA1212" s="16"/>
      <c r="BB1212" s="15"/>
      <c r="BC1212" s="15"/>
      <c r="BD1212" s="13"/>
      <c r="BE1212" s="13"/>
      <c r="BF1212" s="13"/>
      <c r="BG1212" s="13"/>
      <c r="BH1212" s="13"/>
      <c r="BI1212" s="13"/>
      <c r="BJ1212" s="13"/>
      <c r="BK1212" s="13"/>
      <c r="BL1212" s="13"/>
      <c r="BM1212" s="13"/>
      <c r="BN1212" s="13"/>
      <c r="BO1212" s="13"/>
      <c r="BP1212" s="13"/>
      <c r="BQ1212" s="15"/>
      <c r="BR1212" s="15"/>
      <c r="BS1212" s="15"/>
      <c r="BT1212" s="15"/>
      <c r="BU1212" s="15"/>
      <c r="BV1212" s="15"/>
      <c r="BW1212" s="15"/>
      <c r="BX1212" s="15"/>
      <c r="BY1212" s="15"/>
      <c r="BZ1212" s="15"/>
      <c r="CA1212" s="15"/>
      <c r="CB1212" s="17"/>
      <c r="CC1212" s="17"/>
      <c r="CD1212" s="18"/>
      <c r="CE1212" s="18"/>
      <c r="CF1212" s="18"/>
      <c r="CG1212" s="18"/>
      <c r="CH1212" s="18"/>
    </row>
    <row r="1213">
      <c r="A1213" s="15"/>
      <c r="B1213" s="16"/>
      <c r="C1213" s="15"/>
      <c r="D1213" s="9"/>
      <c r="E1213" s="15"/>
      <c r="F1213" s="15"/>
      <c r="G1213" s="13"/>
      <c r="H1213" s="13"/>
      <c r="I1213" s="13"/>
      <c r="J1213" s="13"/>
      <c r="K1213" s="13"/>
      <c r="L1213" s="13"/>
      <c r="M1213" s="13"/>
      <c r="N1213" s="13"/>
      <c r="O1213" s="13"/>
      <c r="P1213" s="13"/>
      <c r="Q1213" s="13"/>
      <c r="R1213" s="13"/>
      <c r="S1213" s="13"/>
      <c r="T1213" s="13"/>
      <c r="U1213" s="13"/>
      <c r="V1213" s="13"/>
      <c r="W1213" s="13"/>
      <c r="X1213" s="13"/>
      <c r="Y1213" s="13"/>
      <c r="Z1213" s="13"/>
      <c r="AA1213" s="13"/>
      <c r="AB1213" s="15"/>
      <c r="AC1213" s="15"/>
      <c r="AD1213" s="15"/>
      <c r="AE1213" s="13"/>
      <c r="AF1213" s="13"/>
      <c r="AG1213" s="13"/>
      <c r="AH1213" s="15"/>
      <c r="AI1213" s="13"/>
      <c r="AJ1213" s="13"/>
      <c r="AK1213" s="13"/>
      <c r="AL1213" s="13"/>
      <c r="AM1213" s="15"/>
      <c r="AN1213" s="13"/>
      <c r="AO1213" s="15"/>
      <c r="AP1213" s="15"/>
      <c r="AQ1213" s="13"/>
      <c r="AR1213" s="13"/>
      <c r="AS1213" s="13"/>
      <c r="AT1213" s="13"/>
      <c r="AU1213" s="13"/>
      <c r="AV1213" s="13"/>
      <c r="AW1213" s="13"/>
      <c r="AX1213" s="13"/>
      <c r="AY1213" s="15"/>
      <c r="AZ1213" s="15"/>
      <c r="BA1213" s="16"/>
      <c r="BB1213" s="15"/>
      <c r="BC1213" s="15"/>
      <c r="BD1213" s="13"/>
      <c r="BE1213" s="13"/>
      <c r="BF1213" s="13"/>
      <c r="BG1213" s="13"/>
      <c r="BH1213" s="13"/>
      <c r="BI1213" s="13"/>
      <c r="BJ1213" s="13"/>
      <c r="BK1213" s="13"/>
      <c r="BL1213" s="13"/>
      <c r="BM1213" s="13"/>
      <c r="BN1213" s="13"/>
      <c r="BO1213" s="13"/>
      <c r="BP1213" s="13"/>
      <c r="BQ1213" s="15"/>
      <c r="BR1213" s="15"/>
      <c r="BS1213" s="15"/>
      <c r="BT1213" s="15"/>
      <c r="BU1213" s="15"/>
      <c r="BV1213" s="15"/>
      <c r="BW1213" s="15"/>
      <c r="BX1213" s="15"/>
      <c r="BY1213" s="15"/>
      <c r="BZ1213" s="15"/>
      <c r="CA1213" s="15"/>
      <c r="CB1213" s="17"/>
      <c r="CC1213" s="17"/>
      <c r="CD1213" s="18"/>
      <c r="CE1213" s="18"/>
      <c r="CF1213" s="18"/>
      <c r="CG1213" s="18"/>
      <c r="CH1213" s="18"/>
    </row>
    <row r="1214">
      <c r="A1214" s="15"/>
      <c r="B1214" s="16"/>
      <c r="C1214" s="15"/>
      <c r="D1214" s="9"/>
      <c r="E1214" s="15"/>
      <c r="F1214" s="15"/>
      <c r="G1214" s="13"/>
      <c r="H1214" s="13"/>
      <c r="I1214" s="13"/>
      <c r="J1214" s="13"/>
      <c r="K1214" s="13"/>
      <c r="L1214" s="13"/>
      <c r="M1214" s="13"/>
      <c r="N1214" s="13"/>
      <c r="O1214" s="13"/>
      <c r="P1214" s="13"/>
      <c r="Q1214" s="13"/>
      <c r="R1214" s="13"/>
      <c r="S1214" s="13"/>
      <c r="T1214" s="13"/>
      <c r="U1214" s="13"/>
      <c r="V1214" s="13"/>
      <c r="W1214" s="13"/>
      <c r="X1214" s="13"/>
      <c r="Y1214" s="13"/>
      <c r="Z1214" s="13"/>
      <c r="AA1214" s="13"/>
      <c r="AB1214" s="15"/>
      <c r="AC1214" s="15"/>
      <c r="AD1214" s="15"/>
      <c r="AE1214" s="13"/>
      <c r="AF1214" s="13"/>
      <c r="AG1214" s="13"/>
      <c r="AH1214" s="15"/>
      <c r="AI1214" s="13"/>
      <c r="AJ1214" s="13"/>
      <c r="AK1214" s="13"/>
      <c r="AL1214" s="13"/>
      <c r="AM1214" s="15"/>
      <c r="AN1214" s="13"/>
      <c r="AO1214" s="15"/>
      <c r="AP1214" s="15"/>
      <c r="AQ1214" s="13"/>
      <c r="AR1214" s="13"/>
      <c r="AS1214" s="13"/>
      <c r="AT1214" s="13"/>
      <c r="AU1214" s="13"/>
      <c r="AV1214" s="13"/>
      <c r="AW1214" s="13"/>
      <c r="AX1214" s="13"/>
      <c r="AY1214" s="15"/>
      <c r="AZ1214" s="15"/>
      <c r="BA1214" s="16"/>
      <c r="BB1214" s="15"/>
      <c r="BC1214" s="15"/>
      <c r="BD1214" s="13"/>
      <c r="BE1214" s="13"/>
      <c r="BF1214" s="13"/>
      <c r="BG1214" s="13"/>
      <c r="BH1214" s="13"/>
      <c r="BI1214" s="13"/>
      <c r="BJ1214" s="13"/>
      <c r="BK1214" s="13"/>
      <c r="BL1214" s="13"/>
      <c r="BM1214" s="13"/>
      <c r="BN1214" s="13"/>
      <c r="BO1214" s="13"/>
      <c r="BP1214" s="13"/>
      <c r="BQ1214" s="15"/>
      <c r="BR1214" s="15"/>
      <c r="BS1214" s="15"/>
      <c r="BT1214" s="15"/>
      <c r="BU1214" s="15"/>
      <c r="BV1214" s="15"/>
      <c r="BW1214" s="15"/>
      <c r="BX1214" s="15"/>
      <c r="BY1214" s="15"/>
      <c r="BZ1214" s="15"/>
      <c r="CA1214" s="15"/>
      <c r="CB1214" s="17"/>
      <c r="CC1214" s="17"/>
      <c r="CD1214" s="18"/>
      <c r="CE1214" s="18"/>
      <c r="CF1214" s="18"/>
      <c r="CG1214" s="18"/>
      <c r="CH1214" s="18"/>
    </row>
    <row r="1215">
      <c r="A1215" s="15"/>
      <c r="B1215" s="16"/>
      <c r="C1215" s="15"/>
      <c r="D1215" s="9"/>
      <c r="E1215" s="15"/>
      <c r="F1215" s="15"/>
      <c r="G1215" s="13"/>
      <c r="H1215" s="13"/>
      <c r="I1215" s="13"/>
      <c r="J1215" s="13"/>
      <c r="K1215" s="13"/>
      <c r="L1215" s="13"/>
      <c r="M1215" s="13"/>
      <c r="N1215" s="13"/>
      <c r="O1215" s="13"/>
      <c r="P1215" s="13"/>
      <c r="Q1215" s="13"/>
      <c r="R1215" s="13"/>
      <c r="S1215" s="13"/>
      <c r="T1215" s="13"/>
      <c r="U1215" s="13"/>
      <c r="V1215" s="13"/>
      <c r="W1215" s="13"/>
      <c r="X1215" s="13"/>
      <c r="Y1215" s="13"/>
      <c r="Z1215" s="13"/>
      <c r="AA1215" s="13"/>
      <c r="AB1215" s="15"/>
      <c r="AC1215" s="15"/>
      <c r="AD1215" s="15"/>
      <c r="AE1215" s="13"/>
      <c r="AF1215" s="13"/>
      <c r="AG1215" s="13"/>
      <c r="AH1215" s="15"/>
      <c r="AI1215" s="13"/>
      <c r="AJ1215" s="13"/>
      <c r="AK1215" s="13"/>
      <c r="AL1215" s="13"/>
      <c r="AM1215" s="15"/>
      <c r="AN1215" s="13"/>
      <c r="AO1215" s="15"/>
      <c r="AP1215" s="15"/>
      <c r="AQ1215" s="13"/>
      <c r="AR1215" s="13"/>
      <c r="AS1215" s="13"/>
      <c r="AT1215" s="13"/>
      <c r="AU1215" s="13"/>
      <c r="AV1215" s="13"/>
      <c r="AW1215" s="13"/>
      <c r="AX1215" s="13"/>
      <c r="AY1215" s="15"/>
      <c r="AZ1215" s="15"/>
      <c r="BA1215" s="16"/>
      <c r="BB1215" s="15"/>
      <c r="BC1215" s="15"/>
      <c r="BD1215" s="13"/>
      <c r="BE1215" s="13"/>
      <c r="BF1215" s="13"/>
      <c r="BG1215" s="13"/>
      <c r="BH1215" s="13"/>
      <c r="BI1215" s="13"/>
      <c r="BJ1215" s="13"/>
      <c r="BK1215" s="13"/>
      <c r="BL1215" s="13"/>
      <c r="BM1215" s="13"/>
      <c r="BN1215" s="13"/>
      <c r="BO1215" s="13"/>
      <c r="BP1215" s="13"/>
      <c r="BQ1215" s="15"/>
      <c r="BR1215" s="15"/>
      <c r="BS1215" s="15"/>
      <c r="BT1215" s="15"/>
      <c r="BU1215" s="15"/>
      <c r="BV1215" s="15"/>
      <c r="BW1215" s="15"/>
      <c r="BX1215" s="15"/>
      <c r="BY1215" s="15"/>
      <c r="BZ1215" s="15"/>
      <c r="CA1215" s="15"/>
      <c r="CB1215" s="17"/>
      <c r="CC1215" s="17"/>
      <c r="CD1215" s="18"/>
      <c r="CE1215" s="18"/>
      <c r="CF1215" s="18"/>
      <c r="CG1215" s="18"/>
      <c r="CH1215" s="18"/>
    </row>
    <row r="1216">
      <c r="A1216" s="15"/>
      <c r="B1216" s="16"/>
      <c r="C1216" s="15"/>
      <c r="D1216" s="9"/>
      <c r="E1216" s="15"/>
      <c r="F1216" s="15"/>
      <c r="G1216" s="13"/>
      <c r="H1216" s="13"/>
      <c r="I1216" s="13"/>
      <c r="J1216" s="13"/>
      <c r="K1216" s="13"/>
      <c r="L1216" s="13"/>
      <c r="M1216" s="13"/>
      <c r="N1216" s="13"/>
      <c r="O1216" s="13"/>
      <c r="P1216" s="13"/>
      <c r="Q1216" s="13"/>
      <c r="R1216" s="13"/>
      <c r="S1216" s="13"/>
      <c r="T1216" s="13"/>
      <c r="U1216" s="13"/>
      <c r="V1216" s="13"/>
      <c r="W1216" s="13"/>
      <c r="X1216" s="13"/>
      <c r="Y1216" s="13"/>
      <c r="Z1216" s="13"/>
      <c r="AA1216" s="13"/>
      <c r="AB1216" s="15"/>
      <c r="AC1216" s="15"/>
      <c r="AD1216" s="15"/>
      <c r="AE1216" s="13"/>
      <c r="AF1216" s="13"/>
      <c r="AG1216" s="13"/>
      <c r="AH1216" s="15"/>
      <c r="AI1216" s="13"/>
      <c r="AJ1216" s="13"/>
      <c r="AK1216" s="13"/>
      <c r="AL1216" s="13"/>
      <c r="AM1216" s="15"/>
      <c r="AN1216" s="13"/>
      <c r="AO1216" s="15"/>
      <c r="AP1216" s="15"/>
      <c r="AQ1216" s="13"/>
      <c r="AR1216" s="13"/>
      <c r="AS1216" s="13"/>
      <c r="AT1216" s="13"/>
      <c r="AU1216" s="13"/>
      <c r="AV1216" s="13"/>
      <c r="AW1216" s="13"/>
      <c r="AX1216" s="13"/>
      <c r="AY1216" s="15"/>
      <c r="AZ1216" s="15"/>
      <c r="BA1216" s="16"/>
      <c r="BB1216" s="15"/>
      <c r="BC1216" s="15"/>
      <c r="BD1216" s="13"/>
      <c r="BE1216" s="13"/>
      <c r="BF1216" s="13"/>
      <c r="BG1216" s="13"/>
      <c r="BH1216" s="13"/>
      <c r="BI1216" s="13"/>
      <c r="BJ1216" s="13"/>
      <c r="BK1216" s="13"/>
      <c r="BL1216" s="13"/>
      <c r="BM1216" s="13"/>
      <c r="BN1216" s="13"/>
      <c r="BO1216" s="13"/>
      <c r="BP1216" s="13"/>
      <c r="BQ1216" s="15"/>
      <c r="BR1216" s="15"/>
      <c r="BS1216" s="15"/>
      <c r="BT1216" s="15"/>
      <c r="BU1216" s="15"/>
      <c r="BV1216" s="15"/>
      <c r="BW1216" s="15"/>
      <c r="BX1216" s="15"/>
      <c r="BY1216" s="15"/>
      <c r="BZ1216" s="15"/>
      <c r="CA1216" s="15"/>
      <c r="CB1216" s="17"/>
      <c r="CC1216" s="17"/>
      <c r="CD1216" s="18"/>
      <c r="CE1216" s="18"/>
      <c r="CF1216" s="18"/>
      <c r="CG1216" s="18"/>
      <c r="CH1216" s="18"/>
    </row>
    <row r="1217">
      <c r="A1217" s="15"/>
      <c r="B1217" s="16"/>
      <c r="C1217" s="15"/>
      <c r="D1217" s="9"/>
      <c r="E1217" s="15"/>
      <c r="F1217" s="15"/>
      <c r="G1217" s="13"/>
      <c r="H1217" s="13"/>
      <c r="I1217" s="13"/>
      <c r="J1217" s="13"/>
      <c r="K1217" s="13"/>
      <c r="L1217" s="13"/>
      <c r="M1217" s="13"/>
      <c r="N1217" s="13"/>
      <c r="O1217" s="13"/>
      <c r="P1217" s="13"/>
      <c r="Q1217" s="13"/>
      <c r="R1217" s="13"/>
      <c r="S1217" s="13"/>
      <c r="T1217" s="13"/>
      <c r="U1217" s="13"/>
      <c r="V1217" s="13"/>
      <c r="W1217" s="13"/>
      <c r="X1217" s="13"/>
      <c r="Y1217" s="13"/>
      <c r="Z1217" s="13"/>
      <c r="AA1217" s="13"/>
      <c r="AB1217" s="15"/>
      <c r="AC1217" s="15"/>
      <c r="AD1217" s="15"/>
      <c r="AE1217" s="13"/>
      <c r="AF1217" s="13"/>
      <c r="AG1217" s="13"/>
      <c r="AH1217" s="15"/>
      <c r="AI1217" s="13"/>
      <c r="AJ1217" s="13"/>
      <c r="AK1217" s="13"/>
      <c r="AL1217" s="13"/>
      <c r="AM1217" s="15"/>
      <c r="AN1217" s="13"/>
      <c r="AO1217" s="15"/>
      <c r="AP1217" s="15"/>
      <c r="AQ1217" s="13"/>
      <c r="AR1217" s="13"/>
      <c r="AS1217" s="13"/>
      <c r="AT1217" s="13"/>
      <c r="AU1217" s="13"/>
      <c r="AV1217" s="13"/>
      <c r="AW1217" s="13"/>
      <c r="AX1217" s="13"/>
      <c r="AY1217" s="15"/>
      <c r="AZ1217" s="15"/>
      <c r="BA1217" s="16"/>
      <c r="BB1217" s="15"/>
      <c r="BC1217" s="15"/>
      <c r="BD1217" s="13"/>
      <c r="BE1217" s="13"/>
      <c r="BF1217" s="13"/>
      <c r="BG1217" s="13"/>
      <c r="BH1217" s="13"/>
      <c r="BI1217" s="13"/>
      <c r="BJ1217" s="13"/>
      <c r="BK1217" s="13"/>
      <c r="BL1217" s="13"/>
      <c r="BM1217" s="13"/>
      <c r="BN1217" s="13"/>
      <c r="BO1217" s="13"/>
      <c r="BP1217" s="13"/>
      <c r="BQ1217" s="15"/>
      <c r="BR1217" s="15"/>
      <c r="BS1217" s="15"/>
      <c r="BT1217" s="15"/>
      <c r="BU1217" s="15"/>
      <c r="BV1217" s="15"/>
      <c r="BW1217" s="15"/>
      <c r="BX1217" s="15"/>
      <c r="BY1217" s="15"/>
      <c r="BZ1217" s="15"/>
      <c r="CA1217" s="15"/>
      <c r="CB1217" s="17"/>
      <c r="CC1217" s="17"/>
      <c r="CD1217" s="18"/>
      <c r="CE1217" s="18"/>
      <c r="CF1217" s="18"/>
      <c r="CG1217" s="18"/>
      <c r="CH1217" s="18"/>
    </row>
    <row r="1218">
      <c r="A1218" s="15"/>
      <c r="B1218" s="16"/>
      <c r="C1218" s="15"/>
      <c r="D1218" s="9"/>
      <c r="E1218" s="15"/>
      <c r="F1218" s="15"/>
      <c r="G1218" s="13"/>
      <c r="H1218" s="13"/>
      <c r="I1218" s="13"/>
      <c r="J1218" s="13"/>
      <c r="K1218" s="13"/>
      <c r="L1218" s="13"/>
      <c r="M1218" s="13"/>
      <c r="N1218" s="13"/>
      <c r="O1218" s="13"/>
      <c r="P1218" s="13"/>
      <c r="Q1218" s="13"/>
      <c r="R1218" s="13"/>
      <c r="S1218" s="13"/>
      <c r="T1218" s="13"/>
      <c r="U1218" s="13"/>
      <c r="V1218" s="13"/>
      <c r="W1218" s="13"/>
      <c r="X1218" s="13"/>
      <c r="Y1218" s="13"/>
      <c r="Z1218" s="13"/>
      <c r="AA1218" s="13"/>
      <c r="AB1218" s="15"/>
      <c r="AC1218" s="15"/>
      <c r="AD1218" s="15"/>
      <c r="AE1218" s="13"/>
      <c r="AF1218" s="13"/>
      <c r="AG1218" s="13"/>
      <c r="AH1218" s="15"/>
      <c r="AI1218" s="13"/>
      <c r="AJ1218" s="13"/>
      <c r="AK1218" s="13"/>
      <c r="AL1218" s="13"/>
      <c r="AM1218" s="15"/>
      <c r="AN1218" s="13"/>
      <c r="AO1218" s="15"/>
      <c r="AP1218" s="15"/>
      <c r="AQ1218" s="13"/>
      <c r="AR1218" s="13"/>
      <c r="AS1218" s="13"/>
      <c r="AT1218" s="13"/>
      <c r="AU1218" s="13"/>
      <c r="AV1218" s="13"/>
      <c r="AW1218" s="13"/>
      <c r="AX1218" s="13"/>
      <c r="AY1218" s="15"/>
      <c r="AZ1218" s="15"/>
      <c r="BA1218" s="16"/>
      <c r="BB1218" s="15"/>
      <c r="BC1218" s="15"/>
      <c r="BD1218" s="13"/>
      <c r="BE1218" s="13"/>
      <c r="BF1218" s="13"/>
      <c r="BG1218" s="13"/>
      <c r="BH1218" s="13"/>
      <c r="BI1218" s="13"/>
      <c r="BJ1218" s="13"/>
      <c r="BK1218" s="13"/>
      <c r="BL1218" s="13"/>
      <c r="BM1218" s="13"/>
      <c r="BN1218" s="13"/>
      <c r="BO1218" s="13"/>
      <c r="BP1218" s="13"/>
      <c r="BQ1218" s="15"/>
      <c r="BR1218" s="15"/>
      <c r="BS1218" s="15"/>
      <c r="BT1218" s="15"/>
      <c r="BU1218" s="15"/>
      <c r="BV1218" s="15"/>
      <c r="BW1218" s="15"/>
      <c r="BX1218" s="15"/>
      <c r="BY1218" s="15"/>
      <c r="BZ1218" s="15"/>
      <c r="CA1218" s="15"/>
      <c r="CB1218" s="17"/>
      <c r="CC1218" s="17"/>
      <c r="CD1218" s="18"/>
      <c r="CE1218" s="18"/>
      <c r="CF1218" s="18"/>
      <c r="CG1218" s="18"/>
      <c r="CH1218" s="18"/>
    </row>
    <row r="1219">
      <c r="A1219" s="15"/>
      <c r="B1219" s="16"/>
      <c r="C1219" s="15"/>
      <c r="D1219" s="9"/>
      <c r="E1219" s="15"/>
      <c r="F1219" s="15"/>
      <c r="G1219" s="13"/>
      <c r="H1219" s="13"/>
      <c r="I1219" s="13"/>
      <c r="J1219" s="13"/>
      <c r="K1219" s="13"/>
      <c r="L1219" s="13"/>
      <c r="M1219" s="13"/>
      <c r="N1219" s="13"/>
      <c r="O1219" s="13"/>
      <c r="P1219" s="13"/>
      <c r="Q1219" s="13"/>
      <c r="R1219" s="13"/>
      <c r="S1219" s="13"/>
      <c r="T1219" s="13"/>
      <c r="U1219" s="13"/>
      <c r="V1219" s="13"/>
      <c r="W1219" s="13"/>
      <c r="X1219" s="13"/>
      <c r="Y1219" s="13"/>
      <c r="Z1219" s="13"/>
      <c r="AA1219" s="13"/>
      <c r="AB1219" s="15"/>
      <c r="AC1219" s="15"/>
      <c r="AD1219" s="15"/>
      <c r="AE1219" s="13"/>
      <c r="AF1219" s="13"/>
      <c r="AG1219" s="13"/>
      <c r="AH1219" s="15"/>
      <c r="AI1219" s="13"/>
      <c r="AJ1219" s="13"/>
      <c r="AK1219" s="13"/>
      <c r="AL1219" s="13"/>
      <c r="AM1219" s="15"/>
      <c r="AN1219" s="13"/>
      <c r="AO1219" s="15"/>
      <c r="AP1219" s="15"/>
      <c r="AQ1219" s="13"/>
      <c r="AR1219" s="13"/>
      <c r="AS1219" s="13"/>
      <c r="AT1219" s="13"/>
      <c r="AU1219" s="13"/>
      <c r="AV1219" s="13"/>
      <c r="AW1219" s="13"/>
      <c r="AX1219" s="13"/>
      <c r="AY1219" s="15"/>
      <c r="AZ1219" s="15"/>
      <c r="BA1219" s="16"/>
      <c r="BB1219" s="15"/>
      <c r="BC1219" s="15"/>
      <c r="BD1219" s="13"/>
      <c r="BE1219" s="13"/>
      <c r="BF1219" s="13"/>
      <c r="BG1219" s="13"/>
      <c r="BH1219" s="13"/>
      <c r="BI1219" s="13"/>
      <c r="BJ1219" s="13"/>
      <c r="BK1219" s="13"/>
      <c r="BL1219" s="13"/>
      <c r="BM1219" s="13"/>
      <c r="BN1219" s="13"/>
      <c r="BO1219" s="13"/>
      <c r="BP1219" s="13"/>
      <c r="BQ1219" s="15"/>
      <c r="BR1219" s="15"/>
      <c r="BS1219" s="15"/>
      <c r="BT1219" s="15"/>
      <c r="BU1219" s="15"/>
      <c r="BV1219" s="15"/>
      <c r="BW1219" s="15"/>
      <c r="BX1219" s="15"/>
      <c r="BY1219" s="15"/>
      <c r="BZ1219" s="15"/>
      <c r="CA1219" s="15"/>
      <c r="CB1219" s="17"/>
      <c r="CC1219" s="17"/>
      <c r="CD1219" s="18"/>
      <c r="CE1219" s="18"/>
      <c r="CF1219" s="18"/>
      <c r="CG1219" s="18"/>
      <c r="CH1219" s="18"/>
    </row>
    <row r="1220">
      <c r="A1220" s="15"/>
      <c r="B1220" s="16"/>
      <c r="C1220" s="15"/>
      <c r="D1220" s="9"/>
      <c r="E1220" s="15"/>
      <c r="F1220" s="15"/>
      <c r="G1220" s="13"/>
      <c r="H1220" s="13"/>
      <c r="I1220" s="13"/>
      <c r="J1220" s="13"/>
      <c r="K1220" s="13"/>
      <c r="L1220" s="13"/>
      <c r="M1220" s="13"/>
      <c r="N1220" s="13"/>
      <c r="O1220" s="13"/>
      <c r="P1220" s="13"/>
      <c r="Q1220" s="13"/>
      <c r="R1220" s="13"/>
      <c r="S1220" s="13"/>
      <c r="T1220" s="13"/>
      <c r="U1220" s="13"/>
      <c r="V1220" s="13"/>
      <c r="W1220" s="13"/>
      <c r="X1220" s="13"/>
      <c r="Y1220" s="13"/>
      <c r="Z1220" s="13"/>
      <c r="AA1220" s="13"/>
      <c r="AB1220" s="15"/>
      <c r="AC1220" s="15"/>
      <c r="AD1220" s="15"/>
      <c r="AE1220" s="13"/>
      <c r="AF1220" s="13"/>
      <c r="AG1220" s="13"/>
      <c r="AH1220" s="15"/>
      <c r="AI1220" s="13"/>
      <c r="AJ1220" s="13"/>
      <c r="AK1220" s="13"/>
      <c r="AL1220" s="13"/>
      <c r="AM1220" s="15"/>
      <c r="AN1220" s="13"/>
      <c r="AO1220" s="15"/>
      <c r="AP1220" s="15"/>
      <c r="AQ1220" s="13"/>
      <c r="AR1220" s="13"/>
      <c r="AS1220" s="13"/>
      <c r="AT1220" s="13"/>
      <c r="AU1220" s="13"/>
      <c r="AV1220" s="13"/>
      <c r="AW1220" s="13"/>
      <c r="AX1220" s="13"/>
      <c r="AY1220" s="15"/>
      <c r="AZ1220" s="15"/>
      <c r="BA1220" s="16"/>
      <c r="BB1220" s="15"/>
      <c r="BC1220" s="15"/>
      <c r="BD1220" s="13"/>
      <c r="BE1220" s="13"/>
      <c r="BF1220" s="13"/>
      <c r="BG1220" s="13"/>
      <c r="BH1220" s="13"/>
      <c r="BI1220" s="13"/>
      <c r="BJ1220" s="13"/>
      <c r="BK1220" s="13"/>
      <c r="BL1220" s="13"/>
      <c r="BM1220" s="13"/>
      <c r="BN1220" s="13"/>
      <c r="BO1220" s="13"/>
      <c r="BP1220" s="13"/>
      <c r="BQ1220" s="15"/>
      <c r="BR1220" s="15"/>
      <c r="BS1220" s="15"/>
      <c r="BT1220" s="15"/>
      <c r="BU1220" s="15"/>
      <c r="BV1220" s="15"/>
      <c r="BW1220" s="15"/>
      <c r="BX1220" s="15"/>
      <c r="BY1220" s="15"/>
      <c r="BZ1220" s="15"/>
      <c r="CA1220" s="15"/>
      <c r="CB1220" s="17"/>
      <c r="CC1220" s="17"/>
      <c r="CD1220" s="18"/>
      <c r="CE1220" s="18"/>
      <c r="CF1220" s="18"/>
      <c r="CG1220" s="18"/>
      <c r="CH1220" s="18"/>
    </row>
    <row r="1221">
      <c r="A1221" s="15"/>
      <c r="B1221" s="16"/>
      <c r="C1221" s="15"/>
      <c r="D1221" s="9"/>
      <c r="E1221" s="15"/>
      <c r="F1221" s="15"/>
      <c r="G1221" s="13"/>
      <c r="H1221" s="13"/>
      <c r="I1221" s="13"/>
      <c r="J1221" s="13"/>
      <c r="K1221" s="13"/>
      <c r="L1221" s="13"/>
      <c r="M1221" s="13"/>
      <c r="N1221" s="13"/>
      <c r="O1221" s="13"/>
      <c r="P1221" s="13"/>
      <c r="Q1221" s="13"/>
      <c r="R1221" s="13"/>
      <c r="S1221" s="13"/>
      <c r="T1221" s="13"/>
      <c r="U1221" s="13"/>
      <c r="V1221" s="13"/>
      <c r="W1221" s="13"/>
      <c r="X1221" s="13"/>
      <c r="Y1221" s="13"/>
      <c r="Z1221" s="13"/>
      <c r="AA1221" s="13"/>
      <c r="AB1221" s="15"/>
      <c r="AC1221" s="15"/>
      <c r="AD1221" s="15"/>
      <c r="AE1221" s="13"/>
      <c r="AF1221" s="13"/>
      <c r="AG1221" s="13"/>
      <c r="AH1221" s="15"/>
      <c r="AI1221" s="13"/>
      <c r="AJ1221" s="13"/>
      <c r="AK1221" s="13"/>
      <c r="AL1221" s="13"/>
      <c r="AM1221" s="15"/>
      <c r="AN1221" s="13"/>
      <c r="AO1221" s="15"/>
      <c r="AP1221" s="15"/>
      <c r="AQ1221" s="13"/>
      <c r="AR1221" s="13"/>
      <c r="AS1221" s="13"/>
      <c r="AT1221" s="13"/>
      <c r="AU1221" s="13"/>
      <c r="AV1221" s="13"/>
      <c r="AW1221" s="13"/>
      <c r="AX1221" s="13"/>
      <c r="AY1221" s="15"/>
      <c r="AZ1221" s="15"/>
      <c r="BA1221" s="16"/>
      <c r="BB1221" s="15"/>
      <c r="BC1221" s="15"/>
      <c r="BD1221" s="13"/>
      <c r="BE1221" s="13"/>
      <c r="BF1221" s="13"/>
      <c r="BG1221" s="13"/>
      <c r="BH1221" s="13"/>
      <c r="BI1221" s="13"/>
      <c r="BJ1221" s="13"/>
      <c r="BK1221" s="13"/>
      <c r="BL1221" s="13"/>
      <c r="BM1221" s="13"/>
      <c r="BN1221" s="13"/>
      <c r="BO1221" s="13"/>
      <c r="BP1221" s="13"/>
      <c r="BQ1221" s="15"/>
      <c r="BR1221" s="15"/>
      <c r="BS1221" s="15"/>
      <c r="BT1221" s="15"/>
      <c r="BU1221" s="15"/>
      <c r="BV1221" s="15"/>
      <c r="BW1221" s="15"/>
      <c r="BX1221" s="15"/>
      <c r="BY1221" s="15"/>
      <c r="BZ1221" s="15"/>
      <c r="CA1221" s="15"/>
      <c r="CB1221" s="17"/>
      <c r="CC1221" s="17"/>
      <c r="CD1221" s="18"/>
      <c r="CE1221" s="18"/>
      <c r="CF1221" s="18"/>
      <c r="CG1221" s="18"/>
      <c r="CH1221" s="18"/>
    </row>
    <row r="1222">
      <c r="A1222" s="15"/>
      <c r="B1222" s="16"/>
      <c r="C1222" s="15"/>
      <c r="D1222" s="9"/>
      <c r="E1222" s="15"/>
      <c r="F1222" s="15"/>
      <c r="G1222" s="13"/>
      <c r="H1222" s="13"/>
      <c r="I1222" s="13"/>
      <c r="J1222" s="13"/>
      <c r="K1222" s="13"/>
      <c r="L1222" s="13"/>
      <c r="M1222" s="13"/>
      <c r="N1222" s="13"/>
      <c r="O1222" s="13"/>
      <c r="P1222" s="13"/>
      <c r="Q1222" s="13"/>
      <c r="R1222" s="13"/>
      <c r="S1222" s="13"/>
      <c r="T1222" s="13"/>
      <c r="U1222" s="13"/>
      <c r="V1222" s="13"/>
      <c r="W1222" s="13"/>
      <c r="X1222" s="13"/>
      <c r="Y1222" s="13"/>
      <c r="Z1222" s="13"/>
      <c r="AA1222" s="13"/>
      <c r="AB1222" s="15"/>
      <c r="AC1222" s="15"/>
      <c r="AD1222" s="15"/>
      <c r="AE1222" s="13"/>
      <c r="AF1222" s="13"/>
      <c r="AG1222" s="13"/>
      <c r="AH1222" s="15"/>
      <c r="AI1222" s="13"/>
      <c r="AJ1222" s="13"/>
      <c r="AK1222" s="13"/>
      <c r="AL1222" s="13"/>
      <c r="AM1222" s="15"/>
      <c r="AN1222" s="13"/>
      <c r="AO1222" s="15"/>
      <c r="AP1222" s="15"/>
      <c r="AQ1222" s="13"/>
      <c r="AR1222" s="13"/>
      <c r="AS1222" s="13"/>
      <c r="AT1222" s="13"/>
      <c r="AU1222" s="13"/>
      <c r="AV1222" s="13"/>
      <c r="AW1222" s="13"/>
      <c r="AX1222" s="13"/>
      <c r="AY1222" s="15"/>
      <c r="AZ1222" s="15"/>
      <c r="BA1222" s="16"/>
      <c r="BB1222" s="15"/>
      <c r="BC1222" s="15"/>
      <c r="BD1222" s="13"/>
      <c r="BE1222" s="13"/>
      <c r="BF1222" s="13"/>
      <c r="BG1222" s="13"/>
      <c r="BH1222" s="13"/>
      <c r="BI1222" s="13"/>
      <c r="BJ1222" s="13"/>
      <c r="BK1222" s="13"/>
      <c r="BL1222" s="13"/>
      <c r="BM1222" s="13"/>
      <c r="BN1222" s="13"/>
      <c r="BO1222" s="13"/>
      <c r="BP1222" s="13"/>
      <c r="BQ1222" s="15"/>
      <c r="BR1222" s="15"/>
      <c r="BS1222" s="15"/>
      <c r="BT1222" s="15"/>
      <c r="BU1222" s="15"/>
      <c r="BV1222" s="15"/>
      <c r="BW1222" s="15"/>
      <c r="BX1222" s="15"/>
      <c r="BY1222" s="15"/>
      <c r="BZ1222" s="15"/>
      <c r="CA1222" s="15"/>
      <c r="CB1222" s="17"/>
      <c r="CC1222" s="17"/>
      <c r="CD1222" s="18"/>
      <c r="CE1222" s="18"/>
      <c r="CF1222" s="18"/>
      <c r="CG1222" s="18"/>
      <c r="CH1222" s="18"/>
    </row>
    <row r="1223">
      <c r="A1223" s="15"/>
      <c r="B1223" s="16"/>
      <c r="C1223" s="15"/>
      <c r="D1223" s="9"/>
      <c r="E1223" s="15"/>
      <c r="F1223" s="15"/>
      <c r="G1223" s="13"/>
      <c r="H1223" s="13"/>
      <c r="I1223" s="13"/>
      <c r="J1223" s="13"/>
      <c r="K1223" s="13"/>
      <c r="L1223" s="13"/>
      <c r="M1223" s="13"/>
      <c r="N1223" s="13"/>
      <c r="O1223" s="13"/>
      <c r="P1223" s="13"/>
      <c r="Q1223" s="13"/>
      <c r="R1223" s="13"/>
      <c r="S1223" s="13"/>
      <c r="T1223" s="13"/>
      <c r="U1223" s="13"/>
      <c r="V1223" s="13"/>
      <c r="W1223" s="13"/>
      <c r="X1223" s="13"/>
      <c r="Y1223" s="13"/>
      <c r="Z1223" s="13"/>
      <c r="AA1223" s="13"/>
      <c r="AB1223" s="15"/>
      <c r="AC1223" s="15"/>
      <c r="AD1223" s="15"/>
      <c r="AE1223" s="13"/>
      <c r="AF1223" s="13"/>
      <c r="AG1223" s="13"/>
      <c r="AH1223" s="15"/>
      <c r="AI1223" s="13"/>
      <c r="AJ1223" s="13"/>
      <c r="AK1223" s="13"/>
      <c r="AL1223" s="13"/>
      <c r="AM1223" s="15"/>
      <c r="AN1223" s="13"/>
      <c r="AO1223" s="15"/>
      <c r="AP1223" s="15"/>
      <c r="AQ1223" s="13"/>
      <c r="AR1223" s="13"/>
      <c r="AS1223" s="13"/>
      <c r="AT1223" s="13"/>
      <c r="AU1223" s="13"/>
      <c r="AV1223" s="13"/>
      <c r="AW1223" s="13"/>
      <c r="AX1223" s="13"/>
      <c r="AY1223" s="15"/>
      <c r="AZ1223" s="15"/>
      <c r="BA1223" s="16"/>
      <c r="BB1223" s="15"/>
      <c r="BC1223" s="15"/>
      <c r="BD1223" s="13"/>
      <c r="BE1223" s="13"/>
      <c r="BF1223" s="13"/>
      <c r="BG1223" s="13"/>
      <c r="BH1223" s="13"/>
      <c r="BI1223" s="13"/>
      <c r="BJ1223" s="13"/>
      <c r="BK1223" s="13"/>
      <c r="BL1223" s="13"/>
      <c r="BM1223" s="13"/>
      <c r="BN1223" s="13"/>
      <c r="BO1223" s="13"/>
      <c r="BP1223" s="13"/>
      <c r="BQ1223" s="15"/>
      <c r="BR1223" s="15"/>
      <c r="BS1223" s="15"/>
      <c r="BT1223" s="15"/>
      <c r="BU1223" s="15"/>
      <c r="BV1223" s="15"/>
      <c r="BW1223" s="15"/>
      <c r="BX1223" s="15"/>
      <c r="BY1223" s="15"/>
      <c r="BZ1223" s="15"/>
      <c r="CA1223" s="15"/>
      <c r="CB1223" s="17"/>
      <c r="CC1223" s="17"/>
      <c r="CD1223" s="18"/>
      <c r="CE1223" s="18"/>
      <c r="CF1223" s="18"/>
      <c r="CG1223" s="18"/>
      <c r="CH1223" s="18"/>
    </row>
    <row r="1224">
      <c r="A1224" s="15"/>
      <c r="B1224" s="16"/>
      <c r="C1224" s="15"/>
      <c r="D1224" s="9"/>
      <c r="E1224" s="15"/>
      <c r="F1224" s="15"/>
      <c r="G1224" s="13"/>
      <c r="H1224" s="13"/>
      <c r="I1224" s="13"/>
      <c r="J1224" s="13"/>
      <c r="K1224" s="13"/>
      <c r="L1224" s="13"/>
      <c r="M1224" s="13"/>
      <c r="N1224" s="13"/>
      <c r="O1224" s="13"/>
      <c r="P1224" s="13"/>
      <c r="Q1224" s="13"/>
      <c r="R1224" s="13"/>
      <c r="S1224" s="13"/>
      <c r="T1224" s="13"/>
      <c r="U1224" s="13"/>
      <c r="V1224" s="13"/>
      <c r="W1224" s="13"/>
      <c r="X1224" s="13"/>
      <c r="Y1224" s="13"/>
      <c r="Z1224" s="13"/>
      <c r="AA1224" s="13"/>
      <c r="AB1224" s="15"/>
      <c r="AC1224" s="15"/>
      <c r="AD1224" s="15"/>
      <c r="AE1224" s="13"/>
      <c r="AF1224" s="13"/>
      <c r="AG1224" s="13"/>
      <c r="AH1224" s="15"/>
      <c r="AI1224" s="13"/>
      <c r="AJ1224" s="13"/>
      <c r="AK1224" s="13"/>
      <c r="AL1224" s="13"/>
      <c r="AM1224" s="15"/>
      <c r="AN1224" s="13"/>
      <c r="AO1224" s="15"/>
      <c r="AP1224" s="15"/>
      <c r="AQ1224" s="13"/>
      <c r="AR1224" s="13"/>
      <c r="AS1224" s="13"/>
      <c r="AT1224" s="13"/>
      <c r="AU1224" s="13"/>
      <c r="AV1224" s="13"/>
      <c r="AW1224" s="13"/>
      <c r="AX1224" s="13"/>
      <c r="AY1224" s="15"/>
      <c r="AZ1224" s="15"/>
      <c r="BA1224" s="16"/>
      <c r="BB1224" s="15"/>
      <c r="BC1224" s="15"/>
      <c r="BD1224" s="13"/>
      <c r="BE1224" s="13"/>
      <c r="BF1224" s="13"/>
      <c r="BG1224" s="13"/>
      <c r="BH1224" s="13"/>
      <c r="BI1224" s="13"/>
      <c r="BJ1224" s="13"/>
      <c r="BK1224" s="13"/>
      <c r="BL1224" s="13"/>
      <c r="BM1224" s="13"/>
      <c r="BN1224" s="13"/>
      <c r="BO1224" s="13"/>
      <c r="BP1224" s="13"/>
      <c r="BQ1224" s="15"/>
      <c r="BR1224" s="15"/>
      <c r="BS1224" s="15"/>
      <c r="BT1224" s="15"/>
      <c r="BU1224" s="15"/>
      <c r="BV1224" s="15"/>
      <c r="BW1224" s="15"/>
      <c r="BX1224" s="15"/>
      <c r="BY1224" s="15"/>
      <c r="BZ1224" s="15"/>
      <c r="CA1224" s="15"/>
      <c r="CB1224" s="17"/>
      <c r="CC1224" s="17"/>
      <c r="CD1224" s="18"/>
      <c r="CE1224" s="18"/>
      <c r="CF1224" s="18"/>
      <c r="CG1224" s="18"/>
      <c r="CH1224" s="18"/>
    </row>
    <row r="1225">
      <c r="A1225" s="15"/>
      <c r="B1225" s="16"/>
      <c r="C1225" s="15"/>
      <c r="D1225" s="9"/>
      <c r="E1225" s="15"/>
      <c r="F1225" s="15"/>
      <c r="G1225" s="13"/>
      <c r="H1225" s="13"/>
      <c r="I1225" s="13"/>
      <c r="J1225" s="13"/>
      <c r="K1225" s="13"/>
      <c r="L1225" s="13"/>
      <c r="M1225" s="13"/>
      <c r="N1225" s="13"/>
      <c r="O1225" s="13"/>
      <c r="P1225" s="13"/>
      <c r="Q1225" s="13"/>
      <c r="R1225" s="13"/>
      <c r="S1225" s="13"/>
      <c r="T1225" s="13"/>
      <c r="U1225" s="13"/>
      <c r="V1225" s="13"/>
      <c r="W1225" s="13"/>
      <c r="X1225" s="13"/>
      <c r="Y1225" s="13"/>
      <c r="Z1225" s="13"/>
      <c r="AA1225" s="13"/>
      <c r="AB1225" s="15"/>
      <c r="AC1225" s="15"/>
      <c r="AD1225" s="15"/>
      <c r="AE1225" s="13"/>
      <c r="AF1225" s="13"/>
      <c r="AG1225" s="13"/>
      <c r="AH1225" s="15"/>
      <c r="AI1225" s="13"/>
      <c r="AJ1225" s="13"/>
      <c r="AK1225" s="13"/>
      <c r="AL1225" s="13"/>
      <c r="AM1225" s="15"/>
      <c r="AN1225" s="13"/>
      <c r="AO1225" s="15"/>
      <c r="AP1225" s="15"/>
      <c r="AQ1225" s="13"/>
      <c r="AR1225" s="13"/>
      <c r="AS1225" s="13"/>
      <c r="AT1225" s="13"/>
      <c r="AU1225" s="13"/>
      <c r="AV1225" s="13"/>
      <c r="AW1225" s="13"/>
      <c r="AX1225" s="13"/>
      <c r="AY1225" s="15"/>
      <c r="AZ1225" s="15"/>
      <c r="BA1225" s="16"/>
      <c r="BB1225" s="15"/>
      <c r="BC1225" s="15"/>
      <c r="BD1225" s="13"/>
      <c r="BE1225" s="13"/>
      <c r="BF1225" s="13"/>
      <c r="BG1225" s="13"/>
      <c r="BH1225" s="13"/>
      <c r="BI1225" s="13"/>
      <c r="BJ1225" s="13"/>
      <c r="BK1225" s="13"/>
      <c r="BL1225" s="13"/>
      <c r="BM1225" s="13"/>
      <c r="BN1225" s="13"/>
      <c r="BO1225" s="13"/>
      <c r="BP1225" s="13"/>
      <c r="BQ1225" s="15"/>
      <c r="BR1225" s="15"/>
      <c r="BS1225" s="15"/>
      <c r="BT1225" s="15"/>
      <c r="BU1225" s="15"/>
      <c r="BV1225" s="15"/>
      <c r="BW1225" s="15"/>
      <c r="BX1225" s="15"/>
      <c r="BY1225" s="15"/>
      <c r="BZ1225" s="15"/>
      <c r="CA1225" s="15"/>
      <c r="CB1225" s="17"/>
      <c r="CC1225" s="17"/>
      <c r="CD1225" s="18"/>
      <c r="CE1225" s="18"/>
      <c r="CF1225" s="18"/>
      <c r="CG1225" s="18"/>
      <c r="CH1225" s="18"/>
    </row>
    <row r="1226">
      <c r="A1226" s="15"/>
      <c r="B1226" s="16"/>
      <c r="C1226" s="15"/>
      <c r="D1226" s="9"/>
      <c r="E1226" s="15"/>
      <c r="F1226" s="15"/>
      <c r="G1226" s="13"/>
      <c r="H1226" s="13"/>
      <c r="I1226" s="13"/>
      <c r="J1226" s="13"/>
      <c r="K1226" s="13"/>
      <c r="L1226" s="13"/>
      <c r="M1226" s="13"/>
      <c r="N1226" s="13"/>
      <c r="O1226" s="13"/>
      <c r="P1226" s="13"/>
      <c r="Q1226" s="13"/>
      <c r="R1226" s="13"/>
      <c r="S1226" s="13"/>
      <c r="T1226" s="13"/>
      <c r="U1226" s="13"/>
      <c r="V1226" s="13"/>
      <c r="W1226" s="13"/>
      <c r="X1226" s="13"/>
      <c r="Y1226" s="13"/>
      <c r="Z1226" s="13"/>
      <c r="AA1226" s="13"/>
      <c r="AB1226" s="15"/>
      <c r="AC1226" s="15"/>
      <c r="AD1226" s="15"/>
      <c r="AE1226" s="13"/>
      <c r="AF1226" s="13"/>
      <c r="AG1226" s="13"/>
      <c r="AH1226" s="15"/>
      <c r="AI1226" s="13"/>
      <c r="AJ1226" s="13"/>
      <c r="AK1226" s="13"/>
      <c r="AL1226" s="13"/>
      <c r="AM1226" s="15"/>
      <c r="AN1226" s="13"/>
      <c r="AO1226" s="15"/>
      <c r="AP1226" s="15"/>
      <c r="AQ1226" s="13"/>
      <c r="AR1226" s="13"/>
      <c r="AS1226" s="13"/>
      <c r="AT1226" s="13"/>
      <c r="AU1226" s="13"/>
      <c r="AV1226" s="13"/>
      <c r="AW1226" s="13"/>
      <c r="AX1226" s="13"/>
      <c r="AY1226" s="15"/>
      <c r="AZ1226" s="15"/>
      <c r="BA1226" s="16"/>
      <c r="BB1226" s="15"/>
      <c r="BC1226" s="15"/>
      <c r="BD1226" s="13"/>
      <c r="BE1226" s="13"/>
      <c r="BF1226" s="13"/>
      <c r="BG1226" s="13"/>
      <c r="BH1226" s="13"/>
      <c r="BI1226" s="13"/>
      <c r="BJ1226" s="13"/>
      <c r="BK1226" s="13"/>
      <c r="BL1226" s="13"/>
      <c r="BM1226" s="13"/>
      <c r="BN1226" s="13"/>
      <c r="BO1226" s="13"/>
      <c r="BP1226" s="13"/>
      <c r="BQ1226" s="15"/>
      <c r="BR1226" s="15"/>
      <c r="BS1226" s="15"/>
      <c r="BT1226" s="15"/>
      <c r="BU1226" s="15"/>
      <c r="BV1226" s="15"/>
      <c r="BW1226" s="15"/>
      <c r="BX1226" s="15"/>
      <c r="BY1226" s="15"/>
      <c r="BZ1226" s="15"/>
      <c r="CA1226" s="15"/>
      <c r="CB1226" s="17"/>
      <c r="CC1226" s="17"/>
      <c r="CD1226" s="18"/>
      <c r="CE1226" s="18"/>
      <c r="CF1226" s="18"/>
      <c r="CG1226" s="18"/>
      <c r="CH1226" s="18"/>
    </row>
    <row r="1227">
      <c r="A1227" s="15"/>
      <c r="B1227" s="16"/>
      <c r="C1227" s="15"/>
      <c r="D1227" s="9"/>
      <c r="E1227" s="15"/>
      <c r="F1227" s="15"/>
      <c r="G1227" s="13"/>
      <c r="H1227" s="13"/>
      <c r="I1227" s="13"/>
      <c r="J1227" s="13"/>
      <c r="K1227" s="13"/>
      <c r="L1227" s="13"/>
      <c r="M1227" s="13"/>
      <c r="N1227" s="13"/>
      <c r="O1227" s="13"/>
      <c r="P1227" s="13"/>
      <c r="Q1227" s="13"/>
      <c r="R1227" s="13"/>
      <c r="S1227" s="13"/>
      <c r="T1227" s="13"/>
      <c r="U1227" s="13"/>
      <c r="V1227" s="13"/>
      <c r="W1227" s="13"/>
      <c r="X1227" s="13"/>
      <c r="Y1227" s="13"/>
      <c r="Z1227" s="13"/>
      <c r="AA1227" s="13"/>
      <c r="AB1227" s="15"/>
      <c r="AC1227" s="15"/>
      <c r="AD1227" s="15"/>
      <c r="AE1227" s="13"/>
      <c r="AF1227" s="13"/>
      <c r="AG1227" s="13"/>
      <c r="AH1227" s="15"/>
      <c r="AI1227" s="13"/>
      <c r="AJ1227" s="13"/>
      <c r="AK1227" s="13"/>
      <c r="AL1227" s="13"/>
      <c r="AM1227" s="15"/>
      <c r="AN1227" s="13"/>
      <c r="AO1227" s="15"/>
      <c r="AP1227" s="15"/>
      <c r="AQ1227" s="13"/>
      <c r="AR1227" s="13"/>
      <c r="AS1227" s="13"/>
      <c r="AT1227" s="13"/>
      <c r="AU1227" s="13"/>
      <c r="AV1227" s="13"/>
      <c r="AW1227" s="13"/>
      <c r="AX1227" s="13"/>
      <c r="AY1227" s="15"/>
      <c r="AZ1227" s="15"/>
      <c r="BA1227" s="16"/>
      <c r="BB1227" s="15"/>
      <c r="BC1227" s="15"/>
      <c r="BD1227" s="13"/>
      <c r="BE1227" s="13"/>
      <c r="BF1227" s="13"/>
      <c r="BG1227" s="13"/>
      <c r="BH1227" s="13"/>
      <c r="BI1227" s="13"/>
      <c r="BJ1227" s="13"/>
      <c r="BK1227" s="13"/>
      <c r="BL1227" s="13"/>
      <c r="BM1227" s="13"/>
      <c r="BN1227" s="13"/>
      <c r="BO1227" s="13"/>
      <c r="BP1227" s="13"/>
      <c r="BQ1227" s="15"/>
      <c r="BR1227" s="15"/>
      <c r="BS1227" s="15"/>
      <c r="BT1227" s="15"/>
      <c r="BU1227" s="15"/>
      <c r="BV1227" s="15"/>
      <c r="BW1227" s="15"/>
      <c r="BX1227" s="15"/>
      <c r="BY1227" s="15"/>
      <c r="BZ1227" s="15"/>
      <c r="CA1227" s="15"/>
      <c r="CB1227" s="17"/>
      <c r="CC1227" s="17"/>
      <c r="CD1227" s="18"/>
      <c r="CE1227" s="18"/>
      <c r="CF1227" s="18"/>
      <c r="CG1227" s="18"/>
      <c r="CH1227" s="18"/>
    </row>
    <row r="1228">
      <c r="A1228" s="15"/>
      <c r="B1228" s="16"/>
      <c r="C1228" s="15"/>
      <c r="D1228" s="9"/>
      <c r="E1228" s="15"/>
      <c r="F1228" s="15"/>
      <c r="G1228" s="13"/>
      <c r="H1228" s="13"/>
      <c r="I1228" s="13"/>
      <c r="J1228" s="13"/>
      <c r="K1228" s="13"/>
      <c r="L1228" s="13"/>
      <c r="M1228" s="13"/>
      <c r="N1228" s="13"/>
      <c r="O1228" s="13"/>
      <c r="P1228" s="13"/>
      <c r="Q1228" s="13"/>
      <c r="R1228" s="13"/>
      <c r="S1228" s="13"/>
      <c r="T1228" s="13"/>
      <c r="U1228" s="13"/>
      <c r="V1228" s="13"/>
      <c r="W1228" s="13"/>
      <c r="X1228" s="13"/>
      <c r="Y1228" s="13"/>
      <c r="Z1228" s="13"/>
      <c r="AA1228" s="13"/>
      <c r="AB1228" s="15"/>
      <c r="AC1228" s="15"/>
      <c r="AD1228" s="15"/>
      <c r="AE1228" s="13"/>
      <c r="AF1228" s="13"/>
      <c r="AG1228" s="13"/>
      <c r="AH1228" s="15"/>
      <c r="AI1228" s="13"/>
      <c r="AJ1228" s="13"/>
      <c r="AK1228" s="13"/>
      <c r="AL1228" s="13"/>
      <c r="AM1228" s="15"/>
      <c r="AN1228" s="13"/>
      <c r="AO1228" s="15"/>
      <c r="AP1228" s="15"/>
      <c r="AQ1228" s="13"/>
      <c r="AR1228" s="13"/>
      <c r="AS1228" s="13"/>
      <c r="AT1228" s="13"/>
      <c r="AU1228" s="13"/>
      <c r="AV1228" s="13"/>
      <c r="AW1228" s="13"/>
      <c r="AX1228" s="13"/>
      <c r="AY1228" s="15"/>
      <c r="AZ1228" s="15"/>
      <c r="BA1228" s="16"/>
      <c r="BB1228" s="15"/>
      <c r="BC1228" s="15"/>
      <c r="BD1228" s="13"/>
      <c r="BE1228" s="13"/>
      <c r="BF1228" s="13"/>
      <c r="BG1228" s="13"/>
      <c r="BH1228" s="13"/>
      <c r="BI1228" s="13"/>
      <c r="BJ1228" s="13"/>
      <c r="BK1228" s="13"/>
      <c r="BL1228" s="13"/>
      <c r="BM1228" s="13"/>
      <c r="BN1228" s="13"/>
      <c r="BO1228" s="13"/>
      <c r="BP1228" s="13"/>
      <c r="BQ1228" s="15"/>
      <c r="BR1228" s="15"/>
      <c r="BS1228" s="15"/>
      <c r="BT1228" s="15"/>
      <c r="BU1228" s="15"/>
      <c r="BV1228" s="15"/>
      <c r="BW1228" s="15"/>
      <c r="BX1228" s="15"/>
      <c r="BY1228" s="15"/>
      <c r="BZ1228" s="15"/>
      <c r="CA1228" s="15"/>
      <c r="CB1228" s="17"/>
      <c r="CC1228" s="17"/>
      <c r="CD1228" s="18"/>
      <c r="CE1228" s="18"/>
      <c r="CF1228" s="18"/>
      <c r="CG1228" s="18"/>
      <c r="CH1228" s="18"/>
    </row>
    <row r="1229">
      <c r="A1229" s="15"/>
      <c r="B1229" s="16"/>
      <c r="C1229" s="15"/>
      <c r="D1229" s="9"/>
      <c r="E1229" s="15"/>
      <c r="F1229" s="15"/>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5"/>
      <c r="AC1229" s="15"/>
      <c r="AD1229" s="15"/>
      <c r="AE1229" s="13"/>
      <c r="AF1229" s="13"/>
      <c r="AG1229" s="13"/>
      <c r="AH1229" s="15"/>
      <c r="AI1229" s="13"/>
      <c r="AJ1229" s="13"/>
      <c r="AK1229" s="13"/>
      <c r="AL1229" s="13"/>
      <c r="AM1229" s="15"/>
      <c r="AN1229" s="13"/>
      <c r="AO1229" s="15"/>
      <c r="AP1229" s="15"/>
      <c r="AQ1229" s="13"/>
      <c r="AR1229" s="13"/>
      <c r="AS1229" s="13"/>
      <c r="AT1229" s="13"/>
      <c r="AU1229" s="13"/>
      <c r="AV1229" s="13"/>
      <c r="AW1229" s="13"/>
      <c r="AX1229" s="13"/>
      <c r="AY1229" s="15"/>
      <c r="AZ1229" s="15"/>
      <c r="BA1229" s="16"/>
      <c r="BB1229" s="15"/>
      <c r="BC1229" s="15"/>
      <c r="BD1229" s="13"/>
      <c r="BE1229" s="13"/>
      <c r="BF1229" s="13"/>
      <c r="BG1229" s="13"/>
      <c r="BH1229" s="13"/>
      <c r="BI1229" s="13"/>
      <c r="BJ1229" s="13"/>
      <c r="BK1229" s="13"/>
      <c r="BL1229" s="13"/>
      <c r="BM1229" s="13"/>
      <c r="BN1229" s="13"/>
      <c r="BO1229" s="13"/>
      <c r="BP1229" s="13"/>
      <c r="BQ1229" s="15"/>
      <c r="BR1229" s="15"/>
      <c r="BS1229" s="15"/>
      <c r="BT1229" s="15"/>
      <c r="BU1229" s="15"/>
      <c r="BV1229" s="15"/>
      <c r="BW1229" s="15"/>
      <c r="BX1229" s="15"/>
      <c r="BY1229" s="15"/>
      <c r="BZ1229" s="15"/>
      <c r="CA1229" s="15"/>
      <c r="CB1229" s="17"/>
      <c r="CC1229" s="17"/>
      <c r="CD1229" s="18"/>
      <c r="CE1229" s="18"/>
      <c r="CF1229" s="18"/>
      <c r="CG1229" s="18"/>
      <c r="CH1229" s="18"/>
    </row>
    <row r="1230">
      <c r="A1230" s="15"/>
      <c r="B1230" s="16"/>
      <c r="C1230" s="15"/>
      <c r="D1230" s="9"/>
      <c r="E1230" s="15"/>
      <c r="F1230" s="15"/>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5"/>
      <c r="AC1230" s="15"/>
      <c r="AD1230" s="15"/>
      <c r="AE1230" s="13"/>
      <c r="AF1230" s="13"/>
      <c r="AG1230" s="13"/>
      <c r="AH1230" s="15"/>
      <c r="AI1230" s="13"/>
      <c r="AJ1230" s="13"/>
      <c r="AK1230" s="13"/>
      <c r="AL1230" s="13"/>
      <c r="AM1230" s="15"/>
      <c r="AN1230" s="13"/>
      <c r="AO1230" s="15"/>
      <c r="AP1230" s="15"/>
      <c r="AQ1230" s="13"/>
      <c r="AR1230" s="13"/>
      <c r="AS1230" s="13"/>
      <c r="AT1230" s="13"/>
      <c r="AU1230" s="13"/>
      <c r="AV1230" s="13"/>
      <c r="AW1230" s="13"/>
      <c r="AX1230" s="13"/>
      <c r="AY1230" s="15"/>
      <c r="AZ1230" s="15"/>
      <c r="BA1230" s="16"/>
      <c r="BB1230" s="15"/>
      <c r="BC1230" s="15"/>
      <c r="BD1230" s="13"/>
      <c r="BE1230" s="13"/>
      <c r="BF1230" s="13"/>
      <c r="BG1230" s="13"/>
      <c r="BH1230" s="13"/>
      <c r="BI1230" s="13"/>
      <c r="BJ1230" s="13"/>
      <c r="BK1230" s="13"/>
      <c r="BL1230" s="13"/>
      <c r="BM1230" s="13"/>
      <c r="BN1230" s="13"/>
      <c r="BO1230" s="13"/>
      <c r="BP1230" s="13"/>
      <c r="BQ1230" s="15"/>
      <c r="BR1230" s="15"/>
      <c r="BS1230" s="15"/>
      <c r="BT1230" s="15"/>
      <c r="BU1230" s="15"/>
      <c r="BV1230" s="15"/>
      <c r="BW1230" s="15"/>
      <c r="BX1230" s="15"/>
      <c r="BY1230" s="15"/>
      <c r="BZ1230" s="15"/>
      <c r="CA1230" s="15"/>
      <c r="CB1230" s="17"/>
      <c r="CC1230" s="17"/>
      <c r="CD1230" s="18"/>
      <c r="CE1230" s="18"/>
      <c r="CF1230" s="18"/>
      <c r="CG1230" s="18"/>
      <c r="CH1230" s="18"/>
    </row>
    <row r="1231">
      <c r="A1231" s="15"/>
      <c r="B1231" s="16"/>
      <c r="C1231" s="15"/>
      <c r="D1231" s="9"/>
      <c r="E1231" s="15"/>
      <c r="F1231" s="15"/>
      <c r="G1231" s="13"/>
      <c r="H1231" s="13"/>
      <c r="I1231" s="13"/>
      <c r="J1231" s="13"/>
      <c r="K1231" s="13"/>
      <c r="L1231" s="13"/>
      <c r="M1231" s="13"/>
      <c r="N1231" s="13"/>
      <c r="O1231" s="13"/>
      <c r="P1231" s="13"/>
      <c r="Q1231" s="13"/>
      <c r="R1231" s="13"/>
      <c r="S1231" s="13"/>
      <c r="T1231" s="13"/>
      <c r="U1231" s="13"/>
      <c r="V1231" s="13"/>
      <c r="W1231" s="13"/>
      <c r="X1231" s="13"/>
      <c r="Y1231" s="13"/>
      <c r="Z1231" s="13"/>
      <c r="AA1231" s="13"/>
      <c r="AB1231" s="15"/>
      <c r="AC1231" s="15"/>
      <c r="AD1231" s="15"/>
      <c r="AE1231" s="13"/>
      <c r="AF1231" s="13"/>
      <c r="AG1231" s="13"/>
      <c r="AH1231" s="15"/>
      <c r="AI1231" s="13"/>
      <c r="AJ1231" s="13"/>
      <c r="AK1231" s="13"/>
      <c r="AL1231" s="13"/>
      <c r="AM1231" s="15"/>
      <c r="AN1231" s="13"/>
      <c r="AO1231" s="15"/>
      <c r="AP1231" s="15"/>
      <c r="AQ1231" s="13"/>
      <c r="AR1231" s="13"/>
      <c r="AS1231" s="13"/>
      <c r="AT1231" s="13"/>
      <c r="AU1231" s="13"/>
      <c r="AV1231" s="13"/>
      <c r="AW1231" s="13"/>
      <c r="AX1231" s="13"/>
      <c r="AY1231" s="15"/>
      <c r="AZ1231" s="15"/>
      <c r="BA1231" s="16"/>
      <c r="BB1231" s="15"/>
      <c r="BC1231" s="15"/>
      <c r="BD1231" s="13"/>
      <c r="BE1231" s="13"/>
      <c r="BF1231" s="13"/>
      <c r="BG1231" s="13"/>
      <c r="BH1231" s="13"/>
      <c r="BI1231" s="13"/>
      <c r="BJ1231" s="13"/>
      <c r="BK1231" s="13"/>
      <c r="BL1231" s="13"/>
      <c r="BM1231" s="13"/>
      <c r="BN1231" s="13"/>
      <c r="BO1231" s="13"/>
      <c r="BP1231" s="13"/>
      <c r="BQ1231" s="15"/>
      <c r="BR1231" s="15"/>
      <c r="BS1231" s="15"/>
      <c r="BT1231" s="15"/>
      <c r="BU1231" s="15"/>
      <c r="BV1231" s="15"/>
      <c r="BW1231" s="15"/>
      <c r="BX1231" s="15"/>
      <c r="BY1231" s="15"/>
      <c r="BZ1231" s="15"/>
      <c r="CA1231" s="15"/>
      <c r="CB1231" s="17"/>
      <c r="CC1231" s="17"/>
      <c r="CD1231" s="18"/>
      <c r="CE1231" s="18"/>
      <c r="CF1231" s="18"/>
      <c r="CG1231" s="18"/>
      <c r="CH1231" s="18"/>
    </row>
    <row r="1232">
      <c r="A1232" s="15"/>
      <c r="B1232" s="16"/>
      <c r="C1232" s="15"/>
      <c r="D1232" s="9"/>
      <c r="E1232" s="15"/>
      <c r="F1232" s="15"/>
      <c r="G1232" s="13"/>
      <c r="H1232" s="13"/>
      <c r="I1232" s="13"/>
      <c r="J1232" s="13"/>
      <c r="K1232" s="13"/>
      <c r="L1232" s="13"/>
      <c r="M1232" s="13"/>
      <c r="N1232" s="13"/>
      <c r="O1232" s="13"/>
      <c r="P1232" s="13"/>
      <c r="Q1232" s="13"/>
      <c r="R1232" s="13"/>
      <c r="S1232" s="13"/>
      <c r="T1232" s="13"/>
      <c r="U1232" s="13"/>
      <c r="V1232" s="13"/>
      <c r="W1232" s="13"/>
      <c r="X1232" s="13"/>
      <c r="Y1232" s="13"/>
      <c r="Z1232" s="13"/>
      <c r="AA1232" s="13"/>
      <c r="AB1232" s="15"/>
      <c r="AC1232" s="15"/>
      <c r="AD1232" s="15"/>
      <c r="AE1232" s="13"/>
      <c r="AF1232" s="13"/>
      <c r="AG1232" s="13"/>
      <c r="AH1232" s="15"/>
      <c r="AI1232" s="13"/>
      <c r="AJ1232" s="13"/>
      <c r="AK1232" s="13"/>
      <c r="AL1232" s="13"/>
      <c r="AM1232" s="15"/>
      <c r="AN1232" s="13"/>
      <c r="AO1232" s="15"/>
      <c r="AP1232" s="15"/>
      <c r="AQ1232" s="13"/>
      <c r="AR1232" s="13"/>
      <c r="AS1232" s="13"/>
      <c r="AT1232" s="13"/>
      <c r="AU1232" s="13"/>
      <c r="AV1232" s="13"/>
      <c r="AW1232" s="13"/>
      <c r="AX1232" s="13"/>
      <c r="AY1232" s="15"/>
      <c r="AZ1232" s="15"/>
      <c r="BA1232" s="16"/>
      <c r="BB1232" s="15"/>
      <c r="BC1232" s="15"/>
      <c r="BD1232" s="13"/>
      <c r="BE1232" s="13"/>
      <c r="BF1232" s="13"/>
      <c r="BG1232" s="13"/>
      <c r="BH1232" s="13"/>
      <c r="BI1232" s="13"/>
      <c r="BJ1232" s="13"/>
      <c r="BK1232" s="13"/>
      <c r="BL1232" s="13"/>
      <c r="BM1232" s="13"/>
      <c r="BN1232" s="13"/>
      <c r="BO1232" s="13"/>
      <c r="BP1232" s="13"/>
      <c r="BQ1232" s="15"/>
      <c r="BR1232" s="15"/>
      <c r="BS1232" s="15"/>
      <c r="BT1232" s="15"/>
      <c r="BU1232" s="15"/>
      <c r="BV1232" s="15"/>
      <c r="BW1232" s="15"/>
      <c r="BX1232" s="15"/>
      <c r="BY1232" s="15"/>
      <c r="BZ1232" s="15"/>
      <c r="CA1232" s="15"/>
      <c r="CB1232" s="17"/>
      <c r="CC1232" s="17"/>
      <c r="CD1232" s="18"/>
      <c r="CE1232" s="18"/>
      <c r="CF1232" s="18"/>
      <c r="CG1232" s="18"/>
      <c r="CH1232" s="18"/>
    </row>
    <row r="1233">
      <c r="A1233" s="15"/>
      <c r="B1233" s="16"/>
      <c r="C1233" s="15"/>
      <c r="D1233" s="9"/>
      <c r="E1233" s="15"/>
      <c r="F1233" s="15"/>
      <c r="G1233" s="13"/>
      <c r="H1233" s="13"/>
      <c r="I1233" s="13"/>
      <c r="J1233" s="13"/>
      <c r="K1233" s="13"/>
      <c r="L1233" s="13"/>
      <c r="M1233" s="13"/>
      <c r="N1233" s="13"/>
      <c r="O1233" s="13"/>
      <c r="P1233" s="13"/>
      <c r="Q1233" s="13"/>
      <c r="R1233" s="13"/>
      <c r="S1233" s="13"/>
      <c r="T1233" s="13"/>
      <c r="U1233" s="13"/>
      <c r="V1233" s="13"/>
      <c r="W1233" s="13"/>
      <c r="X1233" s="13"/>
      <c r="Y1233" s="13"/>
      <c r="Z1233" s="13"/>
      <c r="AA1233" s="13"/>
      <c r="AB1233" s="15"/>
      <c r="AC1233" s="15"/>
      <c r="AD1233" s="15"/>
      <c r="AE1233" s="13"/>
      <c r="AF1233" s="13"/>
      <c r="AG1233" s="13"/>
      <c r="AH1233" s="15"/>
      <c r="AI1233" s="13"/>
      <c r="AJ1233" s="13"/>
      <c r="AK1233" s="13"/>
      <c r="AL1233" s="13"/>
      <c r="AM1233" s="15"/>
      <c r="AN1233" s="13"/>
      <c r="AO1233" s="15"/>
      <c r="AP1233" s="15"/>
      <c r="AQ1233" s="13"/>
      <c r="AR1233" s="13"/>
      <c r="AS1233" s="13"/>
      <c r="AT1233" s="13"/>
      <c r="AU1233" s="13"/>
      <c r="AV1233" s="13"/>
      <c r="AW1233" s="13"/>
      <c r="AX1233" s="13"/>
      <c r="AY1233" s="15"/>
      <c r="AZ1233" s="15"/>
      <c r="BA1233" s="16"/>
      <c r="BB1233" s="15"/>
      <c r="BC1233" s="15"/>
      <c r="BD1233" s="13"/>
      <c r="BE1233" s="13"/>
      <c r="BF1233" s="13"/>
      <c r="BG1233" s="13"/>
      <c r="BH1233" s="13"/>
      <c r="BI1233" s="13"/>
      <c r="BJ1233" s="13"/>
      <c r="BK1233" s="13"/>
      <c r="BL1233" s="13"/>
      <c r="BM1233" s="13"/>
      <c r="BN1233" s="13"/>
      <c r="BO1233" s="13"/>
      <c r="BP1233" s="13"/>
      <c r="BQ1233" s="15"/>
      <c r="BR1233" s="15"/>
      <c r="BS1233" s="15"/>
      <c r="BT1233" s="15"/>
      <c r="BU1233" s="15"/>
      <c r="BV1233" s="15"/>
      <c r="BW1233" s="15"/>
      <c r="BX1233" s="15"/>
      <c r="BY1233" s="15"/>
      <c r="BZ1233" s="15"/>
      <c r="CA1233" s="15"/>
      <c r="CB1233" s="17"/>
      <c r="CC1233" s="17"/>
      <c r="CD1233" s="18"/>
      <c r="CE1233" s="18"/>
      <c r="CF1233" s="18"/>
      <c r="CG1233" s="18"/>
      <c r="CH1233" s="18"/>
    </row>
    <row r="1234">
      <c r="A1234" s="15"/>
      <c r="B1234" s="16"/>
      <c r="C1234" s="15"/>
      <c r="D1234" s="9"/>
      <c r="E1234" s="15"/>
      <c r="F1234" s="15"/>
      <c r="G1234" s="13"/>
      <c r="H1234" s="13"/>
      <c r="I1234" s="13"/>
      <c r="J1234" s="13"/>
      <c r="K1234" s="13"/>
      <c r="L1234" s="13"/>
      <c r="M1234" s="13"/>
      <c r="N1234" s="13"/>
      <c r="O1234" s="13"/>
      <c r="P1234" s="13"/>
      <c r="Q1234" s="13"/>
      <c r="R1234" s="13"/>
      <c r="S1234" s="13"/>
      <c r="T1234" s="13"/>
      <c r="U1234" s="13"/>
      <c r="V1234" s="13"/>
      <c r="W1234" s="13"/>
      <c r="X1234" s="13"/>
      <c r="Y1234" s="13"/>
      <c r="Z1234" s="13"/>
      <c r="AA1234" s="13"/>
      <c r="AB1234" s="15"/>
      <c r="AC1234" s="15"/>
      <c r="AD1234" s="15"/>
      <c r="AE1234" s="13"/>
      <c r="AF1234" s="13"/>
      <c r="AG1234" s="13"/>
      <c r="AH1234" s="15"/>
      <c r="AI1234" s="13"/>
      <c r="AJ1234" s="13"/>
      <c r="AK1234" s="13"/>
      <c r="AL1234" s="13"/>
      <c r="AM1234" s="15"/>
      <c r="AN1234" s="13"/>
      <c r="AO1234" s="15"/>
      <c r="AP1234" s="15"/>
      <c r="AQ1234" s="13"/>
      <c r="AR1234" s="13"/>
      <c r="AS1234" s="13"/>
      <c r="AT1234" s="13"/>
      <c r="AU1234" s="13"/>
      <c r="AV1234" s="13"/>
      <c r="AW1234" s="13"/>
      <c r="AX1234" s="13"/>
      <c r="AY1234" s="15"/>
      <c r="AZ1234" s="15"/>
      <c r="BA1234" s="16"/>
      <c r="BB1234" s="15"/>
      <c r="BC1234" s="15"/>
      <c r="BD1234" s="13"/>
      <c r="BE1234" s="13"/>
      <c r="BF1234" s="13"/>
      <c r="BG1234" s="13"/>
      <c r="BH1234" s="13"/>
      <c r="BI1234" s="13"/>
      <c r="BJ1234" s="13"/>
      <c r="BK1234" s="13"/>
      <c r="BL1234" s="13"/>
      <c r="BM1234" s="13"/>
      <c r="BN1234" s="13"/>
      <c r="BO1234" s="13"/>
      <c r="BP1234" s="13"/>
      <c r="BQ1234" s="15"/>
      <c r="BR1234" s="15"/>
      <c r="BS1234" s="15"/>
      <c r="BT1234" s="15"/>
      <c r="BU1234" s="15"/>
      <c r="BV1234" s="15"/>
      <c r="BW1234" s="15"/>
      <c r="BX1234" s="15"/>
      <c r="BY1234" s="15"/>
      <c r="BZ1234" s="15"/>
      <c r="CA1234" s="15"/>
      <c r="CB1234" s="17"/>
      <c r="CC1234" s="17"/>
      <c r="CD1234" s="18"/>
      <c r="CE1234" s="18"/>
      <c r="CF1234" s="18"/>
      <c r="CG1234" s="18"/>
      <c r="CH1234" s="18"/>
    </row>
    <row r="1235">
      <c r="A1235" s="15"/>
      <c r="B1235" s="16"/>
      <c r="C1235" s="15"/>
      <c r="D1235" s="9"/>
      <c r="E1235" s="15"/>
      <c r="F1235" s="15"/>
      <c r="G1235" s="13"/>
      <c r="H1235" s="13"/>
      <c r="I1235" s="13"/>
      <c r="J1235" s="13"/>
      <c r="K1235" s="13"/>
      <c r="L1235" s="13"/>
      <c r="M1235" s="13"/>
      <c r="N1235" s="13"/>
      <c r="O1235" s="13"/>
      <c r="P1235" s="13"/>
      <c r="Q1235" s="13"/>
      <c r="R1235" s="13"/>
      <c r="S1235" s="13"/>
      <c r="T1235" s="13"/>
      <c r="U1235" s="13"/>
      <c r="V1235" s="13"/>
      <c r="W1235" s="13"/>
      <c r="X1235" s="13"/>
      <c r="Y1235" s="13"/>
      <c r="Z1235" s="13"/>
      <c r="AA1235" s="13"/>
      <c r="AB1235" s="15"/>
      <c r="AC1235" s="15"/>
      <c r="AD1235" s="15"/>
      <c r="AE1235" s="13"/>
      <c r="AF1235" s="13"/>
      <c r="AG1235" s="13"/>
      <c r="AH1235" s="15"/>
      <c r="AI1235" s="13"/>
      <c r="AJ1235" s="13"/>
      <c r="AK1235" s="13"/>
      <c r="AL1235" s="13"/>
      <c r="AM1235" s="15"/>
      <c r="AN1235" s="13"/>
      <c r="AO1235" s="15"/>
      <c r="AP1235" s="15"/>
      <c r="AQ1235" s="13"/>
      <c r="AR1235" s="13"/>
      <c r="AS1235" s="13"/>
      <c r="AT1235" s="13"/>
      <c r="AU1235" s="13"/>
      <c r="AV1235" s="13"/>
      <c r="AW1235" s="13"/>
      <c r="AX1235" s="13"/>
      <c r="AY1235" s="15"/>
      <c r="AZ1235" s="15"/>
      <c r="BA1235" s="16"/>
      <c r="BB1235" s="15"/>
      <c r="BC1235" s="15"/>
      <c r="BD1235" s="13"/>
      <c r="BE1235" s="13"/>
      <c r="BF1235" s="13"/>
      <c r="BG1235" s="13"/>
      <c r="BH1235" s="13"/>
      <c r="BI1235" s="13"/>
      <c r="BJ1235" s="13"/>
      <c r="BK1235" s="13"/>
      <c r="BL1235" s="13"/>
      <c r="BM1235" s="13"/>
      <c r="BN1235" s="13"/>
      <c r="BO1235" s="13"/>
      <c r="BP1235" s="13"/>
      <c r="BQ1235" s="15"/>
      <c r="BR1235" s="15"/>
      <c r="BS1235" s="15"/>
      <c r="BT1235" s="15"/>
      <c r="BU1235" s="15"/>
      <c r="BV1235" s="15"/>
      <c r="BW1235" s="15"/>
      <c r="BX1235" s="15"/>
      <c r="BY1235" s="15"/>
      <c r="BZ1235" s="15"/>
      <c r="CA1235" s="15"/>
      <c r="CB1235" s="17"/>
      <c r="CC1235" s="17"/>
      <c r="CD1235" s="18"/>
      <c r="CE1235" s="18"/>
      <c r="CF1235" s="18"/>
      <c r="CG1235" s="18"/>
      <c r="CH1235" s="18"/>
    </row>
    <row r="1236">
      <c r="A1236" s="15"/>
      <c r="B1236" s="16"/>
      <c r="C1236" s="15"/>
      <c r="D1236" s="9"/>
      <c r="E1236" s="15"/>
      <c r="F1236" s="15"/>
      <c r="G1236" s="13"/>
      <c r="H1236" s="13"/>
      <c r="I1236" s="13"/>
      <c r="J1236" s="13"/>
      <c r="K1236" s="13"/>
      <c r="L1236" s="13"/>
      <c r="M1236" s="13"/>
      <c r="N1236" s="13"/>
      <c r="O1236" s="13"/>
      <c r="P1236" s="13"/>
      <c r="Q1236" s="13"/>
      <c r="R1236" s="13"/>
      <c r="S1236" s="13"/>
      <c r="T1236" s="13"/>
      <c r="U1236" s="13"/>
      <c r="V1236" s="13"/>
      <c r="W1236" s="13"/>
      <c r="X1236" s="13"/>
      <c r="Y1236" s="13"/>
      <c r="Z1236" s="13"/>
      <c r="AA1236" s="13"/>
      <c r="AB1236" s="15"/>
      <c r="AC1236" s="15"/>
      <c r="AD1236" s="15"/>
      <c r="AE1236" s="13"/>
      <c r="AF1236" s="13"/>
      <c r="AG1236" s="13"/>
      <c r="AH1236" s="15"/>
      <c r="AI1236" s="13"/>
      <c r="AJ1236" s="13"/>
      <c r="AK1236" s="13"/>
      <c r="AL1236" s="13"/>
      <c r="AM1236" s="15"/>
      <c r="AN1236" s="13"/>
      <c r="AO1236" s="15"/>
      <c r="AP1236" s="15"/>
      <c r="AQ1236" s="13"/>
      <c r="AR1236" s="13"/>
      <c r="AS1236" s="13"/>
      <c r="AT1236" s="13"/>
      <c r="AU1236" s="13"/>
      <c r="AV1236" s="13"/>
      <c r="AW1236" s="13"/>
      <c r="AX1236" s="13"/>
      <c r="AY1236" s="15"/>
      <c r="AZ1236" s="15"/>
      <c r="BA1236" s="16"/>
      <c r="BB1236" s="15"/>
      <c r="BC1236" s="15"/>
      <c r="BD1236" s="13"/>
      <c r="BE1236" s="13"/>
      <c r="BF1236" s="13"/>
      <c r="BG1236" s="13"/>
      <c r="BH1236" s="13"/>
      <c r="BI1236" s="13"/>
      <c r="BJ1236" s="13"/>
      <c r="BK1236" s="13"/>
      <c r="BL1236" s="13"/>
      <c r="BM1236" s="13"/>
      <c r="BN1236" s="13"/>
      <c r="BO1236" s="13"/>
      <c r="BP1236" s="13"/>
      <c r="BQ1236" s="15"/>
      <c r="BR1236" s="15"/>
      <c r="BS1236" s="15"/>
      <c r="BT1236" s="15"/>
      <c r="BU1236" s="15"/>
      <c r="BV1236" s="15"/>
      <c r="BW1236" s="15"/>
      <c r="BX1236" s="15"/>
      <c r="BY1236" s="15"/>
      <c r="BZ1236" s="15"/>
      <c r="CA1236" s="15"/>
      <c r="CB1236" s="17"/>
      <c r="CC1236" s="17"/>
      <c r="CD1236" s="18"/>
      <c r="CE1236" s="18"/>
      <c r="CF1236" s="18"/>
      <c r="CG1236" s="18"/>
      <c r="CH1236" s="18"/>
    </row>
    <row r="1237">
      <c r="A1237" s="15"/>
      <c r="B1237" s="16"/>
      <c r="C1237" s="15"/>
      <c r="D1237" s="9"/>
      <c r="E1237" s="15"/>
      <c r="F1237" s="15"/>
      <c r="G1237" s="13"/>
      <c r="H1237" s="13"/>
      <c r="I1237" s="13"/>
      <c r="J1237" s="13"/>
      <c r="K1237" s="13"/>
      <c r="L1237" s="13"/>
      <c r="M1237" s="13"/>
      <c r="N1237" s="13"/>
      <c r="O1237" s="13"/>
      <c r="P1237" s="13"/>
      <c r="Q1237" s="13"/>
      <c r="R1237" s="13"/>
      <c r="S1237" s="13"/>
      <c r="T1237" s="13"/>
      <c r="U1237" s="13"/>
      <c r="V1237" s="13"/>
      <c r="W1237" s="13"/>
      <c r="X1237" s="13"/>
      <c r="Y1237" s="13"/>
      <c r="Z1237" s="13"/>
      <c r="AA1237" s="13"/>
      <c r="AB1237" s="15"/>
      <c r="AC1237" s="15"/>
      <c r="AD1237" s="15"/>
      <c r="AE1237" s="13"/>
      <c r="AF1237" s="13"/>
      <c r="AG1237" s="13"/>
      <c r="AH1237" s="15"/>
      <c r="AI1237" s="13"/>
      <c r="AJ1237" s="13"/>
      <c r="AK1237" s="13"/>
      <c r="AL1237" s="13"/>
      <c r="AM1237" s="15"/>
      <c r="AN1237" s="13"/>
      <c r="AO1237" s="15"/>
      <c r="AP1237" s="15"/>
      <c r="AQ1237" s="13"/>
      <c r="AR1237" s="13"/>
      <c r="AS1237" s="13"/>
      <c r="AT1237" s="13"/>
      <c r="AU1237" s="13"/>
      <c r="AV1237" s="13"/>
      <c r="AW1237" s="13"/>
      <c r="AX1237" s="13"/>
      <c r="AY1237" s="15"/>
      <c r="AZ1237" s="15"/>
      <c r="BA1237" s="16"/>
      <c r="BB1237" s="15"/>
      <c r="BC1237" s="15"/>
      <c r="BD1237" s="13"/>
      <c r="BE1237" s="13"/>
      <c r="BF1237" s="13"/>
      <c r="BG1237" s="13"/>
      <c r="BH1237" s="13"/>
      <c r="BI1237" s="13"/>
      <c r="BJ1237" s="13"/>
      <c r="BK1237" s="13"/>
      <c r="BL1237" s="13"/>
      <c r="BM1237" s="13"/>
      <c r="BN1237" s="13"/>
      <c r="BO1237" s="13"/>
      <c r="BP1237" s="13"/>
      <c r="BQ1237" s="15"/>
      <c r="BR1237" s="15"/>
      <c r="BS1237" s="15"/>
      <c r="BT1237" s="15"/>
      <c r="BU1237" s="15"/>
      <c r="BV1237" s="15"/>
      <c r="BW1237" s="15"/>
      <c r="BX1237" s="15"/>
      <c r="BY1237" s="15"/>
      <c r="BZ1237" s="15"/>
      <c r="CA1237" s="15"/>
      <c r="CB1237" s="17"/>
      <c r="CC1237" s="17"/>
      <c r="CD1237" s="18"/>
      <c r="CE1237" s="18"/>
      <c r="CF1237" s="18"/>
      <c r="CG1237" s="18"/>
      <c r="CH1237" s="18"/>
    </row>
    <row r="1238">
      <c r="A1238" s="15"/>
      <c r="B1238" s="16"/>
      <c r="C1238" s="15"/>
      <c r="D1238" s="9"/>
      <c r="E1238" s="15"/>
      <c r="F1238" s="15"/>
      <c r="G1238" s="13"/>
      <c r="H1238" s="13"/>
      <c r="I1238" s="13"/>
      <c r="J1238" s="13"/>
      <c r="K1238" s="13"/>
      <c r="L1238" s="13"/>
      <c r="M1238" s="13"/>
      <c r="N1238" s="13"/>
      <c r="O1238" s="13"/>
      <c r="P1238" s="13"/>
      <c r="Q1238" s="13"/>
      <c r="R1238" s="13"/>
      <c r="S1238" s="13"/>
      <c r="T1238" s="13"/>
      <c r="U1238" s="13"/>
      <c r="V1238" s="13"/>
      <c r="W1238" s="13"/>
      <c r="X1238" s="13"/>
      <c r="Y1238" s="13"/>
      <c r="Z1238" s="13"/>
      <c r="AA1238" s="13"/>
      <c r="AB1238" s="15"/>
      <c r="AC1238" s="15"/>
      <c r="AD1238" s="15"/>
      <c r="AE1238" s="13"/>
      <c r="AF1238" s="13"/>
      <c r="AG1238" s="13"/>
      <c r="AH1238" s="15"/>
      <c r="AI1238" s="13"/>
      <c r="AJ1238" s="13"/>
      <c r="AK1238" s="13"/>
      <c r="AL1238" s="13"/>
      <c r="AM1238" s="15"/>
      <c r="AN1238" s="13"/>
      <c r="AO1238" s="15"/>
      <c r="AP1238" s="15"/>
      <c r="AQ1238" s="13"/>
      <c r="AR1238" s="13"/>
      <c r="AS1238" s="13"/>
      <c r="AT1238" s="13"/>
      <c r="AU1238" s="13"/>
      <c r="AV1238" s="13"/>
      <c r="AW1238" s="13"/>
      <c r="AX1238" s="13"/>
      <c r="AY1238" s="15"/>
      <c r="AZ1238" s="15"/>
      <c r="BA1238" s="16"/>
      <c r="BB1238" s="15"/>
      <c r="BC1238" s="15"/>
      <c r="BD1238" s="13"/>
      <c r="BE1238" s="13"/>
      <c r="BF1238" s="13"/>
      <c r="BG1238" s="13"/>
      <c r="BH1238" s="13"/>
      <c r="BI1238" s="13"/>
      <c r="BJ1238" s="13"/>
      <c r="BK1238" s="13"/>
      <c r="BL1238" s="13"/>
      <c r="BM1238" s="13"/>
      <c r="BN1238" s="13"/>
      <c r="BO1238" s="13"/>
      <c r="BP1238" s="13"/>
      <c r="BQ1238" s="15"/>
      <c r="BR1238" s="15"/>
      <c r="BS1238" s="15"/>
      <c r="BT1238" s="15"/>
      <c r="BU1238" s="15"/>
      <c r="BV1238" s="15"/>
      <c r="BW1238" s="15"/>
      <c r="BX1238" s="15"/>
      <c r="BY1238" s="15"/>
      <c r="BZ1238" s="15"/>
      <c r="CA1238" s="15"/>
      <c r="CB1238" s="17"/>
      <c r="CC1238" s="17"/>
      <c r="CD1238" s="18"/>
      <c r="CE1238" s="18"/>
      <c r="CF1238" s="18"/>
      <c r="CG1238" s="18"/>
      <c r="CH1238" s="18"/>
    </row>
    <row r="1239">
      <c r="A1239" s="15"/>
      <c r="B1239" s="16"/>
      <c r="C1239" s="15"/>
      <c r="D1239" s="9"/>
      <c r="E1239" s="15"/>
      <c r="F1239" s="15"/>
      <c r="G1239" s="13"/>
      <c r="H1239" s="13"/>
      <c r="I1239" s="13"/>
      <c r="J1239" s="13"/>
      <c r="K1239" s="13"/>
      <c r="L1239" s="13"/>
      <c r="M1239" s="13"/>
      <c r="N1239" s="13"/>
      <c r="O1239" s="13"/>
      <c r="P1239" s="13"/>
      <c r="Q1239" s="13"/>
      <c r="R1239" s="13"/>
      <c r="S1239" s="13"/>
      <c r="T1239" s="13"/>
      <c r="U1239" s="13"/>
      <c r="V1239" s="13"/>
      <c r="W1239" s="13"/>
      <c r="X1239" s="13"/>
      <c r="Y1239" s="13"/>
      <c r="Z1239" s="13"/>
      <c r="AA1239" s="13"/>
      <c r="AB1239" s="15"/>
      <c r="AC1239" s="15"/>
      <c r="AD1239" s="15"/>
      <c r="AE1239" s="13"/>
      <c r="AF1239" s="13"/>
      <c r="AG1239" s="13"/>
      <c r="AH1239" s="15"/>
      <c r="AI1239" s="13"/>
      <c r="AJ1239" s="13"/>
      <c r="AK1239" s="13"/>
      <c r="AL1239" s="13"/>
      <c r="AM1239" s="15"/>
      <c r="AN1239" s="13"/>
      <c r="AO1239" s="15"/>
      <c r="AP1239" s="15"/>
      <c r="AQ1239" s="13"/>
      <c r="AR1239" s="13"/>
      <c r="AS1239" s="13"/>
      <c r="AT1239" s="13"/>
      <c r="AU1239" s="13"/>
      <c r="AV1239" s="13"/>
      <c r="AW1239" s="13"/>
      <c r="AX1239" s="13"/>
      <c r="AY1239" s="15"/>
      <c r="AZ1239" s="15"/>
      <c r="BA1239" s="16"/>
      <c r="BB1239" s="15"/>
      <c r="BC1239" s="15"/>
      <c r="BD1239" s="13"/>
      <c r="BE1239" s="13"/>
      <c r="BF1239" s="13"/>
      <c r="BG1239" s="13"/>
      <c r="BH1239" s="13"/>
      <c r="BI1239" s="13"/>
      <c r="BJ1239" s="13"/>
      <c r="BK1239" s="13"/>
      <c r="BL1239" s="13"/>
      <c r="BM1239" s="13"/>
      <c r="BN1239" s="13"/>
      <c r="BO1239" s="13"/>
      <c r="BP1239" s="13"/>
      <c r="BQ1239" s="15"/>
      <c r="BR1239" s="15"/>
      <c r="BS1239" s="15"/>
      <c r="BT1239" s="15"/>
      <c r="BU1239" s="15"/>
      <c r="BV1239" s="15"/>
      <c r="BW1239" s="15"/>
      <c r="BX1239" s="15"/>
      <c r="BY1239" s="15"/>
      <c r="BZ1239" s="15"/>
      <c r="CA1239" s="15"/>
      <c r="CB1239" s="17"/>
      <c r="CC1239" s="17"/>
      <c r="CD1239" s="18"/>
      <c r="CE1239" s="18"/>
      <c r="CF1239" s="18"/>
      <c r="CG1239" s="18"/>
      <c r="CH1239" s="18"/>
    </row>
    <row r="1240">
      <c r="A1240" s="15"/>
      <c r="B1240" s="16"/>
      <c r="C1240" s="15"/>
      <c r="D1240" s="9"/>
      <c r="E1240" s="15"/>
      <c r="F1240" s="15"/>
      <c r="G1240" s="13"/>
      <c r="H1240" s="13"/>
      <c r="I1240" s="13"/>
      <c r="J1240" s="13"/>
      <c r="K1240" s="13"/>
      <c r="L1240" s="13"/>
      <c r="M1240" s="13"/>
      <c r="N1240" s="13"/>
      <c r="O1240" s="13"/>
      <c r="P1240" s="13"/>
      <c r="Q1240" s="13"/>
      <c r="R1240" s="13"/>
      <c r="S1240" s="13"/>
      <c r="T1240" s="13"/>
      <c r="U1240" s="13"/>
      <c r="V1240" s="13"/>
      <c r="W1240" s="13"/>
      <c r="X1240" s="13"/>
      <c r="Y1240" s="13"/>
      <c r="Z1240" s="13"/>
      <c r="AA1240" s="13"/>
      <c r="AB1240" s="15"/>
      <c r="AC1240" s="15"/>
      <c r="AD1240" s="15"/>
      <c r="AE1240" s="13"/>
      <c r="AF1240" s="13"/>
      <c r="AG1240" s="13"/>
      <c r="AH1240" s="15"/>
      <c r="AI1240" s="13"/>
      <c r="AJ1240" s="13"/>
      <c r="AK1240" s="13"/>
      <c r="AL1240" s="13"/>
      <c r="AM1240" s="15"/>
      <c r="AN1240" s="13"/>
      <c r="AO1240" s="15"/>
      <c r="AP1240" s="15"/>
      <c r="AQ1240" s="13"/>
      <c r="AR1240" s="13"/>
      <c r="AS1240" s="13"/>
      <c r="AT1240" s="13"/>
      <c r="AU1240" s="13"/>
      <c r="AV1240" s="13"/>
      <c r="AW1240" s="13"/>
      <c r="AX1240" s="13"/>
      <c r="AY1240" s="15"/>
      <c r="AZ1240" s="15"/>
      <c r="BA1240" s="16"/>
      <c r="BB1240" s="15"/>
      <c r="BC1240" s="15"/>
      <c r="BD1240" s="13"/>
      <c r="BE1240" s="13"/>
      <c r="BF1240" s="13"/>
      <c r="BG1240" s="13"/>
      <c r="BH1240" s="13"/>
      <c r="BI1240" s="13"/>
      <c r="BJ1240" s="13"/>
      <c r="BK1240" s="13"/>
      <c r="BL1240" s="13"/>
      <c r="BM1240" s="13"/>
      <c r="BN1240" s="13"/>
      <c r="BO1240" s="13"/>
      <c r="BP1240" s="13"/>
      <c r="BQ1240" s="15"/>
      <c r="BR1240" s="15"/>
      <c r="BS1240" s="15"/>
      <c r="BT1240" s="15"/>
      <c r="BU1240" s="15"/>
      <c r="BV1240" s="15"/>
      <c r="BW1240" s="15"/>
      <c r="BX1240" s="15"/>
      <c r="BY1240" s="15"/>
      <c r="BZ1240" s="15"/>
      <c r="CA1240" s="15"/>
      <c r="CB1240" s="17"/>
      <c r="CC1240" s="17"/>
      <c r="CD1240" s="18"/>
      <c r="CE1240" s="18"/>
      <c r="CF1240" s="18"/>
      <c r="CG1240" s="18"/>
      <c r="CH1240" s="18"/>
    </row>
    <row r="1241">
      <c r="A1241" s="15"/>
      <c r="B1241" s="16"/>
      <c r="C1241" s="15"/>
      <c r="D1241" s="9"/>
      <c r="E1241" s="15"/>
      <c r="F1241" s="15"/>
      <c r="G1241" s="13"/>
      <c r="H1241" s="13"/>
      <c r="I1241" s="13"/>
      <c r="J1241" s="13"/>
      <c r="K1241" s="13"/>
      <c r="L1241" s="13"/>
      <c r="M1241" s="13"/>
      <c r="N1241" s="13"/>
      <c r="O1241" s="13"/>
      <c r="P1241" s="13"/>
      <c r="Q1241" s="13"/>
      <c r="R1241" s="13"/>
      <c r="S1241" s="13"/>
      <c r="T1241" s="13"/>
      <c r="U1241" s="13"/>
      <c r="V1241" s="13"/>
      <c r="W1241" s="13"/>
      <c r="X1241" s="13"/>
      <c r="Y1241" s="13"/>
      <c r="Z1241" s="13"/>
      <c r="AA1241" s="13"/>
      <c r="AB1241" s="15"/>
      <c r="AC1241" s="15"/>
      <c r="AD1241" s="15"/>
      <c r="AE1241" s="13"/>
      <c r="AF1241" s="13"/>
      <c r="AG1241" s="13"/>
      <c r="AH1241" s="15"/>
      <c r="AI1241" s="13"/>
      <c r="AJ1241" s="13"/>
      <c r="AK1241" s="13"/>
      <c r="AL1241" s="13"/>
      <c r="AM1241" s="15"/>
      <c r="AN1241" s="13"/>
      <c r="AO1241" s="15"/>
      <c r="AP1241" s="15"/>
      <c r="AQ1241" s="13"/>
      <c r="AR1241" s="13"/>
      <c r="AS1241" s="13"/>
      <c r="AT1241" s="13"/>
      <c r="AU1241" s="13"/>
      <c r="AV1241" s="13"/>
      <c r="AW1241" s="13"/>
      <c r="AX1241" s="13"/>
      <c r="AY1241" s="15"/>
      <c r="AZ1241" s="15"/>
      <c r="BA1241" s="16"/>
      <c r="BB1241" s="15"/>
      <c r="BC1241" s="15"/>
      <c r="BD1241" s="13"/>
      <c r="BE1241" s="13"/>
      <c r="BF1241" s="13"/>
      <c r="BG1241" s="13"/>
      <c r="BH1241" s="13"/>
      <c r="BI1241" s="13"/>
      <c r="BJ1241" s="13"/>
      <c r="BK1241" s="13"/>
      <c r="BL1241" s="13"/>
      <c r="BM1241" s="13"/>
      <c r="BN1241" s="13"/>
      <c r="BO1241" s="13"/>
      <c r="BP1241" s="13"/>
      <c r="BQ1241" s="15"/>
      <c r="BR1241" s="15"/>
      <c r="BS1241" s="15"/>
      <c r="BT1241" s="15"/>
      <c r="BU1241" s="15"/>
      <c r="BV1241" s="15"/>
      <c r="BW1241" s="15"/>
      <c r="BX1241" s="15"/>
      <c r="BY1241" s="15"/>
      <c r="BZ1241" s="15"/>
      <c r="CA1241" s="15"/>
      <c r="CB1241" s="17"/>
      <c r="CC1241" s="17"/>
      <c r="CD1241" s="18"/>
      <c r="CE1241" s="18"/>
      <c r="CF1241" s="18"/>
      <c r="CG1241" s="18"/>
      <c r="CH1241" s="18"/>
    </row>
    <row r="1242">
      <c r="A1242" s="15"/>
      <c r="B1242" s="16"/>
      <c r="C1242" s="15"/>
      <c r="D1242" s="9"/>
      <c r="E1242" s="15"/>
      <c r="F1242" s="15"/>
      <c r="G1242" s="13"/>
      <c r="H1242" s="13"/>
      <c r="I1242" s="13"/>
      <c r="J1242" s="13"/>
      <c r="K1242" s="13"/>
      <c r="L1242" s="13"/>
      <c r="M1242" s="13"/>
      <c r="N1242" s="13"/>
      <c r="O1242" s="13"/>
      <c r="P1242" s="13"/>
      <c r="Q1242" s="13"/>
      <c r="R1242" s="13"/>
      <c r="S1242" s="13"/>
      <c r="T1242" s="13"/>
      <c r="U1242" s="13"/>
      <c r="V1242" s="13"/>
      <c r="W1242" s="13"/>
      <c r="X1242" s="13"/>
      <c r="Y1242" s="13"/>
      <c r="Z1242" s="13"/>
      <c r="AA1242" s="13"/>
      <c r="AB1242" s="15"/>
      <c r="AC1242" s="15"/>
      <c r="AD1242" s="15"/>
      <c r="AE1242" s="13"/>
      <c r="AF1242" s="13"/>
      <c r="AG1242" s="13"/>
      <c r="AH1242" s="15"/>
      <c r="AI1242" s="13"/>
      <c r="AJ1242" s="13"/>
      <c r="AK1242" s="13"/>
      <c r="AL1242" s="13"/>
      <c r="AM1242" s="15"/>
      <c r="AN1242" s="13"/>
      <c r="AO1242" s="15"/>
      <c r="AP1242" s="15"/>
      <c r="AQ1242" s="13"/>
      <c r="AR1242" s="13"/>
      <c r="AS1242" s="13"/>
      <c r="AT1242" s="13"/>
      <c r="AU1242" s="13"/>
      <c r="AV1242" s="13"/>
      <c r="AW1242" s="13"/>
      <c r="AX1242" s="13"/>
      <c r="AY1242" s="15"/>
      <c r="AZ1242" s="15"/>
      <c r="BA1242" s="16"/>
      <c r="BB1242" s="15"/>
      <c r="BC1242" s="15"/>
      <c r="BD1242" s="13"/>
      <c r="BE1242" s="13"/>
      <c r="BF1242" s="13"/>
      <c r="BG1242" s="13"/>
      <c r="BH1242" s="13"/>
      <c r="BI1242" s="13"/>
      <c r="BJ1242" s="13"/>
      <c r="BK1242" s="13"/>
      <c r="BL1242" s="13"/>
      <c r="BM1242" s="13"/>
      <c r="BN1242" s="13"/>
      <c r="BO1242" s="13"/>
      <c r="BP1242" s="13"/>
      <c r="BQ1242" s="15"/>
      <c r="BR1242" s="15"/>
      <c r="BS1242" s="15"/>
      <c r="BT1242" s="15"/>
      <c r="BU1242" s="15"/>
      <c r="BV1242" s="15"/>
      <c r="BW1242" s="15"/>
      <c r="BX1242" s="15"/>
      <c r="BY1242" s="15"/>
      <c r="BZ1242" s="15"/>
      <c r="CA1242" s="15"/>
      <c r="CB1242" s="17"/>
      <c r="CC1242" s="17"/>
      <c r="CD1242" s="18"/>
      <c r="CE1242" s="18"/>
      <c r="CF1242" s="18"/>
      <c r="CG1242" s="18"/>
      <c r="CH1242" s="18"/>
    </row>
    <row r="1243">
      <c r="A1243" s="15"/>
      <c r="B1243" s="16"/>
      <c r="C1243" s="15"/>
      <c r="D1243" s="9"/>
      <c r="E1243" s="15"/>
      <c r="F1243" s="15"/>
      <c r="G1243" s="13"/>
      <c r="H1243" s="13"/>
      <c r="I1243" s="13"/>
      <c r="J1243" s="13"/>
      <c r="K1243" s="13"/>
      <c r="L1243" s="13"/>
      <c r="M1243" s="13"/>
      <c r="N1243" s="13"/>
      <c r="O1243" s="13"/>
      <c r="P1243" s="13"/>
      <c r="Q1243" s="13"/>
      <c r="R1243" s="13"/>
      <c r="S1243" s="13"/>
      <c r="T1243" s="13"/>
      <c r="U1243" s="13"/>
      <c r="V1243" s="13"/>
      <c r="W1243" s="13"/>
      <c r="X1243" s="13"/>
      <c r="Y1243" s="13"/>
      <c r="Z1243" s="13"/>
      <c r="AA1243" s="13"/>
      <c r="AB1243" s="15"/>
      <c r="AC1243" s="15"/>
      <c r="AD1243" s="15"/>
      <c r="AE1243" s="13"/>
      <c r="AF1243" s="13"/>
      <c r="AG1243" s="13"/>
      <c r="AH1243" s="15"/>
      <c r="AI1243" s="13"/>
      <c r="AJ1243" s="13"/>
      <c r="AK1243" s="13"/>
      <c r="AL1243" s="13"/>
      <c r="AM1243" s="15"/>
      <c r="AN1243" s="13"/>
      <c r="AO1243" s="15"/>
      <c r="AP1243" s="15"/>
      <c r="AQ1243" s="13"/>
      <c r="AR1243" s="13"/>
      <c r="AS1243" s="13"/>
      <c r="AT1243" s="13"/>
      <c r="AU1243" s="13"/>
      <c r="AV1243" s="13"/>
      <c r="AW1243" s="13"/>
      <c r="AX1243" s="13"/>
      <c r="AY1243" s="15"/>
      <c r="AZ1243" s="15"/>
      <c r="BA1243" s="16"/>
      <c r="BB1243" s="15"/>
      <c r="BC1243" s="15"/>
      <c r="BD1243" s="13"/>
      <c r="BE1243" s="13"/>
      <c r="BF1243" s="13"/>
      <c r="BG1243" s="13"/>
      <c r="BH1243" s="13"/>
      <c r="BI1243" s="13"/>
      <c r="BJ1243" s="13"/>
      <c r="BK1243" s="13"/>
      <c r="BL1243" s="13"/>
      <c r="BM1243" s="13"/>
      <c r="BN1243" s="13"/>
      <c r="BO1243" s="13"/>
      <c r="BP1243" s="13"/>
      <c r="BQ1243" s="15"/>
      <c r="BR1243" s="15"/>
      <c r="BS1243" s="15"/>
      <c r="BT1243" s="15"/>
      <c r="BU1243" s="15"/>
      <c r="BV1243" s="15"/>
      <c r="BW1243" s="15"/>
      <c r="BX1243" s="15"/>
      <c r="BY1243" s="15"/>
      <c r="BZ1243" s="15"/>
      <c r="CA1243" s="15"/>
      <c r="CB1243" s="17"/>
      <c r="CC1243" s="17"/>
      <c r="CD1243" s="18"/>
      <c r="CE1243" s="18"/>
      <c r="CF1243" s="18"/>
      <c r="CG1243" s="18"/>
      <c r="CH1243" s="18"/>
    </row>
    <row r="1244">
      <c r="A1244" s="15"/>
      <c r="B1244" s="16"/>
      <c r="C1244" s="15"/>
      <c r="D1244" s="9"/>
      <c r="E1244" s="15"/>
      <c r="F1244" s="15"/>
      <c r="G1244" s="13"/>
      <c r="H1244" s="13"/>
      <c r="I1244" s="13"/>
      <c r="J1244" s="13"/>
      <c r="K1244" s="13"/>
      <c r="L1244" s="13"/>
      <c r="M1244" s="13"/>
      <c r="N1244" s="13"/>
      <c r="O1244" s="13"/>
      <c r="P1244" s="13"/>
      <c r="Q1244" s="13"/>
      <c r="R1244" s="13"/>
      <c r="S1244" s="13"/>
      <c r="T1244" s="13"/>
      <c r="U1244" s="13"/>
      <c r="V1244" s="13"/>
      <c r="W1244" s="13"/>
      <c r="X1244" s="13"/>
      <c r="Y1244" s="13"/>
      <c r="Z1244" s="13"/>
      <c r="AA1244" s="13"/>
      <c r="AB1244" s="15"/>
      <c r="AC1244" s="15"/>
      <c r="AD1244" s="15"/>
      <c r="AE1244" s="13"/>
      <c r="AF1244" s="13"/>
      <c r="AG1244" s="13"/>
      <c r="AH1244" s="15"/>
      <c r="AI1244" s="13"/>
      <c r="AJ1244" s="13"/>
      <c r="AK1244" s="13"/>
      <c r="AL1244" s="13"/>
      <c r="AM1244" s="15"/>
      <c r="AN1244" s="13"/>
      <c r="AO1244" s="15"/>
      <c r="AP1244" s="15"/>
      <c r="AQ1244" s="13"/>
      <c r="AR1244" s="13"/>
      <c r="AS1244" s="13"/>
      <c r="AT1244" s="13"/>
      <c r="AU1244" s="13"/>
      <c r="AV1244" s="13"/>
      <c r="AW1244" s="13"/>
      <c r="AX1244" s="13"/>
      <c r="AY1244" s="15"/>
      <c r="AZ1244" s="15"/>
      <c r="BA1244" s="16"/>
      <c r="BB1244" s="15"/>
      <c r="BC1244" s="15"/>
      <c r="BD1244" s="13"/>
      <c r="BE1244" s="13"/>
      <c r="BF1244" s="13"/>
      <c r="BG1244" s="13"/>
      <c r="BH1244" s="13"/>
      <c r="BI1244" s="13"/>
      <c r="BJ1244" s="13"/>
      <c r="BK1244" s="13"/>
      <c r="BL1244" s="13"/>
      <c r="BM1244" s="13"/>
      <c r="BN1244" s="13"/>
      <c r="BO1244" s="13"/>
      <c r="BP1244" s="13"/>
      <c r="BQ1244" s="15"/>
      <c r="BR1244" s="15"/>
      <c r="BS1244" s="15"/>
      <c r="BT1244" s="15"/>
      <c r="BU1244" s="15"/>
      <c r="BV1244" s="15"/>
      <c r="BW1244" s="15"/>
      <c r="BX1244" s="15"/>
      <c r="BY1244" s="15"/>
      <c r="BZ1244" s="15"/>
      <c r="CA1244" s="15"/>
      <c r="CB1244" s="17"/>
      <c r="CC1244" s="17"/>
      <c r="CD1244" s="18"/>
      <c r="CE1244" s="18"/>
      <c r="CF1244" s="18"/>
      <c r="CG1244" s="18"/>
      <c r="CH1244" s="18"/>
    </row>
    <row r="1245">
      <c r="A1245" s="15"/>
      <c r="B1245" s="16"/>
      <c r="C1245" s="15"/>
      <c r="D1245" s="9"/>
      <c r="E1245" s="15"/>
      <c r="F1245" s="15"/>
      <c r="G1245" s="13"/>
      <c r="H1245" s="13"/>
      <c r="I1245" s="13"/>
      <c r="J1245" s="13"/>
      <c r="K1245" s="13"/>
      <c r="L1245" s="13"/>
      <c r="M1245" s="13"/>
      <c r="N1245" s="13"/>
      <c r="O1245" s="13"/>
      <c r="P1245" s="13"/>
      <c r="Q1245" s="13"/>
      <c r="R1245" s="13"/>
      <c r="S1245" s="13"/>
      <c r="T1245" s="13"/>
      <c r="U1245" s="13"/>
      <c r="V1245" s="13"/>
      <c r="W1245" s="13"/>
      <c r="X1245" s="13"/>
      <c r="Y1245" s="13"/>
      <c r="Z1245" s="13"/>
      <c r="AA1245" s="13"/>
      <c r="AB1245" s="15"/>
      <c r="AC1245" s="15"/>
      <c r="AD1245" s="15"/>
      <c r="AE1245" s="13"/>
      <c r="AF1245" s="13"/>
      <c r="AG1245" s="13"/>
      <c r="AH1245" s="15"/>
      <c r="AI1245" s="13"/>
      <c r="AJ1245" s="13"/>
      <c r="AK1245" s="13"/>
      <c r="AL1245" s="13"/>
      <c r="AM1245" s="15"/>
      <c r="AN1245" s="13"/>
      <c r="AO1245" s="15"/>
      <c r="AP1245" s="15"/>
      <c r="AQ1245" s="13"/>
      <c r="AR1245" s="13"/>
      <c r="AS1245" s="13"/>
      <c r="AT1245" s="13"/>
      <c r="AU1245" s="13"/>
      <c r="AV1245" s="13"/>
      <c r="AW1245" s="13"/>
      <c r="AX1245" s="13"/>
      <c r="AY1245" s="15"/>
      <c r="AZ1245" s="15"/>
      <c r="BA1245" s="16"/>
      <c r="BB1245" s="15"/>
      <c r="BC1245" s="15"/>
      <c r="BD1245" s="13"/>
      <c r="BE1245" s="13"/>
      <c r="BF1245" s="13"/>
      <c r="BG1245" s="13"/>
      <c r="BH1245" s="13"/>
      <c r="BI1245" s="13"/>
      <c r="BJ1245" s="13"/>
      <c r="BK1245" s="13"/>
      <c r="BL1245" s="13"/>
      <c r="BM1245" s="13"/>
      <c r="BN1245" s="13"/>
      <c r="BO1245" s="13"/>
      <c r="BP1245" s="13"/>
      <c r="BQ1245" s="15"/>
      <c r="BR1245" s="15"/>
      <c r="BS1245" s="15"/>
      <c r="BT1245" s="15"/>
      <c r="BU1245" s="15"/>
      <c r="BV1245" s="15"/>
      <c r="BW1245" s="15"/>
      <c r="BX1245" s="15"/>
      <c r="BY1245" s="15"/>
      <c r="BZ1245" s="15"/>
      <c r="CA1245" s="15"/>
      <c r="CB1245" s="17"/>
      <c r="CC1245" s="17"/>
      <c r="CD1245" s="18"/>
      <c r="CE1245" s="18"/>
      <c r="CF1245" s="18"/>
      <c r="CG1245" s="18"/>
      <c r="CH1245" s="18"/>
    </row>
    <row r="1246">
      <c r="A1246" s="15"/>
      <c r="B1246" s="16"/>
      <c r="C1246" s="15"/>
      <c r="D1246" s="9"/>
      <c r="E1246" s="15"/>
      <c r="F1246" s="15"/>
      <c r="G1246" s="13"/>
      <c r="H1246" s="13"/>
      <c r="I1246" s="13"/>
      <c r="J1246" s="13"/>
      <c r="K1246" s="13"/>
      <c r="L1246" s="13"/>
      <c r="M1246" s="13"/>
      <c r="N1246" s="13"/>
      <c r="O1246" s="13"/>
      <c r="P1246" s="13"/>
      <c r="Q1246" s="13"/>
      <c r="R1246" s="13"/>
      <c r="S1246" s="13"/>
      <c r="T1246" s="13"/>
      <c r="U1246" s="13"/>
      <c r="V1246" s="13"/>
      <c r="W1246" s="13"/>
      <c r="X1246" s="13"/>
      <c r="Y1246" s="13"/>
      <c r="Z1246" s="13"/>
      <c r="AA1246" s="13"/>
      <c r="AB1246" s="15"/>
      <c r="AC1246" s="15"/>
      <c r="AD1246" s="15"/>
      <c r="AE1246" s="13"/>
      <c r="AF1246" s="13"/>
      <c r="AG1246" s="13"/>
      <c r="AH1246" s="15"/>
      <c r="AI1246" s="13"/>
      <c r="AJ1246" s="13"/>
      <c r="AK1246" s="13"/>
      <c r="AL1246" s="13"/>
      <c r="AM1246" s="15"/>
      <c r="AN1246" s="13"/>
      <c r="AO1246" s="15"/>
      <c r="AP1246" s="15"/>
      <c r="AQ1246" s="13"/>
      <c r="AR1246" s="13"/>
      <c r="AS1246" s="13"/>
      <c r="AT1246" s="13"/>
      <c r="AU1246" s="13"/>
      <c r="AV1246" s="13"/>
      <c r="AW1246" s="13"/>
      <c r="AX1246" s="13"/>
      <c r="AY1246" s="15"/>
      <c r="AZ1246" s="15"/>
      <c r="BA1246" s="16"/>
      <c r="BB1246" s="15"/>
      <c r="BC1246" s="15"/>
      <c r="BD1246" s="13"/>
      <c r="BE1246" s="13"/>
      <c r="BF1246" s="13"/>
      <c r="BG1246" s="13"/>
      <c r="BH1246" s="13"/>
      <c r="BI1246" s="13"/>
      <c r="BJ1246" s="13"/>
      <c r="BK1246" s="13"/>
      <c r="BL1246" s="13"/>
      <c r="BM1246" s="13"/>
      <c r="BN1246" s="13"/>
      <c r="BO1246" s="13"/>
      <c r="BP1246" s="13"/>
      <c r="BQ1246" s="15"/>
      <c r="BR1246" s="15"/>
      <c r="BS1246" s="15"/>
      <c r="BT1246" s="15"/>
      <c r="BU1246" s="15"/>
      <c r="BV1246" s="15"/>
      <c r="BW1246" s="15"/>
      <c r="BX1246" s="15"/>
      <c r="BY1246" s="15"/>
      <c r="BZ1246" s="15"/>
      <c r="CA1246" s="15"/>
      <c r="CB1246" s="17"/>
      <c r="CC1246" s="17"/>
      <c r="CD1246" s="18"/>
      <c r="CE1246" s="18"/>
      <c r="CF1246" s="18"/>
      <c r="CG1246" s="18"/>
      <c r="CH1246" s="18"/>
    </row>
    <row r="1247">
      <c r="A1247" s="15"/>
      <c r="B1247" s="16"/>
      <c r="C1247" s="15"/>
      <c r="D1247" s="9"/>
      <c r="E1247" s="15"/>
      <c r="F1247" s="15"/>
      <c r="G1247" s="13"/>
      <c r="H1247" s="13"/>
      <c r="I1247" s="13"/>
      <c r="J1247" s="13"/>
      <c r="K1247" s="13"/>
      <c r="L1247" s="13"/>
      <c r="M1247" s="13"/>
      <c r="N1247" s="13"/>
      <c r="O1247" s="13"/>
      <c r="P1247" s="13"/>
      <c r="Q1247" s="13"/>
      <c r="R1247" s="13"/>
      <c r="S1247" s="13"/>
      <c r="T1247" s="13"/>
      <c r="U1247" s="13"/>
      <c r="V1247" s="13"/>
      <c r="W1247" s="13"/>
      <c r="X1247" s="13"/>
      <c r="Y1247" s="13"/>
      <c r="Z1247" s="13"/>
      <c r="AA1247" s="13"/>
      <c r="AB1247" s="15"/>
      <c r="AC1247" s="15"/>
      <c r="AD1247" s="15"/>
      <c r="AE1247" s="13"/>
      <c r="AF1247" s="13"/>
      <c r="AG1247" s="13"/>
      <c r="AH1247" s="15"/>
      <c r="AI1247" s="13"/>
      <c r="AJ1247" s="13"/>
      <c r="AK1247" s="13"/>
      <c r="AL1247" s="13"/>
      <c r="AM1247" s="15"/>
      <c r="AN1247" s="13"/>
      <c r="AO1247" s="15"/>
      <c r="AP1247" s="15"/>
      <c r="AQ1247" s="13"/>
      <c r="AR1247" s="13"/>
      <c r="AS1247" s="13"/>
      <c r="AT1247" s="13"/>
      <c r="AU1247" s="13"/>
      <c r="AV1247" s="13"/>
      <c r="AW1247" s="13"/>
      <c r="AX1247" s="13"/>
      <c r="AY1247" s="15"/>
      <c r="AZ1247" s="15"/>
      <c r="BA1247" s="16"/>
      <c r="BB1247" s="15"/>
      <c r="BC1247" s="15"/>
      <c r="BD1247" s="13"/>
      <c r="BE1247" s="13"/>
      <c r="BF1247" s="13"/>
      <c r="BG1247" s="13"/>
      <c r="BH1247" s="13"/>
      <c r="BI1247" s="13"/>
      <c r="BJ1247" s="13"/>
      <c r="BK1247" s="13"/>
      <c r="BL1247" s="13"/>
      <c r="BM1247" s="13"/>
      <c r="BN1247" s="13"/>
      <c r="BO1247" s="13"/>
      <c r="BP1247" s="13"/>
      <c r="BQ1247" s="15"/>
      <c r="BR1247" s="15"/>
      <c r="BS1247" s="15"/>
      <c r="BT1247" s="15"/>
      <c r="BU1247" s="15"/>
      <c r="BV1247" s="15"/>
      <c r="BW1247" s="15"/>
      <c r="BX1247" s="15"/>
      <c r="BY1247" s="15"/>
      <c r="BZ1247" s="15"/>
      <c r="CA1247" s="15"/>
      <c r="CB1247" s="17"/>
      <c r="CC1247" s="17"/>
      <c r="CD1247" s="18"/>
      <c r="CE1247" s="18"/>
      <c r="CF1247" s="18"/>
      <c r="CG1247" s="18"/>
      <c r="CH1247" s="18"/>
    </row>
    <row r="1248">
      <c r="A1248" s="15"/>
      <c r="B1248" s="16"/>
      <c r="C1248" s="15"/>
      <c r="D1248" s="9"/>
      <c r="E1248" s="15"/>
      <c r="F1248" s="15"/>
      <c r="G1248" s="13"/>
      <c r="H1248" s="13"/>
      <c r="I1248" s="13"/>
      <c r="J1248" s="13"/>
      <c r="K1248" s="13"/>
      <c r="L1248" s="13"/>
      <c r="M1248" s="13"/>
      <c r="N1248" s="13"/>
      <c r="O1248" s="13"/>
      <c r="P1248" s="13"/>
      <c r="Q1248" s="13"/>
      <c r="R1248" s="13"/>
      <c r="S1248" s="13"/>
      <c r="T1248" s="13"/>
      <c r="U1248" s="13"/>
      <c r="V1248" s="13"/>
      <c r="W1248" s="13"/>
      <c r="X1248" s="13"/>
      <c r="Y1248" s="13"/>
      <c r="Z1248" s="13"/>
      <c r="AA1248" s="13"/>
      <c r="AB1248" s="15"/>
      <c r="AC1248" s="15"/>
      <c r="AD1248" s="15"/>
      <c r="AE1248" s="13"/>
      <c r="AF1248" s="13"/>
      <c r="AG1248" s="13"/>
      <c r="AH1248" s="15"/>
      <c r="AI1248" s="13"/>
      <c r="AJ1248" s="13"/>
      <c r="AK1248" s="13"/>
      <c r="AL1248" s="13"/>
      <c r="AM1248" s="15"/>
      <c r="AN1248" s="13"/>
      <c r="AO1248" s="15"/>
      <c r="AP1248" s="15"/>
      <c r="AQ1248" s="13"/>
      <c r="AR1248" s="13"/>
      <c r="AS1248" s="13"/>
      <c r="AT1248" s="13"/>
      <c r="AU1248" s="13"/>
      <c r="AV1248" s="13"/>
      <c r="AW1248" s="13"/>
      <c r="AX1248" s="13"/>
      <c r="AY1248" s="15"/>
      <c r="AZ1248" s="15"/>
      <c r="BA1248" s="16"/>
      <c r="BB1248" s="15"/>
      <c r="BC1248" s="15"/>
      <c r="BD1248" s="13"/>
      <c r="BE1248" s="13"/>
      <c r="BF1248" s="13"/>
      <c r="BG1248" s="13"/>
      <c r="BH1248" s="13"/>
      <c r="BI1248" s="13"/>
      <c r="BJ1248" s="13"/>
      <c r="BK1248" s="13"/>
      <c r="BL1248" s="13"/>
      <c r="BM1248" s="13"/>
      <c r="BN1248" s="13"/>
      <c r="BO1248" s="13"/>
      <c r="BP1248" s="13"/>
      <c r="BQ1248" s="15"/>
      <c r="BR1248" s="15"/>
      <c r="BS1248" s="15"/>
      <c r="BT1248" s="15"/>
      <c r="BU1248" s="15"/>
      <c r="BV1248" s="15"/>
      <c r="BW1248" s="15"/>
      <c r="BX1248" s="15"/>
      <c r="BY1248" s="15"/>
      <c r="BZ1248" s="15"/>
      <c r="CA1248" s="15"/>
      <c r="CB1248" s="17"/>
      <c r="CC1248" s="17"/>
      <c r="CD1248" s="18"/>
      <c r="CE1248" s="18"/>
      <c r="CF1248" s="18"/>
      <c r="CG1248" s="18"/>
      <c r="CH1248" s="18"/>
    </row>
    <row r="1249">
      <c r="A1249" s="15"/>
      <c r="B1249" s="16"/>
      <c r="C1249" s="15"/>
      <c r="D1249" s="9"/>
      <c r="E1249" s="15"/>
      <c r="F1249" s="15"/>
      <c r="G1249" s="13"/>
      <c r="H1249" s="13"/>
      <c r="I1249" s="13"/>
      <c r="J1249" s="13"/>
      <c r="K1249" s="13"/>
      <c r="L1249" s="13"/>
      <c r="M1249" s="13"/>
      <c r="N1249" s="13"/>
      <c r="O1249" s="13"/>
      <c r="P1249" s="13"/>
      <c r="Q1249" s="13"/>
      <c r="R1249" s="13"/>
      <c r="S1249" s="13"/>
      <c r="T1249" s="13"/>
      <c r="U1249" s="13"/>
      <c r="V1249" s="13"/>
      <c r="W1249" s="13"/>
      <c r="X1249" s="13"/>
      <c r="Y1249" s="13"/>
      <c r="Z1249" s="13"/>
      <c r="AA1249" s="13"/>
      <c r="AB1249" s="15"/>
      <c r="AC1249" s="15"/>
      <c r="AD1249" s="15"/>
      <c r="AE1249" s="13"/>
      <c r="AF1249" s="13"/>
      <c r="AG1249" s="13"/>
      <c r="AH1249" s="15"/>
      <c r="AI1249" s="13"/>
      <c r="AJ1249" s="13"/>
      <c r="AK1249" s="13"/>
      <c r="AL1249" s="13"/>
      <c r="AM1249" s="15"/>
      <c r="AN1249" s="13"/>
      <c r="AO1249" s="15"/>
      <c r="AP1249" s="15"/>
      <c r="AQ1249" s="13"/>
      <c r="AR1249" s="13"/>
      <c r="AS1249" s="13"/>
      <c r="AT1249" s="13"/>
      <c r="AU1249" s="13"/>
      <c r="AV1249" s="13"/>
      <c r="AW1249" s="13"/>
      <c r="AX1249" s="13"/>
      <c r="AY1249" s="15"/>
      <c r="AZ1249" s="15"/>
      <c r="BA1249" s="16"/>
      <c r="BB1249" s="15"/>
      <c r="BC1249" s="15"/>
      <c r="BD1249" s="13"/>
      <c r="BE1249" s="13"/>
      <c r="BF1249" s="13"/>
      <c r="BG1249" s="13"/>
      <c r="BH1249" s="13"/>
      <c r="BI1249" s="13"/>
      <c r="BJ1249" s="13"/>
      <c r="BK1249" s="13"/>
      <c r="BL1249" s="13"/>
      <c r="BM1249" s="13"/>
      <c r="BN1249" s="13"/>
      <c r="BO1249" s="13"/>
      <c r="BP1249" s="13"/>
      <c r="BQ1249" s="15"/>
      <c r="BR1249" s="15"/>
      <c r="BS1249" s="15"/>
      <c r="BT1249" s="15"/>
      <c r="BU1249" s="15"/>
      <c r="BV1249" s="15"/>
      <c r="BW1249" s="15"/>
      <c r="BX1249" s="15"/>
      <c r="BY1249" s="15"/>
      <c r="BZ1249" s="15"/>
      <c r="CA1249" s="15"/>
      <c r="CB1249" s="17"/>
      <c r="CC1249" s="17"/>
      <c r="CD1249" s="18"/>
      <c r="CE1249" s="18"/>
      <c r="CF1249" s="18"/>
      <c r="CG1249" s="18"/>
      <c r="CH1249" s="18"/>
    </row>
    <row r="1250">
      <c r="A1250" s="15"/>
      <c r="B1250" s="16"/>
      <c r="C1250" s="15"/>
      <c r="D1250" s="9"/>
      <c r="E1250" s="15"/>
      <c r="F1250" s="15"/>
      <c r="G1250" s="13"/>
      <c r="H1250" s="13"/>
      <c r="I1250" s="13"/>
      <c r="J1250" s="13"/>
      <c r="K1250" s="13"/>
      <c r="L1250" s="13"/>
      <c r="M1250" s="13"/>
      <c r="N1250" s="13"/>
      <c r="O1250" s="13"/>
      <c r="P1250" s="13"/>
      <c r="Q1250" s="13"/>
      <c r="R1250" s="13"/>
      <c r="S1250" s="13"/>
      <c r="T1250" s="13"/>
      <c r="U1250" s="13"/>
      <c r="V1250" s="13"/>
      <c r="W1250" s="13"/>
      <c r="X1250" s="13"/>
      <c r="Y1250" s="13"/>
      <c r="Z1250" s="13"/>
      <c r="AA1250" s="13"/>
      <c r="AB1250" s="15"/>
      <c r="AC1250" s="15"/>
      <c r="AD1250" s="15"/>
      <c r="AE1250" s="13"/>
      <c r="AF1250" s="13"/>
      <c r="AG1250" s="13"/>
      <c r="AH1250" s="15"/>
      <c r="AI1250" s="13"/>
      <c r="AJ1250" s="13"/>
      <c r="AK1250" s="13"/>
      <c r="AL1250" s="13"/>
      <c r="AM1250" s="15"/>
      <c r="AN1250" s="13"/>
      <c r="AO1250" s="15"/>
      <c r="AP1250" s="15"/>
      <c r="AQ1250" s="13"/>
      <c r="AR1250" s="13"/>
      <c r="AS1250" s="13"/>
      <c r="AT1250" s="13"/>
      <c r="AU1250" s="13"/>
      <c r="AV1250" s="13"/>
      <c r="AW1250" s="13"/>
      <c r="AX1250" s="13"/>
      <c r="AY1250" s="15"/>
      <c r="AZ1250" s="15"/>
      <c r="BA1250" s="16"/>
      <c r="BB1250" s="15"/>
      <c r="BC1250" s="15"/>
      <c r="BD1250" s="13"/>
      <c r="BE1250" s="13"/>
      <c r="BF1250" s="13"/>
      <c r="BG1250" s="13"/>
      <c r="BH1250" s="13"/>
      <c r="BI1250" s="13"/>
      <c r="BJ1250" s="13"/>
      <c r="BK1250" s="13"/>
      <c r="BL1250" s="13"/>
      <c r="BM1250" s="13"/>
      <c r="BN1250" s="13"/>
      <c r="BO1250" s="13"/>
      <c r="BP1250" s="13"/>
      <c r="BQ1250" s="15"/>
      <c r="BR1250" s="15"/>
      <c r="BS1250" s="15"/>
      <c r="BT1250" s="15"/>
      <c r="BU1250" s="15"/>
      <c r="BV1250" s="15"/>
      <c r="BW1250" s="15"/>
      <c r="BX1250" s="15"/>
      <c r="BY1250" s="15"/>
      <c r="BZ1250" s="15"/>
      <c r="CA1250" s="15"/>
      <c r="CB1250" s="17"/>
      <c r="CC1250" s="17"/>
      <c r="CD1250" s="18"/>
      <c r="CE1250" s="18"/>
      <c r="CF1250" s="18"/>
      <c r="CG1250" s="18"/>
      <c r="CH1250" s="18"/>
    </row>
    <row r="1251">
      <c r="A1251" s="15"/>
      <c r="B1251" s="16"/>
      <c r="C1251" s="15"/>
      <c r="D1251" s="9"/>
      <c r="E1251" s="15"/>
      <c r="F1251" s="15"/>
      <c r="G1251" s="13"/>
      <c r="H1251" s="13"/>
      <c r="I1251" s="13"/>
      <c r="J1251" s="13"/>
      <c r="K1251" s="13"/>
      <c r="L1251" s="13"/>
      <c r="M1251" s="13"/>
      <c r="N1251" s="13"/>
      <c r="O1251" s="13"/>
      <c r="P1251" s="13"/>
      <c r="Q1251" s="13"/>
      <c r="R1251" s="13"/>
      <c r="S1251" s="13"/>
      <c r="T1251" s="13"/>
      <c r="U1251" s="13"/>
      <c r="V1251" s="13"/>
      <c r="W1251" s="13"/>
      <c r="X1251" s="13"/>
      <c r="Y1251" s="13"/>
      <c r="Z1251" s="13"/>
      <c r="AA1251" s="13"/>
      <c r="AB1251" s="15"/>
      <c r="AC1251" s="15"/>
      <c r="AD1251" s="15"/>
      <c r="AE1251" s="13"/>
      <c r="AF1251" s="13"/>
      <c r="AG1251" s="13"/>
      <c r="AH1251" s="15"/>
      <c r="AI1251" s="13"/>
      <c r="AJ1251" s="13"/>
      <c r="AK1251" s="13"/>
      <c r="AL1251" s="13"/>
      <c r="AM1251" s="15"/>
      <c r="AN1251" s="13"/>
      <c r="AO1251" s="15"/>
      <c r="AP1251" s="15"/>
      <c r="AQ1251" s="13"/>
      <c r="AR1251" s="13"/>
      <c r="AS1251" s="13"/>
      <c r="AT1251" s="13"/>
      <c r="AU1251" s="13"/>
      <c r="AV1251" s="13"/>
      <c r="AW1251" s="13"/>
      <c r="AX1251" s="13"/>
      <c r="AY1251" s="15"/>
      <c r="AZ1251" s="15"/>
      <c r="BA1251" s="16"/>
      <c r="BB1251" s="15"/>
      <c r="BC1251" s="15"/>
      <c r="BD1251" s="13"/>
      <c r="BE1251" s="13"/>
      <c r="BF1251" s="13"/>
      <c r="BG1251" s="13"/>
      <c r="BH1251" s="13"/>
      <c r="BI1251" s="13"/>
      <c r="BJ1251" s="13"/>
      <c r="BK1251" s="13"/>
      <c r="BL1251" s="13"/>
      <c r="BM1251" s="13"/>
      <c r="BN1251" s="13"/>
      <c r="BO1251" s="13"/>
      <c r="BP1251" s="13"/>
      <c r="BQ1251" s="15"/>
      <c r="BR1251" s="15"/>
      <c r="BS1251" s="15"/>
      <c r="BT1251" s="15"/>
      <c r="BU1251" s="15"/>
      <c r="BV1251" s="15"/>
      <c r="BW1251" s="15"/>
      <c r="BX1251" s="15"/>
      <c r="BY1251" s="15"/>
      <c r="BZ1251" s="15"/>
      <c r="CA1251" s="15"/>
      <c r="CB1251" s="17"/>
      <c r="CC1251" s="17"/>
      <c r="CD1251" s="18"/>
      <c r="CE1251" s="18"/>
      <c r="CF1251" s="18"/>
      <c r="CG1251" s="18"/>
      <c r="CH1251" s="18"/>
    </row>
    <row r="1252">
      <c r="A1252" s="15"/>
      <c r="B1252" s="16"/>
      <c r="C1252" s="15"/>
      <c r="D1252" s="9"/>
      <c r="E1252" s="15"/>
      <c r="F1252" s="15"/>
      <c r="G1252" s="13"/>
      <c r="H1252" s="13"/>
      <c r="I1252" s="13"/>
      <c r="J1252" s="13"/>
      <c r="K1252" s="13"/>
      <c r="L1252" s="13"/>
      <c r="M1252" s="13"/>
      <c r="N1252" s="13"/>
      <c r="O1252" s="13"/>
      <c r="P1252" s="13"/>
      <c r="Q1252" s="13"/>
      <c r="R1252" s="13"/>
      <c r="S1252" s="13"/>
      <c r="T1252" s="13"/>
      <c r="U1252" s="13"/>
      <c r="V1252" s="13"/>
      <c r="W1252" s="13"/>
      <c r="X1252" s="13"/>
      <c r="Y1252" s="13"/>
      <c r="Z1252" s="13"/>
      <c r="AA1252" s="13"/>
      <c r="AB1252" s="15"/>
      <c r="AC1252" s="15"/>
      <c r="AD1252" s="15"/>
      <c r="AE1252" s="13"/>
      <c r="AF1252" s="13"/>
      <c r="AG1252" s="13"/>
      <c r="AH1252" s="15"/>
      <c r="AI1252" s="13"/>
      <c r="AJ1252" s="13"/>
      <c r="AK1252" s="13"/>
      <c r="AL1252" s="13"/>
      <c r="AM1252" s="15"/>
      <c r="AN1252" s="13"/>
      <c r="AO1252" s="15"/>
      <c r="AP1252" s="15"/>
      <c r="AQ1252" s="13"/>
      <c r="AR1252" s="13"/>
      <c r="AS1252" s="13"/>
      <c r="AT1252" s="13"/>
      <c r="AU1252" s="13"/>
      <c r="AV1252" s="13"/>
      <c r="AW1252" s="13"/>
      <c r="AX1252" s="13"/>
      <c r="AY1252" s="15"/>
      <c r="AZ1252" s="15"/>
      <c r="BA1252" s="16"/>
      <c r="BB1252" s="15"/>
      <c r="BC1252" s="15"/>
      <c r="BD1252" s="13"/>
      <c r="BE1252" s="13"/>
      <c r="BF1252" s="13"/>
      <c r="BG1252" s="13"/>
      <c r="BH1252" s="13"/>
      <c r="BI1252" s="13"/>
      <c r="BJ1252" s="13"/>
      <c r="BK1252" s="13"/>
      <c r="BL1252" s="13"/>
      <c r="BM1252" s="13"/>
      <c r="BN1252" s="13"/>
      <c r="BO1252" s="13"/>
      <c r="BP1252" s="13"/>
      <c r="BQ1252" s="15"/>
      <c r="BR1252" s="15"/>
      <c r="BS1252" s="15"/>
      <c r="BT1252" s="15"/>
      <c r="BU1252" s="15"/>
      <c r="BV1252" s="15"/>
      <c r="BW1252" s="15"/>
      <c r="BX1252" s="15"/>
      <c r="BY1252" s="15"/>
      <c r="BZ1252" s="15"/>
      <c r="CA1252" s="15"/>
      <c r="CB1252" s="17"/>
      <c r="CC1252" s="17"/>
      <c r="CD1252" s="18"/>
      <c r="CE1252" s="18"/>
      <c r="CF1252" s="18"/>
      <c r="CG1252" s="18"/>
      <c r="CH1252" s="18"/>
    </row>
    <row r="1253">
      <c r="A1253" s="15"/>
      <c r="B1253" s="16"/>
      <c r="C1253" s="15"/>
      <c r="D1253" s="9"/>
      <c r="E1253" s="15"/>
      <c r="F1253" s="15"/>
      <c r="G1253" s="13"/>
      <c r="H1253" s="13"/>
      <c r="I1253" s="13"/>
      <c r="J1253" s="13"/>
      <c r="K1253" s="13"/>
      <c r="L1253" s="13"/>
      <c r="M1253" s="13"/>
      <c r="N1253" s="13"/>
      <c r="O1253" s="13"/>
      <c r="P1253" s="13"/>
      <c r="Q1253" s="13"/>
      <c r="R1253" s="13"/>
      <c r="S1253" s="13"/>
      <c r="T1253" s="13"/>
      <c r="U1253" s="13"/>
      <c r="V1253" s="13"/>
      <c r="W1253" s="13"/>
      <c r="X1253" s="13"/>
      <c r="Y1253" s="13"/>
      <c r="Z1253" s="13"/>
      <c r="AA1253" s="13"/>
      <c r="AB1253" s="15"/>
      <c r="AC1253" s="15"/>
      <c r="AD1253" s="15"/>
      <c r="AE1253" s="13"/>
      <c r="AF1253" s="13"/>
      <c r="AG1253" s="13"/>
      <c r="AH1253" s="15"/>
      <c r="AI1253" s="13"/>
      <c r="AJ1253" s="13"/>
      <c r="AK1253" s="13"/>
      <c r="AL1253" s="13"/>
      <c r="AM1253" s="15"/>
      <c r="AN1253" s="13"/>
      <c r="AO1253" s="15"/>
      <c r="AP1253" s="15"/>
      <c r="AQ1253" s="13"/>
      <c r="AR1253" s="13"/>
      <c r="AS1253" s="13"/>
      <c r="AT1253" s="13"/>
      <c r="AU1253" s="13"/>
      <c r="AV1253" s="13"/>
      <c r="AW1253" s="13"/>
      <c r="AX1253" s="13"/>
      <c r="AY1253" s="15"/>
      <c r="AZ1253" s="15"/>
      <c r="BA1253" s="16"/>
      <c r="BB1253" s="15"/>
      <c r="BC1253" s="15"/>
      <c r="BD1253" s="13"/>
      <c r="BE1253" s="13"/>
      <c r="BF1253" s="13"/>
      <c r="BG1253" s="13"/>
      <c r="BH1253" s="13"/>
      <c r="BI1253" s="13"/>
      <c r="BJ1253" s="13"/>
      <c r="BK1253" s="13"/>
      <c r="BL1253" s="13"/>
      <c r="BM1253" s="13"/>
      <c r="BN1253" s="13"/>
      <c r="BO1253" s="13"/>
      <c r="BP1253" s="13"/>
      <c r="BQ1253" s="15"/>
      <c r="BR1253" s="15"/>
      <c r="BS1253" s="15"/>
      <c r="BT1253" s="15"/>
      <c r="BU1253" s="15"/>
      <c r="BV1253" s="15"/>
      <c r="BW1253" s="15"/>
      <c r="BX1253" s="15"/>
      <c r="BY1253" s="15"/>
      <c r="BZ1253" s="15"/>
      <c r="CA1253" s="15"/>
      <c r="CB1253" s="17"/>
      <c r="CC1253" s="17"/>
      <c r="CD1253" s="18"/>
      <c r="CE1253" s="18"/>
      <c r="CF1253" s="18"/>
      <c r="CG1253" s="18"/>
      <c r="CH1253" s="18"/>
    </row>
    <row r="1254">
      <c r="A1254" s="15"/>
      <c r="B1254" s="16"/>
      <c r="C1254" s="15"/>
      <c r="D1254" s="9"/>
      <c r="E1254" s="15"/>
      <c r="F1254" s="15"/>
      <c r="G1254" s="13"/>
      <c r="H1254" s="13"/>
      <c r="I1254" s="13"/>
      <c r="J1254" s="13"/>
      <c r="K1254" s="13"/>
      <c r="L1254" s="13"/>
      <c r="M1254" s="13"/>
      <c r="N1254" s="13"/>
      <c r="O1254" s="13"/>
      <c r="P1254" s="13"/>
      <c r="Q1254" s="13"/>
      <c r="R1254" s="13"/>
      <c r="S1254" s="13"/>
      <c r="T1254" s="13"/>
      <c r="U1254" s="13"/>
      <c r="V1254" s="13"/>
      <c r="W1254" s="13"/>
      <c r="X1254" s="13"/>
      <c r="Y1254" s="13"/>
      <c r="Z1254" s="13"/>
      <c r="AA1254" s="13"/>
      <c r="AB1254" s="15"/>
      <c r="AC1254" s="15"/>
      <c r="AD1254" s="15"/>
      <c r="AE1254" s="13"/>
      <c r="AF1254" s="13"/>
      <c r="AG1254" s="13"/>
      <c r="AH1254" s="15"/>
      <c r="AI1254" s="13"/>
      <c r="AJ1254" s="13"/>
      <c r="AK1254" s="13"/>
      <c r="AL1254" s="13"/>
      <c r="AM1254" s="15"/>
      <c r="AN1254" s="13"/>
      <c r="AO1254" s="15"/>
      <c r="AP1254" s="15"/>
      <c r="AQ1254" s="13"/>
      <c r="AR1254" s="13"/>
      <c r="AS1254" s="13"/>
      <c r="AT1254" s="13"/>
      <c r="AU1254" s="13"/>
      <c r="AV1254" s="13"/>
      <c r="AW1254" s="13"/>
      <c r="AX1254" s="13"/>
      <c r="AY1254" s="15"/>
      <c r="AZ1254" s="15"/>
      <c r="BA1254" s="16"/>
      <c r="BB1254" s="15"/>
      <c r="BC1254" s="15"/>
      <c r="BD1254" s="13"/>
      <c r="BE1254" s="13"/>
      <c r="BF1254" s="13"/>
      <c r="BG1254" s="13"/>
      <c r="BH1254" s="13"/>
      <c r="BI1254" s="13"/>
      <c r="BJ1254" s="13"/>
      <c r="BK1254" s="13"/>
      <c r="BL1254" s="13"/>
      <c r="BM1254" s="13"/>
      <c r="BN1254" s="13"/>
      <c r="BO1254" s="13"/>
      <c r="BP1254" s="13"/>
      <c r="BQ1254" s="15"/>
      <c r="BR1254" s="15"/>
      <c r="BS1254" s="15"/>
      <c r="BT1254" s="15"/>
      <c r="BU1254" s="15"/>
      <c r="BV1254" s="15"/>
      <c r="BW1254" s="15"/>
      <c r="BX1254" s="15"/>
      <c r="BY1254" s="15"/>
      <c r="BZ1254" s="15"/>
      <c r="CA1254" s="15"/>
      <c r="CB1254" s="17"/>
      <c r="CC1254" s="17"/>
      <c r="CD1254" s="18"/>
      <c r="CE1254" s="18"/>
      <c r="CF1254" s="18"/>
      <c r="CG1254" s="18"/>
      <c r="CH1254" s="18"/>
    </row>
    <row r="1255">
      <c r="A1255" s="15"/>
      <c r="B1255" s="16"/>
      <c r="C1255" s="15"/>
      <c r="D1255" s="9"/>
      <c r="E1255" s="15"/>
      <c r="F1255" s="15"/>
      <c r="G1255" s="13"/>
      <c r="H1255" s="13"/>
      <c r="I1255" s="13"/>
      <c r="J1255" s="13"/>
      <c r="K1255" s="13"/>
      <c r="L1255" s="13"/>
      <c r="M1255" s="13"/>
      <c r="N1255" s="13"/>
      <c r="O1255" s="13"/>
      <c r="P1255" s="13"/>
      <c r="Q1255" s="13"/>
      <c r="R1255" s="13"/>
      <c r="S1255" s="13"/>
      <c r="T1255" s="13"/>
      <c r="U1255" s="13"/>
      <c r="V1255" s="13"/>
      <c r="W1255" s="13"/>
      <c r="X1255" s="13"/>
      <c r="Y1255" s="13"/>
      <c r="Z1255" s="13"/>
      <c r="AA1255" s="13"/>
      <c r="AB1255" s="15"/>
      <c r="AC1255" s="15"/>
      <c r="AD1255" s="15"/>
      <c r="AE1255" s="13"/>
      <c r="AF1255" s="13"/>
      <c r="AG1255" s="13"/>
      <c r="AH1255" s="15"/>
      <c r="AI1255" s="13"/>
      <c r="AJ1255" s="13"/>
      <c r="AK1255" s="13"/>
      <c r="AL1255" s="13"/>
      <c r="AM1255" s="15"/>
      <c r="AN1255" s="13"/>
      <c r="AO1255" s="15"/>
      <c r="AP1255" s="15"/>
      <c r="AQ1255" s="13"/>
      <c r="AR1255" s="13"/>
      <c r="AS1255" s="13"/>
      <c r="AT1255" s="13"/>
      <c r="AU1255" s="13"/>
      <c r="AV1255" s="13"/>
      <c r="AW1255" s="13"/>
      <c r="AX1255" s="13"/>
      <c r="AY1255" s="15"/>
      <c r="AZ1255" s="15"/>
      <c r="BA1255" s="16"/>
      <c r="BB1255" s="15"/>
      <c r="BC1255" s="15"/>
      <c r="BD1255" s="13"/>
      <c r="BE1255" s="13"/>
      <c r="BF1255" s="13"/>
      <c r="BG1255" s="13"/>
      <c r="BH1255" s="13"/>
      <c r="BI1255" s="13"/>
      <c r="BJ1255" s="13"/>
      <c r="BK1255" s="13"/>
      <c r="BL1255" s="13"/>
      <c r="BM1255" s="13"/>
      <c r="BN1255" s="13"/>
      <c r="BO1255" s="13"/>
      <c r="BP1255" s="13"/>
      <c r="BQ1255" s="15"/>
      <c r="BR1255" s="15"/>
      <c r="BS1255" s="15"/>
      <c r="BT1255" s="15"/>
      <c r="BU1255" s="15"/>
      <c r="BV1255" s="15"/>
      <c r="BW1255" s="15"/>
      <c r="BX1255" s="15"/>
      <c r="BY1255" s="15"/>
      <c r="BZ1255" s="15"/>
      <c r="CA1255" s="15"/>
      <c r="CB1255" s="17"/>
      <c r="CC1255" s="17"/>
      <c r="CD1255" s="18"/>
      <c r="CE1255" s="18"/>
      <c r="CF1255" s="18"/>
      <c r="CG1255" s="18"/>
      <c r="CH1255" s="18"/>
    </row>
    <row r="1256">
      <c r="A1256" s="15"/>
      <c r="B1256" s="16"/>
      <c r="C1256" s="15"/>
      <c r="D1256" s="9"/>
      <c r="E1256" s="15"/>
      <c r="F1256" s="15"/>
      <c r="G1256" s="13"/>
      <c r="H1256" s="13"/>
      <c r="I1256" s="13"/>
      <c r="J1256" s="13"/>
      <c r="K1256" s="13"/>
      <c r="L1256" s="13"/>
      <c r="M1256" s="13"/>
      <c r="N1256" s="13"/>
      <c r="O1256" s="13"/>
      <c r="P1256" s="13"/>
      <c r="Q1256" s="13"/>
      <c r="R1256" s="13"/>
      <c r="S1256" s="13"/>
      <c r="T1256" s="13"/>
      <c r="U1256" s="13"/>
      <c r="V1256" s="13"/>
      <c r="W1256" s="13"/>
      <c r="X1256" s="13"/>
      <c r="Y1256" s="13"/>
      <c r="Z1256" s="13"/>
      <c r="AA1256" s="13"/>
      <c r="AB1256" s="15"/>
      <c r="AC1256" s="15"/>
      <c r="AD1256" s="15"/>
      <c r="AE1256" s="13"/>
      <c r="AF1256" s="13"/>
      <c r="AG1256" s="13"/>
      <c r="AH1256" s="15"/>
      <c r="AI1256" s="13"/>
      <c r="AJ1256" s="13"/>
      <c r="AK1256" s="13"/>
      <c r="AL1256" s="13"/>
      <c r="AM1256" s="15"/>
      <c r="AN1256" s="13"/>
      <c r="AO1256" s="15"/>
      <c r="AP1256" s="15"/>
      <c r="AQ1256" s="13"/>
      <c r="AR1256" s="13"/>
      <c r="AS1256" s="13"/>
      <c r="AT1256" s="13"/>
      <c r="AU1256" s="13"/>
      <c r="AV1256" s="13"/>
      <c r="AW1256" s="13"/>
      <c r="AX1256" s="13"/>
      <c r="AY1256" s="15"/>
      <c r="AZ1256" s="15"/>
      <c r="BA1256" s="16"/>
      <c r="BB1256" s="15"/>
      <c r="BC1256" s="15"/>
      <c r="BD1256" s="13"/>
      <c r="BE1256" s="13"/>
      <c r="BF1256" s="13"/>
      <c r="BG1256" s="13"/>
      <c r="BH1256" s="13"/>
      <c r="BI1256" s="13"/>
      <c r="BJ1256" s="13"/>
      <c r="BK1256" s="13"/>
      <c r="BL1256" s="13"/>
      <c r="BM1256" s="13"/>
      <c r="BN1256" s="13"/>
      <c r="BO1256" s="13"/>
      <c r="BP1256" s="13"/>
      <c r="BQ1256" s="15"/>
      <c r="BR1256" s="15"/>
      <c r="BS1256" s="15"/>
      <c r="BT1256" s="15"/>
      <c r="BU1256" s="15"/>
      <c r="BV1256" s="15"/>
      <c r="BW1256" s="15"/>
      <c r="BX1256" s="15"/>
      <c r="BY1256" s="15"/>
      <c r="BZ1256" s="15"/>
      <c r="CA1256" s="15"/>
      <c r="CB1256" s="17"/>
      <c r="CC1256" s="17"/>
      <c r="CD1256" s="18"/>
      <c r="CE1256" s="18"/>
      <c r="CF1256" s="18"/>
      <c r="CG1256" s="18"/>
      <c r="CH1256" s="18"/>
    </row>
    <row r="1257">
      <c r="A1257" s="15"/>
      <c r="B1257" s="16"/>
      <c r="C1257" s="15"/>
      <c r="D1257" s="9"/>
      <c r="E1257" s="15"/>
      <c r="F1257" s="15"/>
      <c r="G1257" s="13"/>
      <c r="H1257" s="13"/>
      <c r="I1257" s="13"/>
      <c r="J1257" s="13"/>
      <c r="K1257" s="13"/>
      <c r="L1257" s="13"/>
      <c r="M1257" s="13"/>
      <c r="N1257" s="13"/>
      <c r="O1257" s="13"/>
      <c r="P1257" s="13"/>
      <c r="Q1257" s="13"/>
      <c r="R1257" s="13"/>
      <c r="S1257" s="13"/>
      <c r="T1257" s="13"/>
      <c r="U1257" s="13"/>
      <c r="V1257" s="13"/>
      <c r="W1257" s="13"/>
      <c r="X1257" s="13"/>
      <c r="Y1257" s="13"/>
      <c r="Z1257" s="13"/>
      <c r="AA1257" s="13"/>
      <c r="AB1257" s="15"/>
      <c r="AC1257" s="15"/>
      <c r="AD1257" s="15"/>
      <c r="AE1257" s="13"/>
      <c r="AF1257" s="13"/>
      <c r="AG1257" s="13"/>
      <c r="AH1257" s="15"/>
      <c r="AI1257" s="13"/>
      <c r="AJ1257" s="13"/>
      <c r="AK1257" s="13"/>
      <c r="AL1257" s="13"/>
      <c r="AM1257" s="15"/>
      <c r="AN1257" s="13"/>
      <c r="AO1257" s="15"/>
      <c r="AP1257" s="15"/>
      <c r="AQ1257" s="13"/>
      <c r="AR1257" s="13"/>
      <c r="AS1257" s="13"/>
      <c r="AT1257" s="13"/>
      <c r="AU1257" s="13"/>
      <c r="AV1257" s="13"/>
      <c r="AW1257" s="13"/>
      <c r="AX1257" s="13"/>
      <c r="AY1257" s="15"/>
      <c r="AZ1257" s="15"/>
      <c r="BA1257" s="16"/>
      <c r="BB1257" s="15"/>
      <c r="BC1257" s="15"/>
      <c r="BD1257" s="13"/>
      <c r="BE1257" s="13"/>
      <c r="BF1257" s="13"/>
      <c r="BG1257" s="13"/>
      <c r="BH1257" s="13"/>
      <c r="BI1257" s="13"/>
      <c r="BJ1257" s="13"/>
      <c r="BK1257" s="13"/>
      <c r="BL1257" s="13"/>
      <c r="BM1257" s="13"/>
      <c r="BN1257" s="13"/>
      <c r="BO1257" s="13"/>
      <c r="BP1257" s="13"/>
      <c r="BQ1257" s="15"/>
      <c r="BR1257" s="15"/>
      <c r="BS1257" s="15"/>
      <c r="BT1257" s="15"/>
      <c r="BU1257" s="15"/>
      <c r="BV1257" s="15"/>
      <c r="BW1257" s="15"/>
      <c r="BX1257" s="15"/>
      <c r="BY1257" s="15"/>
      <c r="BZ1257" s="15"/>
      <c r="CA1257" s="15"/>
      <c r="CB1257" s="17"/>
      <c r="CC1257" s="17"/>
      <c r="CD1257" s="18"/>
      <c r="CE1257" s="18"/>
      <c r="CF1257" s="18"/>
      <c r="CG1257" s="18"/>
      <c r="CH1257" s="18"/>
    </row>
    <row r="1258">
      <c r="A1258" s="15"/>
      <c r="B1258" s="16"/>
      <c r="C1258" s="15"/>
      <c r="D1258" s="9"/>
      <c r="E1258" s="15"/>
      <c r="F1258" s="15"/>
      <c r="G1258" s="13"/>
      <c r="H1258" s="13"/>
      <c r="I1258" s="13"/>
      <c r="J1258" s="13"/>
      <c r="K1258" s="13"/>
      <c r="L1258" s="13"/>
      <c r="M1258" s="13"/>
      <c r="N1258" s="13"/>
      <c r="O1258" s="13"/>
      <c r="P1258" s="13"/>
      <c r="Q1258" s="13"/>
      <c r="R1258" s="13"/>
      <c r="S1258" s="13"/>
      <c r="T1258" s="13"/>
      <c r="U1258" s="13"/>
      <c r="V1258" s="13"/>
      <c r="W1258" s="13"/>
      <c r="X1258" s="13"/>
      <c r="Y1258" s="13"/>
      <c r="Z1258" s="13"/>
      <c r="AA1258" s="13"/>
      <c r="AB1258" s="15"/>
      <c r="AC1258" s="15"/>
      <c r="AD1258" s="15"/>
      <c r="AE1258" s="13"/>
      <c r="AF1258" s="13"/>
      <c r="AG1258" s="13"/>
      <c r="AH1258" s="15"/>
      <c r="AI1258" s="13"/>
      <c r="AJ1258" s="13"/>
      <c r="AK1258" s="13"/>
      <c r="AL1258" s="13"/>
      <c r="AM1258" s="15"/>
      <c r="AN1258" s="13"/>
      <c r="AO1258" s="15"/>
      <c r="AP1258" s="15"/>
      <c r="AQ1258" s="13"/>
      <c r="AR1258" s="13"/>
      <c r="AS1258" s="13"/>
      <c r="AT1258" s="13"/>
      <c r="AU1258" s="13"/>
      <c r="AV1258" s="13"/>
      <c r="AW1258" s="13"/>
      <c r="AX1258" s="13"/>
      <c r="AY1258" s="15"/>
      <c r="AZ1258" s="15"/>
      <c r="BA1258" s="16"/>
      <c r="BB1258" s="15"/>
      <c r="BC1258" s="15"/>
      <c r="BD1258" s="13"/>
      <c r="BE1258" s="13"/>
      <c r="BF1258" s="13"/>
      <c r="BG1258" s="13"/>
      <c r="BH1258" s="13"/>
      <c r="BI1258" s="13"/>
      <c r="BJ1258" s="13"/>
      <c r="BK1258" s="13"/>
      <c r="BL1258" s="13"/>
      <c r="BM1258" s="13"/>
      <c r="BN1258" s="13"/>
      <c r="BO1258" s="13"/>
      <c r="BP1258" s="13"/>
      <c r="BQ1258" s="15"/>
      <c r="BR1258" s="15"/>
      <c r="BS1258" s="15"/>
      <c r="BT1258" s="15"/>
      <c r="BU1258" s="15"/>
      <c r="BV1258" s="15"/>
      <c r="BW1258" s="15"/>
      <c r="BX1258" s="15"/>
      <c r="BY1258" s="15"/>
      <c r="BZ1258" s="15"/>
      <c r="CA1258" s="15"/>
      <c r="CB1258" s="17"/>
      <c r="CC1258" s="17"/>
      <c r="CD1258" s="18"/>
      <c r="CE1258" s="18"/>
      <c r="CF1258" s="18"/>
      <c r="CG1258" s="18"/>
      <c r="CH1258" s="18"/>
    </row>
    <row r="1259">
      <c r="A1259" s="15"/>
      <c r="B1259" s="16"/>
      <c r="C1259" s="15"/>
      <c r="D1259" s="9"/>
      <c r="E1259" s="15"/>
      <c r="F1259" s="15"/>
      <c r="G1259" s="13"/>
      <c r="H1259" s="13"/>
      <c r="I1259" s="13"/>
      <c r="J1259" s="13"/>
      <c r="K1259" s="13"/>
      <c r="L1259" s="13"/>
      <c r="M1259" s="13"/>
      <c r="N1259" s="13"/>
      <c r="O1259" s="13"/>
      <c r="P1259" s="13"/>
      <c r="Q1259" s="13"/>
      <c r="R1259" s="13"/>
      <c r="S1259" s="13"/>
      <c r="T1259" s="13"/>
      <c r="U1259" s="13"/>
      <c r="V1259" s="13"/>
      <c r="W1259" s="13"/>
      <c r="X1259" s="13"/>
      <c r="Y1259" s="13"/>
      <c r="Z1259" s="13"/>
      <c r="AA1259" s="13"/>
      <c r="AB1259" s="15"/>
      <c r="AC1259" s="15"/>
      <c r="AD1259" s="15"/>
      <c r="AE1259" s="13"/>
      <c r="AF1259" s="13"/>
      <c r="AG1259" s="13"/>
      <c r="AH1259" s="15"/>
      <c r="AI1259" s="13"/>
      <c r="AJ1259" s="13"/>
      <c r="AK1259" s="13"/>
      <c r="AL1259" s="13"/>
      <c r="AM1259" s="15"/>
      <c r="AN1259" s="13"/>
      <c r="AO1259" s="15"/>
      <c r="AP1259" s="15"/>
      <c r="AQ1259" s="13"/>
      <c r="AR1259" s="13"/>
      <c r="AS1259" s="13"/>
      <c r="AT1259" s="13"/>
      <c r="AU1259" s="13"/>
      <c r="AV1259" s="13"/>
      <c r="AW1259" s="13"/>
      <c r="AX1259" s="13"/>
      <c r="AY1259" s="15"/>
      <c r="AZ1259" s="15"/>
      <c r="BA1259" s="16"/>
      <c r="BB1259" s="15"/>
      <c r="BC1259" s="15"/>
      <c r="BD1259" s="13"/>
      <c r="BE1259" s="13"/>
      <c r="BF1259" s="13"/>
      <c r="BG1259" s="13"/>
      <c r="BH1259" s="13"/>
      <c r="BI1259" s="13"/>
      <c r="BJ1259" s="13"/>
      <c r="BK1259" s="13"/>
      <c r="BL1259" s="13"/>
      <c r="BM1259" s="13"/>
      <c r="BN1259" s="13"/>
      <c r="BO1259" s="13"/>
      <c r="BP1259" s="13"/>
      <c r="BQ1259" s="15"/>
      <c r="BR1259" s="15"/>
      <c r="BS1259" s="15"/>
      <c r="BT1259" s="15"/>
      <c r="BU1259" s="15"/>
      <c r="BV1259" s="15"/>
      <c r="BW1259" s="15"/>
      <c r="BX1259" s="15"/>
      <c r="BY1259" s="15"/>
      <c r="BZ1259" s="15"/>
      <c r="CA1259" s="15"/>
      <c r="CB1259" s="17"/>
      <c r="CC1259" s="17"/>
      <c r="CD1259" s="18"/>
      <c r="CE1259" s="18"/>
      <c r="CF1259" s="18"/>
      <c r="CG1259" s="18"/>
      <c r="CH1259" s="18"/>
    </row>
    <row r="1260">
      <c r="A1260" s="15"/>
      <c r="B1260" s="16"/>
      <c r="C1260" s="15"/>
      <c r="D1260" s="9"/>
      <c r="E1260" s="15"/>
      <c r="F1260" s="15"/>
      <c r="G1260" s="13"/>
      <c r="H1260" s="13"/>
      <c r="I1260" s="13"/>
      <c r="J1260" s="13"/>
      <c r="K1260" s="13"/>
      <c r="L1260" s="13"/>
      <c r="M1260" s="13"/>
      <c r="N1260" s="13"/>
      <c r="O1260" s="13"/>
      <c r="P1260" s="13"/>
      <c r="Q1260" s="13"/>
      <c r="R1260" s="13"/>
      <c r="S1260" s="13"/>
      <c r="T1260" s="13"/>
      <c r="U1260" s="13"/>
      <c r="V1260" s="13"/>
      <c r="W1260" s="13"/>
      <c r="X1260" s="13"/>
      <c r="Y1260" s="13"/>
      <c r="Z1260" s="13"/>
      <c r="AA1260" s="13"/>
      <c r="AB1260" s="15"/>
      <c r="AC1260" s="15"/>
      <c r="AD1260" s="15"/>
      <c r="AE1260" s="13"/>
      <c r="AF1260" s="13"/>
      <c r="AG1260" s="13"/>
      <c r="AH1260" s="15"/>
      <c r="AI1260" s="13"/>
      <c r="AJ1260" s="13"/>
      <c r="AK1260" s="13"/>
      <c r="AL1260" s="13"/>
      <c r="AM1260" s="15"/>
      <c r="AN1260" s="13"/>
      <c r="AO1260" s="15"/>
      <c r="AP1260" s="15"/>
      <c r="AQ1260" s="13"/>
      <c r="AR1260" s="13"/>
      <c r="AS1260" s="13"/>
      <c r="AT1260" s="13"/>
      <c r="AU1260" s="13"/>
      <c r="AV1260" s="13"/>
      <c r="AW1260" s="13"/>
      <c r="AX1260" s="13"/>
      <c r="AY1260" s="15"/>
      <c r="AZ1260" s="15"/>
      <c r="BA1260" s="16"/>
      <c r="BB1260" s="15"/>
      <c r="BC1260" s="15"/>
      <c r="BD1260" s="13"/>
      <c r="BE1260" s="13"/>
      <c r="BF1260" s="13"/>
      <c r="BG1260" s="13"/>
      <c r="BH1260" s="13"/>
      <c r="BI1260" s="13"/>
      <c r="BJ1260" s="13"/>
      <c r="BK1260" s="13"/>
      <c r="BL1260" s="13"/>
      <c r="BM1260" s="13"/>
      <c r="BN1260" s="13"/>
      <c r="BO1260" s="13"/>
      <c r="BP1260" s="13"/>
      <c r="BQ1260" s="15"/>
      <c r="BR1260" s="15"/>
      <c r="BS1260" s="15"/>
      <c r="BT1260" s="15"/>
      <c r="BU1260" s="15"/>
      <c r="BV1260" s="15"/>
      <c r="BW1260" s="15"/>
      <c r="BX1260" s="15"/>
      <c r="BY1260" s="15"/>
      <c r="BZ1260" s="15"/>
      <c r="CA1260" s="15"/>
      <c r="CB1260" s="17"/>
      <c r="CC1260" s="17"/>
      <c r="CD1260" s="18"/>
      <c r="CE1260" s="18"/>
      <c r="CF1260" s="18"/>
      <c r="CG1260" s="18"/>
      <c r="CH1260" s="18"/>
    </row>
    <row r="1261">
      <c r="A1261" s="15"/>
      <c r="B1261" s="16"/>
      <c r="C1261" s="15"/>
      <c r="D1261" s="9"/>
      <c r="E1261" s="15"/>
      <c r="F1261" s="15"/>
      <c r="G1261" s="13"/>
      <c r="H1261" s="13"/>
      <c r="I1261" s="13"/>
      <c r="J1261" s="13"/>
      <c r="K1261" s="13"/>
      <c r="L1261" s="13"/>
      <c r="M1261" s="13"/>
      <c r="N1261" s="13"/>
      <c r="O1261" s="13"/>
      <c r="P1261" s="13"/>
      <c r="Q1261" s="13"/>
      <c r="R1261" s="13"/>
      <c r="S1261" s="13"/>
      <c r="T1261" s="13"/>
      <c r="U1261" s="13"/>
      <c r="V1261" s="13"/>
      <c r="W1261" s="13"/>
      <c r="X1261" s="13"/>
      <c r="Y1261" s="13"/>
      <c r="Z1261" s="13"/>
      <c r="AA1261" s="13"/>
      <c r="AB1261" s="15"/>
      <c r="AC1261" s="15"/>
      <c r="AD1261" s="15"/>
      <c r="AE1261" s="13"/>
      <c r="AF1261" s="13"/>
      <c r="AG1261" s="13"/>
      <c r="AH1261" s="15"/>
      <c r="AI1261" s="13"/>
      <c r="AJ1261" s="13"/>
      <c r="AK1261" s="13"/>
      <c r="AL1261" s="13"/>
      <c r="AM1261" s="15"/>
      <c r="AN1261" s="13"/>
      <c r="AO1261" s="15"/>
      <c r="AP1261" s="15"/>
      <c r="AQ1261" s="13"/>
      <c r="AR1261" s="13"/>
      <c r="AS1261" s="13"/>
      <c r="AT1261" s="13"/>
      <c r="AU1261" s="13"/>
      <c r="AV1261" s="13"/>
      <c r="AW1261" s="13"/>
      <c r="AX1261" s="13"/>
      <c r="AY1261" s="15"/>
      <c r="AZ1261" s="15"/>
      <c r="BA1261" s="16"/>
      <c r="BB1261" s="15"/>
      <c r="BC1261" s="15"/>
      <c r="BD1261" s="13"/>
      <c r="BE1261" s="13"/>
      <c r="BF1261" s="13"/>
      <c r="BG1261" s="13"/>
      <c r="BH1261" s="13"/>
      <c r="BI1261" s="13"/>
      <c r="BJ1261" s="13"/>
      <c r="BK1261" s="13"/>
      <c r="BL1261" s="13"/>
      <c r="BM1261" s="13"/>
      <c r="BN1261" s="13"/>
      <c r="BO1261" s="13"/>
      <c r="BP1261" s="13"/>
      <c r="BQ1261" s="15"/>
      <c r="BR1261" s="15"/>
      <c r="BS1261" s="15"/>
      <c r="BT1261" s="15"/>
      <c r="BU1261" s="15"/>
      <c r="BV1261" s="15"/>
      <c r="BW1261" s="15"/>
      <c r="BX1261" s="15"/>
      <c r="BY1261" s="15"/>
      <c r="BZ1261" s="15"/>
      <c r="CA1261" s="15"/>
      <c r="CB1261" s="17"/>
      <c r="CC1261" s="17"/>
      <c r="CD1261" s="18"/>
      <c r="CE1261" s="18"/>
      <c r="CF1261" s="18"/>
      <c r="CG1261" s="18"/>
      <c r="CH1261" s="18"/>
    </row>
    <row r="1262">
      <c r="A1262" s="15"/>
      <c r="B1262" s="16"/>
      <c r="C1262" s="15"/>
      <c r="D1262" s="9"/>
      <c r="E1262" s="15"/>
      <c r="F1262" s="15"/>
      <c r="G1262" s="13"/>
      <c r="H1262" s="13"/>
      <c r="I1262" s="13"/>
      <c r="J1262" s="13"/>
      <c r="K1262" s="13"/>
      <c r="L1262" s="13"/>
      <c r="M1262" s="13"/>
      <c r="N1262" s="13"/>
      <c r="O1262" s="13"/>
      <c r="P1262" s="13"/>
      <c r="Q1262" s="13"/>
      <c r="R1262" s="13"/>
      <c r="S1262" s="13"/>
      <c r="T1262" s="13"/>
      <c r="U1262" s="13"/>
      <c r="V1262" s="13"/>
      <c r="W1262" s="13"/>
      <c r="X1262" s="13"/>
      <c r="Y1262" s="13"/>
      <c r="Z1262" s="13"/>
      <c r="AA1262" s="13"/>
      <c r="AB1262" s="15"/>
      <c r="AC1262" s="15"/>
      <c r="AD1262" s="15"/>
      <c r="AE1262" s="13"/>
      <c r="AF1262" s="13"/>
      <c r="AG1262" s="13"/>
      <c r="AH1262" s="15"/>
      <c r="AI1262" s="13"/>
      <c r="AJ1262" s="13"/>
      <c r="AK1262" s="13"/>
      <c r="AL1262" s="13"/>
      <c r="AM1262" s="15"/>
      <c r="AN1262" s="13"/>
      <c r="AO1262" s="15"/>
      <c r="AP1262" s="15"/>
      <c r="AQ1262" s="13"/>
      <c r="AR1262" s="13"/>
      <c r="AS1262" s="13"/>
      <c r="AT1262" s="13"/>
      <c r="AU1262" s="13"/>
      <c r="AV1262" s="13"/>
      <c r="AW1262" s="13"/>
      <c r="AX1262" s="13"/>
      <c r="AY1262" s="15"/>
      <c r="AZ1262" s="15"/>
      <c r="BA1262" s="16"/>
      <c r="BB1262" s="15"/>
      <c r="BC1262" s="15"/>
      <c r="BD1262" s="13"/>
      <c r="BE1262" s="13"/>
      <c r="BF1262" s="13"/>
      <c r="BG1262" s="13"/>
      <c r="BH1262" s="13"/>
      <c r="BI1262" s="13"/>
      <c r="BJ1262" s="13"/>
      <c r="BK1262" s="13"/>
      <c r="BL1262" s="13"/>
      <c r="BM1262" s="13"/>
      <c r="BN1262" s="13"/>
      <c r="BO1262" s="13"/>
      <c r="BP1262" s="13"/>
      <c r="BQ1262" s="15"/>
      <c r="BR1262" s="15"/>
      <c r="BS1262" s="15"/>
      <c r="BT1262" s="15"/>
      <c r="BU1262" s="15"/>
      <c r="BV1262" s="15"/>
      <c r="BW1262" s="15"/>
      <c r="BX1262" s="15"/>
      <c r="BY1262" s="15"/>
      <c r="BZ1262" s="15"/>
      <c r="CA1262" s="15"/>
      <c r="CB1262" s="17"/>
      <c r="CC1262" s="17"/>
      <c r="CD1262" s="18"/>
      <c r="CE1262" s="18"/>
      <c r="CF1262" s="18"/>
      <c r="CG1262" s="18"/>
      <c r="CH1262" s="18"/>
    </row>
    <row r="1263">
      <c r="A1263" s="15"/>
      <c r="B1263" s="16"/>
      <c r="C1263" s="15"/>
      <c r="D1263" s="9"/>
      <c r="E1263" s="15"/>
      <c r="F1263" s="15"/>
      <c r="G1263" s="13"/>
      <c r="H1263" s="13"/>
      <c r="I1263" s="13"/>
      <c r="J1263" s="13"/>
      <c r="K1263" s="13"/>
      <c r="L1263" s="13"/>
      <c r="M1263" s="13"/>
      <c r="N1263" s="13"/>
      <c r="O1263" s="13"/>
      <c r="P1263" s="13"/>
      <c r="Q1263" s="13"/>
      <c r="R1263" s="13"/>
      <c r="S1263" s="13"/>
      <c r="T1263" s="13"/>
      <c r="U1263" s="13"/>
      <c r="V1263" s="13"/>
      <c r="W1263" s="13"/>
      <c r="X1263" s="13"/>
      <c r="Y1263" s="13"/>
      <c r="Z1263" s="13"/>
      <c r="AA1263" s="13"/>
      <c r="AB1263" s="15"/>
      <c r="AC1263" s="15"/>
      <c r="AD1263" s="15"/>
      <c r="AE1263" s="13"/>
      <c r="AF1263" s="13"/>
      <c r="AG1263" s="13"/>
      <c r="AH1263" s="15"/>
      <c r="AI1263" s="13"/>
      <c r="AJ1263" s="13"/>
      <c r="AK1263" s="13"/>
      <c r="AL1263" s="13"/>
      <c r="AM1263" s="15"/>
      <c r="AN1263" s="13"/>
      <c r="AO1263" s="15"/>
      <c r="AP1263" s="15"/>
      <c r="AQ1263" s="13"/>
      <c r="AR1263" s="13"/>
      <c r="AS1263" s="13"/>
      <c r="AT1263" s="13"/>
      <c r="AU1263" s="13"/>
      <c r="AV1263" s="13"/>
      <c r="AW1263" s="13"/>
      <c r="AX1263" s="13"/>
      <c r="AY1263" s="15"/>
      <c r="AZ1263" s="15"/>
      <c r="BA1263" s="16"/>
      <c r="BB1263" s="15"/>
      <c r="BC1263" s="15"/>
      <c r="BD1263" s="13"/>
      <c r="BE1263" s="13"/>
      <c r="BF1263" s="13"/>
      <c r="BG1263" s="13"/>
      <c r="BH1263" s="13"/>
      <c r="BI1263" s="13"/>
      <c r="BJ1263" s="13"/>
      <c r="BK1263" s="13"/>
      <c r="BL1263" s="13"/>
      <c r="BM1263" s="13"/>
      <c r="BN1263" s="13"/>
      <c r="BO1263" s="13"/>
      <c r="BP1263" s="13"/>
      <c r="BQ1263" s="15"/>
      <c r="BR1263" s="15"/>
      <c r="BS1263" s="15"/>
      <c r="BT1263" s="15"/>
      <c r="BU1263" s="15"/>
      <c r="BV1263" s="15"/>
      <c r="BW1263" s="15"/>
      <c r="BX1263" s="15"/>
      <c r="BY1263" s="15"/>
      <c r="BZ1263" s="15"/>
      <c r="CA1263" s="15"/>
      <c r="CB1263" s="17"/>
      <c r="CC1263" s="17"/>
      <c r="CD1263" s="18"/>
      <c r="CE1263" s="18"/>
      <c r="CF1263" s="18"/>
      <c r="CG1263" s="18"/>
      <c r="CH1263" s="18"/>
    </row>
    <row r="1264">
      <c r="A1264" s="15"/>
      <c r="B1264" s="16"/>
      <c r="C1264" s="15"/>
      <c r="D1264" s="9"/>
      <c r="E1264" s="15"/>
      <c r="F1264" s="15"/>
      <c r="G1264" s="13"/>
      <c r="H1264" s="13"/>
      <c r="I1264" s="13"/>
      <c r="J1264" s="13"/>
      <c r="K1264" s="13"/>
      <c r="L1264" s="13"/>
      <c r="M1264" s="13"/>
      <c r="N1264" s="13"/>
      <c r="O1264" s="13"/>
      <c r="P1264" s="13"/>
      <c r="Q1264" s="13"/>
      <c r="R1264" s="13"/>
      <c r="S1264" s="13"/>
      <c r="T1264" s="13"/>
      <c r="U1264" s="13"/>
      <c r="V1264" s="13"/>
      <c r="W1264" s="13"/>
      <c r="X1264" s="13"/>
      <c r="Y1264" s="13"/>
      <c r="Z1264" s="13"/>
      <c r="AA1264" s="13"/>
      <c r="AB1264" s="15"/>
      <c r="AC1264" s="15"/>
      <c r="AD1264" s="15"/>
      <c r="AE1264" s="13"/>
      <c r="AF1264" s="13"/>
      <c r="AG1264" s="13"/>
      <c r="AH1264" s="15"/>
      <c r="AI1264" s="13"/>
      <c r="AJ1264" s="13"/>
      <c r="AK1264" s="13"/>
      <c r="AL1264" s="13"/>
      <c r="AM1264" s="15"/>
      <c r="AN1264" s="13"/>
      <c r="AO1264" s="15"/>
      <c r="AP1264" s="15"/>
      <c r="AQ1264" s="13"/>
      <c r="AR1264" s="13"/>
      <c r="AS1264" s="13"/>
      <c r="AT1264" s="13"/>
      <c r="AU1264" s="13"/>
      <c r="AV1264" s="13"/>
      <c r="AW1264" s="13"/>
      <c r="AX1264" s="13"/>
      <c r="AY1264" s="15"/>
      <c r="AZ1264" s="15"/>
      <c r="BA1264" s="16"/>
      <c r="BB1264" s="15"/>
      <c r="BC1264" s="15"/>
      <c r="BD1264" s="13"/>
      <c r="BE1264" s="13"/>
      <c r="BF1264" s="13"/>
      <c r="BG1264" s="13"/>
      <c r="BH1264" s="13"/>
      <c r="BI1264" s="13"/>
      <c r="BJ1264" s="13"/>
      <c r="BK1264" s="13"/>
      <c r="BL1264" s="13"/>
      <c r="BM1264" s="13"/>
      <c r="BN1264" s="13"/>
      <c r="BO1264" s="13"/>
      <c r="BP1264" s="13"/>
      <c r="BQ1264" s="15"/>
      <c r="BR1264" s="15"/>
      <c r="BS1264" s="15"/>
      <c r="BT1264" s="15"/>
      <c r="BU1264" s="15"/>
      <c r="BV1264" s="15"/>
      <c r="BW1264" s="15"/>
      <c r="BX1264" s="15"/>
      <c r="BY1264" s="15"/>
      <c r="BZ1264" s="15"/>
      <c r="CA1264" s="15"/>
      <c r="CB1264" s="17"/>
      <c r="CC1264" s="17"/>
      <c r="CD1264" s="18"/>
      <c r="CE1264" s="18"/>
      <c r="CF1264" s="18"/>
      <c r="CG1264" s="18"/>
      <c r="CH1264" s="18"/>
    </row>
    <row r="1265">
      <c r="A1265" s="15"/>
      <c r="B1265" s="16"/>
      <c r="C1265" s="15"/>
      <c r="D1265" s="9"/>
      <c r="E1265" s="15"/>
      <c r="F1265" s="15"/>
      <c r="G1265" s="13"/>
      <c r="H1265" s="13"/>
      <c r="I1265" s="13"/>
      <c r="J1265" s="13"/>
      <c r="K1265" s="13"/>
      <c r="L1265" s="13"/>
      <c r="M1265" s="13"/>
      <c r="N1265" s="13"/>
      <c r="O1265" s="13"/>
      <c r="P1265" s="13"/>
      <c r="Q1265" s="13"/>
      <c r="R1265" s="13"/>
      <c r="S1265" s="13"/>
      <c r="T1265" s="13"/>
      <c r="U1265" s="13"/>
      <c r="V1265" s="13"/>
      <c r="W1265" s="13"/>
      <c r="X1265" s="13"/>
      <c r="Y1265" s="13"/>
      <c r="Z1265" s="13"/>
      <c r="AA1265" s="13"/>
      <c r="AB1265" s="15"/>
      <c r="AC1265" s="15"/>
      <c r="AD1265" s="15"/>
      <c r="AE1265" s="13"/>
      <c r="AF1265" s="13"/>
      <c r="AG1265" s="13"/>
      <c r="AH1265" s="15"/>
      <c r="AI1265" s="13"/>
      <c r="AJ1265" s="13"/>
      <c r="AK1265" s="13"/>
      <c r="AL1265" s="13"/>
      <c r="AM1265" s="15"/>
      <c r="AN1265" s="13"/>
      <c r="AO1265" s="15"/>
      <c r="AP1265" s="15"/>
      <c r="AQ1265" s="13"/>
      <c r="AR1265" s="13"/>
      <c r="AS1265" s="13"/>
      <c r="AT1265" s="13"/>
      <c r="AU1265" s="13"/>
      <c r="AV1265" s="13"/>
      <c r="AW1265" s="13"/>
      <c r="AX1265" s="13"/>
      <c r="AY1265" s="15"/>
      <c r="AZ1265" s="15"/>
      <c r="BA1265" s="16"/>
      <c r="BB1265" s="15"/>
      <c r="BC1265" s="15"/>
      <c r="BD1265" s="13"/>
      <c r="BE1265" s="13"/>
      <c r="BF1265" s="13"/>
      <c r="BG1265" s="13"/>
      <c r="BH1265" s="13"/>
      <c r="BI1265" s="13"/>
      <c r="BJ1265" s="13"/>
      <c r="BK1265" s="13"/>
      <c r="BL1265" s="13"/>
      <c r="BM1265" s="13"/>
      <c r="BN1265" s="13"/>
      <c r="BO1265" s="13"/>
      <c r="BP1265" s="13"/>
      <c r="BQ1265" s="15"/>
      <c r="BR1265" s="15"/>
      <c r="BS1265" s="15"/>
      <c r="BT1265" s="15"/>
      <c r="BU1265" s="15"/>
      <c r="BV1265" s="15"/>
      <c r="BW1265" s="15"/>
      <c r="BX1265" s="15"/>
      <c r="BY1265" s="15"/>
      <c r="BZ1265" s="15"/>
      <c r="CA1265" s="15"/>
      <c r="CB1265" s="17"/>
      <c r="CC1265" s="17"/>
      <c r="CD1265" s="18"/>
      <c r="CE1265" s="18"/>
      <c r="CF1265" s="18"/>
      <c r="CG1265" s="18"/>
      <c r="CH1265" s="18"/>
    </row>
    <row r="1266">
      <c r="A1266" s="15"/>
      <c r="B1266" s="16"/>
      <c r="C1266" s="15"/>
      <c r="D1266" s="9"/>
      <c r="E1266" s="15"/>
      <c r="F1266" s="15"/>
      <c r="G1266" s="13"/>
      <c r="H1266" s="13"/>
      <c r="I1266" s="13"/>
      <c r="J1266" s="13"/>
      <c r="K1266" s="13"/>
      <c r="L1266" s="13"/>
      <c r="M1266" s="13"/>
      <c r="N1266" s="13"/>
      <c r="O1266" s="13"/>
      <c r="P1266" s="13"/>
      <c r="Q1266" s="13"/>
      <c r="R1266" s="13"/>
      <c r="S1266" s="13"/>
      <c r="T1266" s="13"/>
      <c r="U1266" s="13"/>
      <c r="V1266" s="13"/>
      <c r="W1266" s="13"/>
      <c r="X1266" s="13"/>
      <c r="Y1266" s="13"/>
      <c r="Z1266" s="13"/>
      <c r="AA1266" s="13"/>
      <c r="AB1266" s="15"/>
      <c r="AC1266" s="15"/>
      <c r="AD1266" s="15"/>
      <c r="AE1266" s="13"/>
      <c r="AF1266" s="13"/>
      <c r="AG1266" s="13"/>
      <c r="AH1266" s="15"/>
      <c r="AI1266" s="13"/>
      <c r="AJ1266" s="13"/>
      <c r="AK1266" s="13"/>
      <c r="AL1266" s="13"/>
      <c r="AM1266" s="15"/>
      <c r="AN1266" s="13"/>
      <c r="AO1266" s="15"/>
      <c r="AP1266" s="15"/>
      <c r="AQ1266" s="13"/>
      <c r="AR1266" s="13"/>
      <c r="AS1266" s="13"/>
      <c r="AT1266" s="13"/>
      <c r="AU1266" s="13"/>
      <c r="AV1266" s="13"/>
      <c r="AW1266" s="13"/>
      <c r="AX1266" s="13"/>
      <c r="AY1266" s="15"/>
      <c r="AZ1266" s="15"/>
      <c r="BA1266" s="16"/>
      <c r="BB1266" s="15"/>
      <c r="BC1266" s="15"/>
      <c r="BD1266" s="13"/>
      <c r="BE1266" s="13"/>
      <c r="BF1266" s="13"/>
      <c r="BG1266" s="13"/>
      <c r="BH1266" s="13"/>
      <c r="BI1266" s="13"/>
      <c r="BJ1266" s="13"/>
      <c r="BK1266" s="13"/>
      <c r="BL1266" s="13"/>
      <c r="BM1266" s="13"/>
      <c r="BN1266" s="13"/>
      <c r="BO1266" s="13"/>
      <c r="BP1266" s="13"/>
      <c r="BQ1266" s="15"/>
      <c r="BR1266" s="15"/>
      <c r="BS1266" s="15"/>
      <c r="BT1266" s="15"/>
      <c r="BU1266" s="15"/>
      <c r="BV1266" s="15"/>
      <c r="BW1266" s="15"/>
      <c r="BX1266" s="15"/>
      <c r="BY1266" s="15"/>
      <c r="BZ1266" s="15"/>
      <c r="CA1266" s="15"/>
      <c r="CB1266" s="17"/>
      <c r="CC1266" s="17"/>
      <c r="CD1266" s="18"/>
      <c r="CE1266" s="18"/>
      <c r="CF1266" s="18"/>
      <c r="CG1266" s="18"/>
      <c r="CH1266" s="18"/>
    </row>
    <row r="1267">
      <c r="A1267" s="15"/>
      <c r="B1267" s="16"/>
      <c r="C1267" s="15"/>
      <c r="D1267" s="9"/>
      <c r="E1267" s="15"/>
      <c r="F1267" s="15"/>
      <c r="G1267" s="13"/>
      <c r="H1267" s="13"/>
      <c r="I1267" s="13"/>
      <c r="J1267" s="13"/>
      <c r="K1267" s="13"/>
      <c r="L1267" s="13"/>
      <c r="M1267" s="13"/>
      <c r="N1267" s="13"/>
      <c r="O1267" s="13"/>
      <c r="P1267" s="13"/>
      <c r="Q1267" s="13"/>
      <c r="R1267" s="13"/>
      <c r="S1267" s="13"/>
      <c r="T1267" s="13"/>
      <c r="U1267" s="13"/>
      <c r="V1267" s="13"/>
      <c r="W1267" s="13"/>
      <c r="X1267" s="13"/>
      <c r="Y1267" s="13"/>
      <c r="Z1267" s="13"/>
      <c r="AA1267" s="13"/>
      <c r="AB1267" s="15"/>
      <c r="AC1267" s="15"/>
      <c r="AD1267" s="15"/>
      <c r="AE1267" s="13"/>
      <c r="AF1267" s="13"/>
      <c r="AG1267" s="13"/>
      <c r="AH1267" s="15"/>
      <c r="AI1267" s="13"/>
      <c r="AJ1267" s="13"/>
      <c r="AK1267" s="13"/>
      <c r="AL1267" s="13"/>
      <c r="AM1267" s="15"/>
      <c r="AN1267" s="13"/>
      <c r="AO1267" s="15"/>
      <c r="AP1267" s="15"/>
      <c r="AQ1267" s="13"/>
      <c r="AR1267" s="13"/>
      <c r="AS1267" s="13"/>
      <c r="AT1267" s="13"/>
      <c r="AU1267" s="13"/>
      <c r="AV1267" s="13"/>
      <c r="AW1267" s="13"/>
      <c r="AX1267" s="13"/>
      <c r="AY1267" s="15"/>
      <c r="AZ1267" s="15"/>
      <c r="BA1267" s="16"/>
      <c r="BB1267" s="15"/>
      <c r="BC1267" s="15"/>
      <c r="BD1267" s="13"/>
      <c r="BE1267" s="13"/>
      <c r="BF1267" s="13"/>
      <c r="BG1267" s="13"/>
      <c r="BH1267" s="13"/>
      <c r="BI1267" s="13"/>
      <c r="BJ1267" s="13"/>
      <c r="BK1267" s="13"/>
      <c r="BL1267" s="13"/>
      <c r="BM1267" s="13"/>
      <c r="BN1267" s="13"/>
      <c r="BO1267" s="13"/>
      <c r="BP1267" s="13"/>
      <c r="BQ1267" s="15"/>
      <c r="BR1267" s="15"/>
      <c r="BS1267" s="15"/>
      <c r="BT1267" s="15"/>
      <c r="BU1267" s="15"/>
      <c r="BV1267" s="15"/>
      <c r="BW1267" s="15"/>
      <c r="BX1267" s="15"/>
      <c r="BY1267" s="15"/>
      <c r="BZ1267" s="15"/>
      <c r="CA1267" s="15"/>
      <c r="CB1267" s="17"/>
      <c r="CC1267" s="17"/>
      <c r="CD1267" s="18"/>
      <c r="CE1267" s="18"/>
      <c r="CF1267" s="18"/>
      <c r="CG1267" s="18"/>
      <c r="CH1267" s="18"/>
    </row>
    <row r="1268">
      <c r="A1268" s="15"/>
      <c r="B1268" s="16"/>
      <c r="C1268" s="15"/>
      <c r="D1268" s="9"/>
      <c r="E1268" s="15"/>
      <c r="F1268" s="15"/>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5"/>
      <c r="AC1268" s="15"/>
      <c r="AD1268" s="15"/>
      <c r="AE1268" s="13"/>
      <c r="AF1268" s="13"/>
      <c r="AG1268" s="13"/>
      <c r="AH1268" s="15"/>
      <c r="AI1268" s="13"/>
      <c r="AJ1268" s="13"/>
      <c r="AK1268" s="13"/>
      <c r="AL1268" s="13"/>
      <c r="AM1268" s="15"/>
      <c r="AN1268" s="13"/>
      <c r="AO1268" s="15"/>
      <c r="AP1268" s="15"/>
      <c r="AQ1268" s="13"/>
      <c r="AR1268" s="13"/>
      <c r="AS1268" s="13"/>
      <c r="AT1268" s="13"/>
      <c r="AU1268" s="13"/>
      <c r="AV1268" s="13"/>
      <c r="AW1268" s="13"/>
      <c r="AX1268" s="13"/>
      <c r="AY1268" s="15"/>
      <c r="AZ1268" s="15"/>
      <c r="BA1268" s="16"/>
      <c r="BB1268" s="15"/>
      <c r="BC1268" s="15"/>
      <c r="BD1268" s="13"/>
      <c r="BE1268" s="13"/>
      <c r="BF1268" s="13"/>
      <c r="BG1268" s="13"/>
      <c r="BH1268" s="13"/>
      <c r="BI1268" s="13"/>
      <c r="BJ1268" s="13"/>
      <c r="BK1268" s="13"/>
      <c r="BL1268" s="13"/>
      <c r="BM1268" s="13"/>
      <c r="BN1268" s="13"/>
      <c r="BO1268" s="13"/>
      <c r="BP1268" s="13"/>
      <c r="BQ1268" s="15"/>
      <c r="BR1268" s="15"/>
      <c r="BS1268" s="15"/>
      <c r="BT1268" s="15"/>
      <c r="BU1268" s="15"/>
      <c r="BV1268" s="15"/>
      <c r="BW1268" s="15"/>
      <c r="BX1268" s="15"/>
      <c r="BY1268" s="15"/>
      <c r="BZ1268" s="15"/>
      <c r="CA1268" s="15"/>
      <c r="CB1268" s="17"/>
      <c r="CC1268" s="17"/>
      <c r="CD1268" s="18"/>
      <c r="CE1268" s="18"/>
      <c r="CF1268" s="18"/>
      <c r="CG1268" s="18"/>
      <c r="CH1268" s="18"/>
    </row>
    <row r="1269">
      <c r="A1269" s="15"/>
      <c r="B1269" s="16"/>
      <c r="C1269" s="15"/>
      <c r="D1269" s="9"/>
      <c r="E1269" s="15"/>
      <c r="F1269" s="15"/>
      <c r="G1269" s="13"/>
      <c r="H1269" s="13"/>
      <c r="I1269" s="13"/>
      <c r="J1269" s="13"/>
      <c r="K1269" s="13"/>
      <c r="L1269" s="13"/>
      <c r="M1269" s="13"/>
      <c r="N1269" s="13"/>
      <c r="O1269" s="13"/>
      <c r="P1269" s="13"/>
      <c r="Q1269" s="13"/>
      <c r="R1269" s="13"/>
      <c r="S1269" s="13"/>
      <c r="T1269" s="13"/>
      <c r="U1269" s="13"/>
      <c r="V1269" s="13"/>
      <c r="W1269" s="13"/>
      <c r="X1269" s="13"/>
      <c r="Y1269" s="13"/>
      <c r="Z1269" s="13"/>
      <c r="AA1269" s="13"/>
      <c r="AB1269" s="15"/>
      <c r="AC1269" s="15"/>
      <c r="AD1269" s="15"/>
      <c r="AE1269" s="13"/>
      <c r="AF1269" s="13"/>
      <c r="AG1269" s="13"/>
      <c r="AH1269" s="15"/>
      <c r="AI1269" s="13"/>
      <c r="AJ1269" s="13"/>
      <c r="AK1269" s="13"/>
      <c r="AL1269" s="13"/>
      <c r="AM1269" s="15"/>
      <c r="AN1269" s="13"/>
      <c r="AO1269" s="15"/>
      <c r="AP1269" s="15"/>
      <c r="AQ1269" s="13"/>
      <c r="AR1269" s="13"/>
      <c r="AS1269" s="13"/>
      <c r="AT1269" s="13"/>
      <c r="AU1269" s="13"/>
      <c r="AV1269" s="13"/>
      <c r="AW1269" s="13"/>
      <c r="AX1269" s="13"/>
      <c r="AY1269" s="15"/>
      <c r="AZ1269" s="15"/>
      <c r="BA1269" s="16"/>
      <c r="BB1269" s="15"/>
      <c r="BC1269" s="15"/>
      <c r="BD1269" s="13"/>
      <c r="BE1269" s="13"/>
      <c r="BF1269" s="13"/>
      <c r="BG1269" s="13"/>
      <c r="BH1269" s="13"/>
      <c r="BI1269" s="13"/>
      <c r="BJ1269" s="13"/>
      <c r="BK1269" s="13"/>
      <c r="BL1269" s="13"/>
      <c r="BM1269" s="13"/>
      <c r="BN1269" s="13"/>
      <c r="BO1269" s="13"/>
      <c r="BP1269" s="13"/>
      <c r="BQ1269" s="15"/>
      <c r="BR1269" s="15"/>
      <c r="BS1269" s="15"/>
      <c r="BT1269" s="15"/>
      <c r="BU1269" s="15"/>
      <c r="BV1269" s="15"/>
      <c r="BW1269" s="15"/>
      <c r="BX1269" s="15"/>
      <c r="BY1269" s="15"/>
      <c r="BZ1269" s="15"/>
      <c r="CA1269" s="15"/>
      <c r="CB1269" s="17"/>
      <c r="CC1269" s="17"/>
      <c r="CD1269" s="18"/>
      <c r="CE1269" s="18"/>
      <c r="CF1269" s="18"/>
      <c r="CG1269" s="18"/>
      <c r="CH1269" s="18"/>
    </row>
    <row r="1270">
      <c r="A1270" s="15"/>
      <c r="B1270" s="16"/>
      <c r="C1270" s="15"/>
      <c r="D1270" s="9"/>
      <c r="E1270" s="15"/>
      <c r="F1270" s="15"/>
      <c r="G1270" s="13"/>
      <c r="H1270" s="13"/>
      <c r="I1270" s="13"/>
      <c r="J1270" s="13"/>
      <c r="K1270" s="13"/>
      <c r="L1270" s="13"/>
      <c r="M1270" s="13"/>
      <c r="N1270" s="13"/>
      <c r="O1270" s="13"/>
      <c r="P1270" s="13"/>
      <c r="Q1270" s="13"/>
      <c r="R1270" s="13"/>
      <c r="S1270" s="13"/>
      <c r="T1270" s="13"/>
      <c r="U1270" s="13"/>
      <c r="V1270" s="13"/>
      <c r="W1270" s="13"/>
      <c r="X1270" s="13"/>
      <c r="Y1270" s="13"/>
      <c r="Z1270" s="13"/>
      <c r="AA1270" s="13"/>
      <c r="AB1270" s="15"/>
      <c r="AC1270" s="15"/>
      <c r="AD1270" s="15"/>
      <c r="AE1270" s="13"/>
      <c r="AF1270" s="13"/>
      <c r="AG1270" s="13"/>
      <c r="AH1270" s="15"/>
      <c r="AI1270" s="13"/>
      <c r="AJ1270" s="13"/>
      <c r="AK1270" s="13"/>
      <c r="AL1270" s="13"/>
      <c r="AM1270" s="15"/>
      <c r="AN1270" s="13"/>
      <c r="AO1270" s="15"/>
      <c r="AP1270" s="15"/>
      <c r="AQ1270" s="13"/>
      <c r="AR1270" s="13"/>
      <c r="AS1270" s="13"/>
      <c r="AT1270" s="13"/>
      <c r="AU1270" s="13"/>
      <c r="AV1270" s="13"/>
      <c r="AW1270" s="13"/>
      <c r="AX1270" s="13"/>
      <c r="AY1270" s="15"/>
      <c r="AZ1270" s="15"/>
      <c r="BA1270" s="16"/>
      <c r="BB1270" s="15"/>
      <c r="BC1270" s="15"/>
      <c r="BD1270" s="13"/>
      <c r="BE1270" s="13"/>
      <c r="BF1270" s="13"/>
      <c r="BG1270" s="13"/>
      <c r="BH1270" s="13"/>
      <c r="BI1270" s="13"/>
      <c r="BJ1270" s="13"/>
      <c r="BK1270" s="13"/>
      <c r="BL1270" s="13"/>
      <c r="BM1270" s="13"/>
      <c r="BN1270" s="13"/>
      <c r="BO1270" s="13"/>
      <c r="BP1270" s="13"/>
      <c r="BQ1270" s="15"/>
      <c r="BR1270" s="15"/>
      <c r="BS1270" s="15"/>
      <c r="BT1270" s="15"/>
      <c r="BU1270" s="15"/>
      <c r="BV1270" s="15"/>
      <c r="BW1270" s="15"/>
      <c r="BX1270" s="15"/>
      <c r="BY1270" s="15"/>
      <c r="BZ1270" s="15"/>
      <c r="CA1270" s="15"/>
      <c r="CB1270" s="17"/>
      <c r="CC1270" s="17"/>
      <c r="CD1270" s="18"/>
      <c r="CE1270" s="18"/>
      <c r="CF1270" s="18"/>
      <c r="CG1270" s="18"/>
      <c r="CH1270" s="18"/>
    </row>
    <row r="1271">
      <c r="A1271" s="15"/>
      <c r="B1271" s="16"/>
      <c r="C1271" s="15"/>
      <c r="D1271" s="9"/>
      <c r="E1271" s="15"/>
      <c r="F1271" s="15"/>
      <c r="G1271" s="13"/>
      <c r="H1271" s="13"/>
      <c r="I1271" s="13"/>
      <c r="J1271" s="13"/>
      <c r="K1271" s="13"/>
      <c r="L1271" s="13"/>
      <c r="M1271" s="13"/>
      <c r="N1271" s="13"/>
      <c r="O1271" s="13"/>
      <c r="P1271" s="13"/>
      <c r="Q1271" s="13"/>
      <c r="R1271" s="13"/>
      <c r="S1271" s="13"/>
      <c r="T1271" s="13"/>
      <c r="U1271" s="13"/>
      <c r="V1271" s="13"/>
      <c r="W1271" s="13"/>
      <c r="X1271" s="13"/>
      <c r="Y1271" s="13"/>
      <c r="Z1271" s="13"/>
      <c r="AA1271" s="13"/>
      <c r="AB1271" s="15"/>
      <c r="AC1271" s="15"/>
      <c r="AD1271" s="15"/>
      <c r="AE1271" s="13"/>
      <c r="AF1271" s="13"/>
      <c r="AG1271" s="13"/>
      <c r="AH1271" s="15"/>
      <c r="AI1271" s="13"/>
      <c r="AJ1271" s="13"/>
      <c r="AK1271" s="13"/>
      <c r="AL1271" s="13"/>
      <c r="AM1271" s="15"/>
      <c r="AN1271" s="13"/>
      <c r="AO1271" s="15"/>
      <c r="AP1271" s="15"/>
      <c r="AQ1271" s="13"/>
      <c r="AR1271" s="13"/>
      <c r="AS1271" s="13"/>
      <c r="AT1271" s="13"/>
      <c r="AU1271" s="13"/>
      <c r="AV1271" s="13"/>
      <c r="AW1271" s="13"/>
      <c r="AX1271" s="13"/>
      <c r="AY1271" s="15"/>
      <c r="AZ1271" s="15"/>
      <c r="BA1271" s="16"/>
      <c r="BB1271" s="15"/>
      <c r="BC1271" s="15"/>
      <c r="BD1271" s="13"/>
      <c r="BE1271" s="13"/>
      <c r="BF1271" s="13"/>
      <c r="BG1271" s="13"/>
      <c r="BH1271" s="13"/>
      <c r="BI1271" s="13"/>
      <c r="BJ1271" s="13"/>
      <c r="BK1271" s="13"/>
      <c r="BL1271" s="13"/>
      <c r="BM1271" s="13"/>
      <c r="BN1271" s="13"/>
      <c r="BO1271" s="13"/>
      <c r="BP1271" s="13"/>
      <c r="BQ1271" s="15"/>
      <c r="BR1271" s="15"/>
      <c r="BS1271" s="15"/>
      <c r="BT1271" s="15"/>
      <c r="BU1271" s="15"/>
      <c r="BV1271" s="15"/>
      <c r="BW1271" s="15"/>
      <c r="BX1271" s="15"/>
      <c r="BY1271" s="15"/>
      <c r="BZ1271" s="15"/>
      <c r="CA1271" s="15"/>
      <c r="CB1271" s="17"/>
      <c r="CC1271" s="17"/>
      <c r="CD1271" s="18"/>
      <c r="CE1271" s="18"/>
      <c r="CF1271" s="18"/>
      <c r="CG1271" s="18"/>
      <c r="CH1271" s="18"/>
    </row>
    <row r="1272">
      <c r="A1272" s="15"/>
      <c r="B1272" s="16"/>
      <c r="C1272" s="15"/>
      <c r="D1272" s="9"/>
      <c r="E1272" s="15"/>
      <c r="F1272" s="15"/>
      <c r="G1272" s="13"/>
      <c r="H1272" s="13"/>
      <c r="I1272" s="13"/>
      <c r="J1272" s="13"/>
      <c r="K1272" s="13"/>
      <c r="L1272" s="13"/>
      <c r="M1272" s="13"/>
      <c r="N1272" s="13"/>
      <c r="O1272" s="13"/>
      <c r="P1272" s="13"/>
      <c r="Q1272" s="13"/>
      <c r="R1272" s="13"/>
      <c r="S1272" s="13"/>
      <c r="T1272" s="13"/>
      <c r="U1272" s="13"/>
      <c r="V1272" s="13"/>
      <c r="W1272" s="13"/>
      <c r="X1272" s="13"/>
      <c r="Y1272" s="13"/>
      <c r="Z1272" s="13"/>
      <c r="AA1272" s="13"/>
      <c r="AB1272" s="15"/>
      <c r="AC1272" s="15"/>
      <c r="AD1272" s="15"/>
      <c r="AE1272" s="13"/>
      <c r="AF1272" s="13"/>
      <c r="AG1272" s="13"/>
      <c r="AH1272" s="15"/>
      <c r="AI1272" s="13"/>
      <c r="AJ1272" s="13"/>
      <c r="AK1272" s="13"/>
      <c r="AL1272" s="13"/>
      <c r="AM1272" s="15"/>
      <c r="AN1272" s="13"/>
      <c r="AO1272" s="15"/>
      <c r="AP1272" s="15"/>
      <c r="AQ1272" s="13"/>
      <c r="AR1272" s="13"/>
      <c r="AS1272" s="13"/>
      <c r="AT1272" s="13"/>
      <c r="AU1272" s="13"/>
      <c r="AV1272" s="13"/>
      <c r="AW1272" s="13"/>
      <c r="AX1272" s="13"/>
      <c r="AY1272" s="15"/>
      <c r="AZ1272" s="15"/>
      <c r="BA1272" s="16"/>
      <c r="BB1272" s="15"/>
      <c r="BC1272" s="15"/>
      <c r="BD1272" s="13"/>
      <c r="BE1272" s="13"/>
      <c r="BF1272" s="13"/>
      <c r="BG1272" s="13"/>
      <c r="BH1272" s="13"/>
      <c r="BI1272" s="13"/>
      <c r="BJ1272" s="13"/>
      <c r="BK1272" s="13"/>
      <c r="BL1272" s="13"/>
      <c r="BM1272" s="13"/>
      <c r="BN1272" s="13"/>
      <c r="BO1272" s="13"/>
      <c r="BP1272" s="13"/>
      <c r="BQ1272" s="15"/>
      <c r="BR1272" s="15"/>
      <c r="BS1272" s="15"/>
      <c r="BT1272" s="15"/>
      <c r="BU1272" s="15"/>
      <c r="BV1272" s="15"/>
      <c r="BW1272" s="15"/>
      <c r="BX1272" s="15"/>
      <c r="BY1272" s="15"/>
      <c r="BZ1272" s="15"/>
      <c r="CA1272" s="15"/>
      <c r="CB1272" s="17"/>
      <c r="CC1272" s="17"/>
      <c r="CD1272" s="18"/>
      <c r="CE1272" s="18"/>
      <c r="CF1272" s="18"/>
      <c r="CG1272" s="18"/>
      <c r="CH1272" s="18"/>
    </row>
    <row r="1273">
      <c r="A1273" s="15"/>
      <c r="B1273" s="16"/>
      <c r="C1273" s="15"/>
      <c r="D1273" s="9"/>
      <c r="E1273" s="15"/>
      <c r="F1273" s="15"/>
      <c r="G1273" s="13"/>
      <c r="H1273" s="13"/>
      <c r="I1273" s="13"/>
      <c r="J1273" s="13"/>
      <c r="K1273" s="13"/>
      <c r="L1273" s="13"/>
      <c r="M1273" s="13"/>
      <c r="N1273" s="13"/>
      <c r="O1273" s="13"/>
      <c r="P1273" s="13"/>
      <c r="Q1273" s="13"/>
      <c r="R1273" s="13"/>
      <c r="S1273" s="13"/>
      <c r="T1273" s="13"/>
      <c r="U1273" s="13"/>
      <c r="V1273" s="13"/>
      <c r="W1273" s="13"/>
      <c r="X1273" s="13"/>
      <c r="Y1273" s="13"/>
      <c r="Z1273" s="13"/>
      <c r="AA1273" s="13"/>
      <c r="AB1273" s="15"/>
      <c r="AC1273" s="15"/>
      <c r="AD1273" s="15"/>
      <c r="AE1273" s="13"/>
      <c r="AF1273" s="13"/>
      <c r="AG1273" s="13"/>
      <c r="AH1273" s="15"/>
      <c r="AI1273" s="13"/>
      <c r="AJ1273" s="13"/>
      <c r="AK1273" s="13"/>
      <c r="AL1273" s="13"/>
      <c r="AM1273" s="15"/>
      <c r="AN1273" s="13"/>
      <c r="AO1273" s="15"/>
      <c r="AP1273" s="15"/>
      <c r="AQ1273" s="13"/>
      <c r="AR1273" s="13"/>
      <c r="AS1273" s="13"/>
      <c r="AT1273" s="13"/>
      <c r="AU1273" s="13"/>
      <c r="AV1273" s="13"/>
      <c r="AW1273" s="13"/>
      <c r="AX1273" s="13"/>
      <c r="AY1273" s="15"/>
      <c r="AZ1273" s="15"/>
      <c r="BA1273" s="16"/>
      <c r="BB1273" s="15"/>
      <c r="BC1273" s="15"/>
      <c r="BD1273" s="13"/>
      <c r="BE1273" s="13"/>
      <c r="BF1273" s="13"/>
      <c r="BG1273" s="13"/>
      <c r="BH1273" s="13"/>
      <c r="BI1273" s="13"/>
      <c r="BJ1273" s="13"/>
      <c r="BK1273" s="13"/>
      <c r="BL1273" s="13"/>
      <c r="BM1273" s="13"/>
      <c r="BN1273" s="13"/>
      <c r="BO1273" s="13"/>
      <c r="BP1273" s="13"/>
      <c r="BQ1273" s="15"/>
      <c r="BR1273" s="15"/>
      <c r="BS1273" s="15"/>
      <c r="BT1273" s="15"/>
      <c r="BU1273" s="15"/>
      <c r="BV1273" s="15"/>
      <c r="BW1273" s="15"/>
      <c r="BX1273" s="15"/>
      <c r="BY1273" s="15"/>
      <c r="BZ1273" s="15"/>
      <c r="CA1273" s="15"/>
      <c r="CB1273" s="17"/>
      <c r="CC1273" s="17"/>
      <c r="CD1273" s="18"/>
      <c r="CE1273" s="18"/>
      <c r="CF1273" s="18"/>
      <c r="CG1273" s="18"/>
      <c r="CH1273" s="18"/>
    </row>
    <row r="1274">
      <c r="A1274" s="15"/>
      <c r="B1274" s="16"/>
      <c r="C1274" s="15"/>
      <c r="D1274" s="9"/>
      <c r="E1274" s="15"/>
      <c r="F1274" s="15"/>
      <c r="G1274" s="13"/>
      <c r="H1274" s="13"/>
      <c r="I1274" s="13"/>
      <c r="J1274" s="13"/>
      <c r="K1274" s="13"/>
      <c r="L1274" s="13"/>
      <c r="M1274" s="13"/>
      <c r="N1274" s="13"/>
      <c r="O1274" s="13"/>
      <c r="P1274" s="13"/>
      <c r="Q1274" s="13"/>
      <c r="R1274" s="13"/>
      <c r="S1274" s="13"/>
      <c r="T1274" s="13"/>
      <c r="U1274" s="13"/>
      <c r="V1274" s="13"/>
      <c r="W1274" s="13"/>
      <c r="X1274" s="13"/>
      <c r="Y1274" s="13"/>
      <c r="Z1274" s="13"/>
      <c r="AA1274" s="13"/>
      <c r="AB1274" s="15"/>
      <c r="AC1274" s="15"/>
      <c r="AD1274" s="15"/>
      <c r="AE1274" s="13"/>
      <c r="AF1274" s="13"/>
      <c r="AG1274" s="13"/>
      <c r="AH1274" s="15"/>
      <c r="AI1274" s="13"/>
      <c r="AJ1274" s="13"/>
      <c r="AK1274" s="13"/>
      <c r="AL1274" s="13"/>
      <c r="AM1274" s="15"/>
      <c r="AN1274" s="13"/>
      <c r="AO1274" s="15"/>
      <c r="AP1274" s="15"/>
      <c r="AQ1274" s="13"/>
      <c r="AR1274" s="13"/>
      <c r="AS1274" s="13"/>
      <c r="AT1274" s="13"/>
      <c r="AU1274" s="13"/>
      <c r="AV1274" s="13"/>
      <c r="AW1274" s="13"/>
      <c r="AX1274" s="13"/>
      <c r="AY1274" s="15"/>
      <c r="AZ1274" s="15"/>
      <c r="BA1274" s="16"/>
      <c r="BB1274" s="15"/>
      <c r="BC1274" s="15"/>
      <c r="BD1274" s="13"/>
      <c r="BE1274" s="13"/>
      <c r="BF1274" s="13"/>
      <c r="BG1274" s="13"/>
      <c r="BH1274" s="13"/>
      <c r="BI1274" s="13"/>
      <c r="BJ1274" s="13"/>
      <c r="BK1274" s="13"/>
      <c r="BL1274" s="13"/>
      <c r="BM1274" s="13"/>
      <c r="BN1274" s="13"/>
      <c r="BO1274" s="13"/>
      <c r="BP1274" s="13"/>
      <c r="BQ1274" s="15"/>
      <c r="BR1274" s="15"/>
      <c r="BS1274" s="15"/>
      <c r="BT1274" s="15"/>
      <c r="BU1274" s="15"/>
      <c r="BV1274" s="15"/>
      <c r="BW1274" s="15"/>
      <c r="BX1274" s="15"/>
      <c r="BY1274" s="15"/>
      <c r="BZ1274" s="15"/>
      <c r="CA1274" s="15"/>
      <c r="CB1274" s="17"/>
      <c r="CC1274" s="17"/>
      <c r="CD1274" s="18"/>
      <c r="CE1274" s="18"/>
      <c r="CF1274" s="18"/>
      <c r="CG1274" s="18"/>
      <c r="CH1274" s="18"/>
    </row>
    <row r="1275">
      <c r="A1275" s="15"/>
      <c r="B1275" s="16"/>
      <c r="C1275" s="15"/>
      <c r="D1275" s="9"/>
      <c r="E1275" s="15"/>
      <c r="F1275" s="15"/>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5"/>
      <c r="AC1275" s="15"/>
      <c r="AD1275" s="15"/>
      <c r="AE1275" s="13"/>
      <c r="AF1275" s="13"/>
      <c r="AG1275" s="13"/>
      <c r="AH1275" s="15"/>
      <c r="AI1275" s="13"/>
      <c r="AJ1275" s="13"/>
      <c r="AK1275" s="13"/>
      <c r="AL1275" s="13"/>
      <c r="AM1275" s="15"/>
      <c r="AN1275" s="13"/>
      <c r="AO1275" s="15"/>
      <c r="AP1275" s="15"/>
      <c r="AQ1275" s="13"/>
      <c r="AR1275" s="13"/>
      <c r="AS1275" s="13"/>
      <c r="AT1275" s="13"/>
      <c r="AU1275" s="13"/>
      <c r="AV1275" s="13"/>
      <c r="AW1275" s="13"/>
      <c r="AX1275" s="13"/>
      <c r="AY1275" s="15"/>
      <c r="AZ1275" s="15"/>
      <c r="BA1275" s="16"/>
      <c r="BB1275" s="15"/>
      <c r="BC1275" s="15"/>
      <c r="BD1275" s="13"/>
      <c r="BE1275" s="13"/>
      <c r="BF1275" s="13"/>
      <c r="BG1275" s="13"/>
      <c r="BH1275" s="13"/>
      <c r="BI1275" s="13"/>
      <c r="BJ1275" s="13"/>
      <c r="BK1275" s="13"/>
      <c r="BL1275" s="13"/>
      <c r="BM1275" s="13"/>
      <c r="BN1275" s="13"/>
      <c r="BO1275" s="13"/>
      <c r="BP1275" s="13"/>
      <c r="BQ1275" s="15"/>
      <c r="BR1275" s="15"/>
      <c r="BS1275" s="15"/>
      <c r="BT1275" s="15"/>
      <c r="BU1275" s="15"/>
      <c r="BV1275" s="15"/>
      <c r="BW1275" s="15"/>
      <c r="BX1275" s="15"/>
      <c r="BY1275" s="15"/>
      <c r="BZ1275" s="15"/>
      <c r="CA1275" s="15"/>
      <c r="CB1275" s="17"/>
      <c r="CC1275" s="17"/>
      <c r="CD1275" s="18"/>
      <c r="CE1275" s="18"/>
      <c r="CF1275" s="18"/>
      <c r="CG1275" s="18"/>
      <c r="CH1275" s="18"/>
    </row>
    <row r="1276">
      <c r="A1276" s="15"/>
      <c r="B1276" s="16"/>
      <c r="C1276" s="15"/>
      <c r="D1276" s="9"/>
      <c r="E1276" s="15"/>
      <c r="F1276" s="15"/>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5"/>
      <c r="AC1276" s="15"/>
      <c r="AD1276" s="15"/>
      <c r="AE1276" s="13"/>
      <c r="AF1276" s="13"/>
      <c r="AG1276" s="13"/>
      <c r="AH1276" s="15"/>
      <c r="AI1276" s="13"/>
      <c r="AJ1276" s="13"/>
      <c r="AK1276" s="13"/>
      <c r="AL1276" s="13"/>
      <c r="AM1276" s="15"/>
      <c r="AN1276" s="13"/>
      <c r="AO1276" s="15"/>
      <c r="AP1276" s="15"/>
      <c r="AQ1276" s="13"/>
      <c r="AR1276" s="13"/>
      <c r="AS1276" s="13"/>
      <c r="AT1276" s="13"/>
      <c r="AU1276" s="13"/>
      <c r="AV1276" s="13"/>
      <c r="AW1276" s="13"/>
      <c r="AX1276" s="13"/>
      <c r="AY1276" s="15"/>
      <c r="AZ1276" s="15"/>
      <c r="BA1276" s="16"/>
      <c r="BB1276" s="15"/>
      <c r="BC1276" s="15"/>
      <c r="BD1276" s="13"/>
      <c r="BE1276" s="13"/>
      <c r="BF1276" s="13"/>
      <c r="BG1276" s="13"/>
      <c r="BH1276" s="13"/>
      <c r="BI1276" s="13"/>
      <c r="BJ1276" s="13"/>
      <c r="BK1276" s="13"/>
      <c r="BL1276" s="13"/>
      <c r="BM1276" s="13"/>
      <c r="BN1276" s="13"/>
      <c r="BO1276" s="13"/>
      <c r="BP1276" s="13"/>
      <c r="BQ1276" s="15"/>
      <c r="BR1276" s="15"/>
      <c r="BS1276" s="15"/>
      <c r="BT1276" s="15"/>
      <c r="BU1276" s="15"/>
      <c r="BV1276" s="15"/>
      <c r="BW1276" s="15"/>
      <c r="BX1276" s="15"/>
      <c r="BY1276" s="15"/>
      <c r="BZ1276" s="15"/>
      <c r="CA1276" s="15"/>
      <c r="CB1276" s="17"/>
      <c r="CC1276" s="17"/>
      <c r="CD1276" s="18"/>
      <c r="CE1276" s="18"/>
      <c r="CF1276" s="18"/>
      <c r="CG1276" s="18"/>
      <c r="CH1276" s="18"/>
    </row>
    <row r="1277">
      <c r="A1277" s="15"/>
      <c r="B1277" s="16"/>
      <c r="C1277" s="15"/>
      <c r="D1277" s="9"/>
      <c r="E1277" s="15"/>
      <c r="F1277" s="15"/>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5"/>
      <c r="AC1277" s="15"/>
      <c r="AD1277" s="15"/>
      <c r="AE1277" s="13"/>
      <c r="AF1277" s="13"/>
      <c r="AG1277" s="13"/>
      <c r="AH1277" s="15"/>
      <c r="AI1277" s="13"/>
      <c r="AJ1277" s="13"/>
      <c r="AK1277" s="13"/>
      <c r="AL1277" s="13"/>
      <c r="AM1277" s="15"/>
      <c r="AN1277" s="13"/>
      <c r="AO1277" s="15"/>
      <c r="AP1277" s="15"/>
      <c r="AQ1277" s="13"/>
      <c r="AR1277" s="13"/>
      <c r="AS1277" s="13"/>
      <c r="AT1277" s="13"/>
      <c r="AU1277" s="13"/>
      <c r="AV1277" s="13"/>
      <c r="AW1277" s="13"/>
      <c r="AX1277" s="13"/>
      <c r="AY1277" s="15"/>
      <c r="AZ1277" s="15"/>
      <c r="BA1277" s="16"/>
      <c r="BB1277" s="15"/>
      <c r="BC1277" s="15"/>
      <c r="BD1277" s="13"/>
      <c r="BE1277" s="13"/>
      <c r="BF1277" s="13"/>
      <c r="BG1277" s="13"/>
      <c r="BH1277" s="13"/>
      <c r="BI1277" s="13"/>
      <c r="BJ1277" s="13"/>
      <c r="BK1277" s="13"/>
      <c r="BL1277" s="13"/>
      <c r="BM1277" s="13"/>
      <c r="BN1277" s="13"/>
      <c r="BO1277" s="13"/>
      <c r="BP1277" s="13"/>
      <c r="BQ1277" s="15"/>
      <c r="BR1277" s="15"/>
      <c r="BS1277" s="15"/>
      <c r="BT1277" s="15"/>
      <c r="BU1277" s="15"/>
      <c r="BV1277" s="15"/>
      <c r="BW1277" s="15"/>
      <c r="BX1277" s="15"/>
      <c r="BY1277" s="15"/>
      <c r="BZ1277" s="15"/>
      <c r="CA1277" s="15"/>
      <c r="CB1277" s="17"/>
      <c r="CC1277" s="17"/>
      <c r="CD1277" s="18"/>
      <c r="CE1277" s="18"/>
      <c r="CF1277" s="18"/>
      <c r="CG1277" s="18"/>
      <c r="CH1277" s="18"/>
    </row>
    <row r="1278">
      <c r="A1278" s="15"/>
      <c r="B1278" s="16"/>
      <c r="C1278" s="15"/>
      <c r="D1278" s="9"/>
      <c r="E1278" s="15"/>
      <c r="F1278" s="15"/>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5"/>
      <c r="AC1278" s="15"/>
      <c r="AD1278" s="15"/>
      <c r="AE1278" s="13"/>
      <c r="AF1278" s="13"/>
      <c r="AG1278" s="13"/>
      <c r="AH1278" s="15"/>
      <c r="AI1278" s="13"/>
      <c r="AJ1278" s="13"/>
      <c r="AK1278" s="13"/>
      <c r="AL1278" s="13"/>
      <c r="AM1278" s="15"/>
      <c r="AN1278" s="13"/>
      <c r="AO1278" s="15"/>
      <c r="AP1278" s="15"/>
      <c r="AQ1278" s="13"/>
      <c r="AR1278" s="13"/>
      <c r="AS1278" s="13"/>
      <c r="AT1278" s="13"/>
      <c r="AU1278" s="13"/>
      <c r="AV1278" s="13"/>
      <c r="AW1278" s="13"/>
      <c r="AX1278" s="13"/>
      <c r="AY1278" s="15"/>
      <c r="AZ1278" s="15"/>
      <c r="BA1278" s="16"/>
      <c r="BB1278" s="15"/>
      <c r="BC1278" s="15"/>
      <c r="BD1278" s="13"/>
      <c r="BE1278" s="13"/>
      <c r="BF1278" s="13"/>
      <c r="BG1278" s="13"/>
      <c r="BH1278" s="13"/>
      <c r="BI1278" s="13"/>
      <c r="BJ1278" s="13"/>
      <c r="BK1278" s="13"/>
      <c r="BL1278" s="13"/>
      <c r="BM1278" s="13"/>
      <c r="BN1278" s="13"/>
      <c r="BO1278" s="13"/>
      <c r="BP1278" s="13"/>
      <c r="BQ1278" s="15"/>
      <c r="BR1278" s="15"/>
      <c r="BS1278" s="15"/>
      <c r="BT1278" s="15"/>
      <c r="BU1278" s="15"/>
      <c r="BV1278" s="15"/>
      <c r="BW1278" s="15"/>
      <c r="BX1278" s="15"/>
      <c r="BY1278" s="15"/>
      <c r="BZ1278" s="15"/>
      <c r="CA1278" s="15"/>
      <c r="CB1278" s="17"/>
      <c r="CC1278" s="17"/>
      <c r="CD1278" s="18"/>
      <c r="CE1278" s="18"/>
      <c r="CF1278" s="18"/>
      <c r="CG1278" s="18"/>
      <c r="CH1278" s="18"/>
    </row>
    <row r="1279">
      <c r="A1279" s="15"/>
      <c r="B1279" s="16"/>
      <c r="C1279" s="15"/>
      <c r="D1279" s="9"/>
      <c r="E1279" s="15"/>
      <c r="F1279" s="15"/>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5"/>
      <c r="AC1279" s="15"/>
      <c r="AD1279" s="15"/>
      <c r="AE1279" s="13"/>
      <c r="AF1279" s="13"/>
      <c r="AG1279" s="13"/>
      <c r="AH1279" s="15"/>
      <c r="AI1279" s="13"/>
      <c r="AJ1279" s="13"/>
      <c r="AK1279" s="13"/>
      <c r="AL1279" s="13"/>
      <c r="AM1279" s="15"/>
      <c r="AN1279" s="13"/>
      <c r="AO1279" s="15"/>
      <c r="AP1279" s="15"/>
      <c r="AQ1279" s="13"/>
      <c r="AR1279" s="13"/>
      <c r="AS1279" s="13"/>
      <c r="AT1279" s="13"/>
      <c r="AU1279" s="13"/>
      <c r="AV1279" s="13"/>
      <c r="AW1279" s="13"/>
      <c r="AX1279" s="13"/>
      <c r="AY1279" s="15"/>
      <c r="AZ1279" s="15"/>
      <c r="BA1279" s="16"/>
      <c r="BB1279" s="15"/>
      <c r="BC1279" s="15"/>
      <c r="BD1279" s="13"/>
      <c r="BE1279" s="13"/>
      <c r="BF1279" s="13"/>
      <c r="BG1279" s="13"/>
      <c r="BH1279" s="13"/>
      <c r="BI1279" s="13"/>
      <c r="BJ1279" s="13"/>
      <c r="BK1279" s="13"/>
      <c r="BL1279" s="13"/>
      <c r="BM1279" s="13"/>
      <c r="BN1279" s="13"/>
      <c r="BO1279" s="13"/>
      <c r="BP1279" s="13"/>
      <c r="BQ1279" s="15"/>
      <c r="BR1279" s="15"/>
      <c r="BS1279" s="15"/>
      <c r="BT1279" s="15"/>
      <c r="BU1279" s="15"/>
      <c r="BV1279" s="15"/>
      <c r="BW1279" s="15"/>
      <c r="BX1279" s="15"/>
      <c r="BY1279" s="15"/>
      <c r="BZ1279" s="15"/>
      <c r="CA1279" s="15"/>
      <c r="CB1279" s="17"/>
      <c r="CC1279" s="17"/>
      <c r="CD1279" s="18"/>
      <c r="CE1279" s="18"/>
      <c r="CF1279" s="18"/>
      <c r="CG1279" s="18"/>
      <c r="CH1279" s="18"/>
    </row>
    <row r="1280">
      <c r="A1280" s="15"/>
      <c r="B1280" s="16"/>
      <c r="C1280" s="15"/>
      <c r="D1280" s="9"/>
      <c r="E1280" s="15"/>
      <c r="F1280" s="15"/>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5"/>
      <c r="AC1280" s="15"/>
      <c r="AD1280" s="15"/>
      <c r="AE1280" s="13"/>
      <c r="AF1280" s="13"/>
      <c r="AG1280" s="13"/>
      <c r="AH1280" s="15"/>
      <c r="AI1280" s="13"/>
      <c r="AJ1280" s="13"/>
      <c r="AK1280" s="13"/>
      <c r="AL1280" s="13"/>
      <c r="AM1280" s="15"/>
      <c r="AN1280" s="13"/>
      <c r="AO1280" s="15"/>
      <c r="AP1280" s="15"/>
      <c r="AQ1280" s="13"/>
      <c r="AR1280" s="13"/>
      <c r="AS1280" s="13"/>
      <c r="AT1280" s="13"/>
      <c r="AU1280" s="13"/>
      <c r="AV1280" s="13"/>
      <c r="AW1280" s="13"/>
      <c r="AX1280" s="13"/>
      <c r="AY1280" s="15"/>
      <c r="AZ1280" s="15"/>
      <c r="BA1280" s="16"/>
      <c r="BB1280" s="15"/>
      <c r="BC1280" s="15"/>
      <c r="BD1280" s="13"/>
      <c r="BE1280" s="13"/>
      <c r="BF1280" s="13"/>
      <c r="BG1280" s="13"/>
      <c r="BH1280" s="13"/>
      <c r="BI1280" s="13"/>
      <c r="BJ1280" s="13"/>
      <c r="BK1280" s="13"/>
      <c r="BL1280" s="13"/>
      <c r="BM1280" s="13"/>
      <c r="BN1280" s="13"/>
      <c r="BO1280" s="13"/>
      <c r="BP1280" s="13"/>
      <c r="BQ1280" s="15"/>
      <c r="BR1280" s="15"/>
      <c r="BS1280" s="15"/>
      <c r="BT1280" s="15"/>
      <c r="BU1280" s="15"/>
      <c r="BV1280" s="15"/>
      <c r="BW1280" s="15"/>
      <c r="BX1280" s="15"/>
      <c r="BY1280" s="15"/>
      <c r="BZ1280" s="15"/>
      <c r="CA1280" s="15"/>
      <c r="CB1280" s="17"/>
      <c r="CC1280" s="17"/>
      <c r="CD1280" s="18"/>
      <c r="CE1280" s="18"/>
      <c r="CF1280" s="18"/>
      <c r="CG1280" s="18"/>
      <c r="CH1280" s="18"/>
    </row>
    <row r="1281">
      <c r="A1281" s="15"/>
      <c r="B1281" s="16"/>
      <c r="C1281" s="15"/>
      <c r="D1281" s="9"/>
      <c r="E1281" s="15"/>
      <c r="F1281" s="15"/>
      <c r="G1281" s="13"/>
      <c r="H1281" s="13"/>
      <c r="I1281" s="13"/>
      <c r="J1281" s="13"/>
      <c r="K1281" s="13"/>
      <c r="L1281" s="13"/>
      <c r="M1281" s="13"/>
      <c r="N1281" s="13"/>
      <c r="O1281" s="13"/>
      <c r="P1281" s="13"/>
      <c r="Q1281" s="13"/>
      <c r="R1281" s="13"/>
      <c r="S1281" s="13"/>
      <c r="T1281" s="13"/>
      <c r="U1281" s="13"/>
      <c r="V1281" s="13"/>
      <c r="W1281" s="13"/>
      <c r="X1281" s="13"/>
      <c r="Y1281" s="13"/>
      <c r="Z1281" s="13"/>
      <c r="AA1281" s="13"/>
      <c r="AB1281" s="15"/>
      <c r="AC1281" s="15"/>
      <c r="AD1281" s="15"/>
      <c r="AE1281" s="13"/>
      <c r="AF1281" s="13"/>
      <c r="AG1281" s="13"/>
      <c r="AH1281" s="15"/>
      <c r="AI1281" s="13"/>
      <c r="AJ1281" s="13"/>
      <c r="AK1281" s="13"/>
      <c r="AL1281" s="13"/>
      <c r="AM1281" s="15"/>
      <c r="AN1281" s="13"/>
      <c r="AO1281" s="15"/>
      <c r="AP1281" s="15"/>
      <c r="AQ1281" s="13"/>
      <c r="AR1281" s="13"/>
      <c r="AS1281" s="13"/>
      <c r="AT1281" s="13"/>
      <c r="AU1281" s="13"/>
      <c r="AV1281" s="13"/>
      <c r="AW1281" s="13"/>
      <c r="AX1281" s="13"/>
      <c r="AY1281" s="15"/>
      <c r="AZ1281" s="15"/>
      <c r="BA1281" s="16"/>
      <c r="BB1281" s="15"/>
      <c r="BC1281" s="15"/>
      <c r="BD1281" s="13"/>
      <c r="BE1281" s="13"/>
      <c r="BF1281" s="13"/>
      <c r="BG1281" s="13"/>
      <c r="BH1281" s="13"/>
      <c r="BI1281" s="13"/>
      <c r="BJ1281" s="13"/>
      <c r="BK1281" s="13"/>
      <c r="BL1281" s="13"/>
      <c r="BM1281" s="13"/>
      <c r="BN1281" s="13"/>
      <c r="BO1281" s="13"/>
      <c r="BP1281" s="13"/>
      <c r="BQ1281" s="15"/>
      <c r="BR1281" s="15"/>
      <c r="BS1281" s="15"/>
      <c r="BT1281" s="15"/>
      <c r="BU1281" s="15"/>
      <c r="BV1281" s="15"/>
      <c r="BW1281" s="15"/>
      <c r="BX1281" s="15"/>
      <c r="BY1281" s="15"/>
      <c r="BZ1281" s="15"/>
      <c r="CA1281" s="15"/>
      <c r="CB1281" s="17"/>
      <c r="CC1281" s="17"/>
      <c r="CD1281" s="18"/>
      <c r="CE1281" s="18"/>
      <c r="CF1281" s="18"/>
      <c r="CG1281" s="18"/>
      <c r="CH1281" s="18"/>
    </row>
    <row r="1282">
      <c r="A1282" s="15"/>
      <c r="B1282" s="16"/>
      <c r="C1282" s="15"/>
      <c r="D1282" s="9"/>
      <c r="E1282" s="15"/>
      <c r="F1282" s="15"/>
      <c r="G1282" s="13"/>
      <c r="H1282" s="13"/>
      <c r="I1282" s="13"/>
      <c r="J1282" s="13"/>
      <c r="K1282" s="13"/>
      <c r="L1282" s="13"/>
      <c r="M1282" s="13"/>
      <c r="N1282" s="13"/>
      <c r="O1282" s="13"/>
      <c r="P1282" s="13"/>
      <c r="Q1282" s="13"/>
      <c r="R1282" s="13"/>
      <c r="S1282" s="13"/>
      <c r="T1282" s="13"/>
      <c r="U1282" s="13"/>
      <c r="V1282" s="13"/>
      <c r="W1282" s="13"/>
      <c r="X1282" s="13"/>
      <c r="Y1282" s="13"/>
      <c r="Z1282" s="13"/>
      <c r="AA1282" s="13"/>
      <c r="AB1282" s="15"/>
      <c r="AC1282" s="15"/>
      <c r="AD1282" s="15"/>
      <c r="AE1282" s="13"/>
      <c r="AF1282" s="13"/>
      <c r="AG1282" s="13"/>
      <c r="AH1282" s="15"/>
      <c r="AI1282" s="13"/>
      <c r="AJ1282" s="13"/>
      <c r="AK1282" s="13"/>
      <c r="AL1282" s="13"/>
      <c r="AM1282" s="15"/>
      <c r="AN1282" s="13"/>
      <c r="AO1282" s="15"/>
      <c r="AP1282" s="15"/>
      <c r="AQ1282" s="13"/>
      <c r="AR1282" s="13"/>
      <c r="AS1282" s="13"/>
      <c r="AT1282" s="13"/>
      <c r="AU1282" s="13"/>
      <c r="AV1282" s="13"/>
      <c r="AW1282" s="13"/>
      <c r="AX1282" s="13"/>
      <c r="AY1282" s="15"/>
      <c r="AZ1282" s="15"/>
      <c r="BA1282" s="16"/>
      <c r="BB1282" s="15"/>
      <c r="BC1282" s="15"/>
      <c r="BD1282" s="13"/>
      <c r="BE1282" s="13"/>
      <c r="BF1282" s="13"/>
      <c r="BG1282" s="13"/>
      <c r="BH1282" s="13"/>
      <c r="BI1282" s="13"/>
      <c r="BJ1282" s="13"/>
      <c r="BK1282" s="13"/>
      <c r="BL1282" s="13"/>
      <c r="BM1282" s="13"/>
      <c r="BN1282" s="13"/>
      <c r="BO1282" s="13"/>
      <c r="BP1282" s="13"/>
      <c r="BQ1282" s="15"/>
      <c r="BR1282" s="15"/>
      <c r="BS1282" s="15"/>
      <c r="BT1282" s="15"/>
      <c r="BU1282" s="15"/>
      <c r="BV1282" s="15"/>
      <c r="BW1282" s="15"/>
      <c r="BX1282" s="15"/>
      <c r="BY1282" s="15"/>
      <c r="BZ1282" s="15"/>
      <c r="CA1282" s="15"/>
      <c r="CB1282" s="17"/>
      <c r="CC1282" s="17"/>
      <c r="CD1282" s="18"/>
      <c r="CE1282" s="18"/>
      <c r="CF1282" s="18"/>
      <c r="CG1282" s="18"/>
      <c r="CH1282" s="18"/>
    </row>
    <row r="1283">
      <c r="A1283" s="15"/>
      <c r="B1283" s="16"/>
      <c r="C1283" s="15"/>
      <c r="D1283" s="9"/>
      <c r="E1283" s="15"/>
      <c r="F1283" s="15"/>
      <c r="G1283" s="13"/>
      <c r="H1283" s="13"/>
      <c r="I1283" s="13"/>
      <c r="J1283" s="13"/>
      <c r="K1283" s="13"/>
      <c r="L1283" s="13"/>
      <c r="M1283" s="13"/>
      <c r="N1283" s="13"/>
      <c r="O1283" s="13"/>
      <c r="P1283" s="13"/>
      <c r="Q1283" s="13"/>
      <c r="R1283" s="13"/>
      <c r="S1283" s="13"/>
      <c r="T1283" s="13"/>
      <c r="U1283" s="13"/>
      <c r="V1283" s="13"/>
      <c r="W1283" s="13"/>
      <c r="X1283" s="13"/>
      <c r="Y1283" s="13"/>
      <c r="Z1283" s="13"/>
      <c r="AA1283" s="13"/>
      <c r="AB1283" s="15"/>
      <c r="AC1283" s="15"/>
      <c r="AD1283" s="15"/>
      <c r="AE1283" s="13"/>
      <c r="AF1283" s="13"/>
      <c r="AG1283" s="13"/>
      <c r="AH1283" s="15"/>
      <c r="AI1283" s="13"/>
      <c r="AJ1283" s="13"/>
      <c r="AK1283" s="13"/>
      <c r="AL1283" s="13"/>
      <c r="AM1283" s="15"/>
      <c r="AN1283" s="13"/>
      <c r="AO1283" s="15"/>
      <c r="AP1283" s="15"/>
      <c r="AQ1283" s="13"/>
      <c r="AR1283" s="13"/>
      <c r="AS1283" s="13"/>
      <c r="AT1283" s="13"/>
      <c r="AU1283" s="13"/>
      <c r="AV1283" s="13"/>
      <c r="AW1283" s="13"/>
      <c r="AX1283" s="13"/>
      <c r="AY1283" s="15"/>
      <c r="AZ1283" s="15"/>
      <c r="BA1283" s="16"/>
      <c r="BB1283" s="15"/>
      <c r="BC1283" s="15"/>
      <c r="BD1283" s="13"/>
      <c r="BE1283" s="13"/>
      <c r="BF1283" s="13"/>
      <c r="BG1283" s="13"/>
      <c r="BH1283" s="13"/>
      <c r="BI1283" s="13"/>
      <c r="BJ1283" s="13"/>
      <c r="BK1283" s="13"/>
      <c r="BL1283" s="13"/>
      <c r="BM1283" s="13"/>
      <c r="BN1283" s="13"/>
      <c r="BO1283" s="13"/>
      <c r="BP1283" s="13"/>
      <c r="BQ1283" s="15"/>
      <c r="BR1283" s="15"/>
      <c r="BS1283" s="15"/>
      <c r="BT1283" s="15"/>
      <c r="BU1283" s="15"/>
      <c r="BV1283" s="15"/>
      <c r="BW1283" s="15"/>
      <c r="BX1283" s="15"/>
      <c r="BY1283" s="15"/>
      <c r="BZ1283" s="15"/>
      <c r="CA1283" s="15"/>
      <c r="CB1283" s="17"/>
      <c r="CC1283" s="17"/>
      <c r="CD1283" s="18"/>
      <c r="CE1283" s="18"/>
      <c r="CF1283" s="18"/>
      <c r="CG1283" s="18"/>
      <c r="CH1283" s="18"/>
    </row>
    <row r="1284">
      <c r="A1284" s="15"/>
      <c r="B1284" s="16"/>
      <c r="C1284" s="15"/>
      <c r="D1284" s="9"/>
      <c r="E1284" s="15"/>
      <c r="F1284" s="15"/>
      <c r="G1284" s="13"/>
      <c r="H1284" s="13"/>
      <c r="I1284" s="13"/>
      <c r="J1284" s="13"/>
      <c r="K1284" s="13"/>
      <c r="L1284" s="13"/>
      <c r="M1284" s="13"/>
      <c r="N1284" s="13"/>
      <c r="O1284" s="13"/>
      <c r="P1284" s="13"/>
      <c r="Q1284" s="13"/>
      <c r="R1284" s="13"/>
      <c r="S1284" s="13"/>
      <c r="T1284" s="13"/>
      <c r="U1284" s="13"/>
      <c r="V1284" s="13"/>
      <c r="W1284" s="13"/>
      <c r="X1284" s="13"/>
      <c r="Y1284" s="13"/>
      <c r="Z1284" s="13"/>
      <c r="AA1284" s="13"/>
      <c r="AB1284" s="15"/>
      <c r="AC1284" s="15"/>
      <c r="AD1284" s="15"/>
      <c r="AE1284" s="13"/>
      <c r="AF1284" s="13"/>
      <c r="AG1284" s="13"/>
      <c r="AH1284" s="15"/>
      <c r="AI1284" s="13"/>
      <c r="AJ1284" s="13"/>
      <c r="AK1284" s="13"/>
      <c r="AL1284" s="13"/>
      <c r="AM1284" s="15"/>
      <c r="AN1284" s="13"/>
      <c r="AO1284" s="15"/>
      <c r="AP1284" s="15"/>
      <c r="AQ1284" s="13"/>
      <c r="AR1284" s="13"/>
      <c r="AS1284" s="13"/>
      <c r="AT1284" s="13"/>
      <c r="AU1284" s="13"/>
      <c r="AV1284" s="13"/>
      <c r="AW1284" s="13"/>
      <c r="AX1284" s="13"/>
      <c r="AY1284" s="15"/>
      <c r="AZ1284" s="15"/>
      <c r="BA1284" s="16"/>
      <c r="BB1284" s="15"/>
      <c r="BC1284" s="15"/>
      <c r="BD1284" s="13"/>
      <c r="BE1284" s="13"/>
      <c r="BF1284" s="13"/>
      <c r="BG1284" s="13"/>
      <c r="BH1284" s="13"/>
      <c r="BI1284" s="13"/>
      <c r="BJ1284" s="13"/>
      <c r="BK1284" s="13"/>
      <c r="BL1284" s="13"/>
      <c r="BM1284" s="13"/>
      <c r="BN1284" s="13"/>
      <c r="BO1284" s="13"/>
      <c r="BP1284" s="13"/>
      <c r="BQ1284" s="15"/>
      <c r="BR1284" s="15"/>
      <c r="BS1284" s="15"/>
      <c r="BT1284" s="15"/>
      <c r="BU1284" s="15"/>
      <c r="BV1284" s="15"/>
      <c r="BW1284" s="15"/>
      <c r="BX1284" s="15"/>
      <c r="BY1284" s="15"/>
      <c r="BZ1284" s="15"/>
      <c r="CA1284" s="15"/>
      <c r="CB1284" s="17"/>
      <c r="CC1284" s="17"/>
      <c r="CD1284" s="18"/>
      <c r="CE1284" s="18"/>
      <c r="CF1284" s="18"/>
      <c r="CG1284" s="18"/>
      <c r="CH1284" s="18"/>
    </row>
    <row r="1285">
      <c r="A1285" s="15"/>
      <c r="B1285" s="16"/>
      <c r="C1285" s="15"/>
      <c r="D1285" s="9"/>
      <c r="E1285" s="15"/>
      <c r="F1285" s="15"/>
      <c r="G1285" s="13"/>
      <c r="H1285" s="13"/>
      <c r="I1285" s="13"/>
      <c r="J1285" s="13"/>
      <c r="K1285" s="13"/>
      <c r="L1285" s="13"/>
      <c r="M1285" s="13"/>
      <c r="N1285" s="13"/>
      <c r="O1285" s="13"/>
      <c r="P1285" s="13"/>
      <c r="Q1285" s="13"/>
      <c r="R1285" s="13"/>
      <c r="S1285" s="13"/>
      <c r="T1285" s="13"/>
      <c r="U1285" s="13"/>
      <c r="V1285" s="13"/>
      <c r="W1285" s="13"/>
      <c r="X1285" s="13"/>
      <c r="Y1285" s="13"/>
      <c r="Z1285" s="13"/>
      <c r="AA1285" s="13"/>
      <c r="AB1285" s="15"/>
      <c r="AC1285" s="15"/>
      <c r="AD1285" s="15"/>
      <c r="AE1285" s="13"/>
      <c r="AF1285" s="13"/>
      <c r="AG1285" s="13"/>
      <c r="AH1285" s="15"/>
      <c r="AI1285" s="13"/>
      <c r="AJ1285" s="13"/>
      <c r="AK1285" s="13"/>
      <c r="AL1285" s="13"/>
      <c r="AM1285" s="15"/>
      <c r="AN1285" s="13"/>
      <c r="AO1285" s="15"/>
      <c r="AP1285" s="15"/>
      <c r="AQ1285" s="13"/>
      <c r="AR1285" s="13"/>
      <c r="AS1285" s="13"/>
      <c r="AT1285" s="13"/>
      <c r="AU1285" s="13"/>
      <c r="AV1285" s="13"/>
      <c r="AW1285" s="13"/>
      <c r="AX1285" s="13"/>
      <c r="AY1285" s="15"/>
      <c r="AZ1285" s="15"/>
      <c r="BA1285" s="16"/>
      <c r="BB1285" s="15"/>
      <c r="BC1285" s="15"/>
      <c r="BD1285" s="13"/>
      <c r="BE1285" s="13"/>
      <c r="BF1285" s="13"/>
      <c r="BG1285" s="13"/>
      <c r="BH1285" s="13"/>
      <c r="BI1285" s="13"/>
      <c r="BJ1285" s="13"/>
      <c r="BK1285" s="13"/>
      <c r="BL1285" s="13"/>
      <c r="BM1285" s="13"/>
      <c r="BN1285" s="13"/>
      <c r="BO1285" s="13"/>
      <c r="BP1285" s="13"/>
      <c r="BQ1285" s="15"/>
      <c r="BR1285" s="15"/>
      <c r="BS1285" s="15"/>
      <c r="BT1285" s="15"/>
      <c r="BU1285" s="15"/>
      <c r="BV1285" s="15"/>
      <c r="BW1285" s="15"/>
      <c r="BX1285" s="15"/>
      <c r="BY1285" s="15"/>
      <c r="BZ1285" s="15"/>
      <c r="CA1285" s="15"/>
      <c r="CB1285" s="17"/>
      <c r="CC1285" s="17"/>
      <c r="CD1285" s="18"/>
      <c r="CE1285" s="18"/>
      <c r="CF1285" s="18"/>
      <c r="CG1285" s="18"/>
      <c r="CH1285" s="18"/>
    </row>
    <row r="1286">
      <c r="A1286" s="15"/>
      <c r="B1286" s="16"/>
      <c r="C1286" s="15"/>
      <c r="D1286" s="9"/>
      <c r="E1286" s="15"/>
      <c r="F1286" s="15"/>
      <c r="G1286" s="13"/>
      <c r="H1286" s="13"/>
      <c r="I1286" s="13"/>
      <c r="J1286" s="13"/>
      <c r="K1286" s="13"/>
      <c r="L1286" s="13"/>
      <c r="M1286" s="13"/>
      <c r="N1286" s="13"/>
      <c r="O1286" s="13"/>
      <c r="P1286" s="13"/>
      <c r="Q1286" s="13"/>
      <c r="R1286" s="13"/>
      <c r="S1286" s="13"/>
      <c r="T1286" s="13"/>
      <c r="U1286" s="13"/>
      <c r="V1286" s="13"/>
      <c r="W1286" s="13"/>
      <c r="X1286" s="13"/>
      <c r="Y1286" s="13"/>
      <c r="Z1286" s="13"/>
      <c r="AA1286" s="13"/>
      <c r="AB1286" s="15"/>
      <c r="AC1286" s="15"/>
      <c r="AD1286" s="15"/>
      <c r="AE1286" s="13"/>
      <c r="AF1286" s="13"/>
      <c r="AG1286" s="13"/>
      <c r="AH1286" s="15"/>
      <c r="AI1286" s="13"/>
      <c r="AJ1286" s="13"/>
      <c r="AK1286" s="13"/>
      <c r="AL1286" s="13"/>
      <c r="AM1286" s="15"/>
      <c r="AN1286" s="13"/>
      <c r="AO1286" s="15"/>
      <c r="AP1286" s="15"/>
      <c r="AQ1286" s="13"/>
      <c r="AR1286" s="13"/>
      <c r="AS1286" s="13"/>
      <c r="AT1286" s="13"/>
      <c r="AU1286" s="13"/>
      <c r="AV1286" s="13"/>
      <c r="AW1286" s="13"/>
      <c r="AX1286" s="13"/>
      <c r="AY1286" s="15"/>
      <c r="AZ1286" s="15"/>
      <c r="BA1286" s="16"/>
      <c r="BB1286" s="15"/>
      <c r="BC1286" s="15"/>
      <c r="BD1286" s="13"/>
      <c r="BE1286" s="13"/>
      <c r="BF1286" s="13"/>
      <c r="BG1286" s="13"/>
      <c r="BH1286" s="13"/>
      <c r="BI1286" s="13"/>
      <c r="BJ1286" s="13"/>
      <c r="BK1286" s="13"/>
      <c r="BL1286" s="13"/>
      <c r="BM1286" s="13"/>
      <c r="BN1286" s="13"/>
      <c r="BO1286" s="13"/>
      <c r="BP1286" s="13"/>
      <c r="BQ1286" s="15"/>
      <c r="BR1286" s="15"/>
      <c r="BS1286" s="15"/>
      <c r="BT1286" s="15"/>
      <c r="BU1286" s="15"/>
      <c r="BV1286" s="15"/>
      <c r="BW1286" s="15"/>
      <c r="BX1286" s="15"/>
      <c r="BY1286" s="15"/>
      <c r="BZ1286" s="15"/>
      <c r="CA1286" s="15"/>
      <c r="CB1286" s="17"/>
      <c r="CC1286" s="17"/>
      <c r="CD1286" s="18"/>
      <c r="CE1286" s="18"/>
      <c r="CF1286" s="18"/>
      <c r="CG1286" s="18"/>
      <c r="CH1286" s="18"/>
    </row>
    <row r="1287">
      <c r="A1287" s="15"/>
      <c r="B1287" s="16"/>
      <c r="C1287" s="15"/>
      <c r="D1287" s="9"/>
      <c r="E1287" s="15"/>
      <c r="F1287" s="15"/>
      <c r="G1287" s="13"/>
      <c r="H1287" s="13"/>
      <c r="I1287" s="13"/>
      <c r="J1287" s="13"/>
      <c r="K1287" s="13"/>
      <c r="L1287" s="13"/>
      <c r="M1287" s="13"/>
      <c r="N1287" s="13"/>
      <c r="O1287" s="13"/>
      <c r="P1287" s="13"/>
      <c r="Q1287" s="13"/>
      <c r="R1287" s="13"/>
      <c r="S1287" s="13"/>
      <c r="T1287" s="13"/>
      <c r="U1287" s="13"/>
      <c r="V1287" s="13"/>
      <c r="W1287" s="13"/>
      <c r="X1287" s="13"/>
      <c r="Y1287" s="13"/>
      <c r="Z1287" s="13"/>
      <c r="AA1287" s="13"/>
      <c r="AB1287" s="15"/>
      <c r="AC1287" s="15"/>
      <c r="AD1287" s="15"/>
      <c r="AE1287" s="13"/>
      <c r="AF1287" s="13"/>
      <c r="AG1287" s="13"/>
      <c r="AH1287" s="15"/>
      <c r="AI1287" s="13"/>
      <c r="AJ1287" s="13"/>
      <c r="AK1287" s="13"/>
      <c r="AL1287" s="13"/>
      <c r="AM1287" s="15"/>
      <c r="AN1287" s="13"/>
      <c r="AO1287" s="15"/>
      <c r="AP1287" s="15"/>
      <c r="AQ1287" s="13"/>
      <c r="AR1287" s="13"/>
      <c r="AS1287" s="13"/>
      <c r="AT1287" s="13"/>
      <c r="AU1287" s="13"/>
      <c r="AV1287" s="13"/>
      <c r="AW1287" s="13"/>
      <c r="AX1287" s="13"/>
      <c r="AY1287" s="15"/>
      <c r="AZ1287" s="15"/>
      <c r="BA1287" s="16"/>
      <c r="BB1287" s="15"/>
      <c r="BC1287" s="15"/>
      <c r="BD1287" s="13"/>
      <c r="BE1287" s="13"/>
      <c r="BF1287" s="13"/>
      <c r="BG1287" s="13"/>
      <c r="BH1287" s="13"/>
      <c r="BI1287" s="13"/>
      <c r="BJ1287" s="13"/>
      <c r="BK1287" s="13"/>
      <c r="BL1287" s="13"/>
      <c r="BM1287" s="13"/>
      <c r="BN1287" s="13"/>
      <c r="BO1287" s="13"/>
      <c r="BP1287" s="13"/>
      <c r="BQ1287" s="15"/>
      <c r="BR1287" s="15"/>
      <c r="BS1287" s="15"/>
      <c r="BT1287" s="15"/>
      <c r="BU1287" s="15"/>
      <c r="BV1287" s="15"/>
      <c r="BW1287" s="15"/>
      <c r="BX1287" s="15"/>
      <c r="BY1287" s="15"/>
      <c r="BZ1287" s="15"/>
      <c r="CA1287" s="15"/>
      <c r="CB1287" s="17"/>
      <c r="CC1287" s="17"/>
      <c r="CD1287" s="18"/>
      <c r="CE1287" s="18"/>
      <c r="CF1287" s="18"/>
      <c r="CG1287" s="18"/>
      <c r="CH1287" s="18"/>
    </row>
    <row r="1288">
      <c r="A1288" s="15"/>
      <c r="B1288" s="16"/>
      <c r="C1288" s="15"/>
      <c r="D1288" s="9"/>
      <c r="E1288" s="15"/>
      <c r="F1288" s="15"/>
      <c r="G1288" s="13"/>
      <c r="H1288" s="13"/>
      <c r="I1288" s="13"/>
      <c r="J1288" s="13"/>
      <c r="K1288" s="13"/>
      <c r="L1288" s="13"/>
      <c r="M1288" s="13"/>
      <c r="N1288" s="13"/>
      <c r="O1288" s="13"/>
      <c r="P1288" s="13"/>
      <c r="Q1288" s="13"/>
      <c r="R1288" s="13"/>
      <c r="S1288" s="13"/>
      <c r="T1288" s="13"/>
      <c r="U1288" s="13"/>
      <c r="V1288" s="13"/>
      <c r="W1288" s="13"/>
      <c r="X1288" s="13"/>
      <c r="Y1288" s="13"/>
      <c r="Z1288" s="13"/>
      <c r="AA1288" s="13"/>
      <c r="AB1288" s="15"/>
      <c r="AC1288" s="15"/>
      <c r="AD1288" s="15"/>
      <c r="AE1288" s="13"/>
      <c r="AF1288" s="13"/>
      <c r="AG1288" s="13"/>
      <c r="AH1288" s="15"/>
      <c r="AI1288" s="13"/>
      <c r="AJ1288" s="13"/>
      <c r="AK1288" s="13"/>
      <c r="AL1288" s="13"/>
      <c r="AM1288" s="15"/>
      <c r="AN1288" s="13"/>
      <c r="AO1288" s="15"/>
      <c r="AP1288" s="15"/>
      <c r="AQ1288" s="13"/>
      <c r="AR1288" s="13"/>
      <c r="AS1288" s="13"/>
      <c r="AT1288" s="13"/>
      <c r="AU1288" s="13"/>
      <c r="AV1288" s="13"/>
      <c r="AW1288" s="13"/>
      <c r="AX1288" s="13"/>
      <c r="AY1288" s="15"/>
      <c r="AZ1288" s="15"/>
      <c r="BA1288" s="16"/>
      <c r="BB1288" s="15"/>
      <c r="BC1288" s="15"/>
      <c r="BD1288" s="13"/>
      <c r="BE1288" s="13"/>
      <c r="BF1288" s="13"/>
      <c r="BG1288" s="13"/>
      <c r="BH1288" s="13"/>
      <c r="BI1288" s="13"/>
      <c r="BJ1288" s="13"/>
      <c r="BK1288" s="13"/>
      <c r="BL1288" s="13"/>
      <c r="BM1288" s="13"/>
      <c r="BN1288" s="13"/>
      <c r="BO1288" s="13"/>
      <c r="BP1288" s="13"/>
      <c r="BQ1288" s="15"/>
      <c r="BR1288" s="15"/>
      <c r="BS1288" s="15"/>
      <c r="BT1288" s="15"/>
      <c r="BU1288" s="15"/>
      <c r="BV1288" s="15"/>
      <c r="BW1288" s="15"/>
      <c r="BX1288" s="15"/>
      <c r="BY1288" s="15"/>
      <c r="BZ1288" s="15"/>
      <c r="CA1288" s="15"/>
      <c r="CB1288" s="17"/>
      <c r="CC1288" s="17"/>
      <c r="CD1288" s="18"/>
      <c r="CE1288" s="18"/>
      <c r="CF1288" s="18"/>
      <c r="CG1288" s="18"/>
      <c r="CH1288" s="18"/>
    </row>
    <row r="1289">
      <c r="A1289" s="15"/>
      <c r="B1289" s="16"/>
      <c r="C1289" s="15"/>
      <c r="D1289" s="9"/>
      <c r="E1289" s="15"/>
      <c r="F1289" s="15"/>
      <c r="G1289" s="13"/>
      <c r="H1289" s="13"/>
      <c r="I1289" s="13"/>
      <c r="J1289" s="13"/>
      <c r="K1289" s="13"/>
      <c r="L1289" s="13"/>
      <c r="M1289" s="13"/>
      <c r="N1289" s="13"/>
      <c r="O1289" s="13"/>
      <c r="P1289" s="13"/>
      <c r="Q1289" s="13"/>
      <c r="R1289" s="13"/>
      <c r="S1289" s="13"/>
      <c r="T1289" s="13"/>
      <c r="U1289" s="13"/>
      <c r="V1289" s="13"/>
      <c r="W1289" s="13"/>
      <c r="X1289" s="13"/>
      <c r="Y1289" s="13"/>
      <c r="Z1289" s="13"/>
      <c r="AA1289" s="13"/>
      <c r="AB1289" s="15"/>
      <c r="AC1289" s="15"/>
      <c r="AD1289" s="15"/>
      <c r="AE1289" s="13"/>
      <c r="AF1289" s="13"/>
      <c r="AG1289" s="13"/>
      <c r="AH1289" s="15"/>
      <c r="AI1289" s="13"/>
      <c r="AJ1289" s="13"/>
      <c r="AK1289" s="13"/>
      <c r="AL1289" s="13"/>
      <c r="AM1289" s="15"/>
      <c r="AN1289" s="13"/>
      <c r="AO1289" s="15"/>
      <c r="AP1289" s="15"/>
      <c r="AQ1289" s="13"/>
      <c r="AR1289" s="13"/>
      <c r="AS1289" s="13"/>
      <c r="AT1289" s="13"/>
      <c r="AU1289" s="13"/>
      <c r="AV1289" s="13"/>
      <c r="AW1289" s="13"/>
      <c r="AX1289" s="13"/>
      <c r="AY1289" s="15"/>
      <c r="AZ1289" s="15"/>
      <c r="BA1289" s="16"/>
      <c r="BB1289" s="15"/>
      <c r="BC1289" s="15"/>
      <c r="BD1289" s="13"/>
      <c r="BE1289" s="13"/>
      <c r="BF1289" s="13"/>
      <c r="BG1289" s="13"/>
      <c r="BH1289" s="13"/>
      <c r="BI1289" s="13"/>
      <c r="BJ1289" s="13"/>
      <c r="BK1289" s="13"/>
      <c r="BL1289" s="13"/>
      <c r="BM1289" s="13"/>
      <c r="BN1289" s="13"/>
      <c r="BO1289" s="13"/>
      <c r="BP1289" s="13"/>
      <c r="BQ1289" s="15"/>
      <c r="BR1289" s="15"/>
      <c r="BS1289" s="15"/>
      <c r="BT1289" s="15"/>
      <c r="BU1289" s="15"/>
      <c r="BV1289" s="15"/>
      <c r="BW1289" s="15"/>
      <c r="BX1289" s="15"/>
      <c r="BY1289" s="15"/>
      <c r="BZ1289" s="15"/>
      <c r="CA1289" s="15"/>
      <c r="CB1289" s="17"/>
      <c r="CC1289" s="17"/>
      <c r="CD1289" s="18"/>
      <c r="CE1289" s="18"/>
      <c r="CF1289" s="18"/>
      <c r="CG1289" s="18"/>
      <c r="CH1289" s="18"/>
    </row>
    <row r="1290">
      <c r="A1290" s="15"/>
      <c r="B1290" s="16"/>
      <c r="C1290" s="15"/>
      <c r="D1290" s="9"/>
      <c r="E1290" s="15"/>
      <c r="F1290" s="15"/>
      <c r="G1290" s="13"/>
      <c r="H1290" s="13"/>
      <c r="I1290" s="13"/>
      <c r="J1290" s="13"/>
      <c r="K1290" s="13"/>
      <c r="L1290" s="13"/>
      <c r="M1290" s="13"/>
      <c r="N1290" s="13"/>
      <c r="O1290" s="13"/>
      <c r="P1290" s="13"/>
      <c r="Q1290" s="13"/>
      <c r="R1290" s="13"/>
      <c r="S1290" s="13"/>
      <c r="T1290" s="13"/>
      <c r="U1290" s="13"/>
      <c r="V1290" s="13"/>
      <c r="W1290" s="13"/>
      <c r="X1290" s="13"/>
      <c r="Y1290" s="13"/>
      <c r="Z1290" s="13"/>
      <c r="AA1290" s="13"/>
      <c r="AB1290" s="15"/>
      <c r="AC1290" s="15"/>
      <c r="AD1290" s="15"/>
      <c r="AE1290" s="13"/>
      <c r="AF1290" s="13"/>
      <c r="AG1290" s="13"/>
      <c r="AH1290" s="15"/>
      <c r="AI1290" s="13"/>
      <c r="AJ1290" s="13"/>
      <c r="AK1290" s="13"/>
      <c r="AL1290" s="13"/>
      <c r="AM1290" s="15"/>
      <c r="AN1290" s="13"/>
      <c r="AO1290" s="15"/>
      <c r="AP1290" s="15"/>
      <c r="AQ1290" s="13"/>
      <c r="AR1290" s="13"/>
      <c r="AS1290" s="13"/>
      <c r="AT1290" s="13"/>
      <c r="AU1290" s="13"/>
      <c r="AV1290" s="13"/>
      <c r="AW1290" s="13"/>
      <c r="AX1290" s="13"/>
      <c r="AY1290" s="15"/>
      <c r="AZ1290" s="15"/>
      <c r="BA1290" s="16"/>
      <c r="BB1290" s="15"/>
      <c r="BC1290" s="15"/>
      <c r="BD1290" s="13"/>
      <c r="BE1290" s="13"/>
      <c r="BF1290" s="13"/>
      <c r="BG1290" s="13"/>
      <c r="BH1290" s="13"/>
      <c r="BI1290" s="13"/>
      <c r="BJ1290" s="13"/>
      <c r="BK1290" s="13"/>
      <c r="BL1290" s="13"/>
      <c r="BM1290" s="13"/>
      <c r="BN1290" s="13"/>
      <c r="BO1290" s="13"/>
      <c r="BP1290" s="13"/>
      <c r="BQ1290" s="15"/>
      <c r="BR1290" s="15"/>
      <c r="BS1290" s="15"/>
      <c r="BT1290" s="15"/>
      <c r="BU1290" s="15"/>
      <c r="BV1290" s="15"/>
      <c r="BW1290" s="15"/>
      <c r="BX1290" s="15"/>
      <c r="BY1290" s="15"/>
      <c r="BZ1290" s="15"/>
      <c r="CA1290" s="15"/>
      <c r="CB1290" s="17"/>
      <c r="CC1290" s="17"/>
      <c r="CD1290" s="18"/>
      <c r="CE1290" s="18"/>
      <c r="CF1290" s="18"/>
      <c r="CG1290" s="18"/>
      <c r="CH1290" s="18"/>
    </row>
    <row r="1291">
      <c r="A1291" s="15"/>
      <c r="B1291" s="16"/>
      <c r="C1291" s="15"/>
      <c r="D1291" s="9"/>
      <c r="E1291" s="15"/>
      <c r="F1291" s="15"/>
      <c r="G1291" s="13"/>
      <c r="H1291" s="13"/>
      <c r="I1291" s="13"/>
      <c r="J1291" s="13"/>
      <c r="K1291" s="13"/>
      <c r="L1291" s="13"/>
      <c r="M1291" s="13"/>
      <c r="N1291" s="13"/>
      <c r="O1291" s="13"/>
      <c r="P1291" s="13"/>
      <c r="Q1291" s="13"/>
      <c r="R1291" s="13"/>
      <c r="S1291" s="13"/>
      <c r="T1291" s="13"/>
      <c r="U1291" s="13"/>
      <c r="V1291" s="13"/>
      <c r="W1291" s="13"/>
      <c r="X1291" s="13"/>
      <c r="Y1291" s="13"/>
      <c r="Z1291" s="13"/>
      <c r="AA1291" s="13"/>
      <c r="AB1291" s="15"/>
      <c r="AC1291" s="15"/>
      <c r="AD1291" s="15"/>
      <c r="AE1291" s="13"/>
      <c r="AF1291" s="13"/>
      <c r="AG1291" s="13"/>
      <c r="AH1291" s="15"/>
      <c r="AI1291" s="13"/>
      <c r="AJ1291" s="13"/>
      <c r="AK1291" s="13"/>
      <c r="AL1291" s="13"/>
      <c r="AM1291" s="15"/>
      <c r="AN1291" s="13"/>
      <c r="AO1291" s="15"/>
      <c r="AP1291" s="15"/>
      <c r="AQ1291" s="13"/>
      <c r="AR1291" s="13"/>
      <c r="AS1291" s="13"/>
      <c r="AT1291" s="13"/>
      <c r="AU1291" s="13"/>
      <c r="AV1291" s="13"/>
      <c r="AW1291" s="13"/>
      <c r="AX1291" s="13"/>
      <c r="AY1291" s="15"/>
      <c r="AZ1291" s="15"/>
      <c r="BA1291" s="16"/>
      <c r="BB1291" s="15"/>
      <c r="BC1291" s="15"/>
      <c r="BD1291" s="13"/>
      <c r="BE1291" s="13"/>
      <c r="BF1291" s="13"/>
      <c r="BG1291" s="13"/>
      <c r="BH1291" s="13"/>
      <c r="BI1291" s="13"/>
      <c r="BJ1291" s="13"/>
      <c r="BK1291" s="13"/>
      <c r="BL1291" s="13"/>
      <c r="BM1291" s="13"/>
      <c r="BN1291" s="13"/>
      <c r="BO1291" s="13"/>
      <c r="BP1291" s="13"/>
      <c r="BQ1291" s="15"/>
      <c r="BR1291" s="15"/>
      <c r="BS1291" s="15"/>
      <c r="BT1291" s="15"/>
      <c r="BU1291" s="15"/>
      <c r="BV1291" s="15"/>
      <c r="BW1291" s="15"/>
      <c r="BX1291" s="15"/>
      <c r="BY1291" s="15"/>
      <c r="BZ1291" s="15"/>
      <c r="CA1291" s="15"/>
      <c r="CB1291" s="17"/>
      <c r="CC1291" s="17"/>
      <c r="CD1291" s="18"/>
      <c r="CE1291" s="18"/>
      <c r="CF1291" s="18"/>
      <c r="CG1291" s="18"/>
      <c r="CH1291" s="18"/>
    </row>
    <row r="1292">
      <c r="A1292" s="15"/>
      <c r="B1292" s="16"/>
      <c r="C1292" s="15"/>
      <c r="D1292" s="9"/>
      <c r="E1292" s="15"/>
      <c r="F1292" s="15"/>
      <c r="G1292" s="13"/>
      <c r="H1292" s="13"/>
      <c r="I1292" s="13"/>
      <c r="J1292" s="13"/>
      <c r="K1292" s="13"/>
      <c r="L1292" s="13"/>
      <c r="M1292" s="13"/>
      <c r="N1292" s="13"/>
      <c r="O1292" s="13"/>
      <c r="P1292" s="13"/>
      <c r="Q1292" s="13"/>
      <c r="R1292" s="13"/>
      <c r="S1292" s="13"/>
      <c r="T1292" s="13"/>
      <c r="U1292" s="13"/>
      <c r="V1292" s="13"/>
      <c r="W1292" s="13"/>
      <c r="X1292" s="13"/>
      <c r="Y1292" s="13"/>
      <c r="Z1292" s="13"/>
      <c r="AA1292" s="13"/>
      <c r="AB1292" s="15"/>
      <c r="AC1292" s="15"/>
      <c r="AD1292" s="15"/>
      <c r="AE1292" s="13"/>
      <c r="AF1292" s="13"/>
      <c r="AG1292" s="13"/>
      <c r="AH1292" s="15"/>
      <c r="AI1292" s="13"/>
      <c r="AJ1292" s="13"/>
      <c r="AK1292" s="13"/>
      <c r="AL1292" s="13"/>
      <c r="AM1292" s="15"/>
      <c r="AN1292" s="13"/>
      <c r="AO1292" s="15"/>
      <c r="AP1292" s="15"/>
      <c r="AQ1292" s="13"/>
      <c r="AR1292" s="13"/>
      <c r="AS1292" s="13"/>
      <c r="AT1292" s="13"/>
      <c r="AU1292" s="13"/>
      <c r="AV1292" s="13"/>
      <c r="AW1292" s="13"/>
      <c r="AX1292" s="13"/>
      <c r="AY1292" s="15"/>
      <c r="AZ1292" s="15"/>
      <c r="BA1292" s="16"/>
      <c r="BB1292" s="15"/>
      <c r="BC1292" s="15"/>
      <c r="BD1292" s="13"/>
      <c r="BE1292" s="13"/>
      <c r="BF1292" s="13"/>
      <c r="BG1292" s="13"/>
      <c r="BH1292" s="13"/>
      <c r="BI1292" s="13"/>
      <c r="BJ1292" s="13"/>
      <c r="BK1292" s="13"/>
      <c r="BL1292" s="13"/>
      <c r="BM1292" s="13"/>
      <c r="BN1292" s="13"/>
      <c r="BO1292" s="13"/>
      <c r="BP1292" s="13"/>
      <c r="BQ1292" s="15"/>
      <c r="BR1292" s="15"/>
      <c r="BS1292" s="15"/>
      <c r="BT1292" s="15"/>
      <c r="BU1292" s="15"/>
      <c r="BV1292" s="15"/>
      <c r="BW1292" s="15"/>
      <c r="BX1292" s="15"/>
      <c r="BY1292" s="15"/>
      <c r="BZ1292" s="15"/>
      <c r="CA1292" s="15"/>
      <c r="CB1292" s="17"/>
      <c r="CC1292" s="17"/>
      <c r="CD1292" s="18"/>
      <c r="CE1292" s="18"/>
      <c r="CF1292" s="18"/>
      <c r="CG1292" s="18"/>
      <c r="CH1292" s="18"/>
    </row>
    <row r="1293">
      <c r="A1293" s="15"/>
      <c r="B1293" s="16"/>
      <c r="C1293" s="15"/>
      <c r="D1293" s="9"/>
      <c r="E1293" s="15"/>
      <c r="F1293" s="15"/>
      <c r="G1293" s="13"/>
      <c r="H1293" s="13"/>
      <c r="I1293" s="13"/>
      <c r="J1293" s="13"/>
      <c r="K1293" s="13"/>
      <c r="L1293" s="13"/>
      <c r="M1293" s="13"/>
      <c r="N1293" s="13"/>
      <c r="O1293" s="13"/>
      <c r="P1293" s="13"/>
      <c r="Q1293" s="13"/>
      <c r="R1293" s="13"/>
      <c r="S1293" s="13"/>
      <c r="T1293" s="13"/>
      <c r="U1293" s="13"/>
      <c r="V1293" s="13"/>
      <c r="W1293" s="13"/>
      <c r="X1293" s="13"/>
      <c r="Y1293" s="13"/>
      <c r="Z1293" s="13"/>
      <c r="AA1293" s="13"/>
      <c r="AB1293" s="15"/>
      <c r="AC1293" s="15"/>
      <c r="AD1293" s="15"/>
      <c r="AE1293" s="13"/>
      <c r="AF1293" s="13"/>
      <c r="AG1293" s="13"/>
      <c r="AH1293" s="15"/>
      <c r="AI1293" s="13"/>
      <c r="AJ1293" s="13"/>
      <c r="AK1293" s="13"/>
      <c r="AL1293" s="13"/>
      <c r="AM1293" s="15"/>
      <c r="AN1293" s="13"/>
      <c r="AO1293" s="15"/>
      <c r="AP1293" s="15"/>
      <c r="AQ1293" s="13"/>
      <c r="AR1293" s="13"/>
      <c r="AS1293" s="13"/>
      <c r="AT1293" s="13"/>
      <c r="AU1293" s="13"/>
      <c r="AV1293" s="13"/>
      <c r="AW1293" s="13"/>
      <c r="AX1293" s="13"/>
      <c r="AY1293" s="15"/>
      <c r="AZ1293" s="15"/>
      <c r="BA1293" s="16"/>
      <c r="BB1293" s="15"/>
      <c r="BC1293" s="15"/>
      <c r="BD1293" s="13"/>
      <c r="BE1293" s="13"/>
      <c r="BF1293" s="13"/>
      <c r="BG1293" s="13"/>
      <c r="BH1293" s="13"/>
      <c r="BI1293" s="13"/>
      <c r="BJ1293" s="13"/>
      <c r="BK1293" s="13"/>
      <c r="BL1293" s="13"/>
      <c r="BM1293" s="13"/>
      <c r="BN1293" s="13"/>
      <c r="BO1293" s="13"/>
      <c r="BP1293" s="13"/>
      <c r="BQ1293" s="15"/>
      <c r="BR1293" s="15"/>
      <c r="BS1293" s="15"/>
      <c r="BT1293" s="15"/>
      <c r="BU1293" s="15"/>
      <c r="BV1293" s="15"/>
      <c r="BW1293" s="15"/>
      <c r="BX1293" s="15"/>
      <c r="BY1293" s="15"/>
      <c r="BZ1293" s="15"/>
      <c r="CA1293" s="15"/>
      <c r="CB1293" s="17"/>
      <c r="CC1293" s="17"/>
      <c r="CD1293" s="18"/>
      <c r="CE1293" s="18"/>
      <c r="CF1293" s="18"/>
      <c r="CG1293" s="18"/>
      <c r="CH1293" s="18"/>
    </row>
    <row r="1294">
      <c r="A1294" s="15"/>
      <c r="B1294" s="16"/>
      <c r="C1294" s="15"/>
      <c r="D1294" s="9"/>
      <c r="E1294" s="15"/>
      <c r="F1294" s="15"/>
      <c r="G1294" s="13"/>
      <c r="H1294" s="13"/>
      <c r="I1294" s="13"/>
      <c r="J1294" s="13"/>
      <c r="K1294" s="13"/>
      <c r="L1294" s="13"/>
      <c r="M1294" s="13"/>
      <c r="N1294" s="13"/>
      <c r="O1294" s="13"/>
      <c r="P1294" s="13"/>
      <c r="Q1294" s="13"/>
      <c r="R1294" s="13"/>
      <c r="S1294" s="13"/>
      <c r="T1294" s="13"/>
      <c r="U1294" s="13"/>
      <c r="V1294" s="13"/>
      <c r="W1294" s="13"/>
      <c r="X1294" s="13"/>
      <c r="Y1294" s="13"/>
      <c r="Z1294" s="13"/>
      <c r="AA1294" s="13"/>
      <c r="AB1294" s="15"/>
      <c r="AC1294" s="15"/>
      <c r="AD1294" s="15"/>
      <c r="AE1294" s="13"/>
      <c r="AF1294" s="13"/>
      <c r="AG1294" s="13"/>
      <c r="AH1294" s="15"/>
      <c r="AI1294" s="13"/>
      <c r="AJ1294" s="13"/>
      <c r="AK1294" s="13"/>
      <c r="AL1294" s="13"/>
      <c r="AM1294" s="15"/>
      <c r="AN1294" s="13"/>
      <c r="AO1294" s="15"/>
      <c r="AP1294" s="15"/>
      <c r="AQ1294" s="13"/>
      <c r="AR1294" s="13"/>
      <c r="AS1294" s="13"/>
      <c r="AT1294" s="13"/>
      <c r="AU1294" s="13"/>
      <c r="AV1294" s="13"/>
      <c r="AW1294" s="13"/>
      <c r="AX1294" s="13"/>
      <c r="AY1294" s="15"/>
      <c r="AZ1294" s="15"/>
      <c r="BA1294" s="16"/>
      <c r="BB1294" s="15"/>
      <c r="BC1294" s="15"/>
      <c r="BD1294" s="13"/>
      <c r="BE1294" s="13"/>
      <c r="BF1294" s="13"/>
      <c r="BG1294" s="13"/>
      <c r="BH1294" s="13"/>
      <c r="BI1294" s="13"/>
      <c r="BJ1294" s="13"/>
      <c r="BK1294" s="13"/>
      <c r="BL1294" s="13"/>
      <c r="BM1294" s="13"/>
      <c r="BN1294" s="13"/>
      <c r="BO1294" s="13"/>
      <c r="BP1294" s="13"/>
      <c r="BQ1294" s="15"/>
      <c r="BR1294" s="15"/>
      <c r="BS1294" s="15"/>
      <c r="BT1294" s="15"/>
      <c r="BU1294" s="15"/>
      <c r="BV1294" s="15"/>
      <c r="BW1294" s="15"/>
      <c r="BX1294" s="15"/>
      <c r="BY1294" s="15"/>
      <c r="BZ1294" s="15"/>
      <c r="CA1294" s="15"/>
      <c r="CB1294" s="17"/>
      <c r="CC1294" s="17"/>
      <c r="CD1294" s="18"/>
      <c r="CE1294" s="18"/>
      <c r="CF1294" s="18"/>
      <c r="CG1294" s="18"/>
      <c r="CH1294" s="18"/>
    </row>
    <row r="1295">
      <c r="A1295" s="15"/>
      <c r="B1295" s="16"/>
      <c r="C1295" s="15"/>
      <c r="D1295" s="9"/>
      <c r="E1295" s="15"/>
      <c r="F1295" s="15"/>
      <c r="G1295" s="13"/>
      <c r="H1295" s="13"/>
      <c r="I1295" s="13"/>
      <c r="J1295" s="13"/>
      <c r="K1295" s="13"/>
      <c r="L1295" s="13"/>
      <c r="M1295" s="13"/>
      <c r="N1295" s="13"/>
      <c r="O1295" s="13"/>
      <c r="P1295" s="13"/>
      <c r="Q1295" s="13"/>
      <c r="R1295" s="13"/>
      <c r="S1295" s="13"/>
      <c r="T1295" s="13"/>
      <c r="U1295" s="13"/>
      <c r="V1295" s="13"/>
      <c r="W1295" s="13"/>
      <c r="X1295" s="13"/>
      <c r="Y1295" s="13"/>
      <c r="Z1295" s="13"/>
      <c r="AA1295" s="13"/>
      <c r="AB1295" s="15"/>
      <c r="AC1295" s="15"/>
      <c r="AD1295" s="15"/>
      <c r="AE1295" s="13"/>
      <c r="AF1295" s="13"/>
      <c r="AG1295" s="13"/>
      <c r="AH1295" s="15"/>
      <c r="AI1295" s="13"/>
      <c r="AJ1295" s="13"/>
      <c r="AK1295" s="13"/>
      <c r="AL1295" s="13"/>
      <c r="AM1295" s="15"/>
      <c r="AN1295" s="13"/>
      <c r="AO1295" s="15"/>
      <c r="AP1295" s="15"/>
      <c r="AQ1295" s="13"/>
      <c r="AR1295" s="13"/>
      <c r="AS1295" s="13"/>
      <c r="AT1295" s="13"/>
      <c r="AU1295" s="13"/>
      <c r="AV1295" s="13"/>
      <c r="AW1295" s="13"/>
      <c r="AX1295" s="13"/>
      <c r="AY1295" s="15"/>
      <c r="AZ1295" s="15"/>
      <c r="BA1295" s="16"/>
      <c r="BB1295" s="15"/>
      <c r="BC1295" s="15"/>
      <c r="BD1295" s="13"/>
      <c r="BE1295" s="13"/>
      <c r="BF1295" s="13"/>
      <c r="BG1295" s="13"/>
      <c r="BH1295" s="13"/>
      <c r="BI1295" s="13"/>
      <c r="BJ1295" s="13"/>
      <c r="BK1295" s="13"/>
      <c r="BL1295" s="13"/>
      <c r="BM1295" s="13"/>
      <c r="BN1295" s="13"/>
      <c r="BO1295" s="13"/>
      <c r="BP1295" s="13"/>
      <c r="BQ1295" s="15"/>
      <c r="BR1295" s="15"/>
      <c r="BS1295" s="15"/>
      <c r="BT1295" s="15"/>
      <c r="BU1295" s="15"/>
      <c r="BV1295" s="15"/>
      <c r="BW1295" s="15"/>
      <c r="BX1295" s="15"/>
      <c r="BY1295" s="15"/>
      <c r="BZ1295" s="15"/>
      <c r="CA1295" s="15"/>
      <c r="CB1295" s="17"/>
      <c r="CC1295" s="17"/>
      <c r="CD1295" s="18"/>
      <c r="CE1295" s="18"/>
      <c r="CF1295" s="18"/>
      <c r="CG1295" s="18"/>
      <c r="CH1295" s="18"/>
    </row>
    <row r="1296">
      <c r="A1296" s="15"/>
      <c r="B1296" s="16"/>
      <c r="C1296" s="15"/>
      <c r="D1296" s="9"/>
      <c r="E1296" s="15"/>
      <c r="F1296" s="15"/>
      <c r="G1296" s="13"/>
      <c r="H1296" s="13"/>
      <c r="I1296" s="13"/>
      <c r="J1296" s="13"/>
      <c r="K1296" s="13"/>
      <c r="L1296" s="13"/>
      <c r="M1296" s="13"/>
      <c r="N1296" s="13"/>
      <c r="O1296" s="13"/>
      <c r="P1296" s="13"/>
      <c r="Q1296" s="13"/>
      <c r="R1296" s="13"/>
      <c r="S1296" s="13"/>
      <c r="T1296" s="13"/>
      <c r="U1296" s="13"/>
      <c r="V1296" s="13"/>
      <c r="W1296" s="13"/>
      <c r="X1296" s="13"/>
      <c r="Y1296" s="13"/>
      <c r="Z1296" s="13"/>
      <c r="AA1296" s="13"/>
      <c r="AB1296" s="15"/>
      <c r="AC1296" s="15"/>
      <c r="AD1296" s="15"/>
      <c r="AE1296" s="13"/>
      <c r="AF1296" s="13"/>
      <c r="AG1296" s="13"/>
      <c r="AH1296" s="15"/>
      <c r="AI1296" s="13"/>
      <c r="AJ1296" s="13"/>
      <c r="AK1296" s="13"/>
      <c r="AL1296" s="13"/>
      <c r="AM1296" s="15"/>
      <c r="AN1296" s="13"/>
      <c r="AO1296" s="15"/>
      <c r="AP1296" s="15"/>
      <c r="AQ1296" s="13"/>
      <c r="AR1296" s="13"/>
      <c r="AS1296" s="13"/>
      <c r="AT1296" s="13"/>
      <c r="AU1296" s="13"/>
      <c r="AV1296" s="13"/>
      <c r="AW1296" s="13"/>
      <c r="AX1296" s="13"/>
      <c r="AY1296" s="15"/>
      <c r="AZ1296" s="15"/>
      <c r="BA1296" s="16"/>
      <c r="BB1296" s="15"/>
      <c r="BC1296" s="15"/>
      <c r="BD1296" s="13"/>
      <c r="BE1296" s="13"/>
      <c r="BF1296" s="13"/>
      <c r="BG1296" s="13"/>
      <c r="BH1296" s="13"/>
      <c r="BI1296" s="13"/>
      <c r="BJ1296" s="13"/>
      <c r="BK1296" s="13"/>
      <c r="BL1296" s="13"/>
      <c r="BM1296" s="13"/>
      <c r="BN1296" s="13"/>
      <c r="BO1296" s="13"/>
      <c r="BP1296" s="13"/>
      <c r="BQ1296" s="15"/>
      <c r="BR1296" s="15"/>
      <c r="BS1296" s="15"/>
      <c r="BT1296" s="15"/>
      <c r="BU1296" s="15"/>
      <c r="BV1296" s="15"/>
      <c r="BW1296" s="15"/>
      <c r="BX1296" s="15"/>
      <c r="BY1296" s="15"/>
      <c r="BZ1296" s="15"/>
      <c r="CA1296" s="15"/>
      <c r="CB1296" s="17"/>
      <c r="CC1296" s="17"/>
      <c r="CD1296" s="18"/>
      <c r="CE1296" s="18"/>
      <c r="CF1296" s="18"/>
      <c r="CG1296" s="18"/>
      <c r="CH1296" s="18"/>
    </row>
    <row r="1297">
      <c r="A1297" s="15"/>
      <c r="B1297" s="16"/>
      <c r="C1297" s="15"/>
      <c r="D1297" s="9"/>
      <c r="E1297" s="15"/>
      <c r="F1297" s="15"/>
      <c r="G1297" s="13"/>
      <c r="H1297" s="13"/>
      <c r="I1297" s="13"/>
      <c r="J1297" s="13"/>
      <c r="K1297" s="13"/>
      <c r="L1297" s="13"/>
      <c r="M1297" s="13"/>
      <c r="N1297" s="13"/>
      <c r="O1297" s="13"/>
      <c r="P1297" s="13"/>
      <c r="Q1297" s="13"/>
      <c r="R1297" s="13"/>
      <c r="S1297" s="13"/>
      <c r="T1297" s="13"/>
      <c r="U1297" s="13"/>
      <c r="V1297" s="13"/>
      <c r="W1297" s="13"/>
      <c r="X1297" s="13"/>
      <c r="Y1297" s="13"/>
      <c r="Z1297" s="13"/>
      <c r="AA1297" s="13"/>
      <c r="AB1297" s="15"/>
      <c r="AC1297" s="15"/>
      <c r="AD1297" s="15"/>
      <c r="AE1297" s="13"/>
      <c r="AF1297" s="13"/>
      <c r="AG1297" s="13"/>
      <c r="AH1297" s="15"/>
      <c r="AI1297" s="13"/>
      <c r="AJ1297" s="13"/>
      <c r="AK1297" s="13"/>
      <c r="AL1297" s="13"/>
      <c r="AM1297" s="15"/>
      <c r="AN1297" s="13"/>
      <c r="AO1297" s="15"/>
      <c r="AP1297" s="15"/>
      <c r="AQ1297" s="13"/>
      <c r="AR1297" s="13"/>
      <c r="AS1297" s="13"/>
      <c r="AT1297" s="13"/>
      <c r="AU1297" s="13"/>
      <c r="AV1297" s="13"/>
      <c r="AW1297" s="13"/>
      <c r="AX1297" s="13"/>
      <c r="AY1297" s="15"/>
      <c r="AZ1297" s="15"/>
      <c r="BA1297" s="16"/>
      <c r="BB1297" s="15"/>
      <c r="BC1297" s="15"/>
      <c r="BD1297" s="13"/>
      <c r="BE1297" s="13"/>
      <c r="BF1297" s="13"/>
      <c r="BG1297" s="13"/>
      <c r="BH1297" s="13"/>
      <c r="BI1297" s="13"/>
      <c r="BJ1297" s="13"/>
      <c r="BK1297" s="13"/>
      <c r="BL1297" s="13"/>
      <c r="BM1297" s="13"/>
      <c r="BN1297" s="13"/>
      <c r="BO1297" s="13"/>
      <c r="BP1297" s="13"/>
      <c r="BQ1297" s="15"/>
      <c r="BR1297" s="15"/>
      <c r="BS1297" s="15"/>
      <c r="BT1297" s="15"/>
      <c r="BU1297" s="15"/>
      <c r="BV1297" s="15"/>
      <c r="BW1297" s="15"/>
      <c r="BX1297" s="15"/>
      <c r="BY1297" s="15"/>
      <c r="BZ1297" s="15"/>
      <c r="CA1297" s="15"/>
      <c r="CB1297" s="17"/>
      <c r="CC1297" s="17"/>
      <c r="CD1297" s="18"/>
      <c r="CE1297" s="18"/>
      <c r="CF1297" s="18"/>
      <c r="CG1297" s="18"/>
      <c r="CH1297" s="18"/>
    </row>
    <row r="1298">
      <c r="A1298" s="15"/>
      <c r="B1298" s="16"/>
      <c r="C1298" s="15"/>
      <c r="D1298" s="9"/>
      <c r="E1298" s="15"/>
      <c r="F1298" s="15"/>
      <c r="G1298" s="13"/>
      <c r="H1298" s="13"/>
      <c r="I1298" s="13"/>
      <c r="J1298" s="13"/>
      <c r="K1298" s="13"/>
      <c r="L1298" s="13"/>
      <c r="M1298" s="13"/>
      <c r="N1298" s="13"/>
      <c r="O1298" s="13"/>
      <c r="P1298" s="13"/>
      <c r="Q1298" s="13"/>
      <c r="R1298" s="13"/>
      <c r="S1298" s="13"/>
      <c r="T1298" s="13"/>
      <c r="U1298" s="13"/>
      <c r="V1298" s="13"/>
      <c r="W1298" s="13"/>
      <c r="X1298" s="13"/>
      <c r="Y1298" s="13"/>
      <c r="Z1298" s="13"/>
      <c r="AA1298" s="13"/>
      <c r="AB1298" s="15"/>
      <c r="AC1298" s="15"/>
      <c r="AD1298" s="15"/>
      <c r="AE1298" s="13"/>
      <c r="AF1298" s="13"/>
      <c r="AG1298" s="13"/>
      <c r="AH1298" s="15"/>
      <c r="AI1298" s="13"/>
      <c r="AJ1298" s="13"/>
      <c r="AK1298" s="13"/>
      <c r="AL1298" s="13"/>
      <c r="AM1298" s="15"/>
      <c r="AN1298" s="13"/>
      <c r="AO1298" s="15"/>
      <c r="AP1298" s="15"/>
      <c r="AQ1298" s="13"/>
      <c r="AR1298" s="13"/>
      <c r="AS1298" s="13"/>
      <c r="AT1298" s="13"/>
      <c r="AU1298" s="13"/>
      <c r="AV1298" s="13"/>
      <c r="AW1298" s="13"/>
      <c r="AX1298" s="13"/>
      <c r="AY1298" s="15"/>
      <c r="AZ1298" s="15"/>
      <c r="BA1298" s="16"/>
      <c r="BB1298" s="15"/>
      <c r="BC1298" s="15"/>
      <c r="BD1298" s="13"/>
      <c r="BE1298" s="13"/>
      <c r="BF1298" s="13"/>
      <c r="BG1298" s="13"/>
      <c r="BH1298" s="13"/>
      <c r="BI1298" s="13"/>
      <c r="BJ1298" s="13"/>
      <c r="BK1298" s="13"/>
      <c r="BL1298" s="13"/>
      <c r="BM1298" s="13"/>
      <c r="BN1298" s="13"/>
      <c r="BO1298" s="13"/>
      <c r="BP1298" s="13"/>
      <c r="BQ1298" s="15"/>
      <c r="BR1298" s="15"/>
      <c r="BS1298" s="15"/>
      <c r="BT1298" s="15"/>
      <c r="BU1298" s="15"/>
      <c r="BV1298" s="15"/>
      <c r="BW1298" s="15"/>
      <c r="BX1298" s="15"/>
      <c r="BY1298" s="15"/>
      <c r="BZ1298" s="15"/>
      <c r="CA1298" s="15"/>
      <c r="CB1298" s="17"/>
      <c r="CC1298" s="17"/>
      <c r="CD1298" s="18"/>
      <c r="CE1298" s="18"/>
      <c r="CF1298" s="18"/>
      <c r="CG1298" s="18"/>
      <c r="CH1298" s="18"/>
    </row>
    <row r="1299">
      <c r="A1299" s="15"/>
      <c r="B1299" s="16"/>
      <c r="C1299" s="15"/>
      <c r="D1299" s="9"/>
      <c r="E1299" s="15"/>
      <c r="F1299" s="15"/>
      <c r="G1299" s="13"/>
      <c r="H1299" s="13"/>
      <c r="I1299" s="13"/>
      <c r="J1299" s="13"/>
      <c r="K1299" s="13"/>
      <c r="L1299" s="13"/>
      <c r="M1299" s="13"/>
      <c r="N1299" s="13"/>
      <c r="O1299" s="13"/>
      <c r="P1299" s="13"/>
      <c r="Q1299" s="13"/>
      <c r="R1299" s="13"/>
      <c r="S1299" s="13"/>
      <c r="T1299" s="13"/>
      <c r="U1299" s="13"/>
      <c r="V1299" s="13"/>
      <c r="W1299" s="13"/>
      <c r="X1299" s="13"/>
      <c r="Y1299" s="13"/>
      <c r="Z1299" s="13"/>
      <c r="AA1299" s="13"/>
      <c r="AB1299" s="15"/>
      <c r="AC1299" s="15"/>
      <c r="AD1299" s="15"/>
      <c r="AE1299" s="13"/>
      <c r="AF1299" s="13"/>
      <c r="AG1299" s="13"/>
      <c r="AH1299" s="15"/>
      <c r="AI1299" s="13"/>
      <c r="AJ1299" s="13"/>
      <c r="AK1299" s="13"/>
      <c r="AL1299" s="13"/>
      <c r="AM1299" s="15"/>
      <c r="AN1299" s="13"/>
      <c r="AO1299" s="15"/>
      <c r="AP1299" s="15"/>
      <c r="AQ1299" s="13"/>
      <c r="AR1299" s="13"/>
      <c r="AS1299" s="13"/>
      <c r="AT1299" s="13"/>
      <c r="AU1299" s="13"/>
      <c r="AV1299" s="13"/>
      <c r="AW1299" s="13"/>
      <c r="AX1299" s="13"/>
      <c r="AY1299" s="15"/>
      <c r="AZ1299" s="15"/>
      <c r="BA1299" s="16"/>
      <c r="BB1299" s="15"/>
      <c r="BC1299" s="15"/>
      <c r="BD1299" s="13"/>
      <c r="BE1299" s="13"/>
      <c r="BF1299" s="13"/>
      <c r="BG1299" s="13"/>
      <c r="BH1299" s="13"/>
      <c r="BI1299" s="13"/>
      <c r="BJ1299" s="13"/>
      <c r="BK1299" s="13"/>
      <c r="BL1299" s="13"/>
      <c r="BM1299" s="13"/>
      <c r="BN1299" s="13"/>
      <c r="BO1299" s="13"/>
      <c r="BP1299" s="13"/>
      <c r="BQ1299" s="15"/>
      <c r="BR1299" s="15"/>
      <c r="BS1299" s="15"/>
      <c r="BT1299" s="15"/>
      <c r="BU1299" s="15"/>
      <c r="BV1299" s="15"/>
      <c r="BW1299" s="15"/>
      <c r="BX1299" s="15"/>
      <c r="BY1299" s="15"/>
      <c r="BZ1299" s="15"/>
      <c r="CA1299" s="15"/>
      <c r="CB1299" s="17"/>
      <c r="CC1299" s="17"/>
      <c r="CD1299" s="18"/>
      <c r="CE1299" s="18"/>
      <c r="CF1299" s="18"/>
      <c r="CG1299" s="18"/>
      <c r="CH1299" s="18"/>
    </row>
    <row r="1300">
      <c r="A1300" s="15"/>
      <c r="B1300" s="16"/>
      <c r="C1300" s="15"/>
      <c r="D1300" s="9"/>
      <c r="E1300" s="15"/>
      <c r="F1300" s="15"/>
      <c r="G1300" s="13"/>
      <c r="H1300" s="13"/>
      <c r="I1300" s="13"/>
      <c r="J1300" s="13"/>
      <c r="K1300" s="13"/>
      <c r="L1300" s="13"/>
      <c r="M1300" s="13"/>
      <c r="N1300" s="13"/>
      <c r="O1300" s="13"/>
      <c r="P1300" s="13"/>
      <c r="Q1300" s="13"/>
      <c r="R1300" s="13"/>
      <c r="S1300" s="13"/>
      <c r="T1300" s="13"/>
      <c r="U1300" s="13"/>
      <c r="V1300" s="13"/>
      <c r="W1300" s="13"/>
      <c r="X1300" s="13"/>
      <c r="Y1300" s="13"/>
      <c r="Z1300" s="13"/>
      <c r="AA1300" s="13"/>
      <c r="AB1300" s="15"/>
      <c r="AC1300" s="15"/>
      <c r="AD1300" s="15"/>
      <c r="AE1300" s="13"/>
      <c r="AF1300" s="13"/>
      <c r="AG1300" s="13"/>
      <c r="AH1300" s="15"/>
      <c r="AI1300" s="13"/>
      <c r="AJ1300" s="13"/>
      <c r="AK1300" s="13"/>
      <c r="AL1300" s="13"/>
      <c r="AM1300" s="15"/>
      <c r="AN1300" s="13"/>
      <c r="AO1300" s="15"/>
      <c r="AP1300" s="15"/>
      <c r="AQ1300" s="13"/>
      <c r="AR1300" s="13"/>
      <c r="AS1300" s="13"/>
      <c r="AT1300" s="13"/>
      <c r="AU1300" s="13"/>
      <c r="AV1300" s="13"/>
      <c r="AW1300" s="13"/>
      <c r="AX1300" s="13"/>
      <c r="AY1300" s="15"/>
      <c r="AZ1300" s="15"/>
      <c r="BA1300" s="16"/>
      <c r="BB1300" s="15"/>
      <c r="BC1300" s="15"/>
      <c r="BD1300" s="13"/>
      <c r="BE1300" s="13"/>
      <c r="BF1300" s="13"/>
      <c r="BG1300" s="13"/>
      <c r="BH1300" s="13"/>
      <c r="BI1300" s="13"/>
      <c r="BJ1300" s="13"/>
      <c r="BK1300" s="13"/>
      <c r="BL1300" s="13"/>
      <c r="BM1300" s="13"/>
      <c r="BN1300" s="13"/>
      <c r="BO1300" s="13"/>
      <c r="BP1300" s="13"/>
      <c r="BQ1300" s="15"/>
      <c r="BR1300" s="15"/>
      <c r="BS1300" s="15"/>
      <c r="BT1300" s="15"/>
      <c r="BU1300" s="15"/>
      <c r="BV1300" s="15"/>
      <c r="BW1300" s="15"/>
      <c r="BX1300" s="15"/>
      <c r="BY1300" s="15"/>
      <c r="BZ1300" s="15"/>
      <c r="CA1300" s="15"/>
      <c r="CB1300" s="17"/>
      <c r="CC1300" s="17"/>
      <c r="CD1300" s="18"/>
      <c r="CE1300" s="18"/>
      <c r="CF1300" s="18"/>
      <c r="CG1300" s="18"/>
      <c r="CH1300" s="18"/>
    </row>
    <row r="1301">
      <c r="A1301" s="15"/>
      <c r="B1301" s="16"/>
      <c r="C1301" s="15"/>
      <c r="D1301" s="9"/>
      <c r="E1301" s="15"/>
      <c r="F1301" s="15"/>
      <c r="G1301" s="13"/>
      <c r="H1301" s="13"/>
      <c r="I1301" s="13"/>
      <c r="J1301" s="13"/>
      <c r="K1301" s="13"/>
      <c r="L1301" s="13"/>
      <c r="M1301" s="13"/>
      <c r="N1301" s="13"/>
      <c r="O1301" s="13"/>
      <c r="P1301" s="13"/>
      <c r="Q1301" s="13"/>
      <c r="R1301" s="13"/>
      <c r="S1301" s="13"/>
      <c r="T1301" s="13"/>
      <c r="U1301" s="13"/>
      <c r="V1301" s="13"/>
      <c r="W1301" s="13"/>
      <c r="X1301" s="13"/>
      <c r="Y1301" s="13"/>
      <c r="Z1301" s="13"/>
      <c r="AA1301" s="13"/>
      <c r="AB1301" s="15"/>
      <c r="AC1301" s="15"/>
      <c r="AD1301" s="15"/>
      <c r="AE1301" s="13"/>
      <c r="AF1301" s="13"/>
      <c r="AG1301" s="13"/>
      <c r="AH1301" s="15"/>
      <c r="AI1301" s="13"/>
      <c r="AJ1301" s="13"/>
      <c r="AK1301" s="13"/>
      <c r="AL1301" s="13"/>
      <c r="AM1301" s="15"/>
      <c r="AN1301" s="13"/>
      <c r="AO1301" s="15"/>
      <c r="AP1301" s="15"/>
      <c r="AQ1301" s="13"/>
      <c r="AR1301" s="13"/>
      <c r="AS1301" s="13"/>
      <c r="AT1301" s="13"/>
      <c r="AU1301" s="13"/>
      <c r="AV1301" s="13"/>
      <c r="AW1301" s="13"/>
      <c r="AX1301" s="13"/>
      <c r="AY1301" s="15"/>
      <c r="AZ1301" s="15"/>
      <c r="BA1301" s="16"/>
      <c r="BB1301" s="15"/>
      <c r="BC1301" s="15"/>
      <c r="BD1301" s="13"/>
      <c r="BE1301" s="13"/>
      <c r="BF1301" s="13"/>
      <c r="BG1301" s="13"/>
      <c r="BH1301" s="13"/>
      <c r="BI1301" s="13"/>
      <c r="BJ1301" s="13"/>
      <c r="BK1301" s="13"/>
      <c r="BL1301" s="13"/>
      <c r="BM1301" s="13"/>
      <c r="BN1301" s="13"/>
      <c r="BO1301" s="13"/>
      <c r="BP1301" s="13"/>
      <c r="BQ1301" s="15"/>
      <c r="BR1301" s="15"/>
      <c r="BS1301" s="15"/>
      <c r="BT1301" s="15"/>
      <c r="BU1301" s="15"/>
      <c r="BV1301" s="15"/>
      <c r="BW1301" s="15"/>
      <c r="BX1301" s="15"/>
      <c r="BY1301" s="15"/>
      <c r="BZ1301" s="15"/>
      <c r="CA1301" s="15"/>
      <c r="CB1301" s="17"/>
      <c r="CC1301" s="17"/>
      <c r="CD1301" s="18"/>
      <c r="CE1301" s="18"/>
      <c r="CF1301" s="18"/>
      <c r="CG1301" s="18"/>
      <c r="CH1301" s="18"/>
    </row>
    <row r="1302">
      <c r="A1302" s="15"/>
      <c r="B1302" s="16"/>
      <c r="C1302" s="15"/>
      <c r="D1302" s="9"/>
      <c r="E1302" s="15"/>
      <c r="F1302" s="15"/>
      <c r="G1302" s="13"/>
      <c r="H1302" s="13"/>
      <c r="I1302" s="13"/>
      <c r="J1302" s="13"/>
      <c r="K1302" s="13"/>
      <c r="L1302" s="13"/>
      <c r="M1302" s="13"/>
      <c r="N1302" s="13"/>
      <c r="O1302" s="13"/>
      <c r="P1302" s="13"/>
      <c r="Q1302" s="13"/>
      <c r="R1302" s="13"/>
      <c r="S1302" s="13"/>
      <c r="T1302" s="13"/>
      <c r="U1302" s="13"/>
      <c r="V1302" s="13"/>
      <c r="W1302" s="13"/>
      <c r="X1302" s="13"/>
      <c r="Y1302" s="13"/>
      <c r="Z1302" s="13"/>
      <c r="AA1302" s="13"/>
      <c r="AB1302" s="15"/>
      <c r="AC1302" s="15"/>
      <c r="AD1302" s="15"/>
      <c r="AE1302" s="13"/>
      <c r="AF1302" s="13"/>
      <c r="AG1302" s="13"/>
      <c r="AH1302" s="15"/>
      <c r="AI1302" s="13"/>
      <c r="AJ1302" s="13"/>
      <c r="AK1302" s="13"/>
      <c r="AL1302" s="13"/>
      <c r="AM1302" s="15"/>
      <c r="AN1302" s="13"/>
      <c r="AO1302" s="15"/>
      <c r="AP1302" s="15"/>
      <c r="AQ1302" s="13"/>
      <c r="AR1302" s="13"/>
      <c r="AS1302" s="13"/>
      <c r="AT1302" s="13"/>
      <c r="AU1302" s="13"/>
      <c r="AV1302" s="13"/>
      <c r="AW1302" s="13"/>
      <c r="AX1302" s="13"/>
      <c r="AY1302" s="15"/>
      <c r="AZ1302" s="15"/>
      <c r="BA1302" s="16"/>
      <c r="BB1302" s="15"/>
      <c r="BC1302" s="15"/>
      <c r="BD1302" s="13"/>
      <c r="BE1302" s="13"/>
      <c r="BF1302" s="13"/>
      <c r="BG1302" s="13"/>
      <c r="BH1302" s="13"/>
      <c r="BI1302" s="13"/>
      <c r="BJ1302" s="13"/>
      <c r="BK1302" s="13"/>
      <c r="BL1302" s="13"/>
      <c r="BM1302" s="13"/>
      <c r="BN1302" s="13"/>
      <c r="BO1302" s="13"/>
      <c r="BP1302" s="13"/>
      <c r="BQ1302" s="15"/>
      <c r="BR1302" s="15"/>
      <c r="BS1302" s="15"/>
      <c r="BT1302" s="15"/>
      <c r="BU1302" s="15"/>
      <c r="BV1302" s="15"/>
      <c r="BW1302" s="15"/>
      <c r="BX1302" s="15"/>
      <c r="BY1302" s="15"/>
      <c r="BZ1302" s="15"/>
      <c r="CA1302" s="15"/>
      <c r="CB1302" s="17"/>
      <c r="CC1302" s="17"/>
      <c r="CD1302" s="18"/>
      <c r="CE1302" s="18"/>
      <c r="CF1302" s="18"/>
      <c r="CG1302" s="18"/>
      <c r="CH1302" s="18"/>
    </row>
    <row r="1303">
      <c r="A1303" s="15"/>
      <c r="B1303" s="16"/>
      <c r="C1303" s="15"/>
      <c r="D1303" s="9"/>
      <c r="E1303" s="15"/>
      <c r="F1303" s="15"/>
      <c r="G1303" s="13"/>
      <c r="H1303" s="13"/>
      <c r="I1303" s="13"/>
      <c r="J1303" s="13"/>
      <c r="K1303" s="13"/>
      <c r="L1303" s="13"/>
      <c r="M1303" s="13"/>
      <c r="N1303" s="13"/>
      <c r="O1303" s="13"/>
      <c r="P1303" s="13"/>
      <c r="Q1303" s="13"/>
      <c r="R1303" s="13"/>
      <c r="S1303" s="13"/>
      <c r="T1303" s="13"/>
      <c r="U1303" s="13"/>
      <c r="V1303" s="13"/>
      <c r="W1303" s="13"/>
      <c r="X1303" s="13"/>
      <c r="Y1303" s="13"/>
      <c r="Z1303" s="13"/>
      <c r="AA1303" s="13"/>
      <c r="AB1303" s="15"/>
      <c r="AC1303" s="15"/>
      <c r="AD1303" s="15"/>
      <c r="AE1303" s="13"/>
      <c r="AF1303" s="13"/>
      <c r="AG1303" s="13"/>
      <c r="AH1303" s="15"/>
      <c r="AI1303" s="13"/>
      <c r="AJ1303" s="13"/>
      <c r="AK1303" s="13"/>
      <c r="AL1303" s="13"/>
      <c r="AM1303" s="15"/>
      <c r="AN1303" s="13"/>
      <c r="AO1303" s="15"/>
      <c r="AP1303" s="15"/>
      <c r="AQ1303" s="13"/>
      <c r="AR1303" s="13"/>
      <c r="AS1303" s="13"/>
      <c r="AT1303" s="13"/>
      <c r="AU1303" s="13"/>
      <c r="AV1303" s="13"/>
      <c r="AW1303" s="13"/>
      <c r="AX1303" s="13"/>
      <c r="AY1303" s="15"/>
      <c r="AZ1303" s="15"/>
      <c r="BA1303" s="16"/>
      <c r="BB1303" s="15"/>
      <c r="BC1303" s="15"/>
      <c r="BD1303" s="13"/>
      <c r="BE1303" s="13"/>
      <c r="BF1303" s="13"/>
      <c r="BG1303" s="13"/>
      <c r="BH1303" s="13"/>
      <c r="BI1303" s="13"/>
      <c r="BJ1303" s="13"/>
      <c r="BK1303" s="13"/>
      <c r="BL1303" s="13"/>
      <c r="BM1303" s="13"/>
      <c r="BN1303" s="13"/>
      <c r="BO1303" s="13"/>
      <c r="BP1303" s="13"/>
      <c r="BQ1303" s="15"/>
      <c r="BR1303" s="15"/>
      <c r="BS1303" s="15"/>
      <c r="BT1303" s="15"/>
      <c r="BU1303" s="15"/>
      <c r="BV1303" s="15"/>
      <c r="BW1303" s="15"/>
      <c r="BX1303" s="15"/>
      <c r="BY1303" s="15"/>
      <c r="BZ1303" s="15"/>
      <c r="CA1303" s="15"/>
      <c r="CB1303" s="17"/>
      <c r="CC1303" s="17"/>
      <c r="CD1303" s="18"/>
      <c r="CE1303" s="18"/>
      <c r="CF1303" s="18"/>
      <c r="CG1303" s="18"/>
      <c r="CH1303" s="18"/>
    </row>
    <row r="1304">
      <c r="A1304" s="15"/>
      <c r="B1304" s="16"/>
      <c r="C1304" s="15"/>
      <c r="D1304" s="9"/>
      <c r="E1304" s="15"/>
      <c r="F1304" s="15"/>
      <c r="G1304" s="13"/>
      <c r="H1304" s="13"/>
      <c r="I1304" s="13"/>
      <c r="J1304" s="13"/>
      <c r="K1304" s="13"/>
      <c r="L1304" s="13"/>
      <c r="M1304" s="13"/>
      <c r="N1304" s="13"/>
      <c r="O1304" s="13"/>
      <c r="P1304" s="13"/>
      <c r="Q1304" s="13"/>
      <c r="R1304" s="13"/>
      <c r="S1304" s="13"/>
      <c r="T1304" s="13"/>
      <c r="U1304" s="13"/>
      <c r="V1304" s="13"/>
      <c r="W1304" s="13"/>
      <c r="X1304" s="13"/>
      <c r="Y1304" s="13"/>
      <c r="Z1304" s="13"/>
      <c r="AA1304" s="13"/>
      <c r="AB1304" s="15"/>
      <c r="AC1304" s="15"/>
      <c r="AD1304" s="15"/>
      <c r="AE1304" s="13"/>
      <c r="AF1304" s="13"/>
      <c r="AG1304" s="13"/>
      <c r="AH1304" s="15"/>
      <c r="AI1304" s="13"/>
      <c r="AJ1304" s="13"/>
      <c r="AK1304" s="13"/>
      <c r="AL1304" s="13"/>
      <c r="AM1304" s="15"/>
      <c r="AN1304" s="13"/>
      <c r="AO1304" s="15"/>
      <c r="AP1304" s="15"/>
      <c r="AQ1304" s="13"/>
      <c r="AR1304" s="13"/>
      <c r="AS1304" s="13"/>
      <c r="AT1304" s="13"/>
      <c r="AU1304" s="13"/>
      <c r="AV1304" s="13"/>
      <c r="AW1304" s="13"/>
      <c r="AX1304" s="13"/>
      <c r="AY1304" s="15"/>
      <c r="AZ1304" s="15"/>
      <c r="BA1304" s="16"/>
      <c r="BB1304" s="15"/>
      <c r="BC1304" s="15"/>
      <c r="BD1304" s="13"/>
      <c r="BE1304" s="13"/>
      <c r="BF1304" s="13"/>
      <c r="BG1304" s="13"/>
      <c r="BH1304" s="13"/>
      <c r="BI1304" s="13"/>
      <c r="BJ1304" s="13"/>
      <c r="BK1304" s="13"/>
      <c r="BL1304" s="13"/>
      <c r="BM1304" s="13"/>
      <c r="BN1304" s="13"/>
      <c r="BO1304" s="13"/>
      <c r="BP1304" s="13"/>
      <c r="BQ1304" s="15"/>
      <c r="BR1304" s="15"/>
      <c r="BS1304" s="15"/>
      <c r="BT1304" s="15"/>
      <c r="BU1304" s="15"/>
      <c r="BV1304" s="15"/>
      <c r="BW1304" s="15"/>
      <c r="BX1304" s="15"/>
      <c r="BY1304" s="15"/>
      <c r="BZ1304" s="15"/>
      <c r="CA1304" s="15"/>
      <c r="CB1304" s="17"/>
      <c r="CC1304" s="17"/>
      <c r="CD1304" s="18"/>
      <c r="CE1304" s="18"/>
      <c r="CF1304" s="18"/>
      <c r="CG1304" s="18"/>
      <c r="CH1304" s="18"/>
    </row>
    <row r="1305">
      <c r="A1305" s="15"/>
      <c r="B1305" s="16"/>
      <c r="C1305" s="15"/>
      <c r="D1305" s="9"/>
      <c r="E1305" s="15"/>
      <c r="F1305" s="15"/>
      <c r="G1305" s="13"/>
      <c r="H1305" s="13"/>
      <c r="I1305" s="13"/>
      <c r="J1305" s="13"/>
      <c r="K1305" s="13"/>
      <c r="L1305" s="13"/>
      <c r="M1305" s="13"/>
      <c r="N1305" s="13"/>
      <c r="O1305" s="13"/>
      <c r="P1305" s="13"/>
      <c r="Q1305" s="13"/>
      <c r="R1305" s="13"/>
      <c r="S1305" s="13"/>
      <c r="T1305" s="13"/>
      <c r="U1305" s="13"/>
      <c r="V1305" s="13"/>
      <c r="W1305" s="13"/>
      <c r="X1305" s="13"/>
      <c r="Y1305" s="13"/>
      <c r="Z1305" s="13"/>
      <c r="AA1305" s="13"/>
      <c r="AB1305" s="15"/>
      <c r="AC1305" s="15"/>
      <c r="AD1305" s="15"/>
      <c r="AE1305" s="13"/>
      <c r="AF1305" s="13"/>
      <c r="AG1305" s="13"/>
      <c r="AH1305" s="15"/>
      <c r="AI1305" s="13"/>
      <c r="AJ1305" s="13"/>
      <c r="AK1305" s="13"/>
      <c r="AL1305" s="13"/>
      <c r="AM1305" s="15"/>
      <c r="AN1305" s="13"/>
      <c r="AO1305" s="15"/>
      <c r="AP1305" s="15"/>
      <c r="AQ1305" s="13"/>
      <c r="AR1305" s="13"/>
      <c r="AS1305" s="13"/>
      <c r="AT1305" s="13"/>
      <c r="AU1305" s="13"/>
      <c r="AV1305" s="13"/>
      <c r="AW1305" s="13"/>
      <c r="AX1305" s="13"/>
      <c r="AY1305" s="15"/>
      <c r="AZ1305" s="15"/>
      <c r="BA1305" s="16"/>
      <c r="BB1305" s="15"/>
      <c r="BC1305" s="15"/>
      <c r="BD1305" s="13"/>
      <c r="BE1305" s="13"/>
      <c r="BF1305" s="13"/>
      <c r="BG1305" s="13"/>
      <c r="BH1305" s="13"/>
      <c r="BI1305" s="13"/>
      <c r="BJ1305" s="13"/>
      <c r="BK1305" s="13"/>
      <c r="BL1305" s="13"/>
      <c r="BM1305" s="13"/>
      <c r="BN1305" s="13"/>
      <c r="BO1305" s="13"/>
      <c r="BP1305" s="13"/>
      <c r="BQ1305" s="15"/>
      <c r="BR1305" s="15"/>
      <c r="BS1305" s="15"/>
      <c r="BT1305" s="15"/>
      <c r="BU1305" s="15"/>
      <c r="BV1305" s="15"/>
      <c r="BW1305" s="15"/>
      <c r="BX1305" s="15"/>
      <c r="BY1305" s="15"/>
      <c r="BZ1305" s="15"/>
      <c r="CA1305" s="15"/>
      <c r="CB1305" s="17"/>
      <c r="CC1305" s="17"/>
      <c r="CD1305" s="18"/>
      <c r="CE1305" s="18"/>
      <c r="CF1305" s="18"/>
      <c r="CG1305" s="18"/>
      <c r="CH1305" s="18"/>
    </row>
    <row r="1306">
      <c r="A1306" s="15"/>
      <c r="B1306" s="16"/>
      <c r="C1306" s="15"/>
      <c r="D1306" s="9"/>
      <c r="E1306" s="15"/>
      <c r="F1306" s="15"/>
      <c r="G1306" s="13"/>
      <c r="H1306" s="13"/>
      <c r="I1306" s="13"/>
      <c r="J1306" s="13"/>
      <c r="K1306" s="13"/>
      <c r="L1306" s="13"/>
      <c r="M1306" s="13"/>
      <c r="N1306" s="13"/>
      <c r="O1306" s="13"/>
      <c r="P1306" s="13"/>
      <c r="Q1306" s="13"/>
      <c r="R1306" s="13"/>
      <c r="S1306" s="13"/>
      <c r="T1306" s="13"/>
      <c r="U1306" s="13"/>
      <c r="V1306" s="13"/>
      <c r="W1306" s="13"/>
      <c r="X1306" s="13"/>
      <c r="Y1306" s="13"/>
      <c r="Z1306" s="13"/>
      <c r="AA1306" s="13"/>
      <c r="AB1306" s="15"/>
      <c r="AC1306" s="15"/>
      <c r="AD1306" s="15"/>
      <c r="AE1306" s="13"/>
      <c r="AF1306" s="13"/>
      <c r="AG1306" s="13"/>
      <c r="AH1306" s="15"/>
      <c r="AI1306" s="13"/>
      <c r="AJ1306" s="13"/>
      <c r="AK1306" s="13"/>
      <c r="AL1306" s="13"/>
      <c r="AM1306" s="15"/>
      <c r="AN1306" s="13"/>
      <c r="AO1306" s="15"/>
      <c r="AP1306" s="15"/>
      <c r="AQ1306" s="13"/>
      <c r="AR1306" s="13"/>
      <c r="AS1306" s="13"/>
      <c r="AT1306" s="13"/>
      <c r="AU1306" s="13"/>
      <c r="AV1306" s="13"/>
      <c r="AW1306" s="13"/>
      <c r="AX1306" s="13"/>
      <c r="AY1306" s="15"/>
      <c r="AZ1306" s="15"/>
      <c r="BA1306" s="16"/>
      <c r="BB1306" s="15"/>
      <c r="BC1306" s="15"/>
      <c r="BD1306" s="13"/>
      <c r="BE1306" s="13"/>
      <c r="BF1306" s="13"/>
      <c r="BG1306" s="13"/>
      <c r="BH1306" s="13"/>
      <c r="BI1306" s="13"/>
      <c r="BJ1306" s="13"/>
      <c r="BK1306" s="13"/>
      <c r="BL1306" s="13"/>
      <c r="BM1306" s="13"/>
      <c r="BN1306" s="13"/>
      <c r="BO1306" s="13"/>
      <c r="BP1306" s="13"/>
      <c r="BQ1306" s="15"/>
      <c r="BR1306" s="15"/>
      <c r="BS1306" s="15"/>
      <c r="BT1306" s="15"/>
      <c r="BU1306" s="15"/>
      <c r="BV1306" s="15"/>
      <c r="BW1306" s="15"/>
      <c r="BX1306" s="15"/>
      <c r="BY1306" s="15"/>
      <c r="BZ1306" s="15"/>
      <c r="CA1306" s="15"/>
      <c r="CB1306" s="17"/>
      <c r="CC1306" s="17"/>
      <c r="CD1306" s="18"/>
      <c r="CE1306" s="18"/>
      <c r="CF1306" s="18"/>
      <c r="CG1306" s="18"/>
      <c r="CH1306" s="18"/>
    </row>
    <row r="1307">
      <c r="A1307" s="15"/>
      <c r="B1307" s="16"/>
      <c r="C1307" s="15"/>
      <c r="D1307" s="9"/>
      <c r="E1307" s="15"/>
      <c r="F1307" s="15"/>
      <c r="G1307" s="13"/>
      <c r="H1307" s="13"/>
      <c r="I1307" s="13"/>
      <c r="J1307" s="13"/>
      <c r="K1307" s="13"/>
      <c r="L1307" s="13"/>
      <c r="M1307" s="13"/>
      <c r="N1307" s="13"/>
      <c r="O1307" s="13"/>
      <c r="P1307" s="13"/>
      <c r="Q1307" s="13"/>
      <c r="R1307" s="13"/>
      <c r="S1307" s="13"/>
      <c r="T1307" s="13"/>
      <c r="U1307" s="13"/>
      <c r="V1307" s="13"/>
      <c r="W1307" s="13"/>
      <c r="X1307" s="13"/>
      <c r="Y1307" s="13"/>
      <c r="Z1307" s="13"/>
      <c r="AA1307" s="13"/>
      <c r="AB1307" s="15"/>
      <c r="AC1307" s="15"/>
      <c r="AD1307" s="15"/>
      <c r="AE1307" s="13"/>
      <c r="AF1307" s="13"/>
      <c r="AG1307" s="13"/>
      <c r="AH1307" s="15"/>
      <c r="AI1307" s="13"/>
      <c r="AJ1307" s="13"/>
      <c r="AK1307" s="13"/>
      <c r="AL1307" s="13"/>
      <c r="AM1307" s="15"/>
      <c r="AN1307" s="13"/>
      <c r="AO1307" s="15"/>
      <c r="AP1307" s="15"/>
      <c r="AQ1307" s="13"/>
      <c r="AR1307" s="13"/>
      <c r="AS1307" s="13"/>
      <c r="AT1307" s="13"/>
      <c r="AU1307" s="13"/>
      <c r="AV1307" s="13"/>
      <c r="AW1307" s="13"/>
      <c r="AX1307" s="13"/>
      <c r="AY1307" s="15"/>
      <c r="AZ1307" s="15"/>
      <c r="BA1307" s="16"/>
      <c r="BB1307" s="15"/>
      <c r="BC1307" s="15"/>
      <c r="BD1307" s="13"/>
      <c r="BE1307" s="13"/>
      <c r="BF1307" s="13"/>
      <c r="BG1307" s="13"/>
      <c r="BH1307" s="13"/>
      <c r="BI1307" s="13"/>
      <c r="BJ1307" s="13"/>
      <c r="BK1307" s="13"/>
      <c r="BL1307" s="13"/>
      <c r="BM1307" s="13"/>
      <c r="BN1307" s="13"/>
      <c r="BO1307" s="13"/>
      <c r="BP1307" s="13"/>
      <c r="BQ1307" s="15"/>
      <c r="BR1307" s="15"/>
      <c r="BS1307" s="15"/>
      <c r="BT1307" s="15"/>
      <c r="BU1307" s="15"/>
      <c r="BV1307" s="15"/>
      <c r="BW1307" s="15"/>
      <c r="BX1307" s="15"/>
      <c r="BY1307" s="15"/>
      <c r="BZ1307" s="15"/>
      <c r="CA1307" s="15"/>
      <c r="CB1307" s="17"/>
      <c r="CC1307" s="17"/>
      <c r="CD1307" s="18"/>
      <c r="CE1307" s="18"/>
      <c r="CF1307" s="18"/>
      <c r="CG1307" s="18"/>
      <c r="CH1307" s="18"/>
    </row>
    <row r="1308">
      <c r="A1308" s="15"/>
      <c r="B1308" s="16"/>
      <c r="C1308" s="15"/>
      <c r="D1308" s="9"/>
      <c r="E1308" s="15"/>
      <c r="F1308" s="15"/>
      <c r="G1308" s="13"/>
      <c r="H1308" s="13"/>
      <c r="I1308" s="13"/>
      <c r="J1308" s="13"/>
      <c r="K1308" s="13"/>
      <c r="L1308" s="13"/>
      <c r="M1308" s="13"/>
      <c r="N1308" s="13"/>
      <c r="O1308" s="13"/>
      <c r="P1308" s="13"/>
      <c r="Q1308" s="13"/>
      <c r="R1308" s="13"/>
      <c r="S1308" s="13"/>
      <c r="T1308" s="13"/>
      <c r="U1308" s="13"/>
      <c r="V1308" s="13"/>
      <c r="W1308" s="13"/>
      <c r="X1308" s="13"/>
      <c r="Y1308" s="13"/>
      <c r="Z1308" s="13"/>
      <c r="AA1308" s="13"/>
      <c r="AB1308" s="15"/>
      <c r="AC1308" s="15"/>
      <c r="AD1308" s="15"/>
      <c r="AE1308" s="13"/>
      <c r="AF1308" s="13"/>
      <c r="AG1308" s="13"/>
      <c r="AH1308" s="15"/>
      <c r="AI1308" s="13"/>
      <c r="AJ1308" s="13"/>
      <c r="AK1308" s="13"/>
      <c r="AL1308" s="13"/>
      <c r="AM1308" s="15"/>
      <c r="AN1308" s="13"/>
      <c r="AO1308" s="15"/>
      <c r="AP1308" s="15"/>
      <c r="AQ1308" s="13"/>
      <c r="AR1308" s="13"/>
      <c r="AS1308" s="13"/>
      <c r="AT1308" s="13"/>
      <c r="AU1308" s="13"/>
      <c r="AV1308" s="13"/>
      <c r="AW1308" s="13"/>
      <c r="AX1308" s="13"/>
      <c r="AY1308" s="15"/>
      <c r="AZ1308" s="15"/>
      <c r="BA1308" s="16"/>
      <c r="BB1308" s="15"/>
      <c r="BC1308" s="15"/>
      <c r="BD1308" s="13"/>
      <c r="BE1308" s="13"/>
      <c r="BF1308" s="13"/>
      <c r="BG1308" s="13"/>
      <c r="BH1308" s="13"/>
      <c r="BI1308" s="13"/>
      <c r="BJ1308" s="13"/>
      <c r="BK1308" s="13"/>
      <c r="BL1308" s="13"/>
      <c r="BM1308" s="13"/>
      <c r="BN1308" s="13"/>
      <c r="BO1308" s="13"/>
      <c r="BP1308" s="13"/>
      <c r="BQ1308" s="15"/>
      <c r="BR1308" s="15"/>
      <c r="BS1308" s="15"/>
      <c r="BT1308" s="15"/>
      <c r="BU1308" s="15"/>
      <c r="BV1308" s="15"/>
      <c r="BW1308" s="15"/>
      <c r="BX1308" s="15"/>
      <c r="BY1308" s="15"/>
      <c r="BZ1308" s="15"/>
      <c r="CA1308" s="15"/>
      <c r="CB1308" s="17"/>
      <c r="CC1308" s="17"/>
      <c r="CD1308" s="18"/>
      <c r="CE1308" s="18"/>
      <c r="CF1308" s="18"/>
      <c r="CG1308" s="18"/>
      <c r="CH1308" s="18"/>
    </row>
    <row r="1309">
      <c r="A1309" s="15"/>
      <c r="B1309" s="16"/>
      <c r="C1309" s="15"/>
      <c r="D1309" s="9"/>
      <c r="E1309" s="15"/>
      <c r="F1309" s="15"/>
      <c r="G1309" s="13"/>
      <c r="H1309" s="13"/>
      <c r="I1309" s="13"/>
      <c r="J1309" s="13"/>
      <c r="K1309" s="13"/>
      <c r="L1309" s="13"/>
      <c r="M1309" s="13"/>
      <c r="N1309" s="13"/>
      <c r="O1309" s="13"/>
      <c r="P1309" s="13"/>
      <c r="Q1309" s="13"/>
      <c r="R1309" s="13"/>
      <c r="S1309" s="13"/>
      <c r="T1309" s="13"/>
      <c r="U1309" s="13"/>
      <c r="V1309" s="13"/>
      <c r="W1309" s="13"/>
      <c r="X1309" s="13"/>
      <c r="Y1309" s="13"/>
      <c r="Z1309" s="13"/>
      <c r="AA1309" s="13"/>
      <c r="AB1309" s="15"/>
      <c r="AC1309" s="15"/>
      <c r="AD1309" s="15"/>
      <c r="AE1309" s="13"/>
      <c r="AF1309" s="13"/>
      <c r="AG1309" s="13"/>
      <c r="AH1309" s="15"/>
      <c r="AI1309" s="13"/>
      <c r="AJ1309" s="13"/>
      <c r="AK1309" s="13"/>
      <c r="AL1309" s="13"/>
      <c r="AM1309" s="15"/>
      <c r="AN1309" s="13"/>
      <c r="AO1309" s="15"/>
      <c r="AP1309" s="15"/>
      <c r="AQ1309" s="13"/>
      <c r="AR1309" s="13"/>
      <c r="AS1309" s="13"/>
      <c r="AT1309" s="13"/>
      <c r="AU1309" s="13"/>
      <c r="AV1309" s="13"/>
      <c r="AW1309" s="13"/>
      <c r="AX1309" s="13"/>
      <c r="AY1309" s="15"/>
      <c r="AZ1309" s="15"/>
      <c r="BA1309" s="16"/>
      <c r="BB1309" s="15"/>
      <c r="BC1309" s="15"/>
      <c r="BD1309" s="13"/>
      <c r="BE1309" s="13"/>
      <c r="BF1309" s="13"/>
      <c r="BG1309" s="13"/>
      <c r="BH1309" s="13"/>
      <c r="BI1309" s="13"/>
      <c r="BJ1309" s="13"/>
      <c r="BK1309" s="13"/>
      <c r="BL1309" s="13"/>
      <c r="BM1309" s="13"/>
      <c r="BN1309" s="13"/>
      <c r="BO1309" s="13"/>
      <c r="BP1309" s="13"/>
      <c r="BQ1309" s="15"/>
      <c r="BR1309" s="15"/>
      <c r="BS1309" s="15"/>
      <c r="BT1309" s="15"/>
      <c r="BU1309" s="15"/>
      <c r="BV1309" s="15"/>
      <c r="BW1309" s="15"/>
      <c r="BX1309" s="15"/>
      <c r="BY1309" s="15"/>
      <c r="BZ1309" s="15"/>
      <c r="CA1309" s="15"/>
      <c r="CB1309" s="17"/>
      <c r="CC1309" s="17"/>
      <c r="CD1309" s="18"/>
      <c r="CE1309" s="18"/>
      <c r="CF1309" s="18"/>
      <c r="CG1309" s="18"/>
      <c r="CH1309" s="18"/>
    </row>
    <row r="1310">
      <c r="A1310" s="15"/>
      <c r="B1310" s="16"/>
      <c r="C1310" s="15"/>
      <c r="D1310" s="9"/>
      <c r="E1310" s="15"/>
      <c r="F1310" s="15"/>
      <c r="G1310" s="13"/>
      <c r="H1310" s="13"/>
      <c r="I1310" s="13"/>
      <c r="J1310" s="13"/>
      <c r="K1310" s="13"/>
      <c r="L1310" s="13"/>
      <c r="M1310" s="13"/>
      <c r="N1310" s="13"/>
      <c r="O1310" s="13"/>
      <c r="P1310" s="13"/>
      <c r="Q1310" s="13"/>
      <c r="R1310" s="13"/>
      <c r="S1310" s="13"/>
      <c r="T1310" s="13"/>
      <c r="U1310" s="13"/>
      <c r="V1310" s="13"/>
      <c r="W1310" s="13"/>
      <c r="X1310" s="13"/>
      <c r="Y1310" s="13"/>
      <c r="Z1310" s="13"/>
      <c r="AA1310" s="13"/>
      <c r="AB1310" s="15"/>
      <c r="AC1310" s="15"/>
      <c r="AD1310" s="15"/>
      <c r="AE1310" s="13"/>
      <c r="AF1310" s="13"/>
      <c r="AG1310" s="13"/>
      <c r="AH1310" s="15"/>
      <c r="AI1310" s="13"/>
      <c r="AJ1310" s="13"/>
      <c r="AK1310" s="13"/>
      <c r="AL1310" s="13"/>
      <c r="AM1310" s="15"/>
      <c r="AN1310" s="13"/>
      <c r="AO1310" s="15"/>
      <c r="AP1310" s="15"/>
      <c r="AQ1310" s="13"/>
      <c r="AR1310" s="13"/>
      <c r="AS1310" s="13"/>
      <c r="AT1310" s="13"/>
      <c r="AU1310" s="13"/>
      <c r="AV1310" s="13"/>
      <c r="AW1310" s="13"/>
      <c r="AX1310" s="13"/>
      <c r="AY1310" s="15"/>
      <c r="AZ1310" s="15"/>
      <c r="BA1310" s="16"/>
      <c r="BB1310" s="15"/>
      <c r="BC1310" s="15"/>
      <c r="BD1310" s="13"/>
      <c r="BE1310" s="13"/>
      <c r="BF1310" s="13"/>
      <c r="BG1310" s="13"/>
      <c r="BH1310" s="13"/>
      <c r="BI1310" s="13"/>
      <c r="BJ1310" s="13"/>
      <c r="BK1310" s="13"/>
      <c r="BL1310" s="13"/>
      <c r="BM1310" s="13"/>
      <c r="BN1310" s="13"/>
      <c r="BO1310" s="13"/>
      <c r="BP1310" s="13"/>
      <c r="BQ1310" s="15"/>
      <c r="BR1310" s="15"/>
      <c r="BS1310" s="15"/>
      <c r="BT1310" s="15"/>
      <c r="BU1310" s="15"/>
      <c r="BV1310" s="15"/>
      <c r="BW1310" s="15"/>
      <c r="BX1310" s="15"/>
      <c r="BY1310" s="15"/>
      <c r="BZ1310" s="15"/>
      <c r="CA1310" s="15"/>
      <c r="CB1310" s="17"/>
      <c r="CC1310" s="17"/>
      <c r="CD1310" s="18"/>
      <c r="CE1310" s="18"/>
      <c r="CF1310" s="18"/>
      <c r="CG1310" s="18"/>
      <c r="CH1310" s="18"/>
    </row>
    <row r="1311">
      <c r="A1311" s="15"/>
      <c r="B1311" s="16"/>
      <c r="C1311" s="15"/>
      <c r="D1311" s="9"/>
      <c r="E1311" s="15"/>
      <c r="F1311" s="15"/>
      <c r="G1311" s="13"/>
      <c r="H1311" s="13"/>
      <c r="I1311" s="13"/>
      <c r="J1311" s="13"/>
      <c r="K1311" s="13"/>
      <c r="L1311" s="13"/>
      <c r="M1311" s="13"/>
      <c r="N1311" s="13"/>
      <c r="O1311" s="13"/>
      <c r="P1311" s="13"/>
      <c r="Q1311" s="13"/>
      <c r="R1311" s="13"/>
      <c r="S1311" s="13"/>
      <c r="T1311" s="13"/>
      <c r="U1311" s="13"/>
      <c r="V1311" s="13"/>
      <c r="W1311" s="13"/>
      <c r="X1311" s="13"/>
      <c r="Y1311" s="13"/>
      <c r="Z1311" s="13"/>
      <c r="AA1311" s="13"/>
      <c r="AB1311" s="15"/>
      <c r="AC1311" s="15"/>
      <c r="AD1311" s="15"/>
      <c r="AE1311" s="13"/>
      <c r="AF1311" s="13"/>
      <c r="AG1311" s="13"/>
      <c r="AH1311" s="15"/>
      <c r="AI1311" s="13"/>
      <c r="AJ1311" s="13"/>
      <c r="AK1311" s="13"/>
      <c r="AL1311" s="13"/>
      <c r="AM1311" s="15"/>
      <c r="AN1311" s="13"/>
      <c r="AO1311" s="15"/>
      <c r="AP1311" s="15"/>
      <c r="AQ1311" s="13"/>
      <c r="AR1311" s="13"/>
      <c r="AS1311" s="13"/>
      <c r="AT1311" s="13"/>
      <c r="AU1311" s="13"/>
      <c r="AV1311" s="13"/>
      <c r="AW1311" s="13"/>
      <c r="AX1311" s="13"/>
      <c r="AY1311" s="15"/>
      <c r="AZ1311" s="15"/>
      <c r="BA1311" s="16"/>
      <c r="BB1311" s="15"/>
      <c r="BC1311" s="15"/>
      <c r="BD1311" s="13"/>
      <c r="BE1311" s="13"/>
      <c r="BF1311" s="13"/>
      <c r="BG1311" s="13"/>
      <c r="BH1311" s="13"/>
      <c r="BI1311" s="13"/>
      <c r="BJ1311" s="13"/>
      <c r="BK1311" s="13"/>
      <c r="BL1311" s="13"/>
      <c r="BM1311" s="13"/>
      <c r="BN1311" s="13"/>
      <c r="BO1311" s="13"/>
      <c r="BP1311" s="13"/>
      <c r="BQ1311" s="15"/>
      <c r="BR1311" s="15"/>
      <c r="BS1311" s="15"/>
      <c r="BT1311" s="15"/>
      <c r="BU1311" s="15"/>
      <c r="BV1311" s="15"/>
      <c r="BW1311" s="15"/>
      <c r="BX1311" s="15"/>
      <c r="BY1311" s="15"/>
      <c r="BZ1311" s="15"/>
      <c r="CA1311" s="15"/>
      <c r="CB1311" s="17"/>
      <c r="CC1311" s="17"/>
      <c r="CD1311" s="18"/>
      <c r="CE1311" s="18"/>
      <c r="CF1311" s="18"/>
      <c r="CG1311" s="18"/>
      <c r="CH1311" s="18"/>
    </row>
    <row r="1312">
      <c r="A1312" s="15"/>
      <c r="B1312" s="16"/>
      <c r="C1312" s="15"/>
      <c r="D1312" s="9"/>
      <c r="E1312" s="15"/>
      <c r="F1312" s="15"/>
      <c r="G1312" s="13"/>
      <c r="H1312" s="13"/>
      <c r="I1312" s="13"/>
      <c r="J1312" s="13"/>
      <c r="K1312" s="13"/>
      <c r="L1312" s="13"/>
      <c r="M1312" s="13"/>
      <c r="N1312" s="13"/>
      <c r="O1312" s="13"/>
      <c r="P1312" s="13"/>
      <c r="Q1312" s="13"/>
      <c r="R1312" s="13"/>
      <c r="S1312" s="13"/>
      <c r="T1312" s="13"/>
      <c r="U1312" s="13"/>
      <c r="V1312" s="13"/>
      <c r="W1312" s="13"/>
      <c r="X1312" s="13"/>
      <c r="Y1312" s="13"/>
      <c r="Z1312" s="13"/>
      <c r="AA1312" s="13"/>
      <c r="AB1312" s="15"/>
      <c r="AC1312" s="15"/>
      <c r="AD1312" s="15"/>
      <c r="AE1312" s="13"/>
      <c r="AF1312" s="13"/>
      <c r="AG1312" s="13"/>
      <c r="AH1312" s="15"/>
      <c r="AI1312" s="13"/>
      <c r="AJ1312" s="13"/>
      <c r="AK1312" s="13"/>
      <c r="AL1312" s="13"/>
      <c r="AM1312" s="15"/>
      <c r="AN1312" s="13"/>
      <c r="AO1312" s="15"/>
      <c r="AP1312" s="15"/>
      <c r="AQ1312" s="13"/>
      <c r="AR1312" s="13"/>
      <c r="AS1312" s="13"/>
      <c r="AT1312" s="13"/>
      <c r="AU1312" s="13"/>
      <c r="AV1312" s="13"/>
      <c r="AW1312" s="13"/>
      <c r="AX1312" s="13"/>
      <c r="AY1312" s="15"/>
      <c r="AZ1312" s="15"/>
      <c r="BA1312" s="16"/>
      <c r="BB1312" s="15"/>
      <c r="BC1312" s="15"/>
      <c r="BD1312" s="13"/>
      <c r="BE1312" s="13"/>
      <c r="BF1312" s="13"/>
      <c r="BG1312" s="13"/>
      <c r="BH1312" s="13"/>
      <c r="BI1312" s="13"/>
      <c r="BJ1312" s="13"/>
      <c r="BK1312" s="13"/>
      <c r="BL1312" s="13"/>
      <c r="BM1312" s="13"/>
      <c r="BN1312" s="13"/>
      <c r="BO1312" s="13"/>
      <c r="BP1312" s="13"/>
      <c r="BQ1312" s="15"/>
      <c r="BR1312" s="15"/>
      <c r="BS1312" s="15"/>
      <c r="BT1312" s="15"/>
      <c r="BU1312" s="15"/>
      <c r="BV1312" s="15"/>
      <c r="BW1312" s="15"/>
      <c r="BX1312" s="15"/>
      <c r="BY1312" s="15"/>
      <c r="BZ1312" s="15"/>
      <c r="CA1312" s="15"/>
      <c r="CB1312" s="17"/>
      <c r="CC1312" s="17"/>
      <c r="CD1312" s="18"/>
      <c r="CE1312" s="18"/>
      <c r="CF1312" s="18"/>
      <c r="CG1312" s="18"/>
      <c r="CH1312" s="18"/>
    </row>
    <row r="1313">
      <c r="A1313" s="15"/>
      <c r="B1313" s="16"/>
      <c r="C1313" s="15"/>
      <c r="D1313" s="9"/>
      <c r="E1313" s="15"/>
      <c r="F1313" s="15"/>
      <c r="G1313" s="13"/>
      <c r="H1313" s="13"/>
      <c r="I1313" s="13"/>
      <c r="J1313" s="13"/>
      <c r="K1313" s="13"/>
      <c r="L1313" s="13"/>
      <c r="M1313" s="13"/>
      <c r="N1313" s="13"/>
      <c r="O1313" s="13"/>
      <c r="P1313" s="13"/>
      <c r="Q1313" s="13"/>
      <c r="R1313" s="13"/>
      <c r="S1313" s="13"/>
      <c r="T1313" s="13"/>
      <c r="U1313" s="13"/>
      <c r="V1313" s="13"/>
      <c r="W1313" s="13"/>
      <c r="X1313" s="13"/>
      <c r="Y1313" s="13"/>
      <c r="Z1313" s="13"/>
      <c r="AA1313" s="13"/>
      <c r="AB1313" s="15"/>
      <c r="AC1313" s="15"/>
      <c r="AD1313" s="15"/>
      <c r="AE1313" s="13"/>
      <c r="AF1313" s="13"/>
      <c r="AG1313" s="13"/>
      <c r="AH1313" s="15"/>
      <c r="AI1313" s="13"/>
      <c r="AJ1313" s="13"/>
      <c r="AK1313" s="13"/>
      <c r="AL1313" s="13"/>
      <c r="AM1313" s="15"/>
      <c r="AN1313" s="13"/>
      <c r="AO1313" s="15"/>
      <c r="AP1313" s="15"/>
      <c r="AQ1313" s="13"/>
      <c r="AR1313" s="13"/>
      <c r="AS1313" s="13"/>
      <c r="AT1313" s="13"/>
      <c r="AU1313" s="13"/>
      <c r="AV1313" s="13"/>
      <c r="AW1313" s="13"/>
      <c r="AX1313" s="13"/>
      <c r="AY1313" s="15"/>
      <c r="AZ1313" s="15"/>
      <c r="BA1313" s="16"/>
      <c r="BB1313" s="15"/>
      <c r="BC1313" s="15"/>
      <c r="BD1313" s="13"/>
      <c r="BE1313" s="13"/>
      <c r="BF1313" s="13"/>
      <c r="BG1313" s="13"/>
      <c r="BH1313" s="13"/>
      <c r="BI1313" s="13"/>
      <c r="BJ1313" s="13"/>
      <c r="BK1313" s="13"/>
      <c r="BL1313" s="13"/>
      <c r="BM1313" s="13"/>
      <c r="BN1313" s="13"/>
      <c r="BO1313" s="13"/>
      <c r="BP1313" s="13"/>
      <c r="BQ1313" s="15"/>
      <c r="BR1313" s="15"/>
      <c r="BS1313" s="15"/>
      <c r="BT1313" s="15"/>
      <c r="BU1313" s="15"/>
      <c r="BV1313" s="15"/>
      <c r="BW1313" s="15"/>
      <c r="BX1313" s="15"/>
      <c r="BY1313" s="15"/>
      <c r="BZ1313" s="15"/>
      <c r="CA1313" s="15"/>
      <c r="CB1313" s="17"/>
      <c r="CC1313" s="17"/>
      <c r="CD1313" s="18"/>
      <c r="CE1313" s="18"/>
      <c r="CF1313" s="18"/>
      <c r="CG1313" s="18"/>
      <c r="CH1313" s="18"/>
    </row>
    <row r="1314">
      <c r="A1314" s="15"/>
      <c r="B1314" s="16"/>
      <c r="C1314" s="15"/>
      <c r="D1314" s="9"/>
      <c r="E1314" s="15"/>
      <c r="F1314" s="15"/>
      <c r="G1314" s="13"/>
      <c r="H1314" s="13"/>
      <c r="I1314" s="13"/>
      <c r="J1314" s="13"/>
      <c r="K1314" s="13"/>
      <c r="L1314" s="13"/>
      <c r="M1314" s="13"/>
      <c r="N1314" s="13"/>
      <c r="O1314" s="13"/>
      <c r="P1314" s="13"/>
      <c r="Q1314" s="13"/>
      <c r="R1314" s="13"/>
      <c r="S1314" s="13"/>
      <c r="T1314" s="13"/>
      <c r="U1314" s="13"/>
      <c r="V1314" s="13"/>
      <c r="W1314" s="13"/>
      <c r="X1314" s="13"/>
      <c r="Y1314" s="13"/>
      <c r="Z1314" s="13"/>
      <c r="AA1314" s="13"/>
      <c r="AB1314" s="15"/>
      <c r="AC1314" s="15"/>
      <c r="AD1314" s="15"/>
      <c r="AE1314" s="13"/>
      <c r="AF1314" s="13"/>
      <c r="AG1314" s="13"/>
      <c r="AH1314" s="15"/>
      <c r="AI1314" s="13"/>
      <c r="AJ1314" s="13"/>
      <c r="AK1314" s="13"/>
      <c r="AL1314" s="13"/>
      <c r="AM1314" s="15"/>
      <c r="AN1314" s="13"/>
      <c r="AO1314" s="15"/>
      <c r="AP1314" s="15"/>
      <c r="AQ1314" s="13"/>
      <c r="AR1314" s="13"/>
      <c r="AS1314" s="13"/>
      <c r="AT1314" s="13"/>
      <c r="AU1314" s="13"/>
      <c r="AV1314" s="13"/>
      <c r="AW1314" s="13"/>
      <c r="AX1314" s="13"/>
      <c r="AY1314" s="15"/>
      <c r="AZ1314" s="15"/>
      <c r="BA1314" s="16"/>
      <c r="BB1314" s="15"/>
      <c r="BC1314" s="15"/>
      <c r="BD1314" s="13"/>
      <c r="BE1314" s="13"/>
      <c r="BF1314" s="13"/>
      <c r="BG1314" s="13"/>
      <c r="BH1314" s="13"/>
      <c r="BI1314" s="13"/>
      <c r="BJ1314" s="13"/>
      <c r="BK1314" s="13"/>
      <c r="BL1314" s="13"/>
      <c r="BM1314" s="13"/>
      <c r="BN1314" s="13"/>
      <c r="BO1314" s="13"/>
      <c r="BP1314" s="13"/>
      <c r="BQ1314" s="15"/>
      <c r="BR1314" s="15"/>
      <c r="BS1314" s="15"/>
      <c r="BT1314" s="15"/>
      <c r="BU1314" s="15"/>
      <c r="BV1314" s="15"/>
      <c r="BW1314" s="15"/>
      <c r="BX1314" s="15"/>
      <c r="BY1314" s="15"/>
      <c r="BZ1314" s="15"/>
      <c r="CA1314" s="15"/>
      <c r="CB1314" s="17"/>
      <c r="CC1314" s="17"/>
      <c r="CD1314" s="18"/>
      <c r="CE1314" s="18"/>
      <c r="CF1314" s="18"/>
      <c r="CG1314" s="18"/>
      <c r="CH1314" s="18"/>
    </row>
    <row r="1315">
      <c r="A1315" s="15"/>
      <c r="B1315" s="16"/>
      <c r="C1315" s="15"/>
      <c r="D1315" s="9"/>
      <c r="E1315" s="15"/>
      <c r="F1315" s="15"/>
      <c r="G1315" s="13"/>
      <c r="H1315" s="13"/>
      <c r="I1315" s="13"/>
      <c r="J1315" s="13"/>
      <c r="K1315" s="13"/>
      <c r="L1315" s="13"/>
      <c r="M1315" s="13"/>
      <c r="N1315" s="13"/>
      <c r="O1315" s="13"/>
      <c r="P1315" s="13"/>
      <c r="Q1315" s="13"/>
      <c r="R1315" s="13"/>
      <c r="S1315" s="13"/>
      <c r="T1315" s="13"/>
      <c r="U1315" s="13"/>
      <c r="V1315" s="13"/>
      <c r="W1315" s="13"/>
      <c r="X1315" s="13"/>
      <c r="Y1315" s="13"/>
      <c r="Z1315" s="13"/>
      <c r="AA1315" s="13"/>
      <c r="AB1315" s="15"/>
      <c r="AC1315" s="15"/>
      <c r="AD1315" s="15"/>
      <c r="AE1315" s="13"/>
      <c r="AF1315" s="13"/>
      <c r="AG1315" s="13"/>
      <c r="AH1315" s="15"/>
      <c r="AI1315" s="13"/>
      <c r="AJ1315" s="13"/>
      <c r="AK1315" s="13"/>
      <c r="AL1315" s="13"/>
      <c r="AM1315" s="15"/>
      <c r="AN1315" s="13"/>
      <c r="AO1315" s="15"/>
      <c r="AP1315" s="15"/>
      <c r="AQ1315" s="13"/>
      <c r="AR1315" s="13"/>
      <c r="AS1315" s="13"/>
      <c r="AT1315" s="13"/>
      <c r="AU1315" s="13"/>
      <c r="AV1315" s="13"/>
      <c r="AW1315" s="13"/>
      <c r="AX1315" s="13"/>
      <c r="AY1315" s="15"/>
      <c r="AZ1315" s="15"/>
      <c r="BA1315" s="16"/>
      <c r="BB1315" s="15"/>
      <c r="BC1315" s="15"/>
      <c r="BD1315" s="13"/>
      <c r="BE1315" s="13"/>
      <c r="BF1315" s="13"/>
      <c r="BG1315" s="13"/>
      <c r="BH1315" s="13"/>
      <c r="BI1315" s="13"/>
      <c r="BJ1315" s="13"/>
      <c r="BK1315" s="13"/>
      <c r="BL1315" s="13"/>
      <c r="BM1315" s="13"/>
      <c r="BN1315" s="13"/>
      <c r="BO1315" s="13"/>
      <c r="BP1315" s="13"/>
      <c r="BQ1315" s="15"/>
      <c r="BR1315" s="15"/>
      <c r="BS1315" s="15"/>
      <c r="BT1315" s="15"/>
      <c r="BU1315" s="15"/>
      <c r="BV1315" s="15"/>
      <c r="BW1315" s="15"/>
      <c r="BX1315" s="15"/>
      <c r="BY1315" s="15"/>
      <c r="BZ1315" s="15"/>
      <c r="CA1315" s="15"/>
      <c r="CB1315" s="17"/>
      <c r="CC1315" s="17"/>
      <c r="CD1315" s="18"/>
      <c r="CE1315" s="18"/>
      <c r="CF1315" s="18"/>
      <c r="CG1315" s="18"/>
      <c r="CH1315" s="18"/>
    </row>
    <row r="1316">
      <c r="A1316" s="15"/>
      <c r="B1316" s="16"/>
      <c r="C1316" s="15"/>
      <c r="D1316" s="9"/>
      <c r="E1316" s="15"/>
      <c r="F1316" s="15"/>
      <c r="G1316" s="13"/>
      <c r="H1316" s="13"/>
      <c r="I1316" s="13"/>
      <c r="J1316" s="13"/>
      <c r="K1316" s="13"/>
      <c r="L1316" s="13"/>
      <c r="M1316" s="13"/>
      <c r="N1316" s="13"/>
      <c r="O1316" s="13"/>
      <c r="P1316" s="13"/>
      <c r="Q1316" s="13"/>
      <c r="R1316" s="13"/>
      <c r="S1316" s="13"/>
      <c r="T1316" s="13"/>
      <c r="U1316" s="13"/>
      <c r="V1316" s="13"/>
      <c r="W1316" s="13"/>
      <c r="X1316" s="13"/>
      <c r="Y1316" s="13"/>
      <c r="Z1316" s="13"/>
      <c r="AA1316" s="13"/>
      <c r="AB1316" s="15"/>
      <c r="AC1316" s="15"/>
      <c r="AD1316" s="15"/>
      <c r="AE1316" s="13"/>
      <c r="AF1316" s="13"/>
      <c r="AG1316" s="13"/>
      <c r="AH1316" s="15"/>
      <c r="AI1316" s="13"/>
      <c r="AJ1316" s="13"/>
      <c r="AK1316" s="13"/>
      <c r="AL1316" s="13"/>
      <c r="AM1316" s="15"/>
      <c r="AN1316" s="13"/>
      <c r="AO1316" s="15"/>
      <c r="AP1316" s="15"/>
      <c r="AQ1316" s="13"/>
      <c r="AR1316" s="13"/>
      <c r="AS1316" s="13"/>
      <c r="AT1316" s="13"/>
      <c r="AU1316" s="13"/>
      <c r="AV1316" s="13"/>
      <c r="AW1316" s="13"/>
      <c r="AX1316" s="13"/>
      <c r="AY1316" s="15"/>
      <c r="AZ1316" s="15"/>
      <c r="BA1316" s="16"/>
      <c r="BB1316" s="15"/>
      <c r="BC1316" s="15"/>
      <c r="BD1316" s="13"/>
      <c r="BE1316" s="13"/>
      <c r="BF1316" s="13"/>
      <c r="BG1316" s="13"/>
      <c r="BH1316" s="13"/>
      <c r="BI1316" s="13"/>
      <c r="BJ1316" s="13"/>
      <c r="BK1316" s="13"/>
      <c r="BL1316" s="13"/>
      <c r="BM1316" s="13"/>
      <c r="BN1316" s="13"/>
      <c r="BO1316" s="13"/>
      <c r="BP1316" s="13"/>
      <c r="BQ1316" s="15"/>
      <c r="BR1316" s="15"/>
      <c r="BS1316" s="15"/>
      <c r="BT1316" s="15"/>
      <c r="BU1316" s="15"/>
      <c r="BV1316" s="15"/>
      <c r="BW1316" s="15"/>
      <c r="BX1316" s="15"/>
      <c r="BY1316" s="15"/>
      <c r="BZ1316" s="15"/>
      <c r="CA1316" s="15"/>
      <c r="CB1316" s="17"/>
      <c r="CC1316" s="17"/>
      <c r="CD1316" s="18"/>
      <c r="CE1316" s="18"/>
      <c r="CF1316" s="18"/>
      <c r="CG1316" s="18"/>
      <c r="CH1316" s="18"/>
    </row>
    <row r="1317">
      <c r="A1317" s="15"/>
      <c r="B1317" s="16"/>
      <c r="C1317" s="15"/>
      <c r="D1317" s="9"/>
      <c r="E1317" s="15"/>
      <c r="F1317" s="15"/>
      <c r="G1317" s="13"/>
      <c r="H1317" s="13"/>
      <c r="I1317" s="13"/>
      <c r="J1317" s="13"/>
      <c r="K1317" s="13"/>
      <c r="L1317" s="13"/>
      <c r="M1317" s="13"/>
      <c r="N1317" s="13"/>
      <c r="O1317" s="13"/>
      <c r="P1317" s="13"/>
      <c r="Q1317" s="13"/>
      <c r="R1317" s="13"/>
      <c r="S1317" s="13"/>
      <c r="T1317" s="13"/>
      <c r="U1317" s="13"/>
      <c r="V1317" s="13"/>
      <c r="W1317" s="13"/>
      <c r="X1317" s="13"/>
      <c r="Y1317" s="13"/>
      <c r="Z1317" s="13"/>
      <c r="AA1317" s="13"/>
      <c r="AB1317" s="15"/>
      <c r="AC1317" s="15"/>
      <c r="AD1317" s="15"/>
      <c r="AE1317" s="13"/>
      <c r="AF1317" s="13"/>
      <c r="AG1317" s="13"/>
      <c r="AH1317" s="15"/>
      <c r="AI1317" s="13"/>
      <c r="AJ1317" s="13"/>
      <c r="AK1317" s="13"/>
      <c r="AL1317" s="13"/>
      <c r="AM1317" s="15"/>
      <c r="AN1317" s="13"/>
      <c r="AO1317" s="15"/>
      <c r="AP1317" s="15"/>
      <c r="AQ1317" s="13"/>
      <c r="AR1317" s="13"/>
      <c r="AS1317" s="13"/>
      <c r="AT1317" s="13"/>
      <c r="AU1317" s="13"/>
      <c r="AV1317" s="13"/>
      <c r="AW1317" s="13"/>
      <c r="AX1317" s="13"/>
      <c r="AY1317" s="15"/>
      <c r="AZ1317" s="15"/>
      <c r="BA1317" s="16"/>
      <c r="BB1317" s="15"/>
      <c r="BC1317" s="15"/>
      <c r="BD1317" s="13"/>
      <c r="BE1317" s="13"/>
      <c r="BF1317" s="13"/>
      <c r="BG1317" s="13"/>
      <c r="BH1317" s="13"/>
      <c r="BI1317" s="13"/>
      <c r="BJ1317" s="13"/>
      <c r="BK1317" s="13"/>
      <c r="BL1317" s="13"/>
      <c r="BM1317" s="13"/>
      <c r="BN1317" s="13"/>
      <c r="BO1317" s="13"/>
      <c r="BP1317" s="13"/>
      <c r="BQ1317" s="15"/>
      <c r="BR1317" s="15"/>
      <c r="BS1317" s="15"/>
      <c r="BT1317" s="15"/>
      <c r="BU1317" s="15"/>
      <c r="BV1317" s="15"/>
      <c r="BW1317" s="15"/>
      <c r="BX1317" s="15"/>
      <c r="BY1317" s="15"/>
      <c r="BZ1317" s="15"/>
      <c r="CA1317" s="15"/>
      <c r="CB1317" s="17"/>
      <c r="CC1317" s="17"/>
      <c r="CD1317" s="18"/>
      <c r="CE1317" s="18"/>
      <c r="CF1317" s="18"/>
      <c r="CG1317" s="18"/>
      <c r="CH1317" s="18"/>
    </row>
    <row r="1318">
      <c r="A1318" s="15"/>
      <c r="B1318" s="16"/>
      <c r="C1318" s="15"/>
      <c r="D1318" s="9"/>
      <c r="E1318" s="15"/>
      <c r="F1318" s="15"/>
      <c r="G1318" s="13"/>
      <c r="H1318" s="13"/>
      <c r="I1318" s="13"/>
      <c r="J1318" s="13"/>
      <c r="K1318" s="13"/>
      <c r="L1318" s="13"/>
      <c r="M1318" s="13"/>
      <c r="N1318" s="13"/>
      <c r="O1318" s="13"/>
      <c r="P1318" s="13"/>
      <c r="Q1318" s="13"/>
      <c r="R1318" s="13"/>
      <c r="S1318" s="13"/>
      <c r="T1318" s="13"/>
      <c r="U1318" s="13"/>
      <c r="V1318" s="13"/>
      <c r="W1318" s="13"/>
      <c r="X1318" s="13"/>
      <c r="Y1318" s="13"/>
      <c r="Z1318" s="13"/>
      <c r="AA1318" s="13"/>
      <c r="AB1318" s="15"/>
      <c r="AC1318" s="15"/>
      <c r="AD1318" s="15"/>
      <c r="AE1318" s="13"/>
      <c r="AF1318" s="13"/>
      <c r="AG1318" s="13"/>
      <c r="AH1318" s="15"/>
      <c r="AI1318" s="13"/>
      <c r="AJ1318" s="13"/>
      <c r="AK1318" s="13"/>
      <c r="AL1318" s="13"/>
      <c r="AM1318" s="15"/>
      <c r="AN1318" s="13"/>
      <c r="AO1318" s="15"/>
      <c r="AP1318" s="15"/>
      <c r="AQ1318" s="13"/>
      <c r="AR1318" s="13"/>
      <c r="AS1318" s="13"/>
      <c r="AT1318" s="13"/>
      <c r="AU1318" s="13"/>
      <c r="AV1318" s="13"/>
      <c r="AW1318" s="13"/>
      <c r="AX1318" s="13"/>
      <c r="AY1318" s="15"/>
      <c r="AZ1318" s="15"/>
      <c r="BA1318" s="16"/>
      <c r="BB1318" s="15"/>
      <c r="BC1318" s="15"/>
      <c r="BD1318" s="13"/>
      <c r="BE1318" s="13"/>
      <c r="BF1318" s="13"/>
      <c r="BG1318" s="13"/>
      <c r="BH1318" s="13"/>
      <c r="BI1318" s="13"/>
      <c r="BJ1318" s="13"/>
      <c r="BK1318" s="13"/>
      <c r="BL1318" s="13"/>
      <c r="BM1318" s="13"/>
      <c r="BN1318" s="13"/>
      <c r="BO1318" s="13"/>
      <c r="BP1318" s="13"/>
      <c r="BQ1318" s="15"/>
      <c r="BR1318" s="15"/>
      <c r="BS1318" s="15"/>
      <c r="BT1318" s="15"/>
      <c r="BU1318" s="15"/>
      <c r="BV1318" s="15"/>
      <c r="BW1318" s="15"/>
      <c r="BX1318" s="15"/>
      <c r="BY1318" s="15"/>
      <c r="BZ1318" s="15"/>
      <c r="CA1318" s="15"/>
      <c r="CB1318" s="17"/>
      <c r="CC1318" s="17"/>
      <c r="CD1318" s="18"/>
      <c r="CE1318" s="18"/>
      <c r="CF1318" s="18"/>
      <c r="CG1318" s="18"/>
      <c r="CH1318" s="18"/>
    </row>
    <row r="1319">
      <c r="A1319" s="15"/>
      <c r="B1319" s="16"/>
      <c r="C1319" s="15"/>
      <c r="D1319" s="9"/>
      <c r="E1319" s="15"/>
      <c r="F1319" s="15"/>
      <c r="G1319" s="13"/>
      <c r="H1319" s="13"/>
      <c r="I1319" s="13"/>
      <c r="J1319" s="13"/>
      <c r="K1319" s="13"/>
      <c r="L1319" s="13"/>
      <c r="M1319" s="13"/>
      <c r="N1319" s="13"/>
      <c r="O1319" s="13"/>
      <c r="P1319" s="13"/>
      <c r="Q1319" s="13"/>
      <c r="R1319" s="13"/>
      <c r="S1319" s="13"/>
      <c r="T1319" s="13"/>
      <c r="U1319" s="13"/>
      <c r="V1319" s="13"/>
      <c r="W1319" s="13"/>
      <c r="X1319" s="13"/>
      <c r="Y1319" s="13"/>
      <c r="Z1319" s="13"/>
      <c r="AA1319" s="13"/>
      <c r="AB1319" s="15"/>
      <c r="AC1319" s="15"/>
      <c r="AD1319" s="15"/>
      <c r="AE1319" s="13"/>
      <c r="AF1319" s="13"/>
      <c r="AG1319" s="13"/>
      <c r="AH1319" s="15"/>
      <c r="AI1319" s="13"/>
      <c r="AJ1319" s="13"/>
      <c r="AK1319" s="13"/>
      <c r="AL1319" s="13"/>
      <c r="AM1319" s="15"/>
      <c r="AN1319" s="13"/>
      <c r="AO1319" s="15"/>
      <c r="AP1319" s="15"/>
      <c r="AQ1319" s="13"/>
      <c r="AR1319" s="13"/>
      <c r="AS1319" s="13"/>
      <c r="AT1319" s="13"/>
      <c r="AU1319" s="13"/>
      <c r="AV1319" s="13"/>
      <c r="AW1319" s="13"/>
      <c r="AX1319" s="13"/>
      <c r="AY1319" s="15"/>
      <c r="AZ1319" s="15"/>
      <c r="BA1319" s="16"/>
      <c r="BB1319" s="15"/>
      <c r="BC1319" s="15"/>
      <c r="BD1319" s="13"/>
      <c r="BE1319" s="13"/>
      <c r="BF1319" s="13"/>
      <c r="BG1319" s="13"/>
      <c r="BH1319" s="13"/>
      <c r="BI1319" s="13"/>
      <c r="BJ1319" s="13"/>
      <c r="BK1319" s="13"/>
      <c r="BL1319" s="13"/>
      <c r="BM1319" s="13"/>
      <c r="BN1319" s="13"/>
      <c r="BO1319" s="13"/>
      <c r="BP1319" s="13"/>
      <c r="BQ1319" s="15"/>
      <c r="BR1319" s="15"/>
      <c r="BS1319" s="15"/>
      <c r="BT1319" s="15"/>
      <c r="BU1319" s="15"/>
      <c r="BV1319" s="15"/>
      <c r="BW1319" s="15"/>
      <c r="BX1319" s="15"/>
      <c r="BY1319" s="15"/>
      <c r="BZ1319" s="15"/>
      <c r="CA1319" s="15"/>
      <c r="CB1319" s="17"/>
      <c r="CC1319" s="17"/>
      <c r="CD1319" s="18"/>
      <c r="CE1319" s="18"/>
      <c r="CF1319" s="18"/>
      <c r="CG1319" s="18"/>
      <c r="CH1319" s="18"/>
    </row>
    <row r="1320">
      <c r="A1320" s="15"/>
      <c r="B1320" s="16"/>
      <c r="C1320" s="15"/>
      <c r="D1320" s="9"/>
      <c r="E1320" s="15"/>
      <c r="F1320" s="15"/>
      <c r="G1320" s="13"/>
      <c r="H1320" s="13"/>
      <c r="I1320" s="13"/>
      <c r="J1320" s="13"/>
      <c r="K1320" s="13"/>
      <c r="L1320" s="13"/>
      <c r="M1320" s="13"/>
      <c r="N1320" s="13"/>
      <c r="O1320" s="13"/>
      <c r="P1320" s="13"/>
      <c r="Q1320" s="13"/>
      <c r="R1320" s="13"/>
      <c r="S1320" s="13"/>
      <c r="T1320" s="13"/>
      <c r="U1320" s="13"/>
      <c r="V1320" s="13"/>
      <c r="W1320" s="13"/>
      <c r="X1320" s="13"/>
      <c r="Y1320" s="13"/>
      <c r="Z1320" s="13"/>
      <c r="AA1320" s="13"/>
      <c r="AB1320" s="15"/>
      <c r="AC1320" s="15"/>
      <c r="AD1320" s="15"/>
      <c r="AE1320" s="13"/>
      <c r="AF1320" s="13"/>
      <c r="AG1320" s="13"/>
      <c r="AH1320" s="15"/>
      <c r="AI1320" s="13"/>
      <c r="AJ1320" s="13"/>
      <c r="AK1320" s="13"/>
      <c r="AL1320" s="13"/>
      <c r="AM1320" s="15"/>
      <c r="AN1320" s="13"/>
      <c r="AO1320" s="15"/>
      <c r="AP1320" s="15"/>
      <c r="AQ1320" s="13"/>
      <c r="AR1320" s="13"/>
      <c r="AS1320" s="13"/>
      <c r="AT1320" s="13"/>
      <c r="AU1320" s="13"/>
      <c r="AV1320" s="13"/>
      <c r="AW1320" s="13"/>
      <c r="AX1320" s="13"/>
      <c r="AY1320" s="15"/>
      <c r="AZ1320" s="15"/>
      <c r="BA1320" s="16"/>
      <c r="BB1320" s="15"/>
      <c r="BC1320" s="15"/>
      <c r="BD1320" s="13"/>
      <c r="BE1320" s="13"/>
      <c r="BF1320" s="13"/>
      <c r="BG1320" s="13"/>
      <c r="BH1320" s="13"/>
      <c r="BI1320" s="13"/>
      <c r="BJ1320" s="13"/>
      <c r="BK1320" s="13"/>
      <c r="BL1320" s="13"/>
      <c r="BM1320" s="13"/>
      <c r="BN1320" s="13"/>
      <c r="BO1320" s="13"/>
      <c r="BP1320" s="13"/>
      <c r="BQ1320" s="15"/>
      <c r="BR1320" s="15"/>
      <c r="BS1320" s="15"/>
      <c r="BT1320" s="15"/>
      <c r="BU1320" s="15"/>
      <c r="BV1320" s="15"/>
      <c r="BW1320" s="15"/>
      <c r="BX1320" s="15"/>
      <c r="BY1320" s="15"/>
      <c r="BZ1320" s="15"/>
      <c r="CA1320" s="15"/>
      <c r="CB1320" s="17"/>
      <c r="CC1320" s="17"/>
      <c r="CD1320" s="18"/>
      <c r="CE1320" s="18"/>
      <c r="CF1320" s="18"/>
      <c r="CG1320" s="18"/>
      <c r="CH1320" s="18"/>
    </row>
    <row r="1321">
      <c r="A1321" s="15"/>
      <c r="B1321" s="16"/>
      <c r="C1321" s="15"/>
      <c r="D1321" s="9"/>
      <c r="E1321" s="15"/>
      <c r="F1321" s="15"/>
      <c r="G1321" s="13"/>
      <c r="H1321" s="13"/>
      <c r="I1321" s="13"/>
      <c r="J1321" s="13"/>
      <c r="K1321" s="13"/>
      <c r="L1321" s="13"/>
      <c r="M1321" s="13"/>
      <c r="N1321" s="13"/>
      <c r="O1321" s="13"/>
      <c r="P1321" s="13"/>
      <c r="Q1321" s="13"/>
      <c r="R1321" s="13"/>
      <c r="S1321" s="13"/>
      <c r="T1321" s="13"/>
      <c r="U1321" s="13"/>
      <c r="V1321" s="13"/>
      <c r="W1321" s="13"/>
      <c r="X1321" s="13"/>
      <c r="Y1321" s="13"/>
      <c r="Z1321" s="13"/>
      <c r="AA1321" s="13"/>
      <c r="AB1321" s="15"/>
      <c r="AC1321" s="15"/>
      <c r="AD1321" s="15"/>
      <c r="AE1321" s="13"/>
      <c r="AF1321" s="13"/>
      <c r="AG1321" s="13"/>
      <c r="AH1321" s="15"/>
      <c r="AI1321" s="13"/>
      <c r="AJ1321" s="13"/>
      <c r="AK1321" s="13"/>
      <c r="AL1321" s="13"/>
      <c r="AM1321" s="15"/>
      <c r="AN1321" s="13"/>
      <c r="AO1321" s="15"/>
      <c r="AP1321" s="15"/>
      <c r="AQ1321" s="13"/>
      <c r="AR1321" s="13"/>
      <c r="AS1321" s="13"/>
      <c r="AT1321" s="13"/>
      <c r="AU1321" s="13"/>
      <c r="AV1321" s="13"/>
      <c r="AW1321" s="13"/>
      <c r="AX1321" s="13"/>
      <c r="AY1321" s="15"/>
      <c r="AZ1321" s="15"/>
      <c r="BA1321" s="16"/>
      <c r="BB1321" s="15"/>
      <c r="BC1321" s="15"/>
      <c r="BD1321" s="13"/>
      <c r="BE1321" s="13"/>
      <c r="BF1321" s="13"/>
      <c r="BG1321" s="13"/>
      <c r="BH1321" s="13"/>
      <c r="BI1321" s="13"/>
      <c r="BJ1321" s="13"/>
      <c r="BK1321" s="13"/>
      <c r="BL1321" s="13"/>
      <c r="BM1321" s="13"/>
      <c r="BN1321" s="13"/>
      <c r="BO1321" s="13"/>
      <c r="BP1321" s="13"/>
      <c r="BQ1321" s="15"/>
      <c r="BR1321" s="15"/>
      <c r="BS1321" s="15"/>
      <c r="BT1321" s="15"/>
      <c r="BU1321" s="15"/>
      <c r="BV1321" s="15"/>
      <c r="BW1321" s="15"/>
      <c r="BX1321" s="15"/>
      <c r="BY1321" s="15"/>
      <c r="BZ1321" s="15"/>
      <c r="CA1321" s="15"/>
      <c r="CB1321" s="17"/>
      <c r="CC1321" s="17"/>
      <c r="CD1321" s="18"/>
      <c r="CE1321" s="18"/>
      <c r="CF1321" s="18"/>
      <c r="CG1321" s="18"/>
      <c r="CH1321" s="18"/>
    </row>
    <row r="1322">
      <c r="A1322" s="15"/>
      <c r="B1322" s="16"/>
      <c r="C1322" s="15"/>
      <c r="D1322" s="9"/>
      <c r="E1322" s="15"/>
      <c r="F1322" s="15"/>
      <c r="G1322" s="13"/>
      <c r="H1322" s="13"/>
      <c r="I1322" s="13"/>
      <c r="J1322" s="13"/>
      <c r="K1322" s="13"/>
      <c r="L1322" s="13"/>
      <c r="M1322" s="13"/>
      <c r="N1322" s="13"/>
      <c r="O1322" s="13"/>
      <c r="P1322" s="13"/>
      <c r="Q1322" s="13"/>
      <c r="R1322" s="13"/>
      <c r="S1322" s="13"/>
      <c r="T1322" s="13"/>
      <c r="U1322" s="13"/>
      <c r="V1322" s="13"/>
      <c r="W1322" s="13"/>
      <c r="X1322" s="13"/>
      <c r="Y1322" s="13"/>
      <c r="Z1322" s="13"/>
      <c r="AA1322" s="13"/>
      <c r="AB1322" s="15"/>
      <c r="AC1322" s="15"/>
      <c r="AD1322" s="15"/>
      <c r="AE1322" s="13"/>
      <c r="AF1322" s="13"/>
      <c r="AG1322" s="13"/>
      <c r="AH1322" s="15"/>
      <c r="AI1322" s="13"/>
      <c r="AJ1322" s="13"/>
      <c r="AK1322" s="13"/>
      <c r="AL1322" s="13"/>
      <c r="AM1322" s="15"/>
      <c r="AN1322" s="13"/>
      <c r="AO1322" s="15"/>
      <c r="AP1322" s="15"/>
      <c r="AQ1322" s="13"/>
      <c r="AR1322" s="13"/>
      <c r="AS1322" s="13"/>
      <c r="AT1322" s="13"/>
      <c r="AU1322" s="13"/>
      <c r="AV1322" s="13"/>
      <c r="AW1322" s="13"/>
      <c r="AX1322" s="13"/>
      <c r="AY1322" s="15"/>
      <c r="AZ1322" s="15"/>
      <c r="BA1322" s="16"/>
      <c r="BB1322" s="15"/>
      <c r="BC1322" s="15"/>
      <c r="BD1322" s="13"/>
      <c r="BE1322" s="13"/>
      <c r="BF1322" s="13"/>
      <c r="BG1322" s="13"/>
      <c r="BH1322" s="13"/>
      <c r="BI1322" s="13"/>
      <c r="BJ1322" s="13"/>
      <c r="BK1322" s="13"/>
      <c r="BL1322" s="13"/>
      <c r="BM1322" s="13"/>
      <c r="BN1322" s="13"/>
      <c r="BO1322" s="13"/>
      <c r="BP1322" s="13"/>
      <c r="BQ1322" s="15"/>
      <c r="BR1322" s="15"/>
      <c r="BS1322" s="15"/>
      <c r="BT1322" s="15"/>
      <c r="BU1322" s="15"/>
      <c r="BV1322" s="15"/>
      <c r="BW1322" s="15"/>
      <c r="BX1322" s="15"/>
      <c r="BY1322" s="15"/>
      <c r="BZ1322" s="15"/>
      <c r="CA1322" s="15"/>
      <c r="CB1322" s="17"/>
      <c r="CC1322" s="17"/>
      <c r="CD1322" s="18"/>
      <c r="CE1322" s="18"/>
      <c r="CF1322" s="18"/>
      <c r="CG1322" s="18"/>
      <c r="CH1322" s="18"/>
    </row>
    <row r="1323">
      <c r="A1323" s="15"/>
      <c r="B1323" s="16"/>
      <c r="C1323" s="15"/>
      <c r="D1323" s="9"/>
      <c r="E1323" s="15"/>
      <c r="F1323" s="15"/>
      <c r="G1323" s="13"/>
      <c r="H1323" s="13"/>
      <c r="I1323" s="13"/>
      <c r="J1323" s="13"/>
      <c r="K1323" s="13"/>
      <c r="L1323" s="13"/>
      <c r="M1323" s="13"/>
      <c r="N1323" s="13"/>
      <c r="O1323" s="13"/>
      <c r="P1323" s="13"/>
      <c r="Q1323" s="13"/>
      <c r="R1323" s="13"/>
      <c r="S1323" s="13"/>
      <c r="T1323" s="13"/>
      <c r="U1323" s="13"/>
      <c r="V1323" s="13"/>
      <c r="W1323" s="13"/>
      <c r="X1323" s="13"/>
      <c r="Y1323" s="13"/>
      <c r="Z1323" s="13"/>
      <c r="AA1323" s="13"/>
      <c r="AB1323" s="15"/>
      <c r="AC1323" s="15"/>
      <c r="AD1323" s="15"/>
      <c r="AE1323" s="13"/>
      <c r="AF1323" s="13"/>
      <c r="AG1323" s="13"/>
      <c r="AH1323" s="15"/>
      <c r="AI1323" s="13"/>
      <c r="AJ1323" s="13"/>
      <c r="AK1323" s="13"/>
      <c r="AL1323" s="13"/>
      <c r="AM1323" s="15"/>
      <c r="AN1323" s="13"/>
      <c r="AO1323" s="15"/>
      <c r="AP1323" s="15"/>
      <c r="AQ1323" s="13"/>
      <c r="AR1323" s="13"/>
      <c r="AS1323" s="13"/>
      <c r="AT1323" s="13"/>
      <c r="AU1323" s="13"/>
      <c r="AV1323" s="13"/>
      <c r="AW1323" s="13"/>
      <c r="AX1323" s="13"/>
      <c r="AY1323" s="15"/>
      <c r="AZ1323" s="15"/>
      <c r="BA1323" s="16"/>
      <c r="BB1323" s="15"/>
      <c r="BC1323" s="15"/>
      <c r="BD1323" s="13"/>
      <c r="BE1323" s="13"/>
      <c r="BF1323" s="13"/>
      <c r="BG1323" s="13"/>
      <c r="BH1323" s="13"/>
      <c r="BI1323" s="13"/>
      <c r="BJ1323" s="13"/>
      <c r="BK1323" s="13"/>
      <c r="BL1323" s="13"/>
      <c r="BM1323" s="13"/>
      <c r="BN1323" s="13"/>
      <c r="BO1323" s="13"/>
      <c r="BP1323" s="13"/>
      <c r="BQ1323" s="15"/>
      <c r="BR1323" s="15"/>
      <c r="BS1323" s="15"/>
      <c r="BT1323" s="15"/>
      <c r="BU1323" s="15"/>
      <c r="BV1323" s="15"/>
      <c r="BW1323" s="15"/>
      <c r="BX1323" s="15"/>
      <c r="BY1323" s="15"/>
      <c r="BZ1323" s="15"/>
      <c r="CA1323" s="15"/>
      <c r="CB1323" s="17"/>
      <c r="CC1323" s="17"/>
      <c r="CD1323" s="18"/>
      <c r="CE1323" s="18"/>
      <c r="CF1323" s="18"/>
      <c r="CG1323" s="18"/>
      <c r="CH1323" s="18"/>
    </row>
    <row r="1324">
      <c r="A1324" s="15"/>
      <c r="B1324" s="16"/>
      <c r="C1324" s="15"/>
      <c r="D1324" s="9"/>
      <c r="E1324" s="15"/>
      <c r="F1324" s="15"/>
      <c r="G1324" s="13"/>
      <c r="H1324" s="13"/>
      <c r="I1324" s="13"/>
      <c r="J1324" s="13"/>
      <c r="K1324" s="13"/>
      <c r="L1324" s="13"/>
      <c r="M1324" s="13"/>
      <c r="N1324" s="13"/>
      <c r="O1324" s="13"/>
      <c r="P1324" s="13"/>
      <c r="Q1324" s="13"/>
      <c r="R1324" s="13"/>
      <c r="S1324" s="13"/>
      <c r="T1324" s="13"/>
      <c r="U1324" s="13"/>
      <c r="V1324" s="13"/>
      <c r="W1324" s="13"/>
      <c r="X1324" s="13"/>
      <c r="Y1324" s="13"/>
      <c r="Z1324" s="13"/>
      <c r="AA1324" s="13"/>
      <c r="AB1324" s="15"/>
      <c r="AC1324" s="15"/>
      <c r="AD1324" s="15"/>
      <c r="AE1324" s="13"/>
      <c r="AF1324" s="13"/>
      <c r="AG1324" s="13"/>
      <c r="AH1324" s="15"/>
      <c r="AI1324" s="13"/>
      <c r="AJ1324" s="13"/>
      <c r="AK1324" s="13"/>
      <c r="AL1324" s="13"/>
      <c r="AM1324" s="15"/>
      <c r="AN1324" s="13"/>
      <c r="AO1324" s="15"/>
      <c r="AP1324" s="15"/>
      <c r="AQ1324" s="13"/>
      <c r="AR1324" s="13"/>
      <c r="AS1324" s="13"/>
      <c r="AT1324" s="13"/>
      <c r="AU1324" s="13"/>
      <c r="AV1324" s="13"/>
      <c r="AW1324" s="13"/>
      <c r="AX1324" s="13"/>
      <c r="AY1324" s="15"/>
      <c r="AZ1324" s="15"/>
      <c r="BA1324" s="16"/>
      <c r="BB1324" s="15"/>
      <c r="BC1324" s="15"/>
      <c r="BD1324" s="13"/>
      <c r="BE1324" s="13"/>
      <c r="BF1324" s="13"/>
      <c r="BG1324" s="13"/>
      <c r="BH1324" s="13"/>
      <c r="BI1324" s="13"/>
      <c r="BJ1324" s="13"/>
      <c r="BK1324" s="13"/>
      <c r="BL1324" s="13"/>
      <c r="BM1324" s="13"/>
      <c r="BN1324" s="13"/>
      <c r="BO1324" s="13"/>
      <c r="BP1324" s="13"/>
      <c r="BQ1324" s="15"/>
      <c r="BR1324" s="15"/>
      <c r="BS1324" s="15"/>
      <c r="BT1324" s="15"/>
      <c r="BU1324" s="15"/>
      <c r="BV1324" s="15"/>
      <c r="BW1324" s="15"/>
      <c r="BX1324" s="15"/>
      <c r="BY1324" s="15"/>
      <c r="BZ1324" s="15"/>
      <c r="CA1324" s="15"/>
      <c r="CB1324" s="17"/>
      <c r="CC1324" s="17"/>
      <c r="CD1324" s="18"/>
      <c r="CE1324" s="18"/>
      <c r="CF1324" s="18"/>
      <c r="CG1324" s="18"/>
      <c r="CH1324" s="18"/>
    </row>
    <row r="1325">
      <c r="A1325" s="15"/>
      <c r="B1325" s="16"/>
      <c r="C1325" s="15"/>
      <c r="D1325" s="9"/>
      <c r="E1325" s="15"/>
      <c r="F1325" s="15"/>
      <c r="G1325" s="13"/>
      <c r="H1325" s="13"/>
      <c r="I1325" s="13"/>
      <c r="J1325" s="13"/>
      <c r="K1325" s="13"/>
      <c r="L1325" s="13"/>
      <c r="M1325" s="13"/>
      <c r="N1325" s="13"/>
      <c r="O1325" s="13"/>
      <c r="P1325" s="13"/>
      <c r="Q1325" s="13"/>
      <c r="R1325" s="13"/>
      <c r="S1325" s="13"/>
      <c r="T1325" s="13"/>
      <c r="U1325" s="13"/>
      <c r="V1325" s="13"/>
      <c r="W1325" s="13"/>
      <c r="X1325" s="13"/>
      <c r="Y1325" s="13"/>
      <c r="Z1325" s="13"/>
      <c r="AA1325" s="13"/>
      <c r="AB1325" s="15"/>
      <c r="AC1325" s="15"/>
      <c r="AD1325" s="15"/>
      <c r="AE1325" s="13"/>
      <c r="AF1325" s="13"/>
      <c r="AG1325" s="13"/>
      <c r="AH1325" s="15"/>
      <c r="AI1325" s="13"/>
      <c r="AJ1325" s="13"/>
      <c r="AK1325" s="13"/>
      <c r="AL1325" s="13"/>
      <c r="AM1325" s="15"/>
      <c r="AN1325" s="13"/>
      <c r="AO1325" s="15"/>
      <c r="AP1325" s="15"/>
      <c r="AQ1325" s="13"/>
      <c r="AR1325" s="13"/>
      <c r="AS1325" s="13"/>
      <c r="AT1325" s="13"/>
      <c r="AU1325" s="13"/>
      <c r="AV1325" s="13"/>
      <c r="AW1325" s="13"/>
      <c r="AX1325" s="13"/>
      <c r="AY1325" s="15"/>
      <c r="AZ1325" s="15"/>
      <c r="BA1325" s="16"/>
      <c r="BB1325" s="15"/>
      <c r="BC1325" s="15"/>
      <c r="BD1325" s="13"/>
      <c r="BE1325" s="13"/>
      <c r="BF1325" s="13"/>
      <c r="BG1325" s="13"/>
      <c r="BH1325" s="13"/>
      <c r="BI1325" s="13"/>
      <c r="BJ1325" s="13"/>
      <c r="BK1325" s="13"/>
      <c r="BL1325" s="13"/>
      <c r="BM1325" s="13"/>
      <c r="BN1325" s="13"/>
      <c r="BO1325" s="13"/>
      <c r="BP1325" s="13"/>
      <c r="BQ1325" s="15"/>
      <c r="BR1325" s="15"/>
      <c r="BS1325" s="15"/>
      <c r="BT1325" s="15"/>
      <c r="BU1325" s="15"/>
      <c r="BV1325" s="15"/>
      <c r="BW1325" s="15"/>
      <c r="BX1325" s="15"/>
      <c r="BY1325" s="15"/>
      <c r="BZ1325" s="15"/>
      <c r="CA1325" s="15"/>
      <c r="CB1325" s="17"/>
      <c r="CC1325" s="17"/>
      <c r="CD1325" s="18"/>
      <c r="CE1325" s="18"/>
      <c r="CF1325" s="18"/>
      <c r="CG1325" s="18"/>
      <c r="CH1325" s="18"/>
    </row>
    <row r="1326">
      <c r="A1326" s="15"/>
      <c r="B1326" s="16"/>
      <c r="C1326" s="15"/>
      <c r="D1326" s="9"/>
      <c r="E1326" s="15"/>
      <c r="F1326" s="15"/>
      <c r="G1326" s="13"/>
      <c r="H1326" s="13"/>
      <c r="I1326" s="13"/>
      <c r="J1326" s="13"/>
      <c r="K1326" s="13"/>
      <c r="L1326" s="13"/>
      <c r="M1326" s="13"/>
      <c r="N1326" s="13"/>
      <c r="O1326" s="13"/>
      <c r="P1326" s="13"/>
      <c r="Q1326" s="13"/>
      <c r="R1326" s="13"/>
      <c r="S1326" s="13"/>
      <c r="T1326" s="13"/>
      <c r="U1326" s="13"/>
      <c r="V1326" s="13"/>
      <c r="W1326" s="13"/>
      <c r="X1326" s="13"/>
      <c r="Y1326" s="13"/>
      <c r="Z1326" s="13"/>
      <c r="AA1326" s="13"/>
      <c r="AB1326" s="15"/>
      <c r="AC1326" s="15"/>
      <c r="AD1326" s="15"/>
      <c r="AE1326" s="13"/>
      <c r="AF1326" s="13"/>
      <c r="AG1326" s="13"/>
      <c r="AH1326" s="15"/>
      <c r="AI1326" s="13"/>
      <c r="AJ1326" s="13"/>
      <c r="AK1326" s="13"/>
      <c r="AL1326" s="13"/>
      <c r="AM1326" s="15"/>
      <c r="AN1326" s="13"/>
      <c r="AO1326" s="15"/>
      <c r="AP1326" s="15"/>
      <c r="AQ1326" s="13"/>
      <c r="AR1326" s="13"/>
      <c r="AS1326" s="13"/>
      <c r="AT1326" s="13"/>
      <c r="AU1326" s="13"/>
      <c r="AV1326" s="13"/>
      <c r="AW1326" s="13"/>
      <c r="AX1326" s="13"/>
      <c r="AY1326" s="15"/>
      <c r="AZ1326" s="15"/>
      <c r="BA1326" s="16"/>
      <c r="BB1326" s="15"/>
      <c r="BC1326" s="15"/>
      <c r="BD1326" s="13"/>
      <c r="BE1326" s="13"/>
      <c r="BF1326" s="13"/>
      <c r="BG1326" s="13"/>
      <c r="BH1326" s="13"/>
      <c r="BI1326" s="13"/>
      <c r="BJ1326" s="13"/>
      <c r="BK1326" s="13"/>
      <c r="BL1326" s="13"/>
      <c r="BM1326" s="13"/>
      <c r="BN1326" s="13"/>
      <c r="BO1326" s="13"/>
      <c r="BP1326" s="13"/>
      <c r="BQ1326" s="15"/>
      <c r="BR1326" s="15"/>
      <c r="BS1326" s="15"/>
      <c r="BT1326" s="15"/>
      <c r="BU1326" s="15"/>
      <c r="BV1326" s="15"/>
      <c r="BW1326" s="15"/>
      <c r="BX1326" s="15"/>
      <c r="BY1326" s="15"/>
      <c r="BZ1326" s="15"/>
      <c r="CA1326" s="15"/>
      <c r="CB1326" s="17"/>
      <c r="CC1326" s="17"/>
      <c r="CD1326" s="18"/>
      <c r="CE1326" s="18"/>
      <c r="CF1326" s="18"/>
      <c r="CG1326" s="18"/>
      <c r="CH1326" s="18"/>
    </row>
    <row r="1327">
      <c r="A1327" s="15"/>
      <c r="B1327" s="16"/>
      <c r="C1327" s="15"/>
      <c r="D1327" s="9"/>
      <c r="E1327" s="15"/>
      <c r="F1327" s="15"/>
      <c r="G1327" s="13"/>
      <c r="H1327" s="13"/>
      <c r="I1327" s="13"/>
      <c r="J1327" s="13"/>
      <c r="K1327" s="13"/>
      <c r="L1327" s="13"/>
      <c r="M1327" s="13"/>
      <c r="N1327" s="13"/>
      <c r="O1327" s="13"/>
      <c r="P1327" s="13"/>
      <c r="Q1327" s="13"/>
      <c r="R1327" s="13"/>
      <c r="S1327" s="13"/>
      <c r="T1327" s="13"/>
      <c r="U1327" s="13"/>
      <c r="V1327" s="13"/>
      <c r="W1327" s="13"/>
      <c r="X1327" s="13"/>
      <c r="Y1327" s="13"/>
      <c r="Z1327" s="13"/>
      <c r="AA1327" s="13"/>
      <c r="AB1327" s="15"/>
      <c r="AC1327" s="15"/>
      <c r="AD1327" s="15"/>
      <c r="AE1327" s="13"/>
      <c r="AF1327" s="13"/>
      <c r="AG1327" s="13"/>
      <c r="AH1327" s="15"/>
      <c r="AI1327" s="13"/>
      <c r="AJ1327" s="13"/>
      <c r="AK1327" s="13"/>
      <c r="AL1327" s="13"/>
      <c r="AM1327" s="15"/>
      <c r="AN1327" s="13"/>
      <c r="AO1327" s="15"/>
      <c r="AP1327" s="15"/>
      <c r="AQ1327" s="13"/>
      <c r="AR1327" s="13"/>
      <c r="AS1327" s="13"/>
      <c r="AT1327" s="13"/>
      <c r="AU1327" s="13"/>
      <c r="AV1327" s="13"/>
      <c r="AW1327" s="13"/>
      <c r="AX1327" s="13"/>
      <c r="AY1327" s="15"/>
      <c r="AZ1327" s="15"/>
      <c r="BA1327" s="16"/>
      <c r="BB1327" s="15"/>
      <c r="BC1327" s="15"/>
      <c r="BD1327" s="13"/>
      <c r="BE1327" s="13"/>
      <c r="BF1327" s="13"/>
      <c r="BG1327" s="13"/>
      <c r="BH1327" s="13"/>
      <c r="BI1327" s="13"/>
      <c r="BJ1327" s="13"/>
      <c r="BK1327" s="13"/>
      <c r="BL1327" s="13"/>
      <c r="BM1327" s="13"/>
      <c r="BN1327" s="13"/>
      <c r="BO1327" s="13"/>
      <c r="BP1327" s="13"/>
      <c r="BQ1327" s="15"/>
      <c r="BR1327" s="15"/>
      <c r="BS1327" s="15"/>
      <c r="BT1327" s="15"/>
      <c r="BU1327" s="15"/>
      <c r="BV1327" s="15"/>
      <c r="BW1327" s="15"/>
      <c r="BX1327" s="15"/>
      <c r="BY1327" s="15"/>
      <c r="BZ1327" s="15"/>
      <c r="CA1327" s="15"/>
      <c r="CB1327" s="17"/>
      <c r="CC1327" s="17"/>
      <c r="CD1327" s="18"/>
      <c r="CE1327" s="18"/>
      <c r="CF1327" s="18"/>
      <c r="CG1327" s="18"/>
      <c r="CH1327" s="18"/>
    </row>
    <row r="1328">
      <c r="A1328" s="15"/>
      <c r="B1328" s="16"/>
      <c r="C1328" s="15"/>
      <c r="D1328" s="9"/>
      <c r="E1328" s="15"/>
      <c r="F1328" s="15"/>
      <c r="G1328" s="13"/>
      <c r="H1328" s="13"/>
      <c r="I1328" s="13"/>
      <c r="J1328" s="13"/>
      <c r="K1328" s="13"/>
      <c r="L1328" s="13"/>
      <c r="M1328" s="13"/>
      <c r="N1328" s="13"/>
      <c r="O1328" s="13"/>
      <c r="P1328" s="13"/>
      <c r="Q1328" s="13"/>
      <c r="R1328" s="13"/>
      <c r="S1328" s="13"/>
      <c r="T1328" s="13"/>
      <c r="U1328" s="13"/>
      <c r="V1328" s="13"/>
      <c r="W1328" s="13"/>
      <c r="X1328" s="13"/>
      <c r="Y1328" s="13"/>
      <c r="Z1328" s="13"/>
      <c r="AA1328" s="13"/>
      <c r="AB1328" s="15"/>
      <c r="AC1328" s="15"/>
      <c r="AD1328" s="15"/>
      <c r="AE1328" s="13"/>
      <c r="AF1328" s="13"/>
      <c r="AG1328" s="13"/>
      <c r="AH1328" s="15"/>
      <c r="AI1328" s="13"/>
      <c r="AJ1328" s="13"/>
      <c r="AK1328" s="13"/>
      <c r="AL1328" s="13"/>
      <c r="AM1328" s="15"/>
      <c r="AN1328" s="13"/>
      <c r="AO1328" s="15"/>
      <c r="AP1328" s="15"/>
      <c r="AQ1328" s="13"/>
      <c r="AR1328" s="13"/>
      <c r="AS1328" s="13"/>
      <c r="AT1328" s="13"/>
      <c r="AU1328" s="13"/>
      <c r="AV1328" s="13"/>
      <c r="AW1328" s="13"/>
      <c r="AX1328" s="13"/>
      <c r="AY1328" s="15"/>
      <c r="AZ1328" s="15"/>
      <c r="BA1328" s="16"/>
      <c r="BB1328" s="15"/>
      <c r="BC1328" s="15"/>
      <c r="BD1328" s="13"/>
      <c r="BE1328" s="13"/>
      <c r="BF1328" s="13"/>
      <c r="BG1328" s="13"/>
      <c r="BH1328" s="13"/>
      <c r="BI1328" s="13"/>
      <c r="BJ1328" s="13"/>
      <c r="BK1328" s="13"/>
      <c r="BL1328" s="13"/>
      <c r="BM1328" s="13"/>
      <c r="BN1328" s="13"/>
      <c r="BO1328" s="13"/>
      <c r="BP1328" s="13"/>
      <c r="BQ1328" s="15"/>
      <c r="BR1328" s="15"/>
      <c r="BS1328" s="15"/>
      <c r="BT1328" s="15"/>
      <c r="BU1328" s="15"/>
      <c r="BV1328" s="15"/>
      <c r="BW1328" s="15"/>
      <c r="BX1328" s="15"/>
      <c r="BY1328" s="15"/>
      <c r="BZ1328" s="15"/>
      <c r="CA1328" s="15"/>
      <c r="CB1328" s="17"/>
      <c r="CC1328" s="17"/>
      <c r="CD1328" s="18"/>
      <c r="CE1328" s="18"/>
      <c r="CF1328" s="18"/>
      <c r="CG1328" s="18"/>
      <c r="CH1328" s="18"/>
    </row>
    <row r="1329">
      <c r="A1329" s="15"/>
      <c r="B1329" s="16"/>
      <c r="C1329" s="15"/>
      <c r="D1329" s="9"/>
      <c r="E1329" s="15"/>
      <c r="F1329" s="15"/>
      <c r="G1329" s="13"/>
      <c r="H1329" s="13"/>
      <c r="I1329" s="13"/>
      <c r="J1329" s="13"/>
      <c r="K1329" s="13"/>
      <c r="L1329" s="13"/>
      <c r="M1329" s="13"/>
      <c r="N1329" s="13"/>
      <c r="O1329" s="13"/>
      <c r="P1329" s="13"/>
      <c r="Q1329" s="13"/>
      <c r="R1329" s="13"/>
      <c r="S1329" s="13"/>
      <c r="T1329" s="13"/>
      <c r="U1329" s="13"/>
      <c r="V1329" s="13"/>
      <c r="W1329" s="13"/>
      <c r="X1329" s="13"/>
      <c r="Y1329" s="13"/>
      <c r="Z1329" s="13"/>
      <c r="AA1329" s="13"/>
      <c r="AB1329" s="15"/>
      <c r="AC1329" s="15"/>
      <c r="AD1329" s="15"/>
      <c r="AE1329" s="13"/>
      <c r="AF1329" s="13"/>
      <c r="AG1329" s="13"/>
      <c r="AH1329" s="15"/>
      <c r="AI1329" s="13"/>
      <c r="AJ1329" s="13"/>
      <c r="AK1329" s="13"/>
      <c r="AL1329" s="13"/>
      <c r="AM1329" s="15"/>
      <c r="AN1329" s="13"/>
      <c r="AO1329" s="15"/>
      <c r="AP1329" s="15"/>
      <c r="AQ1329" s="13"/>
      <c r="AR1329" s="13"/>
      <c r="AS1329" s="13"/>
      <c r="AT1329" s="13"/>
      <c r="AU1329" s="13"/>
      <c r="AV1329" s="13"/>
      <c r="AW1329" s="13"/>
      <c r="AX1329" s="13"/>
      <c r="AY1329" s="15"/>
      <c r="AZ1329" s="15"/>
      <c r="BA1329" s="16"/>
      <c r="BB1329" s="15"/>
      <c r="BC1329" s="15"/>
      <c r="BD1329" s="13"/>
      <c r="BE1329" s="13"/>
      <c r="BF1329" s="13"/>
      <c r="BG1329" s="13"/>
      <c r="BH1329" s="13"/>
      <c r="BI1329" s="13"/>
      <c r="BJ1329" s="13"/>
      <c r="BK1329" s="13"/>
      <c r="BL1329" s="13"/>
      <c r="BM1329" s="13"/>
      <c r="BN1329" s="13"/>
      <c r="BO1329" s="13"/>
      <c r="BP1329" s="13"/>
      <c r="BQ1329" s="15"/>
      <c r="BR1329" s="15"/>
      <c r="BS1329" s="15"/>
      <c r="BT1329" s="15"/>
      <c r="BU1329" s="15"/>
      <c r="BV1329" s="15"/>
      <c r="BW1329" s="15"/>
      <c r="BX1329" s="15"/>
      <c r="BY1329" s="15"/>
      <c r="BZ1329" s="15"/>
      <c r="CA1329" s="15"/>
      <c r="CB1329" s="17"/>
      <c r="CC1329" s="17"/>
      <c r="CD1329" s="18"/>
      <c r="CE1329" s="18"/>
      <c r="CF1329" s="18"/>
      <c r="CG1329" s="18"/>
      <c r="CH1329" s="18"/>
    </row>
    <row r="1330">
      <c r="A1330" s="15"/>
      <c r="B1330" s="16"/>
      <c r="C1330" s="15"/>
      <c r="D1330" s="9"/>
      <c r="E1330" s="15"/>
      <c r="F1330" s="15"/>
      <c r="G1330" s="13"/>
      <c r="H1330" s="13"/>
      <c r="I1330" s="13"/>
      <c r="J1330" s="13"/>
      <c r="K1330" s="13"/>
      <c r="L1330" s="13"/>
      <c r="M1330" s="13"/>
      <c r="N1330" s="13"/>
      <c r="O1330" s="13"/>
      <c r="P1330" s="13"/>
      <c r="Q1330" s="13"/>
      <c r="R1330" s="13"/>
      <c r="S1330" s="13"/>
      <c r="T1330" s="13"/>
      <c r="U1330" s="13"/>
      <c r="V1330" s="13"/>
      <c r="W1330" s="13"/>
      <c r="X1330" s="13"/>
      <c r="Y1330" s="13"/>
      <c r="Z1330" s="13"/>
      <c r="AA1330" s="13"/>
      <c r="AB1330" s="15"/>
      <c r="AC1330" s="15"/>
      <c r="AD1330" s="15"/>
      <c r="AE1330" s="13"/>
      <c r="AF1330" s="13"/>
      <c r="AG1330" s="13"/>
      <c r="AH1330" s="15"/>
      <c r="AI1330" s="13"/>
      <c r="AJ1330" s="13"/>
      <c r="AK1330" s="13"/>
      <c r="AL1330" s="13"/>
      <c r="AM1330" s="15"/>
      <c r="AN1330" s="13"/>
      <c r="AO1330" s="15"/>
      <c r="AP1330" s="15"/>
      <c r="AQ1330" s="13"/>
      <c r="AR1330" s="13"/>
      <c r="AS1330" s="13"/>
      <c r="AT1330" s="13"/>
      <c r="AU1330" s="13"/>
      <c r="AV1330" s="13"/>
      <c r="AW1330" s="13"/>
      <c r="AX1330" s="13"/>
      <c r="AY1330" s="15"/>
      <c r="AZ1330" s="15"/>
      <c r="BA1330" s="16"/>
      <c r="BB1330" s="15"/>
      <c r="BC1330" s="15"/>
      <c r="BD1330" s="13"/>
      <c r="BE1330" s="13"/>
      <c r="BF1330" s="13"/>
      <c r="BG1330" s="13"/>
      <c r="BH1330" s="13"/>
      <c r="BI1330" s="13"/>
      <c r="BJ1330" s="13"/>
      <c r="BK1330" s="13"/>
      <c r="BL1330" s="13"/>
      <c r="BM1330" s="13"/>
      <c r="BN1330" s="13"/>
      <c r="BO1330" s="13"/>
      <c r="BP1330" s="13"/>
      <c r="BQ1330" s="15"/>
      <c r="BR1330" s="15"/>
      <c r="BS1330" s="15"/>
      <c r="BT1330" s="15"/>
      <c r="BU1330" s="15"/>
      <c r="BV1330" s="15"/>
      <c r="BW1330" s="15"/>
      <c r="BX1330" s="15"/>
      <c r="BY1330" s="15"/>
      <c r="BZ1330" s="15"/>
      <c r="CA1330" s="15"/>
      <c r="CB1330" s="17"/>
      <c r="CC1330" s="17"/>
      <c r="CD1330" s="18"/>
      <c r="CE1330" s="18"/>
      <c r="CF1330" s="18"/>
      <c r="CG1330" s="18"/>
      <c r="CH1330" s="18"/>
    </row>
    <row r="1331">
      <c r="A1331" s="15"/>
      <c r="B1331" s="16"/>
      <c r="C1331" s="15"/>
      <c r="D1331" s="9"/>
      <c r="E1331" s="15"/>
      <c r="F1331" s="15"/>
      <c r="G1331" s="13"/>
      <c r="H1331" s="13"/>
      <c r="I1331" s="13"/>
      <c r="J1331" s="13"/>
      <c r="K1331" s="13"/>
      <c r="L1331" s="13"/>
      <c r="M1331" s="13"/>
      <c r="N1331" s="13"/>
      <c r="O1331" s="13"/>
      <c r="P1331" s="13"/>
      <c r="Q1331" s="13"/>
      <c r="R1331" s="13"/>
      <c r="S1331" s="13"/>
      <c r="T1331" s="13"/>
      <c r="U1331" s="13"/>
      <c r="V1331" s="13"/>
      <c r="W1331" s="13"/>
      <c r="X1331" s="13"/>
      <c r="Y1331" s="13"/>
      <c r="Z1331" s="13"/>
      <c r="AA1331" s="13"/>
      <c r="AB1331" s="15"/>
      <c r="AC1331" s="15"/>
      <c r="AD1331" s="15"/>
      <c r="AE1331" s="13"/>
      <c r="AF1331" s="13"/>
      <c r="AG1331" s="13"/>
      <c r="AH1331" s="15"/>
      <c r="AI1331" s="13"/>
      <c r="AJ1331" s="13"/>
      <c r="AK1331" s="13"/>
      <c r="AL1331" s="13"/>
      <c r="AM1331" s="15"/>
      <c r="AN1331" s="13"/>
      <c r="AO1331" s="15"/>
      <c r="AP1331" s="15"/>
      <c r="AQ1331" s="13"/>
      <c r="AR1331" s="13"/>
      <c r="AS1331" s="13"/>
      <c r="AT1331" s="13"/>
      <c r="AU1331" s="13"/>
      <c r="AV1331" s="13"/>
      <c r="AW1331" s="13"/>
      <c r="AX1331" s="13"/>
      <c r="AY1331" s="15"/>
      <c r="AZ1331" s="15"/>
      <c r="BA1331" s="16"/>
      <c r="BB1331" s="15"/>
      <c r="BC1331" s="15"/>
      <c r="BD1331" s="13"/>
      <c r="BE1331" s="13"/>
      <c r="BF1331" s="13"/>
      <c r="BG1331" s="13"/>
      <c r="BH1331" s="13"/>
      <c r="BI1331" s="13"/>
      <c r="BJ1331" s="13"/>
      <c r="BK1331" s="13"/>
      <c r="BL1331" s="13"/>
      <c r="BM1331" s="13"/>
      <c r="BN1331" s="13"/>
      <c r="BO1331" s="13"/>
      <c r="BP1331" s="13"/>
      <c r="BQ1331" s="15"/>
      <c r="BR1331" s="15"/>
      <c r="BS1331" s="15"/>
      <c r="BT1331" s="15"/>
      <c r="BU1331" s="15"/>
      <c r="BV1331" s="15"/>
      <c r="BW1331" s="15"/>
      <c r="BX1331" s="15"/>
      <c r="BY1331" s="15"/>
      <c r="BZ1331" s="15"/>
      <c r="CA1331" s="15"/>
      <c r="CB1331" s="17"/>
      <c r="CC1331" s="17"/>
      <c r="CD1331" s="18"/>
      <c r="CE1331" s="18"/>
      <c r="CF1331" s="18"/>
      <c r="CG1331" s="18"/>
      <c r="CH1331" s="18"/>
    </row>
    <row r="1332">
      <c r="A1332" s="15"/>
      <c r="B1332" s="16"/>
      <c r="C1332" s="15"/>
      <c r="D1332" s="9"/>
      <c r="E1332" s="15"/>
      <c r="F1332" s="15"/>
      <c r="G1332" s="13"/>
      <c r="H1332" s="13"/>
      <c r="I1332" s="13"/>
      <c r="J1332" s="13"/>
      <c r="K1332" s="13"/>
      <c r="L1332" s="13"/>
      <c r="M1332" s="13"/>
      <c r="N1332" s="13"/>
      <c r="O1332" s="13"/>
      <c r="P1332" s="13"/>
      <c r="Q1332" s="13"/>
      <c r="R1332" s="13"/>
      <c r="S1332" s="13"/>
      <c r="T1332" s="13"/>
      <c r="U1332" s="13"/>
      <c r="V1332" s="13"/>
      <c r="W1332" s="13"/>
      <c r="X1332" s="13"/>
      <c r="Y1332" s="13"/>
      <c r="Z1332" s="13"/>
      <c r="AA1332" s="13"/>
      <c r="AB1332" s="15"/>
      <c r="AC1332" s="15"/>
      <c r="AD1332" s="15"/>
      <c r="AE1332" s="13"/>
      <c r="AF1332" s="13"/>
      <c r="AG1332" s="13"/>
      <c r="AH1332" s="15"/>
      <c r="AI1332" s="13"/>
      <c r="AJ1332" s="13"/>
      <c r="AK1332" s="13"/>
      <c r="AL1332" s="13"/>
      <c r="AM1332" s="15"/>
      <c r="AN1332" s="13"/>
      <c r="AO1332" s="15"/>
      <c r="AP1332" s="15"/>
      <c r="AQ1332" s="13"/>
      <c r="AR1332" s="13"/>
      <c r="AS1332" s="13"/>
      <c r="AT1332" s="13"/>
      <c r="AU1332" s="13"/>
      <c r="AV1332" s="13"/>
      <c r="AW1332" s="13"/>
      <c r="AX1332" s="13"/>
      <c r="AY1332" s="15"/>
      <c r="AZ1332" s="15"/>
      <c r="BA1332" s="16"/>
      <c r="BB1332" s="15"/>
      <c r="BC1332" s="15"/>
      <c r="BD1332" s="13"/>
      <c r="BE1332" s="13"/>
      <c r="BF1332" s="13"/>
      <c r="BG1332" s="13"/>
      <c r="BH1332" s="13"/>
      <c r="BI1332" s="13"/>
      <c r="BJ1332" s="13"/>
      <c r="BK1332" s="13"/>
      <c r="BL1332" s="13"/>
      <c r="BM1332" s="13"/>
      <c r="BN1332" s="13"/>
      <c r="BO1332" s="13"/>
      <c r="BP1332" s="13"/>
      <c r="BQ1332" s="15"/>
      <c r="BR1332" s="15"/>
      <c r="BS1332" s="15"/>
      <c r="BT1332" s="15"/>
      <c r="BU1332" s="15"/>
      <c r="BV1332" s="15"/>
      <c r="BW1332" s="15"/>
      <c r="BX1332" s="15"/>
      <c r="BY1332" s="15"/>
      <c r="BZ1332" s="15"/>
      <c r="CA1332" s="15"/>
      <c r="CB1332" s="17"/>
      <c r="CC1332" s="17"/>
      <c r="CD1332" s="18"/>
      <c r="CE1332" s="18"/>
      <c r="CF1332" s="18"/>
      <c r="CG1332" s="18"/>
      <c r="CH1332" s="18"/>
    </row>
    <row r="1333">
      <c r="A1333" s="15"/>
      <c r="B1333" s="16"/>
      <c r="C1333" s="15"/>
      <c r="D1333" s="9"/>
      <c r="E1333" s="15"/>
      <c r="F1333" s="15"/>
      <c r="G1333" s="13"/>
      <c r="H1333" s="13"/>
      <c r="I1333" s="13"/>
      <c r="J1333" s="13"/>
      <c r="K1333" s="13"/>
      <c r="L1333" s="13"/>
      <c r="M1333" s="13"/>
      <c r="N1333" s="13"/>
      <c r="O1333" s="13"/>
      <c r="P1333" s="13"/>
      <c r="Q1333" s="13"/>
      <c r="R1333" s="13"/>
      <c r="S1333" s="13"/>
      <c r="T1333" s="13"/>
      <c r="U1333" s="13"/>
      <c r="V1333" s="13"/>
      <c r="W1333" s="13"/>
      <c r="X1333" s="13"/>
      <c r="Y1333" s="13"/>
      <c r="Z1333" s="13"/>
      <c r="AA1333" s="13"/>
      <c r="AB1333" s="15"/>
      <c r="AC1333" s="15"/>
      <c r="AD1333" s="15"/>
      <c r="AE1333" s="13"/>
      <c r="AF1333" s="13"/>
      <c r="AG1333" s="13"/>
      <c r="AH1333" s="15"/>
      <c r="AI1333" s="13"/>
      <c r="AJ1333" s="13"/>
      <c r="AK1333" s="13"/>
      <c r="AL1333" s="13"/>
      <c r="AM1333" s="15"/>
      <c r="AN1333" s="13"/>
      <c r="AO1333" s="15"/>
      <c r="AP1333" s="15"/>
      <c r="AQ1333" s="13"/>
      <c r="AR1333" s="13"/>
      <c r="AS1333" s="13"/>
      <c r="AT1333" s="13"/>
      <c r="AU1333" s="13"/>
      <c r="AV1333" s="13"/>
      <c r="AW1333" s="13"/>
      <c r="AX1333" s="13"/>
      <c r="AY1333" s="15"/>
      <c r="AZ1333" s="15"/>
      <c r="BA1333" s="16"/>
      <c r="BB1333" s="15"/>
      <c r="BC1333" s="15"/>
      <c r="BD1333" s="13"/>
      <c r="BE1333" s="13"/>
      <c r="BF1333" s="13"/>
      <c r="BG1333" s="13"/>
      <c r="BH1333" s="13"/>
      <c r="BI1333" s="13"/>
      <c r="BJ1333" s="13"/>
      <c r="BK1333" s="13"/>
      <c r="BL1333" s="13"/>
      <c r="BM1333" s="13"/>
      <c r="BN1333" s="13"/>
      <c r="BO1333" s="13"/>
      <c r="BP1333" s="13"/>
      <c r="BQ1333" s="15"/>
      <c r="BR1333" s="15"/>
      <c r="BS1333" s="15"/>
      <c r="BT1333" s="15"/>
      <c r="BU1333" s="15"/>
      <c r="BV1333" s="15"/>
      <c r="BW1333" s="15"/>
      <c r="BX1333" s="15"/>
      <c r="BY1333" s="15"/>
      <c r="BZ1333" s="15"/>
      <c r="CA1333" s="15"/>
      <c r="CB1333" s="17"/>
      <c r="CC1333" s="17"/>
      <c r="CD1333" s="18"/>
      <c r="CE1333" s="18"/>
      <c r="CF1333" s="18"/>
      <c r="CG1333" s="18"/>
      <c r="CH1333" s="18"/>
    </row>
    <row r="1334">
      <c r="A1334" s="15"/>
      <c r="B1334" s="16"/>
      <c r="C1334" s="15"/>
      <c r="D1334" s="9"/>
      <c r="E1334" s="15"/>
      <c r="F1334" s="15"/>
      <c r="G1334" s="13"/>
      <c r="H1334" s="13"/>
      <c r="I1334" s="13"/>
      <c r="J1334" s="13"/>
      <c r="K1334" s="13"/>
      <c r="L1334" s="13"/>
      <c r="M1334" s="13"/>
      <c r="N1334" s="13"/>
      <c r="O1334" s="13"/>
      <c r="P1334" s="13"/>
      <c r="Q1334" s="13"/>
      <c r="R1334" s="13"/>
      <c r="S1334" s="13"/>
      <c r="T1334" s="13"/>
      <c r="U1334" s="13"/>
      <c r="V1334" s="13"/>
      <c r="W1334" s="13"/>
      <c r="X1334" s="13"/>
      <c r="Y1334" s="13"/>
      <c r="Z1334" s="13"/>
      <c r="AA1334" s="13"/>
      <c r="AB1334" s="15"/>
      <c r="AC1334" s="15"/>
      <c r="AD1334" s="15"/>
      <c r="AE1334" s="13"/>
      <c r="AF1334" s="13"/>
      <c r="AG1334" s="13"/>
      <c r="AH1334" s="15"/>
      <c r="AI1334" s="13"/>
      <c r="AJ1334" s="13"/>
      <c r="AK1334" s="13"/>
      <c r="AL1334" s="13"/>
      <c r="AM1334" s="15"/>
      <c r="AN1334" s="13"/>
      <c r="AO1334" s="15"/>
      <c r="AP1334" s="15"/>
      <c r="AQ1334" s="13"/>
      <c r="AR1334" s="13"/>
      <c r="AS1334" s="13"/>
      <c r="AT1334" s="13"/>
      <c r="AU1334" s="13"/>
      <c r="AV1334" s="13"/>
      <c r="AW1334" s="13"/>
      <c r="AX1334" s="13"/>
      <c r="AY1334" s="15"/>
      <c r="AZ1334" s="15"/>
      <c r="BA1334" s="16"/>
      <c r="BB1334" s="15"/>
      <c r="BC1334" s="15"/>
      <c r="BD1334" s="13"/>
      <c r="BE1334" s="13"/>
      <c r="BF1334" s="13"/>
      <c r="BG1334" s="13"/>
      <c r="BH1334" s="13"/>
      <c r="BI1334" s="13"/>
      <c r="BJ1334" s="13"/>
      <c r="BK1334" s="13"/>
      <c r="BL1334" s="13"/>
      <c r="BM1334" s="13"/>
      <c r="BN1334" s="13"/>
      <c r="BO1334" s="13"/>
      <c r="BP1334" s="13"/>
      <c r="BQ1334" s="15"/>
      <c r="BR1334" s="15"/>
      <c r="BS1334" s="15"/>
      <c r="BT1334" s="15"/>
      <c r="BU1334" s="15"/>
      <c r="BV1334" s="15"/>
      <c r="BW1334" s="15"/>
      <c r="BX1334" s="15"/>
      <c r="BY1334" s="15"/>
      <c r="BZ1334" s="15"/>
      <c r="CA1334" s="15"/>
      <c r="CB1334" s="17"/>
      <c r="CC1334" s="17"/>
      <c r="CD1334" s="18"/>
      <c r="CE1334" s="18"/>
      <c r="CF1334" s="18"/>
      <c r="CG1334" s="18"/>
      <c r="CH1334" s="18"/>
    </row>
    <row r="1335">
      <c r="A1335" s="15"/>
      <c r="B1335" s="16"/>
      <c r="C1335" s="15"/>
      <c r="D1335" s="9"/>
      <c r="E1335" s="15"/>
      <c r="F1335" s="15"/>
      <c r="G1335" s="13"/>
      <c r="H1335" s="13"/>
      <c r="I1335" s="13"/>
      <c r="J1335" s="13"/>
      <c r="K1335" s="13"/>
      <c r="L1335" s="13"/>
      <c r="M1335" s="13"/>
      <c r="N1335" s="13"/>
      <c r="O1335" s="13"/>
      <c r="P1335" s="13"/>
      <c r="Q1335" s="13"/>
      <c r="R1335" s="13"/>
      <c r="S1335" s="13"/>
      <c r="T1335" s="13"/>
      <c r="U1335" s="13"/>
      <c r="V1335" s="13"/>
      <c r="W1335" s="13"/>
      <c r="X1335" s="13"/>
      <c r="Y1335" s="13"/>
      <c r="Z1335" s="13"/>
      <c r="AA1335" s="13"/>
      <c r="AB1335" s="15"/>
      <c r="AC1335" s="15"/>
      <c r="AD1335" s="15"/>
      <c r="AE1335" s="13"/>
      <c r="AF1335" s="13"/>
      <c r="AG1335" s="13"/>
      <c r="AH1335" s="15"/>
      <c r="AI1335" s="13"/>
      <c r="AJ1335" s="13"/>
      <c r="AK1335" s="13"/>
      <c r="AL1335" s="13"/>
      <c r="AM1335" s="15"/>
      <c r="AN1335" s="13"/>
      <c r="AO1335" s="15"/>
      <c r="AP1335" s="15"/>
      <c r="AQ1335" s="13"/>
      <c r="AR1335" s="13"/>
      <c r="AS1335" s="13"/>
      <c r="AT1335" s="13"/>
      <c r="AU1335" s="13"/>
      <c r="AV1335" s="13"/>
      <c r="AW1335" s="13"/>
      <c r="AX1335" s="13"/>
      <c r="AY1335" s="15"/>
      <c r="AZ1335" s="15"/>
      <c r="BA1335" s="16"/>
      <c r="BB1335" s="15"/>
      <c r="BC1335" s="15"/>
      <c r="BD1335" s="13"/>
      <c r="BE1335" s="13"/>
      <c r="BF1335" s="13"/>
      <c r="BG1335" s="13"/>
      <c r="BH1335" s="13"/>
      <c r="BI1335" s="13"/>
      <c r="BJ1335" s="13"/>
      <c r="BK1335" s="13"/>
      <c r="BL1335" s="13"/>
      <c r="BM1335" s="13"/>
      <c r="BN1335" s="13"/>
      <c r="BO1335" s="13"/>
      <c r="BP1335" s="13"/>
      <c r="BQ1335" s="15"/>
      <c r="BR1335" s="15"/>
      <c r="BS1335" s="15"/>
      <c r="BT1335" s="15"/>
      <c r="BU1335" s="15"/>
      <c r="BV1335" s="15"/>
      <c r="BW1335" s="15"/>
      <c r="BX1335" s="15"/>
      <c r="BY1335" s="15"/>
      <c r="BZ1335" s="15"/>
      <c r="CA1335" s="15"/>
      <c r="CB1335" s="17"/>
      <c r="CC1335" s="17"/>
      <c r="CD1335" s="18"/>
      <c r="CE1335" s="18"/>
      <c r="CF1335" s="18"/>
      <c r="CG1335" s="18"/>
      <c r="CH1335" s="18"/>
    </row>
    <row r="1336">
      <c r="A1336" s="15"/>
      <c r="B1336" s="16"/>
      <c r="C1336" s="15"/>
      <c r="D1336" s="9"/>
      <c r="E1336" s="15"/>
      <c r="F1336" s="15"/>
      <c r="G1336" s="13"/>
      <c r="H1336" s="13"/>
      <c r="I1336" s="13"/>
      <c r="J1336" s="13"/>
      <c r="K1336" s="13"/>
      <c r="L1336" s="13"/>
      <c r="M1336" s="13"/>
      <c r="N1336" s="13"/>
      <c r="O1336" s="13"/>
      <c r="P1336" s="13"/>
      <c r="Q1336" s="13"/>
      <c r="R1336" s="13"/>
      <c r="S1336" s="13"/>
      <c r="T1336" s="13"/>
      <c r="U1336" s="13"/>
      <c r="V1336" s="13"/>
      <c r="W1336" s="13"/>
      <c r="X1336" s="13"/>
      <c r="Y1336" s="13"/>
      <c r="Z1336" s="13"/>
      <c r="AA1336" s="13"/>
      <c r="AB1336" s="15"/>
      <c r="AC1336" s="15"/>
      <c r="AD1336" s="15"/>
      <c r="AE1336" s="13"/>
      <c r="AF1336" s="13"/>
      <c r="AG1336" s="13"/>
      <c r="AH1336" s="15"/>
      <c r="AI1336" s="13"/>
      <c r="AJ1336" s="13"/>
      <c r="AK1336" s="13"/>
      <c r="AL1336" s="13"/>
      <c r="AM1336" s="15"/>
      <c r="AN1336" s="13"/>
      <c r="AO1336" s="15"/>
      <c r="AP1336" s="15"/>
      <c r="AQ1336" s="13"/>
      <c r="AR1336" s="13"/>
      <c r="AS1336" s="13"/>
      <c r="AT1336" s="13"/>
      <c r="AU1336" s="13"/>
      <c r="AV1336" s="13"/>
      <c r="AW1336" s="13"/>
      <c r="AX1336" s="13"/>
      <c r="AY1336" s="15"/>
      <c r="AZ1336" s="15"/>
      <c r="BA1336" s="16"/>
      <c r="BB1336" s="15"/>
      <c r="BC1336" s="15"/>
      <c r="BD1336" s="13"/>
      <c r="BE1336" s="13"/>
      <c r="BF1336" s="13"/>
      <c r="BG1336" s="13"/>
      <c r="BH1336" s="13"/>
      <c r="BI1336" s="13"/>
      <c r="BJ1336" s="13"/>
      <c r="BK1336" s="13"/>
      <c r="BL1336" s="13"/>
      <c r="BM1336" s="13"/>
      <c r="BN1336" s="13"/>
      <c r="BO1336" s="13"/>
      <c r="BP1336" s="13"/>
      <c r="BQ1336" s="15"/>
      <c r="BR1336" s="15"/>
      <c r="BS1336" s="15"/>
      <c r="BT1336" s="15"/>
      <c r="BU1336" s="15"/>
      <c r="BV1336" s="15"/>
      <c r="BW1336" s="15"/>
      <c r="BX1336" s="15"/>
      <c r="BY1336" s="15"/>
      <c r="BZ1336" s="15"/>
      <c r="CA1336" s="15"/>
      <c r="CB1336" s="17"/>
      <c r="CC1336" s="17"/>
      <c r="CD1336" s="18"/>
      <c r="CE1336" s="18"/>
      <c r="CF1336" s="18"/>
      <c r="CG1336" s="18"/>
      <c r="CH1336" s="18"/>
    </row>
    <row r="1337">
      <c r="A1337" s="15"/>
      <c r="B1337" s="16"/>
      <c r="C1337" s="15"/>
      <c r="D1337" s="9"/>
      <c r="E1337" s="15"/>
      <c r="F1337" s="15"/>
      <c r="G1337" s="13"/>
      <c r="H1337" s="13"/>
      <c r="I1337" s="13"/>
      <c r="J1337" s="13"/>
      <c r="K1337" s="13"/>
      <c r="L1337" s="13"/>
      <c r="M1337" s="13"/>
      <c r="N1337" s="13"/>
      <c r="O1337" s="13"/>
      <c r="P1337" s="13"/>
      <c r="Q1337" s="13"/>
      <c r="R1337" s="13"/>
      <c r="S1337" s="13"/>
      <c r="T1337" s="13"/>
      <c r="U1337" s="13"/>
      <c r="V1337" s="13"/>
      <c r="W1337" s="13"/>
      <c r="X1337" s="13"/>
      <c r="Y1337" s="13"/>
      <c r="Z1337" s="13"/>
      <c r="AA1337" s="13"/>
      <c r="AB1337" s="15"/>
      <c r="AC1337" s="15"/>
      <c r="AD1337" s="15"/>
      <c r="AE1337" s="13"/>
      <c r="AF1337" s="13"/>
      <c r="AG1337" s="13"/>
      <c r="AH1337" s="15"/>
      <c r="AI1337" s="13"/>
      <c r="AJ1337" s="13"/>
      <c r="AK1337" s="13"/>
      <c r="AL1337" s="13"/>
      <c r="AM1337" s="15"/>
      <c r="AN1337" s="13"/>
      <c r="AO1337" s="15"/>
      <c r="AP1337" s="15"/>
      <c r="AQ1337" s="13"/>
      <c r="AR1337" s="13"/>
      <c r="AS1337" s="13"/>
      <c r="AT1337" s="13"/>
      <c r="AU1337" s="13"/>
      <c r="AV1337" s="13"/>
      <c r="AW1337" s="13"/>
      <c r="AX1337" s="13"/>
      <c r="AY1337" s="15"/>
      <c r="AZ1337" s="15"/>
      <c r="BA1337" s="16"/>
      <c r="BB1337" s="15"/>
      <c r="BC1337" s="15"/>
      <c r="BD1337" s="13"/>
      <c r="BE1337" s="13"/>
      <c r="BF1337" s="13"/>
      <c r="BG1337" s="13"/>
      <c r="BH1337" s="13"/>
      <c r="BI1337" s="13"/>
      <c r="BJ1337" s="13"/>
      <c r="BK1337" s="13"/>
      <c r="BL1337" s="13"/>
      <c r="BM1337" s="13"/>
      <c r="BN1337" s="13"/>
      <c r="BO1337" s="13"/>
      <c r="BP1337" s="13"/>
      <c r="BQ1337" s="15"/>
      <c r="BR1337" s="15"/>
      <c r="BS1337" s="15"/>
      <c r="BT1337" s="15"/>
      <c r="BU1337" s="15"/>
      <c r="BV1337" s="15"/>
      <c r="BW1337" s="15"/>
      <c r="BX1337" s="15"/>
      <c r="BY1337" s="15"/>
      <c r="BZ1337" s="15"/>
      <c r="CA1337" s="15"/>
      <c r="CB1337" s="17"/>
      <c r="CC1337" s="17"/>
      <c r="CD1337" s="18"/>
      <c r="CE1337" s="18"/>
      <c r="CF1337" s="18"/>
      <c r="CG1337" s="18"/>
      <c r="CH1337" s="18"/>
    </row>
    <row r="1338">
      <c r="A1338" s="15"/>
      <c r="B1338" s="16"/>
      <c r="C1338" s="15"/>
      <c r="D1338" s="9"/>
      <c r="E1338" s="15"/>
      <c r="F1338" s="15"/>
      <c r="G1338" s="13"/>
      <c r="H1338" s="13"/>
      <c r="I1338" s="13"/>
      <c r="J1338" s="13"/>
      <c r="K1338" s="13"/>
      <c r="L1338" s="13"/>
      <c r="M1338" s="13"/>
      <c r="N1338" s="13"/>
      <c r="O1338" s="13"/>
      <c r="P1338" s="13"/>
      <c r="Q1338" s="13"/>
      <c r="R1338" s="13"/>
      <c r="S1338" s="13"/>
      <c r="T1338" s="13"/>
      <c r="U1338" s="13"/>
      <c r="V1338" s="13"/>
      <c r="W1338" s="13"/>
      <c r="X1338" s="13"/>
      <c r="Y1338" s="13"/>
      <c r="Z1338" s="13"/>
      <c r="AA1338" s="13"/>
      <c r="AB1338" s="15"/>
      <c r="AC1338" s="15"/>
      <c r="AD1338" s="15"/>
      <c r="AE1338" s="13"/>
      <c r="AF1338" s="13"/>
      <c r="AG1338" s="13"/>
      <c r="AH1338" s="15"/>
      <c r="AI1338" s="13"/>
      <c r="AJ1338" s="13"/>
      <c r="AK1338" s="13"/>
      <c r="AL1338" s="13"/>
      <c r="AM1338" s="15"/>
      <c r="AN1338" s="13"/>
      <c r="AO1338" s="15"/>
      <c r="AP1338" s="15"/>
      <c r="AQ1338" s="13"/>
      <c r="AR1338" s="13"/>
      <c r="AS1338" s="13"/>
      <c r="AT1338" s="13"/>
      <c r="AU1338" s="13"/>
      <c r="AV1338" s="13"/>
      <c r="AW1338" s="13"/>
      <c r="AX1338" s="13"/>
      <c r="AY1338" s="15"/>
      <c r="AZ1338" s="15"/>
      <c r="BA1338" s="16"/>
      <c r="BB1338" s="15"/>
      <c r="BC1338" s="15"/>
      <c r="BD1338" s="13"/>
      <c r="BE1338" s="13"/>
      <c r="BF1338" s="13"/>
      <c r="BG1338" s="13"/>
      <c r="BH1338" s="13"/>
      <c r="BI1338" s="13"/>
      <c r="BJ1338" s="13"/>
      <c r="BK1338" s="13"/>
      <c r="BL1338" s="13"/>
      <c r="BM1338" s="13"/>
      <c r="BN1338" s="13"/>
      <c r="BO1338" s="13"/>
      <c r="BP1338" s="13"/>
      <c r="BQ1338" s="15"/>
      <c r="BR1338" s="15"/>
      <c r="BS1338" s="15"/>
      <c r="BT1338" s="15"/>
      <c r="BU1338" s="15"/>
      <c r="BV1338" s="15"/>
      <c r="BW1338" s="15"/>
      <c r="BX1338" s="15"/>
      <c r="BY1338" s="15"/>
      <c r="BZ1338" s="15"/>
      <c r="CA1338" s="15"/>
      <c r="CB1338" s="17"/>
      <c r="CC1338" s="17"/>
      <c r="CD1338" s="18"/>
      <c r="CE1338" s="18"/>
      <c r="CF1338" s="18"/>
      <c r="CG1338" s="18"/>
      <c r="CH1338" s="18"/>
    </row>
    <row r="1339">
      <c r="A1339" s="15"/>
      <c r="B1339" s="16"/>
      <c r="C1339" s="15"/>
      <c r="D1339" s="9"/>
      <c r="E1339" s="15"/>
      <c r="F1339" s="15"/>
      <c r="G1339" s="13"/>
      <c r="H1339" s="13"/>
      <c r="I1339" s="13"/>
      <c r="J1339" s="13"/>
      <c r="K1339" s="13"/>
      <c r="L1339" s="13"/>
      <c r="M1339" s="13"/>
      <c r="N1339" s="13"/>
      <c r="O1339" s="13"/>
      <c r="P1339" s="13"/>
      <c r="Q1339" s="13"/>
      <c r="R1339" s="13"/>
      <c r="S1339" s="13"/>
      <c r="T1339" s="13"/>
      <c r="U1339" s="13"/>
      <c r="V1339" s="13"/>
      <c r="W1339" s="13"/>
      <c r="X1339" s="13"/>
      <c r="Y1339" s="13"/>
      <c r="Z1339" s="13"/>
      <c r="AA1339" s="13"/>
      <c r="AB1339" s="15"/>
      <c r="AC1339" s="15"/>
      <c r="AD1339" s="15"/>
      <c r="AE1339" s="13"/>
      <c r="AF1339" s="13"/>
      <c r="AG1339" s="13"/>
      <c r="AH1339" s="15"/>
      <c r="AI1339" s="13"/>
      <c r="AJ1339" s="13"/>
      <c r="AK1339" s="13"/>
      <c r="AL1339" s="13"/>
      <c r="AM1339" s="15"/>
      <c r="AN1339" s="13"/>
      <c r="AO1339" s="15"/>
      <c r="AP1339" s="15"/>
      <c r="AQ1339" s="13"/>
      <c r="AR1339" s="13"/>
      <c r="AS1339" s="13"/>
      <c r="AT1339" s="13"/>
      <c r="AU1339" s="13"/>
      <c r="AV1339" s="13"/>
      <c r="AW1339" s="13"/>
      <c r="AX1339" s="13"/>
      <c r="AY1339" s="15"/>
      <c r="AZ1339" s="15"/>
      <c r="BA1339" s="16"/>
      <c r="BB1339" s="15"/>
      <c r="BC1339" s="15"/>
      <c r="BD1339" s="13"/>
      <c r="BE1339" s="13"/>
      <c r="BF1339" s="13"/>
      <c r="BG1339" s="13"/>
      <c r="BH1339" s="13"/>
      <c r="BI1339" s="13"/>
      <c r="BJ1339" s="13"/>
      <c r="BK1339" s="13"/>
      <c r="BL1339" s="13"/>
      <c r="BM1339" s="13"/>
      <c r="BN1339" s="13"/>
      <c r="BO1339" s="13"/>
      <c r="BP1339" s="13"/>
      <c r="BQ1339" s="15"/>
      <c r="BR1339" s="15"/>
      <c r="BS1339" s="15"/>
      <c r="BT1339" s="15"/>
      <c r="BU1339" s="15"/>
      <c r="BV1339" s="15"/>
      <c r="BW1339" s="15"/>
      <c r="BX1339" s="15"/>
      <c r="BY1339" s="15"/>
      <c r="BZ1339" s="15"/>
      <c r="CA1339" s="15"/>
      <c r="CB1339" s="17"/>
      <c r="CC1339" s="17"/>
      <c r="CD1339" s="18"/>
      <c r="CE1339" s="18"/>
      <c r="CF1339" s="18"/>
      <c r="CG1339" s="18"/>
      <c r="CH1339" s="18"/>
    </row>
    <row r="1340">
      <c r="A1340" s="15"/>
      <c r="B1340" s="16"/>
      <c r="C1340" s="15"/>
      <c r="D1340" s="9"/>
      <c r="E1340" s="15"/>
      <c r="F1340" s="15"/>
      <c r="G1340" s="13"/>
      <c r="H1340" s="13"/>
      <c r="I1340" s="13"/>
      <c r="J1340" s="13"/>
      <c r="K1340" s="13"/>
      <c r="L1340" s="13"/>
      <c r="M1340" s="13"/>
      <c r="N1340" s="13"/>
      <c r="O1340" s="13"/>
      <c r="P1340" s="13"/>
      <c r="Q1340" s="13"/>
      <c r="R1340" s="13"/>
      <c r="S1340" s="13"/>
      <c r="T1340" s="13"/>
      <c r="U1340" s="13"/>
      <c r="V1340" s="13"/>
      <c r="W1340" s="13"/>
      <c r="X1340" s="13"/>
      <c r="Y1340" s="13"/>
      <c r="Z1340" s="13"/>
      <c r="AA1340" s="13"/>
      <c r="AB1340" s="15"/>
      <c r="AC1340" s="15"/>
      <c r="AD1340" s="15"/>
      <c r="AE1340" s="13"/>
      <c r="AF1340" s="13"/>
      <c r="AG1340" s="13"/>
      <c r="AH1340" s="15"/>
      <c r="AI1340" s="13"/>
      <c r="AJ1340" s="13"/>
      <c r="AK1340" s="13"/>
      <c r="AL1340" s="13"/>
      <c r="AM1340" s="15"/>
      <c r="AN1340" s="13"/>
      <c r="AO1340" s="15"/>
      <c r="AP1340" s="15"/>
      <c r="AQ1340" s="13"/>
      <c r="AR1340" s="13"/>
      <c r="AS1340" s="13"/>
      <c r="AT1340" s="13"/>
      <c r="AU1340" s="13"/>
      <c r="AV1340" s="13"/>
      <c r="AW1340" s="13"/>
      <c r="AX1340" s="13"/>
      <c r="AY1340" s="15"/>
      <c r="AZ1340" s="15"/>
      <c r="BA1340" s="16"/>
      <c r="BB1340" s="15"/>
      <c r="BC1340" s="15"/>
      <c r="BD1340" s="13"/>
      <c r="BE1340" s="13"/>
      <c r="BF1340" s="13"/>
      <c r="BG1340" s="13"/>
      <c r="BH1340" s="13"/>
      <c r="BI1340" s="13"/>
      <c r="BJ1340" s="13"/>
      <c r="BK1340" s="13"/>
      <c r="BL1340" s="13"/>
      <c r="BM1340" s="13"/>
      <c r="BN1340" s="13"/>
      <c r="BO1340" s="13"/>
      <c r="BP1340" s="13"/>
      <c r="BQ1340" s="15"/>
      <c r="BR1340" s="15"/>
      <c r="BS1340" s="15"/>
      <c r="BT1340" s="15"/>
      <c r="BU1340" s="15"/>
      <c r="BV1340" s="15"/>
      <c r="BW1340" s="15"/>
      <c r="BX1340" s="15"/>
      <c r="BY1340" s="15"/>
      <c r="BZ1340" s="15"/>
      <c r="CA1340" s="15"/>
      <c r="CB1340" s="17"/>
      <c r="CC1340" s="17"/>
      <c r="CD1340" s="18"/>
      <c r="CE1340" s="18"/>
      <c r="CF1340" s="18"/>
      <c r="CG1340" s="18"/>
      <c r="CH1340" s="18"/>
    </row>
    <row r="1341">
      <c r="A1341" s="15"/>
      <c r="B1341" s="16"/>
      <c r="C1341" s="15"/>
      <c r="D1341" s="9"/>
      <c r="E1341" s="15"/>
      <c r="F1341" s="15"/>
      <c r="G1341" s="13"/>
      <c r="H1341" s="13"/>
      <c r="I1341" s="13"/>
      <c r="J1341" s="13"/>
      <c r="K1341" s="13"/>
      <c r="L1341" s="13"/>
      <c r="M1341" s="13"/>
      <c r="N1341" s="13"/>
      <c r="O1341" s="13"/>
      <c r="P1341" s="13"/>
      <c r="Q1341" s="13"/>
      <c r="R1341" s="13"/>
      <c r="S1341" s="13"/>
      <c r="T1341" s="13"/>
      <c r="U1341" s="13"/>
      <c r="V1341" s="13"/>
      <c r="W1341" s="13"/>
      <c r="X1341" s="13"/>
      <c r="Y1341" s="13"/>
      <c r="Z1341" s="13"/>
      <c r="AA1341" s="13"/>
      <c r="AB1341" s="15"/>
      <c r="AC1341" s="15"/>
      <c r="AD1341" s="15"/>
      <c r="AE1341" s="13"/>
      <c r="AF1341" s="13"/>
      <c r="AG1341" s="13"/>
      <c r="AH1341" s="15"/>
      <c r="AI1341" s="13"/>
      <c r="AJ1341" s="13"/>
      <c r="AK1341" s="13"/>
      <c r="AL1341" s="13"/>
      <c r="AM1341" s="15"/>
      <c r="AN1341" s="13"/>
      <c r="AO1341" s="15"/>
      <c r="AP1341" s="15"/>
      <c r="AQ1341" s="13"/>
      <c r="AR1341" s="13"/>
      <c r="AS1341" s="13"/>
      <c r="AT1341" s="13"/>
      <c r="AU1341" s="13"/>
      <c r="AV1341" s="13"/>
      <c r="AW1341" s="13"/>
      <c r="AX1341" s="13"/>
      <c r="AY1341" s="15"/>
      <c r="AZ1341" s="15"/>
      <c r="BA1341" s="16"/>
      <c r="BB1341" s="15"/>
      <c r="BC1341" s="15"/>
      <c r="BD1341" s="13"/>
      <c r="BE1341" s="13"/>
      <c r="BF1341" s="13"/>
      <c r="BG1341" s="13"/>
      <c r="BH1341" s="13"/>
      <c r="BI1341" s="13"/>
      <c r="BJ1341" s="13"/>
      <c r="BK1341" s="13"/>
      <c r="BL1341" s="13"/>
      <c r="BM1341" s="13"/>
      <c r="BN1341" s="13"/>
      <c r="BO1341" s="13"/>
      <c r="BP1341" s="13"/>
      <c r="BQ1341" s="15"/>
      <c r="BR1341" s="15"/>
      <c r="BS1341" s="15"/>
      <c r="BT1341" s="15"/>
      <c r="BU1341" s="15"/>
      <c r="BV1341" s="15"/>
      <c r="BW1341" s="15"/>
      <c r="BX1341" s="15"/>
      <c r="BY1341" s="15"/>
      <c r="BZ1341" s="15"/>
      <c r="CA1341" s="15"/>
      <c r="CB1341" s="17"/>
      <c r="CC1341" s="17"/>
      <c r="CD1341" s="18"/>
      <c r="CE1341" s="18"/>
      <c r="CF1341" s="18"/>
      <c r="CG1341" s="18"/>
      <c r="CH1341" s="18"/>
    </row>
    <row r="1342">
      <c r="A1342" s="15"/>
      <c r="B1342" s="16"/>
      <c r="C1342" s="15"/>
      <c r="D1342" s="9"/>
      <c r="E1342" s="15"/>
      <c r="F1342" s="15"/>
      <c r="G1342" s="13"/>
      <c r="H1342" s="13"/>
      <c r="I1342" s="13"/>
      <c r="J1342" s="13"/>
      <c r="K1342" s="13"/>
      <c r="L1342" s="13"/>
      <c r="M1342" s="13"/>
      <c r="N1342" s="13"/>
      <c r="O1342" s="13"/>
      <c r="P1342" s="13"/>
      <c r="Q1342" s="13"/>
      <c r="R1342" s="13"/>
      <c r="S1342" s="13"/>
      <c r="T1342" s="13"/>
      <c r="U1342" s="13"/>
      <c r="V1342" s="13"/>
      <c r="W1342" s="13"/>
      <c r="X1342" s="13"/>
      <c r="Y1342" s="13"/>
      <c r="Z1342" s="13"/>
      <c r="AA1342" s="13"/>
      <c r="AB1342" s="15"/>
      <c r="AC1342" s="15"/>
      <c r="AD1342" s="15"/>
      <c r="AE1342" s="13"/>
      <c r="AF1342" s="13"/>
      <c r="AG1342" s="13"/>
      <c r="AH1342" s="15"/>
      <c r="AI1342" s="13"/>
      <c r="AJ1342" s="13"/>
      <c r="AK1342" s="13"/>
      <c r="AL1342" s="13"/>
      <c r="AM1342" s="15"/>
      <c r="AN1342" s="13"/>
      <c r="AO1342" s="15"/>
      <c r="AP1342" s="15"/>
      <c r="AQ1342" s="13"/>
      <c r="AR1342" s="13"/>
      <c r="AS1342" s="13"/>
      <c r="AT1342" s="13"/>
      <c r="AU1342" s="13"/>
      <c r="AV1342" s="13"/>
      <c r="AW1342" s="13"/>
      <c r="AX1342" s="13"/>
      <c r="AY1342" s="15"/>
      <c r="AZ1342" s="15"/>
      <c r="BA1342" s="16"/>
      <c r="BB1342" s="15"/>
      <c r="BC1342" s="15"/>
      <c r="BD1342" s="13"/>
      <c r="BE1342" s="13"/>
      <c r="BF1342" s="13"/>
      <c r="BG1342" s="13"/>
      <c r="BH1342" s="13"/>
      <c r="BI1342" s="13"/>
      <c r="BJ1342" s="13"/>
      <c r="BK1342" s="13"/>
      <c r="BL1342" s="13"/>
      <c r="BM1342" s="13"/>
      <c r="BN1342" s="13"/>
      <c r="BO1342" s="13"/>
      <c r="BP1342" s="13"/>
      <c r="BQ1342" s="15"/>
      <c r="BR1342" s="15"/>
      <c r="BS1342" s="15"/>
      <c r="BT1342" s="15"/>
      <c r="BU1342" s="15"/>
      <c r="BV1342" s="15"/>
      <c r="BW1342" s="15"/>
      <c r="BX1342" s="15"/>
      <c r="BY1342" s="15"/>
      <c r="BZ1342" s="15"/>
      <c r="CA1342" s="15"/>
      <c r="CB1342" s="17"/>
      <c r="CC1342" s="17"/>
      <c r="CD1342" s="18"/>
      <c r="CE1342" s="18"/>
      <c r="CF1342" s="18"/>
      <c r="CG1342" s="18"/>
      <c r="CH1342" s="18"/>
    </row>
    <row r="1343">
      <c r="A1343" s="15"/>
      <c r="B1343" s="16"/>
      <c r="C1343" s="15"/>
      <c r="D1343" s="9"/>
      <c r="E1343" s="15"/>
      <c r="F1343" s="15"/>
      <c r="G1343" s="13"/>
      <c r="H1343" s="13"/>
      <c r="I1343" s="13"/>
      <c r="J1343" s="13"/>
      <c r="K1343" s="13"/>
      <c r="L1343" s="13"/>
      <c r="M1343" s="13"/>
      <c r="N1343" s="13"/>
      <c r="O1343" s="13"/>
      <c r="P1343" s="13"/>
      <c r="Q1343" s="13"/>
      <c r="R1343" s="13"/>
      <c r="S1343" s="13"/>
      <c r="T1343" s="13"/>
      <c r="U1343" s="13"/>
      <c r="V1343" s="13"/>
      <c r="W1343" s="13"/>
      <c r="X1343" s="13"/>
      <c r="Y1343" s="13"/>
      <c r="Z1343" s="13"/>
      <c r="AA1343" s="13"/>
      <c r="AB1343" s="15"/>
      <c r="AC1343" s="15"/>
      <c r="AD1343" s="15"/>
      <c r="AE1343" s="13"/>
      <c r="AF1343" s="13"/>
      <c r="AG1343" s="13"/>
      <c r="AH1343" s="15"/>
      <c r="AI1343" s="13"/>
      <c r="AJ1343" s="13"/>
      <c r="AK1343" s="13"/>
      <c r="AL1343" s="13"/>
      <c r="AM1343" s="15"/>
      <c r="AN1343" s="13"/>
      <c r="AO1343" s="15"/>
      <c r="AP1343" s="15"/>
      <c r="AQ1343" s="13"/>
      <c r="AR1343" s="13"/>
      <c r="AS1343" s="13"/>
      <c r="AT1343" s="13"/>
      <c r="AU1343" s="13"/>
      <c r="AV1343" s="13"/>
      <c r="AW1343" s="13"/>
      <c r="AX1343" s="13"/>
      <c r="AY1343" s="15"/>
      <c r="AZ1343" s="15"/>
      <c r="BA1343" s="16"/>
      <c r="BB1343" s="15"/>
      <c r="BC1343" s="15"/>
      <c r="BD1343" s="13"/>
      <c r="BE1343" s="13"/>
      <c r="BF1343" s="13"/>
      <c r="BG1343" s="13"/>
      <c r="BH1343" s="13"/>
      <c r="BI1343" s="13"/>
      <c r="BJ1343" s="13"/>
      <c r="BK1343" s="13"/>
      <c r="BL1343" s="13"/>
      <c r="BM1343" s="13"/>
      <c r="BN1343" s="13"/>
      <c r="BO1343" s="13"/>
      <c r="BP1343" s="13"/>
      <c r="BQ1343" s="15"/>
      <c r="BR1343" s="15"/>
      <c r="BS1343" s="15"/>
      <c r="BT1343" s="15"/>
      <c r="BU1343" s="15"/>
      <c r="BV1343" s="15"/>
      <c r="BW1343" s="15"/>
      <c r="BX1343" s="15"/>
      <c r="BY1343" s="15"/>
      <c r="BZ1343" s="15"/>
      <c r="CA1343" s="15"/>
      <c r="CB1343" s="17"/>
      <c r="CC1343" s="17"/>
      <c r="CD1343" s="18"/>
      <c r="CE1343" s="18"/>
      <c r="CF1343" s="18"/>
      <c r="CG1343" s="18"/>
      <c r="CH1343" s="18"/>
    </row>
    <row r="1344">
      <c r="A1344" s="15"/>
      <c r="B1344" s="16"/>
      <c r="C1344" s="15"/>
      <c r="D1344" s="9"/>
      <c r="E1344" s="15"/>
      <c r="F1344" s="15"/>
      <c r="G1344" s="13"/>
      <c r="H1344" s="13"/>
      <c r="I1344" s="13"/>
      <c r="J1344" s="13"/>
      <c r="K1344" s="13"/>
      <c r="L1344" s="13"/>
      <c r="M1344" s="13"/>
      <c r="N1344" s="13"/>
      <c r="O1344" s="13"/>
      <c r="P1344" s="13"/>
      <c r="Q1344" s="13"/>
      <c r="R1344" s="13"/>
      <c r="S1344" s="13"/>
      <c r="T1344" s="13"/>
      <c r="U1344" s="13"/>
      <c r="V1344" s="13"/>
      <c r="W1344" s="13"/>
      <c r="X1344" s="13"/>
      <c r="Y1344" s="13"/>
      <c r="Z1344" s="13"/>
      <c r="AA1344" s="13"/>
      <c r="AB1344" s="15"/>
      <c r="AC1344" s="15"/>
      <c r="AD1344" s="15"/>
      <c r="AE1344" s="13"/>
      <c r="AF1344" s="13"/>
      <c r="AG1344" s="13"/>
      <c r="AH1344" s="15"/>
      <c r="AI1344" s="13"/>
      <c r="AJ1344" s="13"/>
      <c r="AK1344" s="13"/>
      <c r="AL1344" s="13"/>
      <c r="AM1344" s="15"/>
      <c r="AN1344" s="13"/>
      <c r="AO1344" s="15"/>
      <c r="AP1344" s="15"/>
      <c r="AQ1344" s="13"/>
      <c r="AR1344" s="13"/>
      <c r="AS1344" s="13"/>
      <c r="AT1344" s="13"/>
      <c r="AU1344" s="13"/>
      <c r="AV1344" s="13"/>
      <c r="AW1344" s="13"/>
      <c r="AX1344" s="13"/>
      <c r="AY1344" s="15"/>
      <c r="AZ1344" s="15"/>
      <c r="BA1344" s="16"/>
      <c r="BB1344" s="15"/>
      <c r="BC1344" s="15"/>
      <c r="BD1344" s="13"/>
      <c r="BE1344" s="13"/>
      <c r="BF1344" s="13"/>
      <c r="BG1344" s="13"/>
      <c r="BH1344" s="13"/>
      <c r="BI1344" s="13"/>
      <c r="BJ1344" s="13"/>
      <c r="BK1344" s="13"/>
      <c r="BL1344" s="13"/>
      <c r="BM1344" s="13"/>
      <c r="BN1344" s="13"/>
      <c r="BO1344" s="13"/>
      <c r="BP1344" s="13"/>
      <c r="BQ1344" s="15"/>
      <c r="BR1344" s="15"/>
      <c r="BS1344" s="15"/>
      <c r="BT1344" s="15"/>
      <c r="BU1344" s="15"/>
      <c r="BV1344" s="15"/>
      <c r="BW1344" s="15"/>
      <c r="BX1344" s="15"/>
      <c r="BY1344" s="15"/>
      <c r="BZ1344" s="15"/>
      <c r="CA1344" s="15"/>
      <c r="CB1344" s="17"/>
      <c r="CC1344" s="17"/>
      <c r="CD1344" s="18"/>
      <c r="CE1344" s="18"/>
      <c r="CF1344" s="18"/>
      <c r="CG1344" s="18"/>
      <c r="CH1344" s="18"/>
    </row>
    <row r="1345">
      <c r="A1345" s="15"/>
      <c r="B1345" s="16"/>
      <c r="C1345" s="15"/>
      <c r="D1345" s="9"/>
      <c r="E1345" s="15"/>
      <c r="F1345" s="15"/>
      <c r="G1345" s="13"/>
      <c r="H1345" s="13"/>
      <c r="I1345" s="13"/>
      <c r="J1345" s="13"/>
      <c r="K1345" s="13"/>
      <c r="L1345" s="13"/>
      <c r="M1345" s="13"/>
      <c r="N1345" s="13"/>
      <c r="O1345" s="13"/>
      <c r="P1345" s="13"/>
      <c r="Q1345" s="13"/>
      <c r="R1345" s="13"/>
      <c r="S1345" s="13"/>
      <c r="T1345" s="13"/>
      <c r="U1345" s="13"/>
      <c r="V1345" s="13"/>
      <c r="W1345" s="13"/>
      <c r="X1345" s="13"/>
      <c r="Y1345" s="13"/>
      <c r="Z1345" s="13"/>
      <c r="AA1345" s="13"/>
      <c r="AB1345" s="15"/>
      <c r="AC1345" s="15"/>
      <c r="AD1345" s="15"/>
      <c r="AE1345" s="13"/>
      <c r="AF1345" s="13"/>
      <c r="AG1345" s="13"/>
      <c r="AH1345" s="15"/>
      <c r="AI1345" s="13"/>
      <c r="AJ1345" s="13"/>
      <c r="AK1345" s="13"/>
      <c r="AL1345" s="13"/>
      <c r="AM1345" s="15"/>
      <c r="AN1345" s="13"/>
      <c r="AO1345" s="15"/>
      <c r="AP1345" s="15"/>
      <c r="AQ1345" s="13"/>
      <c r="AR1345" s="13"/>
      <c r="AS1345" s="13"/>
      <c r="AT1345" s="13"/>
      <c r="AU1345" s="13"/>
      <c r="AV1345" s="13"/>
      <c r="AW1345" s="13"/>
      <c r="AX1345" s="13"/>
      <c r="AY1345" s="15"/>
      <c r="AZ1345" s="15"/>
      <c r="BA1345" s="16"/>
      <c r="BB1345" s="15"/>
      <c r="BC1345" s="15"/>
      <c r="BD1345" s="13"/>
      <c r="BE1345" s="13"/>
      <c r="BF1345" s="13"/>
      <c r="BG1345" s="13"/>
      <c r="BH1345" s="13"/>
      <c r="BI1345" s="13"/>
      <c r="BJ1345" s="13"/>
      <c r="BK1345" s="13"/>
      <c r="BL1345" s="13"/>
      <c r="BM1345" s="13"/>
      <c r="BN1345" s="13"/>
      <c r="BO1345" s="13"/>
      <c r="BP1345" s="13"/>
      <c r="BQ1345" s="15"/>
      <c r="BR1345" s="15"/>
      <c r="BS1345" s="15"/>
      <c r="BT1345" s="15"/>
      <c r="BU1345" s="15"/>
      <c r="BV1345" s="15"/>
      <c r="BW1345" s="15"/>
      <c r="BX1345" s="15"/>
      <c r="BY1345" s="15"/>
      <c r="BZ1345" s="15"/>
      <c r="CA1345" s="15"/>
      <c r="CB1345" s="17"/>
      <c r="CC1345" s="17"/>
      <c r="CD1345" s="18"/>
      <c r="CE1345" s="18"/>
      <c r="CF1345" s="18"/>
      <c r="CG1345" s="18"/>
      <c r="CH1345" s="18"/>
    </row>
    <row r="1346">
      <c r="A1346" s="15"/>
      <c r="B1346" s="16"/>
      <c r="C1346" s="15"/>
      <c r="D1346" s="9"/>
      <c r="E1346" s="15"/>
      <c r="F1346" s="15"/>
      <c r="G1346" s="13"/>
      <c r="H1346" s="13"/>
      <c r="I1346" s="13"/>
      <c r="J1346" s="13"/>
      <c r="K1346" s="13"/>
      <c r="L1346" s="13"/>
      <c r="M1346" s="13"/>
      <c r="N1346" s="13"/>
      <c r="O1346" s="13"/>
      <c r="P1346" s="13"/>
      <c r="Q1346" s="13"/>
      <c r="R1346" s="13"/>
      <c r="S1346" s="13"/>
      <c r="T1346" s="13"/>
      <c r="U1346" s="13"/>
      <c r="V1346" s="13"/>
      <c r="W1346" s="13"/>
      <c r="X1346" s="13"/>
      <c r="Y1346" s="13"/>
      <c r="Z1346" s="13"/>
      <c r="AA1346" s="13"/>
      <c r="AB1346" s="15"/>
      <c r="AC1346" s="15"/>
      <c r="AD1346" s="15"/>
      <c r="AE1346" s="13"/>
      <c r="AF1346" s="13"/>
      <c r="AG1346" s="13"/>
      <c r="AH1346" s="15"/>
      <c r="AI1346" s="13"/>
      <c r="AJ1346" s="13"/>
      <c r="AK1346" s="13"/>
      <c r="AL1346" s="13"/>
      <c r="AM1346" s="15"/>
      <c r="AN1346" s="13"/>
      <c r="AO1346" s="15"/>
      <c r="AP1346" s="15"/>
      <c r="AQ1346" s="13"/>
      <c r="AR1346" s="13"/>
      <c r="AS1346" s="13"/>
      <c r="AT1346" s="13"/>
      <c r="AU1346" s="13"/>
      <c r="AV1346" s="13"/>
      <c r="AW1346" s="13"/>
      <c r="AX1346" s="13"/>
      <c r="AY1346" s="15"/>
      <c r="AZ1346" s="15"/>
      <c r="BA1346" s="16"/>
      <c r="BB1346" s="15"/>
      <c r="BC1346" s="15"/>
      <c r="BD1346" s="13"/>
      <c r="BE1346" s="13"/>
      <c r="BF1346" s="13"/>
      <c r="BG1346" s="13"/>
      <c r="BH1346" s="13"/>
      <c r="BI1346" s="13"/>
      <c r="BJ1346" s="13"/>
      <c r="BK1346" s="13"/>
      <c r="BL1346" s="13"/>
      <c r="BM1346" s="13"/>
      <c r="BN1346" s="13"/>
      <c r="BO1346" s="13"/>
      <c r="BP1346" s="13"/>
      <c r="BQ1346" s="15"/>
      <c r="BR1346" s="15"/>
      <c r="BS1346" s="15"/>
      <c r="BT1346" s="15"/>
      <c r="BU1346" s="15"/>
      <c r="BV1346" s="15"/>
      <c r="BW1346" s="15"/>
      <c r="BX1346" s="15"/>
      <c r="BY1346" s="15"/>
      <c r="BZ1346" s="15"/>
      <c r="CA1346" s="15"/>
      <c r="CB1346" s="17"/>
      <c r="CC1346" s="17"/>
      <c r="CD1346" s="18"/>
      <c r="CE1346" s="18"/>
      <c r="CF1346" s="18"/>
      <c r="CG1346" s="18"/>
      <c r="CH1346" s="18"/>
    </row>
    <row r="1347">
      <c r="A1347" s="15"/>
      <c r="B1347" s="16"/>
      <c r="C1347" s="15"/>
      <c r="D1347" s="9"/>
      <c r="E1347" s="15"/>
      <c r="F1347" s="15"/>
      <c r="G1347" s="13"/>
      <c r="H1347" s="13"/>
      <c r="I1347" s="13"/>
      <c r="J1347" s="13"/>
      <c r="K1347" s="13"/>
      <c r="L1347" s="13"/>
      <c r="M1347" s="13"/>
      <c r="N1347" s="13"/>
      <c r="O1347" s="13"/>
      <c r="P1347" s="13"/>
      <c r="Q1347" s="13"/>
      <c r="R1347" s="13"/>
      <c r="S1347" s="13"/>
      <c r="T1347" s="13"/>
      <c r="U1347" s="13"/>
      <c r="V1347" s="13"/>
      <c r="W1347" s="13"/>
      <c r="X1347" s="13"/>
      <c r="Y1347" s="13"/>
      <c r="Z1347" s="13"/>
      <c r="AA1347" s="13"/>
      <c r="AB1347" s="15"/>
      <c r="AC1347" s="15"/>
      <c r="AD1347" s="15"/>
      <c r="AE1347" s="13"/>
      <c r="AF1347" s="13"/>
      <c r="AG1347" s="13"/>
      <c r="AH1347" s="15"/>
      <c r="AI1347" s="13"/>
      <c r="AJ1347" s="13"/>
      <c r="AK1347" s="13"/>
      <c r="AL1347" s="13"/>
      <c r="AM1347" s="15"/>
      <c r="AN1347" s="13"/>
      <c r="AO1347" s="15"/>
      <c r="AP1347" s="15"/>
      <c r="AQ1347" s="13"/>
      <c r="AR1347" s="13"/>
      <c r="AS1347" s="13"/>
      <c r="AT1347" s="13"/>
      <c r="AU1347" s="13"/>
      <c r="AV1347" s="13"/>
      <c r="AW1347" s="13"/>
      <c r="AX1347" s="13"/>
      <c r="AY1347" s="15"/>
      <c r="AZ1347" s="15"/>
      <c r="BA1347" s="16"/>
      <c r="BB1347" s="15"/>
      <c r="BC1347" s="15"/>
      <c r="BD1347" s="13"/>
      <c r="BE1347" s="13"/>
      <c r="BF1347" s="13"/>
      <c r="BG1347" s="13"/>
      <c r="BH1347" s="13"/>
      <c r="BI1347" s="13"/>
      <c r="BJ1347" s="13"/>
      <c r="BK1347" s="13"/>
      <c r="BL1347" s="13"/>
      <c r="BM1347" s="13"/>
      <c r="BN1347" s="13"/>
      <c r="BO1347" s="13"/>
      <c r="BP1347" s="13"/>
      <c r="BQ1347" s="15"/>
      <c r="BR1347" s="15"/>
      <c r="BS1347" s="15"/>
      <c r="BT1347" s="15"/>
      <c r="BU1347" s="15"/>
      <c r="BV1347" s="15"/>
      <c r="BW1347" s="15"/>
      <c r="BX1347" s="15"/>
      <c r="BY1347" s="15"/>
      <c r="BZ1347" s="15"/>
      <c r="CA1347" s="15"/>
      <c r="CB1347" s="17"/>
      <c r="CC1347" s="17"/>
      <c r="CD1347" s="18"/>
      <c r="CE1347" s="18"/>
      <c r="CF1347" s="18"/>
      <c r="CG1347" s="18"/>
      <c r="CH1347" s="18"/>
    </row>
    <row r="1348">
      <c r="A1348" s="15"/>
      <c r="B1348" s="16"/>
      <c r="C1348" s="15"/>
      <c r="D1348" s="9"/>
      <c r="E1348" s="15"/>
      <c r="F1348" s="15"/>
      <c r="G1348" s="13"/>
      <c r="H1348" s="13"/>
      <c r="I1348" s="13"/>
      <c r="J1348" s="13"/>
      <c r="K1348" s="13"/>
      <c r="L1348" s="13"/>
      <c r="M1348" s="13"/>
      <c r="N1348" s="13"/>
      <c r="O1348" s="13"/>
      <c r="P1348" s="13"/>
      <c r="Q1348" s="13"/>
      <c r="R1348" s="13"/>
      <c r="S1348" s="13"/>
      <c r="T1348" s="13"/>
      <c r="U1348" s="13"/>
      <c r="V1348" s="13"/>
      <c r="W1348" s="13"/>
      <c r="X1348" s="13"/>
      <c r="Y1348" s="13"/>
      <c r="Z1348" s="13"/>
      <c r="AA1348" s="13"/>
      <c r="AB1348" s="15"/>
      <c r="AC1348" s="15"/>
      <c r="AD1348" s="15"/>
      <c r="AE1348" s="13"/>
      <c r="AF1348" s="13"/>
      <c r="AG1348" s="13"/>
      <c r="AH1348" s="15"/>
      <c r="AI1348" s="13"/>
      <c r="AJ1348" s="13"/>
      <c r="AK1348" s="13"/>
      <c r="AL1348" s="13"/>
      <c r="AM1348" s="15"/>
      <c r="AN1348" s="13"/>
      <c r="AO1348" s="15"/>
      <c r="AP1348" s="15"/>
      <c r="AQ1348" s="13"/>
      <c r="AR1348" s="13"/>
      <c r="AS1348" s="13"/>
      <c r="AT1348" s="13"/>
      <c r="AU1348" s="13"/>
      <c r="AV1348" s="13"/>
      <c r="AW1348" s="13"/>
      <c r="AX1348" s="13"/>
      <c r="AY1348" s="15"/>
      <c r="AZ1348" s="15"/>
      <c r="BA1348" s="16"/>
      <c r="BB1348" s="15"/>
      <c r="BC1348" s="15"/>
      <c r="BD1348" s="13"/>
      <c r="BE1348" s="13"/>
      <c r="BF1348" s="13"/>
      <c r="BG1348" s="13"/>
      <c r="BH1348" s="13"/>
      <c r="BI1348" s="13"/>
      <c r="BJ1348" s="13"/>
      <c r="BK1348" s="13"/>
      <c r="BL1348" s="13"/>
      <c r="BM1348" s="13"/>
      <c r="BN1348" s="13"/>
      <c r="BO1348" s="13"/>
      <c r="BP1348" s="13"/>
      <c r="BQ1348" s="15"/>
      <c r="BR1348" s="15"/>
      <c r="BS1348" s="15"/>
      <c r="BT1348" s="15"/>
      <c r="BU1348" s="15"/>
      <c r="BV1348" s="15"/>
      <c r="BW1348" s="15"/>
      <c r="BX1348" s="15"/>
      <c r="BY1348" s="15"/>
      <c r="BZ1348" s="15"/>
      <c r="CA1348" s="15"/>
      <c r="CB1348" s="17"/>
      <c r="CC1348" s="17"/>
      <c r="CD1348" s="18"/>
      <c r="CE1348" s="18"/>
      <c r="CF1348" s="18"/>
      <c r="CG1348" s="18"/>
      <c r="CH1348" s="18"/>
    </row>
    <row r="1349">
      <c r="A1349" s="15"/>
      <c r="B1349" s="16"/>
      <c r="C1349" s="15"/>
      <c r="D1349" s="9"/>
      <c r="E1349" s="15"/>
      <c r="F1349" s="15"/>
      <c r="G1349" s="13"/>
      <c r="H1349" s="13"/>
      <c r="I1349" s="13"/>
      <c r="J1349" s="13"/>
      <c r="K1349" s="13"/>
      <c r="L1349" s="13"/>
      <c r="M1349" s="13"/>
      <c r="N1349" s="13"/>
      <c r="O1349" s="13"/>
      <c r="P1349" s="13"/>
      <c r="Q1349" s="13"/>
      <c r="R1349" s="13"/>
      <c r="S1349" s="13"/>
      <c r="T1349" s="13"/>
      <c r="U1349" s="13"/>
      <c r="V1349" s="13"/>
      <c r="W1349" s="13"/>
      <c r="X1349" s="13"/>
      <c r="Y1349" s="13"/>
      <c r="Z1349" s="13"/>
      <c r="AA1349" s="13"/>
      <c r="AB1349" s="15"/>
      <c r="AC1349" s="15"/>
      <c r="AD1349" s="15"/>
      <c r="AE1349" s="13"/>
      <c r="AF1349" s="13"/>
      <c r="AG1349" s="13"/>
      <c r="AH1349" s="15"/>
      <c r="AI1349" s="13"/>
      <c r="AJ1349" s="13"/>
      <c r="AK1349" s="13"/>
      <c r="AL1349" s="13"/>
      <c r="AM1349" s="15"/>
      <c r="AN1349" s="13"/>
      <c r="AO1349" s="15"/>
      <c r="AP1349" s="15"/>
      <c r="AQ1349" s="13"/>
      <c r="AR1349" s="13"/>
      <c r="AS1349" s="13"/>
      <c r="AT1349" s="13"/>
      <c r="AU1349" s="13"/>
      <c r="AV1349" s="13"/>
      <c r="AW1349" s="13"/>
      <c r="AX1349" s="13"/>
      <c r="AY1349" s="15"/>
      <c r="AZ1349" s="15"/>
      <c r="BA1349" s="16"/>
      <c r="BB1349" s="15"/>
      <c r="BC1349" s="15"/>
      <c r="BD1349" s="13"/>
      <c r="BE1349" s="13"/>
      <c r="BF1349" s="13"/>
      <c r="BG1349" s="13"/>
      <c r="BH1349" s="13"/>
      <c r="BI1349" s="13"/>
      <c r="BJ1349" s="13"/>
      <c r="BK1349" s="13"/>
      <c r="BL1349" s="13"/>
      <c r="BM1349" s="13"/>
      <c r="BN1349" s="13"/>
      <c r="BO1349" s="13"/>
      <c r="BP1349" s="13"/>
      <c r="BQ1349" s="15"/>
      <c r="BR1349" s="15"/>
      <c r="BS1349" s="15"/>
      <c r="BT1349" s="15"/>
      <c r="BU1349" s="15"/>
      <c r="BV1349" s="15"/>
      <c r="BW1349" s="15"/>
      <c r="BX1349" s="15"/>
      <c r="BY1349" s="15"/>
      <c r="BZ1349" s="15"/>
      <c r="CA1349" s="15"/>
      <c r="CB1349" s="17"/>
      <c r="CC1349" s="17"/>
      <c r="CD1349" s="18"/>
      <c r="CE1349" s="18"/>
      <c r="CF1349" s="18"/>
      <c r="CG1349" s="18"/>
      <c r="CH1349" s="18"/>
    </row>
    <row r="1350">
      <c r="A1350" s="15"/>
      <c r="B1350" s="16"/>
      <c r="C1350" s="15"/>
      <c r="D1350" s="9"/>
      <c r="E1350" s="15"/>
      <c r="F1350" s="15"/>
      <c r="G1350" s="13"/>
      <c r="H1350" s="13"/>
      <c r="I1350" s="13"/>
      <c r="J1350" s="13"/>
      <c r="K1350" s="13"/>
      <c r="L1350" s="13"/>
      <c r="M1350" s="13"/>
      <c r="N1350" s="13"/>
      <c r="O1350" s="13"/>
      <c r="P1350" s="13"/>
      <c r="Q1350" s="13"/>
      <c r="R1350" s="13"/>
      <c r="S1350" s="13"/>
      <c r="T1350" s="13"/>
      <c r="U1350" s="13"/>
      <c r="V1350" s="13"/>
      <c r="W1350" s="13"/>
      <c r="X1350" s="13"/>
      <c r="Y1350" s="13"/>
      <c r="Z1350" s="13"/>
      <c r="AA1350" s="13"/>
      <c r="AB1350" s="15"/>
      <c r="AC1350" s="15"/>
      <c r="AD1350" s="15"/>
      <c r="AE1350" s="13"/>
      <c r="AF1350" s="13"/>
      <c r="AG1350" s="13"/>
      <c r="AH1350" s="15"/>
      <c r="AI1350" s="13"/>
      <c r="AJ1350" s="13"/>
      <c r="AK1350" s="13"/>
      <c r="AL1350" s="13"/>
      <c r="AM1350" s="15"/>
      <c r="AN1350" s="13"/>
      <c r="AO1350" s="15"/>
      <c r="AP1350" s="15"/>
      <c r="AQ1350" s="13"/>
      <c r="AR1350" s="13"/>
      <c r="AS1350" s="13"/>
      <c r="AT1350" s="13"/>
      <c r="AU1350" s="13"/>
      <c r="AV1350" s="13"/>
      <c r="AW1350" s="13"/>
      <c r="AX1350" s="13"/>
      <c r="AY1350" s="15"/>
      <c r="AZ1350" s="15"/>
      <c r="BA1350" s="16"/>
      <c r="BB1350" s="15"/>
      <c r="BC1350" s="15"/>
      <c r="BD1350" s="13"/>
      <c r="BE1350" s="13"/>
      <c r="BF1350" s="13"/>
      <c r="BG1350" s="13"/>
      <c r="BH1350" s="13"/>
      <c r="BI1350" s="13"/>
      <c r="BJ1350" s="13"/>
      <c r="BK1350" s="13"/>
      <c r="BL1350" s="13"/>
      <c r="BM1350" s="13"/>
      <c r="BN1350" s="13"/>
      <c r="BO1350" s="13"/>
      <c r="BP1350" s="13"/>
      <c r="BQ1350" s="15"/>
      <c r="BR1350" s="15"/>
      <c r="BS1350" s="15"/>
      <c r="BT1350" s="15"/>
      <c r="BU1350" s="15"/>
      <c r="BV1350" s="15"/>
      <c r="BW1350" s="15"/>
      <c r="BX1350" s="15"/>
      <c r="BY1350" s="15"/>
      <c r="BZ1350" s="15"/>
      <c r="CA1350" s="15"/>
      <c r="CB1350" s="17"/>
      <c r="CC1350" s="17"/>
      <c r="CD1350" s="18"/>
      <c r="CE1350" s="18"/>
      <c r="CF1350" s="18"/>
      <c r="CG1350" s="18"/>
      <c r="CH1350" s="18"/>
    </row>
    <row r="1351">
      <c r="A1351" s="15"/>
      <c r="B1351" s="16"/>
      <c r="C1351" s="15"/>
      <c r="D1351" s="9"/>
      <c r="E1351" s="15"/>
      <c r="F1351" s="15"/>
      <c r="G1351" s="13"/>
      <c r="H1351" s="13"/>
      <c r="I1351" s="13"/>
      <c r="J1351" s="13"/>
      <c r="K1351" s="13"/>
      <c r="L1351" s="13"/>
      <c r="M1351" s="13"/>
      <c r="N1351" s="13"/>
      <c r="O1351" s="13"/>
      <c r="P1351" s="13"/>
      <c r="Q1351" s="13"/>
      <c r="R1351" s="13"/>
      <c r="S1351" s="13"/>
      <c r="T1351" s="13"/>
      <c r="U1351" s="13"/>
      <c r="V1351" s="13"/>
      <c r="W1351" s="13"/>
      <c r="X1351" s="13"/>
      <c r="Y1351" s="13"/>
      <c r="Z1351" s="13"/>
      <c r="AA1351" s="13"/>
      <c r="AB1351" s="15"/>
      <c r="AC1351" s="15"/>
      <c r="AD1351" s="15"/>
      <c r="AE1351" s="13"/>
      <c r="AF1351" s="13"/>
      <c r="AG1351" s="13"/>
      <c r="AH1351" s="15"/>
      <c r="AI1351" s="13"/>
      <c r="AJ1351" s="13"/>
      <c r="AK1351" s="13"/>
      <c r="AL1351" s="13"/>
      <c r="AM1351" s="15"/>
      <c r="AN1351" s="13"/>
      <c r="AO1351" s="15"/>
      <c r="AP1351" s="15"/>
      <c r="AQ1351" s="13"/>
      <c r="AR1351" s="13"/>
      <c r="AS1351" s="13"/>
      <c r="AT1351" s="13"/>
      <c r="AU1351" s="13"/>
      <c r="AV1351" s="13"/>
      <c r="AW1351" s="13"/>
      <c r="AX1351" s="13"/>
      <c r="AY1351" s="15"/>
      <c r="AZ1351" s="15"/>
      <c r="BA1351" s="16"/>
      <c r="BB1351" s="15"/>
      <c r="BC1351" s="15"/>
      <c r="BD1351" s="13"/>
      <c r="BE1351" s="13"/>
      <c r="BF1351" s="13"/>
      <c r="BG1351" s="13"/>
      <c r="BH1351" s="13"/>
      <c r="BI1351" s="13"/>
      <c r="BJ1351" s="13"/>
      <c r="BK1351" s="13"/>
      <c r="BL1351" s="13"/>
      <c r="BM1351" s="13"/>
      <c r="BN1351" s="13"/>
      <c r="BO1351" s="13"/>
      <c r="BP1351" s="13"/>
      <c r="BQ1351" s="15"/>
      <c r="BR1351" s="15"/>
      <c r="BS1351" s="15"/>
      <c r="BT1351" s="15"/>
      <c r="BU1351" s="15"/>
      <c r="BV1351" s="15"/>
      <c r="BW1351" s="15"/>
      <c r="BX1351" s="15"/>
      <c r="BY1351" s="15"/>
      <c r="BZ1351" s="15"/>
      <c r="CA1351" s="15"/>
      <c r="CB1351" s="17"/>
      <c r="CC1351" s="17"/>
      <c r="CD1351" s="18"/>
      <c r="CE1351" s="18"/>
      <c r="CF1351" s="18"/>
      <c r="CG1351" s="18"/>
      <c r="CH1351" s="18"/>
    </row>
    <row r="1352">
      <c r="A1352" s="15"/>
      <c r="B1352" s="16"/>
      <c r="C1352" s="15"/>
      <c r="D1352" s="9"/>
      <c r="E1352" s="15"/>
      <c r="F1352" s="15"/>
      <c r="G1352" s="13"/>
      <c r="H1352" s="13"/>
      <c r="I1352" s="13"/>
      <c r="J1352" s="13"/>
      <c r="K1352" s="13"/>
      <c r="L1352" s="13"/>
      <c r="M1352" s="13"/>
      <c r="N1352" s="13"/>
      <c r="O1352" s="13"/>
      <c r="P1352" s="13"/>
      <c r="Q1352" s="13"/>
      <c r="R1352" s="13"/>
      <c r="S1352" s="13"/>
      <c r="T1352" s="13"/>
      <c r="U1352" s="13"/>
      <c r="V1352" s="13"/>
      <c r="W1352" s="13"/>
      <c r="X1352" s="13"/>
      <c r="Y1352" s="13"/>
      <c r="Z1352" s="13"/>
      <c r="AA1352" s="13"/>
      <c r="AB1352" s="15"/>
      <c r="AC1352" s="15"/>
      <c r="AD1352" s="15"/>
      <c r="AE1352" s="13"/>
      <c r="AF1352" s="13"/>
      <c r="AG1352" s="13"/>
      <c r="AH1352" s="15"/>
      <c r="AI1352" s="13"/>
      <c r="AJ1352" s="13"/>
      <c r="AK1352" s="13"/>
      <c r="AL1352" s="13"/>
      <c r="AM1352" s="15"/>
      <c r="AN1352" s="13"/>
      <c r="AO1352" s="15"/>
      <c r="AP1352" s="15"/>
      <c r="AQ1352" s="13"/>
      <c r="AR1352" s="13"/>
      <c r="AS1352" s="13"/>
      <c r="AT1352" s="13"/>
      <c r="AU1352" s="13"/>
      <c r="AV1352" s="13"/>
      <c r="AW1352" s="13"/>
      <c r="AX1352" s="13"/>
      <c r="AY1352" s="15"/>
      <c r="AZ1352" s="15"/>
      <c r="BA1352" s="16"/>
      <c r="BB1352" s="15"/>
      <c r="BC1352" s="15"/>
      <c r="BD1352" s="13"/>
      <c r="BE1352" s="13"/>
      <c r="BF1352" s="13"/>
      <c r="BG1352" s="13"/>
      <c r="BH1352" s="13"/>
      <c r="BI1352" s="13"/>
      <c r="BJ1352" s="13"/>
      <c r="BK1352" s="13"/>
      <c r="BL1352" s="13"/>
      <c r="BM1352" s="13"/>
      <c r="BN1352" s="13"/>
      <c r="BO1352" s="13"/>
      <c r="BP1352" s="13"/>
      <c r="BQ1352" s="15"/>
      <c r="BR1352" s="15"/>
      <c r="BS1352" s="15"/>
      <c r="BT1352" s="15"/>
      <c r="BU1352" s="15"/>
      <c r="BV1352" s="15"/>
      <c r="BW1352" s="15"/>
      <c r="BX1352" s="15"/>
      <c r="BY1352" s="15"/>
      <c r="BZ1352" s="15"/>
      <c r="CA1352" s="15"/>
      <c r="CB1352" s="17"/>
      <c r="CC1352" s="17"/>
      <c r="CD1352" s="18"/>
      <c r="CE1352" s="18"/>
      <c r="CF1352" s="18"/>
      <c r="CG1352" s="18"/>
      <c r="CH1352" s="18"/>
    </row>
    <row r="1353">
      <c r="A1353" s="15"/>
      <c r="B1353" s="16"/>
      <c r="C1353" s="15"/>
      <c r="D1353" s="9"/>
      <c r="E1353" s="15"/>
      <c r="F1353" s="15"/>
      <c r="G1353" s="13"/>
      <c r="H1353" s="13"/>
      <c r="I1353" s="13"/>
      <c r="J1353" s="13"/>
      <c r="K1353" s="13"/>
      <c r="L1353" s="13"/>
      <c r="M1353" s="13"/>
      <c r="N1353" s="13"/>
      <c r="O1353" s="13"/>
      <c r="P1353" s="13"/>
      <c r="Q1353" s="13"/>
      <c r="R1353" s="13"/>
      <c r="S1353" s="13"/>
      <c r="T1353" s="13"/>
      <c r="U1353" s="13"/>
      <c r="V1353" s="13"/>
      <c r="W1353" s="13"/>
      <c r="X1353" s="13"/>
      <c r="Y1353" s="13"/>
      <c r="Z1353" s="13"/>
      <c r="AA1353" s="13"/>
      <c r="AB1353" s="15"/>
      <c r="AC1353" s="15"/>
      <c r="AD1353" s="15"/>
      <c r="AE1353" s="13"/>
      <c r="AF1353" s="13"/>
      <c r="AG1353" s="13"/>
      <c r="AH1353" s="15"/>
      <c r="AI1353" s="13"/>
      <c r="AJ1353" s="13"/>
      <c r="AK1353" s="13"/>
      <c r="AL1353" s="13"/>
      <c r="AM1353" s="15"/>
      <c r="AN1353" s="13"/>
      <c r="AO1353" s="15"/>
      <c r="AP1353" s="15"/>
      <c r="AQ1353" s="13"/>
      <c r="AR1353" s="13"/>
      <c r="AS1353" s="13"/>
      <c r="AT1353" s="13"/>
      <c r="AU1353" s="13"/>
      <c r="AV1353" s="13"/>
      <c r="AW1353" s="13"/>
      <c r="AX1353" s="13"/>
      <c r="AY1353" s="15"/>
      <c r="AZ1353" s="15"/>
      <c r="BA1353" s="16"/>
      <c r="BB1353" s="15"/>
      <c r="BC1353" s="15"/>
      <c r="BD1353" s="13"/>
      <c r="BE1353" s="13"/>
      <c r="BF1353" s="13"/>
      <c r="BG1353" s="13"/>
      <c r="BH1353" s="13"/>
      <c r="BI1353" s="13"/>
      <c r="BJ1353" s="13"/>
      <c r="BK1353" s="13"/>
      <c r="BL1353" s="13"/>
      <c r="BM1353" s="13"/>
      <c r="BN1353" s="13"/>
      <c r="BO1353" s="13"/>
      <c r="BP1353" s="13"/>
      <c r="BQ1353" s="15"/>
      <c r="BR1353" s="15"/>
      <c r="BS1353" s="15"/>
      <c r="BT1353" s="15"/>
      <c r="BU1353" s="15"/>
      <c r="BV1353" s="15"/>
      <c r="BW1353" s="15"/>
      <c r="BX1353" s="15"/>
      <c r="BY1353" s="15"/>
      <c r="BZ1353" s="15"/>
      <c r="CA1353" s="15"/>
      <c r="CB1353" s="17"/>
      <c r="CC1353" s="17"/>
      <c r="CD1353" s="18"/>
      <c r="CE1353" s="18"/>
      <c r="CF1353" s="18"/>
      <c r="CG1353" s="18"/>
      <c r="CH1353" s="18"/>
    </row>
    <row r="1354">
      <c r="A1354" s="15"/>
      <c r="B1354" s="16"/>
      <c r="C1354" s="15"/>
      <c r="D1354" s="9"/>
      <c r="E1354" s="15"/>
      <c r="F1354" s="15"/>
      <c r="G1354" s="13"/>
      <c r="H1354" s="13"/>
      <c r="I1354" s="13"/>
      <c r="J1354" s="13"/>
      <c r="K1354" s="13"/>
      <c r="L1354" s="13"/>
      <c r="M1354" s="13"/>
      <c r="N1354" s="13"/>
      <c r="O1354" s="13"/>
      <c r="P1354" s="13"/>
      <c r="Q1354" s="13"/>
      <c r="R1354" s="13"/>
      <c r="S1354" s="13"/>
      <c r="T1354" s="13"/>
      <c r="U1354" s="13"/>
      <c r="V1354" s="13"/>
      <c r="W1354" s="13"/>
      <c r="X1354" s="13"/>
      <c r="Y1354" s="13"/>
      <c r="Z1354" s="13"/>
      <c r="AA1354" s="13"/>
      <c r="AB1354" s="15"/>
      <c r="AC1354" s="15"/>
      <c r="AD1354" s="15"/>
      <c r="AE1354" s="13"/>
      <c r="AF1354" s="13"/>
      <c r="AG1354" s="13"/>
      <c r="AH1354" s="15"/>
      <c r="AI1354" s="13"/>
      <c r="AJ1354" s="13"/>
      <c r="AK1354" s="13"/>
      <c r="AL1354" s="13"/>
      <c r="AM1354" s="15"/>
      <c r="AN1354" s="13"/>
      <c r="AO1354" s="15"/>
      <c r="AP1354" s="15"/>
      <c r="AQ1354" s="13"/>
      <c r="AR1354" s="13"/>
      <c r="AS1354" s="13"/>
      <c r="AT1354" s="13"/>
      <c r="AU1354" s="13"/>
      <c r="AV1354" s="13"/>
      <c r="AW1354" s="13"/>
      <c r="AX1354" s="13"/>
      <c r="AY1354" s="15"/>
      <c r="AZ1354" s="15"/>
      <c r="BA1354" s="16"/>
      <c r="BB1354" s="15"/>
      <c r="BC1354" s="15"/>
      <c r="BD1354" s="13"/>
      <c r="BE1354" s="13"/>
      <c r="BF1354" s="13"/>
      <c r="BG1354" s="13"/>
      <c r="BH1354" s="13"/>
      <c r="BI1354" s="13"/>
      <c r="BJ1354" s="13"/>
      <c r="BK1354" s="13"/>
      <c r="BL1354" s="13"/>
      <c r="BM1354" s="13"/>
      <c r="BN1354" s="13"/>
      <c r="BO1354" s="13"/>
      <c r="BP1354" s="13"/>
      <c r="BQ1354" s="15"/>
      <c r="BR1354" s="15"/>
      <c r="BS1354" s="15"/>
      <c r="BT1354" s="15"/>
      <c r="BU1354" s="15"/>
      <c r="BV1354" s="15"/>
      <c r="BW1354" s="15"/>
      <c r="BX1354" s="15"/>
      <c r="BY1354" s="15"/>
      <c r="BZ1354" s="15"/>
      <c r="CA1354" s="15"/>
      <c r="CB1354" s="17"/>
      <c r="CC1354" s="17"/>
      <c r="CD1354" s="18"/>
      <c r="CE1354" s="18"/>
      <c r="CF1354" s="18"/>
      <c r="CG1354" s="18"/>
      <c r="CH1354" s="18"/>
    </row>
    <row r="1355">
      <c r="A1355" s="15"/>
      <c r="B1355" s="16"/>
      <c r="C1355" s="15"/>
      <c r="D1355" s="9"/>
      <c r="E1355" s="15"/>
      <c r="F1355" s="15"/>
      <c r="G1355" s="13"/>
      <c r="H1355" s="13"/>
      <c r="I1355" s="13"/>
      <c r="J1355" s="13"/>
      <c r="K1355" s="13"/>
      <c r="L1355" s="13"/>
      <c r="M1355" s="13"/>
      <c r="N1355" s="13"/>
      <c r="O1355" s="13"/>
      <c r="P1355" s="13"/>
      <c r="Q1355" s="13"/>
      <c r="R1355" s="13"/>
      <c r="S1355" s="13"/>
      <c r="T1355" s="13"/>
      <c r="U1355" s="13"/>
      <c r="V1355" s="13"/>
      <c r="W1355" s="13"/>
      <c r="X1355" s="13"/>
      <c r="Y1355" s="13"/>
      <c r="Z1355" s="13"/>
      <c r="AA1355" s="13"/>
      <c r="AB1355" s="15"/>
      <c r="AC1355" s="15"/>
      <c r="AD1355" s="15"/>
      <c r="AE1355" s="13"/>
      <c r="AF1355" s="13"/>
      <c r="AG1355" s="13"/>
      <c r="AH1355" s="15"/>
      <c r="AI1355" s="13"/>
      <c r="AJ1355" s="13"/>
      <c r="AK1355" s="13"/>
      <c r="AL1355" s="13"/>
      <c r="AM1355" s="15"/>
      <c r="AN1355" s="13"/>
      <c r="AO1355" s="15"/>
      <c r="AP1355" s="15"/>
      <c r="AQ1355" s="13"/>
      <c r="AR1355" s="13"/>
      <c r="AS1355" s="13"/>
      <c r="AT1355" s="13"/>
      <c r="AU1355" s="13"/>
      <c r="AV1355" s="13"/>
      <c r="AW1355" s="13"/>
      <c r="AX1355" s="13"/>
      <c r="AY1355" s="15"/>
      <c r="AZ1355" s="15"/>
      <c r="BA1355" s="16"/>
      <c r="BB1355" s="15"/>
      <c r="BC1355" s="15"/>
      <c r="BD1355" s="13"/>
      <c r="BE1355" s="13"/>
      <c r="BF1355" s="13"/>
      <c r="BG1355" s="13"/>
      <c r="BH1355" s="13"/>
      <c r="BI1355" s="13"/>
      <c r="BJ1355" s="13"/>
      <c r="BK1355" s="13"/>
      <c r="BL1355" s="13"/>
      <c r="BM1355" s="13"/>
      <c r="BN1355" s="13"/>
      <c r="BO1355" s="13"/>
      <c r="BP1355" s="13"/>
      <c r="BQ1355" s="15"/>
      <c r="BR1355" s="15"/>
      <c r="BS1355" s="15"/>
      <c r="BT1355" s="15"/>
      <c r="BU1355" s="15"/>
      <c r="BV1355" s="15"/>
      <c r="BW1355" s="15"/>
      <c r="BX1355" s="15"/>
      <c r="BY1355" s="15"/>
      <c r="BZ1355" s="15"/>
      <c r="CA1355" s="15"/>
      <c r="CB1355" s="17"/>
      <c r="CC1355" s="17"/>
      <c r="CD1355" s="18"/>
      <c r="CE1355" s="18"/>
      <c r="CF1355" s="18"/>
      <c r="CG1355" s="18"/>
      <c r="CH1355" s="18"/>
    </row>
    <row r="1356">
      <c r="A1356" s="15"/>
      <c r="B1356" s="16"/>
      <c r="C1356" s="15"/>
      <c r="D1356" s="9"/>
      <c r="E1356" s="15"/>
      <c r="F1356" s="15"/>
      <c r="G1356" s="13"/>
      <c r="H1356" s="13"/>
      <c r="I1356" s="13"/>
      <c r="J1356" s="13"/>
      <c r="K1356" s="13"/>
      <c r="L1356" s="13"/>
      <c r="M1356" s="13"/>
      <c r="N1356" s="13"/>
      <c r="O1356" s="13"/>
      <c r="P1356" s="13"/>
      <c r="Q1356" s="13"/>
      <c r="R1356" s="13"/>
      <c r="S1356" s="13"/>
      <c r="T1356" s="13"/>
      <c r="U1356" s="13"/>
      <c r="V1356" s="13"/>
      <c r="W1356" s="13"/>
      <c r="X1356" s="13"/>
      <c r="Y1356" s="13"/>
      <c r="Z1356" s="13"/>
      <c r="AA1356" s="13"/>
      <c r="AB1356" s="15"/>
      <c r="AC1356" s="15"/>
      <c r="AD1356" s="15"/>
      <c r="AE1356" s="13"/>
      <c r="AF1356" s="13"/>
      <c r="AG1356" s="13"/>
      <c r="AH1356" s="15"/>
      <c r="AI1356" s="13"/>
      <c r="AJ1356" s="13"/>
      <c r="AK1356" s="13"/>
      <c r="AL1356" s="13"/>
      <c r="AM1356" s="15"/>
      <c r="AN1356" s="13"/>
      <c r="AO1356" s="15"/>
      <c r="AP1356" s="15"/>
      <c r="AQ1356" s="13"/>
      <c r="AR1356" s="13"/>
      <c r="AS1356" s="13"/>
      <c r="AT1356" s="13"/>
      <c r="AU1356" s="13"/>
      <c r="AV1356" s="13"/>
      <c r="AW1356" s="13"/>
      <c r="AX1356" s="13"/>
      <c r="AY1356" s="15"/>
      <c r="AZ1356" s="15"/>
      <c r="BA1356" s="16"/>
      <c r="BB1356" s="15"/>
      <c r="BC1356" s="15"/>
      <c r="BD1356" s="13"/>
      <c r="BE1356" s="13"/>
      <c r="BF1356" s="13"/>
      <c r="BG1356" s="13"/>
      <c r="BH1356" s="13"/>
      <c r="BI1356" s="13"/>
      <c r="BJ1356" s="13"/>
      <c r="BK1356" s="13"/>
      <c r="BL1356" s="13"/>
      <c r="BM1356" s="13"/>
      <c r="BN1356" s="13"/>
      <c r="BO1356" s="13"/>
      <c r="BP1356" s="13"/>
      <c r="BQ1356" s="15"/>
      <c r="BR1356" s="15"/>
      <c r="BS1356" s="15"/>
      <c r="BT1356" s="15"/>
      <c r="BU1356" s="15"/>
      <c r="BV1356" s="15"/>
      <c r="BW1356" s="15"/>
      <c r="BX1356" s="15"/>
      <c r="BY1356" s="15"/>
      <c r="BZ1356" s="15"/>
      <c r="CA1356" s="15"/>
      <c r="CB1356" s="17"/>
      <c r="CC1356" s="17"/>
      <c r="CD1356" s="18"/>
      <c r="CE1356" s="18"/>
      <c r="CF1356" s="18"/>
      <c r="CG1356" s="18"/>
      <c r="CH1356" s="18"/>
    </row>
    <row r="1357">
      <c r="A1357" s="15"/>
      <c r="B1357" s="16"/>
      <c r="C1357" s="15"/>
      <c r="D1357" s="9"/>
      <c r="E1357" s="15"/>
      <c r="F1357" s="15"/>
      <c r="G1357" s="13"/>
      <c r="H1357" s="13"/>
      <c r="I1357" s="13"/>
      <c r="J1357" s="13"/>
      <c r="K1357" s="13"/>
      <c r="L1357" s="13"/>
      <c r="M1357" s="13"/>
      <c r="N1357" s="13"/>
      <c r="O1357" s="13"/>
      <c r="P1357" s="13"/>
      <c r="Q1357" s="13"/>
      <c r="R1357" s="13"/>
      <c r="S1357" s="13"/>
      <c r="T1357" s="13"/>
      <c r="U1357" s="13"/>
      <c r="V1357" s="13"/>
      <c r="W1357" s="13"/>
      <c r="X1357" s="13"/>
      <c r="Y1357" s="13"/>
      <c r="Z1357" s="13"/>
      <c r="AA1357" s="13"/>
      <c r="AB1357" s="15"/>
      <c r="AC1357" s="15"/>
      <c r="AD1357" s="15"/>
      <c r="AE1357" s="13"/>
      <c r="AF1357" s="13"/>
      <c r="AG1357" s="13"/>
      <c r="AH1357" s="15"/>
      <c r="AI1357" s="13"/>
      <c r="AJ1357" s="13"/>
      <c r="AK1357" s="13"/>
      <c r="AL1357" s="13"/>
      <c r="AM1357" s="15"/>
      <c r="AN1357" s="13"/>
      <c r="AO1357" s="15"/>
      <c r="AP1357" s="15"/>
      <c r="AQ1357" s="13"/>
      <c r="AR1357" s="13"/>
      <c r="AS1357" s="13"/>
      <c r="AT1357" s="13"/>
      <c r="AU1357" s="13"/>
      <c r="AV1357" s="13"/>
      <c r="AW1357" s="13"/>
      <c r="AX1357" s="13"/>
      <c r="AY1357" s="15"/>
      <c r="AZ1357" s="15"/>
      <c r="BA1357" s="16"/>
      <c r="BB1357" s="15"/>
      <c r="BC1357" s="15"/>
      <c r="BD1357" s="13"/>
      <c r="BE1357" s="13"/>
      <c r="BF1357" s="13"/>
      <c r="BG1357" s="13"/>
      <c r="BH1357" s="13"/>
      <c r="BI1357" s="13"/>
      <c r="BJ1357" s="13"/>
      <c r="BK1357" s="13"/>
      <c r="BL1357" s="13"/>
      <c r="BM1357" s="13"/>
      <c r="BN1357" s="13"/>
      <c r="BO1357" s="13"/>
      <c r="BP1357" s="13"/>
      <c r="BQ1357" s="15"/>
      <c r="BR1357" s="15"/>
      <c r="BS1357" s="15"/>
      <c r="BT1357" s="15"/>
      <c r="BU1357" s="15"/>
      <c r="BV1357" s="15"/>
      <c r="BW1357" s="15"/>
      <c r="BX1357" s="15"/>
      <c r="BY1357" s="15"/>
      <c r="BZ1357" s="15"/>
      <c r="CA1357" s="15"/>
      <c r="CB1357" s="17"/>
      <c r="CC1357" s="17"/>
      <c r="CD1357" s="18"/>
      <c r="CE1357" s="18"/>
      <c r="CF1357" s="18"/>
      <c r="CG1357" s="18"/>
      <c r="CH1357" s="18"/>
    </row>
    <row r="1358">
      <c r="A1358" s="15"/>
      <c r="B1358" s="16"/>
      <c r="C1358" s="15"/>
      <c r="D1358" s="9"/>
      <c r="E1358" s="15"/>
      <c r="F1358" s="15"/>
      <c r="G1358" s="13"/>
      <c r="H1358" s="13"/>
      <c r="I1358" s="13"/>
      <c r="J1358" s="13"/>
      <c r="K1358" s="13"/>
      <c r="L1358" s="13"/>
      <c r="M1358" s="13"/>
      <c r="N1358" s="13"/>
      <c r="O1358" s="13"/>
      <c r="P1358" s="13"/>
      <c r="Q1358" s="13"/>
      <c r="R1358" s="13"/>
      <c r="S1358" s="13"/>
      <c r="T1358" s="13"/>
      <c r="U1358" s="13"/>
      <c r="V1358" s="13"/>
      <c r="W1358" s="13"/>
      <c r="X1358" s="13"/>
      <c r="Y1358" s="13"/>
      <c r="Z1358" s="13"/>
      <c r="AA1358" s="13"/>
      <c r="AB1358" s="15"/>
      <c r="AC1358" s="15"/>
      <c r="AD1358" s="15"/>
      <c r="AE1358" s="13"/>
      <c r="AF1358" s="13"/>
      <c r="AG1358" s="13"/>
      <c r="AH1358" s="15"/>
      <c r="AI1358" s="13"/>
      <c r="AJ1358" s="13"/>
      <c r="AK1358" s="13"/>
      <c r="AL1358" s="13"/>
      <c r="AM1358" s="15"/>
      <c r="AN1358" s="13"/>
      <c r="AO1358" s="15"/>
      <c r="AP1358" s="15"/>
      <c r="AQ1358" s="13"/>
      <c r="AR1358" s="13"/>
      <c r="AS1358" s="13"/>
      <c r="AT1358" s="13"/>
      <c r="AU1358" s="13"/>
      <c r="AV1358" s="13"/>
      <c r="AW1358" s="13"/>
      <c r="AX1358" s="13"/>
      <c r="AY1358" s="15"/>
      <c r="AZ1358" s="15"/>
      <c r="BA1358" s="16"/>
      <c r="BB1358" s="15"/>
      <c r="BC1358" s="15"/>
      <c r="BD1358" s="13"/>
      <c r="BE1358" s="13"/>
      <c r="BF1358" s="13"/>
      <c r="BG1358" s="13"/>
      <c r="BH1358" s="13"/>
      <c r="BI1358" s="13"/>
      <c r="BJ1358" s="13"/>
      <c r="BK1358" s="13"/>
      <c r="BL1358" s="13"/>
      <c r="BM1358" s="13"/>
      <c r="BN1358" s="13"/>
      <c r="BO1358" s="13"/>
      <c r="BP1358" s="13"/>
      <c r="BQ1358" s="15"/>
      <c r="BR1358" s="15"/>
      <c r="BS1358" s="15"/>
      <c r="BT1358" s="15"/>
      <c r="BU1358" s="15"/>
      <c r="BV1358" s="15"/>
      <c r="BW1358" s="15"/>
      <c r="BX1358" s="15"/>
      <c r="BY1358" s="15"/>
      <c r="BZ1358" s="15"/>
      <c r="CA1358" s="15"/>
      <c r="CB1358" s="17"/>
      <c r="CC1358" s="17"/>
      <c r="CD1358" s="18"/>
      <c r="CE1358" s="18"/>
      <c r="CF1358" s="18"/>
      <c r="CG1358" s="18"/>
      <c r="CH1358" s="18"/>
    </row>
    <row r="1359">
      <c r="A1359" s="15"/>
      <c r="B1359" s="16"/>
      <c r="C1359" s="15"/>
      <c r="D1359" s="9"/>
      <c r="E1359" s="15"/>
      <c r="F1359" s="15"/>
      <c r="G1359" s="13"/>
      <c r="H1359" s="13"/>
      <c r="I1359" s="13"/>
      <c r="J1359" s="13"/>
      <c r="K1359" s="13"/>
      <c r="L1359" s="13"/>
      <c r="M1359" s="13"/>
      <c r="N1359" s="13"/>
      <c r="O1359" s="13"/>
      <c r="P1359" s="13"/>
      <c r="Q1359" s="13"/>
      <c r="R1359" s="13"/>
      <c r="S1359" s="13"/>
      <c r="T1359" s="13"/>
      <c r="U1359" s="13"/>
      <c r="V1359" s="13"/>
      <c r="W1359" s="13"/>
      <c r="X1359" s="13"/>
      <c r="Y1359" s="13"/>
      <c r="Z1359" s="13"/>
      <c r="AA1359" s="13"/>
      <c r="AB1359" s="15"/>
      <c r="AC1359" s="15"/>
      <c r="AD1359" s="15"/>
      <c r="AE1359" s="13"/>
      <c r="AF1359" s="13"/>
      <c r="AG1359" s="13"/>
      <c r="AH1359" s="15"/>
      <c r="AI1359" s="13"/>
      <c r="AJ1359" s="13"/>
      <c r="AK1359" s="13"/>
      <c r="AL1359" s="13"/>
      <c r="AM1359" s="15"/>
      <c r="AN1359" s="13"/>
      <c r="AO1359" s="15"/>
      <c r="AP1359" s="15"/>
      <c r="AQ1359" s="13"/>
      <c r="AR1359" s="13"/>
      <c r="AS1359" s="13"/>
      <c r="AT1359" s="13"/>
      <c r="AU1359" s="13"/>
      <c r="AV1359" s="13"/>
      <c r="AW1359" s="13"/>
      <c r="AX1359" s="13"/>
      <c r="AY1359" s="15"/>
      <c r="AZ1359" s="15"/>
      <c r="BA1359" s="16"/>
      <c r="BB1359" s="15"/>
      <c r="BC1359" s="15"/>
      <c r="BD1359" s="13"/>
      <c r="BE1359" s="13"/>
      <c r="BF1359" s="13"/>
      <c r="BG1359" s="13"/>
      <c r="BH1359" s="13"/>
      <c r="BI1359" s="13"/>
      <c r="BJ1359" s="13"/>
      <c r="BK1359" s="13"/>
      <c r="BL1359" s="13"/>
      <c r="BM1359" s="13"/>
      <c r="BN1359" s="13"/>
      <c r="BO1359" s="13"/>
      <c r="BP1359" s="13"/>
      <c r="BQ1359" s="15"/>
      <c r="BR1359" s="15"/>
      <c r="BS1359" s="15"/>
      <c r="BT1359" s="15"/>
      <c r="BU1359" s="15"/>
      <c r="BV1359" s="15"/>
      <c r="BW1359" s="15"/>
      <c r="BX1359" s="15"/>
      <c r="BY1359" s="15"/>
      <c r="BZ1359" s="15"/>
      <c r="CA1359" s="15"/>
      <c r="CB1359" s="17"/>
      <c r="CC1359" s="17"/>
      <c r="CD1359" s="18"/>
      <c r="CE1359" s="18"/>
      <c r="CF1359" s="18"/>
      <c r="CG1359" s="18"/>
      <c r="CH1359" s="18"/>
    </row>
    <row r="1360">
      <c r="A1360" s="15"/>
      <c r="B1360" s="16"/>
      <c r="C1360" s="15"/>
      <c r="D1360" s="9"/>
      <c r="E1360" s="15"/>
      <c r="F1360" s="15"/>
      <c r="G1360" s="13"/>
      <c r="H1360" s="13"/>
      <c r="I1360" s="13"/>
      <c r="J1360" s="13"/>
      <c r="K1360" s="13"/>
      <c r="L1360" s="13"/>
      <c r="M1360" s="13"/>
      <c r="N1360" s="13"/>
      <c r="O1360" s="13"/>
      <c r="P1360" s="13"/>
      <c r="Q1360" s="13"/>
      <c r="R1360" s="13"/>
      <c r="S1360" s="13"/>
      <c r="T1360" s="13"/>
      <c r="U1360" s="13"/>
      <c r="V1360" s="13"/>
      <c r="W1360" s="13"/>
      <c r="X1360" s="13"/>
      <c r="Y1360" s="13"/>
      <c r="Z1360" s="13"/>
      <c r="AA1360" s="13"/>
      <c r="AB1360" s="15"/>
      <c r="AC1360" s="15"/>
      <c r="AD1360" s="15"/>
      <c r="AE1360" s="13"/>
      <c r="AF1360" s="13"/>
      <c r="AG1360" s="13"/>
      <c r="AH1360" s="15"/>
      <c r="AI1360" s="13"/>
      <c r="AJ1360" s="13"/>
      <c r="AK1360" s="13"/>
      <c r="AL1360" s="13"/>
      <c r="AM1360" s="15"/>
      <c r="AN1360" s="13"/>
      <c r="AO1360" s="15"/>
      <c r="AP1360" s="15"/>
      <c r="AQ1360" s="13"/>
      <c r="AR1360" s="13"/>
      <c r="AS1360" s="13"/>
      <c r="AT1360" s="13"/>
      <c r="AU1360" s="13"/>
      <c r="AV1360" s="13"/>
      <c r="AW1360" s="13"/>
      <c r="AX1360" s="13"/>
      <c r="AY1360" s="15"/>
      <c r="AZ1360" s="15"/>
      <c r="BA1360" s="16"/>
      <c r="BB1360" s="15"/>
      <c r="BC1360" s="15"/>
      <c r="BD1360" s="13"/>
      <c r="BE1360" s="13"/>
      <c r="BF1360" s="13"/>
      <c r="BG1360" s="13"/>
      <c r="BH1360" s="13"/>
      <c r="BI1360" s="13"/>
      <c r="BJ1360" s="13"/>
      <c r="BK1360" s="13"/>
      <c r="BL1360" s="13"/>
      <c r="BM1360" s="13"/>
      <c r="BN1360" s="13"/>
      <c r="BO1360" s="13"/>
      <c r="BP1360" s="13"/>
      <c r="BQ1360" s="15"/>
      <c r="BR1360" s="15"/>
      <c r="BS1360" s="15"/>
      <c r="BT1360" s="15"/>
      <c r="BU1360" s="15"/>
      <c r="BV1360" s="15"/>
      <c r="BW1360" s="15"/>
      <c r="BX1360" s="15"/>
      <c r="BY1360" s="15"/>
      <c r="BZ1360" s="15"/>
      <c r="CA1360" s="15"/>
      <c r="CB1360" s="17"/>
      <c r="CC1360" s="17"/>
      <c r="CD1360" s="18"/>
      <c r="CE1360" s="18"/>
      <c r="CF1360" s="18"/>
      <c r="CG1360" s="18"/>
      <c r="CH1360" s="18"/>
    </row>
    <row r="1361">
      <c r="A1361" s="15"/>
      <c r="B1361" s="16"/>
      <c r="C1361" s="15"/>
      <c r="D1361" s="9"/>
      <c r="E1361" s="15"/>
      <c r="F1361" s="15"/>
      <c r="G1361" s="13"/>
      <c r="H1361" s="13"/>
      <c r="I1361" s="13"/>
      <c r="J1361" s="13"/>
      <c r="K1361" s="13"/>
      <c r="L1361" s="13"/>
      <c r="M1361" s="13"/>
      <c r="N1361" s="13"/>
      <c r="O1361" s="13"/>
      <c r="P1361" s="13"/>
      <c r="Q1361" s="13"/>
      <c r="R1361" s="13"/>
      <c r="S1361" s="13"/>
      <c r="T1361" s="13"/>
      <c r="U1361" s="13"/>
      <c r="V1361" s="13"/>
      <c r="W1361" s="13"/>
      <c r="X1361" s="13"/>
      <c r="Y1361" s="13"/>
      <c r="Z1361" s="13"/>
      <c r="AA1361" s="13"/>
      <c r="AB1361" s="15"/>
      <c r="AC1361" s="15"/>
      <c r="AD1361" s="15"/>
      <c r="AE1361" s="13"/>
      <c r="AF1361" s="13"/>
      <c r="AG1361" s="13"/>
      <c r="AH1361" s="15"/>
      <c r="AI1361" s="13"/>
      <c r="AJ1361" s="13"/>
      <c r="AK1361" s="13"/>
      <c r="AL1361" s="13"/>
      <c r="AM1361" s="15"/>
      <c r="AN1361" s="13"/>
      <c r="AO1361" s="15"/>
      <c r="AP1361" s="15"/>
      <c r="AQ1361" s="13"/>
      <c r="AR1361" s="13"/>
      <c r="AS1361" s="13"/>
      <c r="AT1361" s="13"/>
      <c r="AU1361" s="13"/>
      <c r="AV1361" s="13"/>
      <c r="AW1361" s="13"/>
      <c r="AX1361" s="13"/>
      <c r="AY1361" s="15"/>
      <c r="AZ1361" s="15"/>
      <c r="BA1361" s="16"/>
      <c r="BB1361" s="15"/>
      <c r="BC1361" s="15"/>
      <c r="BD1361" s="13"/>
      <c r="BE1361" s="13"/>
      <c r="BF1361" s="13"/>
      <c r="BG1361" s="13"/>
      <c r="BH1361" s="13"/>
      <c r="BI1361" s="13"/>
      <c r="BJ1361" s="13"/>
      <c r="BK1361" s="13"/>
      <c r="BL1361" s="13"/>
      <c r="BM1361" s="13"/>
      <c r="BN1361" s="13"/>
      <c r="BO1361" s="13"/>
      <c r="BP1361" s="13"/>
      <c r="BQ1361" s="15"/>
      <c r="BR1361" s="15"/>
      <c r="BS1361" s="15"/>
      <c r="BT1361" s="15"/>
      <c r="BU1361" s="15"/>
      <c r="BV1361" s="15"/>
      <c r="BW1361" s="15"/>
      <c r="BX1361" s="15"/>
      <c r="BY1361" s="15"/>
      <c r="BZ1361" s="15"/>
      <c r="CA1361" s="15"/>
      <c r="CB1361" s="17"/>
      <c r="CC1361" s="17"/>
      <c r="CD1361" s="18"/>
      <c r="CE1361" s="18"/>
      <c r="CF1361" s="18"/>
      <c r="CG1361" s="18"/>
      <c r="CH1361" s="18"/>
    </row>
    <row r="1362">
      <c r="A1362" s="15"/>
      <c r="B1362" s="16"/>
      <c r="C1362" s="15"/>
      <c r="D1362" s="9"/>
      <c r="E1362" s="15"/>
      <c r="F1362" s="15"/>
      <c r="G1362" s="13"/>
      <c r="H1362" s="13"/>
      <c r="I1362" s="13"/>
      <c r="J1362" s="13"/>
      <c r="K1362" s="13"/>
      <c r="L1362" s="13"/>
      <c r="M1362" s="13"/>
      <c r="N1362" s="13"/>
      <c r="O1362" s="13"/>
      <c r="P1362" s="13"/>
      <c r="Q1362" s="13"/>
      <c r="R1362" s="13"/>
      <c r="S1362" s="13"/>
      <c r="T1362" s="13"/>
      <c r="U1362" s="13"/>
      <c r="V1362" s="13"/>
      <c r="W1362" s="13"/>
      <c r="X1362" s="13"/>
      <c r="Y1362" s="13"/>
      <c r="Z1362" s="13"/>
      <c r="AA1362" s="13"/>
      <c r="AB1362" s="15"/>
      <c r="AC1362" s="15"/>
      <c r="AD1362" s="15"/>
      <c r="AE1362" s="13"/>
      <c r="AF1362" s="13"/>
      <c r="AG1362" s="13"/>
      <c r="AH1362" s="15"/>
      <c r="AI1362" s="13"/>
      <c r="AJ1362" s="13"/>
      <c r="AK1362" s="13"/>
      <c r="AL1362" s="13"/>
      <c r="AM1362" s="15"/>
      <c r="AN1362" s="13"/>
      <c r="AO1362" s="15"/>
      <c r="AP1362" s="15"/>
      <c r="AQ1362" s="13"/>
      <c r="AR1362" s="13"/>
      <c r="AS1362" s="13"/>
      <c r="AT1362" s="13"/>
      <c r="AU1362" s="13"/>
      <c r="AV1362" s="13"/>
      <c r="AW1362" s="13"/>
      <c r="AX1362" s="13"/>
      <c r="AY1362" s="15"/>
      <c r="AZ1362" s="15"/>
      <c r="BA1362" s="16"/>
      <c r="BB1362" s="15"/>
      <c r="BC1362" s="15"/>
      <c r="BD1362" s="13"/>
      <c r="BE1362" s="13"/>
      <c r="BF1362" s="13"/>
      <c r="BG1362" s="13"/>
      <c r="BH1362" s="13"/>
      <c r="BI1362" s="13"/>
      <c r="BJ1362" s="13"/>
      <c r="BK1362" s="13"/>
      <c r="BL1362" s="13"/>
      <c r="BM1362" s="13"/>
      <c r="BN1362" s="13"/>
      <c r="BO1362" s="13"/>
      <c r="BP1362" s="13"/>
      <c r="BQ1362" s="15"/>
      <c r="BR1362" s="15"/>
      <c r="BS1362" s="15"/>
      <c r="BT1362" s="15"/>
      <c r="BU1362" s="15"/>
      <c r="BV1362" s="15"/>
      <c r="BW1362" s="15"/>
      <c r="BX1362" s="15"/>
      <c r="BY1362" s="15"/>
      <c r="BZ1362" s="15"/>
      <c r="CA1362" s="15"/>
      <c r="CB1362" s="17"/>
      <c r="CC1362" s="17"/>
      <c r="CD1362" s="18"/>
      <c r="CE1362" s="18"/>
      <c r="CF1362" s="18"/>
      <c r="CG1362" s="18"/>
      <c r="CH1362" s="18"/>
    </row>
    <row r="1363">
      <c r="A1363" s="15"/>
      <c r="B1363" s="16"/>
      <c r="C1363" s="15"/>
      <c r="D1363" s="9"/>
      <c r="E1363" s="15"/>
      <c r="F1363" s="15"/>
      <c r="G1363" s="13"/>
      <c r="H1363" s="13"/>
      <c r="I1363" s="13"/>
      <c r="J1363" s="13"/>
      <c r="K1363" s="13"/>
      <c r="L1363" s="13"/>
      <c r="M1363" s="13"/>
      <c r="N1363" s="13"/>
      <c r="O1363" s="13"/>
      <c r="P1363" s="13"/>
      <c r="Q1363" s="13"/>
      <c r="R1363" s="13"/>
      <c r="S1363" s="13"/>
      <c r="T1363" s="13"/>
      <c r="U1363" s="13"/>
      <c r="V1363" s="13"/>
      <c r="W1363" s="13"/>
      <c r="X1363" s="13"/>
      <c r="Y1363" s="13"/>
      <c r="Z1363" s="13"/>
      <c r="AA1363" s="13"/>
      <c r="AB1363" s="15"/>
      <c r="AC1363" s="15"/>
      <c r="AD1363" s="15"/>
      <c r="AE1363" s="13"/>
      <c r="AF1363" s="13"/>
      <c r="AG1363" s="13"/>
      <c r="AH1363" s="15"/>
      <c r="AI1363" s="13"/>
      <c r="AJ1363" s="13"/>
      <c r="AK1363" s="13"/>
      <c r="AL1363" s="13"/>
      <c r="AM1363" s="15"/>
      <c r="AN1363" s="13"/>
      <c r="AO1363" s="15"/>
      <c r="AP1363" s="15"/>
      <c r="AQ1363" s="13"/>
      <c r="AR1363" s="13"/>
      <c r="AS1363" s="13"/>
      <c r="AT1363" s="13"/>
      <c r="AU1363" s="13"/>
      <c r="AV1363" s="13"/>
      <c r="AW1363" s="13"/>
      <c r="AX1363" s="13"/>
      <c r="AY1363" s="15"/>
      <c r="AZ1363" s="15"/>
      <c r="BA1363" s="16"/>
      <c r="BB1363" s="15"/>
      <c r="BC1363" s="15"/>
      <c r="BD1363" s="13"/>
      <c r="BE1363" s="13"/>
      <c r="BF1363" s="13"/>
      <c r="BG1363" s="13"/>
      <c r="BH1363" s="13"/>
      <c r="BI1363" s="13"/>
      <c r="BJ1363" s="13"/>
      <c r="BK1363" s="13"/>
      <c r="BL1363" s="13"/>
      <c r="BM1363" s="13"/>
      <c r="BN1363" s="13"/>
      <c r="BO1363" s="13"/>
      <c r="BP1363" s="13"/>
      <c r="BQ1363" s="15"/>
      <c r="BR1363" s="15"/>
      <c r="BS1363" s="15"/>
      <c r="BT1363" s="15"/>
      <c r="BU1363" s="15"/>
      <c r="BV1363" s="15"/>
      <c r="BW1363" s="15"/>
      <c r="BX1363" s="15"/>
      <c r="BY1363" s="15"/>
      <c r="BZ1363" s="15"/>
      <c r="CA1363" s="15"/>
      <c r="CB1363" s="17"/>
      <c r="CC1363" s="17"/>
      <c r="CD1363" s="18"/>
      <c r="CE1363" s="18"/>
      <c r="CF1363" s="18"/>
      <c r="CG1363" s="18"/>
      <c r="CH1363" s="18"/>
    </row>
    <row r="1364">
      <c r="A1364" s="15"/>
      <c r="B1364" s="16"/>
      <c r="C1364" s="15"/>
      <c r="D1364" s="9"/>
      <c r="E1364" s="15"/>
      <c r="F1364" s="15"/>
      <c r="G1364" s="13"/>
      <c r="H1364" s="13"/>
      <c r="I1364" s="13"/>
      <c r="J1364" s="13"/>
      <c r="K1364" s="13"/>
      <c r="L1364" s="13"/>
      <c r="M1364" s="13"/>
      <c r="N1364" s="13"/>
      <c r="O1364" s="13"/>
      <c r="P1364" s="13"/>
      <c r="Q1364" s="13"/>
      <c r="R1364" s="13"/>
      <c r="S1364" s="13"/>
      <c r="T1364" s="13"/>
      <c r="U1364" s="13"/>
      <c r="V1364" s="13"/>
      <c r="W1364" s="13"/>
      <c r="X1364" s="13"/>
      <c r="Y1364" s="13"/>
      <c r="Z1364" s="13"/>
      <c r="AA1364" s="13"/>
      <c r="AB1364" s="15"/>
      <c r="AC1364" s="15"/>
      <c r="AD1364" s="15"/>
      <c r="AE1364" s="13"/>
      <c r="AF1364" s="13"/>
      <c r="AG1364" s="13"/>
      <c r="AH1364" s="15"/>
      <c r="AI1364" s="13"/>
      <c r="AJ1364" s="13"/>
      <c r="AK1364" s="13"/>
      <c r="AL1364" s="13"/>
      <c r="AM1364" s="15"/>
      <c r="AN1364" s="13"/>
      <c r="AO1364" s="15"/>
      <c r="AP1364" s="15"/>
      <c r="AQ1364" s="13"/>
      <c r="AR1364" s="13"/>
      <c r="AS1364" s="13"/>
      <c r="AT1364" s="13"/>
      <c r="AU1364" s="13"/>
      <c r="AV1364" s="13"/>
      <c r="AW1364" s="13"/>
      <c r="AX1364" s="13"/>
      <c r="AY1364" s="15"/>
      <c r="AZ1364" s="15"/>
      <c r="BA1364" s="16"/>
      <c r="BB1364" s="15"/>
      <c r="BC1364" s="15"/>
      <c r="BD1364" s="13"/>
      <c r="BE1364" s="13"/>
      <c r="BF1364" s="13"/>
      <c r="BG1364" s="13"/>
      <c r="BH1364" s="13"/>
      <c r="BI1364" s="13"/>
      <c r="BJ1364" s="13"/>
      <c r="BK1364" s="13"/>
      <c r="BL1364" s="13"/>
      <c r="BM1364" s="13"/>
      <c r="BN1364" s="13"/>
      <c r="BO1364" s="13"/>
      <c r="BP1364" s="13"/>
      <c r="BQ1364" s="15"/>
      <c r="BR1364" s="15"/>
      <c r="BS1364" s="15"/>
      <c r="BT1364" s="15"/>
      <c r="BU1364" s="15"/>
      <c r="BV1364" s="15"/>
      <c r="BW1364" s="15"/>
      <c r="BX1364" s="15"/>
      <c r="BY1364" s="15"/>
      <c r="BZ1364" s="15"/>
      <c r="CA1364" s="15"/>
      <c r="CB1364" s="17"/>
      <c r="CC1364" s="17"/>
      <c r="CD1364" s="18"/>
      <c r="CE1364" s="18"/>
      <c r="CF1364" s="18"/>
      <c r="CG1364" s="18"/>
      <c r="CH1364" s="18"/>
    </row>
    <row r="1365">
      <c r="A1365" s="15"/>
      <c r="B1365" s="16"/>
      <c r="C1365" s="15"/>
      <c r="D1365" s="9"/>
      <c r="E1365" s="15"/>
      <c r="F1365" s="15"/>
      <c r="G1365" s="13"/>
      <c r="H1365" s="13"/>
      <c r="I1365" s="13"/>
      <c r="J1365" s="13"/>
      <c r="K1365" s="13"/>
      <c r="L1365" s="13"/>
      <c r="M1365" s="13"/>
      <c r="N1365" s="13"/>
      <c r="O1365" s="13"/>
      <c r="P1365" s="13"/>
      <c r="Q1365" s="13"/>
      <c r="R1365" s="13"/>
      <c r="S1365" s="13"/>
      <c r="T1365" s="13"/>
      <c r="U1365" s="13"/>
      <c r="V1365" s="13"/>
      <c r="W1365" s="13"/>
      <c r="X1365" s="13"/>
      <c r="Y1365" s="13"/>
      <c r="Z1365" s="13"/>
      <c r="AA1365" s="13"/>
      <c r="AB1365" s="15"/>
      <c r="AC1365" s="15"/>
      <c r="AD1365" s="15"/>
      <c r="AE1365" s="13"/>
      <c r="AF1365" s="13"/>
      <c r="AG1365" s="13"/>
      <c r="AH1365" s="15"/>
      <c r="AI1365" s="13"/>
      <c r="AJ1365" s="13"/>
      <c r="AK1365" s="13"/>
      <c r="AL1365" s="13"/>
      <c r="AM1365" s="15"/>
      <c r="AN1365" s="13"/>
      <c r="AO1365" s="15"/>
      <c r="AP1365" s="15"/>
      <c r="AQ1365" s="13"/>
      <c r="AR1365" s="13"/>
      <c r="AS1365" s="13"/>
      <c r="AT1365" s="13"/>
      <c r="AU1365" s="13"/>
      <c r="AV1365" s="13"/>
      <c r="AW1365" s="13"/>
      <c r="AX1365" s="13"/>
      <c r="AY1365" s="15"/>
      <c r="AZ1365" s="15"/>
      <c r="BA1365" s="16"/>
      <c r="BB1365" s="15"/>
      <c r="BC1365" s="15"/>
      <c r="BD1365" s="13"/>
      <c r="BE1365" s="13"/>
      <c r="BF1365" s="13"/>
      <c r="BG1365" s="13"/>
      <c r="BH1365" s="13"/>
      <c r="BI1365" s="13"/>
      <c r="BJ1365" s="13"/>
      <c r="BK1365" s="13"/>
      <c r="BL1365" s="13"/>
      <c r="BM1365" s="13"/>
      <c r="BN1365" s="13"/>
      <c r="BO1365" s="13"/>
      <c r="BP1365" s="13"/>
      <c r="BQ1365" s="15"/>
      <c r="BR1365" s="15"/>
      <c r="BS1365" s="15"/>
      <c r="BT1365" s="15"/>
      <c r="BU1365" s="15"/>
      <c r="BV1365" s="15"/>
      <c r="BW1365" s="15"/>
      <c r="BX1365" s="15"/>
      <c r="BY1365" s="15"/>
      <c r="BZ1365" s="15"/>
      <c r="CA1365" s="15"/>
      <c r="CB1365" s="17"/>
      <c r="CC1365" s="17"/>
      <c r="CD1365" s="18"/>
      <c r="CE1365" s="18"/>
      <c r="CF1365" s="18"/>
      <c r="CG1365" s="18"/>
      <c r="CH1365" s="18"/>
    </row>
    <row r="1366">
      <c r="A1366" s="15"/>
      <c r="B1366" s="16"/>
      <c r="C1366" s="15"/>
      <c r="D1366" s="9"/>
      <c r="E1366" s="15"/>
      <c r="F1366" s="15"/>
      <c r="G1366" s="13"/>
      <c r="H1366" s="13"/>
      <c r="I1366" s="13"/>
      <c r="J1366" s="13"/>
      <c r="K1366" s="13"/>
      <c r="L1366" s="13"/>
      <c r="M1366" s="13"/>
      <c r="N1366" s="13"/>
      <c r="O1366" s="13"/>
      <c r="P1366" s="13"/>
      <c r="Q1366" s="13"/>
      <c r="R1366" s="13"/>
      <c r="S1366" s="13"/>
      <c r="T1366" s="13"/>
      <c r="U1366" s="13"/>
      <c r="V1366" s="13"/>
      <c r="W1366" s="13"/>
      <c r="X1366" s="13"/>
      <c r="Y1366" s="13"/>
      <c r="Z1366" s="13"/>
      <c r="AA1366" s="13"/>
      <c r="AB1366" s="15"/>
      <c r="AC1366" s="15"/>
      <c r="AD1366" s="15"/>
      <c r="AE1366" s="13"/>
      <c r="AF1366" s="13"/>
      <c r="AG1366" s="13"/>
      <c r="AH1366" s="15"/>
      <c r="AI1366" s="13"/>
      <c r="AJ1366" s="13"/>
      <c r="AK1366" s="13"/>
      <c r="AL1366" s="13"/>
      <c r="AM1366" s="15"/>
      <c r="AN1366" s="13"/>
      <c r="AO1366" s="15"/>
      <c r="AP1366" s="15"/>
      <c r="AQ1366" s="13"/>
      <c r="AR1366" s="13"/>
      <c r="AS1366" s="13"/>
      <c r="AT1366" s="13"/>
      <c r="AU1366" s="13"/>
      <c r="AV1366" s="13"/>
      <c r="AW1366" s="13"/>
      <c r="AX1366" s="13"/>
      <c r="AY1366" s="15"/>
      <c r="AZ1366" s="15"/>
      <c r="BA1366" s="16"/>
      <c r="BB1366" s="15"/>
      <c r="BC1366" s="15"/>
      <c r="BD1366" s="13"/>
      <c r="BE1366" s="13"/>
      <c r="BF1366" s="13"/>
      <c r="BG1366" s="13"/>
      <c r="BH1366" s="13"/>
      <c r="BI1366" s="13"/>
      <c r="BJ1366" s="13"/>
      <c r="BK1366" s="13"/>
      <c r="BL1366" s="13"/>
      <c r="BM1366" s="13"/>
      <c r="BN1366" s="13"/>
      <c r="BO1366" s="13"/>
      <c r="BP1366" s="13"/>
      <c r="BQ1366" s="15"/>
      <c r="BR1366" s="15"/>
      <c r="BS1366" s="15"/>
      <c r="BT1366" s="15"/>
      <c r="BU1366" s="15"/>
      <c r="BV1366" s="15"/>
      <c r="BW1366" s="15"/>
      <c r="BX1366" s="15"/>
      <c r="BY1366" s="15"/>
      <c r="BZ1366" s="15"/>
      <c r="CA1366" s="15"/>
      <c r="CB1366" s="17"/>
      <c r="CC1366" s="17"/>
      <c r="CD1366" s="18"/>
      <c r="CE1366" s="18"/>
      <c r="CF1366" s="18"/>
      <c r="CG1366" s="18"/>
      <c r="CH1366" s="18"/>
    </row>
    <row r="1367">
      <c r="A1367" s="15"/>
      <c r="B1367" s="16"/>
      <c r="C1367" s="15"/>
      <c r="D1367" s="9"/>
      <c r="E1367" s="15"/>
      <c r="F1367" s="15"/>
      <c r="G1367" s="13"/>
      <c r="H1367" s="13"/>
      <c r="I1367" s="13"/>
      <c r="J1367" s="13"/>
      <c r="K1367" s="13"/>
      <c r="L1367" s="13"/>
      <c r="M1367" s="13"/>
      <c r="N1367" s="13"/>
      <c r="O1367" s="13"/>
      <c r="P1367" s="13"/>
      <c r="Q1367" s="13"/>
      <c r="R1367" s="13"/>
      <c r="S1367" s="13"/>
      <c r="T1367" s="13"/>
      <c r="U1367" s="13"/>
      <c r="V1367" s="13"/>
      <c r="W1367" s="13"/>
      <c r="X1367" s="13"/>
      <c r="Y1367" s="13"/>
      <c r="Z1367" s="13"/>
      <c r="AA1367" s="13"/>
      <c r="AB1367" s="15"/>
      <c r="AC1367" s="15"/>
      <c r="AD1367" s="15"/>
      <c r="AE1367" s="13"/>
      <c r="AF1367" s="13"/>
      <c r="AG1367" s="13"/>
      <c r="AH1367" s="15"/>
      <c r="AI1367" s="13"/>
      <c r="AJ1367" s="13"/>
      <c r="AK1367" s="13"/>
      <c r="AL1367" s="13"/>
      <c r="AM1367" s="15"/>
      <c r="AN1367" s="13"/>
      <c r="AO1367" s="15"/>
      <c r="AP1367" s="15"/>
      <c r="AQ1367" s="13"/>
      <c r="AR1367" s="13"/>
      <c r="AS1367" s="13"/>
      <c r="AT1367" s="13"/>
      <c r="AU1367" s="13"/>
      <c r="AV1367" s="13"/>
      <c r="AW1367" s="13"/>
      <c r="AX1367" s="13"/>
      <c r="AY1367" s="15"/>
      <c r="AZ1367" s="15"/>
      <c r="BA1367" s="16"/>
      <c r="BB1367" s="15"/>
      <c r="BC1367" s="15"/>
      <c r="BD1367" s="13"/>
      <c r="BE1367" s="13"/>
      <c r="BF1367" s="13"/>
      <c r="BG1367" s="13"/>
      <c r="BH1367" s="13"/>
      <c r="BI1367" s="13"/>
      <c r="BJ1367" s="13"/>
      <c r="BK1367" s="13"/>
      <c r="BL1367" s="13"/>
      <c r="BM1367" s="13"/>
      <c r="BN1367" s="13"/>
      <c r="BO1367" s="13"/>
      <c r="BP1367" s="13"/>
      <c r="BQ1367" s="15"/>
      <c r="BR1367" s="15"/>
      <c r="BS1367" s="15"/>
      <c r="BT1367" s="15"/>
      <c r="BU1367" s="15"/>
      <c r="BV1367" s="15"/>
      <c r="BW1367" s="15"/>
      <c r="BX1367" s="15"/>
      <c r="BY1367" s="15"/>
      <c r="BZ1367" s="15"/>
      <c r="CA1367" s="15"/>
      <c r="CB1367" s="17"/>
      <c r="CC1367" s="17"/>
      <c r="CD1367" s="18"/>
      <c r="CE1367" s="18"/>
      <c r="CF1367" s="18"/>
      <c r="CG1367" s="18"/>
      <c r="CH1367" s="18"/>
    </row>
    <row r="1368">
      <c r="A1368" s="15"/>
      <c r="B1368" s="16"/>
      <c r="C1368" s="15"/>
      <c r="D1368" s="9"/>
      <c r="E1368" s="15"/>
      <c r="F1368" s="15"/>
      <c r="G1368" s="13"/>
      <c r="H1368" s="13"/>
      <c r="I1368" s="13"/>
      <c r="J1368" s="13"/>
      <c r="K1368" s="13"/>
      <c r="L1368" s="13"/>
      <c r="M1368" s="13"/>
      <c r="N1368" s="13"/>
      <c r="O1368" s="13"/>
      <c r="P1368" s="13"/>
      <c r="Q1368" s="13"/>
      <c r="R1368" s="13"/>
      <c r="S1368" s="13"/>
      <c r="T1368" s="13"/>
      <c r="U1368" s="13"/>
      <c r="V1368" s="13"/>
      <c r="W1368" s="13"/>
      <c r="X1368" s="13"/>
      <c r="Y1368" s="13"/>
      <c r="Z1368" s="13"/>
      <c r="AA1368" s="13"/>
      <c r="AB1368" s="15"/>
      <c r="AC1368" s="15"/>
      <c r="AD1368" s="15"/>
      <c r="AE1368" s="13"/>
      <c r="AF1368" s="13"/>
      <c r="AG1368" s="13"/>
      <c r="AH1368" s="15"/>
      <c r="AI1368" s="13"/>
      <c r="AJ1368" s="13"/>
      <c r="AK1368" s="13"/>
      <c r="AL1368" s="13"/>
      <c r="AM1368" s="15"/>
      <c r="AN1368" s="13"/>
      <c r="AO1368" s="15"/>
      <c r="AP1368" s="15"/>
      <c r="AQ1368" s="13"/>
      <c r="AR1368" s="13"/>
      <c r="AS1368" s="13"/>
      <c r="AT1368" s="13"/>
      <c r="AU1368" s="13"/>
      <c r="AV1368" s="13"/>
      <c r="AW1368" s="13"/>
      <c r="AX1368" s="13"/>
      <c r="AY1368" s="15"/>
      <c r="AZ1368" s="15"/>
      <c r="BA1368" s="16"/>
      <c r="BB1368" s="15"/>
      <c r="BC1368" s="15"/>
      <c r="BD1368" s="13"/>
      <c r="BE1368" s="13"/>
      <c r="BF1368" s="13"/>
      <c r="BG1368" s="13"/>
      <c r="BH1368" s="13"/>
      <c r="BI1368" s="13"/>
      <c r="BJ1368" s="13"/>
      <c r="BK1368" s="13"/>
      <c r="BL1368" s="13"/>
      <c r="BM1368" s="13"/>
      <c r="BN1368" s="13"/>
      <c r="BO1368" s="13"/>
      <c r="BP1368" s="13"/>
      <c r="BQ1368" s="15"/>
      <c r="BR1368" s="15"/>
      <c r="BS1368" s="15"/>
      <c r="BT1368" s="15"/>
      <c r="BU1368" s="15"/>
      <c r="BV1368" s="15"/>
      <c r="BW1368" s="15"/>
      <c r="BX1368" s="15"/>
      <c r="BY1368" s="15"/>
      <c r="BZ1368" s="15"/>
      <c r="CA1368" s="15"/>
      <c r="CB1368" s="17"/>
      <c r="CC1368" s="17"/>
      <c r="CD1368" s="18"/>
      <c r="CE1368" s="18"/>
      <c r="CF1368" s="18"/>
      <c r="CG1368" s="18"/>
      <c r="CH1368" s="18"/>
    </row>
    <row r="1369">
      <c r="A1369" s="15"/>
      <c r="B1369" s="16"/>
      <c r="C1369" s="15"/>
      <c r="D1369" s="9"/>
      <c r="E1369" s="15"/>
      <c r="F1369" s="15"/>
      <c r="G1369" s="13"/>
      <c r="H1369" s="13"/>
      <c r="I1369" s="13"/>
      <c r="J1369" s="13"/>
      <c r="K1369" s="13"/>
      <c r="L1369" s="13"/>
      <c r="M1369" s="13"/>
      <c r="N1369" s="13"/>
      <c r="O1369" s="13"/>
      <c r="P1369" s="13"/>
      <c r="Q1369" s="13"/>
      <c r="R1369" s="13"/>
      <c r="S1369" s="13"/>
      <c r="T1369" s="13"/>
      <c r="U1369" s="13"/>
      <c r="V1369" s="13"/>
      <c r="W1369" s="13"/>
      <c r="X1369" s="13"/>
      <c r="Y1369" s="13"/>
      <c r="Z1369" s="13"/>
      <c r="AA1369" s="13"/>
      <c r="AB1369" s="15"/>
      <c r="AC1369" s="15"/>
      <c r="AD1369" s="15"/>
      <c r="AE1369" s="13"/>
      <c r="AF1369" s="13"/>
      <c r="AG1369" s="13"/>
      <c r="AH1369" s="15"/>
      <c r="AI1369" s="13"/>
      <c r="AJ1369" s="13"/>
      <c r="AK1369" s="13"/>
      <c r="AL1369" s="13"/>
      <c r="AM1369" s="15"/>
      <c r="AN1369" s="13"/>
      <c r="AO1369" s="15"/>
      <c r="AP1369" s="15"/>
      <c r="AQ1369" s="13"/>
      <c r="AR1369" s="13"/>
      <c r="AS1369" s="13"/>
      <c r="AT1369" s="13"/>
      <c r="AU1369" s="13"/>
      <c r="AV1369" s="13"/>
      <c r="AW1369" s="13"/>
      <c r="AX1369" s="13"/>
      <c r="AY1369" s="15"/>
      <c r="AZ1369" s="15"/>
      <c r="BA1369" s="16"/>
      <c r="BB1369" s="15"/>
      <c r="BC1369" s="15"/>
      <c r="BD1369" s="13"/>
      <c r="BE1369" s="13"/>
      <c r="BF1369" s="13"/>
      <c r="BG1369" s="13"/>
      <c r="BH1369" s="13"/>
      <c r="BI1369" s="13"/>
      <c r="BJ1369" s="13"/>
      <c r="BK1369" s="13"/>
      <c r="BL1369" s="13"/>
      <c r="BM1369" s="13"/>
      <c r="BN1369" s="13"/>
      <c r="BO1369" s="13"/>
      <c r="BP1369" s="13"/>
      <c r="BQ1369" s="15"/>
      <c r="BR1369" s="15"/>
      <c r="BS1369" s="15"/>
      <c r="BT1369" s="15"/>
      <c r="BU1369" s="15"/>
      <c r="BV1369" s="15"/>
      <c r="BW1369" s="15"/>
      <c r="BX1369" s="15"/>
      <c r="BY1369" s="15"/>
      <c r="BZ1369" s="15"/>
      <c r="CA1369" s="15"/>
      <c r="CB1369" s="17"/>
      <c r="CC1369" s="17"/>
      <c r="CD1369" s="18"/>
      <c r="CE1369" s="18"/>
      <c r="CF1369" s="18"/>
      <c r="CG1369" s="18"/>
      <c r="CH1369" s="18"/>
    </row>
    <row r="1370">
      <c r="A1370" s="15"/>
      <c r="B1370" s="16"/>
      <c r="C1370" s="15"/>
      <c r="D1370" s="9"/>
      <c r="E1370" s="15"/>
      <c r="F1370" s="15"/>
      <c r="G1370" s="13"/>
      <c r="H1370" s="13"/>
      <c r="I1370" s="13"/>
      <c r="J1370" s="13"/>
      <c r="K1370" s="13"/>
      <c r="L1370" s="13"/>
      <c r="M1370" s="13"/>
      <c r="N1370" s="13"/>
      <c r="O1370" s="13"/>
      <c r="P1370" s="13"/>
      <c r="Q1370" s="13"/>
      <c r="R1370" s="13"/>
      <c r="S1370" s="13"/>
      <c r="T1370" s="13"/>
      <c r="U1370" s="13"/>
      <c r="V1370" s="13"/>
      <c r="W1370" s="13"/>
      <c r="X1370" s="13"/>
      <c r="Y1370" s="13"/>
      <c r="Z1370" s="13"/>
      <c r="AA1370" s="13"/>
      <c r="AB1370" s="15"/>
      <c r="AC1370" s="15"/>
      <c r="AD1370" s="15"/>
      <c r="AE1370" s="13"/>
      <c r="AF1370" s="13"/>
      <c r="AG1370" s="13"/>
      <c r="AH1370" s="15"/>
      <c r="AI1370" s="13"/>
      <c r="AJ1370" s="13"/>
      <c r="AK1370" s="13"/>
      <c r="AL1370" s="13"/>
      <c r="AM1370" s="15"/>
      <c r="AN1370" s="13"/>
      <c r="AO1370" s="15"/>
      <c r="AP1370" s="15"/>
      <c r="AQ1370" s="13"/>
      <c r="AR1370" s="13"/>
      <c r="AS1370" s="13"/>
      <c r="AT1370" s="13"/>
      <c r="AU1370" s="13"/>
      <c r="AV1370" s="13"/>
      <c r="AW1370" s="13"/>
      <c r="AX1370" s="13"/>
      <c r="AY1370" s="15"/>
      <c r="AZ1370" s="15"/>
      <c r="BA1370" s="16"/>
      <c r="BB1370" s="15"/>
      <c r="BC1370" s="15"/>
      <c r="BD1370" s="13"/>
      <c r="BE1370" s="13"/>
      <c r="BF1370" s="13"/>
      <c r="BG1370" s="13"/>
      <c r="BH1370" s="13"/>
      <c r="BI1370" s="13"/>
      <c r="BJ1370" s="13"/>
      <c r="BK1370" s="13"/>
      <c r="BL1370" s="13"/>
      <c r="BM1370" s="13"/>
      <c r="BN1370" s="13"/>
      <c r="BO1370" s="13"/>
      <c r="BP1370" s="13"/>
      <c r="BQ1370" s="15"/>
      <c r="BR1370" s="15"/>
      <c r="BS1370" s="15"/>
      <c r="BT1370" s="15"/>
      <c r="BU1370" s="15"/>
      <c r="BV1370" s="15"/>
      <c r="BW1370" s="15"/>
      <c r="BX1370" s="15"/>
      <c r="BY1370" s="15"/>
      <c r="BZ1370" s="15"/>
      <c r="CA1370" s="15"/>
      <c r="CB1370" s="17"/>
      <c r="CC1370" s="17"/>
      <c r="CD1370" s="18"/>
      <c r="CE1370" s="18"/>
      <c r="CF1370" s="18"/>
      <c r="CG1370" s="18"/>
      <c r="CH1370" s="18"/>
    </row>
    <row r="1371">
      <c r="A1371" s="15"/>
      <c r="B1371" s="16"/>
      <c r="C1371" s="15"/>
      <c r="D1371" s="9"/>
      <c r="E1371" s="15"/>
      <c r="F1371" s="15"/>
      <c r="G1371" s="13"/>
      <c r="H1371" s="13"/>
      <c r="I1371" s="13"/>
      <c r="J1371" s="13"/>
      <c r="K1371" s="13"/>
      <c r="L1371" s="13"/>
      <c r="M1371" s="13"/>
      <c r="N1371" s="13"/>
      <c r="O1371" s="13"/>
      <c r="P1371" s="13"/>
      <c r="Q1371" s="13"/>
      <c r="R1371" s="13"/>
      <c r="S1371" s="13"/>
      <c r="T1371" s="13"/>
      <c r="U1371" s="13"/>
      <c r="V1371" s="13"/>
      <c r="W1371" s="13"/>
      <c r="X1371" s="13"/>
      <c r="Y1371" s="13"/>
      <c r="Z1371" s="13"/>
      <c r="AA1371" s="13"/>
      <c r="AB1371" s="15"/>
      <c r="AC1371" s="15"/>
      <c r="AD1371" s="15"/>
      <c r="AE1371" s="13"/>
      <c r="AF1371" s="13"/>
      <c r="AG1371" s="13"/>
      <c r="AH1371" s="15"/>
      <c r="AI1371" s="13"/>
      <c r="AJ1371" s="13"/>
      <c r="AK1371" s="13"/>
      <c r="AL1371" s="13"/>
      <c r="AM1371" s="15"/>
      <c r="AN1371" s="13"/>
      <c r="AO1371" s="15"/>
      <c r="AP1371" s="15"/>
      <c r="AQ1371" s="13"/>
      <c r="AR1371" s="13"/>
      <c r="AS1371" s="13"/>
      <c r="AT1371" s="13"/>
      <c r="AU1371" s="13"/>
      <c r="AV1371" s="13"/>
      <c r="AW1371" s="13"/>
      <c r="AX1371" s="13"/>
      <c r="AY1371" s="15"/>
      <c r="AZ1371" s="15"/>
      <c r="BA1371" s="16"/>
      <c r="BB1371" s="15"/>
      <c r="BC1371" s="15"/>
      <c r="BD1371" s="13"/>
      <c r="BE1371" s="13"/>
      <c r="BF1371" s="13"/>
      <c r="BG1371" s="13"/>
      <c r="BH1371" s="13"/>
      <c r="BI1371" s="13"/>
      <c r="BJ1371" s="13"/>
      <c r="BK1371" s="13"/>
      <c r="BL1371" s="13"/>
      <c r="BM1371" s="13"/>
      <c r="BN1371" s="13"/>
      <c r="BO1371" s="13"/>
      <c r="BP1371" s="13"/>
      <c r="BQ1371" s="15"/>
      <c r="BR1371" s="15"/>
      <c r="BS1371" s="15"/>
      <c r="BT1371" s="15"/>
      <c r="BU1371" s="15"/>
      <c r="BV1371" s="15"/>
      <c r="BW1371" s="15"/>
      <c r="BX1371" s="15"/>
      <c r="BY1371" s="15"/>
      <c r="BZ1371" s="15"/>
      <c r="CA1371" s="15"/>
      <c r="CB1371" s="17"/>
      <c r="CC1371" s="17"/>
      <c r="CD1371" s="18"/>
      <c r="CE1371" s="18"/>
      <c r="CF1371" s="18"/>
      <c r="CG1371" s="18"/>
      <c r="CH1371" s="18"/>
    </row>
    <row r="1372">
      <c r="A1372" s="15"/>
      <c r="B1372" s="16"/>
      <c r="C1372" s="15"/>
      <c r="D1372" s="9"/>
      <c r="E1372" s="15"/>
      <c r="F1372" s="15"/>
      <c r="G1372" s="13"/>
      <c r="H1372" s="13"/>
      <c r="I1372" s="13"/>
      <c r="J1372" s="13"/>
      <c r="K1372" s="13"/>
      <c r="L1372" s="13"/>
      <c r="M1372" s="13"/>
      <c r="N1372" s="13"/>
      <c r="O1372" s="13"/>
      <c r="P1372" s="13"/>
      <c r="Q1372" s="13"/>
      <c r="R1372" s="13"/>
      <c r="S1372" s="13"/>
      <c r="T1372" s="13"/>
      <c r="U1372" s="13"/>
      <c r="V1372" s="13"/>
      <c r="W1372" s="13"/>
      <c r="X1372" s="13"/>
      <c r="Y1372" s="13"/>
      <c r="Z1372" s="13"/>
      <c r="AA1372" s="13"/>
      <c r="AB1372" s="15"/>
      <c r="AC1372" s="15"/>
      <c r="AD1372" s="15"/>
      <c r="AE1372" s="13"/>
      <c r="AF1372" s="13"/>
      <c r="AG1372" s="13"/>
      <c r="AH1372" s="15"/>
      <c r="AI1372" s="13"/>
      <c r="AJ1372" s="13"/>
      <c r="AK1372" s="13"/>
      <c r="AL1372" s="13"/>
      <c r="AM1372" s="15"/>
      <c r="AN1372" s="13"/>
      <c r="AO1372" s="15"/>
      <c r="AP1372" s="15"/>
      <c r="AQ1372" s="13"/>
      <c r="AR1372" s="13"/>
      <c r="AS1372" s="13"/>
      <c r="AT1372" s="13"/>
      <c r="AU1372" s="13"/>
      <c r="AV1372" s="13"/>
      <c r="AW1372" s="13"/>
      <c r="AX1372" s="13"/>
      <c r="AY1372" s="15"/>
      <c r="AZ1372" s="15"/>
      <c r="BA1372" s="16"/>
      <c r="BB1372" s="15"/>
      <c r="BC1372" s="15"/>
      <c r="BD1372" s="13"/>
      <c r="BE1372" s="13"/>
      <c r="BF1372" s="13"/>
      <c r="BG1372" s="13"/>
      <c r="BH1372" s="13"/>
      <c r="BI1372" s="13"/>
      <c r="BJ1372" s="13"/>
      <c r="BK1372" s="13"/>
      <c r="BL1372" s="13"/>
      <c r="BM1372" s="13"/>
      <c r="BN1372" s="13"/>
      <c r="BO1372" s="13"/>
      <c r="BP1372" s="13"/>
      <c r="BQ1372" s="15"/>
      <c r="BR1372" s="15"/>
      <c r="BS1372" s="15"/>
      <c r="BT1372" s="15"/>
      <c r="BU1372" s="15"/>
      <c r="BV1372" s="15"/>
      <c r="BW1372" s="15"/>
      <c r="BX1372" s="15"/>
      <c r="BY1372" s="15"/>
      <c r="BZ1372" s="15"/>
      <c r="CA1372" s="15"/>
      <c r="CB1372" s="17"/>
      <c r="CC1372" s="17"/>
      <c r="CD1372" s="18"/>
      <c r="CE1372" s="18"/>
      <c r="CF1372" s="18"/>
      <c r="CG1372" s="18"/>
      <c r="CH1372" s="18"/>
    </row>
    <row r="1373">
      <c r="A1373" s="15"/>
      <c r="B1373" s="16"/>
      <c r="C1373" s="15"/>
      <c r="D1373" s="9"/>
      <c r="E1373" s="15"/>
      <c r="F1373" s="15"/>
      <c r="G1373" s="13"/>
      <c r="H1373" s="13"/>
      <c r="I1373" s="13"/>
      <c r="J1373" s="13"/>
      <c r="K1373" s="13"/>
      <c r="L1373" s="13"/>
      <c r="M1373" s="13"/>
      <c r="N1373" s="13"/>
      <c r="O1373" s="13"/>
      <c r="P1373" s="13"/>
      <c r="Q1373" s="13"/>
      <c r="R1373" s="13"/>
      <c r="S1373" s="13"/>
      <c r="T1373" s="13"/>
      <c r="U1373" s="13"/>
      <c r="V1373" s="13"/>
      <c r="W1373" s="13"/>
      <c r="X1373" s="13"/>
      <c r="Y1373" s="13"/>
      <c r="Z1373" s="13"/>
      <c r="AA1373" s="13"/>
      <c r="AB1373" s="15"/>
      <c r="AC1373" s="15"/>
      <c r="AD1373" s="15"/>
      <c r="AE1373" s="13"/>
      <c r="AF1373" s="13"/>
      <c r="AG1373" s="13"/>
      <c r="AH1373" s="15"/>
      <c r="AI1373" s="13"/>
      <c r="AJ1373" s="13"/>
      <c r="AK1373" s="13"/>
      <c r="AL1373" s="13"/>
      <c r="AM1373" s="15"/>
      <c r="AN1373" s="13"/>
      <c r="AO1373" s="15"/>
      <c r="AP1373" s="15"/>
      <c r="AQ1373" s="13"/>
      <c r="AR1373" s="13"/>
      <c r="AS1373" s="13"/>
      <c r="AT1373" s="13"/>
      <c r="AU1373" s="13"/>
      <c r="AV1373" s="13"/>
      <c r="AW1373" s="13"/>
      <c r="AX1373" s="13"/>
      <c r="AY1373" s="15"/>
      <c r="AZ1373" s="15"/>
      <c r="BA1373" s="16"/>
      <c r="BB1373" s="15"/>
      <c r="BC1373" s="15"/>
      <c r="BD1373" s="13"/>
      <c r="BE1373" s="13"/>
      <c r="BF1373" s="13"/>
      <c r="BG1373" s="13"/>
      <c r="BH1373" s="13"/>
      <c r="BI1373" s="13"/>
      <c r="BJ1373" s="13"/>
      <c r="BK1373" s="13"/>
      <c r="BL1373" s="13"/>
      <c r="BM1373" s="13"/>
      <c r="BN1373" s="13"/>
      <c r="BO1373" s="13"/>
      <c r="BP1373" s="13"/>
      <c r="BQ1373" s="15"/>
      <c r="BR1373" s="15"/>
      <c r="BS1373" s="15"/>
      <c r="BT1373" s="15"/>
      <c r="BU1373" s="15"/>
      <c r="BV1373" s="15"/>
      <c r="BW1373" s="15"/>
      <c r="BX1373" s="15"/>
      <c r="BY1373" s="15"/>
      <c r="BZ1373" s="15"/>
      <c r="CA1373" s="15"/>
      <c r="CB1373" s="17"/>
      <c r="CC1373" s="17"/>
      <c r="CD1373" s="18"/>
      <c r="CE1373" s="18"/>
      <c r="CF1373" s="18"/>
      <c r="CG1373" s="18"/>
      <c r="CH1373" s="18"/>
    </row>
    <row r="1374">
      <c r="A1374" s="15"/>
      <c r="B1374" s="16"/>
      <c r="C1374" s="15"/>
      <c r="D1374" s="9"/>
      <c r="E1374" s="15"/>
      <c r="F1374" s="15"/>
      <c r="G1374" s="13"/>
      <c r="H1374" s="13"/>
      <c r="I1374" s="13"/>
      <c r="J1374" s="13"/>
      <c r="K1374" s="13"/>
      <c r="L1374" s="13"/>
      <c r="M1374" s="13"/>
      <c r="N1374" s="13"/>
      <c r="O1374" s="13"/>
      <c r="P1374" s="13"/>
      <c r="Q1374" s="13"/>
      <c r="R1374" s="13"/>
      <c r="S1374" s="13"/>
      <c r="T1374" s="13"/>
      <c r="U1374" s="13"/>
      <c r="V1374" s="13"/>
      <c r="W1374" s="13"/>
      <c r="X1374" s="13"/>
      <c r="Y1374" s="13"/>
      <c r="Z1374" s="13"/>
      <c r="AA1374" s="13"/>
      <c r="AB1374" s="15"/>
      <c r="AC1374" s="15"/>
      <c r="AD1374" s="15"/>
      <c r="AE1374" s="13"/>
      <c r="AF1374" s="13"/>
      <c r="AG1374" s="13"/>
      <c r="AH1374" s="15"/>
      <c r="AI1374" s="13"/>
      <c r="AJ1374" s="13"/>
      <c r="AK1374" s="13"/>
      <c r="AL1374" s="13"/>
      <c r="AM1374" s="15"/>
      <c r="AN1374" s="13"/>
      <c r="AO1374" s="15"/>
      <c r="AP1374" s="15"/>
      <c r="AQ1374" s="13"/>
      <c r="AR1374" s="13"/>
      <c r="AS1374" s="13"/>
      <c r="AT1374" s="13"/>
      <c r="AU1374" s="13"/>
      <c r="AV1374" s="13"/>
      <c r="AW1374" s="13"/>
      <c r="AX1374" s="13"/>
      <c r="AY1374" s="15"/>
      <c r="AZ1374" s="15"/>
      <c r="BA1374" s="16"/>
      <c r="BB1374" s="15"/>
      <c r="BC1374" s="15"/>
      <c r="BD1374" s="13"/>
      <c r="BE1374" s="13"/>
      <c r="BF1374" s="13"/>
      <c r="BG1374" s="13"/>
      <c r="BH1374" s="13"/>
      <c r="BI1374" s="13"/>
      <c r="BJ1374" s="13"/>
      <c r="BK1374" s="13"/>
      <c r="BL1374" s="13"/>
      <c r="BM1374" s="13"/>
      <c r="BN1374" s="13"/>
      <c r="BO1374" s="13"/>
      <c r="BP1374" s="13"/>
      <c r="BQ1374" s="15"/>
      <c r="BR1374" s="15"/>
      <c r="BS1374" s="15"/>
      <c r="BT1374" s="15"/>
      <c r="BU1374" s="15"/>
      <c r="BV1374" s="15"/>
      <c r="BW1374" s="15"/>
      <c r="BX1374" s="15"/>
      <c r="BY1374" s="15"/>
      <c r="BZ1374" s="15"/>
      <c r="CA1374" s="15"/>
      <c r="CB1374" s="17"/>
      <c r="CC1374" s="17"/>
      <c r="CD1374" s="18"/>
      <c r="CE1374" s="18"/>
      <c r="CF1374" s="18"/>
      <c r="CG1374" s="18"/>
      <c r="CH1374" s="18"/>
    </row>
    <row r="1375">
      <c r="A1375" s="15"/>
      <c r="B1375" s="16"/>
      <c r="C1375" s="15"/>
      <c r="D1375" s="9"/>
      <c r="E1375" s="15"/>
      <c r="F1375" s="15"/>
      <c r="G1375" s="13"/>
      <c r="H1375" s="13"/>
      <c r="I1375" s="13"/>
      <c r="J1375" s="13"/>
      <c r="K1375" s="13"/>
      <c r="L1375" s="13"/>
      <c r="M1375" s="13"/>
      <c r="N1375" s="13"/>
      <c r="O1375" s="13"/>
      <c r="P1375" s="13"/>
      <c r="Q1375" s="13"/>
      <c r="R1375" s="13"/>
      <c r="S1375" s="13"/>
      <c r="T1375" s="13"/>
      <c r="U1375" s="13"/>
      <c r="V1375" s="13"/>
      <c r="W1375" s="13"/>
      <c r="X1375" s="13"/>
      <c r="Y1375" s="13"/>
      <c r="Z1375" s="13"/>
      <c r="AA1375" s="13"/>
      <c r="AB1375" s="15"/>
      <c r="AC1375" s="15"/>
      <c r="AD1375" s="15"/>
      <c r="AE1375" s="13"/>
      <c r="AF1375" s="13"/>
      <c r="AG1375" s="13"/>
      <c r="AH1375" s="15"/>
      <c r="AI1375" s="13"/>
      <c r="AJ1375" s="13"/>
      <c r="AK1375" s="13"/>
      <c r="AL1375" s="13"/>
      <c r="AM1375" s="15"/>
      <c r="AN1375" s="13"/>
      <c r="AO1375" s="15"/>
      <c r="AP1375" s="15"/>
      <c r="AQ1375" s="13"/>
      <c r="AR1375" s="13"/>
      <c r="AS1375" s="13"/>
      <c r="AT1375" s="13"/>
      <c r="AU1375" s="13"/>
      <c r="AV1375" s="13"/>
      <c r="AW1375" s="13"/>
      <c r="AX1375" s="13"/>
      <c r="AY1375" s="15"/>
      <c r="AZ1375" s="15"/>
      <c r="BA1375" s="16"/>
      <c r="BB1375" s="15"/>
      <c r="BC1375" s="15"/>
      <c r="BD1375" s="13"/>
      <c r="BE1375" s="13"/>
      <c r="BF1375" s="13"/>
      <c r="BG1375" s="13"/>
      <c r="BH1375" s="13"/>
      <c r="BI1375" s="13"/>
      <c r="BJ1375" s="13"/>
      <c r="BK1375" s="13"/>
      <c r="BL1375" s="13"/>
      <c r="BM1375" s="13"/>
      <c r="BN1375" s="13"/>
      <c r="BO1375" s="13"/>
      <c r="BP1375" s="13"/>
      <c r="BQ1375" s="15"/>
      <c r="BR1375" s="15"/>
      <c r="BS1375" s="15"/>
      <c r="BT1375" s="15"/>
      <c r="BU1375" s="15"/>
      <c r="BV1375" s="15"/>
      <c r="BW1375" s="15"/>
      <c r="BX1375" s="15"/>
      <c r="BY1375" s="15"/>
      <c r="BZ1375" s="15"/>
      <c r="CA1375" s="15"/>
      <c r="CB1375" s="17"/>
      <c r="CC1375" s="17"/>
      <c r="CD1375" s="18"/>
      <c r="CE1375" s="18"/>
      <c r="CF1375" s="18"/>
      <c r="CG1375" s="18"/>
      <c r="CH1375" s="18"/>
    </row>
    <row r="1376">
      <c r="A1376" s="15"/>
      <c r="B1376" s="16"/>
      <c r="C1376" s="15"/>
      <c r="D1376" s="9"/>
      <c r="E1376" s="15"/>
      <c r="F1376" s="15"/>
      <c r="G1376" s="13"/>
      <c r="H1376" s="13"/>
      <c r="I1376" s="13"/>
      <c r="J1376" s="13"/>
      <c r="K1376" s="13"/>
      <c r="L1376" s="13"/>
      <c r="M1376" s="13"/>
      <c r="N1376" s="13"/>
      <c r="O1376" s="13"/>
      <c r="P1376" s="13"/>
      <c r="Q1376" s="13"/>
      <c r="R1376" s="13"/>
      <c r="S1376" s="13"/>
      <c r="T1376" s="13"/>
      <c r="U1376" s="13"/>
      <c r="V1376" s="13"/>
      <c r="W1376" s="13"/>
      <c r="X1376" s="13"/>
      <c r="Y1376" s="13"/>
      <c r="Z1376" s="13"/>
      <c r="AA1376" s="13"/>
      <c r="AB1376" s="15"/>
      <c r="AC1376" s="15"/>
      <c r="AD1376" s="15"/>
      <c r="AE1376" s="13"/>
      <c r="AF1376" s="13"/>
      <c r="AG1376" s="13"/>
      <c r="AH1376" s="15"/>
      <c r="AI1376" s="13"/>
      <c r="AJ1376" s="13"/>
      <c r="AK1376" s="13"/>
      <c r="AL1376" s="13"/>
      <c r="AM1376" s="15"/>
      <c r="AN1376" s="13"/>
      <c r="AO1376" s="15"/>
      <c r="AP1376" s="15"/>
      <c r="AQ1376" s="13"/>
      <c r="AR1376" s="13"/>
      <c r="AS1376" s="13"/>
      <c r="AT1376" s="13"/>
      <c r="AU1376" s="13"/>
      <c r="AV1376" s="13"/>
      <c r="AW1376" s="13"/>
      <c r="AX1376" s="13"/>
      <c r="AY1376" s="15"/>
      <c r="AZ1376" s="15"/>
      <c r="BA1376" s="16"/>
      <c r="BB1376" s="15"/>
      <c r="BC1376" s="15"/>
      <c r="BD1376" s="13"/>
      <c r="BE1376" s="13"/>
      <c r="BF1376" s="13"/>
      <c r="BG1376" s="13"/>
      <c r="BH1376" s="13"/>
      <c r="BI1376" s="13"/>
      <c r="BJ1376" s="13"/>
      <c r="BK1376" s="13"/>
      <c r="BL1376" s="13"/>
      <c r="BM1376" s="13"/>
      <c r="BN1376" s="13"/>
      <c r="BO1376" s="13"/>
      <c r="BP1376" s="13"/>
      <c r="BQ1376" s="15"/>
      <c r="BR1376" s="15"/>
      <c r="BS1376" s="15"/>
      <c r="BT1376" s="15"/>
      <c r="BU1376" s="15"/>
      <c r="BV1376" s="15"/>
      <c r="BW1376" s="15"/>
      <c r="BX1376" s="15"/>
      <c r="BY1376" s="15"/>
      <c r="BZ1376" s="15"/>
      <c r="CA1376" s="15"/>
      <c r="CB1376" s="17"/>
      <c r="CC1376" s="17"/>
      <c r="CD1376" s="18"/>
      <c r="CE1376" s="18"/>
      <c r="CF1376" s="18"/>
      <c r="CG1376" s="18"/>
      <c r="CH1376" s="18"/>
    </row>
    <row r="1377">
      <c r="A1377" s="15"/>
      <c r="B1377" s="16"/>
      <c r="C1377" s="15"/>
      <c r="D1377" s="9"/>
      <c r="E1377" s="15"/>
      <c r="F1377" s="15"/>
      <c r="G1377" s="13"/>
      <c r="H1377" s="13"/>
      <c r="I1377" s="13"/>
      <c r="J1377" s="13"/>
      <c r="K1377" s="13"/>
      <c r="L1377" s="13"/>
      <c r="M1377" s="13"/>
      <c r="N1377" s="13"/>
      <c r="O1377" s="13"/>
      <c r="P1377" s="13"/>
      <c r="Q1377" s="13"/>
      <c r="R1377" s="13"/>
      <c r="S1377" s="13"/>
      <c r="T1377" s="13"/>
      <c r="U1377" s="13"/>
      <c r="V1377" s="13"/>
      <c r="W1377" s="13"/>
      <c r="X1377" s="13"/>
      <c r="Y1377" s="13"/>
      <c r="Z1377" s="13"/>
      <c r="AA1377" s="13"/>
      <c r="AB1377" s="15"/>
      <c r="AC1377" s="15"/>
      <c r="AD1377" s="15"/>
      <c r="AE1377" s="13"/>
      <c r="AF1377" s="13"/>
      <c r="AG1377" s="13"/>
      <c r="AH1377" s="15"/>
      <c r="AI1377" s="13"/>
      <c r="AJ1377" s="13"/>
      <c r="AK1377" s="13"/>
      <c r="AL1377" s="13"/>
      <c r="AM1377" s="15"/>
      <c r="AN1377" s="13"/>
      <c r="AO1377" s="15"/>
      <c r="AP1377" s="15"/>
      <c r="AQ1377" s="13"/>
      <c r="AR1377" s="13"/>
      <c r="AS1377" s="13"/>
      <c r="AT1377" s="13"/>
      <c r="AU1377" s="13"/>
      <c r="AV1377" s="13"/>
      <c r="AW1377" s="13"/>
      <c r="AX1377" s="13"/>
      <c r="AY1377" s="15"/>
      <c r="AZ1377" s="15"/>
      <c r="BA1377" s="16"/>
      <c r="BB1377" s="15"/>
      <c r="BC1377" s="15"/>
      <c r="BD1377" s="13"/>
      <c r="BE1377" s="13"/>
      <c r="BF1377" s="13"/>
      <c r="BG1377" s="13"/>
      <c r="BH1377" s="13"/>
      <c r="BI1377" s="13"/>
      <c r="BJ1377" s="13"/>
      <c r="BK1377" s="13"/>
      <c r="BL1377" s="13"/>
      <c r="BM1377" s="13"/>
      <c r="BN1377" s="13"/>
      <c r="BO1377" s="13"/>
      <c r="BP1377" s="13"/>
      <c r="BQ1377" s="15"/>
      <c r="BR1377" s="15"/>
      <c r="BS1377" s="15"/>
      <c r="BT1377" s="15"/>
      <c r="BU1377" s="15"/>
      <c r="BV1377" s="15"/>
      <c r="BW1377" s="15"/>
      <c r="BX1377" s="15"/>
      <c r="BY1377" s="15"/>
      <c r="BZ1377" s="15"/>
      <c r="CA1377" s="15"/>
      <c r="CB1377" s="17"/>
      <c r="CC1377" s="17"/>
      <c r="CD1377" s="18"/>
      <c r="CE1377" s="18"/>
      <c r="CF1377" s="18"/>
      <c r="CG1377" s="18"/>
      <c r="CH1377" s="18"/>
    </row>
    <row r="1378">
      <c r="A1378" s="15"/>
      <c r="B1378" s="16"/>
      <c r="C1378" s="15"/>
      <c r="D1378" s="9"/>
      <c r="E1378" s="15"/>
      <c r="F1378" s="15"/>
      <c r="G1378" s="13"/>
      <c r="H1378" s="13"/>
      <c r="I1378" s="13"/>
      <c r="J1378" s="13"/>
      <c r="K1378" s="13"/>
      <c r="L1378" s="13"/>
      <c r="M1378" s="13"/>
      <c r="N1378" s="13"/>
      <c r="O1378" s="13"/>
      <c r="P1378" s="13"/>
      <c r="Q1378" s="13"/>
      <c r="R1378" s="13"/>
      <c r="S1378" s="13"/>
      <c r="T1378" s="13"/>
      <c r="U1378" s="13"/>
      <c r="V1378" s="13"/>
      <c r="W1378" s="13"/>
      <c r="X1378" s="13"/>
      <c r="Y1378" s="13"/>
      <c r="Z1378" s="13"/>
      <c r="AA1378" s="13"/>
      <c r="AB1378" s="15"/>
      <c r="AC1378" s="15"/>
      <c r="AD1378" s="15"/>
      <c r="AE1378" s="13"/>
      <c r="AF1378" s="13"/>
      <c r="AG1378" s="13"/>
      <c r="AH1378" s="15"/>
      <c r="AI1378" s="13"/>
      <c r="AJ1378" s="13"/>
      <c r="AK1378" s="13"/>
      <c r="AL1378" s="13"/>
      <c r="AM1378" s="15"/>
      <c r="AN1378" s="13"/>
      <c r="AO1378" s="15"/>
      <c r="AP1378" s="15"/>
      <c r="AQ1378" s="13"/>
      <c r="AR1378" s="13"/>
      <c r="AS1378" s="13"/>
      <c r="AT1378" s="13"/>
      <c r="AU1378" s="13"/>
      <c r="AV1378" s="13"/>
      <c r="AW1378" s="13"/>
      <c r="AX1378" s="13"/>
      <c r="AY1378" s="15"/>
      <c r="AZ1378" s="15"/>
      <c r="BA1378" s="16"/>
      <c r="BB1378" s="15"/>
      <c r="BC1378" s="15"/>
      <c r="BD1378" s="13"/>
      <c r="BE1378" s="13"/>
      <c r="BF1378" s="13"/>
      <c r="BG1378" s="13"/>
      <c r="BH1378" s="13"/>
      <c r="BI1378" s="13"/>
      <c r="BJ1378" s="13"/>
      <c r="BK1378" s="13"/>
      <c r="BL1378" s="13"/>
      <c r="BM1378" s="13"/>
      <c r="BN1378" s="13"/>
      <c r="BO1378" s="13"/>
      <c r="BP1378" s="13"/>
      <c r="BQ1378" s="15"/>
      <c r="BR1378" s="15"/>
      <c r="BS1378" s="15"/>
      <c r="BT1378" s="15"/>
      <c r="BU1378" s="15"/>
      <c r="BV1378" s="15"/>
      <c r="BW1378" s="15"/>
      <c r="BX1378" s="15"/>
      <c r="BY1378" s="15"/>
      <c r="BZ1378" s="15"/>
      <c r="CA1378" s="15"/>
      <c r="CB1378" s="17"/>
      <c r="CC1378" s="17"/>
      <c r="CD1378" s="18"/>
      <c r="CE1378" s="18"/>
      <c r="CF1378" s="18"/>
      <c r="CG1378" s="18"/>
      <c r="CH1378" s="18"/>
    </row>
    <row r="1379">
      <c r="A1379" s="15"/>
      <c r="B1379" s="16"/>
      <c r="C1379" s="15"/>
      <c r="D1379" s="9"/>
      <c r="E1379" s="15"/>
      <c r="F1379" s="15"/>
      <c r="G1379" s="13"/>
      <c r="H1379" s="13"/>
      <c r="I1379" s="13"/>
      <c r="J1379" s="13"/>
      <c r="K1379" s="13"/>
      <c r="L1379" s="13"/>
      <c r="M1379" s="13"/>
      <c r="N1379" s="13"/>
      <c r="O1379" s="13"/>
      <c r="P1379" s="13"/>
      <c r="Q1379" s="13"/>
      <c r="R1379" s="13"/>
      <c r="S1379" s="13"/>
      <c r="T1379" s="13"/>
      <c r="U1379" s="13"/>
      <c r="V1379" s="13"/>
      <c r="W1379" s="13"/>
      <c r="X1379" s="13"/>
      <c r="Y1379" s="13"/>
      <c r="Z1379" s="13"/>
      <c r="AA1379" s="13"/>
      <c r="AB1379" s="15"/>
      <c r="AC1379" s="15"/>
      <c r="AD1379" s="15"/>
      <c r="AE1379" s="13"/>
      <c r="AF1379" s="13"/>
      <c r="AG1379" s="13"/>
      <c r="AH1379" s="15"/>
      <c r="AI1379" s="13"/>
      <c r="AJ1379" s="13"/>
      <c r="AK1379" s="13"/>
      <c r="AL1379" s="13"/>
      <c r="AM1379" s="15"/>
      <c r="AN1379" s="13"/>
      <c r="AO1379" s="15"/>
      <c r="AP1379" s="15"/>
      <c r="AQ1379" s="13"/>
      <c r="AR1379" s="13"/>
      <c r="AS1379" s="13"/>
      <c r="AT1379" s="13"/>
      <c r="AU1379" s="13"/>
      <c r="AV1379" s="13"/>
      <c r="AW1379" s="13"/>
      <c r="AX1379" s="13"/>
      <c r="AY1379" s="15"/>
      <c r="AZ1379" s="15"/>
      <c r="BA1379" s="16"/>
      <c r="BB1379" s="15"/>
      <c r="BC1379" s="15"/>
      <c r="BD1379" s="13"/>
      <c r="BE1379" s="13"/>
      <c r="BF1379" s="13"/>
      <c r="BG1379" s="13"/>
      <c r="BH1379" s="13"/>
      <c r="BI1379" s="13"/>
      <c r="BJ1379" s="13"/>
      <c r="BK1379" s="13"/>
      <c r="BL1379" s="13"/>
      <c r="BM1379" s="13"/>
      <c r="BN1379" s="13"/>
      <c r="BO1379" s="13"/>
      <c r="BP1379" s="13"/>
      <c r="BQ1379" s="15"/>
      <c r="BR1379" s="15"/>
      <c r="BS1379" s="15"/>
      <c r="BT1379" s="15"/>
      <c r="BU1379" s="15"/>
      <c r="BV1379" s="15"/>
      <c r="BW1379" s="15"/>
      <c r="BX1379" s="15"/>
      <c r="BY1379" s="15"/>
      <c r="BZ1379" s="15"/>
      <c r="CA1379" s="15"/>
      <c r="CB1379" s="17"/>
      <c r="CC1379" s="17"/>
      <c r="CD1379" s="18"/>
      <c r="CE1379" s="18"/>
      <c r="CF1379" s="18"/>
      <c r="CG1379" s="18"/>
      <c r="CH1379" s="18"/>
    </row>
    <row r="1380">
      <c r="A1380" s="15"/>
      <c r="B1380" s="16"/>
      <c r="C1380" s="15"/>
      <c r="D1380" s="9"/>
      <c r="E1380" s="15"/>
      <c r="F1380" s="15"/>
      <c r="G1380" s="13"/>
      <c r="H1380" s="13"/>
      <c r="I1380" s="13"/>
      <c r="J1380" s="13"/>
      <c r="K1380" s="13"/>
      <c r="L1380" s="13"/>
      <c r="M1380" s="13"/>
      <c r="N1380" s="13"/>
      <c r="O1380" s="13"/>
      <c r="P1380" s="13"/>
      <c r="Q1380" s="13"/>
      <c r="R1380" s="13"/>
      <c r="S1380" s="13"/>
      <c r="T1380" s="13"/>
      <c r="U1380" s="13"/>
      <c r="V1380" s="13"/>
      <c r="W1380" s="13"/>
      <c r="X1380" s="13"/>
      <c r="Y1380" s="13"/>
      <c r="Z1380" s="13"/>
      <c r="AA1380" s="13"/>
      <c r="AB1380" s="15"/>
      <c r="AC1380" s="15"/>
      <c r="AD1380" s="15"/>
      <c r="AE1380" s="13"/>
      <c r="AF1380" s="13"/>
      <c r="AG1380" s="13"/>
      <c r="AH1380" s="15"/>
      <c r="AI1380" s="13"/>
      <c r="AJ1380" s="13"/>
      <c r="AK1380" s="13"/>
      <c r="AL1380" s="13"/>
      <c r="AM1380" s="15"/>
      <c r="AN1380" s="13"/>
      <c r="AO1380" s="15"/>
      <c r="AP1380" s="15"/>
      <c r="AQ1380" s="13"/>
      <c r="AR1380" s="13"/>
      <c r="AS1380" s="13"/>
      <c r="AT1380" s="13"/>
      <c r="AU1380" s="13"/>
      <c r="AV1380" s="13"/>
      <c r="AW1380" s="13"/>
      <c r="AX1380" s="13"/>
      <c r="AY1380" s="15"/>
      <c r="AZ1380" s="15"/>
      <c r="BA1380" s="16"/>
      <c r="BB1380" s="15"/>
      <c r="BC1380" s="15"/>
      <c r="BD1380" s="13"/>
      <c r="BE1380" s="13"/>
      <c r="BF1380" s="13"/>
      <c r="BG1380" s="13"/>
      <c r="BH1380" s="13"/>
      <c r="BI1380" s="13"/>
      <c r="BJ1380" s="13"/>
      <c r="BK1380" s="13"/>
      <c r="BL1380" s="13"/>
      <c r="BM1380" s="13"/>
      <c r="BN1380" s="13"/>
      <c r="BO1380" s="13"/>
      <c r="BP1380" s="13"/>
      <c r="BQ1380" s="15"/>
      <c r="BR1380" s="15"/>
      <c r="BS1380" s="15"/>
      <c r="BT1380" s="15"/>
      <c r="BU1380" s="15"/>
      <c r="BV1380" s="15"/>
      <c r="BW1380" s="15"/>
      <c r="BX1380" s="15"/>
      <c r="BY1380" s="15"/>
      <c r="BZ1380" s="15"/>
      <c r="CA1380" s="15"/>
      <c r="CB1380" s="17"/>
      <c r="CC1380" s="17"/>
      <c r="CD1380" s="18"/>
      <c r="CE1380" s="18"/>
      <c r="CF1380" s="18"/>
      <c r="CG1380" s="18"/>
      <c r="CH1380" s="18"/>
    </row>
    <row r="1381">
      <c r="A1381" s="15"/>
      <c r="B1381" s="16"/>
      <c r="C1381" s="15"/>
      <c r="D1381" s="9"/>
      <c r="E1381" s="15"/>
      <c r="F1381" s="15"/>
      <c r="G1381" s="13"/>
      <c r="H1381" s="13"/>
      <c r="I1381" s="13"/>
      <c r="J1381" s="13"/>
      <c r="K1381" s="13"/>
      <c r="L1381" s="13"/>
      <c r="M1381" s="13"/>
      <c r="N1381" s="13"/>
      <c r="O1381" s="13"/>
      <c r="P1381" s="13"/>
      <c r="Q1381" s="13"/>
      <c r="R1381" s="13"/>
      <c r="S1381" s="13"/>
      <c r="T1381" s="13"/>
      <c r="U1381" s="13"/>
      <c r="V1381" s="13"/>
      <c r="W1381" s="13"/>
      <c r="X1381" s="13"/>
      <c r="Y1381" s="13"/>
      <c r="Z1381" s="13"/>
      <c r="AA1381" s="13"/>
      <c r="AB1381" s="15"/>
      <c r="AC1381" s="15"/>
      <c r="AD1381" s="15"/>
      <c r="AE1381" s="13"/>
      <c r="AF1381" s="13"/>
      <c r="AG1381" s="13"/>
      <c r="AH1381" s="15"/>
      <c r="AI1381" s="13"/>
      <c r="AJ1381" s="13"/>
      <c r="AK1381" s="13"/>
      <c r="AL1381" s="13"/>
      <c r="AM1381" s="15"/>
      <c r="AN1381" s="13"/>
      <c r="AO1381" s="15"/>
      <c r="AP1381" s="15"/>
      <c r="AQ1381" s="13"/>
      <c r="AR1381" s="13"/>
      <c r="AS1381" s="13"/>
      <c r="AT1381" s="13"/>
      <c r="AU1381" s="13"/>
      <c r="AV1381" s="13"/>
      <c r="AW1381" s="13"/>
      <c r="AX1381" s="13"/>
      <c r="AY1381" s="15"/>
      <c r="AZ1381" s="15"/>
      <c r="BA1381" s="16"/>
      <c r="BB1381" s="15"/>
      <c r="BC1381" s="15"/>
      <c r="BD1381" s="13"/>
      <c r="BE1381" s="13"/>
      <c r="BF1381" s="13"/>
      <c r="BG1381" s="13"/>
      <c r="BH1381" s="13"/>
      <c r="BI1381" s="13"/>
      <c r="BJ1381" s="13"/>
      <c r="BK1381" s="13"/>
      <c r="BL1381" s="13"/>
      <c r="BM1381" s="13"/>
      <c r="BN1381" s="13"/>
      <c r="BO1381" s="13"/>
      <c r="BP1381" s="13"/>
      <c r="BQ1381" s="15"/>
      <c r="BR1381" s="15"/>
      <c r="BS1381" s="15"/>
      <c r="BT1381" s="15"/>
      <c r="BU1381" s="15"/>
      <c r="BV1381" s="15"/>
      <c r="BW1381" s="15"/>
      <c r="BX1381" s="15"/>
      <c r="BY1381" s="15"/>
      <c r="BZ1381" s="15"/>
      <c r="CA1381" s="15"/>
      <c r="CB1381" s="17"/>
      <c r="CC1381" s="17"/>
      <c r="CD1381" s="18"/>
      <c r="CE1381" s="18"/>
      <c r="CF1381" s="18"/>
      <c r="CG1381" s="18"/>
      <c r="CH1381" s="18"/>
    </row>
    <row r="1382">
      <c r="A1382" s="15"/>
      <c r="B1382" s="16"/>
      <c r="C1382" s="15"/>
      <c r="D1382" s="9"/>
      <c r="E1382" s="15"/>
      <c r="F1382" s="15"/>
      <c r="G1382" s="13"/>
      <c r="H1382" s="13"/>
      <c r="I1382" s="13"/>
      <c r="J1382" s="13"/>
      <c r="K1382" s="13"/>
      <c r="L1382" s="13"/>
      <c r="M1382" s="13"/>
      <c r="N1382" s="13"/>
      <c r="O1382" s="13"/>
      <c r="P1382" s="13"/>
      <c r="Q1382" s="13"/>
      <c r="R1382" s="13"/>
      <c r="S1382" s="13"/>
      <c r="T1382" s="13"/>
      <c r="U1382" s="13"/>
      <c r="V1382" s="13"/>
      <c r="W1382" s="13"/>
      <c r="X1382" s="13"/>
      <c r="Y1382" s="13"/>
      <c r="Z1382" s="13"/>
      <c r="AA1382" s="13"/>
      <c r="AB1382" s="15"/>
      <c r="AC1382" s="15"/>
      <c r="AD1382" s="15"/>
      <c r="AE1382" s="13"/>
      <c r="AF1382" s="13"/>
      <c r="AG1382" s="13"/>
      <c r="AH1382" s="15"/>
      <c r="AI1382" s="13"/>
      <c r="AJ1382" s="13"/>
      <c r="AK1382" s="13"/>
      <c r="AL1382" s="13"/>
      <c r="AM1382" s="15"/>
      <c r="AN1382" s="13"/>
      <c r="AO1382" s="15"/>
      <c r="AP1382" s="15"/>
      <c r="AQ1382" s="13"/>
      <c r="AR1382" s="13"/>
      <c r="AS1382" s="13"/>
      <c r="AT1382" s="13"/>
      <c r="AU1382" s="13"/>
      <c r="AV1382" s="13"/>
      <c r="AW1382" s="13"/>
      <c r="AX1382" s="13"/>
      <c r="AY1382" s="15"/>
      <c r="AZ1382" s="15"/>
      <c r="BA1382" s="16"/>
      <c r="BB1382" s="15"/>
      <c r="BC1382" s="15"/>
      <c r="BD1382" s="13"/>
      <c r="BE1382" s="13"/>
      <c r="BF1382" s="13"/>
      <c r="BG1382" s="13"/>
      <c r="BH1382" s="13"/>
      <c r="BI1382" s="13"/>
      <c r="BJ1382" s="13"/>
      <c r="BK1382" s="13"/>
      <c r="BL1382" s="13"/>
      <c r="BM1382" s="13"/>
      <c r="BN1382" s="13"/>
      <c r="BO1382" s="13"/>
      <c r="BP1382" s="13"/>
      <c r="BQ1382" s="15"/>
      <c r="BR1382" s="15"/>
      <c r="BS1382" s="15"/>
      <c r="BT1382" s="15"/>
      <c r="BU1382" s="15"/>
      <c r="BV1382" s="15"/>
      <c r="BW1382" s="15"/>
      <c r="BX1382" s="15"/>
      <c r="BY1382" s="15"/>
      <c r="BZ1382" s="15"/>
      <c r="CA1382" s="15"/>
      <c r="CB1382" s="17"/>
      <c r="CC1382" s="17"/>
      <c r="CD1382" s="18"/>
      <c r="CE1382" s="18"/>
      <c r="CF1382" s="18"/>
      <c r="CG1382" s="18"/>
      <c r="CH1382" s="18"/>
    </row>
    <row r="1383">
      <c r="A1383" s="15"/>
      <c r="B1383" s="16"/>
      <c r="C1383" s="15"/>
      <c r="D1383" s="9"/>
      <c r="E1383" s="15"/>
      <c r="F1383" s="15"/>
      <c r="G1383" s="13"/>
      <c r="H1383" s="13"/>
      <c r="I1383" s="13"/>
      <c r="J1383" s="13"/>
      <c r="K1383" s="13"/>
      <c r="L1383" s="13"/>
      <c r="M1383" s="13"/>
      <c r="N1383" s="13"/>
      <c r="O1383" s="13"/>
      <c r="P1383" s="13"/>
      <c r="Q1383" s="13"/>
      <c r="R1383" s="13"/>
      <c r="S1383" s="13"/>
      <c r="T1383" s="13"/>
      <c r="U1383" s="13"/>
      <c r="V1383" s="13"/>
      <c r="W1383" s="13"/>
      <c r="X1383" s="13"/>
      <c r="Y1383" s="13"/>
      <c r="Z1383" s="13"/>
      <c r="AA1383" s="13"/>
      <c r="AB1383" s="15"/>
      <c r="AC1383" s="15"/>
      <c r="AD1383" s="15"/>
      <c r="AE1383" s="13"/>
      <c r="AF1383" s="13"/>
      <c r="AG1383" s="13"/>
      <c r="AH1383" s="15"/>
      <c r="AI1383" s="13"/>
      <c r="AJ1383" s="13"/>
      <c r="AK1383" s="13"/>
      <c r="AL1383" s="13"/>
      <c r="AM1383" s="15"/>
      <c r="AN1383" s="13"/>
      <c r="AO1383" s="15"/>
      <c r="AP1383" s="15"/>
      <c r="AQ1383" s="13"/>
      <c r="AR1383" s="13"/>
      <c r="AS1383" s="13"/>
      <c r="AT1383" s="13"/>
      <c r="AU1383" s="13"/>
      <c r="AV1383" s="13"/>
      <c r="AW1383" s="13"/>
      <c r="AX1383" s="13"/>
      <c r="AY1383" s="15"/>
      <c r="AZ1383" s="15"/>
      <c r="BA1383" s="16"/>
      <c r="BB1383" s="15"/>
      <c r="BC1383" s="15"/>
      <c r="BD1383" s="13"/>
      <c r="BE1383" s="13"/>
      <c r="BF1383" s="13"/>
      <c r="BG1383" s="13"/>
      <c r="BH1383" s="13"/>
      <c r="BI1383" s="13"/>
      <c r="BJ1383" s="13"/>
      <c r="BK1383" s="13"/>
      <c r="BL1383" s="13"/>
      <c r="BM1383" s="13"/>
      <c r="BN1383" s="13"/>
      <c r="BO1383" s="13"/>
      <c r="BP1383" s="13"/>
      <c r="BQ1383" s="15"/>
      <c r="BR1383" s="15"/>
      <c r="BS1383" s="15"/>
      <c r="BT1383" s="15"/>
      <c r="BU1383" s="15"/>
      <c r="BV1383" s="15"/>
      <c r="BW1383" s="15"/>
      <c r="BX1383" s="15"/>
      <c r="BY1383" s="15"/>
      <c r="BZ1383" s="15"/>
      <c r="CA1383" s="15"/>
      <c r="CB1383" s="17"/>
      <c r="CC1383" s="17"/>
      <c r="CD1383" s="18"/>
      <c r="CE1383" s="18"/>
      <c r="CF1383" s="18"/>
      <c r="CG1383" s="18"/>
      <c r="CH1383" s="18"/>
    </row>
    <row r="1384">
      <c r="A1384" s="15"/>
      <c r="B1384" s="16"/>
      <c r="C1384" s="15"/>
      <c r="D1384" s="9"/>
      <c r="E1384" s="15"/>
      <c r="F1384" s="15"/>
      <c r="G1384" s="13"/>
      <c r="H1384" s="13"/>
      <c r="I1384" s="13"/>
      <c r="J1384" s="13"/>
      <c r="K1384" s="13"/>
      <c r="L1384" s="13"/>
      <c r="M1384" s="13"/>
      <c r="N1384" s="13"/>
      <c r="O1384" s="13"/>
      <c r="P1384" s="13"/>
      <c r="Q1384" s="13"/>
      <c r="R1384" s="13"/>
      <c r="S1384" s="13"/>
      <c r="T1384" s="13"/>
      <c r="U1384" s="13"/>
      <c r="V1384" s="13"/>
      <c r="W1384" s="13"/>
      <c r="X1384" s="13"/>
      <c r="Y1384" s="13"/>
      <c r="Z1384" s="13"/>
      <c r="AA1384" s="13"/>
      <c r="AB1384" s="15"/>
      <c r="AC1384" s="15"/>
      <c r="AD1384" s="15"/>
      <c r="AE1384" s="13"/>
      <c r="AF1384" s="13"/>
      <c r="AG1384" s="13"/>
      <c r="AH1384" s="15"/>
      <c r="AI1384" s="13"/>
      <c r="AJ1384" s="13"/>
      <c r="AK1384" s="13"/>
      <c r="AL1384" s="13"/>
      <c r="AM1384" s="15"/>
      <c r="AN1384" s="13"/>
      <c r="AO1384" s="15"/>
      <c r="AP1384" s="15"/>
      <c r="AQ1384" s="13"/>
      <c r="AR1384" s="13"/>
      <c r="AS1384" s="13"/>
      <c r="AT1384" s="13"/>
      <c r="AU1384" s="13"/>
      <c r="AV1384" s="13"/>
      <c r="AW1384" s="13"/>
      <c r="AX1384" s="13"/>
      <c r="AY1384" s="15"/>
      <c r="AZ1384" s="15"/>
      <c r="BA1384" s="16"/>
      <c r="BB1384" s="15"/>
      <c r="BC1384" s="15"/>
      <c r="BD1384" s="13"/>
      <c r="BE1384" s="13"/>
      <c r="BF1384" s="13"/>
      <c r="BG1384" s="13"/>
      <c r="BH1384" s="13"/>
      <c r="BI1384" s="13"/>
      <c r="BJ1384" s="13"/>
      <c r="BK1384" s="13"/>
      <c r="BL1384" s="13"/>
      <c r="BM1384" s="13"/>
      <c r="BN1384" s="13"/>
      <c r="BO1384" s="13"/>
      <c r="BP1384" s="13"/>
      <c r="BQ1384" s="15"/>
      <c r="BR1384" s="15"/>
      <c r="BS1384" s="15"/>
      <c r="BT1384" s="15"/>
      <c r="BU1384" s="15"/>
      <c r="BV1384" s="15"/>
      <c r="BW1384" s="15"/>
      <c r="BX1384" s="15"/>
      <c r="BY1384" s="15"/>
      <c r="BZ1384" s="15"/>
      <c r="CA1384" s="15"/>
      <c r="CB1384" s="17"/>
      <c r="CC1384" s="17"/>
      <c r="CD1384" s="18"/>
      <c r="CE1384" s="18"/>
      <c r="CF1384" s="18"/>
      <c r="CG1384" s="18"/>
      <c r="CH1384" s="18"/>
    </row>
    <row r="1385">
      <c r="A1385" s="15"/>
      <c r="B1385" s="16"/>
      <c r="C1385" s="15"/>
      <c r="D1385" s="9"/>
      <c r="E1385" s="15"/>
      <c r="F1385" s="15"/>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5"/>
      <c r="AC1385" s="15"/>
      <c r="AD1385" s="15"/>
      <c r="AE1385" s="13"/>
      <c r="AF1385" s="13"/>
      <c r="AG1385" s="13"/>
      <c r="AH1385" s="15"/>
      <c r="AI1385" s="13"/>
      <c r="AJ1385" s="13"/>
      <c r="AK1385" s="13"/>
      <c r="AL1385" s="13"/>
      <c r="AM1385" s="15"/>
      <c r="AN1385" s="13"/>
      <c r="AO1385" s="15"/>
      <c r="AP1385" s="15"/>
      <c r="AQ1385" s="13"/>
      <c r="AR1385" s="13"/>
      <c r="AS1385" s="13"/>
      <c r="AT1385" s="13"/>
      <c r="AU1385" s="13"/>
      <c r="AV1385" s="13"/>
      <c r="AW1385" s="13"/>
      <c r="AX1385" s="13"/>
      <c r="AY1385" s="15"/>
      <c r="AZ1385" s="15"/>
      <c r="BA1385" s="16"/>
      <c r="BB1385" s="15"/>
      <c r="BC1385" s="15"/>
      <c r="BD1385" s="13"/>
      <c r="BE1385" s="13"/>
      <c r="BF1385" s="13"/>
      <c r="BG1385" s="13"/>
      <c r="BH1385" s="13"/>
      <c r="BI1385" s="13"/>
      <c r="BJ1385" s="13"/>
      <c r="BK1385" s="13"/>
      <c r="BL1385" s="13"/>
      <c r="BM1385" s="13"/>
      <c r="BN1385" s="13"/>
      <c r="BO1385" s="13"/>
      <c r="BP1385" s="13"/>
      <c r="BQ1385" s="15"/>
      <c r="BR1385" s="15"/>
      <c r="BS1385" s="15"/>
      <c r="BT1385" s="15"/>
      <c r="BU1385" s="15"/>
      <c r="BV1385" s="15"/>
      <c r="BW1385" s="15"/>
      <c r="BX1385" s="15"/>
      <c r="BY1385" s="15"/>
      <c r="BZ1385" s="15"/>
      <c r="CA1385" s="15"/>
      <c r="CB1385" s="17"/>
      <c r="CC1385" s="17"/>
      <c r="CD1385" s="18"/>
      <c r="CE1385" s="18"/>
      <c r="CF1385" s="18"/>
      <c r="CG1385" s="18"/>
      <c r="CH1385" s="18"/>
    </row>
    <row r="1386">
      <c r="A1386" s="15"/>
      <c r="B1386" s="16"/>
      <c r="C1386" s="15"/>
      <c r="D1386" s="9"/>
      <c r="E1386" s="15"/>
      <c r="F1386" s="15"/>
      <c r="G1386" s="13"/>
      <c r="H1386" s="13"/>
      <c r="I1386" s="13"/>
      <c r="J1386" s="13"/>
      <c r="K1386" s="13"/>
      <c r="L1386" s="13"/>
      <c r="M1386" s="13"/>
      <c r="N1386" s="13"/>
      <c r="O1386" s="13"/>
      <c r="P1386" s="13"/>
      <c r="Q1386" s="13"/>
      <c r="R1386" s="13"/>
      <c r="S1386" s="13"/>
      <c r="T1386" s="13"/>
      <c r="U1386" s="13"/>
      <c r="V1386" s="13"/>
      <c r="W1386" s="13"/>
      <c r="X1386" s="13"/>
      <c r="Y1386" s="13"/>
      <c r="Z1386" s="13"/>
      <c r="AA1386" s="13"/>
      <c r="AB1386" s="15"/>
      <c r="AC1386" s="15"/>
      <c r="AD1386" s="15"/>
      <c r="AE1386" s="13"/>
      <c r="AF1386" s="13"/>
      <c r="AG1386" s="13"/>
      <c r="AH1386" s="15"/>
      <c r="AI1386" s="13"/>
      <c r="AJ1386" s="13"/>
      <c r="AK1386" s="13"/>
      <c r="AL1386" s="13"/>
      <c r="AM1386" s="15"/>
      <c r="AN1386" s="13"/>
      <c r="AO1386" s="15"/>
      <c r="AP1386" s="15"/>
      <c r="AQ1386" s="13"/>
      <c r="AR1386" s="13"/>
      <c r="AS1386" s="13"/>
      <c r="AT1386" s="13"/>
      <c r="AU1386" s="13"/>
      <c r="AV1386" s="13"/>
      <c r="AW1386" s="13"/>
      <c r="AX1386" s="13"/>
      <c r="AY1386" s="15"/>
      <c r="AZ1386" s="15"/>
      <c r="BA1386" s="16"/>
      <c r="BB1386" s="15"/>
      <c r="BC1386" s="15"/>
      <c r="BD1386" s="13"/>
      <c r="BE1386" s="13"/>
      <c r="BF1386" s="13"/>
      <c r="BG1386" s="13"/>
      <c r="BH1386" s="13"/>
      <c r="BI1386" s="13"/>
      <c r="BJ1386" s="13"/>
      <c r="BK1386" s="13"/>
      <c r="BL1386" s="13"/>
      <c r="BM1386" s="13"/>
      <c r="BN1386" s="13"/>
      <c r="BO1386" s="13"/>
      <c r="BP1386" s="13"/>
      <c r="BQ1386" s="15"/>
      <c r="BR1386" s="15"/>
      <c r="BS1386" s="15"/>
      <c r="BT1386" s="15"/>
      <c r="BU1386" s="15"/>
      <c r="BV1386" s="15"/>
      <c r="BW1386" s="15"/>
      <c r="BX1386" s="15"/>
      <c r="BY1386" s="15"/>
      <c r="BZ1386" s="15"/>
      <c r="CA1386" s="15"/>
      <c r="CB1386" s="17"/>
      <c r="CC1386" s="17"/>
      <c r="CD1386" s="18"/>
      <c r="CE1386" s="18"/>
      <c r="CF1386" s="18"/>
      <c r="CG1386" s="18"/>
      <c r="CH1386" s="18"/>
    </row>
    <row r="1387">
      <c r="A1387" s="15"/>
      <c r="B1387" s="16"/>
      <c r="C1387" s="15"/>
      <c r="D1387" s="9"/>
      <c r="E1387" s="15"/>
      <c r="F1387" s="15"/>
      <c r="G1387" s="13"/>
      <c r="H1387" s="13"/>
      <c r="I1387" s="13"/>
      <c r="J1387" s="13"/>
      <c r="K1387" s="13"/>
      <c r="L1387" s="13"/>
      <c r="M1387" s="13"/>
      <c r="N1387" s="13"/>
      <c r="O1387" s="13"/>
      <c r="P1387" s="13"/>
      <c r="Q1387" s="13"/>
      <c r="R1387" s="13"/>
      <c r="S1387" s="13"/>
      <c r="T1387" s="13"/>
      <c r="U1387" s="13"/>
      <c r="V1387" s="13"/>
      <c r="W1387" s="13"/>
      <c r="X1387" s="13"/>
      <c r="Y1387" s="13"/>
      <c r="Z1387" s="13"/>
      <c r="AA1387" s="13"/>
      <c r="AB1387" s="15"/>
      <c r="AC1387" s="15"/>
      <c r="AD1387" s="15"/>
      <c r="AE1387" s="13"/>
      <c r="AF1387" s="13"/>
      <c r="AG1387" s="13"/>
      <c r="AH1387" s="15"/>
      <c r="AI1387" s="13"/>
      <c r="AJ1387" s="13"/>
      <c r="AK1387" s="13"/>
      <c r="AL1387" s="13"/>
      <c r="AM1387" s="15"/>
      <c r="AN1387" s="13"/>
      <c r="AO1387" s="15"/>
      <c r="AP1387" s="15"/>
      <c r="AQ1387" s="13"/>
      <c r="AR1387" s="13"/>
      <c r="AS1387" s="13"/>
      <c r="AT1387" s="13"/>
      <c r="AU1387" s="13"/>
      <c r="AV1387" s="13"/>
      <c r="AW1387" s="13"/>
      <c r="AX1387" s="13"/>
      <c r="AY1387" s="15"/>
      <c r="AZ1387" s="15"/>
      <c r="BA1387" s="16"/>
      <c r="BB1387" s="15"/>
      <c r="BC1387" s="15"/>
      <c r="BD1387" s="13"/>
      <c r="BE1387" s="13"/>
      <c r="BF1387" s="13"/>
      <c r="BG1387" s="13"/>
      <c r="BH1387" s="13"/>
      <c r="BI1387" s="13"/>
      <c r="BJ1387" s="13"/>
      <c r="BK1387" s="13"/>
      <c r="BL1387" s="13"/>
      <c r="BM1387" s="13"/>
      <c r="BN1387" s="13"/>
      <c r="BO1387" s="13"/>
      <c r="BP1387" s="13"/>
      <c r="BQ1387" s="15"/>
      <c r="BR1387" s="15"/>
      <c r="BS1387" s="15"/>
      <c r="BT1387" s="15"/>
      <c r="BU1387" s="15"/>
      <c r="BV1387" s="15"/>
      <c r="BW1387" s="15"/>
      <c r="BX1387" s="15"/>
      <c r="BY1387" s="15"/>
      <c r="BZ1387" s="15"/>
      <c r="CA1387" s="15"/>
      <c r="CB1387" s="17"/>
      <c r="CC1387" s="17"/>
      <c r="CD1387" s="18"/>
      <c r="CE1387" s="18"/>
      <c r="CF1387" s="18"/>
      <c r="CG1387" s="18"/>
      <c r="CH1387" s="18"/>
    </row>
    <row r="1388">
      <c r="A1388" s="15"/>
      <c r="B1388" s="16"/>
      <c r="C1388" s="15"/>
      <c r="D1388" s="9"/>
      <c r="E1388" s="15"/>
      <c r="F1388" s="15"/>
      <c r="G1388" s="13"/>
      <c r="H1388" s="13"/>
      <c r="I1388" s="13"/>
      <c r="J1388" s="13"/>
      <c r="K1388" s="13"/>
      <c r="L1388" s="13"/>
      <c r="M1388" s="13"/>
      <c r="N1388" s="13"/>
      <c r="O1388" s="13"/>
      <c r="P1388" s="13"/>
      <c r="Q1388" s="13"/>
      <c r="R1388" s="13"/>
      <c r="S1388" s="13"/>
      <c r="T1388" s="13"/>
      <c r="U1388" s="13"/>
      <c r="V1388" s="13"/>
      <c r="W1388" s="13"/>
      <c r="X1388" s="13"/>
      <c r="Y1388" s="13"/>
      <c r="Z1388" s="13"/>
      <c r="AA1388" s="13"/>
      <c r="AB1388" s="15"/>
      <c r="AC1388" s="15"/>
      <c r="AD1388" s="15"/>
      <c r="AE1388" s="13"/>
      <c r="AF1388" s="13"/>
      <c r="AG1388" s="13"/>
      <c r="AH1388" s="15"/>
      <c r="AI1388" s="13"/>
      <c r="AJ1388" s="13"/>
      <c r="AK1388" s="13"/>
      <c r="AL1388" s="13"/>
      <c r="AM1388" s="15"/>
      <c r="AN1388" s="13"/>
      <c r="AO1388" s="15"/>
      <c r="AP1388" s="15"/>
      <c r="AQ1388" s="13"/>
      <c r="AR1388" s="13"/>
      <c r="AS1388" s="13"/>
      <c r="AT1388" s="13"/>
      <c r="AU1388" s="13"/>
      <c r="AV1388" s="13"/>
      <c r="AW1388" s="13"/>
      <c r="AX1388" s="13"/>
      <c r="AY1388" s="15"/>
      <c r="AZ1388" s="15"/>
      <c r="BA1388" s="16"/>
      <c r="BB1388" s="15"/>
      <c r="BC1388" s="15"/>
      <c r="BD1388" s="13"/>
      <c r="BE1388" s="13"/>
      <c r="BF1388" s="13"/>
      <c r="BG1388" s="13"/>
      <c r="BH1388" s="13"/>
      <c r="BI1388" s="13"/>
      <c r="BJ1388" s="13"/>
      <c r="BK1388" s="13"/>
      <c r="BL1388" s="13"/>
      <c r="BM1388" s="13"/>
      <c r="BN1388" s="13"/>
      <c r="BO1388" s="13"/>
      <c r="BP1388" s="13"/>
      <c r="BQ1388" s="15"/>
      <c r="BR1388" s="15"/>
      <c r="BS1388" s="15"/>
      <c r="BT1388" s="15"/>
      <c r="BU1388" s="15"/>
      <c r="BV1388" s="15"/>
      <c r="BW1388" s="15"/>
      <c r="BX1388" s="15"/>
      <c r="BY1388" s="15"/>
      <c r="BZ1388" s="15"/>
      <c r="CA1388" s="15"/>
      <c r="CB1388" s="17"/>
      <c r="CC1388" s="17"/>
      <c r="CD1388" s="18"/>
      <c r="CE1388" s="18"/>
      <c r="CF1388" s="18"/>
      <c r="CG1388" s="18"/>
      <c r="CH1388" s="18"/>
    </row>
    <row r="1389">
      <c r="A1389" s="15"/>
      <c r="B1389" s="16"/>
      <c r="C1389" s="15"/>
      <c r="D1389" s="9"/>
      <c r="E1389" s="15"/>
      <c r="F1389" s="15"/>
      <c r="G1389" s="13"/>
      <c r="H1389" s="13"/>
      <c r="I1389" s="13"/>
      <c r="J1389" s="13"/>
      <c r="K1389" s="13"/>
      <c r="L1389" s="13"/>
      <c r="M1389" s="13"/>
      <c r="N1389" s="13"/>
      <c r="O1389" s="13"/>
      <c r="P1389" s="13"/>
      <c r="Q1389" s="13"/>
      <c r="R1389" s="13"/>
      <c r="S1389" s="13"/>
      <c r="T1389" s="13"/>
      <c r="U1389" s="13"/>
      <c r="V1389" s="13"/>
      <c r="W1389" s="13"/>
      <c r="X1389" s="13"/>
      <c r="Y1389" s="13"/>
      <c r="Z1389" s="13"/>
      <c r="AA1389" s="13"/>
      <c r="AB1389" s="15"/>
      <c r="AC1389" s="15"/>
      <c r="AD1389" s="15"/>
      <c r="AE1389" s="13"/>
      <c r="AF1389" s="13"/>
      <c r="AG1389" s="13"/>
      <c r="AH1389" s="15"/>
      <c r="AI1389" s="13"/>
      <c r="AJ1389" s="13"/>
      <c r="AK1389" s="13"/>
      <c r="AL1389" s="13"/>
      <c r="AM1389" s="15"/>
      <c r="AN1389" s="13"/>
      <c r="AO1389" s="15"/>
      <c r="AP1389" s="15"/>
      <c r="AQ1389" s="13"/>
      <c r="AR1389" s="13"/>
      <c r="AS1389" s="13"/>
      <c r="AT1389" s="13"/>
      <c r="AU1389" s="13"/>
      <c r="AV1389" s="13"/>
      <c r="AW1389" s="13"/>
      <c r="AX1389" s="13"/>
      <c r="AY1389" s="15"/>
      <c r="AZ1389" s="15"/>
      <c r="BA1389" s="16"/>
      <c r="BB1389" s="15"/>
      <c r="BC1389" s="15"/>
      <c r="BD1389" s="13"/>
      <c r="BE1389" s="13"/>
      <c r="BF1389" s="13"/>
      <c r="BG1389" s="13"/>
      <c r="BH1389" s="13"/>
      <c r="BI1389" s="13"/>
      <c r="BJ1389" s="13"/>
      <c r="BK1389" s="13"/>
      <c r="BL1389" s="13"/>
      <c r="BM1389" s="13"/>
      <c r="BN1389" s="13"/>
      <c r="BO1389" s="13"/>
      <c r="BP1389" s="13"/>
      <c r="BQ1389" s="15"/>
      <c r="BR1389" s="15"/>
      <c r="BS1389" s="15"/>
      <c r="BT1389" s="15"/>
      <c r="BU1389" s="15"/>
      <c r="BV1389" s="15"/>
      <c r="BW1389" s="15"/>
      <c r="BX1389" s="15"/>
      <c r="BY1389" s="15"/>
      <c r="BZ1389" s="15"/>
      <c r="CA1389" s="15"/>
      <c r="CB1389" s="17"/>
      <c r="CC1389" s="17"/>
      <c r="CD1389" s="18"/>
      <c r="CE1389" s="18"/>
      <c r="CF1389" s="18"/>
      <c r="CG1389" s="18"/>
      <c r="CH1389" s="18"/>
    </row>
    <row r="1390">
      <c r="A1390" s="15"/>
      <c r="B1390" s="16"/>
      <c r="C1390" s="15"/>
      <c r="D1390" s="9"/>
      <c r="E1390" s="15"/>
      <c r="F1390" s="15"/>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5"/>
      <c r="AC1390" s="15"/>
      <c r="AD1390" s="15"/>
      <c r="AE1390" s="13"/>
      <c r="AF1390" s="13"/>
      <c r="AG1390" s="13"/>
      <c r="AH1390" s="15"/>
      <c r="AI1390" s="13"/>
      <c r="AJ1390" s="13"/>
      <c r="AK1390" s="13"/>
      <c r="AL1390" s="13"/>
      <c r="AM1390" s="15"/>
      <c r="AN1390" s="13"/>
      <c r="AO1390" s="15"/>
      <c r="AP1390" s="15"/>
      <c r="AQ1390" s="13"/>
      <c r="AR1390" s="13"/>
      <c r="AS1390" s="13"/>
      <c r="AT1390" s="13"/>
      <c r="AU1390" s="13"/>
      <c r="AV1390" s="13"/>
      <c r="AW1390" s="13"/>
      <c r="AX1390" s="13"/>
      <c r="AY1390" s="15"/>
      <c r="AZ1390" s="15"/>
      <c r="BA1390" s="16"/>
      <c r="BB1390" s="15"/>
      <c r="BC1390" s="15"/>
      <c r="BD1390" s="13"/>
      <c r="BE1390" s="13"/>
      <c r="BF1390" s="13"/>
      <c r="BG1390" s="13"/>
      <c r="BH1390" s="13"/>
      <c r="BI1390" s="13"/>
      <c r="BJ1390" s="13"/>
      <c r="BK1390" s="13"/>
      <c r="BL1390" s="13"/>
      <c r="BM1390" s="13"/>
      <c r="BN1390" s="13"/>
      <c r="BO1390" s="13"/>
      <c r="BP1390" s="13"/>
      <c r="BQ1390" s="15"/>
      <c r="BR1390" s="15"/>
      <c r="BS1390" s="15"/>
      <c r="BT1390" s="15"/>
      <c r="BU1390" s="15"/>
      <c r="BV1390" s="15"/>
      <c r="BW1390" s="15"/>
      <c r="BX1390" s="15"/>
      <c r="BY1390" s="15"/>
      <c r="BZ1390" s="15"/>
      <c r="CA1390" s="15"/>
      <c r="CB1390" s="17"/>
      <c r="CC1390" s="17"/>
      <c r="CD1390" s="18"/>
      <c r="CE1390" s="18"/>
      <c r="CF1390" s="18"/>
      <c r="CG1390" s="18"/>
      <c r="CH1390" s="18"/>
    </row>
    <row r="1391">
      <c r="A1391" s="15"/>
      <c r="B1391" s="16"/>
      <c r="C1391" s="15"/>
      <c r="D1391" s="9"/>
      <c r="E1391" s="15"/>
      <c r="F1391" s="15"/>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5"/>
      <c r="AC1391" s="15"/>
      <c r="AD1391" s="15"/>
      <c r="AE1391" s="13"/>
      <c r="AF1391" s="13"/>
      <c r="AG1391" s="13"/>
      <c r="AH1391" s="15"/>
      <c r="AI1391" s="13"/>
      <c r="AJ1391" s="13"/>
      <c r="AK1391" s="13"/>
      <c r="AL1391" s="13"/>
      <c r="AM1391" s="15"/>
      <c r="AN1391" s="13"/>
      <c r="AO1391" s="15"/>
      <c r="AP1391" s="15"/>
      <c r="AQ1391" s="13"/>
      <c r="AR1391" s="13"/>
      <c r="AS1391" s="13"/>
      <c r="AT1391" s="13"/>
      <c r="AU1391" s="13"/>
      <c r="AV1391" s="13"/>
      <c r="AW1391" s="13"/>
      <c r="AX1391" s="13"/>
      <c r="AY1391" s="15"/>
      <c r="AZ1391" s="15"/>
      <c r="BA1391" s="16"/>
      <c r="BB1391" s="15"/>
      <c r="BC1391" s="15"/>
      <c r="BD1391" s="13"/>
      <c r="BE1391" s="13"/>
      <c r="BF1391" s="13"/>
      <c r="BG1391" s="13"/>
      <c r="BH1391" s="13"/>
      <c r="BI1391" s="13"/>
      <c r="BJ1391" s="13"/>
      <c r="BK1391" s="13"/>
      <c r="BL1391" s="13"/>
      <c r="BM1391" s="13"/>
      <c r="BN1391" s="13"/>
      <c r="BO1391" s="13"/>
      <c r="BP1391" s="13"/>
      <c r="BQ1391" s="15"/>
      <c r="BR1391" s="15"/>
      <c r="BS1391" s="15"/>
      <c r="BT1391" s="15"/>
      <c r="BU1391" s="15"/>
      <c r="BV1391" s="15"/>
      <c r="BW1391" s="15"/>
      <c r="BX1391" s="15"/>
      <c r="BY1391" s="15"/>
      <c r="BZ1391" s="15"/>
      <c r="CA1391" s="15"/>
      <c r="CB1391" s="17"/>
      <c r="CC1391" s="17"/>
      <c r="CD1391" s="18"/>
      <c r="CE1391" s="18"/>
      <c r="CF1391" s="18"/>
      <c r="CG1391" s="18"/>
      <c r="CH1391" s="18"/>
    </row>
    <row r="1392">
      <c r="A1392" s="15"/>
      <c r="B1392" s="16"/>
      <c r="C1392" s="15"/>
      <c r="D1392" s="9"/>
      <c r="E1392" s="15"/>
      <c r="F1392" s="15"/>
      <c r="G1392" s="13"/>
      <c r="H1392" s="13"/>
      <c r="I1392" s="13"/>
      <c r="J1392" s="13"/>
      <c r="K1392" s="13"/>
      <c r="L1392" s="13"/>
      <c r="M1392" s="13"/>
      <c r="N1392" s="13"/>
      <c r="O1392" s="13"/>
      <c r="P1392" s="13"/>
      <c r="Q1392" s="13"/>
      <c r="R1392" s="13"/>
      <c r="S1392" s="13"/>
      <c r="T1392" s="13"/>
      <c r="U1392" s="13"/>
      <c r="V1392" s="13"/>
      <c r="W1392" s="13"/>
      <c r="X1392" s="13"/>
      <c r="Y1392" s="13"/>
      <c r="Z1392" s="13"/>
      <c r="AA1392" s="13"/>
      <c r="AB1392" s="15"/>
      <c r="AC1392" s="15"/>
      <c r="AD1392" s="15"/>
      <c r="AE1392" s="13"/>
      <c r="AF1392" s="13"/>
      <c r="AG1392" s="13"/>
      <c r="AH1392" s="15"/>
      <c r="AI1392" s="13"/>
      <c r="AJ1392" s="13"/>
      <c r="AK1392" s="13"/>
      <c r="AL1392" s="13"/>
      <c r="AM1392" s="15"/>
      <c r="AN1392" s="13"/>
      <c r="AO1392" s="15"/>
      <c r="AP1392" s="15"/>
      <c r="AQ1392" s="13"/>
      <c r="AR1392" s="13"/>
      <c r="AS1392" s="13"/>
      <c r="AT1392" s="13"/>
      <c r="AU1392" s="13"/>
      <c r="AV1392" s="13"/>
      <c r="AW1392" s="13"/>
      <c r="AX1392" s="13"/>
      <c r="AY1392" s="15"/>
      <c r="AZ1392" s="15"/>
      <c r="BA1392" s="16"/>
      <c r="BB1392" s="15"/>
      <c r="BC1392" s="15"/>
      <c r="BD1392" s="13"/>
      <c r="BE1392" s="13"/>
      <c r="BF1392" s="13"/>
      <c r="BG1392" s="13"/>
      <c r="BH1392" s="13"/>
      <c r="BI1392" s="13"/>
      <c r="BJ1392" s="13"/>
      <c r="BK1392" s="13"/>
      <c r="BL1392" s="13"/>
      <c r="BM1392" s="13"/>
      <c r="BN1392" s="13"/>
      <c r="BO1392" s="13"/>
      <c r="BP1392" s="13"/>
      <c r="BQ1392" s="15"/>
      <c r="BR1392" s="15"/>
      <c r="BS1392" s="15"/>
      <c r="BT1392" s="15"/>
      <c r="BU1392" s="15"/>
      <c r="BV1392" s="15"/>
      <c r="BW1392" s="15"/>
      <c r="BX1392" s="15"/>
      <c r="BY1392" s="15"/>
      <c r="BZ1392" s="15"/>
      <c r="CA1392" s="15"/>
      <c r="CB1392" s="17"/>
      <c r="CC1392" s="17"/>
      <c r="CD1392" s="18"/>
      <c r="CE1392" s="18"/>
      <c r="CF1392" s="18"/>
      <c r="CG1392" s="18"/>
      <c r="CH1392" s="18"/>
    </row>
    <row r="1393">
      <c r="A1393" s="15"/>
      <c r="B1393" s="16"/>
      <c r="C1393" s="15"/>
      <c r="D1393" s="9"/>
      <c r="E1393" s="15"/>
      <c r="F1393" s="15"/>
      <c r="G1393" s="13"/>
      <c r="H1393" s="13"/>
      <c r="I1393" s="13"/>
      <c r="J1393" s="13"/>
      <c r="K1393" s="13"/>
      <c r="L1393" s="13"/>
      <c r="M1393" s="13"/>
      <c r="N1393" s="13"/>
      <c r="O1393" s="13"/>
      <c r="P1393" s="13"/>
      <c r="Q1393" s="13"/>
      <c r="R1393" s="13"/>
      <c r="S1393" s="13"/>
      <c r="T1393" s="13"/>
      <c r="U1393" s="13"/>
      <c r="V1393" s="13"/>
      <c r="W1393" s="13"/>
      <c r="X1393" s="13"/>
      <c r="Y1393" s="13"/>
      <c r="Z1393" s="13"/>
      <c r="AA1393" s="13"/>
      <c r="AB1393" s="15"/>
      <c r="AC1393" s="15"/>
      <c r="AD1393" s="15"/>
      <c r="AE1393" s="13"/>
      <c r="AF1393" s="13"/>
      <c r="AG1393" s="13"/>
      <c r="AH1393" s="15"/>
      <c r="AI1393" s="13"/>
      <c r="AJ1393" s="13"/>
      <c r="AK1393" s="13"/>
      <c r="AL1393" s="13"/>
      <c r="AM1393" s="15"/>
      <c r="AN1393" s="13"/>
      <c r="AO1393" s="15"/>
      <c r="AP1393" s="15"/>
      <c r="AQ1393" s="13"/>
      <c r="AR1393" s="13"/>
      <c r="AS1393" s="13"/>
      <c r="AT1393" s="13"/>
      <c r="AU1393" s="13"/>
      <c r="AV1393" s="13"/>
      <c r="AW1393" s="13"/>
      <c r="AX1393" s="13"/>
      <c r="AY1393" s="15"/>
      <c r="AZ1393" s="15"/>
      <c r="BA1393" s="16"/>
      <c r="BB1393" s="15"/>
      <c r="BC1393" s="15"/>
      <c r="BD1393" s="13"/>
      <c r="BE1393" s="13"/>
      <c r="BF1393" s="13"/>
      <c r="BG1393" s="13"/>
      <c r="BH1393" s="13"/>
      <c r="BI1393" s="13"/>
      <c r="BJ1393" s="13"/>
      <c r="BK1393" s="13"/>
      <c r="BL1393" s="13"/>
      <c r="BM1393" s="13"/>
      <c r="BN1393" s="13"/>
      <c r="BO1393" s="13"/>
      <c r="BP1393" s="13"/>
      <c r="BQ1393" s="15"/>
      <c r="BR1393" s="15"/>
      <c r="BS1393" s="15"/>
      <c r="BT1393" s="15"/>
      <c r="BU1393" s="15"/>
      <c r="BV1393" s="15"/>
      <c r="BW1393" s="15"/>
      <c r="BX1393" s="15"/>
      <c r="BY1393" s="15"/>
      <c r="BZ1393" s="15"/>
      <c r="CA1393" s="15"/>
      <c r="CB1393" s="17"/>
      <c r="CC1393" s="17"/>
      <c r="CD1393" s="18"/>
      <c r="CE1393" s="18"/>
      <c r="CF1393" s="18"/>
      <c r="CG1393" s="18"/>
      <c r="CH1393" s="18"/>
    </row>
    <row r="1394">
      <c r="A1394" s="15"/>
      <c r="B1394" s="16"/>
      <c r="C1394" s="15"/>
      <c r="D1394" s="9"/>
      <c r="E1394" s="15"/>
      <c r="F1394" s="15"/>
      <c r="G1394" s="13"/>
      <c r="H1394" s="13"/>
      <c r="I1394" s="13"/>
      <c r="J1394" s="13"/>
      <c r="K1394" s="13"/>
      <c r="L1394" s="13"/>
      <c r="M1394" s="13"/>
      <c r="N1394" s="13"/>
      <c r="O1394" s="13"/>
      <c r="P1394" s="13"/>
      <c r="Q1394" s="13"/>
      <c r="R1394" s="13"/>
      <c r="S1394" s="13"/>
      <c r="T1394" s="13"/>
      <c r="U1394" s="13"/>
      <c r="V1394" s="13"/>
      <c r="W1394" s="13"/>
      <c r="X1394" s="13"/>
      <c r="Y1394" s="13"/>
      <c r="Z1394" s="13"/>
      <c r="AA1394" s="13"/>
      <c r="AB1394" s="15"/>
      <c r="AC1394" s="15"/>
      <c r="AD1394" s="15"/>
      <c r="AE1394" s="13"/>
      <c r="AF1394" s="13"/>
      <c r="AG1394" s="13"/>
      <c r="AH1394" s="15"/>
      <c r="AI1394" s="13"/>
      <c r="AJ1394" s="13"/>
      <c r="AK1394" s="13"/>
      <c r="AL1394" s="13"/>
      <c r="AM1394" s="15"/>
      <c r="AN1394" s="13"/>
      <c r="AO1394" s="15"/>
      <c r="AP1394" s="15"/>
      <c r="AQ1394" s="13"/>
      <c r="AR1394" s="13"/>
      <c r="AS1394" s="13"/>
      <c r="AT1394" s="13"/>
      <c r="AU1394" s="13"/>
      <c r="AV1394" s="13"/>
      <c r="AW1394" s="13"/>
      <c r="AX1394" s="13"/>
      <c r="AY1394" s="15"/>
      <c r="AZ1394" s="15"/>
      <c r="BA1394" s="16"/>
      <c r="BB1394" s="15"/>
      <c r="BC1394" s="15"/>
      <c r="BD1394" s="13"/>
      <c r="BE1394" s="13"/>
      <c r="BF1394" s="13"/>
      <c r="BG1394" s="13"/>
      <c r="BH1394" s="13"/>
      <c r="BI1394" s="13"/>
      <c r="BJ1394" s="13"/>
      <c r="BK1394" s="13"/>
      <c r="BL1394" s="13"/>
      <c r="BM1394" s="13"/>
      <c r="BN1394" s="13"/>
      <c r="BO1394" s="13"/>
      <c r="BP1394" s="13"/>
      <c r="BQ1394" s="15"/>
      <c r="BR1394" s="15"/>
      <c r="BS1394" s="15"/>
      <c r="BT1394" s="15"/>
      <c r="BU1394" s="15"/>
      <c r="BV1394" s="15"/>
      <c r="BW1394" s="15"/>
      <c r="BX1394" s="15"/>
      <c r="BY1394" s="15"/>
      <c r="BZ1394" s="15"/>
      <c r="CA1394" s="15"/>
      <c r="CB1394" s="17"/>
      <c r="CC1394" s="17"/>
      <c r="CD1394" s="18"/>
      <c r="CE1394" s="18"/>
      <c r="CF1394" s="18"/>
      <c r="CG1394" s="18"/>
      <c r="CH1394" s="18"/>
    </row>
    <row r="1395">
      <c r="A1395" s="15"/>
      <c r="B1395" s="16"/>
      <c r="C1395" s="15"/>
      <c r="D1395" s="9"/>
      <c r="E1395" s="15"/>
      <c r="F1395" s="15"/>
      <c r="G1395" s="13"/>
      <c r="H1395" s="13"/>
      <c r="I1395" s="13"/>
      <c r="J1395" s="13"/>
      <c r="K1395" s="13"/>
      <c r="L1395" s="13"/>
      <c r="M1395" s="13"/>
      <c r="N1395" s="13"/>
      <c r="O1395" s="13"/>
      <c r="P1395" s="13"/>
      <c r="Q1395" s="13"/>
      <c r="R1395" s="13"/>
      <c r="S1395" s="13"/>
      <c r="T1395" s="13"/>
      <c r="U1395" s="13"/>
      <c r="V1395" s="13"/>
      <c r="W1395" s="13"/>
      <c r="X1395" s="13"/>
      <c r="Y1395" s="13"/>
      <c r="Z1395" s="13"/>
      <c r="AA1395" s="13"/>
      <c r="AB1395" s="15"/>
      <c r="AC1395" s="15"/>
      <c r="AD1395" s="15"/>
      <c r="AE1395" s="13"/>
      <c r="AF1395" s="13"/>
      <c r="AG1395" s="13"/>
      <c r="AH1395" s="15"/>
      <c r="AI1395" s="13"/>
      <c r="AJ1395" s="13"/>
      <c r="AK1395" s="13"/>
      <c r="AL1395" s="13"/>
      <c r="AM1395" s="15"/>
      <c r="AN1395" s="13"/>
      <c r="AO1395" s="15"/>
      <c r="AP1395" s="15"/>
      <c r="AQ1395" s="13"/>
      <c r="AR1395" s="13"/>
      <c r="AS1395" s="13"/>
      <c r="AT1395" s="13"/>
      <c r="AU1395" s="13"/>
      <c r="AV1395" s="13"/>
      <c r="AW1395" s="13"/>
      <c r="AX1395" s="13"/>
      <c r="AY1395" s="15"/>
      <c r="AZ1395" s="15"/>
      <c r="BA1395" s="16"/>
      <c r="BB1395" s="15"/>
      <c r="BC1395" s="15"/>
      <c r="BD1395" s="13"/>
      <c r="BE1395" s="13"/>
      <c r="BF1395" s="13"/>
      <c r="BG1395" s="13"/>
      <c r="BH1395" s="13"/>
      <c r="BI1395" s="13"/>
      <c r="BJ1395" s="13"/>
      <c r="BK1395" s="13"/>
      <c r="BL1395" s="13"/>
      <c r="BM1395" s="13"/>
      <c r="BN1395" s="13"/>
      <c r="BO1395" s="13"/>
      <c r="BP1395" s="13"/>
      <c r="BQ1395" s="15"/>
      <c r="BR1395" s="15"/>
      <c r="BS1395" s="15"/>
      <c r="BT1395" s="15"/>
      <c r="BU1395" s="15"/>
      <c r="BV1395" s="15"/>
      <c r="BW1395" s="15"/>
      <c r="BX1395" s="15"/>
      <c r="BY1395" s="15"/>
      <c r="BZ1395" s="15"/>
      <c r="CA1395" s="15"/>
      <c r="CB1395" s="17"/>
      <c r="CC1395" s="17"/>
      <c r="CD1395" s="18"/>
      <c r="CE1395" s="18"/>
      <c r="CF1395" s="18"/>
      <c r="CG1395" s="18"/>
      <c r="CH1395" s="18"/>
    </row>
    <row r="1396">
      <c r="A1396" s="15"/>
      <c r="B1396" s="16"/>
      <c r="C1396" s="15"/>
      <c r="D1396" s="9"/>
      <c r="E1396" s="15"/>
      <c r="F1396" s="15"/>
      <c r="G1396" s="13"/>
      <c r="H1396" s="13"/>
      <c r="I1396" s="13"/>
      <c r="J1396" s="13"/>
      <c r="K1396" s="13"/>
      <c r="L1396" s="13"/>
      <c r="M1396" s="13"/>
      <c r="N1396" s="13"/>
      <c r="O1396" s="13"/>
      <c r="P1396" s="13"/>
      <c r="Q1396" s="13"/>
      <c r="R1396" s="13"/>
      <c r="S1396" s="13"/>
      <c r="T1396" s="13"/>
      <c r="U1396" s="13"/>
      <c r="V1396" s="13"/>
      <c r="W1396" s="13"/>
      <c r="X1396" s="13"/>
      <c r="Y1396" s="13"/>
      <c r="Z1396" s="13"/>
      <c r="AA1396" s="13"/>
      <c r="AB1396" s="15"/>
      <c r="AC1396" s="15"/>
      <c r="AD1396" s="15"/>
      <c r="AE1396" s="13"/>
      <c r="AF1396" s="13"/>
      <c r="AG1396" s="13"/>
      <c r="AH1396" s="15"/>
      <c r="AI1396" s="13"/>
      <c r="AJ1396" s="13"/>
      <c r="AK1396" s="13"/>
      <c r="AL1396" s="13"/>
      <c r="AM1396" s="15"/>
      <c r="AN1396" s="13"/>
      <c r="AO1396" s="15"/>
      <c r="AP1396" s="15"/>
      <c r="AQ1396" s="13"/>
      <c r="AR1396" s="13"/>
      <c r="AS1396" s="13"/>
      <c r="AT1396" s="13"/>
      <c r="AU1396" s="13"/>
      <c r="AV1396" s="13"/>
      <c r="AW1396" s="13"/>
      <c r="AX1396" s="13"/>
      <c r="AY1396" s="15"/>
      <c r="AZ1396" s="15"/>
      <c r="BA1396" s="16"/>
      <c r="BB1396" s="15"/>
      <c r="BC1396" s="15"/>
      <c r="BD1396" s="13"/>
      <c r="BE1396" s="13"/>
      <c r="BF1396" s="13"/>
      <c r="BG1396" s="13"/>
      <c r="BH1396" s="13"/>
      <c r="BI1396" s="13"/>
      <c r="BJ1396" s="13"/>
      <c r="BK1396" s="13"/>
      <c r="BL1396" s="13"/>
      <c r="BM1396" s="13"/>
      <c r="BN1396" s="13"/>
      <c r="BO1396" s="13"/>
      <c r="BP1396" s="13"/>
      <c r="BQ1396" s="15"/>
      <c r="BR1396" s="15"/>
      <c r="BS1396" s="15"/>
      <c r="BT1396" s="15"/>
      <c r="BU1396" s="15"/>
      <c r="BV1396" s="15"/>
      <c r="BW1396" s="15"/>
      <c r="BX1396" s="15"/>
      <c r="BY1396" s="15"/>
      <c r="BZ1396" s="15"/>
      <c r="CA1396" s="15"/>
      <c r="CB1396" s="17"/>
      <c r="CC1396" s="17"/>
      <c r="CD1396" s="18"/>
      <c r="CE1396" s="18"/>
      <c r="CF1396" s="18"/>
      <c r="CG1396" s="18"/>
      <c r="CH1396" s="18"/>
    </row>
    <row r="1397">
      <c r="A1397" s="15"/>
      <c r="B1397" s="16"/>
      <c r="C1397" s="15"/>
      <c r="D1397" s="9"/>
      <c r="E1397" s="15"/>
      <c r="F1397" s="15"/>
      <c r="G1397" s="13"/>
      <c r="H1397" s="13"/>
      <c r="I1397" s="13"/>
      <c r="J1397" s="13"/>
      <c r="K1397" s="13"/>
      <c r="L1397" s="13"/>
      <c r="M1397" s="13"/>
      <c r="N1397" s="13"/>
      <c r="O1397" s="13"/>
      <c r="P1397" s="13"/>
      <c r="Q1397" s="13"/>
      <c r="R1397" s="13"/>
      <c r="S1397" s="13"/>
      <c r="T1397" s="13"/>
      <c r="U1397" s="13"/>
      <c r="V1397" s="13"/>
      <c r="W1397" s="13"/>
      <c r="X1397" s="13"/>
      <c r="Y1397" s="13"/>
      <c r="Z1397" s="13"/>
      <c r="AA1397" s="13"/>
      <c r="AB1397" s="15"/>
      <c r="AC1397" s="15"/>
      <c r="AD1397" s="15"/>
      <c r="AE1397" s="13"/>
      <c r="AF1397" s="13"/>
      <c r="AG1397" s="13"/>
      <c r="AH1397" s="15"/>
      <c r="AI1397" s="13"/>
      <c r="AJ1397" s="13"/>
      <c r="AK1397" s="13"/>
      <c r="AL1397" s="13"/>
      <c r="AM1397" s="15"/>
      <c r="AN1397" s="13"/>
      <c r="AO1397" s="15"/>
      <c r="AP1397" s="15"/>
      <c r="AQ1397" s="13"/>
      <c r="AR1397" s="13"/>
      <c r="AS1397" s="13"/>
      <c r="AT1397" s="13"/>
      <c r="AU1397" s="13"/>
      <c r="AV1397" s="13"/>
      <c r="AW1397" s="13"/>
      <c r="AX1397" s="13"/>
      <c r="AY1397" s="15"/>
      <c r="AZ1397" s="15"/>
      <c r="BA1397" s="16"/>
      <c r="BB1397" s="15"/>
      <c r="BC1397" s="15"/>
      <c r="BD1397" s="13"/>
      <c r="BE1397" s="13"/>
      <c r="BF1397" s="13"/>
      <c r="BG1397" s="13"/>
      <c r="BH1397" s="13"/>
      <c r="BI1397" s="13"/>
      <c r="BJ1397" s="13"/>
      <c r="BK1397" s="13"/>
      <c r="BL1397" s="13"/>
      <c r="BM1397" s="13"/>
      <c r="BN1397" s="13"/>
      <c r="BO1397" s="13"/>
      <c r="BP1397" s="13"/>
      <c r="BQ1397" s="15"/>
      <c r="BR1397" s="15"/>
      <c r="BS1397" s="15"/>
      <c r="BT1397" s="15"/>
      <c r="BU1397" s="15"/>
      <c r="BV1397" s="15"/>
      <c r="BW1397" s="15"/>
      <c r="BX1397" s="15"/>
      <c r="BY1397" s="15"/>
      <c r="BZ1397" s="15"/>
      <c r="CA1397" s="15"/>
      <c r="CB1397" s="17"/>
      <c r="CC1397" s="17"/>
      <c r="CD1397" s="18"/>
      <c r="CE1397" s="18"/>
      <c r="CF1397" s="18"/>
      <c r="CG1397" s="18"/>
      <c r="CH1397" s="18"/>
    </row>
    <row r="1398">
      <c r="A1398" s="15"/>
      <c r="B1398" s="16"/>
      <c r="C1398" s="15"/>
      <c r="D1398" s="9"/>
      <c r="E1398" s="15"/>
      <c r="F1398" s="15"/>
      <c r="G1398" s="13"/>
      <c r="H1398" s="13"/>
      <c r="I1398" s="13"/>
      <c r="J1398" s="13"/>
      <c r="K1398" s="13"/>
      <c r="L1398" s="13"/>
      <c r="M1398" s="13"/>
      <c r="N1398" s="13"/>
      <c r="O1398" s="13"/>
      <c r="P1398" s="13"/>
      <c r="Q1398" s="13"/>
      <c r="R1398" s="13"/>
      <c r="S1398" s="13"/>
      <c r="T1398" s="13"/>
      <c r="U1398" s="13"/>
      <c r="V1398" s="13"/>
      <c r="W1398" s="13"/>
      <c r="X1398" s="13"/>
      <c r="Y1398" s="13"/>
      <c r="Z1398" s="13"/>
      <c r="AA1398" s="13"/>
      <c r="AB1398" s="15"/>
      <c r="AC1398" s="15"/>
      <c r="AD1398" s="15"/>
      <c r="AE1398" s="13"/>
      <c r="AF1398" s="13"/>
      <c r="AG1398" s="13"/>
      <c r="AH1398" s="15"/>
      <c r="AI1398" s="13"/>
      <c r="AJ1398" s="13"/>
      <c r="AK1398" s="13"/>
      <c r="AL1398" s="13"/>
      <c r="AM1398" s="15"/>
      <c r="AN1398" s="13"/>
      <c r="AO1398" s="15"/>
      <c r="AP1398" s="15"/>
      <c r="AQ1398" s="13"/>
      <c r="AR1398" s="13"/>
      <c r="AS1398" s="13"/>
      <c r="AT1398" s="13"/>
      <c r="AU1398" s="13"/>
      <c r="AV1398" s="13"/>
      <c r="AW1398" s="13"/>
      <c r="AX1398" s="13"/>
      <c r="AY1398" s="15"/>
      <c r="AZ1398" s="15"/>
      <c r="BA1398" s="16"/>
      <c r="BB1398" s="15"/>
      <c r="BC1398" s="15"/>
      <c r="BD1398" s="13"/>
      <c r="BE1398" s="13"/>
      <c r="BF1398" s="13"/>
      <c r="BG1398" s="13"/>
      <c r="BH1398" s="13"/>
      <c r="BI1398" s="13"/>
      <c r="BJ1398" s="13"/>
      <c r="BK1398" s="13"/>
      <c r="BL1398" s="13"/>
      <c r="BM1398" s="13"/>
      <c r="BN1398" s="13"/>
      <c r="BO1398" s="13"/>
      <c r="BP1398" s="13"/>
      <c r="BQ1398" s="15"/>
      <c r="BR1398" s="15"/>
      <c r="BS1398" s="15"/>
      <c r="BT1398" s="15"/>
      <c r="BU1398" s="15"/>
      <c r="BV1398" s="15"/>
      <c r="BW1398" s="15"/>
      <c r="BX1398" s="15"/>
      <c r="BY1398" s="15"/>
      <c r="BZ1398" s="15"/>
      <c r="CA1398" s="15"/>
      <c r="CB1398" s="17"/>
      <c r="CC1398" s="17"/>
      <c r="CD1398" s="18"/>
      <c r="CE1398" s="18"/>
      <c r="CF1398" s="18"/>
      <c r="CG1398" s="18"/>
      <c r="CH1398" s="18"/>
    </row>
    <row r="1399">
      <c r="A1399" s="15"/>
      <c r="B1399" s="16"/>
      <c r="C1399" s="15"/>
      <c r="D1399" s="9"/>
      <c r="E1399" s="15"/>
      <c r="F1399" s="15"/>
      <c r="G1399" s="13"/>
      <c r="H1399" s="13"/>
      <c r="I1399" s="13"/>
      <c r="J1399" s="13"/>
      <c r="K1399" s="13"/>
      <c r="L1399" s="13"/>
      <c r="M1399" s="13"/>
      <c r="N1399" s="13"/>
      <c r="O1399" s="13"/>
      <c r="P1399" s="13"/>
      <c r="Q1399" s="13"/>
      <c r="R1399" s="13"/>
      <c r="S1399" s="13"/>
      <c r="T1399" s="13"/>
      <c r="U1399" s="13"/>
      <c r="V1399" s="13"/>
      <c r="W1399" s="13"/>
      <c r="X1399" s="13"/>
      <c r="Y1399" s="13"/>
      <c r="Z1399" s="13"/>
      <c r="AA1399" s="13"/>
      <c r="AB1399" s="15"/>
      <c r="AC1399" s="15"/>
      <c r="AD1399" s="15"/>
      <c r="AE1399" s="13"/>
      <c r="AF1399" s="13"/>
      <c r="AG1399" s="13"/>
      <c r="AH1399" s="15"/>
      <c r="AI1399" s="13"/>
      <c r="AJ1399" s="13"/>
      <c r="AK1399" s="13"/>
      <c r="AL1399" s="13"/>
      <c r="AM1399" s="15"/>
      <c r="AN1399" s="13"/>
      <c r="AO1399" s="15"/>
      <c r="AP1399" s="15"/>
      <c r="AQ1399" s="13"/>
      <c r="AR1399" s="13"/>
      <c r="AS1399" s="13"/>
      <c r="AT1399" s="13"/>
      <c r="AU1399" s="13"/>
      <c r="AV1399" s="13"/>
      <c r="AW1399" s="13"/>
      <c r="AX1399" s="13"/>
      <c r="AY1399" s="15"/>
      <c r="AZ1399" s="15"/>
      <c r="BA1399" s="16"/>
      <c r="BB1399" s="15"/>
      <c r="BC1399" s="15"/>
      <c r="BD1399" s="13"/>
      <c r="BE1399" s="13"/>
      <c r="BF1399" s="13"/>
      <c r="BG1399" s="13"/>
      <c r="BH1399" s="13"/>
      <c r="BI1399" s="13"/>
      <c r="BJ1399" s="13"/>
      <c r="BK1399" s="13"/>
      <c r="BL1399" s="13"/>
      <c r="BM1399" s="13"/>
      <c r="BN1399" s="13"/>
      <c r="BO1399" s="13"/>
      <c r="BP1399" s="13"/>
      <c r="BQ1399" s="15"/>
      <c r="BR1399" s="15"/>
      <c r="BS1399" s="15"/>
      <c r="BT1399" s="15"/>
      <c r="BU1399" s="15"/>
      <c r="BV1399" s="15"/>
      <c r="BW1399" s="15"/>
      <c r="BX1399" s="15"/>
      <c r="BY1399" s="15"/>
      <c r="BZ1399" s="15"/>
      <c r="CA1399" s="15"/>
      <c r="CB1399" s="17"/>
      <c r="CC1399" s="17"/>
      <c r="CD1399" s="18"/>
      <c r="CE1399" s="18"/>
      <c r="CF1399" s="18"/>
      <c r="CG1399" s="18"/>
      <c r="CH1399" s="18"/>
    </row>
    <row r="1400">
      <c r="A1400" s="15"/>
      <c r="B1400" s="16"/>
      <c r="C1400" s="15"/>
      <c r="D1400" s="9"/>
      <c r="E1400" s="15"/>
      <c r="F1400" s="15"/>
      <c r="G1400" s="13"/>
      <c r="H1400" s="13"/>
      <c r="I1400" s="13"/>
      <c r="J1400" s="13"/>
      <c r="K1400" s="13"/>
      <c r="L1400" s="13"/>
      <c r="M1400" s="13"/>
      <c r="N1400" s="13"/>
      <c r="O1400" s="13"/>
      <c r="P1400" s="13"/>
      <c r="Q1400" s="13"/>
      <c r="R1400" s="13"/>
      <c r="S1400" s="13"/>
      <c r="T1400" s="13"/>
      <c r="U1400" s="13"/>
      <c r="V1400" s="13"/>
      <c r="W1400" s="13"/>
      <c r="X1400" s="13"/>
      <c r="Y1400" s="13"/>
      <c r="Z1400" s="13"/>
      <c r="AA1400" s="13"/>
      <c r="AB1400" s="15"/>
      <c r="AC1400" s="15"/>
      <c r="AD1400" s="15"/>
      <c r="AE1400" s="13"/>
      <c r="AF1400" s="13"/>
      <c r="AG1400" s="13"/>
      <c r="AH1400" s="15"/>
      <c r="AI1400" s="13"/>
      <c r="AJ1400" s="13"/>
      <c r="AK1400" s="13"/>
      <c r="AL1400" s="13"/>
      <c r="AM1400" s="15"/>
      <c r="AN1400" s="13"/>
      <c r="AO1400" s="15"/>
      <c r="AP1400" s="15"/>
      <c r="AQ1400" s="13"/>
      <c r="AR1400" s="13"/>
      <c r="AS1400" s="13"/>
      <c r="AT1400" s="13"/>
      <c r="AU1400" s="13"/>
      <c r="AV1400" s="13"/>
      <c r="AW1400" s="13"/>
      <c r="AX1400" s="13"/>
      <c r="AY1400" s="15"/>
      <c r="AZ1400" s="15"/>
      <c r="BA1400" s="16"/>
      <c r="BB1400" s="15"/>
      <c r="BC1400" s="15"/>
      <c r="BD1400" s="13"/>
      <c r="BE1400" s="13"/>
      <c r="BF1400" s="13"/>
      <c r="BG1400" s="13"/>
      <c r="BH1400" s="13"/>
      <c r="BI1400" s="13"/>
      <c r="BJ1400" s="13"/>
      <c r="BK1400" s="13"/>
      <c r="BL1400" s="13"/>
      <c r="BM1400" s="13"/>
      <c r="BN1400" s="13"/>
      <c r="BO1400" s="13"/>
      <c r="BP1400" s="13"/>
      <c r="BQ1400" s="15"/>
      <c r="BR1400" s="15"/>
      <c r="BS1400" s="15"/>
      <c r="BT1400" s="15"/>
      <c r="BU1400" s="15"/>
      <c r="BV1400" s="15"/>
      <c r="BW1400" s="15"/>
      <c r="BX1400" s="15"/>
      <c r="BY1400" s="15"/>
      <c r="BZ1400" s="15"/>
      <c r="CA1400" s="15"/>
      <c r="CB1400" s="17"/>
      <c r="CC1400" s="17"/>
      <c r="CD1400" s="18"/>
      <c r="CE1400" s="18"/>
      <c r="CF1400" s="18"/>
      <c r="CG1400" s="18"/>
      <c r="CH1400" s="18"/>
    </row>
    <row r="1401">
      <c r="A1401" s="15"/>
      <c r="B1401" s="16"/>
      <c r="C1401" s="15"/>
      <c r="D1401" s="9"/>
      <c r="E1401" s="15"/>
      <c r="F1401" s="15"/>
      <c r="G1401" s="13"/>
      <c r="H1401" s="13"/>
      <c r="I1401" s="13"/>
      <c r="J1401" s="13"/>
      <c r="K1401" s="13"/>
      <c r="L1401" s="13"/>
      <c r="M1401" s="13"/>
      <c r="N1401" s="13"/>
      <c r="O1401" s="13"/>
      <c r="P1401" s="13"/>
      <c r="Q1401" s="13"/>
      <c r="R1401" s="13"/>
      <c r="S1401" s="13"/>
      <c r="T1401" s="13"/>
      <c r="U1401" s="13"/>
      <c r="V1401" s="13"/>
      <c r="W1401" s="13"/>
      <c r="X1401" s="13"/>
      <c r="Y1401" s="13"/>
      <c r="Z1401" s="13"/>
      <c r="AA1401" s="13"/>
      <c r="AB1401" s="15"/>
      <c r="AC1401" s="15"/>
      <c r="AD1401" s="15"/>
      <c r="AE1401" s="13"/>
      <c r="AF1401" s="13"/>
      <c r="AG1401" s="13"/>
      <c r="AH1401" s="15"/>
      <c r="AI1401" s="13"/>
      <c r="AJ1401" s="13"/>
      <c r="AK1401" s="13"/>
      <c r="AL1401" s="13"/>
      <c r="AM1401" s="15"/>
      <c r="AN1401" s="13"/>
      <c r="AO1401" s="15"/>
      <c r="AP1401" s="15"/>
      <c r="AQ1401" s="13"/>
      <c r="AR1401" s="13"/>
      <c r="AS1401" s="13"/>
      <c r="AT1401" s="13"/>
      <c r="AU1401" s="13"/>
      <c r="AV1401" s="13"/>
      <c r="AW1401" s="13"/>
      <c r="AX1401" s="13"/>
      <c r="AY1401" s="15"/>
      <c r="AZ1401" s="15"/>
      <c r="BA1401" s="16"/>
      <c r="BB1401" s="15"/>
      <c r="BC1401" s="15"/>
      <c r="BD1401" s="13"/>
      <c r="BE1401" s="13"/>
      <c r="BF1401" s="13"/>
      <c r="BG1401" s="13"/>
      <c r="BH1401" s="13"/>
      <c r="BI1401" s="13"/>
      <c r="BJ1401" s="13"/>
      <c r="BK1401" s="13"/>
      <c r="BL1401" s="13"/>
      <c r="BM1401" s="13"/>
      <c r="BN1401" s="13"/>
      <c r="BO1401" s="13"/>
      <c r="BP1401" s="13"/>
      <c r="BQ1401" s="15"/>
      <c r="BR1401" s="15"/>
      <c r="BS1401" s="15"/>
      <c r="BT1401" s="15"/>
      <c r="BU1401" s="15"/>
      <c r="BV1401" s="15"/>
      <c r="BW1401" s="15"/>
      <c r="BX1401" s="15"/>
      <c r="BY1401" s="15"/>
      <c r="BZ1401" s="15"/>
      <c r="CA1401" s="15"/>
      <c r="CB1401" s="17"/>
      <c r="CC1401" s="17"/>
      <c r="CD1401" s="18"/>
      <c r="CE1401" s="18"/>
      <c r="CF1401" s="18"/>
      <c r="CG1401" s="18"/>
      <c r="CH1401" s="18"/>
    </row>
    <row r="1402">
      <c r="A1402" s="15"/>
      <c r="B1402" s="16"/>
      <c r="C1402" s="15"/>
      <c r="D1402" s="9"/>
      <c r="E1402" s="15"/>
      <c r="F1402" s="15"/>
      <c r="G1402" s="13"/>
      <c r="H1402" s="13"/>
      <c r="I1402" s="13"/>
      <c r="J1402" s="13"/>
      <c r="K1402" s="13"/>
      <c r="L1402" s="13"/>
      <c r="M1402" s="13"/>
      <c r="N1402" s="13"/>
      <c r="O1402" s="13"/>
      <c r="P1402" s="13"/>
      <c r="Q1402" s="13"/>
      <c r="R1402" s="13"/>
      <c r="S1402" s="13"/>
      <c r="T1402" s="13"/>
      <c r="U1402" s="13"/>
      <c r="V1402" s="13"/>
      <c r="W1402" s="13"/>
      <c r="X1402" s="13"/>
      <c r="Y1402" s="13"/>
      <c r="Z1402" s="13"/>
      <c r="AA1402" s="13"/>
      <c r="AB1402" s="15"/>
      <c r="AC1402" s="15"/>
      <c r="AD1402" s="15"/>
      <c r="AE1402" s="13"/>
      <c r="AF1402" s="13"/>
      <c r="AG1402" s="13"/>
      <c r="AH1402" s="15"/>
      <c r="AI1402" s="13"/>
      <c r="AJ1402" s="13"/>
      <c r="AK1402" s="13"/>
      <c r="AL1402" s="13"/>
      <c r="AM1402" s="15"/>
      <c r="AN1402" s="13"/>
      <c r="AO1402" s="15"/>
      <c r="AP1402" s="15"/>
      <c r="AQ1402" s="13"/>
      <c r="AR1402" s="13"/>
      <c r="AS1402" s="13"/>
      <c r="AT1402" s="13"/>
      <c r="AU1402" s="13"/>
      <c r="AV1402" s="13"/>
      <c r="AW1402" s="13"/>
      <c r="AX1402" s="13"/>
      <c r="AY1402" s="15"/>
      <c r="AZ1402" s="15"/>
      <c r="BA1402" s="16"/>
      <c r="BB1402" s="15"/>
      <c r="BC1402" s="15"/>
      <c r="BD1402" s="13"/>
      <c r="BE1402" s="13"/>
      <c r="BF1402" s="13"/>
      <c r="BG1402" s="13"/>
      <c r="BH1402" s="13"/>
      <c r="BI1402" s="13"/>
      <c r="BJ1402" s="13"/>
      <c r="BK1402" s="13"/>
      <c r="BL1402" s="13"/>
      <c r="BM1402" s="13"/>
      <c r="BN1402" s="13"/>
      <c r="BO1402" s="13"/>
      <c r="BP1402" s="13"/>
      <c r="BQ1402" s="15"/>
      <c r="BR1402" s="15"/>
      <c r="BS1402" s="15"/>
      <c r="BT1402" s="15"/>
      <c r="BU1402" s="15"/>
      <c r="BV1402" s="15"/>
      <c r="BW1402" s="15"/>
      <c r="BX1402" s="15"/>
      <c r="BY1402" s="15"/>
      <c r="BZ1402" s="15"/>
      <c r="CA1402" s="15"/>
      <c r="CB1402" s="17"/>
      <c r="CC1402" s="17"/>
      <c r="CD1402" s="18"/>
      <c r="CE1402" s="18"/>
      <c r="CF1402" s="18"/>
      <c r="CG1402" s="18"/>
      <c r="CH1402" s="18"/>
    </row>
    <row r="1403">
      <c r="A1403" s="15"/>
      <c r="B1403" s="16"/>
      <c r="C1403" s="15"/>
      <c r="D1403" s="9"/>
      <c r="E1403" s="15"/>
      <c r="F1403" s="15"/>
      <c r="G1403" s="13"/>
      <c r="H1403" s="13"/>
      <c r="I1403" s="13"/>
      <c r="J1403" s="13"/>
      <c r="K1403" s="13"/>
      <c r="L1403" s="13"/>
      <c r="M1403" s="13"/>
      <c r="N1403" s="13"/>
      <c r="O1403" s="13"/>
      <c r="P1403" s="13"/>
      <c r="Q1403" s="13"/>
      <c r="R1403" s="13"/>
      <c r="S1403" s="13"/>
      <c r="T1403" s="13"/>
      <c r="U1403" s="13"/>
      <c r="V1403" s="13"/>
      <c r="W1403" s="13"/>
      <c r="X1403" s="13"/>
      <c r="Y1403" s="13"/>
      <c r="Z1403" s="13"/>
      <c r="AA1403" s="13"/>
      <c r="AB1403" s="15"/>
      <c r="AC1403" s="15"/>
      <c r="AD1403" s="15"/>
      <c r="AE1403" s="13"/>
      <c r="AF1403" s="13"/>
      <c r="AG1403" s="13"/>
      <c r="AH1403" s="15"/>
      <c r="AI1403" s="13"/>
      <c r="AJ1403" s="13"/>
      <c r="AK1403" s="13"/>
      <c r="AL1403" s="13"/>
      <c r="AM1403" s="15"/>
      <c r="AN1403" s="13"/>
      <c r="AO1403" s="15"/>
      <c r="AP1403" s="15"/>
      <c r="AQ1403" s="13"/>
      <c r="AR1403" s="13"/>
      <c r="AS1403" s="13"/>
      <c r="AT1403" s="13"/>
      <c r="AU1403" s="13"/>
      <c r="AV1403" s="13"/>
      <c r="AW1403" s="13"/>
      <c r="AX1403" s="13"/>
      <c r="AY1403" s="15"/>
      <c r="AZ1403" s="15"/>
      <c r="BA1403" s="16"/>
      <c r="BB1403" s="15"/>
      <c r="BC1403" s="15"/>
      <c r="BD1403" s="13"/>
      <c r="BE1403" s="13"/>
      <c r="BF1403" s="13"/>
      <c r="BG1403" s="13"/>
      <c r="BH1403" s="13"/>
      <c r="BI1403" s="13"/>
      <c r="BJ1403" s="13"/>
      <c r="BK1403" s="13"/>
      <c r="BL1403" s="13"/>
      <c r="BM1403" s="13"/>
      <c r="BN1403" s="13"/>
      <c r="BO1403" s="13"/>
      <c r="BP1403" s="13"/>
      <c r="BQ1403" s="15"/>
      <c r="BR1403" s="15"/>
      <c r="BS1403" s="15"/>
      <c r="BT1403" s="15"/>
      <c r="BU1403" s="15"/>
      <c r="BV1403" s="15"/>
      <c r="BW1403" s="15"/>
      <c r="BX1403" s="15"/>
      <c r="BY1403" s="15"/>
      <c r="BZ1403" s="15"/>
      <c r="CA1403" s="15"/>
      <c r="CB1403" s="17"/>
      <c r="CC1403" s="17"/>
      <c r="CD1403" s="18"/>
      <c r="CE1403" s="18"/>
      <c r="CF1403" s="18"/>
      <c r="CG1403" s="18"/>
      <c r="CH1403" s="18"/>
    </row>
    <row r="1404">
      <c r="A1404" s="15"/>
      <c r="B1404" s="16"/>
      <c r="C1404" s="15"/>
      <c r="D1404" s="9"/>
      <c r="E1404" s="15"/>
      <c r="F1404" s="15"/>
      <c r="G1404" s="13"/>
      <c r="H1404" s="13"/>
      <c r="I1404" s="13"/>
      <c r="J1404" s="13"/>
      <c r="K1404" s="13"/>
      <c r="L1404" s="13"/>
      <c r="M1404" s="13"/>
      <c r="N1404" s="13"/>
      <c r="O1404" s="13"/>
      <c r="P1404" s="13"/>
      <c r="Q1404" s="13"/>
      <c r="R1404" s="13"/>
      <c r="S1404" s="13"/>
      <c r="T1404" s="13"/>
      <c r="U1404" s="13"/>
      <c r="V1404" s="13"/>
      <c r="W1404" s="13"/>
      <c r="X1404" s="13"/>
      <c r="Y1404" s="13"/>
      <c r="Z1404" s="13"/>
      <c r="AA1404" s="13"/>
      <c r="AB1404" s="15"/>
      <c r="AC1404" s="15"/>
      <c r="AD1404" s="15"/>
      <c r="AE1404" s="13"/>
      <c r="AF1404" s="13"/>
      <c r="AG1404" s="13"/>
      <c r="AH1404" s="15"/>
      <c r="AI1404" s="13"/>
      <c r="AJ1404" s="13"/>
      <c r="AK1404" s="13"/>
      <c r="AL1404" s="13"/>
      <c r="AM1404" s="15"/>
      <c r="AN1404" s="13"/>
      <c r="AO1404" s="15"/>
      <c r="AP1404" s="15"/>
      <c r="AQ1404" s="13"/>
      <c r="AR1404" s="13"/>
      <c r="AS1404" s="13"/>
      <c r="AT1404" s="13"/>
      <c r="AU1404" s="13"/>
      <c r="AV1404" s="13"/>
      <c r="AW1404" s="13"/>
      <c r="AX1404" s="13"/>
      <c r="AY1404" s="15"/>
      <c r="AZ1404" s="15"/>
      <c r="BA1404" s="16"/>
      <c r="BB1404" s="15"/>
      <c r="BC1404" s="15"/>
      <c r="BD1404" s="13"/>
      <c r="BE1404" s="13"/>
      <c r="BF1404" s="13"/>
      <c r="BG1404" s="13"/>
      <c r="BH1404" s="13"/>
      <c r="BI1404" s="13"/>
      <c r="BJ1404" s="13"/>
      <c r="BK1404" s="13"/>
      <c r="BL1404" s="13"/>
      <c r="BM1404" s="13"/>
      <c r="BN1404" s="13"/>
      <c r="BO1404" s="13"/>
      <c r="BP1404" s="13"/>
      <c r="BQ1404" s="15"/>
      <c r="BR1404" s="15"/>
      <c r="BS1404" s="15"/>
      <c r="BT1404" s="15"/>
      <c r="BU1404" s="15"/>
      <c r="BV1404" s="15"/>
      <c r="BW1404" s="15"/>
      <c r="BX1404" s="15"/>
      <c r="BY1404" s="15"/>
      <c r="BZ1404" s="15"/>
      <c r="CA1404" s="15"/>
      <c r="CB1404" s="17"/>
      <c r="CC1404" s="17"/>
      <c r="CD1404" s="18"/>
      <c r="CE1404" s="18"/>
      <c r="CF1404" s="18"/>
      <c r="CG1404" s="18"/>
      <c r="CH1404" s="18"/>
    </row>
    <row r="1405">
      <c r="A1405" s="15"/>
      <c r="B1405" s="16"/>
      <c r="C1405" s="15"/>
      <c r="D1405" s="9"/>
      <c r="E1405" s="15"/>
      <c r="F1405" s="15"/>
      <c r="G1405" s="13"/>
      <c r="H1405" s="13"/>
      <c r="I1405" s="13"/>
      <c r="J1405" s="13"/>
      <c r="K1405" s="13"/>
      <c r="L1405" s="13"/>
      <c r="M1405" s="13"/>
      <c r="N1405" s="13"/>
      <c r="O1405" s="13"/>
      <c r="P1405" s="13"/>
      <c r="Q1405" s="13"/>
      <c r="R1405" s="13"/>
      <c r="S1405" s="13"/>
      <c r="T1405" s="13"/>
      <c r="U1405" s="13"/>
      <c r="V1405" s="13"/>
      <c r="W1405" s="13"/>
      <c r="X1405" s="13"/>
      <c r="Y1405" s="13"/>
      <c r="Z1405" s="13"/>
      <c r="AA1405" s="13"/>
      <c r="AB1405" s="15"/>
      <c r="AC1405" s="15"/>
      <c r="AD1405" s="15"/>
      <c r="AE1405" s="13"/>
      <c r="AF1405" s="13"/>
      <c r="AG1405" s="13"/>
      <c r="AH1405" s="15"/>
      <c r="AI1405" s="13"/>
      <c r="AJ1405" s="13"/>
      <c r="AK1405" s="13"/>
      <c r="AL1405" s="13"/>
      <c r="AM1405" s="15"/>
      <c r="AN1405" s="13"/>
      <c r="AO1405" s="15"/>
      <c r="AP1405" s="15"/>
      <c r="AQ1405" s="13"/>
      <c r="AR1405" s="13"/>
      <c r="AS1405" s="13"/>
      <c r="AT1405" s="13"/>
      <c r="AU1405" s="13"/>
      <c r="AV1405" s="13"/>
      <c r="AW1405" s="13"/>
      <c r="AX1405" s="13"/>
      <c r="AY1405" s="15"/>
      <c r="AZ1405" s="15"/>
      <c r="BA1405" s="16"/>
      <c r="BB1405" s="15"/>
      <c r="BC1405" s="15"/>
      <c r="BD1405" s="13"/>
      <c r="BE1405" s="13"/>
      <c r="BF1405" s="13"/>
      <c r="BG1405" s="13"/>
      <c r="BH1405" s="13"/>
      <c r="BI1405" s="13"/>
      <c r="BJ1405" s="13"/>
      <c r="BK1405" s="13"/>
      <c r="BL1405" s="13"/>
      <c r="BM1405" s="13"/>
      <c r="BN1405" s="13"/>
      <c r="BO1405" s="13"/>
      <c r="BP1405" s="13"/>
      <c r="BQ1405" s="15"/>
      <c r="BR1405" s="15"/>
      <c r="BS1405" s="15"/>
      <c r="BT1405" s="15"/>
      <c r="BU1405" s="15"/>
      <c r="BV1405" s="15"/>
      <c r="BW1405" s="15"/>
      <c r="BX1405" s="15"/>
      <c r="BY1405" s="15"/>
      <c r="BZ1405" s="15"/>
      <c r="CA1405" s="15"/>
      <c r="CB1405" s="17"/>
      <c r="CC1405" s="17"/>
      <c r="CD1405" s="18"/>
      <c r="CE1405" s="18"/>
      <c r="CF1405" s="18"/>
      <c r="CG1405" s="18"/>
      <c r="CH1405" s="18"/>
    </row>
    <row r="1406">
      <c r="A1406" s="15"/>
      <c r="B1406" s="16"/>
      <c r="C1406" s="15"/>
      <c r="D1406" s="9"/>
      <c r="E1406" s="15"/>
      <c r="F1406" s="15"/>
      <c r="G1406" s="13"/>
      <c r="H1406" s="13"/>
      <c r="I1406" s="13"/>
      <c r="J1406" s="13"/>
      <c r="K1406" s="13"/>
      <c r="L1406" s="13"/>
      <c r="M1406" s="13"/>
      <c r="N1406" s="13"/>
      <c r="O1406" s="13"/>
      <c r="P1406" s="13"/>
      <c r="Q1406" s="13"/>
      <c r="R1406" s="13"/>
      <c r="S1406" s="13"/>
      <c r="T1406" s="13"/>
      <c r="U1406" s="13"/>
      <c r="V1406" s="13"/>
      <c r="W1406" s="13"/>
      <c r="X1406" s="13"/>
      <c r="Y1406" s="13"/>
      <c r="Z1406" s="13"/>
      <c r="AA1406" s="13"/>
      <c r="AB1406" s="15"/>
      <c r="AC1406" s="15"/>
      <c r="AD1406" s="15"/>
      <c r="AE1406" s="13"/>
      <c r="AF1406" s="13"/>
      <c r="AG1406" s="13"/>
      <c r="AH1406" s="15"/>
      <c r="AI1406" s="13"/>
      <c r="AJ1406" s="13"/>
      <c r="AK1406" s="13"/>
      <c r="AL1406" s="13"/>
      <c r="AM1406" s="15"/>
      <c r="AN1406" s="13"/>
      <c r="AO1406" s="15"/>
      <c r="AP1406" s="15"/>
      <c r="AQ1406" s="13"/>
      <c r="AR1406" s="13"/>
      <c r="AS1406" s="13"/>
      <c r="AT1406" s="13"/>
      <c r="AU1406" s="13"/>
      <c r="AV1406" s="13"/>
      <c r="AW1406" s="13"/>
      <c r="AX1406" s="13"/>
      <c r="AY1406" s="15"/>
      <c r="AZ1406" s="15"/>
      <c r="BA1406" s="16"/>
      <c r="BB1406" s="15"/>
      <c r="BC1406" s="15"/>
      <c r="BD1406" s="13"/>
      <c r="BE1406" s="13"/>
      <c r="BF1406" s="13"/>
      <c r="BG1406" s="13"/>
      <c r="BH1406" s="13"/>
      <c r="BI1406" s="13"/>
      <c r="BJ1406" s="13"/>
      <c r="BK1406" s="13"/>
      <c r="BL1406" s="13"/>
      <c r="BM1406" s="13"/>
      <c r="BN1406" s="13"/>
      <c r="BO1406" s="13"/>
      <c r="BP1406" s="13"/>
      <c r="BQ1406" s="15"/>
      <c r="BR1406" s="15"/>
      <c r="BS1406" s="15"/>
      <c r="BT1406" s="15"/>
      <c r="BU1406" s="15"/>
      <c r="BV1406" s="15"/>
      <c r="BW1406" s="15"/>
      <c r="BX1406" s="15"/>
      <c r="BY1406" s="15"/>
      <c r="BZ1406" s="15"/>
      <c r="CA1406" s="15"/>
      <c r="CB1406" s="17"/>
      <c r="CC1406" s="17"/>
      <c r="CD1406" s="18"/>
      <c r="CE1406" s="18"/>
      <c r="CF1406" s="18"/>
      <c r="CG1406" s="18"/>
      <c r="CH1406" s="18"/>
    </row>
    <row r="1407">
      <c r="A1407" s="15"/>
      <c r="B1407" s="16"/>
      <c r="C1407" s="15"/>
      <c r="D1407" s="9"/>
      <c r="E1407" s="15"/>
      <c r="F1407" s="15"/>
      <c r="G1407" s="13"/>
      <c r="H1407" s="13"/>
      <c r="I1407" s="13"/>
      <c r="J1407" s="13"/>
      <c r="K1407" s="13"/>
      <c r="L1407" s="13"/>
      <c r="M1407" s="13"/>
      <c r="N1407" s="13"/>
      <c r="O1407" s="13"/>
      <c r="P1407" s="13"/>
      <c r="Q1407" s="13"/>
      <c r="R1407" s="13"/>
      <c r="S1407" s="13"/>
      <c r="T1407" s="13"/>
      <c r="U1407" s="13"/>
      <c r="V1407" s="13"/>
      <c r="W1407" s="13"/>
      <c r="X1407" s="13"/>
      <c r="Y1407" s="13"/>
      <c r="Z1407" s="13"/>
      <c r="AA1407" s="13"/>
      <c r="AB1407" s="15"/>
      <c r="AC1407" s="15"/>
      <c r="AD1407" s="15"/>
      <c r="AE1407" s="13"/>
      <c r="AF1407" s="13"/>
      <c r="AG1407" s="13"/>
      <c r="AH1407" s="15"/>
      <c r="AI1407" s="13"/>
      <c r="AJ1407" s="13"/>
      <c r="AK1407" s="13"/>
      <c r="AL1407" s="13"/>
      <c r="AM1407" s="15"/>
      <c r="AN1407" s="13"/>
      <c r="AO1407" s="15"/>
      <c r="AP1407" s="15"/>
      <c r="AQ1407" s="13"/>
      <c r="AR1407" s="13"/>
      <c r="AS1407" s="13"/>
      <c r="AT1407" s="13"/>
      <c r="AU1407" s="13"/>
      <c r="AV1407" s="13"/>
      <c r="AW1407" s="13"/>
      <c r="AX1407" s="13"/>
      <c r="AY1407" s="15"/>
      <c r="AZ1407" s="15"/>
      <c r="BA1407" s="16"/>
      <c r="BB1407" s="15"/>
      <c r="BC1407" s="15"/>
      <c r="BD1407" s="13"/>
      <c r="BE1407" s="13"/>
      <c r="BF1407" s="13"/>
      <c r="BG1407" s="13"/>
      <c r="BH1407" s="13"/>
      <c r="BI1407" s="13"/>
      <c r="BJ1407" s="13"/>
      <c r="BK1407" s="13"/>
      <c r="BL1407" s="13"/>
      <c r="BM1407" s="13"/>
      <c r="BN1407" s="13"/>
      <c r="BO1407" s="13"/>
      <c r="BP1407" s="13"/>
      <c r="BQ1407" s="15"/>
      <c r="BR1407" s="15"/>
      <c r="BS1407" s="15"/>
      <c r="BT1407" s="15"/>
      <c r="BU1407" s="15"/>
      <c r="BV1407" s="15"/>
      <c r="BW1407" s="15"/>
      <c r="BX1407" s="15"/>
      <c r="BY1407" s="15"/>
      <c r="BZ1407" s="15"/>
      <c r="CA1407" s="15"/>
      <c r="CB1407" s="17"/>
      <c r="CC1407" s="17"/>
      <c r="CD1407" s="18"/>
      <c r="CE1407" s="18"/>
      <c r="CF1407" s="18"/>
      <c r="CG1407" s="18"/>
      <c r="CH1407" s="18"/>
    </row>
    <row r="1408">
      <c r="A1408" s="15"/>
      <c r="B1408" s="16"/>
      <c r="C1408" s="15"/>
      <c r="D1408" s="9"/>
      <c r="E1408" s="15"/>
      <c r="F1408" s="15"/>
      <c r="G1408" s="13"/>
      <c r="H1408" s="13"/>
      <c r="I1408" s="13"/>
      <c r="J1408" s="13"/>
      <c r="K1408" s="13"/>
      <c r="L1408" s="13"/>
      <c r="M1408" s="13"/>
      <c r="N1408" s="13"/>
      <c r="O1408" s="13"/>
      <c r="P1408" s="13"/>
      <c r="Q1408" s="13"/>
      <c r="R1408" s="13"/>
      <c r="S1408" s="13"/>
      <c r="T1408" s="13"/>
      <c r="U1408" s="13"/>
      <c r="V1408" s="13"/>
      <c r="W1408" s="13"/>
      <c r="X1408" s="13"/>
      <c r="Y1408" s="13"/>
      <c r="Z1408" s="13"/>
      <c r="AA1408" s="13"/>
      <c r="AB1408" s="15"/>
      <c r="AC1408" s="15"/>
      <c r="AD1408" s="15"/>
      <c r="AE1408" s="13"/>
      <c r="AF1408" s="13"/>
      <c r="AG1408" s="13"/>
      <c r="AH1408" s="15"/>
      <c r="AI1408" s="13"/>
      <c r="AJ1408" s="13"/>
      <c r="AK1408" s="13"/>
      <c r="AL1408" s="13"/>
      <c r="AM1408" s="15"/>
      <c r="AN1408" s="13"/>
      <c r="AO1408" s="15"/>
      <c r="AP1408" s="15"/>
      <c r="AQ1408" s="13"/>
      <c r="AR1408" s="13"/>
      <c r="AS1408" s="13"/>
      <c r="AT1408" s="13"/>
      <c r="AU1408" s="13"/>
      <c r="AV1408" s="13"/>
      <c r="AW1408" s="13"/>
      <c r="AX1408" s="13"/>
      <c r="AY1408" s="15"/>
      <c r="AZ1408" s="15"/>
      <c r="BA1408" s="16"/>
      <c r="BB1408" s="15"/>
      <c r="BC1408" s="15"/>
      <c r="BD1408" s="13"/>
      <c r="BE1408" s="13"/>
      <c r="BF1408" s="13"/>
      <c r="BG1408" s="13"/>
      <c r="BH1408" s="13"/>
      <c r="BI1408" s="13"/>
      <c r="BJ1408" s="13"/>
      <c r="BK1408" s="13"/>
      <c r="BL1408" s="13"/>
      <c r="BM1408" s="13"/>
      <c r="BN1408" s="13"/>
      <c r="BO1408" s="13"/>
      <c r="BP1408" s="13"/>
      <c r="BQ1408" s="15"/>
      <c r="BR1408" s="15"/>
      <c r="BS1408" s="15"/>
      <c r="BT1408" s="15"/>
      <c r="BU1408" s="15"/>
      <c r="BV1408" s="15"/>
      <c r="BW1408" s="15"/>
      <c r="BX1408" s="15"/>
      <c r="BY1408" s="15"/>
      <c r="BZ1408" s="15"/>
      <c r="CA1408" s="15"/>
      <c r="CB1408" s="17"/>
      <c r="CC1408" s="17"/>
      <c r="CD1408" s="18"/>
      <c r="CE1408" s="18"/>
      <c r="CF1408" s="18"/>
      <c r="CG1408" s="18"/>
      <c r="CH1408" s="18"/>
    </row>
    <row r="1409">
      <c r="A1409" s="15"/>
      <c r="B1409" s="16"/>
      <c r="C1409" s="15"/>
      <c r="D1409" s="9"/>
      <c r="E1409" s="15"/>
      <c r="F1409" s="15"/>
      <c r="G1409" s="13"/>
      <c r="H1409" s="13"/>
      <c r="I1409" s="13"/>
      <c r="J1409" s="13"/>
      <c r="K1409" s="13"/>
      <c r="L1409" s="13"/>
      <c r="M1409" s="13"/>
      <c r="N1409" s="13"/>
      <c r="O1409" s="13"/>
      <c r="P1409" s="13"/>
      <c r="Q1409" s="13"/>
      <c r="R1409" s="13"/>
      <c r="S1409" s="13"/>
      <c r="T1409" s="13"/>
      <c r="U1409" s="13"/>
      <c r="V1409" s="13"/>
      <c r="W1409" s="13"/>
      <c r="X1409" s="13"/>
      <c r="Y1409" s="13"/>
      <c r="Z1409" s="13"/>
      <c r="AA1409" s="13"/>
      <c r="AB1409" s="15"/>
      <c r="AC1409" s="15"/>
      <c r="AD1409" s="15"/>
      <c r="AE1409" s="13"/>
      <c r="AF1409" s="13"/>
      <c r="AG1409" s="13"/>
      <c r="AH1409" s="15"/>
      <c r="AI1409" s="13"/>
      <c r="AJ1409" s="13"/>
      <c r="AK1409" s="13"/>
      <c r="AL1409" s="13"/>
      <c r="AM1409" s="15"/>
      <c r="AN1409" s="13"/>
      <c r="AO1409" s="15"/>
      <c r="AP1409" s="15"/>
      <c r="AQ1409" s="13"/>
      <c r="AR1409" s="13"/>
      <c r="AS1409" s="13"/>
      <c r="AT1409" s="13"/>
      <c r="AU1409" s="13"/>
      <c r="AV1409" s="13"/>
      <c r="AW1409" s="13"/>
      <c r="AX1409" s="13"/>
      <c r="AY1409" s="15"/>
      <c r="AZ1409" s="15"/>
      <c r="BA1409" s="16"/>
      <c r="BB1409" s="15"/>
      <c r="BC1409" s="15"/>
      <c r="BD1409" s="13"/>
      <c r="BE1409" s="13"/>
      <c r="BF1409" s="13"/>
      <c r="BG1409" s="13"/>
      <c r="BH1409" s="13"/>
      <c r="BI1409" s="13"/>
      <c r="BJ1409" s="13"/>
      <c r="BK1409" s="13"/>
      <c r="BL1409" s="13"/>
      <c r="BM1409" s="13"/>
      <c r="BN1409" s="13"/>
      <c r="BO1409" s="13"/>
      <c r="BP1409" s="13"/>
      <c r="BQ1409" s="15"/>
      <c r="BR1409" s="15"/>
      <c r="BS1409" s="15"/>
      <c r="BT1409" s="15"/>
      <c r="BU1409" s="15"/>
      <c r="BV1409" s="15"/>
      <c r="BW1409" s="15"/>
      <c r="BX1409" s="15"/>
      <c r="BY1409" s="15"/>
      <c r="BZ1409" s="15"/>
      <c r="CA1409" s="15"/>
      <c r="CB1409" s="17"/>
      <c r="CC1409" s="17"/>
      <c r="CD1409" s="18"/>
      <c r="CE1409" s="18"/>
      <c r="CF1409" s="18"/>
      <c r="CG1409" s="18"/>
      <c r="CH1409" s="18"/>
    </row>
    <row r="1410">
      <c r="A1410" s="15"/>
      <c r="B1410" s="16"/>
      <c r="C1410" s="15"/>
      <c r="D1410" s="9"/>
      <c r="E1410" s="15"/>
      <c r="F1410" s="15"/>
      <c r="G1410" s="13"/>
      <c r="H1410" s="13"/>
      <c r="I1410" s="13"/>
      <c r="J1410" s="13"/>
      <c r="K1410" s="13"/>
      <c r="L1410" s="13"/>
      <c r="M1410" s="13"/>
      <c r="N1410" s="13"/>
      <c r="O1410" s="13"/>
      <c r="P1410" s="13"/>
      <c r="Q1410" s="13"/>
      <c r="R1410" s="13"/>
      <c r="S1410" s="13"/>
      <c r="T1410" s="13"/>
      <c r="U1410" s="13"/>
      <c r="V1410" s="13"/>
      <c r="W1410" s="13"/>
      <c r="X1410" s="13"/>
      <c r="Y1410" s="13"/>
      <c r="Z1410" s="13"/>
      <c r="AA1410" s="13"/>
      <c r="AB1410" s="15"/>
      <c r="AC1410" s="15"/>
      <c r="AD1410" s="15"/>
      <c r="AE1410" s="13"/>
      <c r="AF1410" s="13"/>
      <c r="AG1410" s="13"/>
      <c r="AH1410" s="15"/>
      <c r="AI1410" s="13"/>
      <c r="AJ1410" s="13"/>
      <c r="AK1410" s="13"/>
      <c r="AL1410" s="13"/>
      <c r="AM1410" s="15"/>
      <c r="AN1410" s="13"/>
      <c r="AO1410" s="15"/>
      <c r="AP1410" s="15"/>
      <c r="AQ1410" s="13"/>
      <c r="AR1410" s="13"/>
      <c r="AS1410" s="13"/>
      <c r="AT1410" s="13"/>
      <c r="AU1410" s="13"/>
      <c r="AV1410" s="13"/>
      <c r="AW1410" s="13"/>
      <c r="AX1410" s="13"/>
      <c r="AY1410" s="15"/>
      <c r="AZ1410" s="15"/>
      <c r="BA1410" s="16"/>
      <c r="BB1410" s="15"/>
      <c r="BC1410" s="15"/>
      <c r="BD1410" s="13"/>
      <c r="BE1410" s="13"/>
      <c r="BF1410" s="13"/>
      <c r="BG1410" s="13"/>
      <c r="BH1410" s="13"/>
      <c r="BI1410" s="13"/>
      <c r="BJ1410" s="13"/>
      <c r="BK1410" s="13"/>
      <c r="BL1410" s="13"/>
      <c r="BM1410" s="13"/>
      <c r="BN1410" s="13"/>
      <c r="BO1410" s="13"/>
      <c r="BP1410" s="13"/>
      <c r="BQ1410" s="15"/>
      <c r="BR1410" s="15"/>
      <c r="BS1410" s="15"/>
      <c r="BT1410" s="15"/>
      <c r="BU1410" s="15"/>
      <c r="BV1410" s="15"/>
      <c r="BW1410" s="15"/>
      <c r="BX1410" s="15"/>
      <c r="BY1410" s="15"/>
      <c r="BZ1410" s="15"/>
      <c r="CA1410" s="15"/>
      <c r="CB1410" s="17"/>
      <c r="CC1410" s="17"/>
      <c r="CD1410" s="18"/>
      <c r="CE1410" s="18"/>
      <c r="CF1410" s="18"/>
      <c r="CG1410" s="18"/>
      <c r="CH1410" s="18"/>
    </row>
    <row r="1411">
      <c r="A1411" s="15"/>
      <c r="B1411" s="16"/>
      <c r="C1411" s="15"/>
      <c r="D1411" s="9"/>
      <c r="E1411" s="15"/>
      <c r="F1411" s="15"/>
      <c r="G1411" s="13"/>
      <c r="H1411" s="13"/>
      <c r="I1411" s="13"/>
      <c r="J1411" s="13"/>
      <c r="K1411" s="13"/>
      <c r="L1411" s="13"/>
      <c r="M1411" s="13"/>
      <c r="N1411" s="13"/>
      <c r="O1411" s="13"/>
      <c r="P1411" s="13"/>
      <c r="Q1411" s="13"/>
      <c r="R1411" s="13"/>
      <c r="S1411" s="13"/>
      <c r="T1411" s="13"/>
      <c r="U1411" s="13"/>
      <c r="V1411" s="13"/>
      <c r="W1411" s="13"/>
      <c r="X1411" s="13"/>
      <c r="Y1411" s="13"/>
      <c r="Z1411" s="13"/>
      <c r="AA1411" s="13"/>
      <c r="AB1411" s="15"/>
      <c r="AC1411" s="15"/>
      <c r="AD1411" s="15"/>
      <c r="AE1411" s="13"/>
      <c r="AF1411" s="13"/>
      <c r="AG1411" s="13"/>
      <c r="AH1411" s="15"/>
      <c r="AI1411" s="13"/>
      <c r="AJ1411" s="13"/>
      <c r="AK1411" s="13"/>
      <c r="AL1411" s="13"/>
      <c r="AM1411" s="15"/>
      <c r="AN1411" s="13"/>
      <c r="AO1411" s="15"/>
      <c r="AP1411" s="15"/>
      <c r="AQ1411" s="13"/>
      <c r="AR1411" s="13"/>
      <c r="AS1411" s="13"/>
      <c r="AT1411" s="13"/>
      <c r="AU1411" s="13"/>
      <c r="AV1411" s="13"/>
      <c r="AW1411" s="13"/>
      <c r="AX1411" s="13"/>
      <c r="AY1411" s="15"/>
      <c r="AZ1411" s="15"/>
      <c r="BA1411" s="16"/>
      <c r="BB1411" s="15"/>
      <c r="BC1411" s="15"/>
      <c r="BD1411" s="13"/>
      <c r="BE1411" s="13"/>
      <c r="BF1411" s="13"/>
      <c r="BG1411" s="13"/>
      <c r="BH1411" s="13"/>
      <c r="BI1411" s="13"/>
      <c r="BJ1411" s="13"/>
      <c r="BK1411" s="13"/>
      <c r="BL1411" s="13"/>
      <c r="BM1411" s="13"/>
      <c r="BN1411" s="13"/>
      <c r="BO1411" s="13"/>
      <c r="BP1411" s="13"/>
      <c r="BQ1411" s="15"/>
      <c r="BR1411" s="15"/>
      <c r="BS1411" s="15"/>
      <c r="BT1411" s="15"/>
      <c r="BU1411" s="15"/>
      <c r="BV1411" s="15"/>
      <c r="BW1411" s="15"/>
      <c r="BX1411" s="15"/>
      <c r="BY1411" s="15"/>
      <c r="BZ1411" s="15"/>
      <c r="CA1411" s="15"/>
      <c r="CB1411" s="17"/>
      <c r="CC1411" s="17"/>
      <c r="CD1411" s="18"/>
      <c r="CE1411" s="18"/>
      <c r="CF1411" s="18"/>
      <c r="CG1411" s="18"/>
      <c r="CH1411" s="18"/>
    </row>
    <row r="1412">
      <c r="A1412" s="15"/>
      <c r="B1412" s="16"/>
      <c r="C1412" s="15"/>
      <c r="D1412" s="9"/>
      <c r="E1412" s="15"/>
      <c r="F1412" s="15"/>
      <c r="G1412" s="13"/>
      <c r="H1412" s="13"/>
      <c r="I1412" s="13"/>
      <c r="J1412" s="13"/>
      <c r="K1412" s="13"/>
      <c r="L1412" s="13"/>
      <c r="M1412" s="13"/>
      <c r="N1412" s="13"/>
      <c r="O1412" s="13"/>
      <c r="P1412" s="13"/>
      <c r="Q1412" s="13"/>
      <c r="R1412" s="13"/>
      <c r="S1412" s="13"/>
      <c r="T1412" s="13"/>
      <c r="U1412" s="13"/>
      <c r="V1412" s="13"/>
      <c r="W1412" s="13"/>
      <c r="X1412" s="13"/>
      <c r="Y1412" s="13"/>
      <c r="Z1412" s="13"/>
      <c r="AA1412" s="13"/>
      <c r="AB1412" s="15"/>
      <c r="AC1412" s="15"/>
      <c r="AD1412" s="15"/>
      <c r="AE1412" s="13"/>
      <c r="AF1412" s="13"/>
      <c r="AG1412" s="13"/>
      <c r="AH1412" s="15"/>
      <c r="AI1412" s="13"/>
      <c r="AJ1412" s="13"/>
      <c r="AK1412" s="13"/>
      <c r="AL1412" s="13"/>
      <c r="AM1412" s="15"/>
      <c r="AN1412" s="13"/>
      <c r="AO1412" s="15"/>
      <c r="AP1412" s="15"/>
      <c r="AQ1412" s="13"/>
      <c r="AR1412" s="13"/>
      <c r="AS1412" s="13"/>
      <c r="AT1412" s="13"/>
      <c r="AU1412" s="13"/>
      <c r="AV1412" s="13"/>
      <c r="AW1412" s="13"/>
      <c r="AX1412" s="13"/>
      <c r="AY1412" s="15"/>
      <c r="AZ1412" s="15"/>
      <c r="BA1412" s="16"/>
      <c r="BB1412" s="15"/>
      <c r="BC1412" s="15"/>
      <c r="BD1412" s="13"/>
      <c r="BE1412" s="13"/>
      <c r="BF1412" s="13"/>
      <c r="BG1412" s="13"/>
      <c r="BH1412" s="13"/>
      <c r="BI1412" s="13"/>
      <c r="BJ1412" s="13"/>
      <c r="BK1412" s="13"/>
      <c r="BL1412" s="13"/>
      <c r="BM1412" s="13"/>
      <c r="BN1412" s="13"/>
      <c r="BO1412" s="13"/>
      <c r="BP1412" s="13"/>
      <c r="BQ1412" s="15"/>
      <c r="BR1412" s="15"/>
      <c r="BS1412" s="15"/>
      <c r="BT1412" s="15"/>
      <c r="BU1412" s="15"/>
      <c r="BV1412" s="15"/>
      <c r="BW1412" s="15"/>
      <c r="BX1412" s="15"/>
      <c r="BY1412" s="15"/>
      <c r="BZ1412" s="15"/>
      <c r="CA1412" s="15"/>
      <c r="CB1412" s="17"/>
      <c r="CC1412" s="17"/>
      <c r="CD1412" s="18"/>
      <c r="CE1412" s="18"/>
      <c r="CF1412" s="18"/>
      <c r="CG1412" s="18"/>
      <c r="CH1412" s="18"/>
    </row>
    <row r="1413">
      <c r="A1413" s="15"/>
      <c r="B1413" s="16"/>
      <c r="C1413" s="15"/>
      <c r="D1413" s="9"/>
      <c r="E1413" s="15"/>
      <c r="F1413" s="15"/>
      <c r="G1413" s="13"/>
      <c r="H1413" s="13"/>
      <c r="I1413" s="13"/>
      <c r="J1413" s="13"/>
      <c r="K1413" s="13"/>
      <c r="L1413" s="13"/>
      <c r="M1413" s="13"/>
      <c r="N1413" s="13"/>
      <c r="O1413" s="13"/>
      <c r="P1413" s="13"/>
      <c r="Q1413" s="13"/>
      <c r="R1413" s="13"/>
      <c r="S1413" s="13"/>
      <c r="T1413" s="13"/>
      <c r="U1413" s="13"/>
      <c r="V1413" s="13"/>
      <c r="W1413" s="13"/>
      <c r="X1413" s="13"/>
      <c r="Y1413" s="13"/>
      <c r="Z1413" s="13"/>
      <c r="AA1413" s="13"/>
      <c r="AB1413" s="15"/>
      <c r="AC1413" s="15"/>
      <c r="AD1413" s="15"/>
      <c r="AE1413" s="13"/>
      <c r="AF1413" s="13"/>
      <c r="AG1413" s="13"/>
      <c r="AH1413" s="15"/>
      <c r="AI1413" s="13"/>
      <c r="AJ1413" s="13"/>
      <c r="AK1413" s="13"/>
      <c r="AL1413" s="13"/>
      <c r="AM1413" s="15"/>
      <c r="AN1413" s="13"/>
      <c r="AO1413" s="15"/>
      <c r="AP1413" s="15"/>
      <c r="AQ1413" s="13"/>
      <c r="AR1413" s="13"/>
      <c r="AS1413" s="13"/>
      <c r="AT1413" s="13"/>
      <c r="AU1413" s="13"/>
      <c r="AV1413" s="13"/>
      <c r="AW1413" s="13"/>
      <c r="AX1413" s="13"/>
      <c r="AY1413" s="15"/>
      <c r="AZ1413" s="15"/>
      <c r="BA1413" s="16"/>
      <c r="BB1413" s="15"/>
      <c r="BC1413" s="15"/>
      <c r="BD1413" s="13"/>
      <c r="BE1413" s="13"/>
      <c r="BF1413" s="13"/>
      <c r="BG1413" s="13"/>
      <c r="BH1413" s="13"/>
      <c r="BI1413" s="13"/>
      <c r="BJ1413" s="13"/>
      <c r="BK1413" s="13"/>
      <c r="BL1413" s="13"/>
      <c r="BM1413" s="13"/>
      <c r="BN1413" s="13"/>
      <c r="BO1413" s="13"/>
      <c r="BP1413" s="13"/>
      <c r="BQ1413" s="15"/>
      <c r="BR1413" s="15"/>
      <c r="BS1413" s="15"/>
      <c r="BT1413" s="15"/>
      <c r="BU1413" s="15"/>
      <c r="BV1413" s="15"/>
      <c r="BW1413" s="15"/>
      <c r="BX1413" s="15"/>
      <c r="BY1413" s="15"/>
      <c r="BZ1413" s="15"/>
      <c r="CA1413" s="15"/>
      <c r="CB1413" s="17"/>
      <c r="CC1413" s="17"/>
      <c r="CD1413" s="18"/>
      <c r="CE1413" s="18"/>
      <c r="CF1413" s="18"/>
      <c r="CG1413" s="18"/>
      <c r="CH1413" s="18"/>
    </row>
    <row r="1414">
      <c r="A1414" s="15"/>
      <c r="B1414" s="16"/>
      <c r="C1414" s="15"/>
      <c r="D1414" s="9"/>
      <c r="E1414" s="15"/>
      <c r="F1414" s="15"/>
      <c r="G1414" s="13"/>
      <c r="H1414" s="13"/>
      <c r="I1414" s="13"/>
      <c r="J1414" s="13"/>
      <c r="K1414" s="13"/>
      <c r="L1414" s="13"/>
      <c r="M1414" s="13"/>
      <c r="N1414" s="13"/>
      <c r="O1414" s="13"/>
      <c r="P1414" s="13"/>
      <c r="Q1414" s="13"/>
      <c r="R1414" s="13"/>
      <c r="S1414" s="13"/>
      <c r="T1414" s="13"/>
      <c r="U1414" s="13"/>
      <c r="V1414" s="13"/>
      <c r="W1414" s="13"/>
      <c r="X1414" s="13"/>
      <c r="Y1414" s="13"/>
      <c r="Z1414" s="13"/>
      <c r="AA1414" s="13"/>
      <c r="AB1414" s="15"/>
      <c r="AC1414" s="15"/>
      <c r="AD1414" s="15"/>
      <c r="AE1414" s="13"/>
      <c r="AF1414" s="13"/>
      <c r="AG1414" s="13"/>
      <c r="AH1414" s="15"/>
      <c r="AI1414" s="13"/>
      <c r="AJ1414" s="13"/>
      <c r="AK1414" s="13"/>
      <c r="AL1414" s="13"/>
      <c r="AM1414" s="15"/>
      <c r="AN1414" s="13"/>
      <c r="AO1414" s="15"/>
      <c r="AP1414" s="15"/>
      <c r="AQ1414" s="13"/>
      <c r="AR1414" s="13"/>
      <c r="AS1414" s="13"/>
      <c r="AT1414" s="13"/>
      <c r="AU1414" s="13"/>
      <c r="AV1414" s="13"/>
      <c r="AW1414" s="13"/>
      <c r="AX1414" s="13"/>
      <c r="AY1414" s="15"/>
      <c r="AZ1414" s="15"/>
      <c r="BA1414" s="16"/>
      <c r="BB1414" s="15"/>
      <c r="BC1414" s="15"/>
      <c r="BD1414" s="13"/>
      <c r="BE1414" s="13"/>
      <c r="BF1414" s="13"/>
      <c r="BG1414" s="13"/>
      <c r="BH1414" s="13"/>
      <c r="BI1414" s="13"/>
      <c r="BJ1414" s="13"/>
      <c r="BK1414" s="13"/>
      <c r="BL1414" s="13"/>
      <c r="BM1414" s="13"/>
      <c r="BN1414" s="13"/>
      <c r="BO1414" s="13"/>
      <c r="BP1414" s="13"/>
      <c r="BQ1414" s="15"/>
      <c r="BR1414" s="15"/>
      <c r="BS1414" s="15"/>
      <c r="BT1414" s="15"/>
      <c r="BU1414" s="15"/>
      <c r="BV1414" s="15"/>
      <c r="BW1414" s="15"/>
      <c r="BX1414" s="15"/>
      <c r="BY1414" s="15"/>
      <c r="BZ1414" s="15"/>
      <c r="CA1414" s="15"/>
      <c r="CB1414" s="17"/>
      <c r="CC1414" s="17"/>
      <c r="CD1414" s="18"/>
      <c r="CE1414" s="18"/>
      <c r="CF1414" s="18"/>
      <c r="CG1414" s="18"/>
      <c r="CH1414" s="18"/>
    </row>
    <row r="1415">
      <c r="A1415" s="15"/>
      <c r="B1415" s="16"/>
      <c r="C1415" s="15"/>
      <c r="D1415" s="9"/>
      <c r="E1415" s="15"/>
      <c r="F1415" s="15"/>
      <c r="G1415" s="13"/>
      <c r="H1415" s="13"/>
      <c r="I1415" s="13"/>
      <c r="J1415" s="13"/>
      <c r="K1415" s="13"/>
      <c r="L1415" s="13"/>
      <c r="M1415" s="13"/>
      <c r="N1415" s="13"/>
      <c r="O1415" s="13"/>
      <c r="P1415" s="13"/>
      <c r="Q1415" s="13"/>
      <c r="R1415" s="13"/>
      <c r="S1415" s="13"/>
      <c r="T1415" s="13"/>
      <c r="U1415" s="13"/>
      <c r="V1415" s="13"/>
      <c r="W1415" s="13"/>
      <c r="X1415" s="13"/>
      <c r="Y1415" s="13"/>
      <c r="Z1415" s="13"/>
      <c r="AA1415" s="13"/>
      <c r="AB1415" s="15"/>
      <c r="AC1415" s="15"/>
      <c r="AD1415" s="15"/>
      <c r="AE1415" s="13"/>
      <c r="AF1415" s="13"/>
      <c r="AG1415" s="13"/>
      <c r="AH1415" s="15"/>
      <c r="AI1415" s="13"/>
      <c r="AJ1415" s="13"/>
      <c r="AK1415" s="13"/>
      <c r="AL1415" s="13"/>
      <c r="AM1415" s="15"/>
      <c r="AN1415" s="13"/>
      <c r="AO1415" s="15"/>
      <c r="AP1415" s="15"/>
      <c r="AQ1415" s="13"/>
      <c r="AR1415" s="13"/>
      <c r="AS1415" s="13"/>
      <c r="AT1415" s="13"/>
      <c r="AU1415" s="13"/>
      <c r="AV1415" s="13"/>
      <c r="AW1415" s="13"/>
      <c r="AX1415" s="13"/>
      <c r="AY1415" s="15"/>
      <c r="AZ1415" s="15"/>
      <c r="BA1415" s="16"/>
      <c r="BB1415" s="15"/>
      <c r="BC1415" s="15"/>
      <c r="BD1415" s="13"/>
      <c r="BE1415" s="13"/>
      <c r="BF1415" s="13"/>
      <c r="BG1415" s="13"/>
      <c r="BH1415" s="13"/>
      <c r="BI1415" s="13"/>
      <c r="BJ1415" s="13"/>
      <c r="BK1415" s="13"/>
      <c r="BL1415" s="13"/>
      <c r="BM1415" s="13"/>
      <c r="BN1415" s="13"/>
      <c r="BO1415" s="13"/>
      <c r="BP1415" s="13"/>
      <c r="BQ1415" s="15"/>
      <c r="BR1415" s="15"/>
      <c r="BS1415" s="15"/>
      <c r="BT1415" s="15"/>
      <c r="BU1415" s="15"/>
      <c r="BV1415" s="15"/>
      <c r="BW1415" s="15"/>
      <c r="BX1415" s="15"/>
      <c r="BY1415" s="15"/>
      <c r="BZ1415" s="15"/>
      <c r="CA1415" s="15"/>
      <c r="CB1415" s="17"/>
      <c r="CC1415" s="17"/>
      <c r="CD1415" s="18"/>
      <c r="CE1415" s="18"/>
      <c r="CF1415" s="18"/>
      <c r="CG1415" s="18"/>
      <c r="CH1415" s="18"/>
    </row>
    <row r="1416">
      <c r="A1416" s="15"/>
      <c r="B1416" s="16"/>
      <c r="C1416" s="15"/>
      <c r="D1416" s="9"/>
      <c r="E1416" s="15"/>
      <c r="F1416" s="15"/>
      <c r="G1416" s="13"/>
      <c r="H1416" s="13"/>
      <c r="I1416" s="13"/>
      <c r="J1416" s="13"/>
      <c r="K1416" s="13"/>
      <c r="L1416" s="13"/>
      <c r="M1416" s="13"/>
      <c r="N1416" s="13"/>
      <c r="O1416" s="13"/>
      <c r="P1416" s="13"/>
      <c r="Q1416" s="13"/>
      <c r="R1416" s="13"/>
      <c r="S1416" s="13"/>
      <c r="T1416" s="13"/>
      <c r="U1416" s="13"/>
      <c r="V1416" s="13"/>
      <c r="W1416" s="13"/>
      <c r="X1416" s="13"/>
      <c r="Y1416" s="13"/>
      <c r="Z1416" s="13"/>
      <c r="AA1416" s="13"/>
      <c r="AB1416" s="15"/>
      <c r="AC1416" s="15"/>
      <c r="AD1416" s="15"/>
      <c r="AE1416" s="13"/>
      <c r="AF1416" s="13"/>
      <c r="AG1416" s="13"/>
      <c r="AH1416" s="15"/>
      <c r="AI1416" s="13"/>
      <c r="AJ1416" s="13"/>
      <c r="AK1416" s="13"/>
      <c r="AL1416" s="13"/>
      <c r="AM1416" s="15"/>
      <c r="AN1416" s="13"/>
      <c r="AO1416" s="15"/>
      <c r="AP1416" s="15"/>
      <c r="AQ1416" s="13"/>
      <c r="AR1416" s="13"/>
      <c r="AS1416" s="13"/>
      <c r="AT1416" s="13"/>
      <c r="AU1416" s="13"/>
      <c r="AV1416" s="13"/>
      <c r="AW1416" s="13"/>
      <c r="AX1416" s="13"/>
      <c r="AY1416" s="15"/>
      <c r="AZ1416" s="15"/>
      <c r="BA1416" s="16"/>
      <c r="BB1416" s="15"/>
      <c r="BC1416" s="15"/>
      <c r="BD1416" s="13"/>
      <c r="BE1416" s="13"/>
      <c r="BF1416" s="13"/>
      <c r="BG1416" s="13"/>
      <c r="BH1416" s="13"/>
      <c r="BI1416" s="13"/>
      <c r="BJ1416" s="13"/>
      <c r="BK1416" s="13"/>
      <c r="BL1416" s="13"/>
      <c r="BM1416" s="13"/>
      <c r="BN1416" s="13"/>
      <c r="BO1416" s="13"/>
      <c r="BP1416" s="13"/>
      <c r="BQ1416" s="15"/>
      <c r="BR1416" s="15"/>
      <c r="BS1416" s="15"/>
      <c r="BT1416" s="15"/>
      <c r="BU1416" s="15"/>
      <c r="BV1416" s="15"/>
      <c r="BW1416" s="15"/>
      <c r="BX1416" s="15"/>
      <c r="BY1416" s="15"/>
      <c r="BZ1416" s="15"/>
      <c r="CA1416" s="15"/>
      <c r="CB1416" s="17"/>
      <c r="CC1416" s="17"/>
      <c r="CD1416" s="18"/>
      <c r="CE1416" s="18"/>
      <c r="CF1416" s="18"/>
      <c r="CG1416" s="18"/>
      <c r="CH1416" s="18"/>
    </row>
    <row r="1417">
      <c r="A1417" s="15"/>
      <c r="B1417" s="16"/>
      <c r="C1417" s="15"/>
      <c r="D1417" s="9"/>
      <c r="E1417" s="15"/>
      <c r="F1417" s="15"/>
      <c r="G1417" s="13"/>
      <c r="H1417" s="13"/>
      <c r="I1417" s="13"/>
      <c r="J1417" s="13"/>
      <c r="K1417" s="13"/>
      <c r="L1417" s="13"/>
      <c r="M1417" s="13"/>
      <c r="N1417" s="13"/>
      <c r="O1417" s="13"/>
      <c r="P1417" s="13"/>
      <c r="Q1417" s="13"/>
      <c r="R1417" s="13"/>
      <c r="S1417" s="13"/>
      <c r="T1417" s="13"/>
      <c r="U1417" s="13"/>
      <c r="V1417" s="13"/>
      <c r="W1417" s="13"/>
      <c r="X1417" s="13"/>
      <c r="Y1417" s="13"/>
      <c r="Z1417" s="13"/>
      <c r="AA1417" s="13"/>
      <c r="AB1417" s="15"/>
      <c r="AC1417" s="15"/>
      <c r="AD1417" s="15"/>
      <c r="AE1417" s="13"/>
      <c r="AF1417" s="13"/>
      <c r="AG1417" s="13"/>
      <c r="AH1417" s="15"/>
      <c r="AI1417" s="13"/>
      <c r="AJ1417" s="13"/>
      <c r="AK1417" s="13"/>
      <c r="AL1417" s="13"/>
      <c r="AM1417" s="15"/>
      <c r="AN1417" s="13"/>
      <c r="AO1417" s="15"/>
      <c r="AP1417" s="15"/>
      <c r="AQ1417" s="13"/>
      <c r="AR1417" s="13"/>
      <c r="AS1417" s="13"/>
      <c r="AT1417" s="13"/>
      <c r="AU1417" s="13"/>
      <c r="AV1417" s="13"/>
      <c r="AW1417" s="13"/>
      <c r="AX1417" s="13"/>
      <c r="AY1417" s="15"/>
      <c r="AZ1417" s="15"/>
      <c r="BA1417" s="16"/>
      <c r="BB1417" s="15"/>
      <c r="BC1417" s="15"/>
      <c r="BD1417" s="13"/>
      <c r="BE1417" s="13"/>
      <c r="BF1417" s="13"/>
      <c r="BG1417" s="13"/>
      <c r="BH1417" s="13"/>
      <c r="BI1417" s="13"/>
      <c r="BJ1417" s="13"/>
      <c r="BK1417" s="13"/>
      <c r="BL1417" s="13"/>
      <c r="BM1417" s="13"/>
      <c r="BN1417" s="13"/>
      <c r="BO1417" s="13"/>
      <c r="BP1417" s="13"/>
      <c r="BQ1417" s="15"/>
      <c r="BR1417" s="15"/>
      <c r="BS1417" s="15"/>
      <c r="BT1417" s="15"/>
      <c r="BU1417" s="15"/>
      <c r="BV1417" s="15"/>
      <c r="BW1417" s="15"/>
      <c r="BX1417" s="15"/>
      <c r="BY1417" s="15"/>
      <c r="BZ1417" s="15"/>
      <c r="CA1417" s="15"/>
      <c r="CB1417" s="17"/>
      <c r="CC1417" s="17"/>
      <c r="CD1417" s="18"/>
      <c r="CE1417" s="18"/>
      <c r="CF1417" s="18"/>
      <c r="CG1417" s="18"/>
      <c r="CH1417" s="18"/>
    </row>
    <row r="1418">
      <c r="A1418" s="15"/>
      <c r="B1418" s="16"/>
      <c r="C1418" s="15"/>
      <c r="D1418" s="9"/>
      <c r="E1418" s="15"/>
      <c r="F1418" s="15"/>
      <c r="G1418" s="13"/>
      <c r="H1418" s="13"/>
      <c r="I1418" s="13"/>
      <c r="J1418" s="13"/>
      <c r="K1418" s="13"/>
      <c r="L1418" s="13"/>
      <c r="M1418" s="13"/>
      <c r="N1418" s="13"/>
      <c r="O1418" s="13"/>
      <c r="P1418" s="13"/>
      <c r="Q1418" s="13"/>
      <c r="R1418" s="13"/>
      <c r="S1418" s="13"/>
      <c r="T1418" s="13"/>
      <c r="U1418" s="13"/>
      <c r="V1418" s="13"/>
      <c r="W1418" s="13"/>
      <c r="X1418" s="13"/>
      <c r="Y1418" s="13"/>
      <c r="Z1418" s="13"/>
      <c r="AA1418" s="13"/>
      <c r="AB1418" s="15"/>
      <c r="AC1418" s="15"/>
      <c r="AD1418" s="15"/>
      <c r="AE1418" s="13"/>
      <c r="AF1418" s="13"/>
      <c r="AG1418" s="13"/>
      <c r="AH1418" s="15"/>
      <c r="AI1418" s="13"/>
      <c r="AJ1418" s="13"/>
      <c r="AK1418" s="13"/>
      <c r="AL1418" s="13"/>
      <c r="AM1418" s="15"/>
      <c r="AN1418" s="13"/>
      <c r="AO1418" s="15"/>
      <c r="AP1418" s="15"/>
      <c r="AQ1418" s="13"/>
      <c r="AR1418" s="13"/>
      <c r="AS1418" s="13"/>
      <c r="AT1418" s="13"/>
      <c r="AU1418" s="13"/>
      <c r="AV1418" s="13"/>
      <c r="AW1418" s="13"/>
      <c r="AX1418" s="13"/>
      <c r="AY1418" s="15"/>
      <c r="AZ1418" s="15"/>
      <c r="BA1418" s="16"/>
      <c r="BB1418" s="15"/>
      <c r="BC1418" s="15"/>
      <c r="BD1418" s="13"/>
      <c r="BE1418" s="13"/>
      <c r="BF1418" s="13"/>
      <c r="BG1418" s="13"/>
      <c r="BH1418" s="13"/>
      <c r="BI1418" s="13"/>
      <c r="BJ1418" s="13"/>
      <c r="BK1418" s="13"/>
      <c r="BL1418" s="13"/>
      <c r="BM1418" s="13"/>
      <c r="BN1418" s="13"/>
      <c r="BO1418" s="13"/>
      <c r="BP1418" s="13"/>
      <c r="BQ1418" s="15"/>
      <c r="BR1418" s="15"/>
      <c r="BS1418" s="15"/>
      <c r="BT1418" s="15"/>
      <c r="BU1418" s="15"/>
      <c r="BV1418" s="15"/>
      <c r="BW1418" s="15"/>
      <c r="BX1418" s="15"/>
      <c r="BY1418" s="15"/>
      <c r="BZ1418" s="15"/>
      <c r="CA1418" s="15"/>
      <c r="CB1418" s="17"/>
      <c r="CC1418" s="17"/>
      <c r="CD1418" s="18"/>
      <c r="CE1418" s="18"/>
      <c r="CF1418" s="18"/>
      <c r="CG1418" s="18"/>
      <c r="CH1418" s="18"/>
    </row>
    <row r="1419">
      <c r="A1419" s="15"/>
      <c r="B1419" s="16"/>
      <c r="C1419" s="15"/>
      <c r="D1419" s="9"/>
      <c r="E1419" s="15"/>
      <c r="F1419" s="15"/>
      <c r="G1419" s="13"/>
      <c r="H1419" s="13"/>
      <c r="I1419" s="13"/>
      <c r="J1419" s="13"/>
      <c r="K1419" s="13"/>
      <c r="L1419" s="13"/>
      <c r="M1419" s="13"/>
      <c r="N1419" s="13"/>
      <c r="O1419" s="13"/>
      <c r="P1419" s="13"/>
      <c r="Q1419" s="13"/>
      <c r="R1419" s="13"/>
      <c r="S1419" s="13"/>
      <c r="T1419" s="13"/>
      <c r="U1419" s="13"/>
      <c r="V1419" s="13"/>
      <c r="W1419" s="13"/>
      <c r="X1419" s="13"/>
      <c r="Y1419" s="13"/>
      <c r="Z1419" s="13"/>
      <c r="AA1419" s="13"/>
      <c r="AB1419" s="15"/>
      <c r="AC1419" s="15"/>
      <c r="AD1419" s="15"/>
      <c r="AE1419" s="13"/>
      <c r="AF1419" s="13"/>
      <c r="AG1419" s="13"/>
      <c r="AH1419" s="15"/>
      <c r="AI1419" s="13"/>
      <c r="AJ1419" s="13"/>
      <c r="AK1419" s="13"/>
      <c r="AL1419" s="13"/>
      <c r="AM1419" s="15"/>
      <c r="AN1419" s="13"/>
      <c r="AO1419" s="15"/>
      <c r="AP1419" s="15"/>
      <c r="AQ1419" s="13"/>
      <c r="AR1419" s="13"/>
      <c r="AS1419" s="13"/>
      <c r="AT1419" s="13"/>
      <c r="AU1419" s="13"/>
      <c r="AV1419" s="13"/>
      <c r="AW1419" s="13"/>
      <c r="AX1419" s="13"/>
      <c r="AY1419" s="15"/>
      <c r="AZ1419" s="15"/>
      <c r="BA1419" s="16"/>
      <c r="BB1419" s="15"/>
      <c r="BC1419" s="15"/>
      <c r="BD1419" s="13"/>
      <c r="BE1419" s="13"/>
      <c r="BF1419" s="13"/>
      <c r="BG1419" s="13"/>
      <c r="BH1419" s="13"/>
      <c r="BI1419" s="13"/>
      <c r="BJ1419" s="13"/>
      <c r="BK1419" s="13"/>
      <c r="BL1419" s="13"/>
      <c r="BM1419" s="13"/>
      <c r="BN1419" s="13"/>
      <c r="BO1419" s="13"/>
      <c r="BP1419" s="13"/>
      <c r="BQ1419" s="15"/>
      <c r="BR1419" s="15"/>
      <c r="BS1419" s="15"/>
      <c r="BT1419" s="15"/>
      <c r="BU1419" s="15"/>
      <c r="BV1419" s="15"/>
      <c r="BW1419" s="15"/>
      <c r="BX1419" s="15"/>
      <c r="BY1419" s="15"/>
      <c r="BZ1419" s="15"/>
      <c r="CA1419" s="15"/>
      <c r="CB1419" s="17"/>
      <c r="CC1419" s="17"/>
      <c r="CD1419" s="18"/>
      <c r="CE1419" s="18"/>
      <c r="CF1419" s="18"/>
      <c r="CG1419" s="18"/>
      <c r="CH1419" s="18"/>
    </row>
    <row r="1420">
      <c r="A1420" s="15"/>
      <c r="B1420" s="16"/>
      <c r="C1420" s="15"/>
      <c r="D1420" s="9"/>
      <c r="E1420" s="15"/>
      <c r="F1420" s="15"/>
      <c r="G1420" s="13"/>
      <c r="H1420" s="13"/>
      <c r="I1420" s="13"/>
      <c r="J1420" s="13"/>
      <c r="K1420" s="13"/>
      <c r="L1420" s="13"/>
      <c r="M1420" s="13"/>
      <c r="N1420" s="13"/>
      <c r="O1420" s="13"/>
      <c r="P1420" s="13"/>
      <c r="Q1420" s="13"/>
      <c r="R1420" s="13"/>
      <c r="S1420" s="13"/>
      <c r="T1420" s="13"/>
      <c r="U1420" s="13"/>
      <c r="V1420" s="13"/>
      <c r="W1420" s="13"/>
      <c r="X1420" s="13"/>
      <c r="Y1420" s="13"/>
      <c r="Z1420" s="13"/>
      <c r="AA1420" s="13"/>
      <c r="AB1420" s="15"/>
      <c r="AC1420" s="15"/>
      <c r="AD1420" s="15"/>
      <c r="AE1420" s="13"/>
      <c r="AF1420" s="13"/>
      <c r="AG1420" s="13"/>
      <c r="AH1420" s="15"/>
      <c r="AI1420" s="13"/>
      <c r="AJ1420" s="13"/>
      <c r="AK1420" s="13"/>
      <c r="AL1420" s="13"/>
      <c r="AM1420" s="15"/>
      <c r="AN1420" s="13"/>
      <c r="AO1420" s="15"/>
      <c r="AP1420" s="15"/>
      <c r="AQ1420" s="13"/>
      <c r="AR1420" s="13"/>
      <c r="AS1420" s="13"/>
      <c r="AT1420" s="13"/>
      <c r="AU1420" s="13"/>
      <c r="AV1420" s="13"/>
      <c r="AW1420" s="13"/>
      <c r="AX1420" s="13"/>
      <c r="AY1420" s="15"/>
      <c r="AZ1420" s="15"/>
      <c r="BA1420" s="16"/>
      <c r="BB1420" s="15"/>
      <c r="BC1420" s="15"/>
      <c r="BD1420" s="13"/>
      <c r="BE1420" s="13"/>
      <c r="BF1420" s="13"/>
      <c r="BG1420" s="13"/>
      <c r="BH1420" s="13"/>
      <c r="BI1420" s="13"/>
      <c r="BJ1420" s="13"/>
      <c r="BK1420" s="13"/>
      <c r="BL1420" s="13"/>
      <c r="BM1420" s="13"/>
      <c r="BN1420" s="13"/>
      <c r="BO1420" s="13"/>
      <c r="BP1420" s="13"/>
      <c r="BQ1420" s="15"/>
      <c r="BR1420" s="15"/>
      <c r="BS1420" s="15"/>
      <c r="BT1420" s="15"/>
      <c r="BU1420" s="15"/>
      <c r="BV1420" s="15"/>
      <c r="BW1420" s="15"/>
      <c r="BX1420" s="15"/>
      <c r="BY1420" s="15"/>
      <c r="BZ1420" s="15"/>
      <c r="CA1420" s="15"/>
      <c r="CB1420" s="17"/>
      <c r="CC1420" s="17"/>
      <c r="CD1420" s="18"/>
      <c r="CE1420" s="18"/>
      <c r="CF1420" s="18"/>
      <c r="CG1420" s="18"/>
      <c r="CH1420" s="18"/>
    </row>
    <row r="1421">
      <c r="A1421" s="15"/>
      <c r="B1421" s="16"/>
      <c r="C1421" s="15"/>
      <c r="D1421" s="9"/>
      <c r="E1421" s="15"/>
      <c r="F1421" s="15"/>
      <c r="G1421" s="13"/>
      <c r="H1421" s="13"/>
      <c r="I1421" s="13"/>
      <c r="J1421" s="13"/>
      <c r="K1421" s="13"/>
      <c r="L1421" s="13"/>
      <c r="M1421" s="13"/>
      <c r="N1421" s="13"/>
      <c r="O1421" s="13"/>
      <c r="P1421" s="13"/>
      <c r="Q1421" s="13"/>
      <c r="R1421" s="13"/>
      <c r="S1421" s="13"/>
      <c r="T1421" s="13"/>
      <c r="U1421" s="13"/>
      <c r="V1421" s="13"/>
      <c r="W1421" s="13"/>
      <c r="X1421" s="13"/>
      <c r="Y1421" s="13"/>
      <c r="Z1421" s="13"/>
      <c r="AA1421" s="13"/>
      <c r="AB1421" s="15"/>
      <c r="AC1421" s="15"/>
      <c r="AD1421" s="15"/>
      <c r="AE1421" s="13"/>
      <c r="AF1421" s="13"/>
      <c r="AG1421" s="13"/>
      <c r="AH1421" s="15"/>
      <c r="AI1421" s="13"/>
      <c r="AJ1421" s="13"/>
      <c r="AK1421" s="13"/>
      <c r="AL1421" s="13"/>
      <c r="AM1421" s="15"/>
      <c r="AN1421" s="13"/>
      <c r="AO1421" s="15"/>
      <c r="AP1421" s="15"/>
      <c r="AQ1421" s="13"/>
      <c r="AR1421" s="13"/>
      <c r="AS1421" s="13"/>
      <c r="AT1421" s="13"/>
      <c r="AU1421" s="13"/>
      <c r="AV1421" s="13"/>
      <c r="AW1421" s="13"/>
      <c r="AX1421" s="13"/>
      <c r="AY1421" s="15"/>
      <c r="AZ1421" s="15"/>
      <c r="BA1421" s="16"/>
      <c r="BB1421" s="15"/>
      <c r="BC1421" s="15"/>
      <c r="BD1421" s="13"/>
      <c r="BE1421" s="13"/>
      <c r="BF1421" s="13"/>
      <c r="BG1421" s="13"/>
      <c r="BH1421" s="13"/>
      <c r="BI1421" s="13"/>
      <c r="BJ1421" s="13"/>
      <c r="BK1421" s="13"/>
      <c r="BL1421" s="13"/>
      <c r="BM1421" s="13"/>
      <c r="BN1421" s="13"/>
      <c r="BO1421" s="13"/>
      <c r="BP1421" s="13"/>
      <c r="BQ1421" s="15"/>
      <c r="BR1421" s="15"/>
      <c r="BS1421" s="15"/>
      <c r="BT1421" s="15"/>
      <c r="BU1421" s="15"/>
      <c r="BV1421" s="15"/>
      <c r="BW1421" s="15"/>
      <c r="BX1421" s="15"/>
      <c r="BY1421" s="15"/>
      <c r="BZ1421" s="15"/>
      <c r="CA1421" s="15"/>
      <c r="CB1421" s="17"/>
      <c r="CC1421" s="17"/>
      <c r="CD1421" s="18"/>
      <c r="CE1421" s="18"/>
      <c r="CF1421" s="18"/>
      <c r="CG1421" s="18"/>
      <c r="CH1421" s="18"/>
    </row>
    <row r="1422">
      <c r="A1422" s="15"/>
      <c r="B1422" s="16"/>
      <c r="C1422" s="15"/>
      <c r="D1422" s="9"/>
      <c r="E1422" s="15"/>
      <c r="F1422" s="15"/>
      <c r="G1422" s="13"/>
      <c r="H1422" s="13"/>
      <c r="I1422" s="13"/>
      <c r="J1422" s="13"/>
      <c r="K1422" s="13"/>
      <c r="L1422" s="13"/>
      <c r="M1422" s="13"/>
      <c r="N1422" s="13"/>
      <c r="O1422" s="13"/>
      <c r="P1422" s="13"/>
      <c r="Q1422" s="13"/>
      <c r="R1422" s="13"/>
      <c r="S1422" s="13"/>
      <c r="T1422" s="13"/>
      <c r="U1422" s="13"/>
      <c r="V1422" s="13"/>
      <c r="W1422" s="13"/>
      <c r="X1422" s="13"/>
      <c r="Y1422" s="13"/>
      <c r="Z1422" s="13"/>
      <c r="AA1422" s="13"/>
      <c r="AB1422" s="15"/>
      <c r="AC1422" s="15"/>
      <c r="AD1422" s="15"/>
      <c r="AE1422" s="13"/>
      <c r="AF1422" s="13"/>
      <c r="AG1422" s="13"/>
      <c r="AH1422" s="15"/>
      <c r="AI1422" s="13"/>
      <c r="AJ1422" s="13"/>
      <c r="AK1422" s="13"/>
      <c r="AL1422" s="13"/>
      <c r="AM1422" s="15"/>
      <c r="AN1422" s="13"/>
      <c r="AO1422" s="15"/>
      <c r="AP1422" s="15"/>
      <c r="AQ1422" s="13"/>
      <c r="AR1422" s="13"/>
      <c r="AS1422" s="13"/>
      <c r="AT1422" s="13"/>
      <c r="AU1422" s="13"/>
      <c r="AV1422" s="13"/>
      <c r="AW1422" s="13"/>
      <c r="AX1422" s="13"/>
      <c r="AY1422" s="15"/>
      <c r="AZ1422" s="15"/>
      <c r="BA1422" s="16"/>
      <c r="BB1422" s="15"/>
      <c r="BC1422" s="15"/>
      <c r="BD1422" s="13"/>
      <c r="BE1422" s="13"/>
      <c r="BF1422" s="13"/>
      <c r="BG1422" s="13"/>
      <c r="BH1422" s="13"/>
      <c r="BI1422" s="13"/>
      <c r="BJ1422" s="13"/>
      <c r="BK1422" s="13"/>
      <c r="BL1422" s="13"/>
      <c r="BM1422" s="13"/>
      <c r="BN1422" s="13"/>
      <c r="BO1422" s="13"/>
      <c r="BP1422" s="13"/>
      <c r="BQ1422" s="15"/>
      <c r="BR1422" s="15"/>
      <c r="BS1422" s="15"/>
      <c r="BT1422" s="15"/>
      <c r="BU1422" s="15"/>
      <c r="BV1422" s="15"/>
      <c r="BW1422" s="15"/>
      <c r="BX1422" s="15"/>
      <c r="BY1422" s="15"/>
      <c r="BZ1422" s="15"/>
      <c r="CA1422" s="15"/>
      <c r="CB1422" s="17"/>
      <c r="CC1422" s="17"/>
      <c r="CD1422" s="18"/>
      <c r="CE1422" s="18"/>
      <c r="CF1422" s="18"/>
      <c r="CG1422" s="18"/>
      <c r="CH1422" s="18"/>
    </row>
    <row r="1423">
      <c r="A1423" s="15"/>
      <c r="B1423" s="16"/>
      <c r="C1423" s="15"/>
      <c r="D1423" s="9"/>
      <c r="E1423" s="15"/>
      <c r="F1423" s="15"/>
      <c r="G1423" s="13"/>
      <c r="H1423" s="13"/>
      <c r="I1423" s="13"/>
      <c r="J1423" s="13"/>
      <c r="K1423" s="13"/>
      <c r="L1423" s="13"/>
      <c r="M1423" s="13"/>
      <c r="N1423" s="13"/>
      <c r="O1423" s="13"/>
      <c r="P1423" s="13"/>
      <c r="Q1423" s="13"/>
      <c r="R1423" s="13"/>
      <c r="S1423" s="13"/>
      <c r="T1423" s="13"/>
      <c r="U1423" s="13"/>
      <c r="V1423" s="13"/>
      <c r="W1423" s="13"/>
      <c r="X1423" s="13"/>
      <c r="Y1423" s="13"/>
      <c r="Z1423" s="13"/>
      <c r="AA1423" s="13"/>
      <c r="AB1423" s="15"/>
      <c r="AC1423" s="15"/>
      <c r="AD1423" s="15"/>
      <c r="AE1423" s="13"/>
      <c r="AF1423" s="13"/>
      <c r="AG1423" s="13"/>
      <c r="AH1423" s="15"/>
      <c r="AI1423" s="13"/>
      <c r="AJ1423" s="13"/>
      <c r="AK1423" s="13"/>
      <c r="AL1423" s="13"/>
      <c r="AM1423" s="15"/>
      <c r="AN1423" s="13"/>
      <c r="AO1423" s="15"/>
      <c r="AP1423" s="15"/>
      <c r="AQ1423" s="13"/>
      <c r="AR1423" s="13"/>
      <c r="AS1423" s="13"/>
      <c r="AT1423" s="13"/>
      <c r="AU1423" s="13"/>
      <c r="AV1423" s="13"/>
      <c r="AW1423" s="13"/>
      <c r="AX1423" s="13"/>
      <c r="AY1423" s="15"/>
      <c r="AZ1423" s="15"/>
      <c r="BA1423" s="16"/>
      <c r="BB1423" s="15"/>
      <c r="BC1423" s="15"/>
      <c r="BD1423" s="13"/>
      <c r="BE1423" s="13"/>
      <c r="BF1423" s="13"/>
      <c r="BG1423" s="13"/>
      <c r="BH1423" s="13"/>
      <c r="BI1423" s="13"/>
      <c r="BJ1423" s="13"/>
      <c r="BK1423" s="13"/>
      <c r="BL1423" s="13"/>
      <c r="BM1423" s="13"/>
      <c r="BN1423" s="13"/>
      <c r="BO1423" s="13"/>
      <c r="BP1423" s="13"/>
      <c r="BQ1423" s="15"/>
      <c r="BR1423" s="15"/>
      <c r="BS1423" s="15"/>
      <c r="BT1423" s="15"/>
      <c r="BU1423" s="15"/>
      <c r="BV1423" s="15"/>
      <c r="BW1423" s="15"/>
      <c r="BX1423" s="15"/>
      <c r="BY1423" s="15"/>
      <c r="BZ1423" s="15"/>
      <c r="CA1423" s="15"/>
      <c r="CB1423" s="17"/>
      <c r="CC1423" s="17"/>
      <c r="CD1423" s="18"/>
      <c r="CE1423" s="18"/>
      <c r="CF1423" s="18"/>
      <c r="CG1423" s="18"/>
      <c r="CH1423" s="18"/>
    </row>
    <row r="1424">
      <c r="A1424" s="15"/>
      <c r="B1424" s="16"/>
      <c r="C1424" s="15"/>
      <c r="D1424" s="9"/>
      <c r="E1424" s="15"/>
      <c r="F1424" s="15"/>
      <c r="G1424" s="13"/>
      <c r="H1424" s="13"/>
      <c r="I1424" s="13"/>
      <c r="J1424" s="13"/>
      <c r="K1424" s="13"/>
      <c r="L1424" s="13"/>
      <c r="M1424" s="13"/>
      <c r="N1424" s="13"/>
      <c r="O1424" s="13"/>
      <c r="P1424" s="13"/>
      <c r="Q1424" s="13"/>
      <c r="R1424" s="13"/>
      <c r="S1424" s="13"/>
      <c r="T1424" s="13"/>
      <c r="U1424" s="13"/>
      <c r="V1424" s="13"/>
      <c r="W1424" s="13"/>
      <c r="X1424" s="13"/>
      <c r="Y1424" s="13"/>
      <c r="Z1424" s="13"/>
      <c r="AA1424" s="13"/>
      <c r="AB1424" s="15"/>
      <c r="AC1424" s="15"/>
      <c r="AD1424" s="15"/>
      <c r="AE1424" s="13"/>
      <c r="AF1424" s="13"/>
      <c r="AG1424" s="13"/>
      <c r="AH1424" s="15"/>
      <c r="AI1424" s="13"/>
      <c r="AJ1424" s="13"/>
      <c r="AK1424" s="13"/>
      <c r="AL1424" s="13"/>
      <c r="AM1424" s="15"/>
      <c r="AN1424" s="13"/>
      <c r="AO1424" s="15"/>
      <c r="AP1424" s="15"/>
      <c r="AQ1424" s="13"/>
      <c r="AR1424" s="13"/>
      <c r="AS1424" s="13"/>
      <c r="AT1424" s="13"/>
      <c r="AU1424" s="13"/>
      <c r="AV1424" s="13"/>
      <c r="AW1424" s="13"/>
      <c r="AX1424" s="13"/>
      <c r="AY1424" s="15"/>
      <c r="AZ1424" s="15"/>
      <c r="BA1424" s="16"/>
      <c r="BB1424" s="15"/>
      <c r="BC1424" s="15"/>
      <c r="BD1424" s="13"/>
      <c r="BE1424" s="13"/>
      <c r="BF1424" s="13"/>
      <c r="BG1424" s="13"/>
      <c r="BH1424" s="13"/>
      <c r="BI1424" s="13"/>
      <c r="BJ1424" s="13"/>
      <c r="BK1424" s="13"/>
      <c r="BL1424" s="13"/>
      <c r="BM1424" s="13"/>
      <c r="BN1424" s="13"/>
      <c r="BO1424" s="13"/>
      <c r="BP1424" s="13"/>
      <c r="BQ1424" s="15"/>
      <c r="BR1424" s="15"/>
      <c r="BS1424" s="15"/>
      <c r="BT1424" s="15"/>
      <c r="BU1424" s="15"/>
      <c r="BV1424" s="15"/>
      <c r="BW1424" s="15"/>
      <c r="BX1424" s="15"/>
      <c r="BY1424" s="15"/>
      <c r="BZ1424" s="15"/>
      <c r="CA1424" s="15"/>
      <c r="CB1424" s="17"/>
      <c r="CC1424" s="17"/>
      <c r="CD1424" s="18"/>
      <c r="CE1424" s="18"/>
      <c r="CF1424" s="18"/>
      <c r="CG1424" s="18"/>
      <c r="CH1424" s="18"/>
    </row>
    <row r="1425">
      <c r="A1425" s="15"/>
      <c r="B1425" s="16"/>
      <c r="C1425" s="15"/>
      <c r="D1425" s="9"/>
      <c r="E1425" s="15"/>
      <c r="F1425" s="15"/>
      <c r="G1425" s="13"/>
      <c r="H1425" s="13"/>
      <c r="I1425" s="13"/>
      <c r="J1425" s="13"/>
      <c r="K1425" s="13"/>
      <c r="L1425" s="13"/>
      <c r="M1425" s="13"/>
      <c r="N1425" s="13"/>
      <c r="O1425" s="13"/>
      <c r="P1425" s="13"/>
      <c r="Q1425" s="13"/>
      <c r="R1425" s="13"/>
      <c r="S1425" s="13"/>
      <c r="T1425" s="13"/>
      <c r="U1425" s="13"/>
      <c r="V1425" s="13"/>
      <c r="W1425" s="13"/>
      <c r="X1425" s="13"/>
      <c r="Y1425" s="13"/>
      <c r="Z1425" s="13"/>
      <c r="AA1425" s="13"/>
      <c r="AB1425" s="15"/>
      <c r="AC1425" s="15"/>
      <c r="AD1425" s="15"/>
      <c r="AE1425" s="13"/>
      <c r="AF1425" s="13"/>
      <c r="AG1425" s="13"/>
      <c r="AH1425" s="15"/>
      <c r="AI1425" s="13"/>
      <c r="AJ1425" s="13"/>
      <c r="AK1425" s="13"/>
      <c r="AL1425" s="13"/>
      <c r="AM1425" s="15"/>
      <c r="AN1425" s="13"/>
      <c r="AO1425" s="15"/>
      <c r="AP1425" s="15"/>
      <c r="AQ1425" s="13"/>
      <c r="AR1425" s="13"/>
      <c r="AS1425" s="13"/>
      <c r="AT1425" s="13"/>
      <c r="AU1425" s="13"/>
      <c r="AV1425" s="13"/>
      <c r="AW1425" s="13"/>
      <c r="AX1425" s="13"/>
      <c r="AY1425" s="15"/>
      <c r="AZ1425" s="15"/>
      <c r="BA1425" s="16"/>
      <c r="BB1425" s="15"/>
      <c r="BC1425" s="15"/>
      <c r="BD1425" s="13"/>
      <c r="BE1425" s="13"/>
      <c r="BF1425" s="13"/>
      <c r="BG1425" s="13"/>
      <c r="BH1425" s="13"/>
      <c r="BI1425" s="13"/>
      <c r="BJ1425" s="13"/>
      <c r="BK1425" s="13"/>
      <c r="BL1425" s="13"/>
      <c r="BM1425" s="13"/>
      <c r="BN1425" s="13"/>
      <c r="BO1425" s="13"/>
      <c r="BP1425" s="13"/>
      <c r="BQ1425" s="15"/>
      <c r="BR1425" s="15"/>
      <c r="BS1425" s="15"/>
      <c r="BT1425" s="15"/>
      <c r="BU1425" s="15"/>
      <c r="BV1425" s="15"/>
      <c r="BW1425" s="15"/>
      <c r="BX1425" s="15"/>
      <c r="BY1425" s="15"/>
      <c r="BZ1425" s="15"/>
      <c r="CA1425" s="15"/>
      <c r="CB1425" s="17"/>
      <c r="CC1425" s="17"/>
      <c r="CD1425" s="18"/>
      <c r="CE1425" s="18"/>
      <c r="CF1425" s="18"/>
      <c r="CG1425" s="18"/>
      <c r="CH1425" s="18"/>
    </row>
    <row r="1426">
      <c r="A1426" s="15"/>
      <c r="B1426" s="16"/>
      <c r="C1426" s="15"/>
      <c r="D1426" s="9"/>
      <c r="E1426" s="15"/>
      <c r="F1426" s="15"/>
      <c r="G1426" s="13"/>
      <c r="H1426" s="13"/>
      <c r="I1426" s="13"/>
      <c r="J1426" s="13"/>
      <c r="K1426" s="13"/>
      <c r="L1426" s="13"/>
      <c r="M1426" s="13"/>
      <c r="N1426" s="13"/>
      <c r="O1426" s="13"/>
      <c r="P1426" s="13"/>
      <c r="Q1426" s="13"/>
      <c r="R1426" s="13"/>
      <c r="S1426" s="13"/>
      <c r="T1426" s="13"/>
      <c r="U1426" s="13"/>
      <c r="V1426" s="13"/>
      <c r="W1426" s="13"/>
      <c r="X1426" s="13"/>
      <c r="Y1426" s="13"/>
      <c r="Z1426" s="13"/>
      <c r="AA1426" s="13"/>
      <c r="AB1426" s="15"/>
      <c r="AC1426" s="15"/>
      <c r="AD1426" s="15"/>
      <c r="AE1426" s="13"/>
      <c r="AF1426" s="13"/>
      <c r="AG1426" s="13"/>
      <c r="AH1426" s="15"/>
      <c r="AI1426" s="13"/>
      <c r="AJ1426" s="13"/>
      <c r="AK1426" s="13"/>
      <c r="AL1426" s="13"/>
      <c r="AM1426" s="15"/>
      <c r="AN1426" s="13"/>
      <c r="AO1426" s="15"/>
      <c r="AP1426" s="15"/>
      <c r="AQ1426" s="13"/>
      <c r="AR1426" s="13"/>
      <c r="AS1426" s="13"/>
      <c r="AT1426" s="13"/>
      <c r="AU1426" s="13"/>
      <c r="AV1426" s="13"/>
      <c r="AW1426" s="13"/>
      <c r="AX1426" s="13"/>
      <c r="AY1426" s="15"/>
      <c r="AZ1426" s="15"/>
      <c r="BA1426" s="16"/>
      <c r="BB1426" s="15"/>
      <c r="BC1426" s="15"/>
      <c r="BD1426" s="13"/>
      <c r="BE1426" s="13"/>
      <c r="BF1426" s="13"/>
      <c r="BG1426" s="13"/>
      <c r="BH1426" s="13"/>
      <c r="BI1426" s="13"/>
      <c r="BJ1426" s="13"/>
      <c r="BK1426" s="13"/>
      <c r="BL1426" s="13"/>
      <c r="BM1426" s="13"/>
      <c r="BN1426" s="13"/>
      <c r="BO1426" s="13"/>
      <c r="BP1426" s="13"/>
      <c r="BQ1426" s="15"/>
      <c r="BR1426" s="15"/>
      <c r="BS1426" s="15"/>
      <c r="BT1426" s="15"/>
      <c r="BU1426" s="15"/>
      <c r="BV1426" s="15"/>
      <c r="BW1426" s="15"/>
      <c r="BX1426" s="15"/>
      <c r="BY1426" s="15"/>
      <c r="BZ1426" s="15"/>
      <c r="CA1426" s="15"/>
      <c r="CB1426" s="17"/>
      <c r="CC1426" s="17"/>
      <c r="CD1426" s="18"/>
      <c r="CE1426" s="18"/>
      <c r="CF1426" s="18"/>
      <c r="CG1426" s="18"/>
      <c r="CH1426" s="18"/>
    </row>
    <row r="1427">
      <c r="A1427" s="15"/>
      <c r="B1427" s="16"/>
      <c r="C1427" s="15"/>
      <c r="D1427" s="9"/>
      <c r="E1427" s="15"/>
      <c r="F1427" s="15"/>
      <c r="G1427" s="13"/>
      <c r="H1427" s="13"/>
      <c r="I1427" s="13"/>
      <c r="J1427" s="13"/>
      <c r="K1427" s="13"/>
      <c r="L1427" s="13"/>
      <c r="M1427" s="13"/>
      <c r="N1427" s="13"/>
      <c r="O1427" s="13"/>
      <c r="P1427" s="13"/>
      <c r="Q1427" s="13"/>
      <c r="R1427" s="13"/>
      <c r="S1427" s="13"/>
      <c r="T1427" s="13"/>
      <c r="U1427" s="13"/>
      <c r="V1427" s="13"/>
      <c r="W1427" s="13"/>
      <c r="X1427" s="13"/>
      <c r="Y1427" s="13"/>
      <c r="Z1427" s="13"/>
      <c r="AA1427" s="13"/>
      <c r="AB1427" s="15"/>
      <c r="AC1427" s="15"/>
      <c r="AD1427" s="15"/>
      <c r="AE1427" s="13"/>
      <c r="AF1427" s="13"/>
      <c r="AG1427" s="13"/>
      <c r="AH1427" s="15"/>
      <c r="AI1427" s="13"/>
      <c r="AJ1427" s="13"/>
      <c r="AK1427" s="13"/>
      <c r="AL1427" s="13"/>
      <c r="AM1427" s="15"/>
      <c r="AN1427" s="13"/>
      <c r="AO1427" s="15"/>
      <c r="AP1427" s="15"/>
      <c r="AQ1427" s="13"/>
      <c r="AR1427" s="13"/>
      <c r="AS1427" s="13"/>
      <c r="AT1427" s="13"/>
      <c r="AU1427" s="13"/>
      <c r="AV1427" s="13"/>
      <c r="AW1427" s="13"/>
      <c r="AX1427" s="13"/>
      <c r="AY1427" s="15"/>
      <c r="AZ1427" s="15"/>
      <c r="BA1427" s="16"/>
      <c r="BB1427" s="15"/>
      <c r="BC1427" s="15"/>
      <c r="BD1427" s="13"/>
      <c r="BE1427" s="13"/>
      <c r="BF1427" s="13"/>
      <c r="BG1427" s="13"/>
      <c r="BH1427" s="13"/>
      <c r="BI1427" s="13"/>
      <c r="BJ1427" s="13"/>
      <c r="BK1427" s="13"/>
      <c r="BL1427" s="13"/>
      <c r="BM1427" s="13"/>
      <c r="BN1427" s="13"/>
      <c r="BO1427" s="13"/>
      <c r="BP1427" s="13"/>
      <c r="BQ1427" s="15"/>
      <c r="BR1427" s="15"/>
      <c r="BS1427" s="15"/>
      <c r="BT1427" s="15"/>
      <c r="BU1427" s="15"/>
      <c r="BV1427" s="15"/>
      <c r="BW1427" s="15"/>
      <c r="BX1427" s="15"/>
      <c r="BY1427" s="15"/>
      <c r="BZ1427" s="15"/>
      <c r="CA1427" s="15"/>
      <c r="CB1427" s="17"/>
      <c r="CC1427" s="17"/>
      <c r="CD1427" s="18"/>
      <c r="CE1427" s="18"/>
      <c r="CF1427" s="18"/>
      <c r="CG1427" s="18"/>
      <c r="CH1427" s="18"/>
    </row>
    <row r="1428">
      <c r="A1428" s="15"/>
      <c r="B1428" s="16"/>
      <c r="C1428" s="15"/>
      <c r="D1428" s="9"/>
      <c r="E1428" s="15"/>
      <c r="F1428" s="15"/>
      <c r="G1428" s="13"/>
      <c r="H1428" s="13"/>
      <c r="I1428" s="13"/>
      <c r="J1428" s="13"/>
      <c r="K1428" s="13"/>
      <c r="L1428" s="13"/>
      <c r="M1428" s="13"/>
      <c r="N1428" s="13"/>
      <c r="O1428" s="13"/>
      <c r="P1428" s="13"/>
      <c r="Q1428" s="13"/>
      <c r="R1428" s="13"/>
      <c r="S1428" s="13"/>
      <c r="T1428" s="13"/>
      <c r="U1428" s="13"/>
      <c r="V1428" s="13"/>
      <c r="W1428" s="13"/>
      <c r="X1428" s="13"/>
      <c r="Y1428" s="13"/>
      <c r="Z1428" s="13"/>
      <c r="AA1428" s="13"/>
      <c r="AB1428" s="15"/>
      <c r="AC1428" s="15"/>
      <c r="AD1428" s="15"/>
      <c r="AE1428" s="13"/>
      <c r="AF1428" s="13"/>
      <c r="AG1428" s="13"/>
      <c r="AH1428" s="15"/>
      <c r="AI1428" s="13"/>
      <c r="AJ1428" s="13"/>
      <c r="AK1428" s="13"/>
      <c r="AL1428" s="13"/>
      <c r="AM1428" s="15"/>
      <c r="AN1428" s="13"/>
      <c r="AO1428" s="15"/>
      <c r="AP1428" s="15"/>
      <c r="AQ1428" s="13"/>
      <c r="AR1428" s="13"/>
      <c r="AS1428" s="13"/>
      <c r="AT1428" s="13"/>
      <c r="AU1428" s="13"/>
      <c r="AV1428" s="13"/>
      <c r="AW1428" s="13"/>
      <c r="AX1428" s="13"/>
      <c r="AY1428" s="15"/>
      <c r="AZ1428" s="15"/>
      <c r="BA1428" s="16"/>
      <c r="BB1428" s="15"/>
      <c r="BC1428" s="15"/>
      <c r="BD1428" s="13"/>
      <c r="BE1428" s="13"/>
      <c r="BF1428" s="13"/>
      <c r="BG1428" s="13"/>
      <c r="BH1428" s="13"/>
      <c r="BI1428" s="13"/>
      <c r="BJ1428" s="13"/>
      <c r="BK1428" s="13"/>
      <c r="BL1428" s="13"/>
      <c r="BM1428" s="13"/>
      <c r="BN1428" s="13"/>
      <c r="BO1428" s="13"/>
      <c r="BP1428" s="13"/>
      <c r="BQ1428" s="15"/>
      <c r="BR1428" s="15"/>
      <c r="BS1428" s="15"/>
      <c r="BT1428" s="15"/>
      <c r="BU1428" s="15"/>
      <c r="BV1428" s="15"/>
      <c r="BW1428" s="15"/>
      <c r="BX1428" s="15"/>
      <c r="BY1428" s="15"/>
      <c r="BZ1428" s="15"/>
      <c r="CA1428" s="15"/>
      <c r="CB1428" s="17"/>
      <c r="CC1428" s="17"/>
      <c r="CD1428" s="18"/>
      <c r="CE1428" s="18"/>
      <c r="CF1428" s="18"/>
      <c r="CG1428" s="18"/>
      <c r="CH1428" s="18"/>
    </row>
    <row r="1429">
      <c r="A1429" s="15"/>
      <c r="B1429" s="16"/>
      <c r="C1429" s="15"/>
      <c r="D1429" s="9"/>
      <c r="E1429" s="15"/>
      <c r="F1429" s="15"/>
      <c r="G1429" s="13"/>
      <c r="H1429" s="13"/>
      <c r="I1429" s="13"/>
      <c r="J1429" s="13"/>
      <c r="K1429" s="13"/>
      <c r="L1429" s="13"/>
      <c r="M1429" s="13"/>
      <c r="N1429" s="13"/>
      <c r="O1429" s="13"/>
      <c r="P1429" s="13"/>
      <c r="Q1429" s="13"/>
      <c r="R1429" s="13"/>
      <c r="S1429" s="13"/>
      <c r="T1429" s="13"/>
      <c r="U1429" s="13"/>
      <c r="V1429" s="13"/>
      <c r="W1429" s="13"/>
      <c r="X1429" s="13"/>
      <c r="Y1429" s="13"/>
      <c r="Z1429" s="13"/>
      <c r="AA1429" s="13"/>
      <c r="AB1429" s="15"/>
      <c r="AC1429" s="15"/>
      <c r="AD1429" s="15"/>
      <c r="AE1429" s="13"/>
      <c r="AF1429" s="13"/>
      <c r="AG1429" s="13"/>
      <c r="AH1429" s="15"/>
      <c r="AI1429" s="13"/>
      <c r="AJ1429" s="13"/>
      <c r="AK1429" s="13"/>
      <c r="AL1429" s="13"/>
      <c r="AM1429" s="15"/>
      <c r="AN1429" s="13"/>
      <c r="AO1429" s="15"/>
      <c r="AP1429" s="15"/>
      <c r="AQ1429" s="13"/>
      <c r="AR1429" s="13"/>
      <c r="AS1429" s="13"/>
      <c r="AT1429" s="13"/>
      <c r="AU1429" s="13"/>
      <c r="AV1429" s="13"/>
      <c r="AW1429" s="13"/>
      <c r="AX1429" s="13"/>
      <c r="AY1429" s="15"/>
      <c r="AZ1429" s="15"/>
      <c r="BA1429" s="16"/>
      <c r="BB1429" s="15"/>
      <c r="BC1429" s="15"/>
      <c r="BD1429" s="13"/>
      <c r="BE1429" s="13"/>
      <c r="BF1429" s="13"/>
      <c r="BG1429" s="13"/>
      <c r="BH1429" s="13"/>
      <c r="BI1429" s="13"/>
      <c r="BJ1429" s="13"/>
      <c r="BK1429" s="13"/>
      <c r="BL1429" s="13"/>
      <c r="BM1429" s="13"/>
      <c r="BN1429" s="13"/>
      <c r="BO1429" s="13"/>
      <c r="BP1429" s="13"/>
      <c r="BQ1429" s="15"/>
      <c r="BR1429" s="15"/>
      <c r="BS1429" s="15"/>
      <c r="BT1429" s="15"/>
      <c r="BU1429" s="15"/>
      <c r="BV1429" s="15"/>
      <c r="BW1429" s="15"/>
      <c r="BX1429" s="15"/>
      <c r="BY1429" s="15"/>
      <c r="BZ1429" s="15"/>
      <c r="CA1429" s="15"/>
      <c r="CB1429" s="17"/>
      <c r="CC1429" s="17"/>
      <c r="CD1429" s="18"/>
      <c r="CE1429" s="18"/>
      <c r="CF1429" s="18"/>
      <c r="CG1429" s="18"/>
      <c r="CH1429" s="18"/>
    </row>
    <row r="1430">
      <c r="A1430" s="15"/>
      <c r="B1430" s="16"/>
      <c r="C1430" s="15"/>
      <c r="D1430" s="9"/>
      <c r="E1430" s="15"/>
      <c r="F1430" s="15"/>
      <c r="G1430" s="13"/>
      <c r="H1430" s="13"/>
      <c r="I1430" s="13"/>
      <c r="J1430" s="13"/>
      <c r="K1430" s="13"/>
      <c r="L1430" s="13"/>
      <c r="M1430" s="13"/>
      <c r="N1430" s="13"/>
      <c r="O1430" s="13"/>
      <c r="P1430" s="13"/>
      <c r="Q1430" s="13"/>
      <c r="R1430" s="13"/>
      <c r="S1430" s="13"/>
      <c r="T1430" s="13"/>
      <c r="U1430" s="13"/>
      <c r="V1430" s="13"/>
      <c r="W1430" s="13"/>
      <c r="X1430" s="13"/>
      <c r="Y1430" s="13"/>
      <c r="Z1430" s="13"/>
      <c r="AA1430" s="13"/>
      <c r="AB1430" s="15"/>
      <c r="AC1430" s="15"/>
      <c r="AD1430" s="15"/>
      <c r="AE1430" s="13"/>
      <c r="AF1430" s="13"/>
      <c r="AG1430" s="13"/>
      <c r="AH1430" s="15"/>
      <c r="AI1430" s="13"/>
      <c r="AJ1430" s="13"/>
      <c r="AK1430" s="13"/>
      <c r="AL1430" s="13"/>
      <c r="AM1430" s="15"/>
      <c r="AN1430" s="13"/>
      <c r="AO1430" s="15"/>
      <c r="AP1430" s="15"/>
      <c r="AQ1430" s="13"/>
      <c r="AR1430" s="13"/>
      <c r="AS1430" s="13"/>
      <c r="AT1430" s="13"/>
      <c r="AU1430" s="13"/>
      <c r="AV1430" s="13"/>
      <c r="AW1430" s="13"/>
      <c r="AX1430" s="13"/>
      <c r="AY1430" s="15"/>
      <c r="AZ1430" s="15"/>
      <c r="BA1430" s="16"/>
      <c r="BB1430" s="15"/>
      <c r="BC1430" s="15"/>
      <c r="BD1430" s="13"/>
      <c r="BE1430" s="13"/>
      <c r="BF1430" s="13"/>
      <c r="BG1430" s="13"/>
      <c r="BH1430" s="13"/>
      <c r="BI1430" s="13"/>
      <c r="BJ1430" s="13"/>
      <c r="BK1430" s="13"/>
      <c r="BL1430" s="13"/>
      <c r="BM1430" s="13"/>
      <c r="BN1430" s="13"/>
      <c r="BO1430" s="13"/>
      <c r="BP1430" s="13"/>
      <c r="BQ1430" s="15"/>
      <c r="BR1430" s="15"/>
      <c r="BS1430" s="15"/>
      <c r="BT1430" s="15"/>
      <c r="BU1430" s="15"/>
      <c r="BV1430" s="15"/>
      <c r="BW1430" s="15"/>
      <c r="BX1430" s="15"/>
      <c r="BY1430" s="15"/>
      <c r="BZ1430" s="15"/>
      <c r="CA1430" s="15"/>
      <c r="CB1430" s="17"/>
      <c r="CC1430" s="17"/>
      <c r="CD1430" s="18"/>
      <c r="CE1430" s="18"/>
      <c r="CF1430" s="18"/>
      <c r="CG1430" s="18"/>
      <c r="CH1430" s="18"/>
    </row>
    <row r="1431">
      <c r="A1431" s="15"/>
      <c r="B1431" s="16"/>
      <c r="C1431" s="15"/>
      <c r="D1431" s="9"/>
      <c r="E1431" s="15"/>
      <c r="F1431" s="15"/>
      <c r="G1431" s="13"/>
      <c r="H1431" s="13"/>
      <c r="I1431" s="13"/>
      <c r="J1431" s="13"/>
      <c r="K1431" s="13"/>
      <c r="L1431" s="13"/>
      <c r="M1431" s="13"/>
      <c r="N1431" s="13"/>
      <c r="O1431" s="13"/>
      <c r="P1431" s="13"/>
      <c r="Q1431" s="13"/>
      <c r="R1431" s="13"/>
      <c r="S1431" s="13"/>
      <c r="T1431" s="13"/>
      <c r="U1431" s="13"/>
      <c r="V1431" s="13"/>
      <c r="W1431" s="13"/>
      <c r="X1431" s="13"/>
      <c r="Y1431" s="13"/>
      <c r="Z1431" s="13"/>
      <c r="AA1431" s="13"/>
      <c r="AB1431" s="15"/>
      <c r="AC1431" s="15"/>
      <c r="AD1431" s="15"/>
      <c r="AE1431" s="13"/>
      <c r="AF1431" s="13"/>
      <c r="AG1431" s="13"/>
      <c r="AH1431" s="15"/>
      <c r="AI1431" s="13"/>
      <c r="AJ1431" s="13"/>
      <c r="AK1431" s="13"/>
      <c r="AL1431" s="13"/>
      <c r="AM1431" s="15"/>
      <c r="AN1431" s="13"/>
      <c r="AO1431" s="15"/>
      <c r="AP1431" s="15"/>
      <c r="AQ1431" s="13"/>
      <c r="AR1431" s="13"/>
      <c r="AS1431" s="13"/>
      <c r="AT1431" s="13"/>
      <c r="AU1431" s="13"/>
      <c r="AV1431" s="13"/>
      <c r="AW1431" s="13"/>
      <c r="AX1431" s="13"/>
      <c r="AY1431" s="15"/>
      <c r="AZ1431" s="15"/>
      <c r="BA1431" s="16"/>
      <c r="BB1431" s="15"/>
      <c r="BC1431" s="15"/>
      <c r="BD1431" s="13"/>
      <c r="BE1431" s="13"/>
      <c r="BF1431" s="13"/>
      <c r="BG1431" s="13"/>
      <c r="BH1431" s="13"/>
      <c r="BI1431" s="13"/>
      <c r="BJ1431" s="13"/>
      <c r="BK1431" s="13"/>
      <c r="BL1431" s="13"/>
      <c r="BM1431" s="13"/>
      <c r="BN1431" s="13"/>
      <c r="BO1431" s="13"/>
      <c r="BP1431" s="13"/>
      <c r="BQ1431" s="15"/>
      <c r="BR1431" s="15"/>
      <c r="BS1431" s="15"/>
      <c r="BT1431" s="15"/>
      <c r="BU1431" s="15"/>
      <c r="BV1431" s="15"/>
      <c r="BW1431" s="15"/>
      <c r="BX1431" s="15"/>
      <c r="BY1431" s="15"/>
      <c r="BZ1431" s="15"/>
      <c r="CA1431" s="15"/>
      <c r="CB1431" s="17"/>
      <c r="CC1431" s="17"/>
      <c r="CD1431" s="18"/>
      <c r="CE1431" s="18"/>
      <c r="CF1431" s="18"/>
      <c r="CG1431" s="18"/>
      <c r="CH1431" s="18"/>
    </row>
    <row r="1432">
      <c r="A1432" s="15"/>
      <c r="B1432" s="16"/>
      <c r="C1432" s="15"/>
      <c r="D1432" s="9"/>
      <c r="E1432" s="15"/>
      <c r="F1432" s="15"/>
      <c r="G1432" s="13"/>
      <c r="H1432" s="13"/>
      <c r="I1432" s="13"/>
      <c r="J1432" s="13"/>
      <c r="K1432" s="13"/>
      <c r="L1432" s="13"/>
      <c r="M1432" s="13"/>
      <c r="N1432" s="13"/>
      <c r="O1432" s="13"/>
      <c r="P1432" s="13"/>
      <c r="Q1432" s="13"/>
      <c r="R1432" s="13"/>
      <c r="S1432" s="13"/>
      <c r="T1432" s="13"/>
      <c r="U1432" s="13"/>
      <c r="V1432" s="13"/>
      <c r="W1432" s="13"/>
      <c r="X1432" s="13"/>
      <c r="Y1432" s="13"/>
      <c r="Z1432" s="13"/>
      <c r="AA1432" s="13"/>
      <c r="AB1432" s="15"/>
      <c r="AC1432" s="15"/>
      <c r="AD1432" s="15"/>
      <c r="AE1432" s="13"/>
      <c r="AF1432" s="13"/>
      <c r="AG1432" s="13"/>
      <c r="AH1432" s="15"/>
      <c r="AI1432" s="13"/>
      <c r="AJ1432" s="13"/>
      <c r="AK1432" s="13"/>
      <c r="AL1432" s="13"/>
      <c r="AM1432" s="15"/>
      <c r="AN1432" s="13"/>
      <c r="AO1432" s="15"/>
      <c r="AP1432" s="15"/>
      <c r="AQ1432" s="13"/>
      <c r="AR1432" s="13"/>
      <c r="AS1432" s="13"/>
      <c r="AT1432" s="13"/>
      <c r="AU1432" s="13"/>
      <c r="AV1432" s="13"/>
      <c r="AW1432" s="13"/>
      <c r="AX1432" s="13"/>
      <c r="AY1432" s="15"/>
      <c r="AZ1432" s="15"/>
      <c r="BA1432" s="16"/>
      <c r="BB1432" s="15"/>
      <c r="BC1432" s="15"/>
      <c r="BD1432" s="13"/>
      <c r="BE1432" s="13"/>
      <c r="BF1432" s="13"/>
      <c r="BG1432" s="13"/>
      <c r="BH1432" s="13"/>
      <c r="BI1432" s="13"/>
      <c r="BJ1432" s="13"/>
      <c r="BK1432" s="13"/>
      <c r="BL1432" s="13"/>
      <c r="BM1432" s="13"/>
      <c r="BN1432" s="13"/>
      <c r="BO1432" s="13"/>
      <c r="BP1432" s="13"/>
      <c r="BQ1432" s="15"/>
      <c r="BR1432" s="15"/>
      <c r="BS1432" s="15"/>
      <c r="BT1432" s="15"/>
      <c r="BU1432" s="15"/>
      <c r="BV1432" s="15"/>
      <c r="BW1432" s="15"/>
      <c r="BX1432" s="15"/>
      <c r="BY1432" s="15"/>
      <c r="BZ1432" s="15"/>
      <c r="CA1432" s="15"/>
      <c r="CB1432" s="17"/>
      <c r="CC1432" s="17"/>
      <c r="CD1432" s="18"/>
      <c r="CE1432" s="18"/>
      <c r="CF1432" s="18"/>
      <c r="CG1432" s="18"/>
      <c r="CH1432" s="18"/>
    </row>
    <row r="1433">
      <c r="A1433" s="15"/>
      <c r="B1433" s="16"/>
      <c r="C1433" s="15"/>
      <c r="D1433" s="9"/>
      <c r="E1433" s="15"/>
      <c r="F1433" s="15"/>
      <c r="G1433" s="13"/>
      <c r="H1433" s="13"/>
      <c r="I1433" s="13"/>
      <c r="J1433" s="13"/>
      <c r="K1433" s="13"/>
      <c r="L1433" s="13"/>
      <c r="M1433" s="13"/>
      <c r="N1433" s="13"/>
      <c r="O1433" s="13"/>
      <c r="P1433" s="13"/>
      <c r="Q1433" s="13"/>
      <c r="R1433" s="13"/>
      <c r="S1433" s="13"/>
      <c r="T1433" s="13"/>
      <c r="U1433" s="13"/>
      <c r="V1433" s="13"/>
      <c r="W1433" s="13"/>
      <c r="X1433" s="13"/>
      <c r="Y1433" s="13"/>
      <c r="Z1433" s="13"/>
      <c r="AA1433" s="13"/>
      <c r="AB1433" s="15"/>
      <c r="AC1433" s="15"/>
      <c r="AD1433" s="15"/>
      <c r="AE1433" s="13"/>
      <c r="AF1433" s="13"/>
      <c r="AG1433" s="13"/>
      <c r="AH1433" s="15"/>
      <c r="AI1433" s="13"/>
      <c r="AJ1433" s="13"/>
      <c r="AK1433" s="13"/>
      <c r="AL1433" s="13"/>
      <c r="AM1433" s="15"/>
      <c r="AN1433" s="13"/>
      <c r="AO1433" s="15"/>
      <c r="AP1433" s="15"/>
      <c r="AQ1433" s="13"/>
      <c r="AR1433" s="13"/>
      <c r="AS1433" s="13"/>
      <c r="AT1433" s="13"/>
      <c r="AU1433" s="13"/>
      <c r="AV1433" s="13"/>
      <c r="AW1433" s="13"/>
      <c r="AX1433" s="13"/>
      <c r="AY1433" s="15"/>
      <c r="AZ1433" s="15"/>
      <c r="BA1433" s="16"/>
      <c r="BB1433" s="15"/>
      <c r="BC1433" s="15"/>
      <c r="BD1433" s="13"/>
      <c r="BE1433" s="13"/>
      <c r="BF1433" s="13"/>
      <c r="BG1433" s="13"/>
      <c r="BH1433" s="13"/>
      <c r="BI1433" s="13"/>
      <c r="BJ1433" s="13"/>
      <c r="BK1433" s="13"/>
      <c r="BL1433" s="13"/>
      <c r="BM1433" s="13"/>
      <c r="BN1433" s="13"/>
      <c r="BO1433" s="13"/>
      <c r="BP1433" s="13"/>
      <c r="BQ1433" s="15"/>
      <c r="BR1433" s="15"/>
      <c r="BS1433" s="15"/>
      <c r="BT1433" s="15"/>
      <c r="BU1433" s="15"/>
      <c r="BV1433" s="15"/>
      <c r="BW1433" s="15"/>
      <c r="BX1433" s="15"/>
      <c r="BY1433" s="15"/>
      <c r="BZ1433" s="15"/>
      <c r="CA1433" s="15"/>
      <c r="CB1433" s="17"/>
      <c r="CC1433" s="17"/>
      <c r="CD1433" s="18"/>
      <c r="CE1433" s="18"/>
      <c r="CF1433" s="18"/>
      <c r="CG1433" s="18"/>
      <c r="CH1433" s="18"/>
    </row>
    <row r="1434">
      <c r="A1434" s="15"/>
      <c r="B1434" s="16"/>
      <c r="C1434" s="15"/>
      <c r="D1434" s="9"/>
      <c r="E1434" s="15"/>
      <c r="F1434" s="15"/>
      <c r="G1434" s="13"/>
      <c r="H1434" s="13"/>
      <c r="I1434" s="13"/>
      <c r="J1434" s="13"/>
      <c r="K1434" s="13"/>
      <c r="L1434" s="13"/>
      <c r="M1434" s="13"/>
      <c r="N1434" s="13"/>
      <c r="O1434" s="13"/>
      <c r="P1434" s="13"/>
      <c r="Q1434" s="13"/>
      <c r="R1434" s="13"/>
      <c r="S1434" s="13"/>
      <c r="T1434" s="13"/>
      <c r="U1434" s="13"/>
      <c r="V1434" s="13"/>
      <c r="W1434" s="13"/>
      <c r="X1434" s="13"/>
      <c r="Y1434" s="13"/>
      <c r="Z1434" s="13"/>
      <c r="AA1434" s="13"/>
      <c r="AB1434" s="15"/>
      <c r="AC1434" s="15"/>
      <c r="AD1434" s="15"/>
      <c r="AE1434" s="13"/>
      <c r="AF1434" s="13"/>
      <c r="AG1434" s="13"/>
      <c r="AH1434" s="15"/>
      <c r="AI1434" s="13"/>
      <c r="AJ1434" s="13"/>
      <c r="AK1434" s="13"/>
      <c r="AL1434" s="13"/>
      <c r="AM1434" s="15"/>
      <c r="AN1434" s="13"/>
      <c r="AO1434" s="15"/>
      <c r="AP1434" s="15"/>
      <c r="AQ1434" s="13"/>
      <c r="AR1434" s="13"/>
      <c r="AS1434" s="13"/>
      <c r="AT1434" s="13"/>
      <c r="AU1434" s="13"/>
      <c r="AV1434" s="13"/>
      <c r="AW1434" s="13"/>
      <c r="AX1434" s="13"/>
      <c r="AY1434" s="15"/>
      <c r="AZ1434" s="15"/>
      <c r="BA1434" s="16"/>
      <c r="BB1434" s="15"/>
      <c r="BC1434" s="15"/>
      <c r="BD1434" s="13"/>
      <c r="BE1434" s="13"/>
      <c r="BF1434" s="13"/>
      <c r="BG1434" s="13"/>
      <c r="BH1434" s="13"/>
      <c r="BI1434" s="13"/>
      <c r="BJ1434" s="13"/>
      <c r="BK1434" s="13"/>
      <c r="BL1434" s="13"/>
      <c r="BM1434" s="13"/>
      <c r="BN1434" s="13"/>
      <c r="BO1434" s="13"/>
      <c r="BP1434" s="13"/>
      <c r="BQ1434" s="15"/>
      <c r="BR1434" s="15"/>
      <c r="BS1434" s="15"/>
      <c r="BT1434" s="15"/>
      <c r="BU1434" s="15"/>
      <c r="BV1434" s="15"/>
      <c r="BW1434" s="15"/>
      <c r="BX1434" s="15"/>
      <c r="BY1434" s="15"/>
      <c r="BZ1434" s="15"/>
      <c r="CA1434" s="15"/>
      <c r="CB1434" s="17"/>
      <c r="CC1434" s="17"/>
      <c r="CD1434" s="18"/>
      <c r="CE1434" s="18"/>
      <c r="CF1434" s="18"/>
      <c r="CG1434" s="18"/>
      <c r="CH1434" s="18"/>
    </row>
    <row r="1435">
      <c r="A1435" s="15"/>
      <c r="B1435" s="16"/>
      <c r="C1435" s="15"/>
      <c r="D1435" s="9"/>
      <c r="E1435" s="15"/>
      <c r="F1435" s="15"/>
      <c r="G1435" s="13"/>
      <c r="H1435" s="13"/>
      <c r="I1435" s="13"/>
      <c r="J1435" s="13"/>
      <c r="K1435" s="13"/>
      <c r="L1435" s="13"/>
      <c r="M1435" s="13"/>
      <c r="N1435" s="13"/>
      <c r="O1435" s="13"/>
      <c r="P1435" s="13"/>
      <c r="Q1435" s="13"/>
      <c r="R1435" s="13"/>
      <c r="S1435" s="13"/>
      <c r="T1435" s="13"/>
      <c r="U1435" s="13"/>
      <c r="V1435" s="13"/>
      <c r="W1435" s="13"/>
      <c r="X1435" s="13"/>
      <c r="Y1435" s="13"/>
      <c r="Z1435" s="13"/>
      <c r="AA1435" s="13"/>
      <c r="AB1435" s="15"/>
      <c r="AC1435" s="15"/>
      <c r="AD1435" s="15"/>
      <c r="AE1435" s="13"/>
      <c r="AF1435" s="13"/>
      <c r="AG1435" s="13"/>
      <c r="AH1435" s="15"/>
      <c r="AI1435" s="13"/>
      <c r="AJ1435" s="13"/>
      <c r="AK1435" s="13"/>
      <c r="AL1435" s="13"/>
      <c r="AM1435" s="15"/>
      <c r="AN1435" s="13"/>
      <c r="AO1435" s="15"/>
      <c r="AP1435" s="15"/>
      <c r="AQ1435" s="13"/>
      <c r="AR1435" s="13"/>
      <c r="AS1435" s="13"/>
      <c r="AT1435" s="13"/>
      <c r="AU1435" s="13"/>
      <c r="AV1435" s="13"/>
      <c r="AW1435" s="13"/>
      <c r="AX1435" s="13"/>
      <c r="AY1435" s="15"/>
      <c r="AZ1435" s="15"/>
      <c r="BA1435" s="16"/>
      <c r="BB1435" s="15"/>
      <c r="BC1435" s="15"/>
      <c r="BD1435" s="13"/>
      <c r="BE1435" s="13"/>
      <c r="BF1435" s="13"/>
      <c r="BG1435" s="13"/>
      <c r="BH1435" s="13"/>
      <c r="BI1435" s="13"/>
      <c r="BJ1435" s="13"/>
      <c r="BK1435" s="13"/>
      <c r="BL1435" s="13"/>
      <c r="BM1435" s="13"/>
      <c r="BN1435" s="13"/>
      <c r="BO1435" s="13"/>
      <c r="BP1435" s="13"/>
      <c r="BQ1435" s="15"/>
      <c r="BR1435" s="15"/>
      <c r="BS1435" s="15"/>
      <c r="BT1435" s="15"/>
      <c r="BU1435" s="15"/>
      <c r="BV1435" s="15"/>
      <c r="BW1435" s="15"/>
      <c r="BX1435" s="15"/>
      <c r="BY1435" s="15"/>
      <c r="BZ1435" s="15"/>
      <c r="CA1435" s="15"/>
      <c r="CB1435" s="17"/>
      <c r="CC1435" s="17"/>
      <c r="CD1435" s="18"/>
      <c r="CE1435" s="18"/>
      <c r="CF1435" s="18"/>
      <c r="CG1435" s="18"/>
      <c r="CH1435" s="18"/>
    </row>
    <row r="1436">
      <c r="A1436" s="15"/>
      <c r="B1436" s="16"/>
      <c r="C1436" s="15"/>
      <c r="D1436" s="9"/>
      <c r="E1436" s="15"/>
      <c r="F1436" s="15"/>
      <c r="G1436" s="13"/>
      <c r="H1436" s="13"/>
      <c r="I1436" s="13"/>
      <c r="J1436" s="13"/>
      <c r="K1436" s="13"/>
      <c r="L1436" s="13"/>
      <c r="M1436" s="13"/>
      <c r="N1436" s="13"/>
      <c r="O1436" s="13"/>
      <c r="P1436" s="13"/>
      <c r="Q1436" s="13"/>
      <c r="R1436" s="13"/>
      <c r="S1436" s="13"/>
      <c r="T1436" s="13"/>
      <c r="U1436" s="13"/>
      <c r="V1436" s="13"/>
      <c r="W1436" s="13"/>
      <c r="X1436" s="13"/>
      <c r="Y1436" s="13"/>
      <c r="Z1436" s="13"/>
      <c r="AA1436" s="13"/>
      <c r="AB1436" s="15"/>
      <c r="AC1436" s="15"/>
      <c r="AD1436" s="15"/>
      <c r="AE1436" s="13"/>
      <c r="AF1436" s="13"/>
      <c r="AG1436" s="13"/>
      <c r="AH1436" s="15"/>
      <c r="AI1436" s="13"/>
      <c r="AJ1436" s="13"/>
      <c r="AK1436" s="13"/>
      <c r="AL1436" s="13"/>
      <c r="AM1436" s="15"/>
      <c r="AN1436" s="13"/>
      <c r="AO1436" s="15"/>
      <c r="AP1436" s="15"/>
      <c r="AQ1436" s="13"/>
      <c r="AR1436" s="13"/>
      <c r="AS1436" s="13"/>
      <c r="AT1436" s="13"/>
      <c r="AU1436" s="13"/>
      <c r="AV1436" s="13"/>
      <c r="AW1436" s="13"/>
      <c r="AX1436" s="13"/>
      <c r="AY1436" s="15"/>
      <c r="AZ1436" s="15"/>
      <c r="BA1436" s="16"/>
      <c r="BB1436" s="15"/>
      <c r="BC1436" s="15"/>
      <c r="BD1436" s="13"/>
      <c r="BE1436" s="13"/>
      <c r="BF1436" s="13"/>
      <c r="BG1436" s="13"/>
      <c r="BH1436" s="13"/>
      <c r="BI1436" s="13"/>
      <c r="BJ1436" s="13"/>
      <c r="BK1436" s="13"/>
      <c r="BL1436" s="13"/>
      <c r="BM1436" s="13"/>
      <c r="BN1436" s="13"/>
      <c r="BO1436" s="13"/>
      <c r="BP1436" s="13"/>
      <c r="BQ1436" s="15"/>
      <c r="BR1436" s="15"/>
      <c r="BS1436" s="15"/>
      <c r="BT1436" s="15"/>
      <c r="BU1436" s="15"/>
      <c r="BV1436" s="15"/>
      <c r="BW1436" s="15"/>
      <c r="BX1436" s="15"/>
      <c r="BY1436" s="15"/>
      <c r="BZ1436" s="15"/>
      <c r="CA1436" s="15"/>
      <c r="CB1436" s="17"/>
      <c r="CC1436" s="17"/>
      <c r="CD1436" s="18"/>
      <c r="CE1436" s="18"/>
      <c r="CF1436" s="18"/>
      <c r="CG1436" s="18"/>
      <c r="CH1436" s="18"/>
    </row>
    <row r="1437">
      <c r="A1437" s="15"/>
      <c r="B1437" s="16"/>
      <c r="C1437" s="15"/>
      <c r="D1437" s="9"/>
      <c r="E1437" s="15"/>
      <c r="F1437" s="15"/>
      <c r="G1437" s="13"/>
      <c r="H1437" s="13"/>
      <c r="I1437" s="13"/>
      <c r="J1437" s="13"/>
      <c r="K1437" s="13"/>
      <c r="L1437" s="13"/>
      <c r="M1437" s="13"/>
      <c r="N1437" s="13"/>
      <c r="O1437" s="13"/>
      <c r="P1437" s="13"/>
      <c r="Q1437" s="13"/>
      <c r="R1437" s="13"/>
      <c r="S1437" s="13"/>
      <c r="T1437" s="13"/>
      <c r="U1437" s="13"/>
      <c r="V1437" s="13"/>
      <c r="W1437" s="13"/>
      <c r="X1437" s="13"/>
      <c r="Y1437" s="13"/>
      <c r="Z1437" s="13"/>
      <c r="AA1437" s="13"/>
      <c r="AB1437" s="15"/>
      <c r="AC1437" s="15"/>
      <c r="AD1437" s="15"/>
      <c r="AE1437" s="13"/>
      <c r="AF1437" s="13"/>
      <c r="AG1437" s="13"/>
      <c r="AH1437" s="15"/>
      <c r="AI1437" s="13"/>
      <c r="AJ1437" s="13"/>
      <c r="AK1437" s="13"/>
      <c r="AL1437" s="13"/>
      <c r="AM1437" s="15"/>
      <c r="AN1437" s="13"/>
      <c r="AO1437" s="15"/>
      <c r="AP1437" s="15"/>
      <c r="AQ1437" s="13"/>
      <c r="AR1437" s="13"/>
      <c r="AS1437" s="13"/>
      <c r="AT1437" s="13"/>
      <c r="AU1437" s="13"/>
      <c r="AV1437" s="13"/>
      <c r="AW1437" s="13"/>
      <c r="AX1437" s="13"/>
      <c r="AY1437" s="15"/>
      <c r="AZ1437" s="15"/>
      <c r="BA1437" s="16"/>
      <c r="BB1437" s="15"/>
      <c r="BC1437" s="15"/>
      <c r="BD1437" s="13"/>
      <c r="BE1437" s="13"/>
      <c r="BF1437" s="13"/>
      <c r="BG1437" s="13"/>
      <c r="BH1437" s="13"/>
      <c r="BI1437" s="13"/>
      <c r="BJ1437" s="13"/>
      <c r="BK1437" s="13"/>
      <c r="BL1437" s="13"/>
      <c r="BM1437" s="13"/>
      <c r="BN1437" s="13"/>
      <c r="BO1437" s="13"/>
      <c r="BP1437" s="13"/>
      <c r="BQ1437" s="15"/>
      <c r="BR1437" s="15"/>
      <c r="BS1437" s="15"/>
      <c r="BT1437" s="15"/>
      <c r="BU1437" s="15"/>
      <c r="BV1437" s="15"/>
      <c r="BW1437" s="15"/>
      <c r="BX1437" s="15"/>
      <c r="BY1437" s="15"/>
      <c r="BZ1437" s="15"/>
      <c r="CA1437" s="15"/>
      <c r="CB1437" s="17"/>
      <c r="CC1437" s="17"/>
      <c r="CD1437" s="18"/>
      <c r="CE1437" s="18"/>
      <c r="CF1437" s="18"/>
      <c r="CG1437" s="18"/>
      <c r="CH1437" s="18"/>
    </row>
    <row r="1438">
      <c r="A1438" s="15"/>
      <c r="B1438" s="16"/>
      <c r="C1438" s="15"/>
      <c r="D1438" s="9"/>
      <c r="E1438" s="15"/>
      <c r="F1438" s="15"/>
      <c r="G1438" s="13"/>
      <c r="H1438" s="13"/>
      <c r="I1438" s="13"/>
      <c r="J1438" s="13"/>
      <c r="K1438" s="13"/>
      <c r="L1438" s="13"/>
      <c r="M1438" s="13"/>
      <c r="N1438" s="13"/>
      <c r="O1438" s="13"/>
      <c r="P1438" s="13"/>
      <c r="Q1438" s="13"/>
      <c r="R1438" s="13"/>
      <c r="S1438" s="13"/>
      <c r="T1438" s="13"/>
      <c r="U1438" s="13"/>
      <c r="V1438" s="13"/>
      <c r="W1438" s="13"/>
      <c r="X1438" s="13"/>
      <c r="Y1438" s="13"/>
      <c r="Z1438" s="13"/>
      <c r="AA1438" s="13"/>
      <c r="AB1438" s="15"/>
      <c r="AC1438" s="15"/>
      <c r="AD1438" s="15"/>
      <c r="AE1438" s="13"/>
      <c r="AF1438" s="13"/>
      <c r="AG1438" s="13"/>
      <c r="AH1438" s="15"/>
      <c r="AI1438" s="13"/>
      <c r="AJ1438" s="13"/>
      <c r="AK1438" s="13"/>
      <c r="AL1438" s="13"/>
      <c r="AM1438" s="15"/>
      <c r="AN1438" s="13"/>
      <c r="AO1438" s="15"/>
      <c r="AP1438" s="15"/>
      <c r="AQ1438" s="13"/>
      <c r="AR1438" s="13"/>
      <c r="AS1438" s="13"/>
      <c r="AT1438" s="13"/>
      <c r="AU1438" s="13"/>
      <c r="AV1438" s="13"/>
      <c r="AW1438" s="13"/>
      <c r="AX1438" s="13"/>
      <c r="AY1438" s="15"/>
      <c r="AZ1438" s="15"/>
      <c r="BA1438" s="16"/>
      <c r="BB1438" s="15"/>
      <c r="BC1438" s="15"/>
      <c r="BD1438" s="13"/>
      <c r="BE1438" s="13"/>
      <c r="BF1438" s="13"/>
      <c r="BG1438" s="13"/>
      <c r="BH1438" s="13"/>
      <c r="BI1438" s="13"/>
      <c r="BJ1438" s="13"/>
      <c r="BK1438" s="13"/>
      <c r="BL1438" s="13"/>
      <c r="BM1438" s="13"/>
      <c r="BN1438" s="13"/>
      <c r="BO1438" s="13"/>
      <c r="BP1438" s="13"/>
      <c r="BQ1438" s="15"/>
      <c r="BR1438" s="15"/>
      <c r="BS1438" s="15"/>
      <c r="BT1438" s="15"/>
      <c r="BU1438" s="15"/>
      <c r="BV1438" s="15"/>
      <c r="BW1438" s="15"/>
      <c r="BX1438" s="15"/>
      <c r="BY1438" s="15"/>
      <c r="BZ1438" s="15"/>
      <c r="CA1438" s="15"/>
      <c r="CB1438" s="17"/>
      <c r="CC1438" s="17"/>
      <c r="CD1438" s="18"/>
      <c r="CE1438" s="18"/>
      <c r="CF1438" s="18"/>
      <c r="CG1438" s="18"/>
      <c r="CH1438" s="18"/>
    </row>
    <row r="1439">
      <c r="A1439" s="15"/>
      <c r="B1439" s="16"/>
      <c r="C1439" s="15"/>
      <c r="D1439" s="9"/>
      <c r="E1439" s="15"/>
      <c r="F1439" s="15"/>
      <c r="G1439" s="13"/>
      <c r="H1439" s="13"/>
      <c r="I1439" s="13"/>
      <c r="J1439" s="13"/>
      <c r="K1439" s="13"/>
      <c r="L1439" s="13"/>
      <c r="M1439" s="13"/>
      <c r="N1439" s="13"/>
      <c r="O1439" s="13"/>
      <c r="P1439" s="13"/>
      <c r="Q1439" s="13"/>
      <c r="R1439" s="13"/>
      <c r="S1439" s="13"/>
      <c r="T1439" s="13"/>
      <c r="U1439" s="13"/>
      <c r="V1439" s="13"/>
      <c r="W1439" s="13"/>
      <c r="X1439" s="13"/>
      <c r="Y1439" s="13"/>
      <c r="Z1439" s="13"/>
      <c r="AA1439" s="13"/>
      <c r="AB1439" s="15"/>
      <c r="AC1439" s="15"/>
      <c r="AD1439" s="15"/>
      <c r="AE1439" s="13"/>
      <c r="AF1439" s="13"/>
      <c r="AG1439" s="13"/>
      <c r="AH1439" s="15"/>
      <c r="AI1439" s="13"/>
      <c r="AJ1439" s="13"/>
      <c r="AK1439" s="13"/>
      <c r="AL1439" s="13"/>
      <c r="AM1439" s="15"/>
      <c r="AN1439" s="13"/>
      <c r="AO1439" s="15"/>
      <c r="AP1439" s="15"/>
      <c r="AQ1439" s="13"/>
      <c r="AR1439" s="13"/>
      <c r="AS1439" s="13"/>
      <c r="AT1439" s="13"/>
      <c r="AU1439" s="13"/>
      <c r="AV1439" s="13"/>
      <c r="AW1439" s="13"/>
      <c r="AX1439" s="13"/>
      <c r="AY1439" s="15"/>
      <c r="AZ1439" s="15"/>
      <c r="BA1439" s="16"/>
      <c r="BB1439" s="15"/>
      <c r="BC1439" s="15"/>
      <c r="BD1439" s="13"/>
      <c r="BE1439" s="13"/>
      <c r="BF1439" s="13"/>
      <c r="BG1439" s="13"/>
      <c r="BH1439" s="13"/>
      <c r="BI1439" s="13"/>
      <c r="BJ1439" s="13"/>
      <c r="BK1439" s="13"/>
      <c r="BL1439" s="13"/>
      <c r="BM1439" s="13"/>
      <c r="BN1439" s="13"/>
      <c r="BO1439" s="13"/>
      <c r="BP1439" s="13"/>
      <c r="BQ1439" s="15"/>
      <c r="BR1439" s="15"/>
      <c r="BS1439" s="15"/>
      <c r="BT1439" s="15"/>
      <c r="BU1439" s="15"/>
      <c r="BV1439" s="15"/>
      <c r="BW1439" s="15"/>
      <c r="BX1439" s="15"/>
      <c r="BY1439" s="15"/>
      <c r="BZ1439" s="15"/>
      <c r="CA1439" s="15"/>
      <c r="CB1439" s="17"/>
      <c r="CC1439" s="17"/>
      <c r="CD1439" s="18"/>
      <c r="CE1439" s="18"/>
      <c r="CF1439" s="18"/>
      <c r="CG1439" s="18"/>
      <c r="CH1439" s="18"/>
    </row>
    <row r="1440">
      <c r="A1440" s="15"/>
      <c r="B1440" s="16"/>
      <c r="C1440" s="15"/>
      <c r="D1440" s="9"/>
      <c r="E1440" s="15"/>
      <c r="F1440" s="15"/>
      <c r="G1440" s="13"/>
      <c r="H1440" s="13"/>
      <c r="I1440" s="13"/>
      <c r="J1440" s="13"/>
      <c r="K1440" s="13"/>
      <c r="L1440" s="13"/>
      <c r="M1440" s="13"/>
      <c r="N1440" s="13"/>
      <c r="O1440" s="13"/>
      <c r="P1440" s="13"/>
      <c r="Q1440" s="13"/>
      <c r="R1440" s="13"/>
      <c r="S1440" s="13"/>
      <c r="T1440" s="13"/>
      <c r="U1440" s="13"/>
      <c r="V1440" s="13"/>
      <c r="W1440" s="13"/>
      <c r="X1440" s="13"/>
      <c r="Y1440" s="13"/>
      <c r="Z1440" s="13"/>
      <c r="AA1440" s="13"/>
      <c r="AB1440" s="15"/>
      <c r="AC1440" s="15"/>
      <c r="AD1440" s="15"/>
      <c r="AE1440" s="13"/>
      <c r="AF1440" s="13"/>
      <c r="AG1440" s="13"/>
      <c r="AH1440" s="15"/>
      <c r="AI1440" s="13"/>
      <c r="AJ1440" s="13"/>
      <c r="AK1440" s="13"/>
      <c r="AL1440" s="13"/>
      <c r="AM1440" s="15"/>
      <c r="AN1440" s="13"/>
      <c r="AO1440" s="15"/>
      <c r="AP1440" s="15"/>
      <c r="AQ1440" s="13"/>
      <c r="AR1440" s="13"/>
      <c r="AS1440" s="13"/>
      <c r="AT1440" s="13"/>
      <c r="AU1440" s="13"/>
      <c r="AV1440" s="13"/>
      <c r="AW1440" s="13"/>
      <c r="AX1440" s="13"/>
      <c r="AY1440" s="15"/>
      <c r="AZ1440" s="15"/>
      <c r="BA1440" s="16"/>
      <c r="BB1440" s="15"/>
      <c r="BC1440" s="15"/>
      <c r="BD1440" s="13"/>
      <c r="BE1440" s="13"/>
      <c r="BF1440" s="13"/>
      <c r="BG1440" s="13"/>
      <c r="BH1440" s="13"/>
      <c r="BI1440" s="13"/>
      <c r="BJ1440" s="13"/>
      <c r="BK1440" s="13"/>
      <c r="BL1440" s="13"/>
      <c r="BM1440" s="13"/>
      <c r="BN1440" s="13"/>
      <c r="BO1440" s="13"/>
      <c r="BP1440" s="13"/>
      <c r="BQ1440" s="15"/>
      <c r="BR1440" s="15"/>
      <c r="BS1440" s="15"/>
      <c r="BT1440" s="15"/>
      <c r="BU1440" s="15"/>
      <c r="BV1440" s="15"/>
      <c r="BW1440" s="15"/>
      <c r="BX1440" s="15"/>
      <c r="BY1440" s="15"/>
      <c r="BZ1440" s="15"/>
      <c r="CA1440" s="15"/>
      <c r="CB1440" s="17"/>
      <c r="CC1440" s="17"/>
      <c r="CD1440" s="18"/>
      <c r="CE1440" s="18"/>
      <c r="CF1440" s="18"/>
      <c r="CG1440" s="18"/>
      <c r="CH1440" s="18"/>
    </row>
    <row r="1441">
      <c r="A1441" s="15"/>
      <c r="B1441" s="16"/>
      <c r="C1441" s="15"/>
      <c r="D1441" s="9"/>
      <c r="E1441" s="15"/>
      <c r="F1441" s="15"/>
      <c r="G1441" s="13"/>
      <c r="H1441" s="13"/>
      <c r="I1441" s="13"/>
      <c r="J1441" s="13"/>
      <c r="K1441" s="13"/>
      <c r="L1441" s="13"/>
      <c r="M1441" s="13"/>
      <c r="N1441" s="13"/>
      <c r="O1441" s="13"/>
      <c r="P1441" s="13"/>
      <c r="Q1441" s="13"/>
      <c r="R1441" s="13"/>
      <c r="S1441" s="13"/>
      <c r="T1441" s="13"/>
      <c r="U1441" s="13"/>
      <c r="V1441" s="13"/>
      <c r="W1441" s="13"/>
      <c r="X1441" s="13"/>
      <c r="Y1441" s="13"/>
      <c r="Z1441" s="13"/>
      <c r="AA1441" s="13"/>
      <c r="AB1441" s="15"/>
      <c r="AC1441" s="15"/>
      <c r="AD1441" s="15"/>
      <c r="AE1441" s="13"/>
      <c r="AF1441" s="13"/>
      <c r="AG1441" s="13"/>
      <c r="AH1441" s="15"/>
      <c r="AI1441" s="13"/>
      <c r="AJ1441" s="13"/>
      <c r="AK1441" s="13"/>
      <c r="AL1441" s="13"/>
      <c r="AM1441" s="15"/>
      <c r="AN1441" s="13"/>
      <c r="AO1441" s="15"/>
      <c r="AP1441" s="15"/>
      <c r="AQ1441" s="13"/>
      <c r="AR1441" s="13"/>
      <c r="AS1441" s="13"/>
      <c r="AT1441" s="13"/>
      <c r="AU1441" s="13"/>
      <c r="AV1441" s="13"/>
      <c r="AW1441" s="13"/>
      <c r="AX1441" s="13"/>
      <c r="AY1441" s="15"/>
      <c r="AZ1441" s="15"/>
      <c r="BA1441" s="16"/>
      <c r="BB1441" s="15"/>
      <c r="BC1441" s="15"/>
      <c r="BD1441" s="13"/>
      <c r="BE1441" s="13"/>
      <c r="BF1441" s="13"/>
      <c r="BG1441" s="13"/>
      <c r="BH1441" s="13"/>
      <c r="BI1441" s="13"/>
      <c r="BJ1441" s="13"/>
      <c r="BK1441" s="13"/>
      <c r="BL1441" s="13"/>
      <c r="BM1441" s="13"/>
      <c r="BN1441" s="13"/>
      <c r="BO1441" s="13"/>
      <c r="BP1441" s="13"/>
      <c r="BQ1441" s="15"/>
      <c r="BR1441" s="15"/>
      <c r="BS1441" s="15"/>
      <c r="BT1441" s="15"/>
      <c r="BU1441" s="15"/>
      <c r="BV1441" s="15"/>
      <c r="BW1441" s="15"/>
      <c r="BX1441" s="15"/>
      <c r="BY1441" s="15"/>
      <c r="BZ1441" s="15"/>
      <c r="CA1441" s="15"/>
      <c r="CB1441" s="17"/>
      <c r="CC1441" s="17"/>
      <c r="CD1441" s="18"/>
      <c r="CE1441" s="18"/>
      <c r="CF1441" s="18"/>
      <c r="CG1441" s="18"/>
      <c r="CH1441" s="18"/>
    </row>
    <row r="1442">
      <c r="A1442" s="15"/>
      <c r="B1442" s="16"/>
      <c r="C1442" s="15"/>
      <c r="D1442" s="9"/>
      <c r="E1442" s="15"/>
      <c r="F1442" s="15"/>
      <c r="G1442" s="13"/>
      <c r="H1442" s="13"/>
      <c r="I1442" s="13"/>
      <c r="J1442" s="13"/>
      <c r="K1442" s="13"/>
      <c r="L1442" s="13"/>
      <c r="M1442" s="13"/>
      <c r="N1442" s="13"/>
      <c r="O1442" s="13"/>
      <c r="P1442" s="13"/>
      <c r="Q1442" s="13"/>
      <c r="R1442" s="13"/>
      <c r="S1442" s="13"/>
      <c r="T1442" s="13"/>
      <c r="U1442" s="13"/>
      <c r="V1442" s="13"/>
      <c r="W1442" s="13"/>
      <c r="X1442" s="13"/>
      <c r="Y1442" s="13"/>
      <c r="Z1442" s="13"/>
      <c r="AA1442" s="13"/>
      <c r="AB1442" s="15"/>
      <c r="AC1442" s="15"/>
      <c r="AD1442" s="15"/>
      <c r="AE1442" s="13"/>
      <c r="AF1442" s="13"/>
      <c r="AG1442" s="13"/>
      <c r="AH1442" s="15"/>
      <c r="AI1442" s="13"/>
      <c r="AJ1442" s="13"/>
      <c r="AK1442" s="13"/>
      <c r="AL1442" s="13"/>
      <c r="AM1442" s="15"/>
      <c r="AN1442" s="13"/>
      <c r="AO1442" s="15"/>
      <c r="AP1442" s="15"/>
      <c r="AQ1442" s="13"/>
      <c r="AR1442" s="13"/>
      <c r="AS1442" s="13"/>
      <c r="AT1442" s="13"/>
      <c r="AU1442" s="13"/>
      <c r="AV1442" s="13"/>
      <c r="AW1442" s="13"/>
      <c r="AX1442" s="13"/>
      <c r="AY1442" s="15"/>
      <c r="AZ1442" s="15"/>
      <c r="BA1442" s="16"/>
      <c r="BB1442" s="15"/>
      <c r="BC1442" s="15"/>
      <c r="BD1442" s="13"/>
      <c r="BE1442" s="13"/>
      <c r="BF1442" s="13"/>
      <c r="BG1442" s="13"/>
      <c r="BH1442" s="13"/>
      <c r="BI1442" s="13"/>
      <c r="BJ1442" s="13"/>
      <c r="BK1442" s="13"/>
      <c r="BL1442" s="13"/>
      <c r="BM1442" s="13"/>
      <c r="BN1442" s="13"/>
      <c r="BO1442" s="13"/>
      <c r="BP1442" s="13"/>
      <c r="BQ1442" s="15"/>
      <c r="BR1442" s="15"/>
      <c r="BS1442" s="15"/>
      <c r="BT1442" s="15"/>
      <c r="BU1442" s="15"/>
      <c r="BV1442" s="15"/>
      <c r="BW1442" s="15"/>
      <c r="BX1442" s="15"/>
      <c r="BY1442" s="15"/>
      <c r="BZ1442" s="15"/>
      <c r="CA1442" s="15"/>
      <c r="CB1442" s="17"/>
      <c r="CC1442" s="17"/>
      <c r="CD1442" s="18"/>
      <c r="CE1442" s="18"/>
      <c r="CF1442" s="18"/>
      <c r="CG1442" s="18"/>
      <c r="CH1442" s="18"/>
    </row>
    <row r="1443">
      <c r="A1443" s="15"/>
      <c r="B1443" s="16"/>
      <c r="C1443" s="15"/>
      <c r="D1443" s="9"/>
      <c r="E1443" s="15"/>
      <c r="F1443" s="15"/>
      <c r="G1443" s="13"/>
      <c r="H1443" s="13"/>
      <c r="I1443" s="13"/>
      <c r="J1443" s="13"/>
      <c r="K1443" s="13"/>
      <c r="L1443" s="13"/>
      <c r="M1443" s="13"/>
      <c r="N1443" s="13"/>
      <c r="O1443" s="13"/>
      <c r="P1443" s="13"/>
      <c r="Q1443" s="13"/>
      <c r="R1443" s="13"/>
      <c r="S1443" s="13"/>
      <c r="T1443" s="13"/>
      <c r="U1443" s="13"/>
      <c r="V1443" s="13"/>
      <c r="W1443" s="13"/>
      <c r="X1443" s="13"/>
      <c r="Y1443" s="13"/>
      <c r="Z1443" s="13"/>
      <c r="AA1443" s="13"/>
      <c r="AB1443" s="15"/>
      <c r="AC1443" s="15"/>
      <c r="AD1443" s="15"/>
      <c r="AE1443" s="13"/>
      <c r="AF1443" s="13"/>
      <c r="AG1443" s="13"/>
      <c r="AH1443" s="15"/>
      <c r="AI1443" s="13"/>
      <c r="AJ1443" s="13"/>
      <c r="AK1443" s="13"/>
      <c r="AL1443" s="13"/>
      <c r="AM1443" s="15"/>
      <c r="AN1443" s="13"/>
      <c r="AO1443" s="15"/>
      <c r="AP1443" s="15"/>
      <c r="AQ1443" s="13"/>
      <c r="AR1443" s="13"/>
      <c r="AS1443" s="13"/>
      <c r="AT1443" s="13"/>
      <c r="AU1443" s="13"/>
      <c r="AV1443" s="13"/>
      <c r="AW1443" s="13"/>
      <c r="AX1443" s="13"/>
      <c r="AY1443" s="15"/>
      <c r="AZ1443" s="15"/>
      <c r="BA1443" s="16"/>
      <c r="BB1443" s="15"/>
      <c r="BC1443" s="15"/>
      <c r="BD1443" s="13"/>
      <c r="BE1443" s="13"/>
      <c r="BF1443" s="13"/>
      <c r="BG1443" s="13"/>
      <c r="BH1443" s="13"/>
      <c r="BI1443" s="13"/>
      <c r="BJ1443" s="13"/>
      <c r="BK1443" s="13"/>
      <c r="BL1443" s="13"/>
      <c r="BM1443" s="13"/>
      <c r="BN1443" s="13"/>
      <c r="BO1443" s="13"/>
      <c r="BP1443" s="13"/>
      <c r="BQ1443" s="15"/>
      <c r="BR1443" s="15"/>
      <c r="BS1443" s="15"/>
      <c r="BT1443" s="15"/>
      <c r="BU1443" s="15"/>
      <c r="BV1443" s="15"/>
      <c r="BW1443" s="15"/>
      <c r="BX1443" s="15"/>
      <c r="BY1443" s="15"/>
      <c r="BZ1443" s="15"/>
      <c r="CA1443" s="15"/>
      <c r="CB1443" s="17"/>
      <c r="CC1443" s="17"/>
      <c r="CD1443" s="18"/>
      <c r="CE1443" s="18"/>
      <c r="CF1443" s="18"/>
      <c r="CG1443" s="18"/>
      <c r="CH1443" s="18"/>
    </row>
    <row r="1444">
      <c r="A1444" s="15"/>
      <c r="B1444" s="16"/>
      <c r="C1444" s="15"/>
      <c r="D1444" s="9"/>
      <c r="E1444" s="15"/>
      <c r="F1444" s="15"/>
      <c r="G1444" s="13"/>
      <c r="H1444" s="13"/>
      <c r="I1444" s="13"/>
      <c r="J1444" s="13"/>
      <c r="K1444" s="13"/>
      <c r="L1444" s="13"/>
      <c r="M1444" s="13"/>
      <c r="N1444" s="13"/>
      <c r="O1444" s="13"/>
      <c r="P1444" s="13"/>
      <c r="Q1444" s="13"/>
      <c r="R1444" s="13"/>
      <c r="S1444" s="13"/>
      <c r="T1444" s="13"/>
      <c r="U1444" s="13"/>
      <c r="V1444" s="13"/>
      <c r="W1444" s="13"/>
      <c r="X1444" s="13"/>
      <c r="Y1444" s="13"/>
      <c r="Z1444" s="13"/>
      <c r="AA1444" s="13"/>
      <c r="AB1444" s="15"/>
      <c r="AC1444" s="15"/>
      <c r="AD1444" s="15"/>
      <c r="AE1444" s="13"/>
      <c r="AF1444" s="13"/>
      <c r="AG1444" s="13"/>
      <c r="AH1444" s="15"/>
      <c r="AI1444" s="13"/>
      <c r="AJ1444" s="13"/>
      <c r="AK1444" s="13"/>
      <c r="AL1444" s="13"/>
      <c r="AM1444" s="15"/>
      <c r="AN1444" s="13"/>
      <c r="AO1444" s="15"/>
      <c r="AP1444" s="15"/>
      <c r="AQ1444" s="13"/>
      <c r="AR1444" s="13"/>
      <c r="AS1444" s="13"/>
      <c r="AT1444" s="13"/>
      <c r="AU1444" s="13"/>
      <c r="AV1444" s="13"/>
      <c r="AW1444" s="13"/>
      <c r="AX1444" s="13"/>
      <c r="AY1444" s="15"/>
      <c r="AZ1444" s="15"/>
      <c r="BA1444" s="16"/>
      <c r="BB1444" s="15"/>
      <c r="BC1444" s="15"/>
      <c r="BD1444" s="13"/>
      <c r="BE1444" s="13"/>
      <c r="BF1444" s="13"/>
      <c r="BG1444" s="13"/>
      <c r="BH1444" s="13"/>
      <c r="BI1444" s="13"/>
      <c r="BJ1444" s="13"/>
      <c r="BK1444" s="13"/>
      <c r="BL1444" s="13"/>
      <c r="BM1444" s="13"/>
      <c r="BN1444" s="13"/>
      <c r="BO1444" s="13"/>
      <c r="BP1444" s="13"/>
      <c r="BQ1444" s="15"/>
      <c r="BR1444" s="15"/>
      <c r="BS1444" s="15"/>
      <c r="BT1444" s="15"/>
      <c r="BU1444" s="15"/>
      <c r="BV1444" s="15"/>
      <c r="BW1444" s="15"/>
      <c r="BX1444" s="15"/>
      <c r="BY1444" s="15"/>
      <c r="BZ1444" s="15"/>
      <c r="CA1444" s="15"/>
      <c r="CB1444" s="17"/>
      <c r="CC1444" s="17"/>
      <c r="CD1444" s="18"/>
      <c r="CE1444" s="18"/>
      <c r="CF1444" s="18"/>
      <c r="CG1444" s="18"/>
      <c r="CH1444" s="18"/>
    </row>
    <row r="1445">
      <c r="A1445" s="15"/>
      <c r="B1445" s="16"/>
      <c r="C1445" s="15"/>
      <c r="D1445" s="9"/>
      <c r="E1445" s="15"/>
      <c r="F1445" s="15"/>
      <c r="G1445" s="13"/>
      <c r="H1445" s="13"/>
      <c r="I1445" s="13"/>
      <c r="J1445" s="13"/>
      <c r="K1445" s="13"/>
      <c r="L1445" s="13"/>
      <c r="M1445" s="13"/>
      <c r="N1445" s="13"/>
      <c r="O1445" s="13"/>
      <c r="P1445" s="13"/>
      <c r="Q1445" s="13"/>
      <c r="R1445" s="13"/>
      <c r="S1445" s="13"/>
      <c r="T1445" s="13"/>
      <c r="U1445" s="13"/>
      <c r="V1445" s="13"/>
      <c r="W1445" s="13"/>
      <c r="X1445" s="13"/>
      <c r="Y1445" s="13"/>
      <c r="Z1445" s="13"/>
      <c r="AA1445" s="13"/>
      <c r="AB1445" s="15"/>
      <c r="AC1445" s="15"/>
      <c r="AD1445" s="15"/>
      <c r="AE1445" s="13"/>
      <c r="AF1445" s="13"/>
      <c r="AG1445" s="13"/>
      <c r="AH1445" s="15"/>
      <c r="AI1445" s="13"/>
      <c r="AJ1445" s="13"/>
      <c r="AK1445" s="13"/>
      <c r="AL1445" s="13"/>
      <c r="AM1445" s="15"/>
      <c r="AN1445" s="13"/>
      <c r="AO1445" s="15"/>
      <c r="AP1445" s="15"/>
      <c r="AQ1445" s="13"/>
      <c r="AR1445" s="13"/>
      <c r="AS1445" s="13"/>
      <c r="AT1445" s="13"/>
      <c r="AU1445" s="13"/>
      <c r="AV1445" s="13"/>
      <c r="AW1445" s="13"/>
      <c r="AX1445" s="13"/>
      <c r="AY1445" s="15"/>
      <c r="AZ1445" s="15"/>
      <c r="BA1445" s="16"/>
      <c r="BB1445" s="15"/>
      <c r="BC1445" s="15"/>
      <c r="BD1445" s="13"/>
      <c r="BE1445" s="13"/>
      <c r="BF1445" s="13"/>
      <c r="BG1445" s="13"/>
      <c r="BH1445" s="13"/>
      <c r="BI1445" s="13"/>
      <c r="BJ1445" s="13"/>
      <c r="BK1445" s="13"/>
      <c r="BL1445" s="13"/>
      <c r="BM1445" s="13"/>
      <c r="BN1445" s="13"/>
      <c r="BO1445" s="13"/>
      <c r="BP1445" s="13"/>
      <c r="BQ1445" s="15"/>
      <c r="BR1445" s="15"/>
      <c r="BS1445" s="15"/>
      <c r="BT1445" s="15"/>
      <c r="BU1445" s="15"/>
      <c r="BV1445" s="15"/>
      <c r="BW1445" s="15"/>
      <c r="BX1445" s="15"/>
      <c r="BY1445" s="15"/>
      <c r="BZ1445" s="15"/>
      <c r="CA1445" s="15"/>
      <c r="CB1445" s="17"/>
      <c r="CC1445" s="17"/>
      <c r="CD1445" s="18"/>
      <c r="CE1445" s="18"/>
      <c r="CF1445" s="18"/>
      <c r="CG1445" s="18"/>
      <c r="CH1445" s="18"/>
    </row>
    <row r="1446">
      <c r="A1446" s="15"/>
      <c r="B1446" s="16"/>
      <c r="C1446" s="15"/>
      <c r="D1446" s="9"/>
      <c r="E1446" s="15"/>
      <c r="F1446" s="15"/>
      <c r="G1446" s="13"/>
      <c r="H1446" s="13"/>
      <c r="I1446" s="13"/>
      <c r="J1446" s="13"/>
      <c r="K1446" s="13"/>
      <c r="L1446" s="13"/>
      <c r="M1446" s="13"/>
      <c r="N1446" s="13"/>
      <c r="O1446" s="13"/>
      <c r="P1446" s="13"/>
      <c r="Q1446" s="13"/>
      <c r="R1446" s="13"/>
      <c r="S1446" s="13"/>
      <c r="T1446" s="13"/>
      <c r="U1446" s="13"/>
      <c r="V1446" s="13"/>
      <c r="W1446" s="13"/>
      <c r="X1446" s="13"/>
      <c r="Y1446" s="13"/>
      <c r="Z1446" s="13"/>
      <c r="AA1446" s="13"/>
      <c r="AB1446" s="15"/>
      <c r="AC1446" s="15"/>
      <c r="AD1446" s="15"/>
      <c r="AE1446" s="13"/>
      <c r="AF1446" s="13"/>
      <c r="AG1446" s="13"/>
      <c r="AH1446" s="15"/>
      <c r="AI1446" s="13"/>
      <c r="AJ1446" s="13"/>
      <c r="AK1446" s="13"/>
      <c r="AL1446" s="13"/>
      <c r="AM1446" s="15"/>
      <c r="AN1446" s="13"/>
      <c r="AO1446" s="15"/>
      <c r="AP1446" s="15"/>
      <c r="AQ1446" s="13"/>
      <c r="AR1446" s="13"/>
      <c r="AS1446" s="13"/>
      <c r="AT1446" s="13"/>
      <c r="AU1446" s="13"/>
      <c r="AV1446" s="13"/>
      <c r="AW1446" s="13"/>
      <c r="AX1446" s="13"/>
      <c r="AY1446" s="15"/>
      <c r="AZ1446" s="15"/>
      <c r="BA1446" s="16"/>
      <c r="BB1446" s="15"/>
      <c r="BC1446" s="15"/>
      <c r="BD1446" s="13"/>
      <c r="BE1446" s="13"/>
      <c r="BF1446" s="13"/>
      <c r="BG1446" s="13"/>
      <c r="BH1446" s="13"/>
      <c r="BI1446" s="13"/>
      <c r="BJ1446" s="13"/>
      <c r="BK1446" s="13"/>
      <c r="BL1446" s="13"/>
      <c r="BM1446" s="13"/>
      <c r="BN1446" s="13"/>
      <c r="BO1446" s="13"/>
      <c r="BP1446" s="13"/>
      <c r="BQ1446" s="15"/>
      <c r="BR1446" s="15"/>
      <c r="BS1446" s="15"/>
      <c r="BT1446" s="15"/>
      <c r="BU1446" s="15"/>
      <c r="BV1446" s="15"/>
      <c r="BW1446" s="15"/>
      <c r="BX1446" s="15"/>
      <c r="BY1446" s="15"/>
      <c r="BZ1446" s="15"/>
      <c r="CA1446" s="15"/>
      <c r="CB1446" s="17"/>
      <c r="CC1446" s="17"/>
      <c r="CD1446" s="18"/>
      <c r="CE1446" s="18"/>
      <c r="CF1446" s="18"/>
      <c r="CG1446" s="18"/>
      <c r="CH1446" s="18"/>
    </row>
    <row r="1447">
      <c r="A1447" s="15"/>
      <c r="B1447" s="16"/>
      <c r="C1447" s="15"/>
      <c r="D1447" s="9"/>
      <c r="E1447" s="15"/>
      <c r="F1447" s="15"/>
      <c r="G1447" s="13"/>
      <c r="H1447" s="13"/>
      <c r="I1447" s="13"/>
      <c r="J1447" s="13"/>
      <c r="K1447" s="13"/>
      <c r="L1447" s="13"/>
      <c r="M1447" s="13"/>
      <c r="N1447" s="13"/>
      <c r="O1447" s="13"/>
      <c r="P1447" s="13"/>
      <c r="Q1447" s="13"/>
      <c r="R1447" s="13"/>
      <c r="S1447" s="13"/>
      <c r="T1447" s="13"/>
      <c r="U1447" s="13"/>
      <c r="V1447" s="13"/>
      <c r="W1447" s="13"/>
      <c r="X1447" s="13"/>
      <c r="Y1447" s="13"/>
      <c r="Z1447" s="13"/>
      <c r="AA1447" s="13"/>
      <c r="AB1447" s="15"/>
      <c r="AC1447" s="15"/>
      <c r="AD1447" s="15"/>
      <c r="AE1447" s="13"/>
      <c r="AF1447" s="13"/>
      <c r="AG1447" s="13"/>
      <c r="AH1447" s="15"/>
      <c r="AI1447" s="13"/>
      <c r="AJ1447" s="13"/>
      <c r="AK1447" s="13"/>
      <c r="AL1447" s="13"/>
      <c r="AM1447" s="15"/>
      <c r="AN1447" s="13"/>
      <c r="AO1447" s="15"/>
      <c r="AP1447" s="15"/>
      <c r="AQ1447" s="13"/>
      <c r="AR1447" s="13"/>
      <c r="AS1447" s="13"/>
      <c r="AT1447" s="13"/>
      <c r="AU1447" s="13"/>
      <c r="AV1447" s="13"/>
      <c r="AW1447" s="13"/>
      <c r="AX1447" s="13"/>
      <c r="AY1447" s="15"/>
      <c r="AZ1447" s="15"/>
      <c r="BA1447" s="16"/>
      <c r="BB1447" s="15"/>
      <c r="BC1447" s="15"/>
      <c r="BD1447" s="13"/>
      <c r="BE1447" s="13"/>
      <c r="BF1447" s="13"/>
      <c r="BG1447" s="13"/>
      <c r="BH1447" s="13"/>
      <c r="BI1447" s="13"/>
      <c r="BJ1447" s="13"/>
      <c r="BK1447" s="13"/>
      <c r="BL1447" s="13"/>
      <c r="BM1447" s="13"/>
      <c r="BN1447" s="13"/>
      <c r="BO1447" s="13"/>
      <c r="BP1447" s="13"/>
      <c r="BQ1447" s="15"/>
      <c r="BR1447" s="15"/>
      <c r="BS1447" s="15"/>
      <c r="BT1447" s="15"/>
      <c r="BU1447" s="15"/>
      <c r="BV1447" s="15"/>
      <c r="BW1447" s="15"/>
      <c r="BX1447" s="15"/>
      <c r="BY1447" s="15"/>
      <c r="BZ1447" s="15"/>
      <c r="CA1447" s="15"/>
      <c r="CB1447" s="17"/>
      <c r="CC1447" s="17"/>
      <c r="CD1447" s="18"/>
      <c r="CE1447" s="18"/>
      <c r="CF1447" s="18"/>
      <c r="CG1447" s="18"/>
      <c r="CH1447" s="18"/>
    </row>
    <row r="1448">
      <c r="A1448" s="15"/>
      <c r="B1448" s="16"/>
      <c r="C1448" s="15"/>
      <c r="D1448" s="9"/>
      <c r="E1448" s="15"/>
      <c r="F1448" s="15"/>
      <c r="G1448" s="13"/>
      <c r="H1448" s="13"/>
      <c r="I1448" s="13"/>
      <c r="J1448" s="13"/>
      <c r="K1448" s="13"/>
      <c r="L1448" s="13"/>
      <c r="M1448" s="13"/>
      <c r="N1448" s="13"/>
      <c r="O1448" s="13"/>
      <c r="P1448" s="13"/>
      <c r="Q1448" s="13"/>
      <c r="R1448" s="13"/>
      <c r="S1448" s="13"/>
      <c r="T1448" s="13"/>
      <c r="U1448" s="13"/>
      <c r="V1448" s="13"/>
      <c r="W1448" s="13"/>
      <c r="X1448" s="13"/>
      <c r="Y1448" s="13"/>
      <c r="Z1448" s="13"/>
      <c r="AA1448" s="13"/>
      <c r="AB1448" s="15"/>
      <c r="AC1448" s="15"/>
      <c r="AD1448" s="15"/>
      <c r="AE1448" s="13"/>
      <c r="AF1448" s="13"/>
      <c r="AG1448" s="13"/>
      <c r="AH1448" s="15"/>
      <c r="AI1448" s="13"/>
      <c r="AJ1448" s="13"/>
      <c r="AK1448" s="13"/>
      <c r="AL1448" s="13"/>
      <c r="AM1448" s="15"/>
      <c r="AN1448" s="13"/>
      <c r="AO1448" s="15"/>
      <c r="AP1448" s="15"/>
      <c r="AQ1448" s="13"/>
      <c r="AR1448" s="13"/>
      <c r="AS1448" s="13"/>
      <c r="AT1448" s="13"/>
      <c r="AU1448" s="13"/>
      <c r="AV1448" s="13"/>
      <c r="AW1448" s="13"/>
      <c r="AX1448" s="13"/>
      <c r="AY1448" s="15"/>
      <c r="AZ1448" s="15"/>
      <c r="BA1448" s="16"/>
      <c r="BB1448" s="15"/>
      <c r="BC1448" s="15"/>
      <c r="BD1448" s="13"/>
      <c r="BE1448" s="13"/>
      <c r="BF1448" s="13"/>
      <c r="BG1448" s="13"/>
      <c r="BH1448" s="13"/>
      <c r="BI1448" s="13"/>
      <c r="BJ1448" s="13"/>
      <c r="BK1448" s="13"/>
      <c r="BL1448" s="13"/>
      <c r="BM1448" s="13"/>
      <c r="BN1448" s="13"/>
      <c r="BO1448" s="13"/>
      <c r="BP1448" s="13"/>
      <c r="BQ1448" s="15"/>
      <c r="BR1448" s="15"/>
      <c r="BS1448" s="15"/>
      <c r="BT1448" s="15"/>
      <c r="BU1448" s="15"/>
      <c r="BV1448" s="15"/>
      <c r="BW1448" s="15"/>
      <c r="BX1448" s="15"/>
      <c r="BY1448" s="15"/>
      <c r="BZ1448" s="15"/>
      <c r="CA1448" s="15"/>
      <c r="CB1448" s="17"/>
      <c r="CC1448" s="17"/>
      <c r="CD1448" s="18"/>
      <c r="CE1448" s="18"/>
      <c r="CF1448" s="18"/>
      <c r="CG1448" s="18"/>
      <c r="CH1448" s="18"/>
    </row>
    <row r="1449">
      <c r="A1449" s="15"/>
      <c r="B1449" s="16"/>
      <c r="C1449" s="15"/>
      <c r="D1449" s="9"/>
      <c r="E1449" s="15"/>
      <c r="F1449" s="15"/>
      <c r="G1449" s="13"/>
      <c r="H1449" s="13"/>
      <c r="I1449" s="13"/>
      <c r="J1449" s="13"/>
      <c r="K1449" s="13"/>
      <c r="L1449" s="13"/>
      <c r="M1449" s="13"/>
      <c r="N1449" s="13"/>
      <c r="O1449" s="13"/>
      <c r="P1449" s="13"/>
      <c r="Q1449" s="13"/>
      <c r="R1449" s="13"/>
      <c r="S1449" s="13"/>
      <c r="T1449" s="13"/>
      <c r="U1449" s="13"/>
      <c r="V1449" s="13"/>
      <c r="W1449" s="13"/>
      <c r="X1449" s="13"/>
      <c r="Y1449" s="13"/>
      <c r="Z1449" s="13"/>
      <c r="AA1449" s="13"/>
      <c r="AB1449" s="15"/>
      <c r="AC1449" s="15"/>
      <c r="AD1449" s="15"/>
      <c r="AE1449" s="13"/>
      <c r="AF1449" s="13"/>
      <c r="AG1449" s="13"/>
      <c r="AH1449" s="15"/>
      <c r="AI1449" s="13"/>
      <c r="AJ1449" s="13"/>
      <c r="AK1449" s="13"/>
      <c r="AL1449" s="13"/>
      <c r="AM1449" s="15"/>
      <c r="AN1449" s="13"/>
      <c r="AO1449" s="15"/>
      <c r="AP1449" s="15"/>
      <c r="AQ1449" s="13"/>
      <c r="AR1449" s="13"/>
      <c r="AS1449" s="13"/>
      <c r="AT1449" s="13"/>
      <c r="AU1449" s="13"/>
      <c r="AV1449" s="13"/>
      <c r="AW1449" s="13"/>
      <c r="AX1449" s="13"/>
      <c r="AY1449" s="15"/>
      <c r="AZ1449" s="15"/>
      <c r="BA1449" s="16"/>
      <c r="BB1449" s="15"/>
      <c r="BC1449" s="15"/>
      <c r="BD1449" s="13"/>
      <c r="BE1449" s="13"/>
      <c r="BF1449" s="13"/>
      <c r="BG1449" s="13"/>
      <c r="BH1449" s="13"/>
      <c r="BI1449" s="13"/>
      <c r="BJ1449" s="13"/>
      <c r="BK1449" s="13"/>
      <c r="BL1449" s="13"/>
      <c r="BM1449" s="13"/>
      <c r="BN1449" s="13"/>
      <c r="BO1449" s="13"/>
      <c r="BP1449" s="13"/>
      <c r="BQ1449" s="15"/>
      <c r="BR1449" s="15"/>
      <c r="BS1449" s="15"/>
      <c r="BT1449" s="15"/>
      <c r="BU1449" s="15"/>
      <c r="BV1449" s="15"/>
      <c r="BW1449" s="15"/>
      <c r="BX1449" s="15"/>
      <c r="BY1449" s="15"/>
      <c r="BZ1449" s="15"/>
      <c r="CA1449" s="15"/>
      <c r="CB1449" s="17"/>
      <c r="CC1449" s="17"/>
      <c r="CD1449" s="18"/>
      <c r="CE1449" s="18"/>
      <c r="CF1449" s="18"/>
      <c r="CG1449" s="18"/>
      <c r="CH1449" s="18"/>
    </row>
    <row r="1450">
      <c r="A1450" s="15"/>
      <c r="B1450" s="16"/>
      <c r="C1450" s="15"/>
      <c r="D1450" s="9"/>
      <c r="E1450" s="15"/>
      <c r="F1450" s="15"/>
      <c r="G1450" s="13"/>
      <c r="H1450" s="13"/>
      <c r="I1450" s="13"/>
      <c r="J1450" s="13"/>
      <c r="K1450" s="13"/>
      <c r="L1450" s="13"/>
      <c r="M1450" s="13"/>
      <c r="N1450" s="13"/>
      <c r="O1450" s="13"/>
      <c r="P1450" s="13"/>
      <c r="Q1450" s="13"/>
      <c r="R1450" s="13"/>
      <c r="S1450" s="13"/>
      <c r="T1450" s="13"/>
      <c r="U1450" s="13"/>
      <c r="V1450" s="13"/>
      <c r="W1450" s="13"/>
      <c r="X1450" s="13"/>
      <c r="Y1450" s="13"/>
      <c r="Z1450" s="13"/>
      <c r="AA1450" s="13"/>
      <c r="AB1450" s="15"/>
      <c r="AC1450" s="15"/>
      <c r="AD1450" s="15"/>
      <c r="AE1450" s="13"/>
      <c r="AF1450" s="13"/>
      <c r="AG1450" s="13"/>
      <c r="AH1450" s="15"/>
      <c r="AI1450" s="13"/>
      <c r="AJ1450" s="13"/>
      <c r="AK1450" s="13"/>
      <c r="AL1450" s="13"/>
      <c r="AM1450" s="15"/>
      <c r="AN1450" s="13"/>
      <c r="AO1450" s="15"/>
      <c r="AP1450" s="15"/>
      <c r="AQ1450" s="13"/>
      <c r="AR1450" s="13"/>
      <c r="AS1450" s="13"/>
      <c r="AT1450" s="13"/>
      <c r="AU1450" s="13"/>
      <c r="AV1450" s="13"/>
      <c r="AW1450" s="13"/>
      <c r="AX1450" s="13"/>
      <c r="AY1450" s="15"/>
      <c r="AZ1450" s="15"/>
      <c r="BA1450" s="16"/>
      <c r="BB1450" s="15"/>
      <c r="BC1450" s="15"/>
      <c r="BD1450" s="13"/>
      <c r="BE1450" s="13"/>
      <c r="BF1450" s="13"/>
      <c r="BG1450" s="13"/>
      <c r="BH1450" s="13"/>
      <c r="BI1450" s="13"/>
      <c r="BJ1450" s="13"/>
      <c r="BK1450" s="13"/>
      <c r="BL1450" s="13"/>
      <c r="BM1450" s="13"/>
      <c r="BN1450" s="13"/>
      <c r="BO1450" s="13"/>
      <c r="BP1450" s="13"/>
      <c r="BQ1450" s="15"/>
      <c r="BR1450" s="15"/>
      <c r="BS1450" s="15"/>
      <c r="BT1450" s="15"/>
      <c r="BU1450" s="15"/>
      <c r="BV1450" s="15"/>
      <c r="BW1450" s="15"/>
      <c r="BX1450" s="15"/>
      <c r="BY1450" s="15"/>
      <c r="BZ1450" s="15"/>
      <c r="CA1450" s="15"/>
      <c r="CB1450" s="17"/>
      <c r="CC1450" s="17"/>
      <c r="CD1450" s="18"/>
      <c r="CE1450" s="18"/>
      <c r="CF1450" s="18"/>
      <c r="CG1450" s="18"/>
      <c r="CH1450" s="18"/>
    </row>
    <row r="1451">
      <c r="A1451" s="15"/>
      <c r="B1451" s="16"/>
      <c r="C1451" s="15"/>
      <c r="D1451" s="9"/>
      <c r="E1451" s="15"/>
      <c r="F1451" s="15"/>
      <c r="G1451" s="13"/>
      <c r="H1451" s="13"/>
      <c r="I1451" s="13"/>
      <c r="J1451" s="13"/>
      <c r="K1451" s="13"/>
      <c r="L1451" s="13"/>
      <c r="M1451" s="13"/>
      <c r="N1451" s="13"/>
      <c r="O1451" s="13"/>
      <c r="P1451" s="13"/>
      <c r="Q1451" s="13"/>
      <c r="R1451" s="13"/>
      <c r="S1451" s="13"/>
      <c r="T1451" s="13"/>
      <c r="U1451" s="13"/>
      <c r="V1451" s="13"/>
      <c r="W1451" s="13"/>
      <c r="X1451" s="13"/>
      <c r="Y1451" s="13"/>
      <c r="Z1451" s="13"/>
      <c r="AA1451" s="13"/>
      <c r="AB1451" s="15"/>
      <c r="AC1451" s="15"/>
      <c r="AD1451" s="15"/>
      <c r="AE1451" s="13"/>
      <c r="AF1451" s="13"/>
      <c r="AG1451" s="13"/>
      <c r="AH1451" s="15"/>
      <c r="AI1451" s="13"/>
      <c r="AJ1451" s="13"/>
      <c r="AK1451" s="13"/>
      <c r="AL1451" s="13"/>
      <c r="AM1451" s="15"/>
      <c r="AN1451" s="13"/>
      <c r="AO1451" s="15"/>
      <c r="AP1451" s="15"/>
      <c r="AQ1451" s="13"/>
      <c r="AR1451" s="13"/>
      <c r="AS1451" s="13"/>
      <c r="AT1451" s="13"/>
      <c r="AU1451" s="13"/>
      <c r="AV1451" s="13"/>
      <c r="AW1451" s="13"/>
      <c r="AX1451" s="13"/>
      <c r="AY1451" s="15"/>
      <c r="AZ1451" s="15"/>
      <c r="BA1451" s="16"/>
      <c r="BB1451" s="15"/>
      <c r="BC1451" s="15"/>
      <c r="BD1451" s="13"/>
      <c r="BE1451" s="13"/>
      <c r="BF1451" s="13"/>
      <c r="BG1451" s="13"/>
      <c r="BH1451" s="13"/>
      <c r="BI1451" s="13"/>
      <c r="BJ1451" s="13"/>
      <c r="BK1451" s="13"/>
      <c r="BL1451" s="13"/>
      <c r="BM1451" s="13"/>
      <c r="BN1451" s="13"/>
      <c r="BO1451" s="13"/>
      <c r="BP1451" s="13"/>
      <c r="BQ1451" s="15"/>
      <c r="BR1451" s="15"/>
      <c r="BS1451" s="15"/>
      <c r="BT1451" s="15"/>
      <c r="BU1451" s="15"/>
      <c r="BV1451" s="15"/>
      <c r="BW1451" s="15"/>
      <c r="BX1451" s="15"/>
      <c r="BY1451" s="15"/>
      <c r="BZ1451" s="15"/>
      <c r="CA1451" s="15"/>
      <c r="CB1451" s="17"/>
      <c r="CC1451" s="17"/>
      <c r="CD1451" s="18"/>
      <c r="CE1451" s="18"/>
      <c r="CF1451" s="18"/>
      <c r="CG1451" s="18"/>
      <c r="CH1451" s="18"/>
    </row>
    <row r="1452">
      <c r="A1452" s="15"/>
      <c r="B1452" s="16"/>
      <c r="C1452" s="15"/>
      <c r="D1452" s="9"/>
      <c r="E1452" s="15"/>
      <c r="F1452" s="15"/>
      <c r="G1452" s="13"/>
      <c r="H1452" s="13"/>
      <c r="I1452" s="13"/>
      <c r="J1452" s="13"/>
      <c r="K1452" s="13"/>
      <c r="L1452" s="13"/>
      <c r="M1452" s="13"/>
      <c r="N1452" s="13"/>
      <c r="O1452" s="13"/>
      <c r="P1452" s="13"/>
      <c r="Q1452" s="13"/>
      <c r="R1452" s="13"/>
      <c r="S1452" s="13"/>
      <c r="T1452" s="13"/>
      <c r="U1452" s="13"/>
      <c r="V1452" s="13"/>
      <c r="W1452" s="13"/>
      <c r="X1452" s="13"/>
      <c r="Y1452" s="13"/>
      <c r="Z1452" s="13"/>
      <c r="AA1452" s="13"/>
      <c r="AB1452" s="15"/>
      <c r="AC1452" s="15"/>
      <c r="AD1452" s="15"/>
      <c r="AE1452" s="13"/>
      <c r="AF1452" s="13"/>
      <c r="AG1452" s="13"/>
      <c r="AH1452" s="15"/>
      <c r="AI1452" s="13"/>
      <c r="AJ1452" s="13"/>
      <c r="AK1452" s="13"/>
      <c r="AL1452" s="13"/>
      <c r="AM1452" s="15"/>
      <c r="AN1452" s="13"/>
      <c r="AO1452" s="15"/>
      <c r="AP1452" s="15"/>
      <c r="AQ1452" s="13"/>
      <c r="AR1452" s="13"/>
      <c r="AS1452" s="13"/>
      <c r="AT1452" s="13"/>
      <c r="AU1452" s="13"/>
      <c r="AV1452" s="13"/>
      <c r="AW1452" s="13"/>
      <c r="AX1452" s="13"/>
      <c r="AY1452" s="15"/>
      <c r="AZ1452" s="15"/>
      <c r="BA1452" s="16"/>
      <c r="BB1452" s="15"/>
      <c r="BC1452" s="15"/>
      <c r="BD1452" s="13"/>
      <c r="BE1452" s="13"/>
      <c r="BF1452" s="13"/>
      <c r="BG1452" s="13"/>
      <c r="BH1452" s="13"/>
      <c r="BI1452" s="13"/>
      <c r="BJ1452" s="13"/>
      <c r="BK1452" s="13"/>
      <c r="BL1452" s="13"/>
      <c r="BM1452" s="13"/>
      <c r="BN1452" s="13"/>
      <c r="BO1452" s="13"/>
      <c r="BP1452" s="13"/>
      <c r="BQ1452" s="15"/>
      <c r="BR1452" s="15"/>
      <c r="BS1452" s="15"/>
      <c r="BT1452" s="15"/>
      <c r="BU1452" s="15"/>
      <c r="BV1452" s="15"/>
      <c r="BW1452" s="15"/>
      <c r="BX1452" s="15"/>
      <c r="BY1452" s="15"/>
      <c r="BZ1452" s="15"/>
      <c r="CA1452" s="15"/>
      <c r="CB1452" s="17"/>
      <c r="CC1452" s="17"/>
      <c r="CD1452" s="18"/>
      <c r="CE1452" s="18"/>
      <c r="CF1452" s="18"/>
      <c r="CG1452" s="18"/>
      <c r="CH1452" s="18"/>
    </row>
    <row r="1453">
      <c r="A1453" s="15"/>
      <c r="B1453" s="16"/>
      <c r="C1453" s="15"/>
      <c r="D1453" s="9"/>
      <c r="E1453" s="15"/>
      <c r="F1453" s="15"/>
      <c r="G1453" s="13"/>
      <c r="H1453" s="13"/>
      <c r="I1453" s="13"/>
      <c r="J1453" s="13"/>
      <c r="K1453" s="13"/>
      <c r="L1453" s="13"/>
      <c r="M1453" s="13"/>
      <c r="N1453" s="13"/>
      <c r="O1453" s="13"/>
      <c r="P1453" s="13"/>
      <c r="Q1453" s="13"/>
      <c r="R1453" s="13"/>
      <c r="S1453" s="13"/>
      <c r="T1453" s="13"/>
      <c r="U1453" s="13"/>
      <c r="V1453" s="13"/>
      <c r="W1453" s="13"/>
      <c r="X1453" s="13"/>
      <c r="Y1453" s="13"/>
      <c r="Z1453" s="13"/>
      <c r="AA1453" s="13"/>
      <c r="AB1453" s="15"/>
      <c r="AC1453" s="15"/>
      <c r="AD1453" s="15"/>
      <c r="AE1453" s="13"/>
      <c r="AF1453" s="13"/>
      <c r="AG1453" s="13"/>
      <c r="AH1453" s="15"/>
      <c r="AI1453" s="13"/>
      <c r="AJ1453" s="13"/>
      <c r="AK1453" s="13"/>
      <c r="AL1453" s="13"/>
      <c r="AM1453" s="15"/>
      <c r="AN1453" s="13"/>
      <c r="AO1453" s="15"/>
      <c r="AP1453" s="15"/>
      <c r="AQ1453" s="13"/>
      <c r="AR1453" s="13"/>
      <c r="AS1453" s="13"/>
      <c r="AT1453" s="13"/>
      <c r="AU1453" s="13"/>
      <c r="AV1453" s="13"/>
      <c r="AW1453" s="13"/>
      <c r="AX1453" s="13"/>
      <c r="AY1453" s="15"/>
      <c r="AZ1453" s="15"/>
      <c r="BA1453" s="16"/>
      <c r="BB1453" s="15"/>
      <c r="BC1453" s="15"/>
      <c r="BD1453" s="13"/>
      <c r="BE1453" s="13"/>
      <c r="BF1453" s="13"/>
      <c r="BG1453" s="13"/>
      <c r="BH1453" s="13"/>
      <c r="BI1453" s="13"/>
      <c r="BJ1453" s="13"/>
      <c r="BK1453" s="13"/>
      <c r="BL1453" s="13"/>
      <c r="BM1453" s="13"/>
      <c r="BN1453" s="13"/>
      <c r="BO1453" s="13"/>
      <c r="BP1453" s="13"/>
      <c r="BQ1453" s="15"/>
      <c r="BR1453" s="15"/>
      <c r="BS1453" s="15"/>
      <c r="BT1453" s="15"/>
      <c r="BU1453" s="15"/>
      <c r="BV1453" s="15"/>
      <c r="BW1453" s="15"/>
      <c r="BX1453" s="15"/>
      <c r="BY1453" s="15"/>
      <c r="BZ1453" s="15"/>
      <c r="CA1453" s="15"/>
      <c r="CB1453" s="17"/>
      <c r="CC1453" s="17"/>
      <c r="CD1453" s="18"/>
      <c r="CE1453" s="18"/>
      <c r="CF1453" s="18"/>
      <c r="CG1453" s="18"/>
      <c r="CH1453" s="18"/>
    </row>
    <row r="1454">
      <c r="A1454" s="15"/>
      <c r="B1454" s="16"/>
      <c r="C1454" s="15"/>
      <c r="D1454" s="9"/>
      <c r="E1454" s="15"/>
      <c r="F1454" s="15"/>
      <c r="G1454" s="13"/>
      <c r="H1454" s="13"/>
      <c r="I1454" s="13"/>
      <c r="J1454" s="13"/>
      <c r="K1454" s="13"/>
      <c r="L1454" s="13"/>
      <c r="M1454" s="13"/>
      <c r="N1454" s="13"/>
      <c r="O1454" s="13"/>
      <c r="P1454" s="13"/>
      <c r="Q1454" s="13"/>
      <c r="R1454" s="13"/>
      <c r="S1454" s="13"/>
      <c r="T1454" s="13"/>
      <c r="U1454" s="13"/>
      <c r="V1454" s="13"/>
      <c r="W1454" s="13"/>
      <c r="X1454" s="13"/>
      <c r="Y1454" s="13"/>
      <c r="Z1454" s="13"/>
      <c r="AA1454" s="13"/>
      <c r="AB1454" s="15"/>
      <c r="AC1454" s="15"/>
      <c r="AD1454" s="15"/>
      <c r="AE1454" s="13"/>
      <c r="AF1454" s="13"/>
      <c r="AG1454" s="13"/>
      <c r="AH1454" s="15"/>
      <c r="AI1454" s="13"/>
      <c r="AJ1454" s="13"/>
      <c r="AK1454" s="13"/>
      <c r="AL1454" s="13"/>
      <c r="AM1454" s="15"/>
      <c r="AN1454" s="13"/>
      <c r="AO1454" s="15"/>
      <c r="AP1454" s="15"/>
      <c r="AQ1454" s="13"/>
      <c r="AR1454" s="13"/>
      <c r="AS1454" s="13"/>
      <c r="AT1454" s="13"/>
      <c r="AU1454" s="13"/>
      <c r="AV1454" s="13"/>
      <c r="AW1454" s="13"/>
      <c r="AX1454" s="13"/>
      <c r="AY1454" s="15"/>
      <c r="AZ1454" s="15"/>
      <c r="BA1454" s="16"/>
      <c r="BB1454" s="15"/>
      <c r="BC1454" s="15"/>
      <c r="BD1454" s="13"/>
      <c r="BE1454" s="13"/>
      <c r="BF1454" s="13"/>
      <c r="BG1454" s="13"/>
      <c r="BH1454" s="13"/>
      <c r="BI1454" s="13"/>
      <c r="BJ1454" s="13"/>
      <c r="BK1454" s="13"/>
      <c r="BL1454" s="13"/>
      <c r="BM1454" s="13"/>
      <c r="BN1454" s="13"/>
      <c r="BO1454" s="13"/>
      <c r="BP1454" s="13"/>
      <c r="BQ1454" s="15"/>
      <c r="BR1454" s="15"/>
      <c r="BS1454" s="15"/>
      <c r="BT1454" s="15"/>
      <c r="BU1454" s="15"/>
      <c r="BV1454" s="15"/>
      <c r="BW1454" s="15"/>
      <c r="BX1454" s="15"/>
      <c r="BY1454" s="15"/>
      <c r="BZ1454" s="15"/>
      <c r="CA1454" s="15"/>
      <c r="CB1454" s="17"/>
      <c r="CC1454" s="17"/>
      <c r="CD1454" s="18"/>
      <c r="CE1454" s="18"/>
      <c r="CF1454" s="18"/>
      <c r="CG1454" s="18"/>
      <c r="CH1454" s="18"/>
    </row>
    <row r="1455">
      <c r="A1455" s="15"/>
      <c r="B1455" s="16"/>
      <c r="C1455" s="15"/>
      <c r="D1455" s="9"/>
      <c r="E1455" s="15"/>
      <c r="F1455" s="15"/>
      <c r="G1455" s="13"/>
      <c r="H1455" s="13"/>
      <c r="I1455" s="13"/>
      <c r="J1455" s="13"/>
      <c r="K1455" s="13"/>
      <c r="L1455" s="13"/>
      <c r="M1455" s="13"/>
      <c r="N1455" s="13"/>
      <c r="O1455" s="13"/>
      <c r="P1455" s="13"/>
      <c r="Q1455" s="13"/>
      <c r="R1455" s="13"/>
      <c r="S1455" s="13"/>
      <c r="T1455" s="13"/>
      <c r="U1455" s="13"/>
      <c r="V1455" s="13"/>
      <c r="W1455" s="13"/>
      <c r="X1455" s="13"/>
      <c r="Y1455" s="13"/>
      <c r="Z1455" s="13"/>
      <c r="AA1455" s="13"/>
      <c r="AB1455" s="15"/>
      <c r="AC1455" s="15"/>
      <c r="AD1455" s="15"/>
      <c r="AE1455" s="13"/>
      <c r="AF1455" s="13"/>
      <c r="AG1455" s="13"/>
      <c r="AH1455" s="15"/>
      <c r="AI1455" s="13"/>
      <c r="AJ1455" s="13"/>
      <c r="AK1455" s="13"/>
      <c r="AL1455" s="13"/>
      <c r="AM1455" s="15"/>
      <c r="AN1455" s="13"/>
      <c r="AO1455" s="15"/>
      <c r="AP1455" s="15"/>
      <c r="AQ1455" s="13"/>
      <c r="AR1455" s="13"/>
      <c r="AS1455" s="13"/>
      <c r="AT1455" s="13"/>
      <c r="AU1455" s="13"/>
      <c r="AV1455" s="13"/>
      <c r="AW1455" s="13"/>
      <c r="AX1455" s="13"/>
      <c r="AY1455" s="15"/>
      <c r="AZ1455" s="15"/>
      <c r="BA1455" s="16"/>
      <c r="BB1455" s="15"/>
      <c r="BC1455" s="15"/>
      <c r="BD1455" s="13"/>
      <c r="BE1455" s="13"/>
      <c r="BF1455" s="13"/>
      <c r="BG1455" s="13"/>
      <c r="BH1455" s="13"/>
      <c r="BI1455" s="13"/>
      <c r="BJ1455" s="13"/>
      <c r="BK1455" s="13"/>
      <c r="BL1455" s="13"/>
      <c r="BM1455" s="13"/>
      <c r="BN1455" s="13"/>
      <c r="BO1455" s="13"/>
      <c r="BP1455" s="13"/>
      <c r="BQ1455" s="15"/>
      <c r="BR1455" s="15"/>
      <c r="BS1455" s="15"/>
      <c r="BT1455" s="15"/>
      <c r="BU1455" s="15"/>
      <c r="BV1455" s="15"/>
      <c r="BW1455" s="15"/>
      <c r="BX1455" s="15"/>
      <c r="BY1455" s="15"/>
      <c r="BZ1455" s="15"/>
      <c r="CA1455" s="15"/>
      <c r="CB1455" s="17"/>
      <c r="CC1455" s="17"/>
      <c r="CD1455" s="18"/>
      <c r="CE1455" s="18"/>
      <c r="CF1455" s="18"/>
      <c r="CG1455" s="18"/>
      <c r="CH1455" s="18"/>
    </row>
    <row r="1456">
      <c r="A1456" s="15"/>
      <c r="B1456" s="16"/>
      <c r="C1456" s="15"/>
      <c r="D1456" s="9"/>
      <c r="E1456" s="15"/>
      <c r="F1456" s="15"/>
      <c r="G1456" s="13"/>
      <c r="H1456" s="13"/>
      <c r="I1456" s="13"/>
      <c r="J1456" s="13"/>
      <c r="K1456" s="13"/>
      <c r="L1456" s="13"/>
      <c r="M1456" s="13"/>
      <c r="N1456" s="13"/>
      <c r="O1456" s="13"/>
      <c r="P1456" s="13"/>
      <c r="Q1456" s="13"/>
      <c r="R1456" s="13"/>
      <c r="S1456" s="13"/>
      <c r="T1456" s="13"/>
      <c r="U1456" s="13"/>
      <c r="V1456" s="13"/>
      <c r="W1456" s="13"/>
      <c r="X1456" s="13"/>
      <c r="Y1456" s="13"/>
      <c r="Z1456" s="13"/>
      <c r="AA1456" s="13"/>
      <c r="AB1456" s="15"/>
      <c r="AC1456" s="15"/>
      <c r="AD1456" s="15"/>
      <c r="AE1456" s="13"/>
      <c r="AF1456" s="13"/>
      <c r="AG1456" s="13"/>
      <c r="AH1456" s="15"/>
      <c r="AI1456" s="13"/>
      <c r="AJ1456" s="13"/>
      <c r="AK1456" s="13"/>
      <c r="AL1456" s="13"/>
      <c r="AM1456" s="15"/>
      <c r="AN1456" s="13"/>
      <c r="AO1456" s="15"/>
      <c r="AP1456" s="15"/>
      <c r="AQ1456" s="13"/>
      <c r="AR1456" s="13"/>
      <c r="AS1456" s="13"/>
      <c r="AT1456" s="13"/>
      <c r="AU1456" s="13"/>
      <c r="AV1456" s="13"/>
      <c r="AW1456" s="13"/>
      <c r="AX1456" s="13"/>
      <c r="AY1456" s="15"/>
      <c r="AZ1456" s="15"/>
      <c r="BA1456" s="16"/>
      <c r="BB1456" s="15"/>
      <c r="BC1456" s="15"/>
      <c r="BD1456" s="13"/>
      <c r="BE1456" s="13"/>
      <c r="BF1456" s="13"/>
      <c r="BG1456" s="13"/>
      <c r="BH1456" s="13"/>
      <c r="BI1456" s="13"/>
      <c r="BJ1456" s="13"/>
      <c r="BK1456" s="13"/>
      <c r="BL1456" s="13"/>
      <c r="BM1456" s="13"/>
      <c r="BN1456" s="13"/>
      <c r="BO1456" s="13"/>
      <c r="BP1456" s="13"/>
      <c r="BQ1456" s="15"/>
      <c r="BR1456" s="15"/>
      <c r="BS1456" s="15"/>
      <c r="BT1456" s="15"/>
      <c r="BU1456" s="15"/>
      <c r="BV1456" s="15"/>
      <c r="BW1456" s="15"/>
      <c r="BX1456" s="15"/>
      <c r="BY1456" s="15"/>
      <c r="BZ1456" s="15"/>
      <c r="CA1456" s="15"/>
      <c r="CB1456" s="17"/>
      <c r="CC1456" s="17"/>
      <c r="CD1456" s="18"/>
      <c r="CE1456" s="18"/>
      <c r="CF1456" s="18"/>
      <c r="CG1456" s="18"/>
      <c r="CH1456" s="18"/>
    </row>
    <row r="1457">
      <c r="A1457" s="15"/>
      <c r="B1457" s="16"/>
      <c r="C1457" s="15"/>
      <c r="D1457" s="9"/>
      <c r="E1457" s="15"/>
      <c r="F1457" s="15"/>
      <c r="G1457" s="13"/>
      <c r="H1457" s="13"/>
      <c r="I1457" s="13"/>
      <c r="J1457" s="13"/>
      <c r="K1457" s="13"/>
      <c r="L1457" s="13"/>
      <c r="M1457" s="13"/>
      <c r="N1457" s="13"/>
      <c r="O1457" s="13"/>
      <c r="P1457" s="13"/>
      <c r="Q1457" s="13"/>
      <c r="R1457" s="13"/>
      <c r="S1457" s="13"/>
      <c r="T1457" s="13"/>
      <c r="U1457" s="13"/>
      <c r="V1457" s="13"/>
      <c r="W1457" s="13"/>
      <c r="X1457" s="13"/>
      <c r="Y1457" s="13"/>
      <c r="Z1457" s="13"/>
      <c r="AA1457" s="13"/>
      <c r="AB1457" s="15"/>
      <c r="AC1457" s="15"/>
      <c r="AD1457" s="15"/>
      <c r="AE1457" s="13"/>
      <c r="AF1457" s="13"/>
      <c r="AG1457" s="13"/>
      <c r="AH1457" s="15"/>
      <c r="AI1457" s="13"/>
      <c r="AJ1457" s="13"/>
      <c r="AK1457" s="13"/>
      <c r="AL1457" s="13"/>
      <c r="AM1457" s="15"/>
      <c r="AN1457" s="13"/>
      <c r="AO1457" s="15"/>
      <c r="AP1457" s="15"/>
      <c r="AQ1457" s="13"/>
      <c r="AR1457" s="13"/>
      <c r="AS1457" s="13"/>
      <c r="AT1457" s="13"/>
      <c r="AU1457" s="13"/>
      <c r="AV1457" s="13"/>
      <c r="AW1457" s="13"/>
      <c r="AX1457" s="13"/>
      <c r="AY1457" s="15"/>
      <c r="AZ1457" s="15"/>
      <c r="BA1457" s="16"/>
      <c r="BB1457" s="15"/>
      <c r="BC1457" s="15"/>
      <c r="BD1457" s="13"/>
      <c r="BE1457" s="13"/>
      <c r="BF1457" s="13"/>
      <c r="BG1457" s="13"/>
      <c r="BH1457" s="13"/>
      <c r="BI1457" s="13"/>
      <c r="BJ1457" s="13"/>
      <c r="BK1457" s="13"/>
      <c r="BL1457" s="13"/>
      <c r="BM1457" s="13"/>
      <c r="BN1457" s="13"/>
      <c r="BO1457" s="13"/>
      <c r="BP1457" s="13"/>
      <c r="BQ1457" s="15"/>
      <c r="BR1457" s="15"/>
      <c r="BS1457" s="15"/>
      <c r="BT1457" s="15"/>
      <c r="BU1457" s="15"/>
      <c r="BV1457" s="15"/>
      <c r="BW1457" s="15"/>
      <c r="BX1457" s="15"/>
      <c r="BY1457" s="15"/>
      <c r="BZ1457" s="15"/>
      <c r="CA1457" s="15"/>
      <c r="CB1457" s="17"/>
      <c r="CC1457" s="17"/>
      <c r="CD1457" s="18"/>
      <c r="CE1457" s="18"/>
      <c r="CF1457" s="18"/>
      <c r="CG1457" s="18"/>
      <c r="CH1457" s="18"/>
    </row>
    <row r="1458">
      <c r="A1458" s="15"/>
      <c r="B1458" s="16"/>
      <c r="C1458" s="15"/>
      <c r="D1458" s="9"/>
      <c r="E1458" s="15"/>
      <c r="F1458" s="15"/>
      <c r="G1458" s="13"/>
      <c r="H1458" s="13"/>
      <c r="I1458" s="13"/>
      <c r="J1458" s="13"/>
      <c r="K1458" s="13"/>
      <c r="L1458" s="13"/>
      <c r="M1458" s="13"/>
      <c r="N1458" s="13"/>
      <c r="O1458" s="13"/>
      <c r="P1458" s="13"/>
      <c r="Q1458" s="13"/>
      <c r="R1458" s="13"/>
      <c r="S1458" s="13"/>
      <c r="T1458" s="13"/>
      <c r="U1458" s="13"/>
      <c r="V1458" s="13"/>
      <c r="W1458" s="13"/>
      <c r="X1458" s="13"/>
      <c r="Y1458" s="13"/>
      <c r="Z1458" s="13"/>
      <c r="AA1458" s="13"/>
      <c r="AB1458" s="15"/>
      <c r="AC1458" s="15"/>
      <c r="AD1458" s="15"/>
      <c r="AE1458" s="13"/>
      <c r="AF1458" s="13"/>
      <c r="AG1458" s="13"/>
      <c r="AH1458" s="15"/>
      <c r="AI1458" s="13"/>
      <c r="AJ1458" s="13"/>
      <c r="AK1458" s="13"/>
      <c r="AL1458" s="13"/>
      <c r="AM1458" s="15"/>
      <c r="AN1458" s="13"/>
      <c r="AO1458" s="15"/>
      <c r="AP1458" s="15"/>
      <c r="AQ1458" s="13"/>
      <c r="AR1458" s="13"/>
      <c r="AS1458" s="13"/>
      <c r="AT1458" s="13"/>
      <c r="AU1458" s="13"/>
      <c r="AV1458" s="13"/>
      <c r="AW1458" s="13"/>
      <c r="AX1458" s="13"/>
      <c r="AY1458" s="15"/>
      <c r="AZ1458" s="15"/>
      <c r="BA1458" s="16"/>
      <c r="BB1458" s="15"/>
      <c r="BC1458" s="15"/>
      <c r="BD1458" s="13"/>
      <c r="BE1458" s="13"/>
      <c r="BF1458" s="13"/>
      <c r="BG1458" s="13"/>
      <c r="BH1458" s="13"/>
      <c r="BI1458" s="13"/>
      <c r="BJ1458" s="13"/>
      <c r="BK1458" s="13"/>
      <c r="BL1458" s="13"/>
      <c r="BM1458" s="13"/>
      <c r="BN1458" s="13"/>
      <c r="BO1458" s="13"/>
      <c r="BP1458" s="13"/>
      <c r="BQ1458" s="15"/>
      <c r="BR1458" s="15"/>
      <c r="BS1458" s="15"/>
      <c r="BT1458" s="15"/>
      <c r="BU1458" s="15"/>
      <c r="BV1458" s="15"/>
      <c r="BW1458" s="15"/>
      <c r="BX1458" s="15"/>
      <c r="BY1458" s="15"/>
      <c r="BZ1458" s="15"/>
      <c r="CA1458" s="15"/>
      <c r="CB1458" s="17"/>
      <c r="CC1458" s="17"/>
      <c r="CD1458" s="18"/>
      <c r="CE1458" s="18"/>
      <c r="CF1458" s="18"/>
      <c r="CG1458" s="18"/>
      <c r="CH1458" s="18"/>
    </row>
    <row r="1459">
      <c r="A1459" s="15"/>
      <c r="B1459" s="16"/>
      <c r="C1459" s="15"/>
      <c r="D1459" s="9"/>
      <c r="E1459" s="15"/>
      <c r="F1459" s="15"/>
      <c r="G1459" s="13"/>
      <c r="H1459" s="13"/>
      <c r="I1459" s="13"/>
      <c r="J1459" s="13"/>
      <c r="K1459" s="13"/>
      <c r="L1459" s="13"/>
      <c r="M1459" s="13"/>
      <c r="N1459" s="13"/>
      <c r="O1459" s="13"/>
      <c r="P1459" s="13"/>
      <c r="Q1459" s="13"/>
      <c r="R1459" s="13"/>
      <c r="S1459" s="13"/>
      <c r="T1459" s="13"/>
      <c r="U1459" s="13"/>
      <c r="V1459" s="13"/>
      <c r="W1459" s="13"/>
      <c r="X1459" s="13"/>
      <c r="Y1459" s="13"/>
      <c r="Z1459" s="13"/>
      <c r="AA1459" s="13"/>
      <c r="AB1459" s="15"/>
      <c r="AC1459" s="15"/>
      <c r="AD1459" s="15"/>
      <c r="AE1459" s="13"/>
      <c r="AF1459" s="13"/>
      <c r="AG1459" s="13"/>
      <c r="AH1459" s="15"/>
      <c r="AI1459" s="13"/>
      <c r="AJ1459" s="13"/>
      <c r="AK1459" s="13"/>
      <c r="AL1459" s="13"/>
      <c r="AM1459" s="15"/>
      <c r="AN1459" s="13"/>
      <c r="AO1459" s="15"/>
      <c r="AP1459" s="15"/>
      <c r="AQ1459" s="13"/>
      <c r="AR1459" s="13"/>
      <c r="AS1459" s="13"/>
      <c r="AT1459" s="13"/>
      <c r="AU1459" s="13"/>
      <c r="AV1459" s="13"/>
      <c r="AW1459" s="13"/>
      <c r="AX1459" s="13"/>
      <c r="AY1459" s="15"/>
      <c r="AZ1459" s="15"/>
      <c r="BA1459" s="16"/>
      <c r="BB1459" s="15"/>
      <c r="BC1459" s="15"/>
      <c r="BD1459" s="13"/>
      <c r="BE1459" s="13"/>
      <c r="BF1459" s="13"/>
      <c r="BG1459" s="13"/>
      <c r="BH1459" s="13"/>
      <c r="BI1459" s="13"/>
      <c r="BJ1459" s="13"/>
      <c r="BK1459" s="13"/>
      <c r="BL1459" s="13"/>
      <c r="BM1459" s="13"/>
      <c r="BN1459" s="13"/>
      <c r="BO1459" s="13"/>
      <c r="BP1459" s="13"/>
      <c r="BQ1459" s="15"/>
      <c r="BR1459" s="15"/>
      <c r="BS1459" s="15"/>
      <c r="BT1459" s="15"/>
      <c r="BU1459" s="15"/>
      <c r="BV1459" s="15"/>
      <c r="BW1459" s="15"/>
      <c r="BX1459" s="15"/>
      <c r="BY1459" s="15"/>
      <c r="BZ1459" s="15"/>
      <c r="CA1459" s="15"/>
      <c r="CB1459" s="17"/>
      <c r="CC1459" s="17"/>
      <c r="CD1459" s="18"/>
      <c r="CE1459" s="18"/>
      <c r="CF1459" s="18"/>
      <c r="CG1459" s="18"/>
      <c r="CH1459" s="18"/>
    </row>
    <row r="1460">
      <c r="A1460" s="15"/>
      <c r="B1460" s="16"/>
      <c r="C1460" s="15"/>
      <c r="D1460" s="9"/>
      <c r="E1460" s="15"/>
      <c r="F1460" s="15"/>
      <c r="G1460" s="13"/>
      <c r="H1460" s="13"/>
      <c r="I1460" s="13"/>
      <c r="J1460" s="13"/>
      <c r="K1460" s="13"/>
      <c r="L1460" s="13"/>
      <c r="M1460" s="13"/>
      <c r="N1460" s="13"/>
      <c r="O1460" s="13"/>
      <c r="P1460" s="13"/>
      <c r="Q1460" s="13"/>
      <c r="R1460" s="13"/>
      <c r="S1460" s="13"/>
      <c r="T1460" s="13"/>
      <c r="U1460" s="13"/>
      <c r="V1460" s="13"/>
      <c r="W1460" s="13"/>
      <c r="X1460" s="13"/>
      <c r="Y1460" s="13"/>
      <c r="Z1460" s="13"/>
      <c r="AA1460" s="13"/>
      <c r="AB1460" s="15"/>
      <c r="AC1460" s="15"/>
      <c r="AD1460" s="15"/>
      <c r="AE1460" s="13"/>
      <c r="AF1460" s="13"/>
      <c r="AG1460" s="13"/>
      <c r="AH1460" s="15"/>
      <c r="AI1460" s="13"/>
      <c r="AJ1460" s="13"/>
      <c r="AK1460" s="13"/>
      <c r="AL1460" s="13"/>
      <c r="AM1460" s="15"/>
      <c r="AN1460" s="13"/>
      <c r="AO1460" s="15"/>
      <c r="AP1460" s="15"/>
      <c r="AQ1460" s="13"/>
      <c r="AR1460" s="13"/>
      <c r="AS1460" s="13"/>
      <c r="AT1460" s="13"/>
      <c r="AU1460" s="13"/>
      <c r="AV1460" s="13"/>
      <c r="AW1460" s="13"/>
      <c r="AX1460" s="13"/>
      <c r="AY1460" s="15"/>
      <c r="AZ1460" s="15"/>
      <c r="BA1460" s="16"/>
      <c r="BB1460" s="15"/>
      <c r="BC1460" s="15"/>
      <c r="BD1460" s="13"/>
      <c r="BE1460" s="13"/>
      <c r="BF1460" s="13"/>
      <c r="BG1460" s="13"/>
      <c r="BH1460" s="13"/>
      <c r="BI1460" s="13"/>
      <c r="BJ1460" s="13"/>
      <c r="BK1460" s="13"/>
      <c r="BL1460" s="13"/>
      <c r="BM1460" s="13"/>
      <c r="BN1460" s="13"/>
      <c r="BO1460" s="13"/>
      <c r="BP1460" s="13"/>
      <c r="BQ1460" s="15"/>
      <c r="BR1460" s="15"/>
      <c r="BS1460" s="15"/>
      <c r="BT1460" s="15"/>
      <c r="BU1460" s="15"/>
      <c r="BV1460" s="15"/>
      <c r="BW1460" s="15"/>
      <c r="BX1460" s="15"/>
      <c r="BY1460" s="15"/>
      <c r="BZ1460" s="15"/>
      <c r="CA1460" s="15"/>
      <c r="CB1460" s="17"/>
      <c r="CC1460" s="17"/>
      <c r="CD1460" s="18"/>
      <c r="CE1460" s="18"/>
      <c r="CF1460" s="18"/>
      <c r="CG1460" s="18"/>
      <c r="CH1460" s="18"/>
    </row>
    <row r="1461">
      <c r="A1461" s="15"/>
      <c r="B1461" s="16"/>
      <c r="C1461" s="15"/>
      <c r="D1461" s="9"/>
      <c r="E1461" s="15"/>
      <c r="F1461" s="15"/>
      <c r="G1461" s="13"/>
      <c r="H1461" s="13"/>
      <c r="I1461" s="13"/>
      <c r="J1461" s="13"/>
      <c r="K1461" s="13"/>
      <c r="L1461" s="13"/>
      <c r="M1461" s="13"/>
      <c r="N1461" s="13"/>
      <c r="O1461" s="13"/>
      <c r="P1461" s="13"/>
      <c r="Q1461" s="13"/>
      <c r="R1461" s="13"/>
      <c r="S1461" s="13"/>
      <c r="T1461" s="13"/>
      <c r="U1461" s="13"/>
      <c r="V1461" s="13"/>
      <c r="W1461" s="13"/>
      <c r="X1461" s="13"/>
      <c r="Y1461" s="13"/>
      <c r="Z1461" s="13"/>
      <c r="AA1461" s="13"/>
      <c r="AB1461" s="15"/>
      <c r="AC1461" s="15"/>
      <c r="AD1461" s="15"/>
      <c r="AE1461" s="13"/>
      <c r="AF1461" s="13"/>
      <c r="AG1461" s="13"/>
      <c r="AH1461" s="15"/>
      <c r="AI1461" s="13"/>
      <c r="AJ1461" s="13"/>
      <c r="AK1461" s="13"/>
      <c r="AL1461" s="13"/>
      <c r="AM1461" s="15"/>
      <c r="AN1461" s="13"/>
      <c r="AO1461" s="15"/>
      <c r="AP1461" s="15"/>
      <c r="AQ1461" s="13"/>
      <c r="AR1461" s="13"/>
      <c r="AS1461" s="13"/>
      <c r="AT1461" s="13"/>
      <c r="AU1461" s="13"/>
      <c r="AV1461" s="13"/>
      <c r="AW1461" s="13"/>
      <c r="AX1461" s="13"/>
      <c r="AY1461" s="15"/>
      <c r="AZ1461" s="15"/>
      <c r="BA1461" s="16"/>
      <c r="BB1461" s="15"/>
      <c r="BC1461" s="15"/>
      <c r="BD1461" s="13"/>
      <c r="BE1461" s="13"/>
      <c r="BF1461" s="13"/>
      <c r="BG1461" s="13"/>
      <c r="BH1461" s="13"/>
      <c r="BI1461" s="13"/>
      <c r="BJ1461" s="13"/>
      <c r="BK1461" s="13"/>
      <c r="BL1461" s="13"/>
      <c r="BM1461" s="13"/>
      <c r="BN1461" s="13"/>
      <c r="BO1461" s="13"/>
      <c r="BP1461" s="13"/>
      <c r="BQ1461" s="15"/>
      <c r="BR1461" s="15"/>
      <c r="BS1461" s="15"/>
      <c r="BT1461" s="15"/>
      <c r="BU1461" s="15"/>
      <c r="BV1461" s="15"/>
      <c r="BW1461" s="15"/>
      <c r="BX1461" s="15"/>
      <c r="BY1461" s="15"/>
      <c r="BZ1461" s="15"/>
      <c r="CA1461" s="15"/>
      <c r="CB1461" s="17"/>
      <c r="CC1461" s="17"/>
      <c r="CD1461" s="18"/>
      <c r="CE1461" s="18"/>
      <c r="CF1461" s="18"/>
      <c r="CG1461" s="18"/>
      <c r="CH1461" s="18"/>
    </row>
    <row r="1462">
      <c r="A1462" s="15"/>
      <c r="B1462" s="16"/>
      <c r="C1462" s="15"/>
      <c r="D1462" s="9"/>
      <c r="E1462" s="15"/>
      <c r="F1462" s="15"/>
      <c r="G1462" s="13"/>
      <c r="H1462" s="13"/>
      <c r="I1462" s="13"/>
      <c r="J1462" s="13"/>
      <c r="K1462" s="13"/>
      <c r="L1462" s="13"/>
      <c r="M1462" s="13"/>
      <c r="N1462" s="13"/>
      <c r="O1462" s="13"/>
      <c r="P1462" s="13"/>
      <c r="Q1462" s="13"/>
      <c r="R1462" s="13"/>
      <c r="S1462" s="13"/>
      <c r="T1462" s="13"/>
      <c r="U1462" s="13"/>
      <c r="V1462" s="13"/>
      <c r="W1462" s="13"/>
      <c r="X1462" s="13"/>
      <c r="Y1462" s="13"/>
      <c r="Z1462" s="13"/>
      <c r="AA1462" s="13"/>
      <c r="AB1462" s="15"/>
      <c r="AC1462" s="15"/>
      <c r="AD1462" s="15"/>
      <c r="AE1462" s="13"/>
      <c r="AF1462" s="13"/>
      <c r="AG1462" s="13"/>
      <c r="AH1462" s="15"/>
      <c r="AI1462" s="13"/>
      <c r="AJ1462" s="13"/>
      <c r="AK1462" s="13"/>
      <c r="AL1462" s="13"/>
      <c r="AM1462" s="15"/>
      <c r="AN1462" s="13"/>
      <c r="AO1462" s="15"/>
      <c r="AP1462" s="15"/>
      <c r="AQ1462" s="13"/>
      <c r="AR1462" s="13"/>
      <c r="AS1462" s="13"/>
      <c r="AT1462" s="13"/>
      <c r="AU1462" s="13"/>
      <c r="AV1462" s="13"/>
      <c r="AW1462" s="13"/>
      <c r="AX1462" s="13"/>
      <c r="AY1462" s="15"/>
      <c r="AZ1462" s="15"/>
      <c r="BA1462" s="16"/>
      <c r="BB1462" s="15"/>
      <c r="BC1462" s="15"/>
      <c r="BD1462" s="13"/>
      <c r="BE1462" s="13"/>
      <c r="BF1462" s="13"/>
      <c r="BG1462" s="13"/>
      <c r="BH1462" s="13"/>
      <c r="BI1462" s="13"/>
      <c r="BJ1462" s="13"/>
      <c r="BK1462" s="13"/>
      <c r="BL1462" s="13"/>
      <c r="BM1462" s="13"/>
      <c r="BN1462" s="13"/>
      <c r="BO1462" s="13"/>
      <c r="BP1462" s="13"/>
      <c r="BQ1462" s="15"/>
      <c r="BR1462" s="15"/>
      <c r="BS1462" s="15"/>
      <c r="BT1462" s="15"/>
      <c r="BU1462" s="15"/>
      <c r="BV1462" s="15"/>
      <c r="BW1462" s="15"/>
      <c r="BX1462" s="15"/>
      <c r="BY1462" s="15"/>
      <c r="BZ1462" s="15"/>
      <c r="CA1462" s="15"/>
      <c r="CB1462" s="17"/>
      <c r="CC1462" s="17"/>
      <c r="CD1462" s="18"/>
      <c r="CE1462" s="18"/>
      <c r="CF1462" s="18"/>
      <c r="CG1462" s="18"/>
      <c r="CH1462" s="18"/>
    </row>
    <row r="1463">
      <c r="A1463" s="15"/>
      <c r="B1463" s="16"/>
      <c r="C1463" s="15"/>
      <c r="D1463" s="9"/>
      <c r="E1463" s="15"/>
      <c r="F1463" s="15"/>
      <c r="G1463" s="13"/>
      <c r="H1463" s="13"/>
      <c r="I1463" s="13"/>
      <c r="J1463" s="13"/>
      <c r="K1463" s="13"/>
      <c r="L1463" s="13"/>
      <c r="M1463" s="13"/>
      <c r="N1463" s="13"/>
      <c r="O1463" s="13"/>
      <c r="P1463" s="13"/>
      <c r="Q1463" s="13"/>
      <c r="R1463" s="13"/>
      <c r="S1463" s="13"/>
      <c r="T1463" s="13"/>
      <c r="U1463" s="13"/>
      <c r="V1463" s="13"/>
      <c r="W1463" s="13"/>
      <c r="X1463" s="13"/>
      <c r="Y1463" s="13"/>
      <c r="Z1463" s="13"/>
      <c r="AA1463" s="13"/>
      <c r="AB1463" s="15"/>
      <c r="AC1463" s="15"/>
      <c r="AD1463" s="15"/>
      <c r="AE1463" s="13"/>
      <c r="AF1463" s="13"/>
      <c r="AG1463" s="13"/>
      <c r="AH1463" s="15"/>
      <c r="AI1463" s="13"/>
      <c r="AJ1463" s="13"/>
      <c r="AK1463" s="13"/>
      <c r="AL1463" s="13"/>
      <c r="AM1463" s="15"/>
      <c r="AN1463" s="13"/>
      <c r="AO1463" s="15"/>
      <c r="AP1463" s="15"/>
      <c r="AQ1463" s="13"/>
      <c r="AR1463" s="13"/>
      <c r="AS1463" s="13"/>
      <c r="AT1463" s="13"/>
      <c r="AU1463" s="13"/>
      <c r="AV1463" s="13"/>
      <c r="AW1463" s="13"/>
      <c r="AX1463" s="13"/>
      <c r="AY1463" s="15"/>
      <c r="AZ1463" s="15"/>
      <c r="BA1463" s="16"/>
      <c r="BB1463" s="15"/>
      <c r="BC1463" s="15"/>
      <c r="BD1463" s="13"/>
      <c r="BE1463" s="13"/>
      <c r="BF1463" s="13"/>
      <c r="BG1463" s="13"/>
      <c r="BH1463" s="13"/>
      <c r="BI1463" s="13"/>
      <c r="BJ1463" s="13"/>
      <c r="BK1463" s="13"/>
      <c r="BL1463" s="13"/>
      <c r="BM1463" s="13"/>
      <c r="BN1463" s="13"/>
      <c r="BO1463" s="13"/>
      <c r="BP1463" s="13"/>
      <c r="BQ1463" s="15"/>
      <c r="BR1463" s="15"/>
      <c r="BS1463" s="15"/>
      <c r="BT1463" s="15"/>
      <c r="BU1463" s="15"/>
      <c r="BV1463" s="15"/>
      <c r="BW1463" s="15"/>
      <c r="BX1463" s="15"/>
      <c r="BY1463" s="15"/>
      <c r="BZ1463" s="15"/>
      <c r="CA1463" s="15"/>
      <c r="CB1463" s="17"/>
      <c r="CC1463" s="17"/>
      <c r="CD1463" s="18"/>
      <c r="CE1463" s="18"/>
      <c r="CF1463" s="18"/>
      <c r="CG1463" s="18"/>
      <c r="CH1463" s="18"/>
    </row>
    <row r="1464">
      <c r="A1464" s="15"/>
      <c r="B1464" s="16"/>
      <c r="C1464" s="15"/>
      <c r="D1464" s="9"/>
      <c r="E1464" s="15"/>
      <c r="F1464" s="15"/>
      <c r="G1464" s="13"/>
      <c r="H1464" s="13"/>
      <c r="I1464" s="13"/>
      <c r="J1464" s="13"/>
      <c r="K1464" s="13"/>
      <c r="L1464" s="13"/>
      <c r="M1464" s="13"/>
      <c r="N1464" s="13"/>
      <c r="O1464" s="13"/>
      <c r="P1464" s="13"/>
      <c r="Q1464" s="13"/>
      <c r="R1464" s="13"/>
      <c r="S1464" s="13"/>
      <c r="T1464" s="13"/>
      <c r="U1464" s="13"/>
      <c r="V1464" s="13"/>
      <c r="W1464" s="13"/>
      <c r="X1464" s="13"/>
      <c r="Y1464" s="13"/>
      <c r="Z1464" s="13"/>
      <c r="AA1464" s="13"/>
      <c r="AB1464" s="15"/>
      <c r="AC1464" s="15"/>
      <c r="AD1464" s="15"/>
      <c r="AE1464" s="13"/>
      <c r="AF1464" s="13"/>
      <c r="AG1464" s="13"/>
      <c r="AH1464" s="15"/>
      <c r="AI1464" s="13"/>
      <c r="AJ1464" s="13"/>
      <c r="AK1464" s="13"/>
      <c r="AL1464" s="13"/>
      <c r="AM1464" s="15"/>
      <c r="AN1464" s="13"/>
      <c r="AO1464" s="15"/>
      <c r="AP1464" s="15"/>
      <c r="AQ1464" s="13"/>
      <c r="AR1464" s="13"/>
      <c r="AS1464" s="13"/>
      <c r="AT1464" s="13"/>
      <c r="AU1464" s="13"/>
      <c r="AV1464" s="13"/>
      <c r="AW1464" s="13"/>
      <c r="AX1464" s="13"/>
      <c r="AY1464" s="15"/>
      <c r="AZ1464" s="15"/>
      <c r="BA1464" s="16"/>
      <c r="BB1464" s="15"/>
      <c r="BC1464" s="15"/>
      <c r="BD1464" s="13"/>
      <c r="BE1464" s="13"/>
      <c r="BF1464" s="13"/>
      <c r="BG1464" s="13"/>
      <c r="BH1464" s="13"/>
      <c r="BI1464" s="13"/>
      <c r="BJ1464" s="13"/>
      <c r="BK1464" s="13"/>
      <c r="BL1464" s="13"/>
      <c r="BM1464" s="13"/>
      <c r="BN1464" s="13"/>
      <c r="BO1464" s="13"/>
      <c r="BP1464" s="13"/>
      <c r="BQ1464" s="15"/>
      <c r="BR1464" s="15"/>
      <c r="BS1464" s="15"/>
      <c r="BT1464" s="15"/>
      <c r="BU1464" s="15"/>
      <c r="BV1464" s="15"/>
      <c r="BW1464" s="15"/>
      <c r="BX1464" s="15"/>
      <c r="BY1464" s="15"/>
      <c r="BZ1464" s="15"/>
      <c r="CA1464" s="15"/>
      <c r="CB1464" s="17"/>
      <c r="CC1464" s="17"/>
      <c r="CD1464" s="18"/>
      <c r="CE1464" s="18"/>
      <c r="CF1464" s="18"/>
      <c r="CG1464" s="18"/>
      <c r="CH1464" s="18"/>
    </row>
    <row r="1465">
      <c r="A1465" s="15"/>
      <c r="B1465" s="16"/>
      <c r="C1465" s="15"/>
      <c r="D1465" s="9"/>
      <c r="E1465" s="15"/>
      <c r="F1465" s="15"/>
      <c r="G1465" s="13"/>
      <c r="H1465" s="13"/>
      <c r="I1465" s="13"/>
      <c r="J1465" s="13"/>
      <c r="K1465" s="13"/>
      <c r="L1465" s="13"/>
      <c r="M1465" s="13"/>
      <c r="N1465" s="13"/>
      <c r="O1465" s="13"/>
      <c r="P1465" s="13"/>
      <c r="Q1465" s="13"/>
      <c r="R1465" s="13"/>
      <c r="S1465" s="13"/>
      <c r="T1465" s="13"/>
      <c r="U1465" s="13"/>
      <c r="V1465" s="13"/>
      <c r="W1465" s="13"/>
      <c r="X1465" s="13"/>
      <c r="Y1465" s="13"/>
      <c r="Z1465" s="13"/>
      <c r="AA1465" s="13"/>
      <c r="AB1465" s="15"/>
      <c r="AC1465" s="15"/>
      <c r="AD1465" s="15"/>
      <c r="AE1465" s="13"/>
      <c r="AF1465" s="13"/>
      <c r="AG1465" s="13"/>
      <c r="AH1465" s="15"/>
      <c r="AI1465" s="13"/>
      <c r="AJ1465" s="13"/>
      <c r="AK1465" s="13"/>
      <c r="AL1465" s="13"/>
      <c r="AM1465" s="15"/>
      <c r="AN1465" s="13"/>
      <c r="AO1465" s="15"/>
      <c r="AP1465" s="15"/>
      <c r="AQ1465" s="13"/>
      <c r="AR1465" s="13"/>
      <c r="AS1465" s="13"/>
      <c r="AT1465" s="13"/>
      <c r="AU1465" s="13"/>
      <c r="AV1465" s="13"/>
      <c r="AW1465" s="13"/>
      <c r="AX1465" s="13"/>
      <c r="AY1465" s="15"/>
      <c r="AZ1465" s="15"/>
      <c r="BA1465" s="16"/>
      <c r="BB1465" s="15"/>
      <c r="BC1465" s="15"/>
      <c r="BD1465" s="13"/>
      <c r="BE1465" s="13"/>
      <c r="BF1465" s="13"/>
      <c r="BG1465" s="13"/>
      <c r="BH1465" s="13"/>
      <c r="BI1465" s="13"/>
      <c r="BJ1465" s="13"/>
      <c r="BK1465" s="13"/>
      <c r="BL1465" s="13"/>
      <c r="BM1465" s="13"/>
      <c r="BN1465" s="13"/>
      <c r="BO1465" s="13"/>
      <c r="BP1465" s="13"/>
      <c r="BQ1465" s="15"/>
      <c r="BR1465" s="15"/>
      <c r="BS1465" s="15"/>
      <c r="BT1465" s="15"/>
      <c r="BU1465" s="15"/>
      <c r="BV1465" s="15"/>
      <c r="BW1465" s="15"/>
      <c r="BX1465" s="15"/>
      <c r="BY1465" s="15"/>
      <c r="BZ1465" s="15"/>
      <c r="CA1465" s="15"/>
      <c r="CB1465" s="17"/>
      <c r="CC1465" s="17"/>
      <c r="CD1465" s="18"/>
      <c r="CE1465" s="18"/>
      <c r="CF1465" s="18"/>
      <c r="CG1465" s="18"/>
      <c r="CH1465" s="18"/>
    </row>
    <row r="1466">
      <c r="A1466" s="15"/>
      <c r="B1466" s="16"/>
      <c r="C1466" s="15"/>
      <c r="D1466" s="9"/>
      <c r="E1466" s="15"/>
      <c r="F1466" s="15"/>
      <c r="G1466" s="13"/>
      <c r="H1466" s="13"/>
      <c r="I1466" s="13"/>
      <c r="J1466" s="13"/>
      <c r="K1466" s="13"/>
      <c r="L1466" s="13"/>
      <c r="M1466" s="13"/>
      <c r="N1466" s="13"/>
      <c r="O1466" s="13"/>
      <c r="P1466" s="13"/>
      <c r="Q1466" s="13"/>
      <c r="R1466" s="13"/>
      <c r="S1466" s="13"/>
      <c r="T1466" s="13"/>
      <c r="U1466" s="13"/>
      <c r="V1466" s="13"/>
      <c r="W1466" s="13"/>
      <c r="X1466" s="13"/>
      <c r="Y1466" s="13"/>
      <c r="Z1466" s="13"/>
      <c r="AA1466" s="13"/>
      <c r="AB1466" s="15"/>
      <c r="AC1466" s="15"/>
      <c r="AD1466" s="15"/>
      <c r="AE1466" s="13"/>
      <c r="AF1466" s="13"/>
      <c r="AG1466" s="13"/>
      <c r="AH1466" s="15"/>
      <c r="AI1466" s="13"/>
      <c r="AJ1466" s="13"/>
      <c r="AK1466" s="13"/>
      <c r="AL1466" s="13"/>
      <c r="AM1466" s="15"/>
      <c r="AN1466" s="13"/>
      <c r="AO1466" s="15"/>
      <c r="AP1466" s="15"/>
      <c r="AQ1466" s="13"/>
      <c r="AR1466" s="13"/>
      <c r="AS1466" s="13"/>
      <c r="AT1466" s="13"/>
      <c r="AU1466" s="13"/>
      <c r="AV1466" s="13"/>
      <c r="AW1466" s="13"/>
      <c r="AX1466" s="13"/>
      <c r="AY1466" s="15"/>
      <c r="AZ1466" s="15"/>
      <c r="BA1466" s="16"/>
      <c r="BB1466" s="15"/>
      <c r="BC1466" s="15"/>
      <c r="BD1466" s="13"/>
      <c r="BE1466" s="13"/>
      <c r="BF1466" s="13"/>
      <c r="BG1466" s="13"/>
      <c r="BH1466" s="13"/>
      <c r="BI1466" s="13"/>
      <c r="BJ1466" s="13"/>
      <c r="BK1466" s="13"/>
      <c r="BL1466" s="13"/>
      <c r="BM1466" s="13"/>
      <c r="BN1466" s="13"/>
      <c r="BO1466" s="13"/>
      <c r="BP1466" s="13"/>
      <c r="BQ1466" s="15"/>
      <c r="BR1466" s="15"/>
      <c r="BS1466" s="15"/>
      <c r="BT1466" s="15"/>
      <c r="BU1466" s="15"/>
      <c r="BV1466" s="15"/>
      <c r="BW1466" s="15"/>
      <c r="BX1466" s="15"/>
      <c r="BY1466" s="15"/>
      <c r="BZ1466" s="15"/>
      <c r="CA1466" s="15"/>
      <c r="CB1466" s="17"/>
      <c r="CC1466" s="17"/>
      <c r="CD1466" s="18"/>
      <c r="CE1466" s="18"/>
      <c r="CF1466" s="18"/>
      <c r="CG1466" s="18"/>
      <c r="CH1466" s="18"/>
    </row>
    <row r="1467">
      <c r="A1467" s="15"/>
      <c r="B1467" s="16"/>
      <c r="C1467" s="15"/>
      <c r="D1467" s="9"/>
      <c r="E1467" s="15"/>
      <c r="F1467" s="15"/>
      <c r="G1467" s="13"/>
      <c r="H1467" s="13"/>
      <c r="I1467" s="13"/>
      <c r="J1467" s="13"/>
      <c r="K1467" s="13"/>
      <c r="L1467" s="13"/>
      <c r="M1467" s="13"/>
      <c r="N1467" s="13"/>
      <c r="O1467" s="13"/>
      <c r="P1467" s="13"/>
      <c r="Q1467" s="13"/>
      <c r="R1467" s="13"/>
      <c r="S1467" s="13"/>
      <c r="T1467" s="13"/>
      <c r="U1467" s="13"/>
      <c r="V1467" s="13"/>
      <c r="W1467" s="13"/>
      <c r="X1467" s="13"/>
      <c r="Y1467" s="13"/>
      <c r="Z1467" s="13"/>
      <c r="AA1467" s="13"/>
      <c r="AB1467" s="15"/>
      <c r="AC1467" s="15"/>
      <c r="AD1467" s="15"/>
      <c r="AE1467" s="13"/>
      <c r="AF1467" s="13"/>
      <c r="AG1467" s="13"/>
      <c r="AH1467" s="15"/>
      <c r="AI1467" s="13"/>
      <c r="AJ1467" s="13"/>
      <c r="AK1467" s="13"/>
      <c r="AL1467" s="13"/>
      <c r="AM1467" s="15"/>
      <c r="AN1467" s="13"/>
      <c r="AO1467" s="15"/>
      <c r="AP1467" s="15"/>
      <c r="AQ1467" s="13"/>
      <c r="AR1467" s="13"/>
      <c r="AS1467" s="13"/>
      <c r="AT1467" s="13"/>
      <c r="AU1467" s="13"/>
      <c r="AV1467" s="13"/>
      <c r="AW1467" s="13"/>
      <c r="AX1467" s="13"/>
      <c r="AY1467" s="15"/>
      <c r="AZ1467" s="15"/>
      <c r="BA1467" s="16"/>
      <c r="BB1467" s="15"/>
      <c r="BC1467" s="15"/>
      <c r="BD1467" s="13"/>
      <c r="BE1467" s="13"/>
      <c r="BF1467" s="13"/>
      <c r="BG1467" s="13"/>
      <c r="BH1467" s="13"/>
      <c r="BI1467" s="13"/>
      <c r="BJ1467" s="13"/>
      <c r="BK1467" s="13"/>
      <c r="BL1467" s="13"/>
      <c r="BM1467" s="13"/>
      <c r="BN1467" s="13"/>
      <c r="BO1467" s="13"/>
      <c r="BP1467" s="13"/>
      <c r="BQ1467" s="15"/>
      <c r="BR1467" s="15"/>
      <c r="BS1467" s="15"/>
      <c r="BT1467" s="15"/>
      <c r="BU1467" s="15"/>
      <c r="BV1467" s="15"/>
      <c r="BW1467" s="15"/>
      <c r="BX1467" s="15"/>
      <c r="BY1467" s="15"/>
      <c r="BZ1467" s="15"/>
      <c r="CA1467" s="15"/>
      <c r="CB1467" s="17"/>
      <c r="CC1467" s="17"/>
      <c r="CD1467" s="18"/>
      <c r="CE1467" s="18"/>
      <c r="CF1467" s="18"/>
      <c r="CG1467" s="18"/>
      <c r="CH1467" s="18"/>
    </row>
    <row r="1468">
      <c r="A1468" s="15"/>
      <c r="B1468" s="16"/>
      <c r="C1468" s="15"/>
      <c r="D1468" s="9"/>
      <c r="E1468" s="15"/>
      <c r="F1468" s="15"/>
      <c r="G1468" s="13"/>
      <c r="H1468" s="13"/>
      <c r="I1468" s="13"/>
      <c r="J1468" s="13"/>
      <c r="K1468" s="13"/>
      <c r="L1468" s="13"/>
      <c r="M1468" s="13"/>
      <c r="N1468" s="13"/>
      <c r="O1468" s="13"/>
      <c r="P1468" s="13"/>
      <c r="Q1468" s="13"/>
      <c r="R1468" s="13"/>
      <c r="S1468" s="13"/>
      <c r="T1468" s="13"/>
      <c r="U1468" s="13"/>
      <c r="V1468" s="13"/>
      <c r="W1468" s="13"/>
      <c r="X1468" s="13"/>
      <c r="Y1468" s="13"/>
      <c r="Z1468" s="13"/>
      <c r="AA1468" s="13"/>
      <c r="AB1468" s="15"/>
      <c r="AC1468" s="15"/>
      <c r="AD1468" s="15"/>
      <c r="AE1468" s="13"/>
      <c r="AF1468" s="13"/>
      <c r="AG1468" s="13"/>
      <c r="AH1468" s="15"/>
      <c r="AI1468" s="13"/>
      <c r="AJ1468" s="13"/>
      <c r="AK1468" s="13"/>
      <c r="AL1468" s="13"/>
      <c r="AM1468" s="15"/>
      <c r="AN1468" s="13"/>
      <c r="AO1468" s="15"/>
      <c r="AP1468" s="15"/>
      <c r="AQ1468" s="13"/>
      <c r="AR1468" s="13"/>
      <c r="AS1468" s="13"/>
      <c r="AT1468" s="13"/>
      <c r="AU1468" s="13"/>
      <c r="AV1468" s="13"/>
      <c r="AW1468" s="13"/>
      <c r="AX1468" s="13"/>
      <c r="AY1468" s="15"/>
      <c r="AZ1468" s="15"/>
      <c r="BA1468" s="16"/>
      <c r="BB1468" s="15"/>
      <c r="BC1468" s="15"/>
      <c r="BD1468" s="13"/>
      <c r="BE1468" s="13"/>
      <c r="BF1468" s="13"/>
      <c r="BG1468" s="13"/>
      <c r="BH1468" s="13"/>
      <c r="BI1468" s="13"/>
      <c r="BJ1468" s="13"/>
      <c r="BK1468" s="13"/>
      <c r="BL1468" s="13"/>
      <c r="BM1468" s="13"/>
      <c r="BN1468" s="13"/>
      <c r="BO1468" s="13"/>
      <c r="BP1468" s="13"/>
      <c r="BQ1468" s="15"/>
      <c r="BR1468" s="15"/>
      <c r="BS1468" s="15"/>
      <c r="BT1468" s="15"/>
      <c r="BU1468" s="15"/>
      <c r="BV1468" s="15"/>
      <c r="BW1468" s="15"/>
      <c r="BX1468" s="15"/>
      <c r="BY1468" s="15"/>
      <c r="BZ1468" s="15"/>
      <c r="CA1468" s="15"/>
      <c r="CB1468" s="17"/>
      <c r="CC1468" s="17"/>
      <c r="CD1468" s="18"/>
      <c r="CE1468" s="18"/>
      <c r="CF1468" s="18"/>
      <c r="CG1468" s="18"/>
      <c r="CH1468" s="18"/>
    </row>
    <row r="1469">
      <c r="A1469" s="15"/>
      <c r="B1469" s="16"/>
      <c r="C1469" s="15"/>
      <c r="D1469" s="9"/>
      <c r="E1469" s="15"/>
      <c r="F1469" s="15"/>
      <c r="G1469" s="13"/>
      <c r="H1469" s="13"/>
      <c r="I1469" s="13"/>
      <c r="J1469" s="13"/>
      <c r="K1469" s="13"/>
      <c r="L1469" s="13"/>
      <c r="M1469" s="13"/>
      <c r="N1469" s="13"/>
      <c r="O1469" s="13"/>
      <c r="P1469" s="13"/>
      <c r="Q1469" s="13"/>
      <c r="R1469" s="13"/>
      <c r="S1469" s="13"/>
      <c r="T1469" s="13"/>
      <c r="U1469" s="13"/>
      <c r="V1469" s="13"/>
      <c r="W1469" s="13"/>
      <c r="X1469" s="13"/>
      <c r="Y1469" s="13"/>
      <c r="Z1469" s="13"/>
      <c r="AA1469" s="13"/>
      <c r="AB1469" s="15"/>
      <c r="AC1469" s="15"/>
      <c r="AD1469" s="15"/>
      <c r="AE1469" s="13"/>
      <c r="AF1469" s="13"/>
      <c r="AG1469" s="13"/>
      <c r="AH1469" s="15"/>
      <c r="AI1469" s="13"/>
      <c r="AJ1469" s="13"/>
      <c r="AK1469" s="13"/>
      <c r="AL1469" s="13"/>
      <c r="AM1469" s="15"/>
      <c r="AN1469" s="13"/>
      <c r="AO1469" s="15"/>
      <c r="AP1469" s="15"/>
      <c r="AQ1469" s="13"/>
      <c r="AR1469" s="13"/>
      <c r="AS1469" s="13"/>
      <c r="AT1469" s="13"/>
      <c r="AU1469" s="13"/>
      <c r="AV1469" s="13"/>
      <c r="AW1469" s="13"/>
      <c r="AX1469" s="13"/>
      <c r="AY1469" s="15"/>
      <c r="AZ1469" s="15"/>
      <c r="BA1469" s="16"/>
      <c r="BB1469" s="15"/>
      <c r="BC1469" s="15"/>
      <c r="BD1469" s="13"/>
      <c r="BE1469" s="13"/>
      <c r="BF1469" s="13"/>
      <c r="BG1469" s="13"/>
      <c r="BH1469" s="13"/>
      <c r="BI1469" s="13"/>
      <c r="BJ1469" s="13"/>
      <c r="BK1469" s="13"/>
      <c r="BL1469" s="13"/>
      <c r="BM1469" s="13"/>
      <c r="BN1469" s="13"/>
      <c r="BO1469" s="13"/>
      <c r="BP1469" s="13"/>
      <c r="BQ1469" s="15"/>
      <c r="BR1469" s="15"/>
      <c r="BS1469" s="15"/>
      <c r="BT1469" s="15"/>
      <c r="BU1469" s="15"/>
      <c r="BV1469" s="15"/>
      <c r="BW1469" s="15"/>
      <c r="BX1469" s="15"/>
      <c r="BY1469" s="15"/>
      <c r="BZ1469" s="15"/>
      <c r="CA1469" s="15"/>
      <c r="CB1469" s="17"/>
      <c r="CC1469" s="17"/>
      <c r="CD1469" s="18"/>
      <c r="CE1469" s="18"/>
      <c r="CF1469" s="18"/>
      <c r="CG1469" s="18"/>
      <c r="CH1469" s="18"/>
    </row>
    <row r="1470">
      <c r="A1470" s="15"/>
      <c r="B1470" s="16"/>
      <c r="C1470" s="15"/>
      <c r="D1470" s="9"/>
      <c r="E1470" s="15"/>
      <c r="F1470" s="15"/>
      <c r="G1470" s="13"/>
      <c r="H1470" s="13"/>
      <c r="I1470" s="13"/>
      <c r="J1470" s="13"/>
      <c r="K1470" s="13"/>
      <c r="L1470" s="13"/>
      <c r="M1470" s="13"/>
      <c r="N1470" s="13"/>
      <c r="O1470" s="13"/>
      <c r="P1470" s="13"/>
      <c r="Q1470" s="13"/>
      <c r="R1470" s="13"/>
      <c r="S1470" s="13"/>
      <c r="T1470" s="13"/>
      <c r="U1470" s="13"/>
      <c r="V1470" s="13"/>
      <c r="W1470" s="13"/>
      <c r="X1470" s="13"/>
      <c r="Y1470" s="13"/>
      <c r="Z1470" s="13"/>
      <c r="AA1470" s="13"/>
      <c r="AB1470" s="15"/>
      <c r="AC1470" s="15"/>
      <c r="AD1470" s="15"/>
      <c r="AE1470" s="13"/>
      <c r="AF1470" s="13"/>
      <c r="AG1470" s="13"/>
      <c r="AH1470" s="15"/>
      <c r="AI1470" s="13"/>
      <c r="AJ1470" s="13"/>
      <c r="AK1470" s="13"/>
      <c r="AL1470" s="13"/>
      <c r="AM1470" s="15"/>
      <c r="AN1470" s="13"/>
      <c r="AO1470" s="15"/>
      <c r="AP1470" s="15"/>
      <c r="AQ1470" s="13"/>
      <c r="AR1470" s="13"/>
      <c r="AS1470" s="13"/>
      <c r="AT1470" s="13"/>
      <c r="AU1470" s="13"/>
      <c r="AV1470" s="13"/>
      <c r="AW1470" s="13"/>
      <c r="AX1470" s="13"/>
      <c r="AY1470" s="15"/>
      <c r="AZ1470" s="15"/>
      <c r="BA1470" s="16"/>
      <c r="BB1470" s="15"/>
      <c r="BC1470" s="15"/>
      <c r="BD1470" s="13"/>
      <c r="BE1470" s="13"/>
      <c r="BF1470" s="13"/>
      <c r="BG1470" s="13"/>
      <c r="BH1470" s="13"/>
      <c r="BI1470" s="13"/>
      <c r="BJ1470" s="13"/>
      <c r="BK1470" s="13"/>
      <c r="BL1470" s="13"/>
      <c r="BM1470" s="13"/>
      <c r="BN1470" s="13"/>
      <c r="BO1470" s="13"/>
      <c r="BP1470" s="13"/>
      <c r="BQ1470" s="15"/>
      <c r="BR1470" s="15"/>
      <c r="BS1470" s="15"/>
      <c r="BT1470" s="15"/>
      <c r="BU1470" s="15"/>
      <c r="BV1470" s="15"/>
      <c r="BW1470" s="15"/>
      <c r="BX1470" s="15"/>
      <c r="BY1470" s="15"/>
      <c r="BZ1470" s="15"/>
      <c r="CA1470" s="15"/>
      <c r="CB1470" s="17"/>
      <c r="CC1470" s="17"/>
      <c r="CD1470" s="18"/>
      <c r="CE1470" s="18"/>
      <c r="CF1470" s="18"/>
      <c r="CG1470" s="18"/>
      <c r="CH1470" s="18"/>
    </row>
    <row r="1471">
      <c r="A1471" s="15"/>
      <c r="B1471" s="16"/>
      <c r="C1471" s="15"/>
      <c r="D1471" s="9"/>
      <c r="E1471" s="15"/>
      <c r="F1471" s="15"/>
      <c r="G1471" s="13"/>
      <c r="H1471" s="13"/>
      <c r="I1471" s="13"/>
      <c r="J1471" s="13"/>
      <c r="K1471" s="13"/>
      <c r="L1471" s="13"/>
      <c r="M1471" s="13"/>
      <c r="N1471" s="13"/>
      <c r="O1471" s="13"/>
      <c r="P1471" s="13"/>
      <c r="Q1471" s="13"/>
      <c r="R1471" s="13"/>
      <c r="S1471" s="13"/>
      <c r="T1471" s="13"/>
      <c r="U1471" s="13"/>
      <c r="V1471" s="13"/>
      <c r="W1471" s="13"/>
      <c r="X1471" s="13"/>
      <c r="Y1471" s="13"/>
      <c r="Z1471" s="13"/>
      <c r="AA1471" s="13"/>
      <c r="AB1471" s="15"/>
      <c r="AC1471" s="15"/>
      <c r="AD1471" s="15"/>
      <c r="AE1471" s="13"/>
      <c r="AF1471" s="13"/>
      <c r="AG1471" s="13"/>
      <c r="AH1471" s="15"/>
      <c r="AI1471" s="13"/>
      <c r="AJ1471" s="13"/>
      <c r="AK1471" s="13"/>
      <c r="AL1471" s="13"/>
      <c r="AM1471" s="15"/>
      <c r="AN1471" s="13"/>
      <c r="AO1471" s="15"/>
      <c r="AP1471" s="15"/>
      <c r="AQ1471" s="13"/>
      <c r="AR1471" s="13"/>
      <c r="AS1471" s="13"/>
      <c r="AT1471" s="13"/>
      <c r="AU1471" s="13"/>
      <c r="AV1471" s="13"/>
      <c r="AW1471" s="13"/>
      <c r="AX1471" s="13"/>
      <c r="AY1471" s="15"/>
      <c r="AZ1471" s="15"/>
      <c r="BA1471" s="16"/>
      <c r="BB1471" s="15"/>
      <c r="BC1471" s="15"/>
      <c r="BD1471" s="13"/>
      <c r="BE1471" s="13"/>
      <c r="BF1471" s="13"/>
      <c r="BG1471" s="13"/>
      <c r="BH1471" s="13"/>
      <c r="BI1471" s="13"/>
      <c r="BJ1471" s="13"/>
      <c r="BK1471" s="13"/>
      <c r="BL1471" s="13"/>
      <c r="BM1471" s="13"/>
      <c r="BN1471" s="13"/>
      <c r="BO1471" s="13"/>
      <c r="BP1471" s="13"/>
      <c r="BQ1471" s="15"/>
      <c r="BR1471" s="15"/>
      <c r="BS1471" s="15"/>
      <c r="BT1471" s="15"/>
      <c r="BU1471" s="15"/>
      <c r="BV1471" s="15"/>
      <c r="BW1471" s="15"/>
      <c r="BX1471" s="15"/>
      <c r="BY1471" s="15"/>
      <c r="BZ1471" s="15"/>
      <c r="CA1471" s="15"/>
      <c r="CB1471" s="17"/>
      <c r="CC1471" s="17"/>
      <c r="CD1471" s="18"/>
      <c r="CE1471" s="18"/>
      <c r="CF1471" s="18"/>
      <c r="CG1471" s="18"/>
      <c r="CH1471" s="18"/>
    </row>
    <row r="1472">
      <c r="A1472" s="15"/>
      <c r="B1472" s="16"/>
      <c r="C1472" s="15"/>
      <c r="D1472" s="9"/>
      <c r="E1472" s="15"/>
      <c r="F1472" s="15"/>
      <c r="G1472" s="13"/>
      <c r="H1472" s="13"/>
      <c r="I1472" s="13"/>
      <c r="J1472" s="13"/>
      <c r="K1472" s="13"/>
      <c r="L1472" s="13"/>
      <c r="M1472" s="13"/>
      <c r="N1472" s="13"/>
      <c r="O1472" s="13"/>
      <c r="P1472" s="13"/>
      <c r="Q1472" s="13"/>
      <c r="R1472" s="13"/>
      <c r="S1472" s="13"/>
      <c r="T1472" s="13"/>
      <c r="U1472" s="13"/>
      <c r="V1472" s="13"/>
      <c r="W1472" s="13"/>
      <c r="X1472" s="13"/>
      <c r="Y1472" s="13"/>
      <c r="Z1472" s="13"/>
      <c r="AA1472" s="13"/>
      <c r="AB1472" s="15"/>
      <c r="AC1472" s="15"/>
      <c r="AD1472" s="15"/>
      <c r="AE1472" s="13"/>
      <c r="AF1472" s="13"/>
      <c r="AG1472" s="13"/>
      <c r="AH1472" s="15"/>
      <c r="AI1472" s="13"/>
      <c r="AJ1472" s="13"/>
      <c r="AK1472" s="13"/>
      <c r="AL1472" s="13"/>
      <c r="AM1472" s="15"/>
      <c r="AN1472" s="13"/>
      <c r="AO1472" s="15"/>
      <c r="AP1472" s="15"/>
      <c r="AQ1472" s="13"/>
      <c r="AR1472" s="13"/>
      <c r="AS1472" s="13"/>
      <c r="AT1472" s="13"/>
      <c r="AU1472" s="13"/>
      <c r="AV1472" s="13"/>
      <c r="AW1472" s="13"/>
      <c r="AX1472" s="13"/>
      <c r="AY1472" s="15"/>
      <c r="AZ1472" s="15"/>
      <c r="BA1472" s="16"/>
      <c r="BB1472" s="15"/>
      <c r="BC1472" s="15"/>
      <c r="BD1472" s="13"/>
      <c r="BE1472" s="13"/>
      <c r="BF1472" s="13"/>
      <c r="BG1472" s="13"/>
      <c r="BH1472" s="13"/>
      <c r="BI1472" s="13"/>
      <c r="BJ1472" s="13"/>
      <c r="BK1472" s="13"/>
      <c r="BL1472" s="13"/>
      <c r="BM1472" s="13"/>
      <c r="BN1472" s="13"/>
      <c r="BO1472" s="13"/>
      <c r="BP1472" s="13"/>
      <c r="BQ1472" s="15"/>
      <c r="BR1472" s="15"/>
      <c r="BS1472" s="15"/>
      <c r="BT1472" s="15"/>
      <c r="BU1472" s="15"/>
      <c r="BV1472" s="15"/>
      <c r="BW1472" s="15"/>
      <c r="BX1472" s="15"/>
      <c r="BY1472" s="15"/>
      <c r="BZ1472" s="15"/>
      <c r="CA1472" s="15"/>
      <c r="CB1472" s="17"/>
      <c r="CC1472" s="17"/>
      <c r="CD1472" s="18"/>
      <c r="CE1472" s="18"/>
      <c r="CF1472" s="18"/>
      <c r="CG1472" s="18"/>
      <c r="CH1472" s="18"/>
    </row>
    <row r="1473">
      <c r="A1473" s="15"/>
      <c r="B1473" s="16"/>
      <c r="C1473" s="15"/>
      <c r="D1473" s="9"/>
      <c r="E1473" s="15"/>
      <c r="F1473" s="15"/>
      <c r="G1473" s="13"/>
      <c r="H1473" s="13"/>
      <c r="I1473" s="13"/>
      <c r="J1473" s="13"/>
      <c r="K1473" s="13"/>
      <c r="L1473" s="13"/>
      <c r="M1473" s="13"/>
      <c r="N1473" s="13"/>
      <c r="O1473" s="13"/>
      <c r="P1473" s="13"/>
      <c r="Q1473" s="13"/>
      <c r="R1473" s="13"/>
      <c r="S1473" s="13"/>
      <c r="T1473" s="13"/>
      <c r="U1473" s="13"/>
      <c r="V1473" s="13"/>
      <c r="W1473" s="13"/>
      <c r="X1473" s="13"/>
      <c r="Y1473" s="13"/>
      <c r="Z1473" s="13"/>
      <c r="AA1473" s="13"/>
      <c r="AB1473" s="15"/>
      <c r="AC1473" s="15"/>
      <c r="AD1473" s="15"/>
      <c r="AE1473" s="13"/>
      <c r="AF1473" s="13"/>
      <c r="AG1473" s="13"/>
      <c r="AH1473" s="15"/>
      <c r="AI1473" s="13"/>
      <c r="AJ1473" s="13"/>
      <c r="AK1473" s="13"/>
      <c r="AL1473" s="13"/>
      <c r="AM1473" s="15"/>
      <c r="AN1473" s="13"/>
      <c r="AO1473" s="15"/>
      <c r="AP1473" s="15"/>
      <c r="AQ1473" s="13"/>
      <c r="AR1473" s="13"/>
      <c r="AS1473" s="13"/>
      <c r="AT1473" s="13"/>
      <c r="AU1473" s="13"/>
      <c r="AV1473" s="13"/>
      <c r="AW1473" s="13"/>
      <c r="AX1473" s="13"/>
      <c r="AY1473" s="15"/>
      <c r="AZ1473" s="15"/>
      <c r="BA1473" s="16"/>
      <c r="BB1473" s="15"/>
      <c r="BC1473" s="15"/>
      <c r="BD1473" s="13"/>
      <c r="BE1473" s="13"/>
      <c r="BF1473" s="13"/>
      <c r="BG1473" s="13"/>
      <c r="BH1473" s="13"/>
      <c r="BI1473" s="13"/>
      <c r="BJ1473" s="13"/>
      <c r="BK1473" s="13"/>
      <c r="BL1473" s="13"/>
      <c r="BM1473" s="13"/>
      <c r="BN1473" s="13"/>
      <c r="BO1473" s="13"/>
      <c r="BP1473" s="13"/>
      <c r="BQ1473" s="15"/>
      <c r="BR1473" s="15"/>
      <c r="BS1473" s="15"/>
      <c r="BT1473" s="15"/>
      <c r="BU1473" s="15"/>
      <c r="BV1473" s="15"/>
      <c r="BW1473" s="15"/>
      <c r="BX1473" s="15"/>
      <c r="BY1473" s="15"/>
      <c r="BZ1473" s="15"/>
      <c r="CA1473" s="15"/>
      <c r="CB1473" s="17"/>
      <c r="CC1473" s="17"/>
      <c r="CD1473" s="18"/>
      <c r="CE1473" s="18"/>
      <c r="CF1473" s="18"/>
      <c r="CG1473" s="18"/>
      <c r="CH1473" s="18"/>
    </row>
    <row r="1474">
      <c r="A1474" s="15"/>
      <c r="B1474" s="16"/>
      <c r="C1474" s="15"/>
      <c r="D1474" s="9"/>
      <c r="E1474" s="15"/>
      <c r="F1474" s="15"/>
      <c r="G1474" s="13"/>
      <c r="H1474" s="13"/>
      <c r="I1474" s="13"/>
      <c r="J1474" s="13"/>
      <c r="K1474" s="13"/>
      <c r="L1474" s="13"/>
      <c r="M1474" s="13"/>
      <c r="N1474" s="13"/>
      <c r="O1474" s="13"/>
      <c r="P1474" s="13"/>
      <c r="Q1474" s="13"/>
      <c r="R1474" s="13"/>
      <c r="S1474" s="13"/>
      <c r="T1474" s="13"/>
      <c r="U1474" s="13"/>
      <c r="V1474" s="13"/>
      <c r="W1474" s="13"/>
      <c r="X1474" s="13"/>
      <c r="Y1474" s="13"/>
      <c r="Z1474" s="13"/>
      <c r="AA1474" s="13"/>
      <c r="AB1474" s="15"/>
      <c r="AC1474" s="15"/>
      <c r="AD1474" s="15"/>
      <c r="AE1474" s="13"/>
      <c r="AF1474" s="13"/>
      <c r="AG1474" s="13"/>
      <c r="AH1474" s="15"/>
      <c r="AI1474" s="13"/>
      <c r="AJ1474" s="13"/>
      <c r="AK1474" s="13"/>
      <c r="AL1474" s="13"/>
      <c r="AM1474" s="15"/>
      <c r="AN1474" s="13"/>
      <c r="AO1474" s="15"/>
      <c r="AP1474" s="15"/>
      <c r="AQ1474" s="13"/>
      <c r="AR1474" s="13"/>
      <c r="AS1474" s="13"/>
      <c r="AT1474" s="13"/>
      <c r="AU1474" s="13"/>
      <c r="AV1474" s="13"/>
      <c r="AW1474" s="13"/>
      <c r="AX1474" s="13"/>
      <c r="AY1474" s="15"/>
      <c r="AZ1474" s="15"/>
      <c r="BA1474" s="16"/>
      <c r="BB1474" s="15"/>
      <c r="BC1474" s="15"/>
      <c r="BD1474" s="13"/>
      <c r="BE1474" s="13"/>
      <c r="BF1474" s="13"/>
      <c r="BG1474" s="13"/>
      <c r="BH1474" s="13"/>
      <c r="BI1474" s="13"/>
      <c r="BJ1474" s="13"/>
      <c r="BK1474" s="13"/>
      <c r="BL1474" s="13"/>
      <c r="BM1474" s="13"/>
      <c r="BN1474" s="13"/>
      <c r="BO1474" s="13"/>
      <c r="BP1474" s="13"/>
      <c r="BQ1474" s="15"/>
      <c r="BR1474" s="15"/>
      <c r="BS1474" s="15"/>
      <c r="BT1474" s="15"/>
      <c r="BU1474" s="15"/>
      <c r="BV1474" s="15"/>
      <c r="BW1474" s="15"/>
      <c r="BX1474" s="15"/>
      <c r="BY1474" s="15"/>
      <c r="BZ1474" s="15"/>
      <c r="CA1474" s="15"/>
      <c r="CB1474" s="17"/>
      <c r="CC1474" s="17"/>
      <c r="CD1474" s="18"/>
      <c r="CE1474" s="18"/>
      <c r="CF1474" s="18"/>
      <c r="CG1474" s="18"/>
      <c r="CH1474" s="18"/>
    </row>
    <row r="1475">
      <c r="A1475" s="15"/>
      <c r="B1475" s="16"/>
      <c r="C1475" s="15"/>
      <c r="D1475" s="9"/>
      <c r="E1475" s="15"/>
      <c r="F1475" s="15"/>
      <c r="G1475" s="13"/>
      <c r="H1475" s="13"/>
      <c r="I1475" s="13"/>
      <c r="J1475" s="13"/>
      <c r="K1475" s="13"/>
      <c r="L1475" s="13"/>
      <c r="M1475" s="13"/>
      <c r="N1475" s="13"/>
      <c r="O1475" s="13"/>
      <c r="P1475" s="13"/>
      <c r="Q1475" s="13"/>
      <c r="R1475" s="13"/>
      <c r="S1475" s="13"/>
      <c r="T1475" s="13"/>
      <c r="U1475" s="13"/>
      <c r="V1475" s="13"/>
      <c r="W1475" s="13"/>
      <c r="X1475" s="13"/>
      <c r="Y1475" s="13"/>
      <c r="Z1475" s="13"/>
      <c r="AA1475" s="13"/>
      <c r="AB1475" s="15"/>
      <c r="AC1475" s="15"/>
      <c r="AD1475" s="15"/>
      <c r="AE1475" s="13"/>
      <c r="AF1475" s="13"/>
      <c r="AG1475" s="13"/>
      <c r="AH1475" s="15"/>
      <c r="AI1475" s="13"/>
      <c r="AJ1475" s="13"/>
      <c r="AK1475" s="13"/>
      <c r="AL1475" s="13"/>
      <c r="AM1475" s="15"/>
      <c r="AN1475" s="13"/>
      <c r="AO1475" s="15"/>
      <c r="AP1475" s="15"/>
      <c r="AQ1475" s="13"/>
      <c r="AR1475" s="13"/>
      <c r="AS1475" s="13"/>
      <c r="AT1475" s="13"/>
      <c r="AU1475" s="13"/>
      <c r="AV1475" s="13"/>
      <c r="AW1475" s="13"/>
      <c r="AX1475" s="13"/>
      <c r="AY1475" s="15"/>
      <c r="AZ1475" s="15"/>
      <c r="BA1475" s="16"/>
      <c r="BB1475" s="15"/>
      <c r="BC1475" s="15"/>
      <c r="BD1475" s="13"/>
      <c r="BE1475" s="13"/>
      <c r="BF1475" s="13"/>
      <c r="BG1475" s="13"/>
      <c r="BH1475" s="13"/>
      <c r="BI1475" s="13"/>
      <c r="BJ1475" s="13"/>
      <c r="BK1475" s="13"/>
      <c r="BL1475" s="13"/>
      <c r="BM1475" s="13"/>
      <c r="BN1475" s="13"/>
      <c r="BO1475" s="13"/>
      <c r="BP1475" s="13"/>
      <c r="BQ1475" s="15"/>
      <c r="BR1475" s="15"/>
      <c r="BS1475" s="15"/>
      <c r="BT1475" s="15"/>
      <c r="BU1475" s="15"/>
      <c r="BV1475" s="15"/>
      <c r="BW1475" s="15"/>
      <c r="BX1475" s="15"/>
      <c r="BY1475" s="15"/>
      <c r="BZ1475" s="15"/>
      <c r="CA1475" s="15"/>
      <c r="CB1475" s="17"/>
      <c r="CC1475" s="17"/>
      <c r="CD1475" s="18"/>
      <c r="CE1475" s="18"/>
      <c r="CF1475" s="18"/>
      <c r="CG1475" s="18"/>
      <c r="CH1475" s="18"/>
    </row>
    <row r="1476">
      <c r="A1476" s="15"/>
      <c r="B1476" s="16"/>
      <c r="C1476" s="15"/>
      <c r="D1476" s="9"/>
      <c r="E1476" s="15"/>
      <c r="F1476" s="15"/>
      <c r="G1476" s="13"/>
      <c r="H1476" s="13"/>
      <c r="I1476" s="13"/>
      <c r="J1476" s="13"/>
      <c r="K1476" s="13"/>
      <c r="L1476" s="13"/>
      <c r="M1476" s="13"/>
      <c r="N1476" s="13"/>
      <c r="O1476" s="13"/>
      <c r="P1476" s="13"/>
      <c r="Q1476" s="13"/>
      <c r="R1476" s="13"/>
      <c r="S1476" s="13"/>
      <c r="T1476" s="13"/>
      <c r="U1476" s="13"/>
      <c r="V1476" s="13"/>
      <c r="W1476" s="13"/>
      <c r="X1476" s="13"/>
      <c r="Y1476" s="13"/>
      <c r="Z1476" s="13"/>
      <c r="AA1476" s="13"/>
      <c r="AB1476" s="15"/>
      <c r="AC1476" s="15"/>
      <c r="AD1476" s="15"/>
      <c r="AE1476" s="13"/>
      <c r="AF1476" s="13"/>
      <c r="AG1476" s="13"/>
      <c r="AH1476" s="15"/>
      <c r="AI1476" s="13"/>
      <c r="AJ1476" s="13"/>
      <c r="AK1476" s="13"/>
      <c r="AL1476" s="13"/>
      <c r="AM1476" s="15"/>
      <c r="AN1476" s="13"/>
      <c r="AO1476" s="15"/>
      <c r="AP1476" s="15"/>
      <c r="AQ1476" s="13"/>
      <c r="AR1476" s="13"/>
      <c r="AS1476" s="13"/>
      <c r="AT1476" s="13"/>
      <c r="AU1476" s="13"/>
      <c r="AV1476" s="13"/>
      <c r="AW1476" s="13"/>
      <c r="AX1476" s="13"/>
      <c r="AY1476" s="15"/>
      <c r="AZ1476" s="15"/>
      <c r="BA1476" s="16"/>
      <c r="BB1476" s="15"/>
      <c r="BC1476" s="15"/>
      <c r="BD1476" s="13"/>
      <c r="BE1476" s="13"/>
      <c r="BF1476" s="13"/>
      <c r="BG1476" s="13"/>
      <c r="BH1476" s="13"/>
      <c r="BI1476" s="13"/>
      <c r="BJ1476" s="13"/>
      <c r="BK1476" s="13"/>
      <c r="BL1476" s="13"/>
      <c r="BM1476" s="13"/>
      <c r="BN1476" s="13"/>
      <c r="BO1476" s="13"/>
      <c r="BP1476" s="13"/>
      <c r="BQ1476" s="15"/>
      <c r="BR1476" s="15"/>
      <c r="BS1476" s="15"/>
      <c r="BT1476" s="15"/>
      <c r="BU1476" s="15"/>
      <c r="BV1476" s="15"/>
      <c r="BW1476" s="15"/>
      <c r="BX1476" s="15"/>
      <c r="BY1476" s="15"/>
      <c r="BZ1476" s="15"/>
      <c r="CA1476" s="15"/>
      <c r="CB1476" s="17"/>
      <c r="CC1476" s="17"/>
      <c r="CD1476" s="18"/>
      <c r="CE1476" s="18"/>
      <c r="CF1476" s="18"/>
      <c r="CG1476" s="18"/>
      <c r="CH1476" s="18"/>
    </row>
    <row r="1477">
      <c r="A1477" s="15"/>
      <c r="B1477" s="16"/>
      <c r="C1477" s="15"/>
      <c r="D1477" s="9"/>
      <c r="E1477" s="15"/>
      <c r="F1477" s="15"/>
      <c r="G1477" s="13"/>
      <c r="H1477" s="13"/>
      <c r="I1477" s="13"/>
      <c r="J1477" s="13"/>
      <c r="K1477" s="13"/>
      <c r="L1477" s="13"/>
      <c r="M1477" s="13"/>
      <c r="N1477" s="13"/>
      <c r="O1477" s="13"/>
      <c r="P1477" s="13"/>
      <c r="Q1477" s="13"/>
      <c r="R1477" s="13"/>
      <c r="S1477" s="13"/>
      <c r="T1477" s="13"/>
      <c r="U1477" s="13"/>
      <c r="V1477" s="13"/>
      <c r="W1477" s="13"/>
      <c r="X1477" s="13"/>
      <c r="Y1477" s="13"/>
      <c r="Z1477" s="13"/>
      <c r="AA1477" s="13"/>
      <c r="AB1477" s="15"/>
      <c r="AC1477" s="15"/>
      <c r="AD1477" s="15"/>
      <c r="AE1477" s="13"/>
      <c r="AF1477" s="13"/>
      <c r="AG1477" s="13"/>
      <c r="AH1477" s="15"/>
      <c r="AI1477" s="13"/>
      <c r="AJ1477" s="13"/>
      <c r="AK1477" s="13"/>
      <c r="AL1477" s="13"/>
      <c r="AM1477" s="15"/>
      <c r="AN1477" s="13"/>
      <c r="AO1477" s="15"/>
      <c r="AP1477" s="15"/>
      <c r="AQ1477" s="13"/>
      <c r="AR1477" s="13"/>
      <c r="AS1477" s="13"/>
      <c r="AT1477" s="13"/>
      <c r="AU1477" s="13"/>
      <c r="AV1477" s="13"/>
      <c r="AW1477" s="13"/>
      <c r="AX1477" s="13"/>
      <c r="AY1477" s="15"/>
      <c r="AZ1477" s="15"/>
      <c r="BA1477" s="16"/>
      <c r="BB1477" s="15"/>
      <c r="BC1477" s="15"/>
      <c r="BD1477" s="13"/>
      <c r="BE1477" s="13"/>
      <c r="BF1477" s="13"/>
      <c r="BG1477" s="13"/>
      <c r="BH1477" s="13"/>
      <c r="BI1477" s="13"/>
      <c r="BJ1477" s="13"/>
      <c r="BK1477" s="13"/>
      <c r="BL1477" s="13"/>
      <c r="BM1477" s="13"/>
      <c r="BN1477" s="13"/>
      <c r="BO1477" s="13"/>
      <c r="BP1477" s="13"/>
      <c r="BQ1477" s="15"/>
      <c r="BR1477" s="15"/>
      <c r="BS1477" s="15"/>
      <c r="BT1477" s="15"/>
      <c r="BU1477" s="15"/>
      <c r="BV1477" s="15"/>
      <c r="BW1477" s="15"/>
      <c r="BX1477" s="15"/>
      <c r="BY1477" s="15"/>
      <c r="BZ1477" s="15"/>
      <c r="CA1477" s="15"/>
      <c r="CB1477" s="17"/>
      <c r="CC1477" s="17"/>
      <c r="CD1477" s="18"/>
      <c r="CE1477" s="18"/>
      <c r="CF1477" s="18"/>
      <c r="CG1477" s="18"/>
      <c r="CH1477" s="18"/>
    </row>
    <row r="1478">
      <c r="A1478" s="15"/>
      <c r="B1478" s="16"/>
      <c r="C1478" s="15"/>
      <c r="D1478" s="9"/>
      <c r="E1478" s="15"/>
      <c r="F1478" s="15"/>
      <c r="G1478" s="13"/>
      <c r="H1478" s="13"/>
      <c r="I1478" s="13"/>
      <c r="J1478" s="13"/>
      <c r="K1478" s="13"/>
      <c r="L1478" s="13"/>
      <c r="M1478" s="13"/>
      <c r="N1478" s="13"/>
      <c r="O1478" s="13"/>
      <c r="P1478" s="13"/>
      <c r="Q1478" s="13"/>
      <c r="R1478" s="13"/>
      <c r="S1478" s="13"/>
      <c r="T1478" s="13"/>
      <c r="U1478" s="13"/>
      <c r="V1478" s="13"/>
      <c r="W1478" s="13"/>
      <c r="X1478" s="13"/>
      <c r="Y1478" s="13"/>
      <c r="Z1478" s="13"/>
      <c r="AA1478" s="13"/>
      <c r="AB1478" s="15"/>
      <c r="AC1478" s="15"/>
      <c r="AD1478" s="15"/>
      <c r="AE1478" s="13"/>
      <c r="AF1478" s="13"/>
      <c r="AG1478" s="13"/>
      <c r="AH1478" s="15"/>
      <c r="AI1478" s="13"/>
      <c r="AJ1478" s="13"/>
      <c r="AK1478" s="13"/>
      <c r="AL1478" s="13"/>
      <c r="AM1478" s="15"/>
      <c r="AN1478" s="13"/>
      <c r="AO1478" s="15"/>
      <c r="AP1478" s="15"/>
      <c r="AQ1478" s="13"/>
      <c r="AR1478" s="13"/>
      <c r="AS1478" s="13"/>
      <c r="AT1478" s="13"/>
      <c r="AU1478" s="13"/>
      <c r="AV1478" s="13"/>
      <c r="AW1478" s="13"/>
      <c r="AX1478" s="13"/>
      <c r="AY1478" s="15"/>
      <c r="AZ1478" s="15"/>
      <c r="BA1478" s="16"/>
      <c r="BB1478" s="15"/>
      <c r="BC1478" s="15"/>
      <c r="BD1478" s="13"/>
      <c r="BE1478" s="13"/>
      <c r="BF1478" s="13"/>
      <c r="BG1478" s="13"/>
      <c r="BH1478" s="13"/>
      <c r="BI1478" s="13"/>
      <c r="BJ1478" s="13"/>
      <c r="BK1478" s="13"/>
      <c r="BL1478" s="13"/>
      <c r="BM1478" s="13"/>
      <c r="BN1478" s="13"/>
      <c r="BO1478" s="13"/>
      <c r="BP1478" s="13"/>
      <c r="BQ1478" s="15"/>
      <c r="BR1478" s="15"/>
      <c r="BS1478" s="15"/>
      <c r="BT1478" s="15"/>
      <c r="BU1478" s="15"/>
      <c r="BV1478" s="15"/>
      <c r="BW1478" s="15"/>
      <c r="BX1478" s="15"/>
      <c r="BY1478" s="15"/>
      <c r="BZ1478" s="15"/>
      <c r="CA1478" s="15"/>
      <c r="CB1478" s="17"/>
      <c r="CC1478" s="17"/>
      <c r="CD1478" s="18"/>
      <c r="CE1478" s="18"/>
      <c r="CF1478" s="18"/>
      <c r="CG1478" s="18"/>
      <c r="CH1478" s="18"/>
    </row>
    <row r="1479">
      <c r="A1479" s="15"/>
      <c r="B1479" s="16"/>
      <c r="C1479" s="15"/>
      <c r="D1479" s="9"/>
      <c r="E1479" s="15"/>
      <c r="F1479" s="15"/>
      <c r="G1479" s="13"/>
      <c r="H1479" s="13"/>
      <c r="I1479" s="13"/>
      <c r="J1479" s="13"/>
      <c r="K1479" s="13"/>
      <c r="L1479" s="13"/>
      <c r="M1479" s="13"/>
      <c r="N1479" s="13"/>
      <c r="O1479" s="13"/>
      <c r="P1479" s="13"/>
      <c r="Q1479" s="13"/>
      <c r="R1479" s="13"/>
      <c r="S1479" s="13"/>
      <c r="T1479" s="13"/>
      <c r="U1479" s="13"/>
      <c r="V1479" s="13"/>
      <c r="W1479" s="13"/>
      <c r="X1479" s="13"/>
      <c r="Y1479" s="13"/>
      <c r="Z1479" s="13"/>
      <c r="AA1479" s="13"/>
      <c r="AB1479" s="15"/>
      <c r="AC1479" s="15"/>
      <c r="AD1479" s="15"/>
      <c r="AE1479" s="13"/>
      <c r="AF1479" s="13"/>
      <c r="AG1479" s="13"/>
      <c r="AH1479" s="15"/>
      <c r="AI1479" s="13"/>
      <c r="AJ1479" s="13"/>
      <c r="AK1479" s="13"/>
      <c r="AL1479" s="13"/>
      <c r="AM1479" s="15"/>
      <c r="AN1479" s="13"/>
      <c r="AO1479" s="15"/>
      <c r="AP1479" s="15"/>
      <c r="AQ1479" s="13"/>
      <c r="AR1479" s="13"/>
      <c r="AS1479" s="13"/>
      <c r="AT1479" s="13"/>
      <c r="AU1479" s="13"/>
      <c r="AV1479" s="13"/>
      <c r="AW1479" s="13"/>
      <c r="AX1479" s="13"/>
      <c r="AY1479" s="15"/>
      <c r="AZ1479" s="15"/>
      <c r="BA1479" s="16"/>
      <c r="BB1479" s="15"/>
      <c r="BC1479" s="15"/>
      <c r="BD1479" s="13"/>
      <c r="BE1479" s="13"/>
      <c r="BF1479" s="13"/>
      <c r="BG1479" s="13"/>
      <c r="BH1479" s="13"/>
      <c r="BI1479" s="13"/>
      <c r="BJ1479" s="13"/>
      <c r="BK1479" s="13"/>
      <c r="BL1479" s="13"/>
      <c r="BM1479" s="13"/>
      <c r="BN1479" s="13"/>
      <c r="BO1479" s="13"/>
      <c r="BP1479" s="13"/>
      <c r="BQ1479" s="15"/>
      <c r="BR1479" s="15"/>
      <c r="BS1479" s="15"/>
      <c r="BT1479" s="15"/>
      <c r="BU1479" s="15"/>
      <c r="BV1479" s="15"/>
      <c r="BW1479" s="15"/>
      <c r="BX1479" s="15"/>
      <c r="BY1479" s="15"/>
      <c r="BZ1479" s="15"/>
      <c r="CA1479" s="15"/>
      <c r="CB1479" s="17"/>
      <c r="CC1479" s="17"/>
      <c r="CD1479" s="18"/>
      <c r="CE1479" s="18"/>
      <c r="CF1479" s="18"/>
      <c r="CG1479" s="18"/>
      <c r="CH1479" s="18"/>
    </row>
    <row r="1480">
      <c r="A1480" s="15"/>
      <c r="B1480" s="16"/>
      <c r="C1480" s="15"/>
      <c r="D1480" s="9"/>
      <c r="E1480" s="15"/>
      <c r="F1480" s="15"/>
      <c r="G1480" s="13"/>
      <c r="H1480" s="13"/>
      <c r="I1480" s="13"/>
      <c r="J1480" s="13"/>
      <c r="K1480" s="13"/>
      <c r="L1480" s="13"/>
      <c r="M1480" s="13"/>
      <c r="N1480" s="13"/>
      <c r="O1480" s="13"/>
      <c r="P1480" s="13"/>
      <c r="Q1480" s="13"/>
      <c r="R1480" s="13"/>
      <c r="S1480" s="13"/>
      <c r="T1480" s="13"/>
      <c r="U1480" s="13"/>
      <c r="V1480" s="13"/>
      <c r="W1480" s="13"/>
      <c r="X1480" s="13"/>
      <c r="Y1480" s="13"/>
      <c r="Z1480" s="13"/>
      <c r="AA1480" s="13"/>
      <c r="AB1480" s="15"/>
      <c r="AC1480" s="15"/>
      <c r="AD1480" s="15"/>
      <c r="AE1480" s="13"/>
      <c r="AF1480" s="13"/>
      <c r="AG1480" s="13"/>
      <c r="AH1480" s="15"/>
      <c r="AI1480" s="13"/>
      <c r="AJ1480" s="13"/>
      <c r="AK1480" s="13"/>
      <c r="AL1480" s="13"/>
      <c r="AM1480" s="15"/>
      <c r="AN1480" s="13"/>
      <c r="AO1480" s="15"/>
      <c r="AP1480" s="15"/>
      <c r="AQ1480" s="13"/>
      <c r="AR1480" s="13"/>
      <c r="AS1480" s="13"/>
      <c r="AT1480" s="13"/>
      <c r="AU1480" s="13"/>
      <c r="AV1480" s="13"/>
      <c r="AW1480" s="13"/>
      <c r="AX1480" s="13"/>
      <c r="AY1480" s="15"/>
      <c r="AZ1480" s="15"/>
      <c r="BA1480" s="16"/>
      <c r="BB1480" s="15"/>
      <c r="BC1480" s="15"/>
      <c r="BD1480" s="13"/>
      <c r="BE1480" s="13"/>
      <c r="BF1480" s="13"/>
      <c r="BG1480" s="13"/>
      <c r="BH1480" s="13"/>
      <c r="BI1480" s="13"/>
      <c r="BJ1480" s="13"/>
      <c r="BK1480" s="13"/>
      <c r="BL1480" s="13"/>
      <c r="BM1480" s="13"/>
      <c r="BN1480" s="13"/>
      <c r="BO1480" s="13"/>
      <c r="BP1480" s="13"/>
      <c r="BQ1480" s="15"/>
      <c r="BR1480" s="15"/>
      <c r="BS1480" s="15"/>
      <c r="BT1480" s="15"/>
      <c r="BU1480" s="15"/>
      <c r="BV1480" s="15"/>
      <c r="BW1480" s="15"/>
      <c r="BX1480" s="15"/>
      <c r="BY1480" s="15"/>
      <c r="BZ1480" s="15"/>
      <c r="CA1480" s="15"/>
      <c r="CB1480" s="17"/>
      <c r="CC1480" s="17"/>
      <c r="CD1480" s="18"/>
      <c r="CE1480" s="18"/>
      <c r="CF1480" s="18"/>
      <c r="CG1480" s="18"/>
      <c r="CH1480" s="18"/>
    </row>
    <row r="1481">
      <c r="A1481" s="15"/>
      <c r="B1481" s="16"/>
      <c r="C1481" s="15"/>
      <c r="D1481" s="9"/>
      <c r="E1481" s="15"/>
      <c r="F1481" s="15"/>
      <c r="G1481" s="13"/>
      <c r="H1481" s="13"/>
      <c r="I1481" s="13"/>
      <c r="J1481" s="13"/>
      <c r="K1481" s="13"/>
      <c r="L1481" s="13"/>
      <c r="M1481" s="13"/>
      <c r="N1481" s="13"/>
      <c r="O1481" s="13"/>
      <c r="P1481" s="13"/>
      <c r="Q1481" s="13"/>
      <c r="R1481" s="13"/>
      <c r="S1481" s="13"/>
      <c r="T1481" s="13"/>
      <c r="U1481" s="13"/>
      <c r="V1481" s="13"/>
      <c r="W1481" s="13"/>
      <c r="X1481" s="13"/>
      <c r="Y1481" s="13"/>
      <c r="Z1481" s="13"/>
      <c r="AA1481" s="13"/>
      <c r="AB1481" s="15"/>
      <c r="AC1481" s="15"/>
      <c r="AD1481" s="15"/>
      <c r="AE1481" s="13"/>
      <c r="AF1481" s="13"/>
      <c r="AG1481" s="13"/>
      <c r="AH1481" s="15"/>
      <c r="AI1481" s="13"/>
      <c r="AJ1481" s="13"/>
      <c r="AK1481" s="13"/>
      <c r="AL1481" s="13"/>
      <c r="AM1481" s="15"/>
      <c r="AN1481" s="13"/>
      <c r="AO1481" s="15"/>
      <c r="AP1481" s="15"/>
      <c r="AQ1481" s="13"/>
      <c r="AR1481" s="13"/>
      <c r="AS1481" s="13"/>
      <c r="AT1481" s="13"/>
      <c r="AU1481" s="13"/>
      <c r="AV1481" s="13"/>
      <c r="AW1481" s="13"/>
      <c r="AX1481" s="13"/>
      <c r="AY1481" s="15"/>
      <c r="AZ1481" s="15"/>
      <c r="BA1481" s="16"/>
      <c r="BB1481" s="15"/>
      <c r="BC1481" s="15"/>
      <c r="BD1481" s="13"/>
      <c r="BE1481" s="13"/>
      <c r="BF1481" s="13"/>
      <c r="BG1481" s="13"/>
      <c r="BH1481" s="13"/>
      <c r="BI1481" s="13"/>
      <c r="BJ1481" s="13"/>
      <c r="BK1481" s="13"/>
      <c r="BL1481" s="13"/>
      <c r="BM1481" s="13"/>
      <c r="BN1481" s="13"/>
      <c r="BO1481" s="13"/>
      <c r="BP1481" s="13"/>
      <c r="BQ1481" s="15"/>
      <c r="BR1481" s="15"/>
      <c r="BS1481" s="15"/>
      <c r="BT1481" s="15"/>
      <c r="BU1481" s="15"/>
      <c r="BV1481" s="15"/>
      <c r="BW1481" s="15"/>
      <c r="BX1481" s="15"/>
      <c r="BY1481" s="15"/>
      <c r="BZ1481" s="15"/>
      <c r="CA1481" s="15"/>
      <c r="CB1481" s="17"/>
      <c r="CC1481" s="17"/>
      <c r="CD1481" s="18"/>
      <c r="CE1481" s="18"/>
      <c r="CF1481" s="18"/>
      <c r="CG1481" s="18"/>
      <c r="CH1481" s="18"/>
    </row>
    <row r="1482">
      <c r="A1482" s="15"/>
      <c r="B1482" s="16"/>
      <c r="C1482" s="15"/>
      <c r="D1482" s="9"/>
      <c r="E1482" s="15"/>
      <c r="F1482" s="15"/>
      <c r="G1482" s="13"/>
      <c r="H1482" s="13"/>
      <c r="I1482" s="13"/>
      <c r="J1482" s="13"/>
      <c r="K1482" s="13"/>
      <c r="L1482" s="13"/>
      <c r="M1482" s="13"/>
      <c r="N1482" s="13"/>
      <c r="O1482" s="13"/>
      <c r="P1482" s="13"/>
      <c r="Q1482" s="13"/>
      <c r="R1482" s="13"/>
      <c r="S1482" s="13"/>
      <c r="T1482" s="13"/>
      <c r="U1482" s="13"/>
      <c r="V1482" s="13"/>
      <c r="W1482" s="13"/>
      <c r="X1482" s="13"/>
      <c r="Y1482" s="13"/>
      <c r="Z1482" s="13"/>
      <c r="AA1482" s="13"/>
      <c r="AB1482" s="15"/>
      <c r="AC1482" s="15"/>
      <c r="AD1482" s="15"/>
      <c r="AE1482" s="13"/>
      <c r="AF1482" s="13"/>
      <c r="AG1482" s="13"/>
      <c r="AH1482" s="15"/>
      <c r="AI1482" s="13"/>
      <c r="AJ1482" s="13"/>
      <c r="AK1482" s="13"/>
      <c r="AL1482" s="13"/>
      <c r="AM1482" s="15"/>
      <c r="AN1482" s="13"/>
      <c r="AO1482" s="15"/>
      <c r="AP1482" s="15"/>
      <c r="AQ1482" s="13"/>
      <c r="AR1482" s="13"/>
      <c r="AS1482" s="13"/>
      <c r="AT1482" s="13"/>
      <c r="AU1482" s="13"/>
      <c r="AV1482" s="13"/>
      <c r="AW1482" s="13"/>
      <c r="AX1482" s="13"/>
      <c r="AY1482" s="15"/>
      <c r="AZ1482" s="15"/>
      <c r="BA1482" s="16"/>
      <c r="BB1482" s="15"/>
      <c r="BC1482" s="15"/>
      <c r="BD1482" s="13"/>
      <c r="BE1482" s="13"/>
      <c r="BF1482" s="13"/>
      <c r="BG1482" s="13"/>
      <c r="BH1482" s="13"/>
      <c r="BI1482" s="13"/>
      <c r="BJ1482" s="13"/>
      <c r="BK1482" s="13"/>
      <c r="BL1482" s="13"/>
      <c r="BM1482" s="13"/>
      <c r="BN1482" s="13"/>
      <c r="BO1482" s="13"/>
      <c r="BP1482" s="13"/>
      <c r="BQ1482" s="15"/>
      <c r="BR1482" s="15"/>
      <c r="BS1482" s="15"/>
      <c r="BT1482" s="15"/>
      <c r="BU1482" s="15"/>
      <c r="BV1482" s="15"/>
      <c r="BW1482" s="15"/>
      <c r="BX1482" s="15"/>
      <c r="BY1482" s="15"/>
      <c r="BZ1482" s="15"/>
      <c r="CA1482" s="15"/>
      <c r="CB1482" s="17"/>
      <c r="CC1482" s="17"/>
      <c r="CD1482" s="18"/>
      <c r="CE1482" s="18"/>
      <c r="CF1482" s="18"/>
      <c r="CG1482" s="18"/>
      <c r="CH1482" s="18"/>
    </row>
    <row r="1483">
      <c r="A1483" s="15"/>
      <c r="B1483" s="16"/>
      <c r="C1483" s="15"/>
      <c r="D1483" s="9"/>
      <c r="E1483" s="15"/>
      <c r="F1483" s="15"/>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5"/>
      <c r="AC1483" s="15"/>
      <c r="AD1483" s="15"/>
      <c r="AE1483" s="13"/>
      <c r="AF1483" s="13"/>
      <c r="AG1483" s="13"/>
      <c r="AH1483" s="15"/>
      <c r="AI1483" s="13"/>
      <c r="AJ1483" s="13"/>
      <c r="AK1483" s="13"/>
      <c r="AL1483" s="13"/>
      <c r="AM1483" s="15"/>
      <c r="AN1483" s="13"/>
      <c r="AO1483" s="15"/>
      <c r="AP1483" s="15"/>
      <c r="AQ1483" s="13"/>
      <c r="AR1483" s="13"/>
      <c r="AS1483" s="13"/>
      <c r="AT1483" s="13"/>
      <c r="AU1483" s="13"/>
      <c r="AV1483" s="13"/>
      <c r="AW1483" s="13"/>
      <c r="AX1483" s="13"/>
      <c r="AY1483" s="15"/>
      <c r="AZ1483" s="15"/>
      <c r="BA1483" s="16"/>
      <c r="BB1483" s="15"/>
      <c r="BC1483" s="15"/>
      <c r="BD1483" s="13"/>
      <c r="BE1483" s="13"/>
      <c r="BF1483" s="13"/>
      <c r="BG1483" s="13"/>
      <c r="BH1483" s="13"/>
      <c r="BI1483" s="13"/>
      <c r="BJ1483" s="13"/>
      <c r="BK1483" s="13"/>
      <c r="BL1483" s="13"/>
      <c r="BM1483" s="13"/>
      <c r="BN1483" s="13"/>
      <c r="BO1483" s="13"/>
      <c r="BP1483" s="13"/>
      <c r="BQ1483" s="15"/>
      <c r="BR1483" s="15"/>
      <c r="BS1483" s="15"/>
      <c r="BT1483" s="15"/>
      <c r="BU1483" s="15"/>
      <c r="BV1483" s="15"/>
      <c r="BW1483" s="15"/>
      <c r="BX1483" s="15"/>
      <c r="BY1483" s="15"/>
      <c r="BZ1483" s="15"/>
      <c r="CA1483" s="15"/>
      <c r="CB1483" s="17"/>
      <c r="CC1483" s="17"/>
      <c r="CD1483" s="18"/>
      <c r="CE1483" s="18"/>
      <c r="CF1483" s="18"/>
      <c r="CG1483" s="18"/>
      <c r="CH1483" s="18"/>
    </row>
    <row r="1484">
      <c r="A1484" s="15"/>
      <c r="B1484" s="16"/>
      <c r="C1484" s="15"/>
      <c r="D1484" s="9"/>
      <c r="E1484" s="15"/>
      <c r="F1484" s="15"/>
      <c r="G1484" s="13"/>
      <c r="H1484" s="13"/>
      <c r="I1484" s="13"/>
      <c r="J1484" s="13"/>
      <c r="K1484" s="13"/>
      <c r="L1484" s="13"/>
      <c r="M1484" s="13"/>
      <c r="N1484" s="13"/>
      <c r="O1484" s="13"/>
      <c r="P1484" s="13"/>
      <c r="Q1484" s="13"/>
      <c r="R1484" s="13"/>
      <c r="S1484" s="13"/>
      <c r="T1484" s="13"/>
      <c r="U1484" s="13"/>
      <c r="V1484" s="13"/>
      <c r="W1484" s="13"/>
      <c r="X1484" s="13"/>
      <c r="Y1484" s="13"/>
      <c r="Z1484" s="13"/>
      <c r="AA1484" s="13"/>
      <c r="AB1484" s="15"/>
      <c r="AC1484" s="15"/>
      <c r="AD1484" s="15"/>
      <c r="AE1484" s="13"/>
      <c r="AF1484" s="13"/>
      <c r="AG1484" s="13"/>
      <c r="AH1484" s="15"/>
      <c r="AI1484" s="13"/>
      <c r="AJ1484" s="13"/>
      <c r="AK1484" s="13"/>
      <c r="AL1484" s="13"/>
      <c r="AM1484" s="15"/>
      <c r="AN1484" s="13"/>
      <c r="AO1484" s="15"/>
      <c r="AP1484" s="15"/>
      <c r="AQ1484" s="13"/>
      <c r="AR1484" s="13"/>
      <c r="AS1484" s="13"/>
      <c r="AT1484" s="13"/>
      <c r="AU1484" s="13"/>
      <c r="AV1484" s="13"/>
      <c r="AW1484" s="13"/>
      <c r="AX1484" s="13"/>
      <c r="AY1484" s="15"/>
      <c r="AZ1484" s="15"/>
      <c r="BA1484" s="16"/>
      <c r="BB1484" s="15"/>
      <c r="BC1484" s="15"/>
      <c r="BD1484" s="13"/>
      <c r="BE1484" s="13"/>
      <c r="BF1484" s="13"/>
      <c r="BG1484" s="13"/>
      <c r="BH1484" s="13"/>
      <c r="BI1484" s="13"/>
      <c r="BJ1484" s="13"/>
      <c r="BK1484" s="13"/>
      <c r="BL1484" s="13"/>
      <c r="BM1484" s="13"/>
      <c r="BN1484" s="13"/>
      <c r="BO1484" s="13"/>
      <c r="BP1484" s="13"/>
      <c r="BQ1484" s="15"/>
      <c r="BR1484" s="15"/>
      <c r="BS1484" s="15"/>
      <c r="BT1484" s="15"/>
      <c r="BU1484" s="15"/>
      <c r="BV1484" s="15"/>
      <c r="BW1484" s="15"/>
      <c r="BX1484" s="15"/>
      <c r="BY1484" s="15"/>
      <c r="BZ1484" s="15"/>
      <c r="CA1484" s="15"/>
      <c r="CB1484" s="17"/>
      <c r="CC1484" s="17"/>
      <c r="CD1484" s="18"/>
      <c r="CE1484" s="18"/>
      <c r="CF1484" s="18"/>
      <c r="CG1484" s="18"/>
      <c r="CH1484" s="18"/>
    </row>
    <row r="1485">
      <c r="A1485" s="15"/>
      <c r="B1485" s="16"/>
      <c r="C1485" s="15"/>
      <c r="D1485" s="9"/>
      <c r="E1485" s="15"/>
      <c r="F1485" s="15"/>
      <c r="G1485" s="13"/>
      <c r="H1485" s="13"/>
      <c r="I1485" s="13"/>
      <c r="J1485" s="13"/>
      <c r="K1485" s="13"/>
      <c r="L1485" s="13"/>
      <c r="M1485" s="13"/>
      <c r="N1485" s="13"/>
      <c r="O1485" s="13"/>
      <c r="P1485" s="13"/>
      <c r="Q1485" s="13"/>
      <c r="R1485" s="13"/>
      <c r="S1485" s="13"/>
      <c r="T1485" s="13"/>
      <c r="U1485" s="13"/>
      <c r="V1485" s="13"/>
      <c r="W1485" s="13"/>
      <c r="X1485" s="13"/>
      <c r="Y1485" s="13"/>
      <c r="Z1485" s="13"/>
      <c r="AA1485" s="13"/>
      <c r="AB1485" s="15"/>
      <c r="AC1485" s="15"/>
      <c r="AD1485" s="15"/>
      <c r="AE1485" s="13"/>
      <c r="AF1485" s="13"/>
      <c r="AG1485" s="13"/>
      <c r="AH1485" s="15"/>
      <c r="AI1485" s="13"/>
      <c r="AJ1485" s="13"/>
      <c r="AK1485" s="13"/>
      <c r="AL1485" s="13"/>
      <c r="AM1485" s="15"/>
      <c r="AN1485" s="13"/>
      <c r="AO1485" s="15"/>
      <c r="AP1485" s="15"/>
      <c r="AQ1485" s="13"/>
      <c r="AR1485" s="13"/>
      <c r="AS1485" s="13"/>
      <c r="AT1485" s="13"/>
      <c r="AU1485" s="13"/>
      <c r="AV1485" s="13"/>
      <c r="AW1485" s="13"/>
      <c r="AX1485" s="13"/>
      <c r="AY1485" s="15"/>
      <c r="AZ1485" s="15"/>
      <c r="BA1485" s="16"/>
      <c r="BB1485" s="15"/>
      <c r="BC1485" s="15"/>
      <c r="BD1485" s="13"/>
      <c r="BE1485" s="13"/>
      <c r="BF1485" s="13"/>
      <c r="BG1485" s="13"/>
      <c r="BH1485" s="13"/>
      <c r="BI1485" s="13"/>
      <c r="BJ1485" s="13"/>
      <c r="BK1485" s="13"/>
      <c r="BL1485" s="13"/>
      <c r="BM1485" s="13"/>
      <c r="BN1485" s="13"/>
      <c r="BO1485" s="13"/>
      <c r="BP1485" s="13"/>
      <c r="BQ1485" s="15"/>
      <c r="BR1485" s="15"/>
      <c r="BS1485" s="15"/>
      <c r="BT1485" s="15"/>
      <c r="BU1485" s="15"/>
      <c r="BV1485" s="15"/>
      <c r="BW1485" s="15"/>
      <c r="BX1485" s="15"/>
      <c r="BY1485" s="15"/>
      <c r="BZ1485" s="15"/>
      <c r="CA1485" s="15"/>
      <c r="CB1485" s="17"/>
      <c r="CC1485" s="17"/>
      <c r="CD1485" s="18"/>
      <c r="CE1485" s="18"/>
      <c r="CF1485" s="18"/>
      <c r="CG1485" s="18"/>
      <c r="CH1485" s="18"/>
    </row>
    <row r="1486">
      <c r="A1486" s="15"/>
      <c r="B1486" s="16"/>
      <c r="C1486" s="15"/>
      <c r="D1486" s="9"/>
      <c r="E1486" s="15"/>
      <c r="F1486" s="15"/>
      <c r="G1486" s="13"/>
      <c r="H1486" s="13"/>
      <c r="I1486" s="13"/>
      <c r="J1486" s="13"/>
      <c r="K1486" s="13"/>
      <c r="L1486" s="13"/>
      <c r="M1486" s="13"/>
      <c r="N1486" s="13"/>
      <c r="O1486" s="13"/>
      <c r="P1486" s="13"/>
      <c r="Q1486" s="13"/>
      <c r="R1486" s="13"/>
      <c r="S1486" s="13"/>
      <c r="T1486" s="13"/>
      <c r="U1486" s="13"/>
      <c r="V1486" s="13"/>
      <c r="W1486" s="13"/>
      <c r="X1486" s="13"/>
      <c r="Y1486" s="13"/>
      <c r="Z1486" s="13"/>
      <c r="AA1486" s="13"/>
      <c r="AB1486" s="15"/>
      <c r="AC1486" s="15"/>
      <c r="AD1486" s="15"/>
      <c r="AE1486" s="13"/>
      <c r="AF1486" s="13"/>
      <c r="AG1486" s="13"/>
      <c r="AH1486" s="15"/>
      <c r="AI1486" s="13"/>
      <c r="AJ1486" s="13"/>
      <c r="AK1486" s="13"/>
      <c r="AL1486" s="13"/>
      <c r="AM1486" s="15"/>
      <c r="AN1486" s="13"/>
      <c r="AO1486" s="15"/>
      <c r="AP1486" s="15"/>
      <c r="AQ1486" s="13"/>
      <c r="AR1486" s="13"/>
      <c r="AS1486" s="13"/>
      <c r="AT1486" s="13"/>
      <c r="AU1486" s="13"/>
      <c r="AV1486" s="13"/>
      <c r="AW1486" s="13"/>
      <c r="AX1486" s="13"/>
      <c r="AY1486" s="15"/>
      <c r="AZ1486" s="15"/>
      <c r="BA1486" s="16"/>
      <c r="BB1486" s="15"/>
      <c r="BC1486" s="15"/>
      <c r="BD1486" s="13"/>
      <c r="BE1486" s="13"/>
      <c r="BF1486" s="13"/>
      <c r="BG1486" s="13"/>
      <c r="BH1486" s="13"/>
      <c r="BI1486" s="13"/>
      <c r="BJ1486" s="13"/>
      <c r="BK1486" s="13"/>
      <c r="BL1486" s="13"/>
      <c r="BM1486" s="13"/>
      <c r="BN1486" s="13"/>
      <c r="BO1486" s="13"/>
      <c r="BP1486" s="13"/>
      <c r="BQ1486" s="15"/>
      <c r="BR1486" s="15"/>
      <c r="BS1486" s="15"/>
      <c r="BT1486" s="15"/>
      <c r="BU1486" s="15"/>
      <c r="BV1486" s="15"/>
      <c r="BW1486" s="15"/>
      <c r="BX1486" s="15"/>
      <c r="BY1486" s="15"/>
      <c r="BZ1486" s="15"/>
      <c r="CA1486" s="15"/>
      <c r="CB1486" s="17"/>
      <c r="CC1486" s="17"/>
      <c r="CD1486" s="18"/>
      <c r="CE1486" s="18"/>
      <c r="CF1486" s="18"/>
      <c r="CG1486" s="18"/>
      <c r="CH1486" s="18"/>
    </row>
    <row r="1487">
      <c r="A1487" s="15"/>
      <c r="B1487" s="16"/>
      <c r="C1487" s="15"/>
      <c r="D1487" s="9"/>
      <c r="E1487" s="15"/>
      <c r="F1487" s="15"/>
      <c r="G1487" s="13"/>
      <c r="H1487" s="13"/>
      <c r="I1487" s="13"/>
      <c r="J1487" s="13"/>
      <c r="K1487" s="13"/>
      <c r="L1487" s="13"/>
      <c r="M1487" s="13"/>
      <c r="N1487" s="13"/>
      <c r="O1487" s="13"/>
      <c r="P1487" s="13"/>
      <c r="Q1487" s="13"/>
      <c r="R1487" s="13"/>
      <c r="S1487" s="13"/>
      <c r="T1487" s="13"/>
      <c r="U1487" s="13"/>
      <c r="V1487" s="13"/>
      <c r="W1487" s="13"/>
      <c r="X1487" s="13"/>
      <c r="Y1487" s="13"/>
      <c r="Z1487" s="13"/>
      <c r="AA1487" s="13"/>
      <c r="AB1487" s="15"/>
      <c r="AC1487" s="15"/>
      <c r="AD1487" s="15"/>
      <c r="AE1487" s="13"/>
      <c r="AF1487" s="13"/>
      <c r="AG1487" s="13"/>
      <c r="AH1487" s="15"/>
      <c r="AI1487" s="13"/>
      <c r="AJ1487" s="13"/>
      <c r="AK1487" s="13"/>
      <c r="AL1487" s="13"/>
      <c r="AM1487" s="15"/>
      <c r="AN1487" s="13"/>
      <c r="AO1487" s="15"/>
      <c r="AP1487" s="15"/>
      <c r="AQ1487" s="13"/>
      <c r="AR1487" s="13"/>
      <c r="AS1487" s="13"/>
      <c r="AT1487" s="13"/>
      <c r="AU1487" s="13"/>
      <c r="AV1487" s="13"/>
      <c r="AW1487" s="13"/>
      <c r="AX1487" s="13"/>
      <c r="AY1487" s="15"/>
      <c r="AZ1487" s="15"/>
      <c r="BA1487" s="16"/>
      <c r="BB1487" s="15"/>
      <c r="BC1487" s="15"/>
      <c r="BD1487" s="13"/>
      <c r="BE1487" s="13"/>
      <c r="BF1487" s="13"/>
      <c r="BG1487" s="13"/>
      <c r="BH1487" s="13"/>
      <c r="BI1487" s="13"/>
      <c r="BJ1487" s="13"/>
      <c r="BK1487" s="13"/>
      <c r="BL1487" s="13"/>
      <c r="BM1487" s="13"/>
      <c r="BN1487" s="13"/>
      <c r="BO1487" s="13"/>
      <c r="BP1487" s="13"/>
      <c r="BQ1487" s="15"/>
      <c r="BR1487" s="15"/>
      <c r="BS1487" s="15"/>
      <c r="BT1487" s="15"/>
      <c r="BU1487" s="15"/>
      <c r="BV1487" s="15"/>
      <c r="BW1487" s="15"/>
      <c r="BX1487" s="15"/>
      <c r="BY1487" s="15"/>
      <c r="BZ1487" s="15"/>
      <c r="CA1487" s="15"/>
      <c r="CB1487" s="17"/>
      <c r="CC1487" s="17"/>
      <c r="CD1487" s="18"/>
      <c r="CE1487" s="18"/>
      <c r="CF1487" s="18"/>
      <c r="CG1487" s="18"/>
      <c r="CH1487" s="18"/>
    </row>
    <row r="1488">
      <c r="A1488" s="15"/>
      <c r="B1488" s="16"/>
      <c r="C1488" s="15"/>
      <c r="D1488" s="9"/>
      <c r="E1488" s="15"/>
      <c r="F1488" s="15"/>
      <c r="G1488" s="13"/>
      <c r="H1488" s="13"/>
      <c r="I1488" s="13"/>
      <c r="J1488" s="13"/>
      <c r="K1488" s="13"/>
      <c r="L1488" s="13"/>
      <c r="M1488" s="13"/>
      <c r="N1488" s="13"/>
      <c r="O1488" s="13"/>
      <c r="P1488" s="13"/>
      <c r="Q1488" s="13"/>
      <c r="R1488" s="13"/>
      <c r="S1488" s="13"/>
      <c r="T1488" s="13"/>
      <c r="U1488" s="13"/>
      <c r="V1488" s="13"/>
      <c r="W1488" s="13"/>
      <c r="X1488" s="13"/>
      <c r="Y1488" s="13"/>
      <c r="Z1488" s="13"/>
      <c r="AA1488" s="13"/>
      <c r="AB1488" s="15"/>
      <c r="AC1488" s="15"/>
      <c r="AD1488" s="15"/>
      <c r="AE1488" s="13"/>
      <c r="AF1488" s="13"/>
      <c r="AG1488" s="13"/>
      <c r="AH1488" s="15"/>
      <c r="AI1488" s="13"/>
      <c r="AJ1488" s="13"/>
      <c r="AK1488" s="13"/>
      <c r="AL1488" s="13"/>
      <c r="AM1488" s="15"/>
      <c r="AN1488" s="13"/>
      <c r="AO1488" s="15"/>
      <c r="AP1488" s="15"/>
      <c r="AQ1488" s="13"/>
      <c r="AR1488" s="13"/>
      <c r="AS1488" s="13"/>
      <c r="AT1488" s="13"/>
      <c r="AU1488" s="13"/>
      <c r="AV1488" s="13"/>
      <c r="AW1488" s="13"/>
      <c r="AX1488" s="13"/>
      <c r="AY1488" s="15"/>
      <c r="AZ1488" s="15"/>
      <c r="BA1488" s="16"/>
      <c r="BB1488" s="15"/>
      <c r="BC1488" s="15"/>
      <c r="BD1488" s="13"/>
      <c r="BE1488" s="13"/>
      <c r="BF1488" s="13"/>
      <c r="BG1488" s="13"/>
      <c r="BH1488" s="13"/>
      <c r="BI1488" s="13"/>
      <c r="BJ1488" s="13"/>
      <c r="BK1488" s="13"/>
      <c r="BL1488" s="13"/>
      <c r="BM1488" s="13"/>
      <c r="BN1488" s="13"/>
      <c r="BO1488" s="13"/>
      <c r="BP1488" s="13"/>
      <c r="BQ1488" s="15"/>
      <c r="BR1488" s="15"/>
      <c r="BS1488" s="15"/>
      <c r="BT1488" s="15"/>
      <c r="BU1488" s="15"/>
      <c r="BV1488" s="15"/>
      <c r="BW1488" s="15"/>
      <c r="BX1488" s="15"/>
      <c r="BY1488" s="15"/>
      <c r="BZ1488" s="15"/>
      <c r="CA1488" s="15"/>
      <c r="CB1488" s="17"/>
      <c r="CC1488" s="17"/>
      <c r="CD1488" s="18"/>
      <c r="CE1488" s="18"/>
      <c r="CF1488" s="18"/>
      <c r="CG1488" s="18"/>
      <c r="CH1488" s="18"/>
    </row>
    <row r="1489">
      <c r="A1489" s="15"/>
      <c r="B1489" s="16"/>
      <c r="C1489" s="15"/>
      <c r="D1489" s="9"/>
      <c r="E1489" s="15"/>
      <c r="F1489" s="15"/>
      <c r="G1489" s="13"/>
      <c r="H1489" s="13"/>
      <c r="I1489" s="13"/>
      <c r="J1489" s="13"/>
      <c r="K1489" s="13"/>
      <c r="L1489" s="13"/>
      <c r="M1489" s="13"/>
      <c r="N1489" s="13"/>
      <c r="O1489" s="13"/>
      <c r="P1489" s="13"/>
      <c r="Q1489" s="13"/>
      <c r="R1489" s="13"/>
      <c r="S1489" s="13"/>
      <c r="T1489" s="13"/>
      <c r="U1489" s="13"/>
      <c r="V1489" s="13"/>
      <c r="W1489" s="13"/>
      <c r="X1489" s="13"/>
      <c r="Y1489" s="13"/>
      <c r="Z1489" s="13"/>
      <c r="AA1489" s="13"/>
      <c r="AB1489" s="15"/>
      <c r="AC1489" s="15"/>
      <c r="AD1489" s="15"/>
      <c r="AE1489" s="13"/>
      <c r="AF1489" s="13"/>
      <c r="AG1489" s="13"/>
      <c r="AH1489" s="15"/>
      <c r="AI1489" s="13"/>
      <c r="AJ1489" s="13"/>
      <c r="AK1489" s="13"/>
      <c r="AL1489" s="13"/>
      <c r="AM1489" s="15"/>
      <c r="AN1489" s="13"/>
      <c r="AO1489" s="15"/>
      <c r="AP1489" s="15"/>
      <c r="AQ1489" s="13"/>
      <c r="AR1489" s="13"/>
      <c r="AS1489" s="13"/>
      <c r="AT1489" s="13"/>
      <c r="AU1489" s="13"/>
      <c r="AV1489" s="13"/>
      <c r="AW1489" s="13"/>
      <c r="AX1489" s="13"/>
      <c r="AY1489" s="15"/>
      <c r="AZ1489" s="15"/>
      <c r="BA1489" s="16"/>
      <c r="BB1489" s="15"/>
      <c r="BC1489" s="15"/>
      <c r="BD1489" s="13"/>
      <c r="BE1489" s="13"/>
      <c r="BF1489" s="13"/>
      <c r="BG1489" s="13"/>
      <c r="BH1489" s="13"/>
      <c r="BI1489" s="13"/>
      <c r="BJ1489" s="13"/>
      <c r="BK1489" s="13"/>
      <c r="BL1489" s="13"/>
      <c r="BM1489" s="13"/>
      <c r="BN1489" s="13"/>
      <c r="BO1489" s="13"/>
      <c r="BP1489" s="13"/>
      <c r="BQ1489" s="15"/>
      <c r="BR1489" s="15"/>
      <c r="BS1489" s="15"/>
      <c r="BT1489" s="15"/>
      <c r="BU1489" s="15"/>
      <c r="BV1489" s="15"/>
      <c r="BW1489" s="15"/>
      <c r="BX1489" s="15"/>
      <c r="BY1489" s="15"/>
      <c r="BZ1489" s="15"/>
      <c r="CA1489" s="15"/>
      <c r="CB1489" s="17"/>
      <c r="CC1489" s="17"/>
      <c r="CD1489" s="18"/>
      <c r="CE1489" s="18"/>
      <c r="CF1489" s="18"/>
      <c r="CG1489" s="18"/>
      <c r="CH1489" s="18"/>
    </row>
    <row r="1490">
      <c r="A1490" s="15"/>
      <c r="B1490" s="16"/>
      <c r="C1490" s="15"/>
      <c r="D1490" s="9"/>
      <c r="E1490" s="15"/>
      <c r="F1490" s="15"/>
      <c r="G1490" s="13"/>
      <c r="H1490" s="13"/>
      <c r="I1490" s="13"/>
      <c r="J1490" s="13"/>
      <c r="K1490" s="13"/>
      <c r="L1490" s="13"/>
      <c r="M1490" s="13"/>
      <c r="N1490" s="13"/>
      <c r="O1490" s="13"/>
      <c r="P1490" s="13"/>
      <c r="Q1490" s="13"/>
      <c r="R1490" s="13"/>
      <c r="S1490" s="13"/>
      <c r="T1490" s="13"/>
      <c r="U1490" s="13"/>
      <c r="V1490" s="13"/>
      <c r="W1490" s="13"/>
      <c r="X1490" s="13"/>
      <c r="Y1490" s="13"/>
      <c r="Z1490" s="13"/>
      <c r="AA1490" s="13"/>
      <c r="AB1490" s="15"/>
      <c r="AC1490" s="15"/>
      <c r="AD1490" s="15"/>
      <c r="AE1490" s="13"/>
      <c r="AF1490" s="13"/>
      <c r="AG1490" s="13"/>
      <c r="AH1490" s="15"/>
      <c r="AI1490" s="13"/>
      <c r="AJ1490" s="13"/>
      <c r="AK1490" s="13"/>
      <c r="AL1490" s="13"/>
      <c r="AM1490" s="15"/>
      <c r="AN1490" s="13"/>
      <c r="AO1490" s="15"/>
      <c r="AP1490" s="15"/>
      <c r="AQ1490" s="13"/>
      <c r="AR1490" s="13"/>
      <c r="AS1490" s="13"/>
      <c r="AT1490" s="13"/>
      <c r="AU1490" s="13"/>
      <c r="AV1490" s="13"/>
      <c r="AW1490" s="13"/>
      <c r="AX1490" s="13"/>
      <c r="AY1490" s="15"/>
      <c r="AZ1490" s="15"/>
      <c r="BA1490" s="16"/>
      <c r="BB1490" s="15"/>
      <c r="BC1490" s="15"/>
      <c r="BD1490" s="13"/>
      <c r="BE1490" s="13"/>
      <c r="BF1490" s="13"/>
      <c r="BG1490" s="13"/>
      <c r="BH1490" s="13"/>
      <c r="BI1490" s="13"/>
      <c r="BJ1490" s="13"/>
      <c r="BK1490" s="13"/>
      <c r="BL1490" s="13"/>
      <c r="BM1490" s="13"/>
      <c r="BN1490" s="13"/>
      <c r="BO1490" s="13"/>
      <c r="BP1490" s="13"/>
      <c r="BQ1490" s="15"/>
      <c r="BR1490" s="15"/>
      <c r="BS1490" s="15"/>
      <c r="BT1490" s="15"/>
      <c r="BU1490" s="15"/>
      <c r="BV1490" s="15"/>
      <c r="BW1490" s="15"/>
      <c r="BX1490" s="15"/>
      <c r="BY1490" s="15"/>
      <c r="BZ1490" s="15"/>
      <c r="CA1490" s="15"/>
      <c r="CB1490" s="17"/>
      <c r="CC1490" s="17"/>
      <c r="CD1490" s="18"/>
      <c r="CE1490" s="18"/>
      <c r="CF1490" s="18"/>
      <c r="CG1490" s="18"/>
      <c r="CH1490" s="18"/>
    </row>
    <row r="1491">
      <c r="A1491" s="15"/>
      <c r="B1491" s="16"/>
      <c r="C1491" s="15"/>
      <c r="D1491" s="9"/>
      <c r="E1491" s="15"/>
      <c r="F1491" s="15"/>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5"/>
      <c r="AC1491" s="15"/>
      <c r="AD1491" s="15"/>
      <c r="AE1491" s="13"/>
      <c r="AF1491" s="13"/>
      <c r="AG1491" s="13"/>
      <c r="AH1491" s="15"/>
      <c r="AI1491" s="13"/>
      <c r="AJ1491" s="13"/>
      <c r="AK1491" s="13"/>
      <c r="AL1491" s="13"/>
      <c r="AM1491" s="15"/>
      <c r="AN1491" s="13"/>
      <c r="AO1491" s="15"/>
      <c r="AP1491" s="15"/>
      <c r="AQ1491" s="13"/>
      <c r="AR1491" s="13"/>
      <c r="AS1491" s="13"/>
      <c r="AT1491" s="13"/>
      <c r="AU1491" s="13"/>
      <c r="AV1491" s="13"/>
      <c r="AW1491" s="13"/>
      <c r="AX1491" s="13"/>
      <c r="AY1491" s="15"/>
      <c r="AZ1491" s="15"/>
      <c r="BA1491" s="16"/>
      <c r="BB1491" s="15"/>
      <c r="BC1491" s="15"/>
      <c r="BD1491" s="13"/>
      <c r="BE1491" s="13"/>
      <c r="BF1491" s="13"/>
      <c r="BG1491" s="13"/>
      <c r="BH1491" s="13"/>
      <c r="BI1491" s="13"/>
      <c r="BJ1491" s="13"/>
      <c r="BK1491" s="13"/>
      <c r="BL1491" s="13"/>
      <c r="BM1491" s="13"/>
      <c r="BN1491" s="13"/>
      <c r="BO1491" s="13"/>
      <c r="BP1491" s="13"/>
      <c r="BQ1491" s="15"/>
      <c r="BR1491" s="15"/>
      <c r="BS1491" s="15"/>
      <c r="BT1491" s="15"/>
      <c r="BU1491" s="15"/>
      <c r="BV1491" s="15"/>
      <c r="BW1491" s="15"/>
      <c r="BX1491" s="15"/>
      <c r="BY1491" s="15"/>
      <c r="BZ1491" s="15"/>
      <c r="CA1491" s="15"/>
      <c r="CB1491" s="17"/>
      <c r="CC1491" s="17"/>
      <c r="CD1491" s="18"/>
      <c r="CE1491" s="18"/>
      <c r="CF1491" s="18"/>
      <c r="CG1491" s="18"/>
      <c r="CH1491" s="18"/>
    </row>
    <row r="1492">
      <c r="A1492" s="15"/>
      <c r="B1492" s="16"/>
      <c r="C1492" s="15"/>
      <c r="D1492" s="9"/>
      <c r="E1492" s="15"/>
      <c r="F1492" s="15"/>
      <c r="G1492" s="13"/>
      <c r="H1492" s="13"/>
      <c r="I1492" s="13"/>
      <c r="J1492" s="13"/>
      <c r="K1492" s="13"/>
      <c r="L1492" s="13"/>
      <c r="M1492" s="13"/>
      <c r="N1492" s="13"/>
      <c r="O1492" s="13"/>
      <c r="P1492" s="13"/>
      <c r="Q1492" s="13"/>
      <c r="R1492" s="13"/>
      <c r="S1492" s="13"/>
      <c r="T1492" s="13"/>
      <c r="U1492" s="13"/>
      <c r="V1492" s="13"/>
      <c r="W1492" s="13"/>
      <c r="X1492" s="13"/>
      <c r="Y1492" s="13"/>
      <c r="Z1492" s="13"/>
      <c r="AA1492" s="13"/>
      <c r="AB1492" s="15"/>
      <c r="AC1492" s="15"/>
      <c r="AD1492" s="15"/>
      <c r="AE1492" s="13"/>
      <c r="AF1492" s="13"/>
      <c r="AG1492" s="13"/>
      <c r="AH1492" s="15"/>
      <c r="AI1492" s="13"/>
      <c r="AJ1492" s="13"/>
      <c r="AK1492" s="13"/>
      <c r="AL1492" s="13"/>
      <c r="AM1492" s="15"/>
      <c r="AN1492" s="13"/>
      <c r="AO1492" s="15"/>
      <c r="AP1492" s="15"/>
      <c r="AQ1492" s="13"/>
      <c r="AR1492" s="13"/>
      <c r="AS1492" s="13"/>
      <c r="AT1492" s="13"/>
      <c r="AU1492" s="13"/>
      <c r="AV1492" s="13"/>
      <c r="AW1492" s="13"/>
      <c r="AX1492" s="13"/>
      <c r="AY1492" s="15"/>
      <c r="AZ1492" s="15"/>
      <c r="BA1492" s="16"/>
      <c r="BB1492" s="15"/>
      <c r="BC1492" s="15"/>
      <c r="BD1492" s="13"/>
      <c r="BE1492" s="13"/>
      <c r="BF1492" s="13"/>
      <c r="BG1492" s="13"/>
      <c r="BH1492" s="13"/>
      <c r="BI1492" s="13"/>
      <c r="BJ1492" s="13"/>
      <c r="BK1492" s="13"/>
      <c r="BL1492" s="13"/>
      <c r="BM1492" s="13"/>
      <c r="BN1492" s="13"/>
      <c r="BO1492" s="13"/>
      <c r="BP1492" s="13"/>
      <c r="BQ1492" s="15"/>
      <c r="BR1492" s="15"/>
      <c r="BS1492" s="15"/>
      <c r="BT1492" s="15"/>
      <c r="BU1492" s="15"/>
      <c r="BV1492" s="15"/>
      <c r="BW1492" s="15"/>
      <c r="BX1492" s="15"/>
      <c r="BY1492" s="15"/>
      <c r="BZ1492" s="15"/>
      <c r="CA1492" s="15"/>
      <c r="CB1492" s="17"/>
      <c r="CC1492" s="17"/>
      <c r="CD1492" s="18"/>
      <c r="CE1492" s="18"/>
      <c r="CF1492" s="18"/>
      <c r="CG1492" s="18"/>
      <c r="CH1492" s="18"/>
    </row>
    <row r="1493">
      <c r="A1493" s="15"/>
      <c r="B1493" s="16"/>
      <c r="C1493" s="15"/>
      <c r="D1493" s="9"/>
      <c r="E1493" s="15"/>
      <c r="F1493" s="15"/>
      <c r="G1493" s="13"/>
      <c r="H1493" s="13"/>
      <c r="I1493" s="13"/>
      <c r="J1493" s="13"/>
      <c r="K1493" s="13"/>
      <c r="L1493" s="13"/>
      <c r="M1493" s="13"/>
      <c r="N1493" s="13"/>
      <c r="O1493" s="13"/>
      <c r="P1493" s="13"/>
      <c r="Q1493" s="13"/>
      <c r="R1493" s="13"/>
      <c r="S1493" s="13"/>
      <c r="T1493" s="13"/>
      <c r="U1493" s="13"/>
      <c r="V1493" s="13"/>
      <c r="W1493" s="13"/>
      <c r="X1493" s="13"/>
      <c r="Y1493" s="13"/>
      <c r="Z1493" s="13"/>
      <c r="AA1493" s="13"/>
      <c r="AB1493" s="15"/>
      <c r="AC1493" s="15"/>
      <c r="AD1493" s="15"/>
      <c r="AE1493" s="13"/>
      <c r="AF1493" s="13"/>
      <c r="AG1493" s="13"/>
      <c r="AH1493" s="15"/>
      <c r="AI1493" s="13"/>
      <c r="AJ1493" s="13"/>
      <c r="AK1493" s="13"/>
      <c r="AL1493" s="13"/>
      <c r="AM1493" s="15"/>
      <c r="AN1493" s="13"/>
      <c r="AO1493" s="15"/>
      <c r="AP1493" s="15"/>
      <c r="AQ1493" s="13"/>
      <c r="AR1493" s="13"/>
      <c r="AS1493" s="13"/>
      <c r="AT1493" s="13"/>
      <c r="AU1493" s="13"/>
      <c r="AV1493" s="13"/>
      <c r="AW1493" s="13"/>
      <c r="AX1493" s="13"/>
      <c r="AY1493" s="15"/>
      <c r="AZ1493" s="15"/>
      <c r="BA1493" s="16"/>
      <c r="BB1493" s="15"/>
      <c r="BC1493" s="15"/>
      <c r="BD1493" s="13"/>
      <c r="BE1493" s="13"/>
      <c r="BF1493" s="13"/>
      <c r="BG1493" s="13"/>
      <c r="BH1493" s="13"/>
      <c r="BI1493" s="13"/>
      <c r="BJ1493" s="13"/>
      <c r="BK1493" s="13"/>
      <c r="BL1493" s="13"/>
      <c r="BM1493" s="13"/>
      <c r="BN1493" s="13"/>
      <c r="BO1493" s="13"/>
      <c r="BP1493" s="13"/>
      <c r="BQ1493" s="15"/>
      <c r="BR1493" s="15"/>
      <c r="BS1493" s="15"/>
      <c r="BT1493" s="15"/>
      <c r="BU1493" s="15"/>
      <c r="BV1493" s="15"/>
      <c r="BW1493" s="15"/>
      <c r="BX1493" s="15"/>
      <c r="BY1493" s="15"/>
      <c r="BZ1493" s="15"/>
      <c r="CA1493" s="15"/>
      <c r="CB1493" s="17"/>
      <c r="CC1493" s="17"/>
      <c r="CD1493" s="18"/>
      <c r="CE1493" s="18"/>
      <c r="CF1493" s="18"/>
      <c r="CG1493" s="18"/>
      <c r="CH1493" s="18"/>
    </row>
    <row r="1494">
      <c r="A1494" s="15"/>
      <c r="B1494" s="16"/>
      <c r="C1494" s="15"/>
      <c r="D1494" s="9"/>
      <c r="E1494" s="15"/>
      <c r="F1494" s="15"/>
      <c r="G1494" s="13"/>
      <c r="H1494" s="13"/>
      <c r="I1494" s="13"/>
      <c r="J1494" s="13"/>
      <c r="K1494" s="13"/>
      <c r="L1494" s="13"/>
      <c r="M1494" s="13"/>
      <c r="N1494" s="13"/>
      <c r="O1494" s="13"/>
      <c r="P1494" s="13"/>
      <c r="Q1494" s="13"/>
      <c r="R1494" s="13"/>
      <c r="S1494" s="13"/>
      <c r="T1494" s="13"/>
      <c r="U1494" s="13"/>
      <c r="V1494" s="13"/>
      <c r="W1494" s="13"/>
      <c r="X1494" s="13"/>
      <c r="Y1494" s="13"/>
      <c r="Z1494" s="13"/>
      <c r="AA1494" s="13"/>
      <c r="AB1494" s="15"/>
      <c r="AC1494" s="15"/>
      <c r="AD1494" s="15"/>
      <c r="AE1494" s="13"/>
      <c r="AF1494" s="13"/>
      <c r="AG1494" s="13"/>
      <c r="AH1494" s="15"/>
      <c r="AI1494" s="13"/>
      <c r="AJ1494" s="13"/>
      <c r="AK1494" s="13"/>
      <c r="AL1494" s="13"/>
      <c r="AM1494" s="15"/>
      <c r="AN1494" s="13"/>
      <c r="AO1494" s="15"/>
      <c r="AP1494" s="15"/>
      <c r="AQ1494" s="13"/>
      <c r="AR1494" s="13"/>
      <c r="AS1494" s="13"/>
      <c r="AT1494" s="13"/>
      <c r="AU1494" s="13"/>
      <c r="AV1494" s="13"/>
      <c r="AW1494" s="13"/>
      <c r="AX1494" s="13"/>
      <c r="AY1494" s="15"/>
      <c r="AZ1494" s="15"/>
      <c r="BA1494" s="16"/>
      <c r="BB1494" s="15"/>
      <c r="BC1494" s="15"/>
      <c r="BD1494" s="13"/>
      <c r="BE1494" s="13"/>
      <c r="BF1494" s="13"/>
      <c r="BG1494" s="13"/>
      <c r="BH1494" s="13"/>
      <c r="BI1494" s="13"/>
      <c r="BJ1494" s="13"/>
      <c r="BK1494" s="13"/>
      <c r="BL1494" s="13"/>
      <c r="BM1494" s="13"/>
      <c r="BN1494" s="13"/>
      <c r="BO1494" s="13"/>
      <c r="BP1494" s="13"/>
      <c r="BQ1494" s="15"/>
      <c r="BR1494" s="15"/>
      <c r="BS1494" s="15"/>
      <c r="BT1494" s="15"/>
      <c r="BU1494" s="15"/>
      <c r="BV1494" s="15"/>
      <c r="BW1494" s="15"/>
      <c r="BX1494" s="15"/>
      <c r="BY1494" s="15"/>
      <c r="BZ1494" s="15"/>
      <c r="CA1494" s="15"/>
      <c r="CB1494" s="17"/>
      <c r="CC1494" s="17"/>
      <c r="CD1494" s="18"/>
      <c r="CE1494" s="18"/>
      <c r="CF1494" s="18"/>
      <c r="CG1494" s="18"/>
      <c r="CH1494" s="18"/>
    </row>
    <row r="1495">
      <c r="A1495" s="15"/>
      <c r="B1495" s="16"/>
      <c r="C1495" s="15"/>
      <c r="D1495" s="9"/>
      <c r="E1495" s="15"/>
      <c r="F1495" s="15"/>
      <c r="G1495" s="13"/>
      <c r="H1495" s="13"/>
      <c r="I1495" s="13"/>
      <c r="J1495" s="13"/>
      <c r="K1495" s="13"/>
      <c r="L1495" s="13"/>
      <c r="M1495" s="13"/>
      <c r="N1495" s="13"/>
      <c r="O1495" s="13"/>
      <c r="P1495" s="13"/>
      <c r="Q1495" s="13"/>
      <c r="R1495" s="13"/>
      <c r="S1495" s="13"/>
      <c r="T1495" s="13"/>
      <c r="U1495" s="13"/>
      <c r="V1495" s="13"/>
      <c r="W1495" s="13"/>
      <c r="X1495" s="13"/>
      <c r="Y1495" s="13"/>
      <c r="Z1495" s="13"/>
      <c r="AA1495" s="13"/>
      <c r="AB1495" s="15"/>
      <c r="AC1495" s="15"/>
      <c r="AD1495" s="15"/>
      <c r="AE1495" s="13"/>
      <c r="AF1495" s="13"/>
      <c r="AG1495" s="13"/>
      <c r="AH1495" s="15"/>
      <c r="AI1495" s="13"/>
      <c r="AJ1495" s="13"/>
      <c r="AK1495" s="13"/>
      <c r="AL1495" s="13"/>
      <c r="AM1495" s="15"/>
      <c r="AN1495" s="13"/>
      <c r="AO1495" s="15"/>
      <c r="AP1495" s="15"/>
      <c r="AQ1495" s="13"/>
      <c r="AR1495" s="13"/>
      <c r="AS1495" s="13"/>
      <c r="AT1495" s="13"/>
      <c r="AU1495" s="13"/>
      <c r="AV1495" s="13"/>
      <c r="AW1495" s="13"/>
      <c r="AX1495" s="13"/>
      <c r="AY1495" s="15"/>
      <c r="AZ1495" s="15"/>
      <c r="BA1495" s="16"/>
      <c r="BB1495" s="15"/>
      <c r="BC1495" s="15"/>
      <c r="BD1495" s="13"/>
      <c r="BE1495" s="13"/>
      <c r="BF1495" s="13"/>
      <c r="BG1495" s="13"/>
      <c r="BH1495" s="13"/>
      <c r="BI1495" s="13"/>
      <c r="BJ1495" s="13"/>
      <c r="BK1495" s="13"/>
      <c r="BL1495" s="13"/>
      <c r="BM1495" s="13"/>
      <c r="BN1495" s="13"/>
      <c r="BO1495" s="13"/>
      <c r="BP1495" s="13"/>
      <c r="BQ1495" s="15"/>
      <c r="BR1495" s="15"/>
      <c r="BS1495" s="15"/>
      <c r="BT1495" s="15"/>
      <c r="BU1495" s="15"/>
      <c r="BV1495" s="15"/>
      <c r="BW1495" s="15"/>
      <c r="BX1495" s="15"/>
      <c r="BY1495" s="15"/>
      <c r="BZ1495" s="15"/>
      <c r="CA1495" s="15"/>
      <c r="CB1495" s="17"/>
      <c r="CC1495" s="17"/>
      <c r="CD1495" s="18"/>
      <c r="CE1495" s="18"/>
      <c r="CF1495" s="18"/>
      <c r="CG1495" s="18"/>
      <c r="CH1495" s="18"/>
    </row>
    <row r="1496">
      <c r="A1496" s="15"/>
      <c r="B1496" s="16"/>
      <c r="C1496" s="15"/>
      <c r="D1496" s="9"/>
      <c r="E1496" s="15"/>
      <c r="F1496" s="15"/>
      <c r="G1496" s="13"/>
      <c r="H1496" s="13"/>
      <c r="I1496" s="13"/>
      <c r="J1496" s="13"/>
      <c r="K1496" s="13"/>
      <c r="L1496" s="13"/>
      <c r="M1496" s="13"/>
      <c r="N1496" s="13"/>
      <c r="O1496" s="13"/>
      <c r="P1496" s="13"/>
      <c r="Q1496" s="13"/>
      <c r="R1496" s="13"/>
      <c r="S1496" s="13"/>
      <c r="T1496" s="13"/>
      <c r="U1496" s="13"/>
      <c r="V1496" s="13"/>
      <c r="W1496" s="13"/>
      <c r="X1496" s="13"/>
      <c r="Y1496" s="13"/>
      <c r="Z1496" s="13"/>
      <c r="AA1496" s="13"/>
      <c r="AB1496" s="15"/>
      <c r="AC1496" s="15"/>
      <c r="AD1496" s="15"/>
      <c r="AE1496" s="13"/>
      <c r="AF1496" s="13"/>
      <c r="AG1496" s="13"/>
      <c r="AH1496" s="15"/>
      <c r="AI1496" s="13"/>
      <c r="AJ1496" s="13"/>
      <c r="AK1496" s="13"/>
      <c r="AL1496" s="13"/>
      <c r="AM1496" s="15"/>
      <c r="AN1496" s="13"/>
      <c r="AO1496" s="15"/>
      <c r="AP1496" s="15"/>
      <c r="AQ1496" s="13"/>
      <c r="AR1496" s="13"/>
      <c r="AS1496" s="13"/>
      <c r="AT1496" s="13"/>
      <c r="AU1496" s="13"/>
      <c r="AV1496" s="13"/>
      <c r="AW1496" s="13"/>
      <c r="AX1496" s="13"/>
      <c r="AY1496" s="15"/>
      <c r="AZ1496" s="15"/>
      <c r="BA1496" s="16"/>
      <c r="BB1496" s="15"/>
      <c r="BC1496" s="15"/>
      <c r="BD1496" s="13"/>
      <c r="BE1496" s="13"/>
      <c r="BF1496" s="13"/>
      <c r="BG1496" s="13"/>
      <c r="BH1496" s="13"/>
      <c r="BI1496" s="13"/>
      <c r="BJ1496" s="13"/>
      <c r="BK1496" s="13"/>
      <c r="BL1496" s="13"/>
      <c r="BM1496" s="13"/>
      <c r="BN1496" s="13"/>
      <c r="BO1496" s="13"/>
      <c r="BP1496" s="13"/>
      <c r="BQ1496" s="15"/>
      <c r="BR1496" s="15"/>
      <c r="BS1496" s="15"/>
      <c r="BT1496" s="15"/>
      <c r="BU1496" s="15"/>
      <c r="BV1496" s="15"/>
      <c r="BW1496" s="15"/>
      <c r="BX1496" s="15"/>
      <c r="BY1496" s="15"/>
      <c r="BZ1496" s="15"/>
      <c r="CA1496" s="15"/>
      <c r="CB1496" s="17"/>
      <c r="CC1496" s="17"/>
      <c r="CD1496" s="18"/>
      <c r="CE1496" s="18"/>
      <c r="CF1496" s="18"/>
      <c r="CG1496" s="18"/>
      <c r="CH1496" s="18"/>
    </row>
    <row r="1497">
      <c r="A1497" s="15"/>
      <c r="B1497" s="16"/>
      <c r="C1497" s="15"/>
      <c r="D1497" s="9"/>
      <c r="E1497" s="15"/>
      <c r="F1497" s="15"/>
      <c r="G1497" s="13"/>
      <c r="H1497" s="13"/>
      <c r="I1497" s="13"/>
      <c r="J1497" s="13"/>
      <c r="K1497" s="13"/>
      <c r="L1497" s="13"/>
      <c r="M1497" s="13"/>
      <c r="N1497" s="13"/>
      <c r="O1497" s="13"/>
      <c r="P1497" s="13"/>
      <c r="Q1497" s="13"/>
      <c r="R1497" s="13"/>
      <c r="S1497" s="13"/>
      <c r="T1497" s="13"/>
      <c r="U1497" s="13"/>
      <c r="V1497" s="13"/>
      <c r="W1497" s="13"/>
      <c r="X1497" s="13"/>
      <c r="Y1497" s="13"/>
      <c r="Z1497" s="13"/>
      <c r="AA1497" s="13"/>
      <c r="AB1497" s="15"/>
      <c r="AC1497" s="15"/>
      <c r="AD1497" s="15"/>
      <c r="AE1497" s="13"/>
      <c r="AF1497" s="13"/>
      <c r="AG1497" s="13"/>
      <c r="AH1497" s="15"/>
      <c r="AI1497" s="13"/>
      <c r="AJ1497" s="13"/>
      <c r="AK1497" s="13"/>
      <c r="AL1497" s="13"/>
      <c r="AM1497" s="15"/>
      <c r="AN1497" s="13"/>
      <c r="AO1497" s="15"/>
      <c r="AP1497" s="15"/>
      <c r="AQ1497" s="13"/>
      <c r="AR1497" s="13"/>
      <c r="AS1497" s="13"/>
      <c r="AT1497" s="13"/>
      <c r="AU1497" s="13"/>
      <c r="AV1497" s="13"/>
      <c r="AW1497" s="13"/>
      <c r="AX1497" s="13"/>
      <c r="AY1497" s="15"/>
      <c r="AZ1497" s="15"/>
      <c r="BA1497" s="16"/>
      <c r="BB1497" s="15"/>
      <c r="BC1497" s="15"/>
      <c r="BD1497" s="13"/>
      <c r="BE1497" s="13"/>
      <c r="BF1497" s="13"/>
      <c r="BG1497" s="13"/>
      <c r="BH1497" s="13"/>
      <c r="BI1497" s="13"/>
      <c r="BJ1497" s="13"/>
      <c r="BK1497" s="13"/>
      <c r="BL1497" s="13"/>
      <c r="BM1497" s="13"/>
      <c r="BN1497" s="13"/>
      <c r="BO1497" s="13"/>
      <c r="BP1497" s="13"/>
      <c r="BQ1497" s="15"/>
      <c r="BR1497" s="15"/>
      <c r="BS1497" s="15"/>
      <c r="BT1497" s="15"/>
      <c r="BU1497" s="15"/>
      <c r="BV1497" s="15"/>
      <c r="BW1497" s="15"/>
      <c r="BX1497" s="15"/>
      <c r="BY1497" s="15"/>
      <c r="BZ1497" s="15"/>
      <c r="CA1497" s="15"/>
      <c r="CB1497" s="17"/>
      <c r="CC1497" s="17"/>
      <c r="CD1497" s="18"/>
      <c r="CE1497" s="18"/>
      <c r="CF1497" s="18"/>
      <c r="CG1497" s="18"/>
      <c r="CH1497" s="18"/>
    </row>
    <row r="1498">
      <c r="A1498" s="15"/>
      <c r="B1498" s="16"/>
      <c r="C1498" s="15"/>
      <c r="D1498" s="9"/>
      <c r="E1498" s="15"/>
      <c r="F1498" s="15"/>
      <c r="G1498" s="13"/>
      <c r="H1498" s="13"/>
      <c r="I1498" s="13"/>
      <c r="J1498" s="13"/>
      <c r="K1498" s="13"/>
      <c r="L1498" s="13"/>
      <c r="M1498" s="13"/>
      <c r="N1498" s="13"/>
      <c r="O1498" s="13"/>
      <c r="P1498" s="13"/>
      <c r="Q1498" s="13"/>
      <c r="R1498" s="13"/>
      <c r="S1498" s="13"/>
      <c r="T1498" s="13"/>
      <c r="U1498" s="13"/>
      <c r="V1498" s="13"/>
      <c r="W1498" s="13"/>
      <c r="X1498" s="13"/>
      <c r="Y1498" s="13"/>
      <c r="Z1498" s="13"/>
      <c r="AA1498" s="13"/>
      <c r="AB1498" s="15"/>
      <c r="AC1498" s="15"/>
      <c r="AD1498" s="15"/>
      <c r="AE1498" s="13"/>
      <c r="AF1498" s="13"/>
      <c r="AG1498" s="13"/>
      <c r="AH1498" s="15"/>
      <c r="AI1498" s="13"/>
      <c r="AJ1498" s="13"/>
      <c r="AK1498" s="13"/>
      <c r="AL1498" s="13"/>
      <c r="AM1498" s="15"/>
      <c r="AN1498" s="13"/>
      <c r="AO1498" s="15"/>
      <c r="AP1498" s="15"/>
      <c r="AQ1498" s="13"/>
      <c r="AR1498" s="13"/>
      <c r="AS1498" s="13"/>
      <c r="AT1498" s="13"/>
      <c r="AU1498" s="13"/>
      <c r="AV1498" s="13"/>
      <c r="AW1498" s="13"/>
      <c r="AX1498" s="13"/>
      <c r="AY1498" s="15"/>
      <c r="AZ1498" s="15"/>
      <c r="BA1498" s="16"/>
      <c r="BB1498" s="15"/>
      <c r="BC1498" s="15"/>
      <c r="BD1498" s="13"/>
      <c r="BE1498" s="13"/>
      <c r="BF1498" s="13"/>
      <c r="BG1498" s="13"/>
      <c r="BH1498" s="13"/>
      <c r="BI1498" s="13"/>
      <c r="BJ1498" s="13"/>
      <c r="BK1498" s="13"/>
      <c r="BL1498" s="13"/>
      <c r="BM1498" s="13"/>
      <c r="BN1498" s="13"/>
      <c r="BO1498" s="13"/>
      <c r="BP1498" s="13"/>
      <c r="BQ1498" s="15"/>
      <c r="BR1498" s="15"/>
      <c r="BS1498" s="15"/>
      <c r="BT1498" s="15"/>
      <c r="BU1498" s="15"/>
      <c r="BV1498" s="15"/>
      <c r="BW1498" s="15"/>
      <c r="BX1498" s="15"/>
      <c r="BY1498" s="15"/>
      <c r="BZ1498" s="15"/>
      <c r="CA1498" s="15"/>
      <c r="CB1498" s="17"/>
      <c r="CC1498" s="17"/>
      <c r="CD1498" s="18"/>
      <c r="CE1498" s="18"/>
      <c r="CF1498" s="18"/>
      <c r="CG1498" s="18"/>
      <c r="CH1498" s="18"/>
    </row>
    <row r="1499">
      <c r="A1499" s="15"/>
      <c r="B1499" s="16"/>
      <c r="C1499" s="15"/>
      <c r="D1499" s="9"/>
      <c r="E1499" s="15"/>
      <c r="F1499" s="15"/>
      <c r="G1499" s="13"/>
      <c r="H1499" s="13"/>
      <c r="I1499" s="13"/>
      <c r="J1499" s="13"/>
      <c r="K1499" s="13"/>
      <c r="L1499" s="13"/>
      <c r="M1499" s="13"/>
      <c r="N1499" s="13"/>
      <c r="O1499" s="13"/>
      <c r="P1499" s="13"/>
      <c r="Q1499" s="13"/>
      <c r="R1499" s="13"/>
      <c r="S1499" s="13"/>
      <c r="T1499" s="13"/>
      <c r="U1499" s="13"/>
      <c r="V1499" s="13"/>
      <c r="W1499" s="13"/>
      <c r="X1499" s="13"/>
      <c r="Y1499" s="13"/>
      <c r="Z1499" s="13"/>
      <c r="AA1499" s="13"/>
      <c r="AB1499" s="15"/>
      <c r="AC1499" s="15"/>
      <c r="AD1499" s="15"/>
      <c r="AE1499" s="13"/>
      <c r="AF1499" s="13"/>
      <c r="AG1499" s="13"/>
      <c r="AH1499" s="15"/>
      <c r="AI1499" s="13"/>
      <c r="AJ1499" s="13"/>
      <c r="AK1499" s="13"/>
      <c r="AL1499" s="13"/>
      <c r="AM1499" s="15"/>
      <c r="AN1499" s="13"/>
      <c r="AO1499" s="15"/>
      <c r="AP1499" s="15"/>
      <c r="AQ1499" s="13"/>
      <c r="AR1499" s="13"/>
      <c r="AS1499" s="13"/>
      <c r="AT1499" s="13"/>
      <c r="AU1499" s="13"/>
      <c r="AV1499" s="13"/>
      <c r="AW1499" s="13"/>
      <c r="AX1499" s="13"/>
      <c r="AY1499" s="15"/>
      <c r="AZ1499" s="15"/>
      <c r="BA1499" s="16"/>
      <c r="BB1499" s="15"/>
      <c r="BC1499" s="15"/>
      <c r="BD1499" s="13"/>
      <c r="BE1499" s="13"/>
      <c r="BF1499" s="13"/>
      <c r="BG1499" s="13"/>
      <c r="BH1499" s="13"/>
      <c r="BI1499" s="13"/>
      <c r="BJ1499" s="13"/>
      <c r="BK1499" s="13"/>
      <c r="BL1499" s="13"/>
      <c r="BM1499" s="13"/>
      <c r="BN1499" s="13"/>
      <c r="BO1499" s="13"/>
      <c r="BP1499" s="13"/>
      <c r="BQ1499" s="15"/>
      <c r="BR1499" s="15"/>
      <c r="BS1499" s="15"/>
      <c r="BT1499" s="15"/>
      <c r="BU1499" s="15"/>
      <c r="BV1499" s="15"/>
      <c r="BW1499" s="15"/>
      <c r="BX1499" s="15"/>
      <c r="BY1499" s="15"/>
      <c r="BZ1499" s="15"/>
      <c r="CA1499" s="15"/>
      <c r="CB1499" s="17"/>
      <c r="CC1499" s="17"/>
      <c r="CD1499" s="18"/>
      <c r="CE1499" s="18"/>
      <c r="CF1499" s="18"/>
      <c r="CG1499" s="18"/>
      <c r="CH1499" s="18"/>
    </row>
    <row r="1500">
      <c r="A1500" s="15"/>
      <c r="B1500" s="16"/>
      <c r="C1500" s="15"/>
      <c r="D1500" s="9"/>
      <c r="E1500" s="15"/>
      <c r="F1500" s="15"/>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5"/>
      <c r="AC1500" s="15"/>
      <c r="AD1500" s="15"/>
      <c r="AE1500" s="13"/>
      <c r="AF1500" s="13"/>
      <c r="AG1500" s="13"/>
      <c r="AH1500" s="15"/>
      <c r="AI1500" s="13"/>
      <c r="AJ1500" s="13"/>
      <c r="AK1500" s="13"/>
      <c r="AL1500" s="13"/>
      <c r="AM1500" s="15"/>
      <c r="AN1500" s="13"/>
      <c r="AO1500" s="15"/>
      <c r="AP1500" s="15"/>
      <c r="AQ1500" s="13"/>
      <c r="AR1500" s="13"/>
      <c r="AS1500" s="13"/>
      <c r="AT1500" s="13"/>
      <c r="AU1500" s="13"/>
      <c r="AV1500" s="13"/>
      <c r="AW1500" s="13"/>
      <c r="AX1500" s="13"/>
      <c r="AY1500" s="15"/>
      <c r="AZ1500" s="15"/>
      <c r="BA1500" s="16"/>
      <c r="BB1500" s="15"/>
      <c r="BC1500" s="15"/>
      <c r="BD1500" s="13"/>
      <c r="BE1500" s="13"/>
      <c r="BF1500" s="13"/>
      <c r="BG1500" s="13"/>
      <c r="BH1500" s="13"/>
      <c r="BI1500" s="13"/>
      <c r="BJ1500" s="13"/>
      <c r="BK1500" s="13"/>
      <c r="BL1500" s="13"/>
      <c r="BM1500" s="13"/>
      <c r="BN1500" s="13"/>
      <c r="BO1500" s="13"/>
      <c r="BP1500" s="13"/>
      <c r="BQ1500" s="15"/>
      <c r="BR1500" s="15"/>
      <c r="BS1500" s="15"/>
      <c r="BT1500" s="15"/>
      <c r="BU1500" s="15"/>
      <c r="BV1500" s="15"/>
      <c r="BW1500" s="15"/>
      <c r="BX1500" s="15"/>
      <c r="BY1500" s="15"/>
      <c r="BZ1500" s="15"/>
      <c r="CA1500" s="15"/>
      <c r="CB1500" s="17"/>
      <c r="CC1500" s="17"/>
      <c r="CD1500" s="18"/>
      <c r="CE1500" s="18"/>
      <c r="CF1500" s="18"/>
      <c r="CG1500" s="18"/>
      <c r="CH1500" s="18"/>
    </row>
    <row r="1501">
      <c r="A1501" s="15"/>
      <c r="B1501" s="16"/>
      <c r="C1501" s="15"/>
      <c r="D1501" s="9"/>
      <c r="E1501" s="15"/>
      <c r="F1501" s="15"/>
      <c r="G1501" s="13"/>
      <c r="H1501" s="13"/>
      <c r="I1501" s="13"/>
      <c r="J1501" s="13"/>
      <c r="K1501" s="13"/>
      <c r="L1501" s="13"/>
      <c r="M1501" s="13"/>
      <c r="N1501" s="13"/>
      <c r="O1501" s="13"/>
      <c r="P1501" s="13"/>
      <c r="Q1501" s="13"/>
      <c r="R1501" s="13"/>
      <c r="S1501" s="13"/>
      <c r="T1501" s="13"/>
      <c r="U1501" s="13"/>
      <c r="V1501" s="13"/>
      <c r="W1501" s="13"/>
      <c r="X1501" s="13"/>
      <c r="Y1501" s="13"/>
      <c r="Z1501" s="13"/>
      <c r="AA1501" s="13"/>
      <c r="AB1501" s="15"/>
      <c r="AC1501" s="15"/>
      <c r="AD1501" s="15"/>
      <c r="AE1501" s="13"/>
      <c r="AF1501" s="13"/>
      <c r="AG1501" s="13"/>
      <c r="AH1501" s="15"/>
      <c r="AI1501" s="13"/>
      <c r="AJ1501" s="13"/>
      <c r="AK1501" s="13"/>
      <c r="AL1501" s="13"/>
      <c r="AM1501" s="15"/>
      <c r="AN1501" s="13"/>
      <c r="AO1501" s="15"/>
      <c r="AP1501" s="15"/>
      <c r="AQ1501" s="13"/>
      <c r="AR1501" s="13"/>
      <c r="AS1501" s="13"/>
      <c r="AT1501" s="13"/>
      <c r="AU1501" s="13"/>
      <c r="AV1501" s="13"/>
      <c r="AW1501" s="13"/>
      <c r="AX1501" s="13"/>
      <c r="AY1501" s="15"/>
      <c r="AZ1501" s="15"/>
      <c r="BA1501" s="16"/>
      <c r="BB1501" s="15"/>
      <c r="BC1501" s="15"/>
      <c r="BD1501" s="13"/>
      <c r="BE1501" s="13"/>
      <c r="BF1501" s="13"/>
      <c r="BG1501" s="13"/>
      <c r="BH1501" s="13"/>
      <c r="BI1501" s="13"/>
      <c r="BJ1501" s="13"/>
      <c r="BK1501" s="13"/>
      <c r="BL1501" s="13"/>
      <c r="BM1501" s="13"/>
      <c r="BN1501" s="13"/>
      <c r="BO1501" s="13"/>
      <c r="BP1501" s="13"/>
      <c r="BQ1501" s="15"/>
      <c r="BR1501" s="15"/>
      <c r="BS1501" s="15"/>
      <c r="BT1501" s="15"/>
      <c r="BU1501" s="15"/>
      <c r="BV1501" s="15"/>
      <c r="BW1501" s="15"/>
      <c r="BX1501" s="15"/>
      <c r="BY1501" s="15"/>
      <c r="BZ1501" s="15"/>
      <c r="CA1501" s="15"/>
      <c r="CB1501" s="17"/>
      <c r="CC1501" s="17"/>
      <c r="CD1501" s="18"/>
      <c r="CE1501" s="18"/>
      <c r="CF1501" s="18"/>
      <c r="CG1501" s="18"/>
      <c r="CH1501" s="18"/>
    </row>
    <row r="1502">
      <c r="A1502" s="15"/>
      <c r="B1502" s="16"/>
      <c r="C1502" s="15"/>
      <c r="D1502" s="9"/>
      <c r="E1502" s="15"/>
      <c r="F1502" s="15"/>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5"/>
      <c r="AC1502" s="15"/>
      <c r="AD1502" s="15"/>
      <c r="AE1502" s="13"/>
      <c r="AF1502" s="13"/>
      <c r="AG1502" s="13"/>
      <c r="AH1502" s="15"/>
      <c r="AI1502" s="13"/>
      <c r="AJ1502" s="13"/>
      <c r="AK1502" s="13"/>
      <c r="AL1502" s="13"/>
      <c r="AM1502" s="15"/>
      <c r="AN1502" s="13"/>
      <c r="AO1502" s="15"/>
      <c r="AP1502" s="15"/>
      <c r="AQ1502" s="13"/>
      <c r="AR1502" s="13"/>
      <c r="AS1502" s="13"/>
      <c r="AT1502" s="13"/>
      <c r="AU1502" s="13"/>
      <c r="AV1502" s="13"/>
      <c r="AW1502" s="13"/>
      <c r="AX1502" s="13"/>
      <c r="AY1502" s="15"/>
      <c r="AZ1502" s="15"/>
      <c r="BA1502" s="16"/>
      <c r="BB1502" s="15"/>
      <c r="BC1502" s="15"/>
      <c r="BD1502" s="13"/>
      <c r="BE1502" s="13"/>
      <c r="BF1502" s="13"/>
      <c r="BG1502" s="13"/>
      <c r="BH1502" s="13"/>
      <c r="BI1502" s="13"/>
      <c r="BJ1502" s="13"/>
      <c r="BK1502" s="13"/>
      <c r="BL1502" s="13"/>
      <c r="BM1502" s="13"/>
      <c r="BN1502" s="13"/>
      <c r="BO1502" s="13"/>
      <c r="BP1502" s="13"/>
      <c r="BQ1502" s="15"/>
      <c r="BR1502" s="15"/>
      <c r="BS1502" s="15"/>
      <c r="BT1502" s="15"/>
      <c r="BU1502" s="15"/>
      <c r="BV1502" s="15"/>
      <c r="BW1502" s="15"/>
      <c r="BX1502" s="15"/>
      <c r="BY1502" s="15"/>
      <c r="BZ1502" s="15"/>
      <c r="CA1502" s="15"/>
      <c r="CB1502" s="17"/>
      <c r="CC1502" s="17"/>
      <c r="CD1502" s="18"/>
      <c r="CE1502" s="18"/>
      <c r="CF1502" s="18"/>
      <c r="CG1502" s="18"/>
      <c r="CH1502" s="18"/>
    </row>
    <row r="1503">
      <c r="A1503" s="15"/>
      <c r="B1503" s="16"/>
      <c r="C1503" s="15"/>
      <c r="D1503" s="9"/>
      <c r="E1503" s="15"/>
      <c r="F1503" s="15"/>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5"/>
      <c r="AC1503" s="15"/>
      <c r="AD1503" s="15"/>
      <c r="AE1503" s="13"/>
      <c r="AF1503" s="13"/>
      <c r="AG1503" s="13"/>
      <c r="AH1503" s="15"/>
      <c r="AI1503" s="13"/>
      <c r="AJ1503" s="13"/>
      <c r="AK1503" s="13"/>
      <c r="AL1503" s="13"/>
      <c r="AM1503" s="15"/>
      <c r="AN1503" s="13"/>
      <c r="AO1503" s="15"/>
      <c r="AP1503" s="15"/>
      <c r="AQ1503" s="13"/>
      <c r="AR1503" s="13"/>
      <c r="AS1503" s="13"/>
      <c r="AT1503" s="13"/>
      <c r="AU1503" s="13"/>
      <c r="AV1503" s="13"/>
      <c r="AW1503" s="13"/>
      <c r="AX1503" s="13"/>
      <c r="AY1503" s="15"/>
      <c r="AZ1503" s="15"/>
      <c r="BA1503" s="16"/>
      <c r="BB1503" s="15"/>
      <c r="BC1503" s="15"/>
      <c r="BD1503" s="13"/>
      <c r="BE1503" s="13"/>
      <c r="BF1503" s="13"/>
      <c r="BG1503" s="13"/>
      <c r="BH1503" s="13"/>
      <c r="BI1503" s="13"/>
      <c r="BJ1503" s="13"/>
      <c r="BK1503" s="13"/>
      <c r="BL1503" s="13"/>
      <c r="BM1503" s="13"/>
      <c r="BN1503" s="13"/>
      <c r="BO1503" s="13"/>
      <c r="BP1503" s="13"/>
      <c r="BQ1503" s="15"/>
      <c r="BR1503" s="15"/>
      <c r="BS1503" s="15"/>
      <c r="BT1503" s="15"/>
      <c r="BU1503" s="15"/>
      <c r="BV1503" s="15"/>
      <c r="BW1503" s="15"/>
      <c r="BX1503" s="15"/>
      <c r="BY1503" s="15"/>
      <c r="BZ1503" s="15"/>
      <c r="CA1503" s="15"/>
      <c r="CB1503" s="17"/>
      <c r="CC1503" s="17"/>
      <c r="CD1503" s="18"/>
      <c r="CE1503" s="18"/>
      <c r="CF1503" s="18"/>
      <c r="CG1503" s="18"/>
      <c r="CH1503" s="18"/>
    </row>
    <row r="1504">
      <c r="A1504" s="15"/>
      <c r="B1504" s="16"/>
      <c r="C1504" s="15"/>
      <c r="D1504" s="9"/>
      <c r="E1504" s="15"/>
      <c r="F1504" s="15"/>
      <c r="G1504" s="13"/>
      <c r="H1504" s="13"/>
      <c r="I1504" s="13"/>
      <c r="J1504" s="13"/>
      <c r="K1504" s="13"/>
      <c r="L1504" s="13"/>
      <c r="M1504" s="13"/>
      <c r="N1504" s="13"/>
      <c r="O1504" s="13"/>
      <c r="P1504" s="13"/>
      <c r="Q1504" s="13"/>
      <c r="R1504" s="13"/>
      <c r="S1504" s="13"/>
      <c r="T1504" s="13"/>
      <c r="U1504" s="13"/>
      <c r="V1504" s="13"/>
      <c r="W1504" s="13"/>
      <c r="X1504" s="13"/>
      <c r="Y1504" s="13"/>
      <c r="Z1504" s="13"/>
      <c r="AA1504" s="13"/>
      <c r="AB1504" s="15"/>
      <c r="AC1504" s="15"/>
      <c r="AD1504" s="15"/>
      <c r="AE1504" s="13"/>
      <c r="AF1504" s="13"/>
      <c r="AG1504" s="13"/>
      <c r="AH1504" s="15"/>
      <c r="AI1504" s="13"/>
      <c r="AJ1504" s="13"/>
      <c r="AK1504" s="13"/>
      <c r="AL1504" s="13"/>
      <c r="AM1504" s="15"/>
      <c r="AN1504" s="13"/>
      <c r="AO1504" s="15"/>
      <c r="AP1504" s="15"/>
      <c r="AQ1504" s="13"/>
      <c r="AR1504" s="13"/>
      <c r="AS1504" s="13"/>
      <c r="AT1504" s="13"/>
      <c r="AU1504" s="13"/>
      <c r="AV1504" s="13"/>
      <c r="AW1504" s="13"/>
      <c r="AX1504" s="13"/>
      <c r="AY1504" s="15"/>
      <c r="AZ1504" s="15"/>
      <c r="BA1504" s="16"/>
      <c r="BB1504" s="15"/>
      <c r="BC1504" s="15"/>
      <c r="BD1504" s="13"/>
      <c r="BE1504" s="13"/>
      <c r="BF1504" s="13"/>
      <c r="BG1504" s="13"/>
      <c r="BH1504" s="13"/>
      <c r="BI1504" s="13"/>
      <c r="BJ1504" s="13"/>
      <c r="BK1504" s="13"/>
      <c r="BL1504" s="13"/>
      <c r="BM1504" s="13"/>
      <c r="BN1504" s="13"/>
      <c r="BO1504" s="13"/>
      <c r="BP1504" s="13"/>
      <c r="BQ1504" s="15"/>
      <c r="BR1504" s="15"/>
      <c r="BS1504" s="15"/>
      <c r="BT1504" s="15"/>
      <c r="BU1504" s="15"/>
      <c r="BV1504" s="15"/>
      <c r="BW1504" s="15"/>
      <c r="BX1504" s="15"/>
      <c r="BY1504" s="15"/>
      <c r="BZ1504" s="15"/>
      <c r="CA1504" s="15"/>
      <c r="CB1504" s="17"/>
      <c r="CC1504" s="17"/>
      <c r="CD1504" s="18"/>
      <c r="CE1504" s="18"/>
      <c r="CF1504" s="18"/>
      <c r="CG1504" s="18"/>
      <c r="CH1504" s="18"/>
    </row>
    <row r="1505">
      <c r="A1505" s="15"/>
      <c r="B1505" s="16"/>
      <c r="C1505" s="15"/>
      <c r="D1505" s="9"/>
      <c r="E1505" s="15"/>
      <c r="F1505" s="15"/>
      <c r="G1505" s="13"/>
      <c r="H1505" s="13"/>
      <c r="I1505" s="13"/>
      <c r="J1505" s="13"/>
      <c r="K1505" s="13"/>
      <c r="L1505" s="13"/>
      <c r="M1505" s="13"/>
      <c r="N1505" s="13"/>
      <c r="O1505" s="13"/>
      <c r="P1505" s="13"/>
      <c r="Q1505" s="13"/>
      <c r="R1505" s="13"/>
      <c r="S1505" s="13"/>
      <c r="T1505" s="13"/>
      <c r="U1505" s="13"/>
      <c r="V1505" s="13"/>
      <c r="W1505" s="13"/>
      <c r="X1505" s="13"/>
      <c r="Y1505" s="13"/>
      <c r="Z1505" s="13"/>
      <c r="AA1505" s="13"/>
      <c r="AB1505" s="15"/>
      <c r="AC1505" s="15"/>
      <c r="AD1505" s="15"/>
      <c r="AE1505" s="13"/>
      <c r="AF1505" s="13"/>
      <c r="AG1505" s="13"/>
      <c r="AH1505" s="15"/>
      <c r="AI1505" s="13"/>
      <c r="AJ1505" s="13"/>
      <c r="AK1505" s="13"/>
      <c r="AL1505" s="13"/>
      <c r="AM1505" s="15"/>
      <c r="AN1505" s="13"/>
      <c r="AO1505" s="15"/>
      <c r="AP1505" s="15"/>
      <c r="AQ1505" s="13"/>
      <c r="AR1505" s="13"/>
      <c r="AS1505" s="13"/>
      <c r="AT1505" s="13"/>
      <c r="AU1505" s="13"/>
      <c r="AV1505" s="13"/>
      <c r="AW1505" s="13"/>
      <c r="AX1505" s="13"/>
      <c r="AY1505" s="15"/>
      <c r="AZ1505" s="15"/>
      <c r="BA1505" s="16"/>
      <c r="BB1505" s="15"/>
      <c r="BC1505" s="15"/>
      <c r="BD1505" s="13"/>
      <c r="BE1505" s="13"/>
      <c r="BF1505" s="13"/>
      <c r="BG1505" s="13"/>
      <c r="BH1505" s="13"/>
      <c r="BI1505" s="13"/>
      <c r="BJ1505" s="13"/>
      <c r="BK1505" s="13"/>
      <c r="BL1505" s="13"/>
      <c r="BM1505" s="13"/>
      <c r="BN1505" s="13"/>
      <c r="BO1505" s="13"/>
      <c r="BP1505" s="13"/>
      <c r="BQ1505" s="15"/>
      <c r="BR1505" s="15"/>
      <c r="BS1505" s="15"/>
      <c r="BT1505" s="15"/>
      <c r="BU1505" s="15"/>
      <c r="BV1505" s="15"/>
      <c r="BW1505" s="15"/>
      <c r="BX1505" s="15"/>
      <c r="BY1505" s="15"/>
      <c r="BZ1505" s="15"/>
      <c r="CA1505" s="15"/>
      <c r="CB1505" s="17"/>
      <c r="CC1505" s="17"/>
      <c r="CD1505" s="18"/>
      <c r="CE1505" s="18"/>
      <c r="CF1505" s="18"/>
      <c r="CG1505" s="18"/>
      <c r="CH1505" s="18"/>
    </row>
    <row r="1506">
      <c r="A1506" s="15"/>
      <c r="B1506" s="16"/>
      <c r="C1506" s="15"/>
      <c r="D1506" s="9"/>
      <c r="E1506" s="15"/>
      <c r="F1506" s="15"/>
      <c r="G1506" s="13"/>
      <c r="H1506" s="13"/>
      <c r="I1506" s="13"/>
      <c r="J1506" s="13"/>
      <c r="K1506" s="13"/>
      <c r="L1506" s="13"/>
      <c r="M1506" s="13"/>
      <c r="N1506" s="13"/>
      <c r="O1506" s="13"/>
      <c r="P1506" s="13"/>
      <c r="Q1506" s="13"/>
      <c r="R1506" s="13"/>
      <c r="S1506" s="13"/>
      <c r="T1506" s="13"/>
      <c r="U1506" s="13"/>
      <c r="V1506" s="13"/>
      <c r="W1506" s="13"/>
      <c r="X1506" s="13"/>
      <c r="Y1506" s="13"/>
      <c r="Z1506" s="13"/>
      <c r="AA1506" s="13"/>
      <c r="AB1506" s="15"/>
      <c r="AC1506" s="15"/>
      <c r="AD1506" s="15"/>
      <c r="AE1506" s="13"/>
      <c r="AF1506" s="13"/>
      <c r="AG1506" s="13"/>
      <c r="AH1506" s="15"/>
      <c r="AI1506" s="13"/>
      <c r="AJ1506" s="13"/>
      <c r="AK1506" s="13"/>
      <c r="AL1506" s="13"/>
      <c r="AM1506" s="15"/>
      <c r="AN1506" s="13"/>
      <c r="AO1506" s="15"/>
      <c r="AP1506" s="15"/>
      <c r="AQ1506" s="13"/>
      <c r="AR1506" s="13"/>
      <c r="AS1506" s="13"/>
      <c r="AT1506" s="13"/>
      <c r="AU1506" s="13"/>
      <c r="AV1506" s="13"/>
      <c r="AW1506" s="13"/>
      <c r="AX1506" s="13"/>
      <c r="AY1506" s="15"/>
      <c r="AZ1506" s="15"/>
      <c r="BA1506" s="16"/>
      <c r="BB1506" s="15"/>
      <c r="BC1506" s="15"/>
      <c r="BD1506" s="13"/>
      <c r="BE1506" s="13"/>
      <c r="BF1506" s="13"/>
      <c r="BG1506" s="13"/>
      <c r="BH1506" s="13"/>
      <c r="BI1506" s="13"/>
      <c r="BJ1506" s="13"/>
      <c r="BK1506" s="13"/>
      <c r="BL1506" s="13"/>
      <c r="BM1506" s="13"/>
      <c r="BN1506" s="13"/>
      <c r="BO1506" s="13"/>
      <c r="BP1506" s="13"/>
      <c r="BQ1506" s="15"/>
      <c r="BR1506" s="15"/>
      <c r="BS1506" s="15"/>
      <c r="BT1506" s="15"/>
      <c r="BU1506" s="15"/>
      <c r="BV1506" s="15"/>
      <c r="BW1506" s="15"/>
      <c r="BX1506" s="15"/>
      <c r="BY1506" s="15"/>
      <c r="BZ1506" s="15"/>
      <c r="CA1506" s="15"/>
      <c r="CB1506" s="17"/>
      <c r="CC1506" s="17"/>
      <c r="CD1506" s="18"/>
      <c r="CE1506" s="18"/>
      <c r="CF1506" s="18"/>
      <c r="CG1506" s="18"/>
      <c r="CH1506" s="18"/>
    </row>
    <row r="1507">
      <c r="A1507" s="15"/>
      <c r="B1507" s="16"/>
      <c r="C1507" s="15"/>
      <c r="D1507" s="9"/>
      <c r="E1507" s="15"/>
      <c r="F1507" s="15"/>
      <c r="G1507" s="13"/>
      <c r="H1507" s="13"/>
      <c r="I1507" s="13"/>
      <c r="J1507" s="13"/>
      <c r="K1507" s="13"/>
      <c r="L1507" s="13"/>
      <c r="M1507" s="13"/>
      <c r="N1507" s="13"/>
      <c r="O1507" s="13"/>
      <c r="P1507" s="13"/>
      <c r="Q1507" s="13"/>
      <c r="R1507" s="13"/>
      <c r="S1507" s="13"/>
      <c r="T1507" s="13"/>
      <c r="U1507" s="13"/>
      <c r="V1507" s="13"/>
      <c r="W1507" s="13"/>
      <c r="X1507" s="13"/>
      <c r="Y1507" s="13"/>
      <c r="Z1507" s="13"/>
      <c r="AA1507" s="13"/>
      <c r="AB1507" s="15"/>
      <c r="AC1507" s="15"/>
      <c r="AD1507" s="15"/>
      <c r="AE1507" s="13"/>
      <c r="AF1507" s="13"/>
      <c r="AG1507" s="13"/>
      <c r="AH1507" s="15"/>
      <c r="AI1507" s="13"/>
      <c r="AJ1507" s="13"/>
      <c r="AK1507" s="13"/>
      <c r="AL1507" s="13"/>
      <c r="AM1507" s="15"/>
      <c r="AN1507" s="13"/>
      <c r="AO1507" s="15"/>
      <c r="AP1507" s="15"/>
      <c r="AQ1507" s="13"/>
      <c r="AR1507" s="13"/>
      <c r="AS1507" s="13"/>
      <c r="AT1507" s="13"/>
      <c r="AU1507" s="13"/>
      <c r="AV1507" s="13"/>
      <c r="AW1507" s="13"/>
      <c r="AX1507" s="13"/>
      <c r="AY1507" s="15"/>
      <c r="AZ1507" s="15"/>
      <c r="BA1507" s="16"/>
      <c r="BB1507" s="15"/>
      <c r="BC1507" s="15"/>
      <c r="BD1507" s="13"/>
      <c r="BE1507" s="13"/>
      <c r="BF1507" s="13"/>
      <c r="BG1507" s="13"/>
      <c r="BH1507" s="13"/>
      <c r="BI1507" s="13"/>
      <c r="BJ1507" s="13"/>
      <c r="BK1507" s="13"/>
      <c r="BL1507" s="13"/>
      <c r="BM1507" s="13"/>
      <c r="BN1507" s="13"/>
      <c r="BO1507" s="13"/>
      <c r="BP1507" s="13"/>
      <c r="BQ1507" s="15"/>
      <c r="BR1507" s="15"/>
      <c r="BS1507" s="15"/>
      <c r="BT1507" s="15"/>
      <c r="BU1507" s="15"/>
      <c r="BV1507" s="15"/>
      <c r="BW1507" s="15"/>
      <c r="BX1507" s="15"/>
      <c r="BY1507" s="15"/>
      <c r="BZ1507" s="15"/>
      <c r="CA1507" s="15"/>
      <c r="CB1507" s="17"/>
      <c r="CC1507" s="17"/>
      <c r="CD1507" s="18"/>
      <c r="CE1507" s="18"/>
      <c r="CF1507" s="18"/>
      <c r="CG1507" s="18"/>
      <c r="CH1507" s="18"/>
    </row>
    <row r="1508">
      <c r="A1508" s="15"/>
      <c r="B1508" s="16"/>
      <c r="C1508" s="15"/>
      <c r="D1508" s="9"/>
      <c r="E1508" s="15"/>
      <c r="F1508" s="15"/>
      <c r="G1508" s="13"/>
      <c r="H1508" s="13"/>
      <c r="I1508" s="13"/>
      <c r="J1508" s="13"/>
      <c r="K1508" s="13"/>
      <c r="L1508" s="13"/>
      <c r="M1508" s="13"/>
      <c r="N1508" s="13"/>
      <c r="O1508" s="13"/>
      <c r="P1508" s="13"/>
      <c r="Q1508" s="13"/>
      <c r="R1508" s="13"/>
      <c r="S1508" s="13"/>
      <c r="T1508" s="13"/>
      <c r="U1508" s="13"/>
      <c r="V1508" s="13"/>
      <c r="W1508" s="13"/>
      <c r="X1508" s="13"/>
      <c r="Y1508" s="13"/>
      <c r="Z1508" s="13"/>
      <c r="AA1508" s="13"/>
      <c r="AB1508" s="15"/>
      <c r="AC1508" s="15"/>
      <c r="AD1508" s="15"/>
      <c r="AE1508" s="13"/>
      <c r="AF1508" s="13"/>
      <c r="AG1508" s="13"/>
      <c r="AH1508" s="15"/>
      <c r="AI1508" s="13"/>
      <c r="AJ1508" s="13"/>
      <c r="AK1508" s="13"/>
      <c r="AL1508" s="13"/>
      <c r="AM1508" s="15"/>
      <c r="AN1508" s="13"/>
      <c r="AO1508" s="15"/>
      <c r="AP1508" s="15"/>
      <c r="AQ1508" s="13"/>
      <c r="AR1508" s="13"/>
      <c r="AS1508" s="13"/>
      <c r="AT1508" s="13"/>
      <c r="AU1508" s="13"/>
      <c r="AV1508" s="13"/>
      <c r="AW1508" s="13"/>
      <c r="AX1508" s="13"/>
      <c r="AY1508" s="15"/>
      <c r="AZ1508" s="15"/>
      <c r="BA1508" s="16"/>
      <c r="BB1508" s="15"/>
      <c r="BC1508" s="15"/>
      <c r="BD1508" s="13"/>
      <c r="BE1508" s="13"/>
      <c r="BF1508" s="13"/>
      <c r="BG1508" s="13"/>
      <c r="BH1508" s="13"/>
      <c r="BI1508" s="13"/>
      <c r="BJ1508" s="13"/>
      <c r="BK1508" s="13"/>
      <c r="BL1508" s="13"/>
      <c r="BM1508" s="13"/>
      <c r="BN1508" s="13"/>
      <c r="BO1508" s="13"/>
      <c r="BP1508" s="13"/>
      <c r="BQ1508" s="15"/>
      <c r="BR1508" s="15"/>
      <c r="BS1508" s="15"/>
      <c r="BT1508" s="15"/>
      <c r="BU1508" s="15"/>
      <c r="BV1508" s="15"/>
      <c r="BW1508" s="15"/>
      <c r="BX1508" s="15"/>
      <c r="BY1508" s="15"/>
      <c r="BZ1508" s="15"/>
      <c r="CA1508" s="15"/>
      <c r="CB1508" s="17"/>
      <c r="CC1508" s="17"/>
      <c r="CD1508" s="18"/>
      <c r="CE1508" s="18"/>
      <c r="CF1508" s="18"/>
      <c r="CG1508" s="18"/>
      <c r="CH1508" s="18"/>
    </row>
    <row r="1509">
      <c r="A1509" s="15"/>
      <c r="B1509" s="16"/>
      <c r="C1509" s="15"/>
      <c r="D1509" s="9"/>
      <c r="E1509" s="15"/>
      <c r="F1509" s="15"/>
      <c r="G1509" s="13"/>
      <c r="H1509" s="13"/>
      <c r="I1509" s="13"/>
      <c r="J1509" s="13"/>
      <c r="K1509" s="13"/>
      <c r="L1509" s="13"/>
      <c r="M1509" s="13"/>
      <c r="N1509" s="13"/>
      <c r="O1509" s="13"/>
      <c r="P1509" s="13"/>
      <c r="Q1509" s="13"/>
      <c r="R1509" s="13"/>
      <c r="S1509" s="13"/>
      <c r="T1509" s="13"/>
      <c r="U1509" s="13"/>
      <c r="V1509" s="13"/>
      <c r="W1509" s="13"/>
      <c r="X1509" s="13"/>
      <c r="Y1509" s="13"/>
      <c r="Z1509" s="13"/>
      <c r="AA1509" s="13"/>
      <c r="AB1509" s="15"/>
      <c r="AC1509" s="15"/>
      <c r="AD1509" s="15"/>
      <c r="AE1509" s="13"/>
      <c r="AF1509" s="13"/>
      <c r="AG1509" s="13"/>
      <c r="AH1509" s="15"/>
      <c r="AI1509" s="13"/>
      <c r="AJ1509" s="13"/>
      <c r="AK1509" s="13"/>
      <c r="AL1509" s="13"/>
      <c r="AM1509" s="15"/>
      <c r="AN1509" s="13"/>
      <c r="AO1509" s="15"/>
      <c r="AP1509" s="15"/>
      <c r="AQ1509" s="13"/>
      <c r="AR1509" s="13"/>
      <c r="AS1509" s="13"/>
      <c r="AT1509" s="13"/>
      <c r="AU1509" s="13"/>
      <c r="AV1509" s="13"/>
      <c r="AW1509" s="13"/>
      <c r="AX1509" s="13"/>
      <c r="AY1509" s="15"/>
      <c r="AZ1509" s="15"/>
      <c r="BA1509" s="16"/>
      <c r="BB1509" s="15"/>
      <c r="BC1509" s="15"/>
      <c r="BD1509" s="13"/>
      <c r="BE1509" s="13"/>
      <c r="BF1509" s="13"/>
      <c r="BG1509" s="13"/>
      <c r="BH1509" s="13"/>
      <c r="BI1509" s="13"/>
      <c r="BJ1509" s="13"/>
      <c r="BK1509" s="13"/>
      <c r="BL1509" s="13"/>
      <c r="BM1509" s="13"/>
      <c r="BN1509" s="13"/>
      <c r="BO1509" s="13"/>
      <c r="BP1509" s="13"/>
      <c r="BQ1509" s="15"/>
      <c r="BR1509" s="15"/>
      <c r="BS1509" s="15"/>
      <c r="BT1509" s="15"/>
      <c r="BU1509" s="15"/>
      <c r="BV1509" s="15"/>
      <c r="BW1509" s="15"/>
      <c r="BX1509" s="15"/>
      <c r="BY1509" s="15"/>
      <c r="BZ1509" s="15"/>
      <c r="CA1509" s="15"/>
      <c r="CB1509" s="17"/>
      <c r="CC1509" s="17"/>
      <c r="CD1509" s="18"/>
      <c r="CE1509" s="18"/>
      <c r="CF1509" s="18"/>
      <c r="CG1509" s="18"/>
      <c r="CH1509" s="18"/>
    </row>
    <row r="1510">
      <c r="A1510" s="15"/>
      <c r="B1510" s="16"/>
      <c r="C1510" s="15"/>
      <c r="D1510" s="9"/>
      <c r="E1510" s="15"/>
      <c r="F1510" s="15"/>
      <c r="G1510" s="13"/>
      <c r="H1510" s="13"/>
      <c r="I1510" s="13"/>
      <c r="J1510" s="13"/>
      <c r="K1510" s="13"/>
      <c r="L1510" s="13"/>
      <c r="M1510" s="13"/>
      <c r="N1510" s="13"/>
      <c r="O1510" s="13"/>
      <c r="P1510" s="13"/>
      <c r="Q1510" s="13"/>
      <c r="R1510" s="13"/>
      <c r="S1510" s="13"/>
      <c r="T1510" s="13"/>
      <c r="U1510" s="13"/>
      <c r="V1510" s="13"/>
      <c r="W1510" s="13"/>
      <c r="X1510" s="13"/>
      <c r="Y1510" s="13"/>
      <c r="Z1510" s="13"/>
      <c r="AA1510" s="13"/>
      <c r="AB1510" s="15"/>
      <c r="AC1510" s="15"/>
      <c r="AD1510" s="15"/>
      <c r="AE1510" s="13"/>
      <c r="AF1510" s="13"/>
      <c r="AG1510" s="13"/>
      <c r="AH1510" s="15"/>
      <c r="AI1510" s="13"/>
      <c r="AJ1510" s="13"/>
      <c r="AK1510" s="13"/>
      <c r="AL1510" s="13"/>
      <c r="AM1510" s="15"/>
      <c r="AN1510" s="13"/>
      <c r="AO1510" s="15"/>
      <c r="AP1510" s="15"/>
      <c r="AQ1510" s="13"/>
      <c r="AR1510" s="13"/>
      <c r="AS1510" s="13"/>
      <c r="AT1510" s="13"/>
      <c r="AU1510" s="13"/>
      <c r="AV1510" s="13"/>
      <c r="AW1510" s="13"/>
      <c r="AX1510" s="13"/>
      <c r="AY1510" s="15"/>
      <c r="AZ1510" s="15"/>
      <c r="BA1510" s="16"/>
      <c r="BB1510" s="15"/>
      <c r="BC1510" s="15"/>
      <c r="BD1510" s="13"/>
      <c r="BE1510" s="13"/>
      <c r="BF1510" s="13"/>
      <c r="BG1510" s="13"/>
      <c r="BH1510" s="13"/>
      <c r="BI1510" s="13"/>
      <c r="BJ1510" s="13"/>
      <c r="BK1510" s="13"/>
      <c r="BL1510" s="13"/>
      <c r="BM1510" s="13"/>
      <c r="BN1510" s="13"/>
      <c r="BO1510" s="13"/>
      <c r="BP1510" s="13"/>
      <c r="BQ1510" s="15"/>
      <c r="BR1510" s="15"/>
      <c r="BS1510" s="15"/>
      <c r="BT1510" s="15"/>
      <c r="BU1510" s="15"/>
      <c r="BV1510" s="15"/>
      <c r="BW1510" s="15"/>
      <c r="BX1510" s="15"/>
      <c r="BY1510" s="15"/>
      <c r="BZ1510" s="15"/>
      <c r="CA1510" s="15"/>
      <c r="CB1510" s="17"/>
      <c r="CC1510" s="17"/>
      <c r="CD1510" s="18"/>
      <c r="CE1510" s="18"/>
      <c r="CF1510" s="18"/>
      <c r="CG1510" s="18"/>
      <c r="CH1510" s="18"/>
    </row>
    <row r="1511">
      <c r="A1511" s="15"/>
      <c r="B1511" s="16"/>
      <c r="C1511" s="15"/>
      <c r="D1511" s="9"/>
      <c r="E1511" s="15"/>
      <c r="F1511" s="15"/>
      <c r="G1511" s="13"/>
      <c r="H1511" s="13"/>
      <c r="I1511" s="13"/>
      <c r="J1511" s="13"/>
      <c r="K1511" s="13"/>
      <c r="L1511" s="13"/>
      <c r="M1511" s="13"/>
      <c r="N1511" s="13"/>
      <c r="O1511" s="13"/>
      <c r="P1511" s="13"/>
      <c r="Q1511" s="13"/>
      <c r="R1511" s="13"/>
      <c r="S1511" s="13"/>
      <c r="T1511" s="13"/>
      <c r="U1511" s="13"/>
      <c r="V1511" s="13"/>
      <c r="W1511" s="13"/>
      <c r="X1511" s="13"/>
      <c r="Y1511" s="13"/>
      <c r="Z1511" s="13"/>
      <c r="AA1511" s="13"/>
      <c r="AB1511" s="15"/>
      <c r="AC1511" s="15"/>
      <c r="AD1511" s="15"/>
      <c r="AE1511" s="13"/>
      <c r="AF1511" s="13"/>
      <c r="AG1511" s="13"/>
      <c r="AH1511" s="15"/>
      <c r="AI1511" s="13"/>
      <c r="AJ1511" s="13"/>
      <c r="AK1511" s="13"/>
      <c r="AL1511" s="13"/>
      <c r="AM1511" s="15"/>
      <c r="AN1511" s="13"/>
      <c r="AO1511" s="15"/>
      <c r="AP1511" s="15"/>
      <c r="AQ1511" s="13"/>
      <c r="AR1511" s="13"/>
      <c r="AS1511" s="13"/>
      <c r="AT1511" s="13"/>
      <c r="AU1511" s="13"/>
      <c r="AV1511" s="13"/>
      <c r="AW1511" s="13"/>
      <c r="AX1511" s="13"/>
      <c r="AY1511" s="15"/>
      <c r="AZ1511" s="15"/>
      <c r="BA1511" s="16"/>
      <c r="BB1511" s="15"/>
      <c r="BC1511" s="15"/>
      <c r="BD1511" s="13"/>
      <c r="BE1511" s="13"/>
      <c r="BF1511" s="13"/>
      <c r="BG1511" s="13"/>
      <c r="BH1511" s="13"/>
      <c r="BI1511" s="13"/>
      <c r="BJ1511" s="13"/>
      <c r="BK1511" s="13"/>
      <c r="BL1511" s="13"/>
      <c r="BM1511" s="13"/>
      <c r="BN1511" s="13"/>
      <c r="BO1511" s="13"/>
      <c r="BP1511" s="13"/>
      <c r="BQ1511" s="15"/>
      <c r="BR1511" s="15"/>
      <c r="BS1511" s="15"/>
      <c r="BT1511" s="15"/>
      <c r="BU1511" s="15"/>
      <c r="BV1511" s="15"/>
      <c r="BW1511" s="15"/>
      <c r="BX1511" s="15"/>
      <c r="BY1511" s="15"/>
      <c r="BZ1511" s="15"/>
      <c r="CA1511" s="15"/>
      <c r="CB1511" s="17"/>
      <c r="CC1511" s="17"/>
      <c r="CD1511" s="18"/>
      <c r="CE1511" s="18"/>
      <c r="CF1511" s="18"/>
      <c r="CG1511" s="18"/>
      <c r="CH1511" s="18"/>
    </row>
    <row r="1512">
      <c r="A1512" s="15"/>
      <c r="B1512" s="16"/>
      <c r="C1512" s="15"/>
      <c r="D1512" s="9"/>
      <c r="E1512" s="15"/>
      <c r="F1512" s="15"/>
      <c r="G1512" s="13"/>
      <c r="H1512" s="13"/>
      <c r="I1512" s="13"/>
      <c r="J1512" s="13"/>
      <c r="K1512" s="13"/>
      <c r="L1512" s="13"/>
      <c r="M1512" s="13"/>
      <c r="N1512" s="13"/>
      <c r="O1512" s="13"/>
      <c r="P1512" s="13"/>
      <c r="Q1512" s="13"/>
      <c r="R1512" s="13"/>
      <c r="S1512" s="13"/>
      <c r="T1512" s="13"/>
      <c r="U1512" s="13"/>
      <c r="V1512" s="13"/>
      <c r="W1512" s="13"/>
      <c r="X1512" s="13"/>
      <c r="Y1512" s="13"/>
      <c r="Z1512" s="13"/>
      <c r="AA1512" s="13"/>
      <c r="AB1512" s="15"/>
      <c r="AC1512" s="15"/>
      <c r="AD1512" s="15"/>
      <c r="AE1512" s="13"/>
      <c r="AF1512" s="13"/>
      <c r="AG1512" s="13"/>
      <c r="AH1512" s="15"/>
      <c r="AI1512" s="13"/>
      <c r="AJ1512" s="13"/>
      <c r="AK1512" s="13"/>
      <c r="AL1512" s="13"/>
      <c r="AM1512" s="15"/>
      <c r="AN1512" s="13"/>
      <c r="AO1512" s="15"/>
      <c r="AP1512" s="15"/>
      <c r="AQ1512" s="13"/>
      <c r="AR1512" s="13"/>
      <c r="AS1512" s="13"/>
      <c r="AT1512" s="13"/>
      <c r="AU1512" s="13"/>
      <c r="AV1512" s="13"/>
      <c r="AW1512" s="13"/>
      <c r="AX1512" s="13"/>
      <c r="AY1512" s="15"/>
      <c r="AZ1512" s="15"/>
      <c r="BA1512" s="16"/>
      <c r="BB1512" s="15"/>
      <c r="BC1512" s="15"/>
      <c r="BD1512" s="13"/>
      <c r="BE1512" s="13"/>
      <c r="BF1512" s="13"/>
      <c r="BG1512" s="13"/>
      <c r="BH1512" s="13"/>
      <c r="BI1512" s="13"/>
      <c r="BJ1512" s="13"/>
      <c r="BK1512" s="13"/>
      <c r="BL1512" s="13"/>
      <c r="BM1512" s="13"/>
      <c r="BN1512" s="13"/>
      <c r="BO1512" s="13"/>
      <c r="BP1512" s="13"/>
      <c r="BQ1512" s="15"/>
      <c r="BR1512" s="15"/>
      <c r="BS1512" s="15"/>
      <c r="BT1512" s="15"/>
      <c r="BU1512" s="15"/>
      <c r="BV1512" s="15"/>
      <c r="BW1512" s="15"/>
      <c r="BX1512" s="15"/>
      <c r="BY1512" s="15"/>
      <c r="BZ1512" s="15"/>
      <c r="CA1512" s="15"/>
      <c r="CB1512" s="17"/>
      <c r="CC1512" s="17"/>
      <c r="CD1512" s="18"/>
      <c r="CE1512" s="18"/>
      <c r="CF1512" s="18"/>
      <c r="CG1512" s="18"/>
      <c r="CH1512" s="18"/>
    </row>
    <row r="1513">
      <c r="A1513" s="15"/>
      <c r="B1513" s="16"/>
      <c r="C1513" s="15"/>
      <c r="D1513" s="9"/>
      <c r="E1513" s="15"/>
      <c r="F1513" s="15"/>
      <c r="G1513" s="13"/>
      <c r="H1513" s="13"/>
      <c r="I1513" s="13"/>
      <c r="J1513" s="13"/>
      <c r="K1513" s="13"/>
      <c r="L1513" s="13"/>
      <c r="M1513" s="13"/>
      <c r="N1513" s="13"/>
      <c r="O1513" s="13"/>
      <c r="P1513" s="13"/>
      <c r="Q1513" s="13"/>
      <c r="R1513" s="13"/>
      <c r="S1513" s="13"/>
      <c r="T1513" s="13"/>
      <c r="U1513" s="13"/>
      <c r="V1513" s="13"/>
      <c r="W1513" s="13"/>
      <c r="X1513" s="13"/>
      <c r="Y1513" s="13"/>
      <c r="Z1513" s="13"/>
      <c r="AA1513" s="13"/>
      <c r="AB1513" s="15"/>
      <c r="AC1513" s="15"/>
      <c r="AD1513" s="15"/>
      <c r="AE1513" s="13"/>
      <c r="AF1513" s="13"/>
      <c r="AG1513" s="13"/>
      <c r="AH1513" s="15"/>
      <c r="AI1513" s="13"/>
      <c r="AJ1513" s="13"/>
      <c r="AK1513" s="13"/>
      <c r="AL1513" s="13"/>
      <c r="AM1513" s="15"/>
      <c r="AN1513" s="13"/>
      <c r="AO1513" s="15"/>
      <c r="AP1513" s="15"/>
      <c r="AQ1513" s="13"/>
      <c r="AR1513" s="13"/>
      <c r="AS1513" s="13"/>
      <c r="AT1513" s="13"/>
      <c r="AU1513" s="13"/>
      <c r="AV1513" s="13"/>
      <c r="AW1513" s="13"/>
      <c r="AX1513" s="13"/>
      <c r="AY1513" s="15"/>
      <c r="AZ1513" s="15"/>
      <c r="BA1513" s="16"/>
      <c r="BB1513" s="15"/>
      <c r="BC1513" s="15"/>
      <c r="BD1513" s="13"/>
      <c r="BE1513" s="13"/>
      <c r="BF1513" s="13"/>
      <c r="BG1513" s="13"/>
      <c r="BH1513" s="13"/>
      <c r="BI1513" s="13"/>
      <c r="BJ1513" s="13"/>
      <c r="BK1513" s="13"/>
      <c r="BL1513" s="13"/>
      <c r="BM1513" s="13"/>
      <c r="BN1513" s="13"/>
      <c r="BO1513" s="13"/>
      <c r="BP1513" s="13"/>
      <c r="BQ1513" s="15"/>
      <c r="BR1513" s="15"/>
      <c r="BS1513" s="15"/>
      <c r="BT1513" s="15"/>
      <c r="BU1513" s="15"/>
      <c r="BV1513" s="15"/>
      <c r="BW1513" s="15"/>
      <c r="BX1513" s="15"/>
      <c r="BY1513" s="15"/>
      <c r="BZ1513" s="15"/>
      <c r="CA1513" s="15"/>
      <c r="CB1513" s="17"/>
      <c r="CC1513" s="17"/>
      <c r="CD1513" s="18"/>
      <c r="CE1513" s="18"/>
      <c r="CF1513" s="18"/>
      <c r="CG1513" s="18"/>
      <c r="CH1513" s="18"/>
    </row>
    <row r="1514">
      <c r="A1514" s="15"/>
      <c r="B1514" s="16"/>
      <c r="C1514" s="15"/>
      <c r="D1514" s="9"/>
      <c r="E1514" s="15"/>
      <c r="F1514" s="15"/>
      <c r="G1514" s="13"/>
      <c r="H1514" s="13"/>
      <c r="I1514" s="13"/>
      <c r="J1514" s="13"/>
      <c r="K1514" s="13"/>
      <c r="L1514" s="13"/>
      <c r="M1514" s="13"/>
      <c r="N1514" s="13"/>
      <c r="O1514" s="13"/>
      <c r="P1514" s="13"/>
      <c r="Q1514" s="13"/>
      <c r="R1514" s="13"/>
      <c r="S1514" s="13"/>
      <c r="T1514" s="13"/>
      <c r="U1514" s="13"/>
      <c r="V1514" s="13"/>
      <c r="W1514" s="13"/>
      <c r="X1514" s="13"/>
      <c r="Y1514" s="13"/>
      <c r="Z1514" s="13"/>
      <c r="AA1514" s="13"/>
      <c r="AB1514" s="15"/>
      <c r="AC1514" s="15"/>
      <c r="AD1514" s="15"/>
      <c r="AE1514" s="13"/>
      <c r="AF1514" s="13"/>
      <c r="AG1514" s="13"/>
      <c r="AH1514" s="15"/>
      <c r="AI1514" s="13"/>
      <c r="AJ1514" s="13"/>
      <c r="AK1514" s="13"/>
      <c r="AL1514" s="13"/>
      <c r="AM1514" s="15"/>
      <c r="AN1514" s="13"/>
      <c r="AO1514" s="15"/>
      <c r="AP1514" s="15"/>
      <c r="AQ1514" s="13"/>
      <c r="AR1514" s="13"/>
      <c r="AS1514" s="13"/>
      <c r="AT1514" s="13"/>
      <c r="AU1514" s="13"/>
      <c r="AV1514" s="13"/>
      <c r="AW1514" s="13"/>
      <c r="AX1514" s="13"/>
      <c r="AY1514" s="15"/>
      <c r="AZ1514" s="15"/>
      <c r="BA1514" s="16"/>
      <c r="BB1514" s="15"/>
      <c r="BC1514" s="15"/>
      <c r="BD1514" s="13"/>
      <c r="BE1514" s="13"/>
      <c r="BF1514" s="13"/>
      <c r="BG1514" s="13"/>
      <c r="BH1514" s="13"/>
      <c r="BI1514" s="13"/>
      <c r="BJ1514" s="13"/>
      <c r="BK1514" s="13"/>
      <c r="BL1514" s="13"/>
      <c r="BM1514" s="13"/>
      <c r="BN1514" s="13"/>
      <c r="BO1514" s="13"/>
      <c r="BP1514" s="13"/>
      <c r="BQ1514" s="15"/>
      <c r="BR1514" s="15"/>
      <c r="BS1514" s="15"/>
      <c r="BT1514" s="15"/>
      <c r="BU1514" s="15"/>
      <c r="BV1514" s="15"/>
      <c r="BW1514" s="15"/>
      <c r="BX1514" s="15"/>
      <c r="BY1514" s="15"/>
      <c r="BZ1514" s="15"/>
      <c r="CA1514" s="15"/>
      <c r="CB1514" s="17"/>
      <c r="CC1514" s="17"/>
      <c r="CD1514" s="18"/>
      <c r="CE1514" s="18"/>
      <c r="CF1514" s="18"/>
      <c r="CG1514" s="18"/>
      <c r="CH1514" s="18"/>
    </row>
    <row r="1515">
      <c r="A1515" s="15"/>
      <c r="B1515" s="16"/>
      <c r="C1515" s="15"/>
      <c r="D1515" s="9"/>
      <c r="E1515" s="15"/>
      <c r="F1515" s="15"/>
      <c r="G1515" s="13"/>
      <c r="H1515" s="13"/>
      <c r="I1515" s="13"/>
      <c r="J1515" s="13"/>
      <c r="K1515" s="13"/>
      <c r="L1515" s="13"/>
      <c r="M1515" s="13"/>
      <c r="N1515" s="13"/>
      <c r="O1515" s="13"/>
      <c r="P1515" s="13"/>
      <c r="Q1515" s="13"/>
      <c r="R1515" s="13"/>
      <c r="S1515" s="13"/>
      <c r="T1515" s="13"/>
      <c r="U1515" s="13"/>
      <c r="V1515" s="13"/>
      <c r="W1515" s="13"/>
      <c r="X1515" s="13"/>
      <c r="Y1515" s="13"/>
      <c r="Z1515" s="13"/>
      <c r="AA1515" s="13"/>
      <c r="AB1515" s="15"/>
      <c r="AC1515" s="15"/>
      <c r="AD1515" s="15"/>
      <c r="AE1515" s="13"/>
      <c r="AF1515" s="13"/>
      <c r="AG1515" s="13"/>
      <c r="AH1515" s="15"/>
      <c r="AI1515" s="13"/>
      <c r="AJ1515" s="13"/>
      <c r="AK1515" s="13"/>
      <c r="AL1515" s="13"/>
      <c r="AM1515" s="15"/>
      <c r="AN1515" s="13"/>
      <c r="AO1515" s="15"/>
      <c r="AP1515" s="15"/>
      <c r="AQ1515" s="13"/>
      <c r="AR1515" s="13"/>
      <c r="AS1515" s="13"/>
      <c r="AT1515" s="13"/>
      <c r="AU1515" s="13"/>
      <c r="AV1515" s="13"/>
      <c r="AW1515" s="13"/>
      <c r="AX1515" s="13"/>
      <c r="AY1515" s="15"/>
      <c r="AZ1515" s="15"/>
      <c r="BA1515" s="16"/>
      <c r="BB1515" s="15"/>
      <c r="BC1515" s="15"/>
      <c r="BD1515" s="13"/>
      <c r="BE1515" s="13"/>
      <c r="BF1515" s="13"/>
      <c r="BG1515" s="13"/>
      <c r="BH1515" s="13"/>
      <c r="BI1515" s="13"/>
      <c r="BJ1515" s="13"/>
      <c r="BK1515" s="13"/>
      <c r="BL1515" s="13"/>
      <c r="BM1515" s="13"/>
      <c r="BN1515" s="13"/>
      <c r="BO1515" s="13"/>
      <c r="BP1515" s="13"/>
      <c r="BQ1515" s="15"/>
      <c r="BR1515" s="15"/>
      <c r="BS1515" s="15"/>
      <c r="BT1515" s="15"/>
      <c r="BU1515" s="15"/>
      <c r="BV1515" s="15"/>
      <c r="BW1515" s="15"/>
      <c r="BX1515" s="15"/>
      <c r="BY1515" s="15"/>
      <c r="BZ1515" s="15"/>
      <c r="CA1515" s="15"/>
      <c r="CB1515" s="17"/>
      <c r="CC1515" s="17"/>
      <c r="CD1515" s="18"/>
      <c r="CE1515" s="18"/>
      <c r="CF1515" s="18"/>
      <c r="CG1515" s="18"/>
      <c r="CH1515" s="18"/>
    </row>
    <row r="1516">
      <c r="A1516" s="15"/>
      <c r="B1516" s="16"/>
      <c r="C1516" s="15"/>
      <c r="D1516" s="9"/>
      <c r="E1516" s="15"/>
      <c r="F1516" s="15"/>
      <c r="G1516" s="13"/>
      <c r="H1516" s="13"/>
      <c r="I1516" s="13"/>
      <c r="J1516" s="13"/>
      <c r="K1516" s="13"/>
      <c r="L1516" s="13"/>
      <c r="M1516" s="13"/>
      <c r="N1516" s="13"/>
      <c r="O1516" s="13"/>
      <c r="P1516" s="13"/>
      <c r="Q1516" s="13"/>
      <c r="R1516" s="13"/>
      <c r="S1516" s="13"/>
      <c r="T1516" s="13"/>
      <c r="U1516" s="13"/>
      <c r="V1516" s="13"/>
      <c r="W1516" s="13"/>
      <c r="X1516" s="13"/>
      <c r="Y1516" s="13"/>
      <c r="Z1516" s="13"/>
      <c r="AA1516" s="13"/>
      <c r="AB1516" s="15"/>
      <c r="AC1516" s="15"/>
      <c r="AD1516" s="15"/>
      <c r="AE1516" s="13"/>
      <c r="AF1516" s="13"/>
      <c r="AG1516" s="13"/>
      <c r="AH1516" s="15"/>
      <c r="AI1516" s="13"/>
      <c r="AJ1516" s="13"/>
      <c r="AK1516" s="13"/>
      <c r="AL1516" s="13"/>
      <c r="AM1516" s="15"/>
      <c r="AN1516" s="13"/>
      <c r="AO1516" s="15"/>
      <c r="AP1516" s="15"/>
      <c r="AQ1516" s="13"/>
      <c r="AR1516" s="13"/>
      <c r="AS1516" s="13"/>
      <c r="AT1516" s="13"/>
      <c r="AU1516" s="13"/>
      <c r="AV1516" s="13"/>
      <c r="AW1516" s="13"/>
      <c r="AX1516" s="13"/>
      <c r="AY1516" s="15"/>
      <c r="AZ1516" s="15"/>
      <c r="BA1516" s="16"/>
      <c r="BB1516" s="15"/>
      <c r="BC1516" s="15"/>
      <c r="BD1516" s="13"/>
      <c r="BE1516" s="13"/>
      <c r="BF1516" s="13"/>
      <c r="BG1516" s="13"/>
      <c r="BH1516" s="13"/>
      <c r="BI1516" s="13"/>
      <c r="BJ1516" s="13"/>
      <c r="BK1516" s="13"/>
      <c r="BL1516" s="13"/>
      <c r="BM1516" s="13"/>
      <c r="BN1516" s="13"/>
      <c r="BO1516" s="13"/>
      <c r="BP1516" s="13"/>
      <c r="BQ1516" s="15"/>
      <c r="BR1516" s="15"/>
      <c r="BS1516" s="15"/>
      <c r="BT1516" s="15"/>
      <c r="BU1516" s="15"/>
      <c r="BV1516" s="15"/>
      <c r="BW1516" s="15"/>
      <c r="BX1516" s="15"/>
      <c r="BY1516" s="15"/>
      <c r="BZ1516" s="15"/>
      <c r="CA1516" s="15"/>
      <c r="CB1516" s="17"/>
      <c r="CC1516" s="17"/>
      <c r="CD1516" s="18"/>
      <c r="CE1516" s="18"/>
      <c r="CF1516" s="18"/>
      <c r="CG1516" s="18"/>
      <c r="CH1516" s="18"/>
    </row>
    <row r="1517">
      <c r="A1517" s="15"/>
      <c r="B1517" s="16"/>
      <c r="C1517" s="15"/>
      <c r="D1517" s="9"/>
      <c r="E1517" s="15"/>
      <c r="F1517" s="15"/>
      <c r="G1517" s="13"/>
      <c r="H1517" s="13"/>
      <c r="I1517" s="13"/>
      <c r="J1517" s="13"/>
      <c r="K1517" s="13"/>
      <c r="L1517" s="13"/>
      <c r="M1517" s="13"/>
      <c r="N1517" s="13"/>
      <c r="O1517" s="13"/>
      <c r="P1517" s="13"/>
      <c r="Q1517" s="13"/>
      <c r="R1517" s="13"/>
      <c r="S1517" s="13"/>
      <c r="T1517" s="13"/>
      <c r="U1517" s="13"/>
      <c r="V1517" s="13"/>
      <c r="W1517" s="13"/>
      <c r="X1517" s="13"/>
      <c r="Y1517" s="13"/>
      <c r="Z1517" s="13"/>
      <c r="AA1517" s="13"/>
      <c r="AB1517" s="15"/>
      <c r="AC1517" s="15"/>
      <c r="AD1517" s="15"/>
      <c r="AE1517" s="13"/>
      <c r="AF1517" s="13"/>
      <c r="AG1517" s="13"/>
      <c r="AH1517" s="15"/>
      <c r="AI1517" s="13"/>
      <c r="AJ1517" s="13"/>
      <c r="AK1517" s="13"/>
      <c r="AL1517" s="13"/>
      <c r="AM1517" s="15"/>
      <c r="AN1517" s="13"/>
      <c r="AO1517" s="15"/>
      <c r="AP1517" s="15"/>
      <c r="AQ1517" s="13"/>
      <c r="AR1517" s="13"/>
      <c r="AS1517" s="13"/>
      <c r="AT1517" s="13"/>
      <c r="AU1517" s="13"/>
      <c r="AV1517" s="13"/>
      <c r="AW1517" s="13"/>
      <c r="AX1517" s="13"/>
      <c r="AY1517" s="15"/>
      <c r="AZ1517" s="15"/>
      <c r="BA1517" s="16"/>
      <c r="BB1517" s="15"/>
      <c r="BC1517" s="15"/>
      <c r="BD1517" s="13"/>
      <c r="BE1517" s="13"/>
      <c r="BF1517" s="13"/>
      <c r="BG1517" s="13"/>
      <c r="BH1517" s="13"/>
      <c r="BI1517" s="13"/>
      <c r="BJ1517" s="13"/>
      <c r="BK1517" s="13"/>
      <c r="BL1517" s="13"/>
      <c r="BM1517" s="13"/>
      <c r="BN1517" s="13"/>
      <c r="BO1517" s="13"/>
      <c r="BP1517" s="13"/>
      <c r="BQ1517" s="15"/>
      <c r="BR1517" s="15"/>
      <c r="BS1517" s="15"/>
      <c r="BT1517" s="15"/>
      <c r="BU1517" s="15"/>
      <c r="BV1517" s="15"/>
      <c r="BW1517" s="15"/>
      <c r="BX1517" s="15"/>
      <c r="BY1517" s="15"/>
      <c r="BZ1517" s="15"/>
      <c r="CA1517" s="15"/>
      <c r="CB1517" s="17"/>
      <c r="CC1517" s="17"/>
      <c r="CD1517" s="18"/>
      <c r="CE1517" s="18"/>
      <c r="CF1517" s="18"/>
      <c r="CG1517" s="18"/>
      <c r="CH1517" s="18"/>
    </row>
    <row r="1518">
      <c r="A1518" s="15"/>
      <c r="B1518" s="16"/>
      <c r="C1518" s="15"/>
      <c r="D1518" s="9"/>
      <c r="E1518" s="15"/>
      <c r="F1518" s="15"/>
      <c r="G1518" s="13"/>
      <c r="H1518" s="13"/>
      <c r="I1518" s="13"/>
      <c r="J1518" s="13"/>
      <c r="K1518" s="13"/>
      <c r="L1518" s="13"/>
      <c r="M1518" s="13"/>
      <c r="N1518" s="13"/>
      <c r="O1518" s="13"/>
      <c r="P1518" s="13"/>
      <c r="Q1518" s="13"/>
      <c r="R1518" s="13"/>
      <c r="S1518" s="13"/>
      <c r="T1518" s="13"/>
      <c r="U1518" s="13"/>
      <c r="V1518" s="13"/>
      <c r="W1518" s="13"/>
      <c r="X1518" s="13"/>
      <c r="Y1518" s="13"/>
      <c r="Z1518" s="13"/>
      <c r="AA1518" s="13"/>
      <c r="AB1518" s="15"/>
      <c r="AC1518" s="15"/>
      <c r="AD1518" s="15"/>
      <c r="AE1518" s="13"/>
      <c r="AF1518" s="13"/>
      <c r="AG1518" s="13"/>
      <c r="AH1518" s="15"/>
      <c r="AI1518" s="13"/>
      <c r="AJ1518" s="13"/>
      <c r="AK1518" s="13"/>
      <c r="AL1518" s="13"/>
      <c r="AM1518" s="15"/>
      <c r="AN1518" s="13"/>
      <c r="AO1518" s="15"/>
      <c r="AP1518" s="15"/>
      <c r="AQ1518" s="13"/>
      <c r="AR1518" s="13"/>
      <c r="AS1518" s="13"/>
      <c r="AT1518" s="13"/>
      <c r="AU1518" s="13"/>
      <c r="AV1518" s="13"/>
      <c r="AW1518" s="13"/>
      <c r="AX1518" s="13"/>
      <c r="AY1518" s="15"/>
      <c r="AZ1518" s="15"/>
      <c r="BA1518" s="16"/>
      <c r="BB1518" s="15"/>
      <c r="BC1518" s="15"/>
      <c r="BD1518" s="13"/>
      <c r="BE1518" s="13"/>
      <c r="BF1518" s="13"/>
      <c r="BG1518" s="13"/>
      <c r="BH1518" s="13"/>
      <c r="BI1518" s="13"/>
      <c r="BJ1518" s="13"/>
      <c r="BK1518" s="13"/>
      <c r="BL1518" s="13"/>
      <c r="BM1518" s="13"/>
      <c r="BN1518" s="13"/>
      <c r="BO1518" s="13"/>
      <c r="BP1518" s="13"/>
      <c r="BQ1518" s="15"/>
      <c r="BR1518" s="15"/>
      <c r="BS1518" s="15"/>
      <c r="BT1518" s="15"/>
      <c r="BU1518" s="15"/>
      <c r="BV1518" s="15"/>
      <c r="BW1518" s="15"/>
      <c r="BX1518" s="15"/>
      <c r="BY1518" s="15"/>
      <c r="BZ1518" s="15"/>
      <c r="CA1518" s="15"/>
      <c r="CB1518" s="17"/>
      <c r="CC1518" s="17"/>
      <c r="CD1518" s="18"/>
      <c r="CE1518" s="18"/>
      <c r="CF1518" s="18"/>
      <c r="CG1518" s="18"/>
      <c r="CH1518" s="18"/>
    </row>
    <row r="1519">
      <c r="A1519" s="15"/>
      <c r="B1519" s="16"/>
      <c r="C1519" s="15"/>
      <c r="D1519" s="9"/>
      <c r="E1519" s="15"/>
      <c r="F1519" s="15"/>
      <c r="G1519" s="13"/>
      <c r="H1519" s="13"/>
      <c r="I1519" s="13"/>
      <c r="J1519" s="13"/>
      <c r="K1519" s="13"/>
      <c r="L1519" s="13"/>
      <c r="M1519" s="13"/>
      <c r="N1519" s="13"/>
      <c r="O1519" s="13"/>
      <c r="P1519" s="13"/>
      <c r="Q1519" s="13"/>
      <c r="R1519" s="13"/>
      <c r="S1519" s="13"/>
      <c r="T1519" s="13"/>
      <c r="U1519" s="13"/>
      <c r="V1519" s="13"/>
      <c r="W1519" s="13"/>
      <c r="X1519" s="13"/>
      <c r="Y1519" s="13"/>
      <c r="Z1519" s="13"/>
      <c r="AA1519" s="13"/>
      <c r="AB1519" s="15"/>
      <c r="AC1519" s="15"/>
      <c r="AD1519" s="15"/>
      <c r="AE1519" s="13"/>
      <c r="AF1519" s="13"/>
      <c r="AG1519" s="13"/>
      <c r="AH1519" s="15"/>
      <c r="AI1519" s="13"/>
      <c r="AJ1519" s="13"/>
      <c r="AK1519" s="13"/>
      <c r="AL1519" s="13"/>
      <c r="AM1519" s="15"/>
      <c r="AN1519" s="13"/>
      <c r="AO1519" s="15"/>
      <c r="AP1519" s="15"/>
      <c r="AQ1519" s="13"/>
      <c r="AR1519" s="13"/>
      <c r="AS1519" s="13"/>
      <c r="AT1519" s="13"/>
      <c r="AU1519" s="13"/>
      <c r="AV1519" s="13"/>
      <c r="AW1519" s="13"/>
      <c r="AX1519" s="13"/>
      <c r="AY1519" s="15"/>
      <c r="AZ1519" s="15"/>
      <c r="BA1519" s="16"/>
      <c r="BB1519" s="15"/>
      <c r="BC1519" s="15"/>
      <c r="BD1519" s="13"/>
      <c r="BE1519" s="13"/>
      <c r="BF1519" s="13"/>
      <c r="BG1519" s="13"/>
      <c r="BH1519" s="13"/>
      <c r="BI1519" s="13"/>
      <c r="BJ1519" s="13"/>
      <c r="BK1519" s="13"/>
      <c r="BL1519" s="13"/>
      <c r="BM1519" s="13"/>
      <c r="BN1519" s="13"/>
      <c r="BO1519" s="13"/>
      <c r="BP1519" s="13"/>
      <c r="BQ1519" s="15"/>
      <c r="BR1519" s="15"/>
      <c r="BS1519" s="15"/>
      <c r="BT1519" s="15"/>
      <c r="BU1519" s="15"/>
      <c r="BV1519" s="15"/>
      <c r="BW1519" s="15"/>
      <c r="BX1519" s="15"/>
      <c r="BY1519" s="15"/>
      <c r="BZ1519" s="15"/>
      <c r="CA1519" s="15"/>
      <c r="CB1519" s="17"/>
      <c r="CC1519" s="17"/>
      <c r="CD1519" s="18"/>
      <c r="CE1519" s="18"/>
      <c r="CF1519" s="18"/>
      <c r="CG1519" s="18"/>
      <c r="CH1519" s="18"/>
    </row>
    <row r="1520">
      <c r="A1520" s="15"/>
      <c r="B1520" s="16"/>
      <c r="C1520" s="15"/>
      <c r="D1520" s="9"/>
      <c r="E1520" s="15"/>
      <c r="F1520" s="15"/>
      <c r="G1520" s="13"/>
      <c r="H1520" s="13"/>
      <c r="I1520" s="13"/>
      <c r="J1520" s="13"/>
      <c r="K1520" s="13"/>
      <c r="L1520" s="13"/>
      <c r="M1520" s="13"/>
      <c r="N1520" s="13"/>
      <c r="O1520" s="13"/>
      <c r="P1520" s="13"/>
      <c r="Q1520" s="13"/>
      <c r="R1520" s="13"/>
      <c r="S1520" s="13"/>
      <c r="T1520" s="13"/>
      <c r="U1520" s="13"/>
      <c r="V1520" s="13"/>
      <c r="W1520" s="13"/>
      <c r="X1520" s="13"/>
      <c r="Y1520" s="13"/>
      <c r="Z1520" s="13"/>
      <c r="AA1520" s="13"/>
      <c r="AB1520" s="15"/>
      <c r="AC1520" s="15"/>
      <c r="AD1520" s="15"/>
      <c r="AE1520" s="13"/>
      <c r="AF1520" s="13"/>
      <c r="AG1520" s="13"/>
      <c r="AH1520" s="15"/>
      <c r="AI1520" s="13"/>
      <c r="AJ1520" s="13"/>
      <c r="AK1520" s="13"/>
      <c r="AL1520" s="13"/>
      <c r="AM1520" s="15"/>
      <c r="AN1520" s="13"/>
      <c r="AO1520" s="15"/>
      <c r="AP1520" s="15"/>
      <c r="AQ1520" s="13"/>
      <c r="AR1520" s="13"/>
      <c r="AS1520" s="13"/>
      <c r="AT1520" s="13"/>
      <c r="AU1520" s="13"/>
      <c r="AV1520" s="13"/>
      <c r="AW1520" s="13"/>
      <c r="AX1520" s="13"/>
      <c r="AY1520" s="15"/>
      <c r="AZ1520" s="15"/>
      <c r="BA1520" s="16"/>
      <c r="BB1520" s="15"/>
      <c r="BC1520" s="15"/>
      <c r="BD1520" s="13"/>
      <c r="BE1520" s="13"/>
      <c r="BF1520" s="13"/>
      <c r="BG1520" s="13"/>
      <c r="BH1520" s="13"/>
      <c r="BI1520" s="13"/>
      <c r="BJ1520" s="13"/>
      <c r="BK1520" s="13"/>
      <c r="BL1520" s="13"/>
      <c r="BM1520" s="13"/>
      <c r="BN1520" s="13"/>
      <c r="BO1520" s="13"/>
      <c r="BP1520" s="13"/>
      <c r="BQ1520" s="15"/>
      <c r="BR1520" s="15"/>
      <c r="BS1520" s="15"/>
      <c r="BT1520" s="15"/>
      <c r="BU1520" s="15"/>
      <c r="BV1520" s="15"/>
      <c r="BW1520" s="15"/>
      <c r="BX1520" s="15"/>
      <c r="BY1520" s="15"/>
      <c r="BZ1520" s="15"/>
      <c r="CA1520" s="15"/>
      <c r="CB1520" s="17"/>
      <c r="CC1520" s="17"/>
      <c r="CD1520" s="18"/>
      <c r="CE1520" s="18"/>
      <c r="CF1520" s="18"/>
      <c r="CG1520" s="18"/>
      <c r="CH1520" s="18"/>
    </row>
    <row r="1521">
      <c r="A1521" s="15"/>
      <c r="B1521" s="16"/>
      <c r="C1521" s="15"/>
      <c r="D1521" s="9"/>
      <c r="E1521" s="15"/>
      <c r="F1521" s="15"/>
      <c r="G1521" s="13"/>
      <c r="H1521" s="13"/>
      <c r="I1521" s="13"/>
      <c r="J1521" s="13"/>
      <c r="K1521" s="13"/>
      <c r="L1521" s="13"/>
      <c r="M1521" s="13"/>
      <c r="N1521" s="13"/>
      <c r="O1521" s="13"/>
      <c r="P1521" s="13"/>
      <c r="Q1521" s="13"/>
      <c r="R1521" s="13"/>
      <c r="S1521" s="13"/>
      <c r="T1521" s="13"/>
      <c r="U1521" s="13"/>
      <c r="V1521" s="13"/>
      <c r="W1521" s="13"/>
      <c r="X1521" s="13"/>
      <c r="Y1521" s="13"/>
      <c r="Z1521" s="13"/>
      <c r="AA1521" s="13"/>
      <c r="AB1521" s="15"/>
      <c r="AC1521" s="15"/>
      <c r="AD1521" s="15"/>
      <c r="AE1521" s="13"/>
      <c r="AF1521" s="13"/>
      <c r="AG1521" s="13"/>
      <c r="AH1521" s="15"/>
      <c r="AI1521" s="13"/>
      <c r="AJ1521" s="13"/>
      <c r="AK1521" s="13"/>
      <c r="AL1521" s="13"/>
      <c r="AM1521" s="15"/>
      <c r="AN1521" s="13"/>
      <c r="AO1521" s="15"/>
      <c r="AP1521" s="15"/>
      <c r="AQ1521" s="13"/>
      <c r="AR1521" s="13"/>
      <c r="AS1521" s="13"/>
      <c r="AT1521" s="13"/>
      <c r="AU1521" s="13"/>
      <c r="AV1521" s="13"/>
      <c r="AW1521" s="13"/>
      <c r="AX1521" s="13"/>
      <c r="AY1521" s="15"/>
      <c r="AZ1521" s="15"/>
      <c r="BA1521" s="16"/>
      <c r="BB1521" s="15"/>
      <c r="BC1521" s="15"/>
      <c r="BD1521" s="13"/>
      <c r="BE1521" s="13"/>
      <c r="BF1521" s="13"/>
      <c r="BG1521" s="13"/>
      <c r="BH1521" s="13"/>
      <c r="BI1521" s="13"/>
      <c r="BJ1521" s="13"/>
      <c r="BK1521" s="13"/>
      <c r="BL1521" s="13"/>
      <c r="BM1521" s="13"/>
      <c r="BN1521" s="13"/>
      <c r="BO1521" s="13"/>
      <c r="BP1521" s="13"/>
      <c r="BQ1521" s="15"/>
      <c r="BR1521" s="15"/>
      <c r="BS1521" s="15"/>
      <c r="BT1521" s="15"/>
      <c r="BU1521" s="15"/>
      <c r="BV1521" s="15"/>
      <c r="BW1521" s="15"/>
      <c r="BX1521" s="15"/>
      <c r="BY1521" s="15"/>
      <c r="BZ1521" s="15"/>
      <c r="CA1521" s="15"/>
      <c r="CB1521" s="17"/>
      <c r="CC1521" s="17"/>
      <c r="CD1521" s="18"/>
      <c r="CE1521" s="18"/>
      <c r="CF1521" s="18"/>
      <c r="CG1521" s="18"/>
      <c r="CH1521" s="18"/>
    </row>
    <row r="1522">
      <c r="A1522" s="15"/>
      <c r="B1522" s="16"/>
      <c r="C1522" s="15"/>
      <c r="D1522" s="9"/>
      <c r="E1522" s="15"/>
      <c r="F1522" s="15"/>
      <c r="G1522" s="13"/>
      <c r="H1522" s="13"/>
      <c r="I1522" s="13"/>
      <c r="J1522" s="13"/>
      <c r="K1522" s="13"/>
      <c r="L1522" s="13"/>
      <c r="M1522" s="13"/>
      <c r="N1522" s="13"/>
      <c r="O1522" s="13"/>
      <c r="P1522" s="13"/>
      <c r="Q1522" s="13"/>
      <c r="R1522" s="13"/>
      <c r="S1522" s="13"/>
      <c r="T1522" s="13"/>
      <c r="U1522" s="13"/>
      <c r="V1522" s="13"/>
      <c r="W1522" s="13"/>
      <c r="X1522" s="13"/>
      <c r="Y1522" s="13"/>
      <c r="Z1522" s="13"/>
      <c r="AA1522" s="13"/>
      <c r="AB1522" s="15"/>
      <c r="AC1522" s="15"/>
      <c r="AD1522" s="15"/>
      <c r="AE1522" s="13"/>
      <c r="AF1522" s="13"/>
      <c r="AG1522" s="13"/>
      <c r="AH1522" s="15"/>
      <c r="AI1522" s="13"/>
      <c r="AJ1522" s="13"/>
      <c r="AK1522" s="13"/>
      <c r="AL1522" s="13"/>
      <c r="AM1522" s="15"/>
      <c r="AN1522" s="13"/>
      <c r="AO1522" s="15"/>
      <c r="AP1522" s="15"/>
      <c r="AQ1522" s="13"/>
      <c r="AR1522" s="13"/>
      <c r="AS1522" s="13"/>
      <c r="AT1522" s="13"/>
      <c r="AU1522" s="13"/>
      <c r="AV1522" s="13"/>
      <c r="AW1522" s="13"/>
      <c r="AX1522" s="13"/>
      <c r="AY1522" s="15"/>
      <c r="AZ1522" s="15"/>
      <c r="BA1522" s="16"/>
      <c r="BB1522" s="15"/>
      <c r="BC1522" s="15"/>
      <c r="BD1522" s="13"/>
      <c r="BE1522" s="13"/>
      <c r="BF1522" s="13"/>
      <c r="BG1522" s="13"/>
      <c r="BH1522" s="13"/>
      <c r="BI1522" s="13"/>
      <c r="BJ1522" s="13"/>
      <c r="BK1522" s="13"/>
      <c r="BL1522" s="13"/>
      <c r="BM1522" s="13"/>
      <c r="BN1522" s="13"/>
      <c r="BO1522" s="13"/>
      <c r="BP1522" s="13"/>
      <c r="BQ1522" s="15"/>
      <c r="BR1522" s="15"/>
      <c r="BS1522" s="15"/>
      <c r="BT1522" s="15"/>
      <c r="BU1522" s="15"/>
      <c r="BV1522" s="15"/>
      <c r="BW1522" s="15"/>
      <c r="BX1522" s="15"/>
      <c r="BY1522" s="15"/>
      <c r="BZ1522" s="15"/>
      <c r="CA1522" s="15"/>
      <c r="CB1522" s="17"/>
      <c r="CC1522" s="17"/>
      <c r="CD1522" s="18"/>
      <c r="CE1522" s="18"/>
      <c r="CF1522" s="18"/>
      <c r="CG1522" s="18"/>
      <c r="CH1522" s="18"/>
    </row>
    <row r="1523">
      <c r="A1523" s="15"/>
      <c r="B1523" s="16"/>
      <c r="C1523" s="15"/>
      <c r="D1523" s="9"/>
      <c r="E1523" s="15"/>
      <c r="F1523" s="15"/>
      <c r="G1523" s="13"/>
      <c r="H1523" s="13"/>
      <c r="I1523" s="13"/>
      <c r="J1523" s="13"/>
      <c r="K1523" s="13"/>
      <c r="L1523" s="13"/>
      <c r="M1523" s="13"/>
      <c r="N1523" s="13"/>
      <c r="O1523" s="13"/>
      <c r="P1523" s="13"/>
      <c r="Q1523" s="13"/>
      <c r="R1523" s="13"/>
      <c r="S1523" s="13"/>
      <c r="T1523" s="13"/>
      <c r="U1523" s="13"/>
      <c r="V1523" s="13"/>
      <c r="W1523" s="13"/>
      <c r="X1523" s="13"/>
      <c r="Y1523" s="13"/>
      <c r="Z1523" s="13"/>
      <c r="AA1523" s="13"/>
      <c r="AB1523" s="15"/>
      <c r="AC1523" s="15"/>
      <c r="AD1523" s="15"/>
      <c r="AE1523" s="13"/>
      <c r="AF1523" s="13"/>
      <c r="AG1523" s="13"/>
      <c r="AH1523" s="15"/>
      <c r="AI1523" s="13"/>
      <c r="AJ1523" s="13"/>
      <c r="AK1523" s="13"/>
      <c r="AL1523" s="13"/>
      <c r="AM1523" s="15"/>
      <c r="AN1523" s="13"/>
      <c r="AO1523" s="15"/>
      <c r="AP1523" s="15"/>
      <c r="AQ1523" s="13"/>
      <c r="AR1523" s="13"/>
      <c r="AS1523" s="13"/>
      <c r="AT1523" s="13"/>
      <c r="AU1523" s="13"/>
      <c r="AV1523" s="13"/>
      <c r="AW1523" s="13"/>
      <c r="AX1523" s="13"/>
      <c r="AY1523" s="15"/>
      <c r="AZ1523" s="15"/>
      <c r="BA1523" s="16"/>
      <c r="BB1523" s="15"/>
      <c r="BC1523" s="15"/>
      <c r="BD1523" s="13"/>
      <c r="BE1523" s="13"/>
      <c r="BF1523" s="13"/>
      <c r="BG1523" s="13"/>
      <c r="BH1523" s="13"/>
      <c r="BI1523" s="13"/>
      <c r="BJ1523" s="13"/>
      <c r="BK1523" s="13"/>
      <c r="BL1523" s="13"/>
      <c r="BM1523" s="13"/>
      <c r="BN1523" s="13"/>
      <c r="BO1523" s="13"/>
      <c r="BP1523" s="13"/>
      <c r="BQ1523" s="15"/>
      <c r="BR1523" s="15"/>
      <c r="BS1523" s="15"/>
      <c r="BT1523" s="15"/>
      <c r="BU1523" s="15"/>
      <c r="BV1523" s="15"/>
      <c r="BW1523" s="15"/>
      <c r="BX1523" s="15"/>
      <c r="BY1523" s="15"/>
      <c r="BZ1523" s="15"/>
      <c r="CA1523" s="15"/>
      <c r="CB1523" s="31"/>
      <c r="CC1523" s="17"/>
      <c r="CD1523" s="18"/>
      <c r="CE1523" s="18"/>
      <c r="CF1523" s="18"/>
      <c r="CG1523" s="18"/>
      <c r="CH1523" s="18"/>
    </row>
  </sheetData>
  <autoFilter ref="$A$1:$CH$1523"/>
  <customSheetViews>
    <customSheetView guid="{DFDF6260-F91E-493B-A038-971CF9EE3ABF}" filter="1" showAutoFilter="1">
      <autoFilter ref="$A$1:$CH$548"/>
      <extLst>
        <ext uri="GoogleSheetsCustomDataVersion1">
          <go:sheetsCustomData xmlns:go="http://customooxmlschemas.google.com/" filterViewId="1044061444"/>
        </ext>
      </extLst>
    </customSheetView>
    <customSheetView guid="{3367D11E-D6B6-42A0-85D7-EE8FE1DD7D41}" filter="1" showAutoFilter="1">
      <autoFilter ref="$E$1:$CG$76">
        <filterColumn colId="49">
          <filters>
            <filter val="Associação privada"/>
            <filter val="Consórcio de Sociedades"/>
            <filter val="Fundação privada"/>
            <filter val="Unidade/Órgão Público"/>
            <filter val="Sociedade Empresária Limitada"/>
            <filter val="Sociedade anônima aberta"/>
            <filter val="Cooperativa"/>
            <filter val="Sociedade Anônima Fechada"/>
            <filter val="s/i"/>
            <filter val="Empresa Pública"/>
          </filters>
        </filterColumn>
      </autoFilter>
      <extLst>
        <ext uri="GoogleSheetsCustomDataVersion1">
          <go:sheetsCustomData xmlns:go="http://customooxmlschemas.google.com/" filterViewId="1363422844"/>
        </ext>
      </extLst>
    </customSheetView>
    <customSheetView guid="{8BC9474C-83F0-43FD-8739-4C4133798F09}" filter="1" showAutoFilter="1">
      <autoFilter ref="$A$1:$CH$548">
        <filterColumn colId="71">
          <filters>
            <filter val="Sim"/>
          </filters>
        </filterColumn>
      </autoFilter>
      <extLst>
        <ext uri="GoogleSheetsCustomDataVersion1">
          <go:sheetsCustomData xmlns:go="http://customooxmlschemas.google.com/" filterViewId="1406102520"/>
        </ext>
      </extLst>
    </customSheetView>
    <customSheetView guid="{EB95883B-42D8-4BFF-855C-11D499935296}" filter="1" showAutoFilter="1">
      <autoFilter ref="$A$1:$CH$548"/>
      <extLst>
        <ext uri="GoogleSheetsCustomDataVersion1">
          <go:sheetsCustomData xmlns:go="http://customooxmlschemas.google.com/" filterViewId="151177242"/>
        </ext>
      </extLst>
    </customSheetView>
    <customSheetView guid="{606D9526-F0BB-42C5-BA71-DAD00CB6A54A}" filter="1" showAutoFilter="1">
      <autoFilter ref="$A$1:$CH$548">
        <filterColumn colId="14">
          <filters>
            <filter val="Sim"/>
          </filters>
        </filterColumn>
      </autoFilter>
      <extLst>
        <ext uri="GoogleSheetsCustomDataVersion1">
          <go:sheetsCustomData xmlns:go="http://customooxmlschemas.google.com/" filterViewId="1711487062"/>
        </ext>
      </extLst>
    </customSheetView>
    <customSheetView guid="{AA209943-3BEB-4739-8029-4848CD382CE0}" filter="1" showAutoFilter="1">
      <autoFilter ref="$A$1:$CH$548"/>
      <extLst>
        <ext uri="GoogleSheetsCustomDataVersion1">
          <go:sheetsCustomData xmlns:go="http://customooxmlschemas.google.com/" filterViewId="1712781220"/>
        </ext>
      </extLst>
    </customSheetView>
    <customSheetView guid="{183F7F4F-8C3A-4BBF-82C8-B8B0510D3018}" filter="1" showAutoFilter="1">
      <autoFilter ref="$A$1:$CG$298">
        <filterColumn colId="68">
          <filters>
            <filter val="Não"/>
          </filters>
        </filterColumn>
        <filterColumn colId="69">
          <filters>
            <filter val="Não"/>
          </filters>
        </filterColumn>
        <filterColumn colId="74">
          <filters>
            <filter val="Não"/>
          </filters>
        </filterColumn>
      </autoFilter>
      <extLst>
        <ext uri="GoogleSheetsCustomDataVersion1">
          <go:sheetsCustomData xmlns:go="http://customooxmlschemas.google.com/" filterViewId="1777226723"/>
        </ext>
      </extLst>
    </customSheetView>
    <customSheetView guid="{0054567D-5271-4953-BD93-25C0B4509CFA}" filter="1" showAutoFilter="1">
      <autoFilter ref="$A$1:$CG$298">
        <filterColumn colId="68">
          <filters>
            <filter val="Não"/>
          </filters>
        </filterColumn>
        <filterColumn colId="69">
          <filters>
            <filter val="Não"/>
          </filters>
        </filterColumn>
        <filterColumn colId="70">
          <filters>
            <filter val="Não"/>
          </filters>
        </filterColumn>
        <filterColumn colId="71">
          <filters>
            <filter val="Não"/>
          </filters>
        </filterColumn>
      </autoFilter>
      <extLst>
        <ext uri="GoogleSheetsCustomDataVersion1">
          <go:sheetsCustomData xmlns:go="http://customooxmlschemas.google.com/" filterViewId="2009853193"/>
        </ext>
      </extLst>
    </customSheetView>
    <customSheetView guid="{36C5713E-D1E9-4B2E-B864-6D5F04AA05F5}" filter="1" showAutoFilter="1">
      <autoFilter ref="$A$1:$CH$1523">
        <filterColumn colId="25">
          <filters blank="1"/>
        </filterColumn>
      </autoFilter>
      <extLst>
        <ext uri="GoogleSheetsCustomDataVersion1">
          <go:sheetsCustomData xmlns:go="http://customooxmlschemas.google.com/" filterViewId="255590432"/>
        </ext>
      </extLst>
    </customSheetView>
    <customSheetView guid="{5D705EFB-48DA-4FF1-83D5-C18327134C6B}" filter="1" showAutoFilter="1">
      <autoFilter ref="$A$1:$CH$548"/>
      <extLst>
        <ext uri="GoogleSheetsCustomDataVersion1">
          <go:sheetsCustomData xmlns:go="http://customooxmlschemas.google.com/" filterViewId="284459328"/>
        </ext>
      </extLst>
    </customSheetView>
    <customSheetView guid="{BF0B105D-4F3A-48FF-94FD-D4D00CCC57EF}" filter="1" showAutoFilter="1">
      <autoFilter ref="$A$1:$CH$548">
        <filterColumn colId="9">
          <filters>
            <filter val="Sim"/>
          </filters>
        </filterColumn>
      </autoFilter>
      <extLst>
        <ext uri="GoogleSheetsCustomDataVersion1">
          <go:sheetsCustomData xmlns:go="http://customooxmlschemas.google.com/" filterViewId="307357743"/>
        </ext>
      </extLst>
    </customSheetView>
    <customSheetView guid="{C6B3F11B-2522-4E94-9D39-1741B02ABB90}" filter="1" showAutoFilter="1">
      <autoFilter ref="$E$1:$CG$76"/>
      <extLst>
        <ext uri="GoogleSheetsCustomDataVersion1">
          <go:sheetsCustomData xmlns:go="http://customooxmlschemas.google.com/" filterViewId="46447856"/>
        </ext>
      </extLst>
    </customSheetView>
    <customSheetView guid="{949B0593-BF4C-4693-822C-D9E7979550CE}" filter="1" showAutoFilter="1">
      <autoFilter ref="$A$1:$CH$697"/>
      <extLst>
        <ext uri="GoogleSheetsCustomDataVersion1">
          <go:sheetsCustomData xmlns:go="http://customooxmlschemas.google.com/" filterViewId="572455780"/>
        </ext>
      </extLst>
    </customSheetView>
    <customSheetView guid="{07738AB0-1CB0-45BD-AE14-76864ECFBC79}" filter="1" showAutoFilter="1">
      <autoFilter ref="$A$1:$CH$548"/>
      <extLst>
        <ext uri="GoogleSheetsCustomDataVersion1">
          <go:sheetsCustomData xmlns:go="http://customooxmlschemas.google.com/" filterViewId="73993445"/>
        </ext>
      </extLst>
    </customSheetView>
    <customSheetView guid="{2B026BF7-FB94-4C2F-849D-23A9940D3325}" filter="1" showAutoFilter="1">
      <autoFilter ref="$A$1:$CH$1523">
        <filterColumn colId="72">
          <filters>
            <filter val="Sim"/>
          </filters>
        </filterColumn>
      </autoFilter>
      <extLst>
        <ext uri="GoogleSheetsCustomDataVersion1">
          <go:sheetsCustomData xmlns:go="http://customooxmlschemas.google.com/" filterViewId="780434509"/>
        </ext>
      </extLst>
    </customSheetView>
  </customSheetViews>
  <conditionalFormatting sqref="H1:H1523">
    <cfRule type="colorScale" priority="1">
      <colorScale>
        <cfvo type="min"/>
        <cfvo type="max"/>
        <color rgb="FFFFFFFF"/>
        <color rgb="FF57BB8A"/>
      </colorScale>
    </cfRule>
  </conditionalFormatting>
  <dataValidations>
    <dataValidation type="list" allowBlank="1" showErrorMessage="1" sqref="H2:H223 H225:H1523">
      <formula1>"Projeto,Programa,s/i,Campanha,Articulação multissetorial,NIS,Suporte Institucional"</formula1>
    </dataValidation>
    <dataValidation type="list" allowBlank="1" showErrorMessage="1" sqref="BQ2:CA1523">
      <formula1>"Não,Sim"</formula1>
    </dataValidation>
    <dataValidation type="list" allowBlank="1" showErrorMessage="1" sqref="BB409">
      <formula1>"Autarquia Estadual ou do Distrito Federal,Cooperativa,Sociedade anônima aberta,Associação privada,n/a,Fundação privada,Serviço Social Autônomo,Sociedade Empresária Limitada,Sociedade Anônima Fechada,Sociedade de Economia Mista,s/i,Unidade/Órgão Público,Em"&amp;"presa Pública,Estabelecimento, no Brasil, de Fundação ou Associação Estrangeiras,Organismos internacionais e outras instituições extraterritoriais,Fundo Público da Administração Direta Municipal,Organização Religiosa,Consórcio de Sociedades"</formula1>
    </dataValidation>
    <dataValidation type="list" allowBlank="1" showErrorMessage="1" sqref="AO2:AP1523 BL2:BP1523">
      <formula1>"Sim,Não,s/i,n/a"</formula1>
    </dataValidation>
    <dataValidation type="list" allowBlank="1" showErrorMessage="1" sqref="A2:A697">
      <formula1>"Mavi reviu,Peter reviu,Laura reviu,ok,ok - revisão erro,erro identificado"</formula1>
    </dataValidation>
    <dataValidation type="list" allowBlank="1" showErrorMessage="1" sqref="BC2:BJ362 BD363:BJ363 J2:M1523 O2:AD1523 AF2:AF1523 AQ2:AX1523 BC364:BJ1523">
      <formula1>"Sim,Não,s/i"</formula1>
    </dataValidation>
    <dataValidation type="list" allowBlank="1" showErrorMessage="1" sqref="BB2:BB362 BB363:BC363 BB364:BB408 BB410:BB902">
      <formula1>"Autarquia Estadual ou do Distrito Federal,Cooperativa,Sociedade anônima aberta,Associação privada,n/a,Fundação privada,Serviço Social Autônomo,Sociedade Empresária Limitada,Sociedade Anônima Fechada,Sociedade de Economia Mista,s/i,Unidade/Órgão Público,Em"&amp;"presa Pública,Estabelecimento, no Brasil, de Fundação ou Associação Estrangeiras,Organização Internacional,Fundo Público da Administração Direta Municipal,Organização Religiosa,Consórcio de Sociedades,Sociedade em Conta de Participação,Bancos múltiplos, c"&amp;"om carteira comercial"</formula1>
    </dataValidation>
    <dataValidation type="list" allowBlank="1" showErrorMessage="1" sqref="D2:D1523">
      <formula1>"Agronegócio,Comércio varejista,Alimentos e bebidas"</formula1>
    </dataValidation>
    <dataValidation type="list" allowBlank="1" showErrorMessage="1" sqref="N2:N1523">
      <formula1>"Sim,Não,Ambos,n/a"</formula1>
    </dataValidation>
    <dataValidation type="list" allowBlank="1" showErrorMessage="1" sqref="AI2:AL1523">
      <formula1>"Não,Sim,s/i"</formula1>
    </dataValidation>
    <dataValidation type="list" allowBlank="1" showErrorMessage="1" sqref="AZ2:AZ1523">
      <formula1>"Não,Sim,n/a"</formula1>
    </dataValidation>
    <dataValidation type="list" allowBlank="1" showErrorMessage="1" sqref="AN2:AN1523">
      <formula1>"Concluído,Em andamento,s/i,n/a"</formula1>
    </dataValidation>
    <dataValidation type="list" allowBlank="1" showErrorMessage="1" sqref="AH39">
      <formula1>"Opção 1,Opção 2"</formula1>
    </dataValidation>
    <dataValidation type="list" allowBlank="1" showErrorMessage="1" sqref="AE2:AE1523">
      <formula1>"Produção e/ou disseminação de conhecimento ,Produção de alimentos,Doação de alimentos,Conexão entre atores,Doação de recursos,Produção/disseminação/implementação de práticas sustentáveis,Empréstimos e subsídios"</formula1>
    </dataValidation>
    <dataValidation type="list" allowBlank="1" showErrorMessage="1" sqref="H224">
      <formula1>"Projeto,Programa,s/i,Campanha,Articulação multissetorial,NIS,Apoio Institucional"</formula1>
    </dataValidation>
  </dataValidations>
  <hyperlinks>
    <hyperlink r:id="rId2" ref="CB2"/>
    <hyperlink r:id="rId3" ref="CB3"/>
    <hyperlink r:id="rId4" ref="CC3"/>
    <hyperlink r:id="rId5" ref="CB4"/>
    <hyperlink r:id="rId6" ref="CC4"/>
    <hyperlink r:id="rId7" ref="CD4"/>
    <hyperlink r:id="rId8" ref="CE4"/>
    <hyperlink r:id="rId9" ref="CF4"/>
    <hyperlink r:id="rId10" ref="CB5"/>
    <hyperlink r:id="rId11" ref="CC5"/>
    <hyperlink r:id="rId12" ref="CB6"/>
    <hyperlink r:id="rId13" ref="CB7"/>
    <hyperlink r:id="rId14" ref="CC7"/>
    <hyperlink r:id="rId15" ref="CB8"/>
    <hyperlink r:id="rId16" ref="CB9"/>
    <hyperlink r:id="rId17" ref="CC9"/>
    <hyperlink r:id="rId18" ref="CD9"/>
    <hyperlink r:id="rId19" ref="CB10"/>
    <hyperlink r:id="rId20" ref="CC10"/>
    <hyperlink r:id="rId21" ref="CD10"/>
    <hyperlink r:id="rId22" ref="CE10"/>
    <hyperlink r:id="rId23" ref="CB11"/>
    <hyperlink r:id="rId24" ref="CB12"/>
    <hyperlink r:id="rId25" ref="CB13"/>
    <hyperlink r:id="rId26" ref="CC13"/>
    <hyperlink r:id="rId27" ref="CB14"/>
    <hyperlink r:id="rId28" ref="CD14"/>
    <hyperlink r:id="rId29" ref="CB15"/>
    <hyperlink r:id="rId30" ref="CC15"/>
    <hyperlink r:id="rId31" ref="CD15"/>
    <hyperlink r:id="rId32" ref="CE15"/>
    <hyperlink r:id="rId33" ref="CF15"/>
    <hyperlink r:id="rId34" ref="CB16"/>
    <hyperlink r:id="rId35" ref="CC16"/>
    <hyperlink r:id="rId36" ref="CB17"/>
    <hyperlink r:id="rId37" ref="CC17"/>
    <hyperlink r:id="rId38" ref="CD17"/>
    <hyperlink r:id="rId39" ref="CE17"/>
    <hyperlink r:id="rId40" ref="CF17"/>
    <hyperlink r:id="rId41" ref="CG17"/>
    <hyperlink r:id="rId42" ref="CH17"/>
    <hyperlink r:id="rId43" ref="CB18"/>
    <hyperlink r:id="rId44" ref="CB19"/>
    <hyperlink r:id="rId45" ref="CC19"/>
    <hyperlink r:id="rId46" ref="CB20"/>
    <hyperlink r:id="rId47" ref="CB21"/>
    <hyperlink r:id="rId48" ref="CC21"/>
    <hyperlink r:id="rId49" ref="CD21"/>
    <hyperlink r:id="rId50" ref="CE21"/>
    <hyperlink r:id="rId51" ref="CB22"/>
    <hyperlink r:id="rId52" ref="CC22"/>
    <hyperlink r:id="rId53" ref="CD22"/>
    <hyperlink r:id="rId54" ref="CE22"/>
    <hyperlink r:id="rId55" ref="CB23"/>
    <hyperlink r:id="rId56" ref="CB24"/>
    <hyperlink r:id="rId57" ref="CC24"/>
    <hyperlink r:id="rId58" ref="CD24"/>
    <hyperlink r:id="rId59" ref="CE24"/>
    <hyperlink r:id="rId60" ref="CB25"/>
    <hyperlink r:id="rId61" ref="CB26"/>
    <hyperlink r:id="rId62" ref="CB27"/>
    <hyperlink r:id="rId63" ref="CB28"/>
    <hyperlink r:id="rId64" ref="CB29"/>
    <hyperlink r:id="rId65" ref="CC29"/>
    <hyperlink r:id="rId66" ref="CB30"/>
    <hyperlink r:id="rId67" ref="CC30"/>
    <hyperlink r:id="rId68" ref="CB31"/>
    <hyperlink r:id="rId69" ref="CC31"/>
    <hyperlink r:id="rId70" ref="CD31"/>
    <hyperlink r:id="rId71" ref="CE31"/>
    <hyperlink r:id="rId72" ref="CF31"/>
    <hyperlink r:id="rId73" ref="CG31"/>
    <hyperlink r:id="rId74" ref="CB32"/>
    <hyperlink r:id="rId75" ref="CC32"/>
    <hyperlink r:id="rId76" ref="CD32"/>
    <hyperlink r:id="rId77" ref="CE32"/>
    <hyperlink r:id="rId78" ref="CF32"/>
    <hyperlink r:id="rId79" ref="CB33"/>
    <hyperlink r:id="rId80" ref="CC33"/>
    <hyperlink r:id="rId81" ref="CB34"/>
    <hyperlink r:id="rId82" ref="CC34"/>
    <hyperlink r:id="rId83" ref="CD34"/>
    <hyperlink r:id="rId84" ref="CE34"/>
    <hyperlink r:id="rId85" ref="CF34"/>
    <hyperlink r:id="rId86" ref="CG34"/>
    <hyperlink r:id="rId87" ref="CB35"/>
    <hyperlink r:id="rId88" ref="CB36"/>
    <hyperlink r:id="rId89" ref="CC36"/>
    <hyperlink r:id="rId90" ref="CD36"/>
    <hyperlink r:id="rId91" ref="CB37"/>
    <hyperlink r:id="rId92" ref="CC37"/>
    <hyperlink r:id="rId93" ref="CB38"/>
    <hyperlink r:id="rId94" ref="CC38"/>
    <hyperlink r:id="rId95" ref="CB39"/>
    <hyperlink r:id="rId96" ref="CC39"/>
    <hyperlink r:id="rId97" ref="CD39"/>
    <hyperlink r:id="rId98" ref="CE39"/>
    <hyperlink r:id="rId99" ref="CB40"/>
    <hyperlink r:id="rId100" ref="CB41"/>
    <hyperlink r:id="rId101" ref="CC41"/>
    <hyperlink r:id="rId102" ref="CD41"/>
    <hyperlink r:id="rId103" ref="CE41"/>
    <hyperlink r:id="rId104" ref="CB42"/>
    <hyperlink r:id="rId105" ref="CB43"/>
    <hyperlink r:id="rId106" ref="CC43"/>
    <hyperlink r:id="rId107" ref="CD43"/>
    <hyperlink r:id="rId108" ref="CE43"/>
    <hyperlink r:id="rId109" ref="CB44"/>
    <hyperlink r:id="rId110" ref="CB45"/>
    <hyperlink r:id="rId111" ref="CC45"/>
    <hyperlink r:id="rId112" ref="CD45"/>
    <hyperlink r:id="rId113" ref="CB46"/>
    <hyperlink r:id="rId114" ref="CC46"/>
    <hyperlink r:id="rId115" ref="CB47"/>
    <hyperlink r:id="rId116" ref="CB48"/>
    <hyperlink r:id="rId117" ref="CB49"/>
    <hyperlink r:id="rId118" ref="CC49"/>
    <hyperlink r:id="rId119" ref="CB50"/>
    <hyperlink r:id="rId120" ref="CC50"/>
    <hyperlink r:id="rId121" ref="CB51"/>
    <hyperlink r:id="rId122" ref="CB52"/>
    <hyperlink r:id="rId123" ref="CC52"/>
    <hyperlink r:id="rId124" ref="CB53"/>
    <hyperlink r:id="rId125" ref="CB54"/>
    <hyperlink r:id="rId126" ref="CC54"/>
    <hyperlink r:id="rId127" ref="CB55"/>
    <hyperlink r:id="rId128" ref="CC55"/>
    <hyperlink r:id="rId129" ref="CB56"/>
    <hyperlink r:id="rId130" ref="CC56"/>
    <hyperlink r:id="rId131" ref="CB57"/>
    <hyperlink r:id="rId132" ref="CB58"/>
    <hyperlink r:id="rId133" ref="CC58"/>
    <hyperlink r:id="rId134" ref="CD58"/>
    <hyperlink r:id="rId135" ref="CE58"/>
    <hyperlink r:id="rId136" ref="CB59"/>
    <hyperlink r:id="rId137" ref="G60"/>
    <hyperlink r:id="rId138" ref="CB60"/>
    <hyperlink r:id="rId139" ref="CB61"/>
    <hyperlink r:id="rId140" ref="CC61"/>
    <hyperlink r:id="rId141" ref="CB62"/>
    <hyperlink r:id="rId142" ref="CB63"/>
    <hyperlink r:id="rId143" ref="CB64"/>
    <hyperlink r:id="rId144" ref="CB65"/>
    <hyperlink r:id="rId145" ref="CB66"/>
    <hyperlink r:id="rId146" ref="CC66"/>
    <hyperlink r:id="rId147" ref="CB67"/>
    <hyperlink r:id="rId148" ref="CB68"/>
    <hyperlink r:id="rId149" ref="CB69"/>
    <hyperlink r:id="rId150" ref="CB70"/>
    <hyperlink r:id="rId151" ref="CB71"/>
    <hyperlink r:id="rId152" ref="CB72"/>
    <hyperlink r:id="rId153" ref="CB73"/>
    <hyperlink r:id="rId154" ref="CC73"/>
    <hyperlink r:id="rId155" ref="CD73"/>
    <hyperlink r:id="rId156" ref="CE73"/>
    <hyperlink r:id="rId157" ref="CB74"/>
    <hyperlink r:id="rId158" ref="CB75"/>
    <hyperlink r:id="rId159" ref="CC75"/>
    <hyperlink r:id="rId160" ref="CD75"/>
    <hyperlink r:id="rId161" ref="CE75"/>
    <hyperlink r:id="rId162" ref="CB76"/>
    <hyperlink r:id="rId163" ref="CB77"/>
    <hyperlink r:id="rId164" ref="CB78"/>
    <hyperlink r:id="rId165" ref="CB79"/>
    <hyperlink r:id="rId166" ref="CB80"/>
    <hyperlink r:id="rId167" ref="CB81"/>
    <hyperlink r:id="rId168" ref="CB82"/>
    <hyperlink r:id="rId169" ref="CC82"/>
    <hyperlink r:id="rId170" ref="CD82"/>
    <hyperlink r:id="rId171" ref="CB83"/>
    <hyperlink r:id="rId172" ref="CB84"/>
    <hyperlink r:id="rId173" ref="CB85"/>
    <hyperlink r:id="rId174" ref="CB86"/>
    <hyperlink r:id="rId175" ref="CC86"/>
    <hyperlink r:id="rId176" ref="CB87"/>
    <hyperlink r:id="rId177" ref="CB88"/>
    <hyperlink r:id="rId178" ref="CC88"/>
    <hyperlink r:id="rId179" ref="CD88"/>
    <hyperlink r:id="rId180" ref="CE88"/>
    <hyperlink r:id="rId181" ref="CB89"/>
    <hyperlink r:id="rId182" ref="CB90"/>
    <hyperlink r:id="rId183" ref="CB91"/>
    <hyperlink r:id="rId184" ref="CB92"/>
    <hyperlink r:id="rId185" ref="CC92"/>
    <hyperlink r:id="rId186" location=":~:text=Desde%202003%2C%20o%20Programa%20Mesa,Sopa%20e%20P%C3%A3o%2C%20no%20Paran%C3%A1." ref="CG92"/>
    <hyperlink r:id="rId187" ref="CB93"/>
    <hyperlink r:id="rId188" ref="CB94"/>
    <hyperlink r:id="rId189" ref="CC94"/>
    <hyperlink r:id="rId190" ref="CB95"/>
    <hyperlink r:id="rId191" ref="CC95"/>
    <hyperlink r:id="rId192" ref="CB96"/>
    <hyperlink r:id="rId193" ref="CC96"/>
    <hyperlink r:id="rId194" ref="CD96"/>
    <hyperlink r:id="rId195" ref="CB97"/>
    <hyperlink r:id="rId196" ref="CC97"/>
    <hyperlink r:id="rId197" ref="CD97"/>
    <hyperlink r:id="rId198" ref="CE97"/>
    <hyperlink r:id="rId199" ref="CB98"/>
    <hyperlink r:id="rId200" ref="CC98"/>
    <hyperlink r:id="rId201" ref="CB99"/>
    <hyperlink r:id="rId202" ref="CC99"/>
    <hyperlink r:id="rId203" ref="CB100"/>
    <hyperlink r:id="rId204" ref="CB101"/>
    <hyperlink r:id="rId205" ref="CB102"/>
    <hyperlink r:id="rId206" ref="CB103"/>
    <hyperlink r:id="rId207" ref="CB104"/>
    <hyperlink r:id="rId208" ref="CB105"/>
    <hyperlink r:id="rId209" ref="CB106"/>
    <hyperlink r:id="rId210" ref="CB107"/>
    <hyperlink r:id="rId211" ref="CB108"/>
    <hyperlink r:id="rId212" location="page=20" ref="CB109"/>
    <hyperlink r:id="rId213" location="page=20" ref="CB110"/>
    <hyperlink r:id="rId214" location="page=20" ref="CB111"/>
    <hyperlink r:id="rId215" location="page=20" ref="CB112"/>
    <hyperlink r:id="rId216" location="page=20" ref="CB113"/>
    <hyperlink r:id="rId217" ref="CB114"/>
    <hyperlink r:id="rId218" ref="CB115"/>
    <hyperlink r:id="rId219" location="page=20" ref="CB116"/>
    <hyperlink r:id="rId220" ref="CB117"/>
    <hyperlink r:id="rId221" ref="CB118"/>
    <hyperlink r:id="rId222" ref="CB119"/>
    <hyperlink r:id="rId223" ref="CB120"/>
    <hyperlink r:id="rId224" ref="CB121"/>
    <hyperlink r:id="rId225" ref="CB122"/>
    <hyperlink r:id="rId226" ref="CB123"/>
    <hyperlink r:id="rId227" ref="CB124"/>
    <hyperlink r:id="rId228" ref="CB125"/>
    <hyperlink r:id="rId229" ref="CB126"/>
    <hyperlink r:id="rId230" ref="CC126"/>
    <hyperlink r:id="rId231" ref="CD126"/>
    <hyperlink r:id="rId232" ref="CB127"/>
    <hyperlink r:id="rId233" ref="CB128"/>
    <hyperlink r:id="rId234" ref="CC128"/>
    <hyperlink r:id="rId235" ref="CD128"/>
    <hyperlink r:id="rId236" ref="CE128"/>
    <hyperlink r:id="rId237" ref="CB129"/>
    <hyperlink r:id="rId238" ref="CC129"/>
    <hyperlink r:id="rId239" ref="CD129"/>
    <hyperlink r:id="rId240" ref="CE129"/>
    <hyperlink r:id="rId241" ref="CB130"/>
    <hyperlink r:id="rId242" ref="CC130"/>
    <hyperlink r:id="rId243" ref="CD130"/>
    <hyperlink r:id="rId244" ref="CE130"/>
    <hyperlink r:id="rId245" ref="CB131"/>
    <hyperlink r:id="rId246" ref="CC131"/>
    <hyperlink r:id="rId247" ref="CD131"/>
    <hyperlink r:id="rId248" ref="CE131"/>
    <hyperlink r:id="rId249" ref="CB132"/>
    <hyperlink r:id="rId250" ref="CC132"/>
    <hyperlink r:id="rId251" ref="CB133"/>
    <hyperlink r:id="rId252" ref="CC133"/>
    <hyperlink r:id="rId253" ref="CD133"/>
    <hyperlink r:id="rId254" ref="CE133"/>
    <hyperlink r:id="rId255" ref="CB134"/>
    <hyperlink r:id="rId256" ref="CC134"/>
    <hyperlink r:id="rId257" ref="CD134"/>
    <hyperlink r:id="rId258" ref="CE134"/>
    <hyperlink r:id="rId259" ref="CB135"/>
    <hyperlink r:id="rId260" ref="CC135"/>
    <hyperlink r:id="rId261" ref="CD135"/>
    <hyperlink r:id="rId262" ref="CE135"/>
    <hyperlink r:id="rId263" ref="CB136"/>
    <hyperlink r:id="rId264" ref="CC136"/>
    <hyperlink r:id="rId265" ref="CD136"/>
    <hyperlink r:id="rId266" ref="CE136"/>
    <hyperlink r:id="rId267" ref="CB137"/>
    <hyperlink r:id="rId268" ref="CC137"/>
    <hyperlink r:id="rId269" ref="CB138"/>
    <hyperlink r:id="rId270" ref="CB139"/>
    <hyperlink r:id="rId271" location="flipbook-df_321/1/" ref="CB140"/>
    <hyperlink r:id="rId272" location="flipbook-df_319/1/" ref="CC140"/>
    <hyperlink r:id="rId273" location="flipbook-df_307/1/" ref="CD140"/>
    <hyperlink r:id="rId274" ref="CB141"/>
    <hyperlink r:id="rId275" ref="CC141"/>
    <hyperlink r:id="rId276" ref="CD141"/>
    <hyperlink r:id="rId277" ref="CB142"/>
    <hyperlink r:id="rId278" ref="CC142"/>
    <hyperlink r:id="rId279" ref="CB143"/>
    <hyperlink r:id="rId280" ref="CB144"/>
    <hyperlink r:id="rId281" ref="CB145"/>
    <hyperlink r:id="rId282" ref="CB146"/>
    <hyperlink r:id="rId283" ref="CB147"/>
    <hyperlink r:id="rId284" ref="CB148"/>
    <hyperlink r:id="rId285" ref="CC148"/>
    <hyperlink r:id="rId286" ref="CB149"/>
    <hyperlink r:id="rId287" ref="CB150"/>
    <hyperlink r:id="rId288" ref="CB151"/>
    <hyperlink r:id="rId289" ref="CB152"/>
    <hyperlink r:id="rId290" ref="CB153"/>
    <hyperlink r:id="rId291" ref="CB154"/>
    <hyperlink r:id="rId292" ref="CB155"/>
    <hyperlink r:id="rId293" ref="CB156"/>
    <hyperlink r:id="rId294" ref="CC156"/>
    <hyperlink r:id="rId295" ref="CB157"/>
    <hyperlink r:id="rId296" ref="CB158"/>
    <hyperlink r:id="rId297" ref="CC158"/>
    <hyperlink r:id="rId298" ref="CD158"/>
    <hyperlink r:id="rId299" ref="CB159"/>
    <hyperlink r:id="rId300" ref="CB160"/>
    <hyperlink r:id="rId301" ref="CC160"/>
    <hyperlink r:id="rId302" ref="CB161"/>
    <hyperlink r:id="rId303" ref="CB162"/>
    <hyperlink r:id="rId304" ref="CB163"/>
    <hyperlink r:id="rId305" ref="CC163"/>
    <hyperlink r:id="rId306" ref="CB164"/>
    <hyperlink r:id="rId307" ref="CC164"/>
    <hyperlink r:id="rId308" ref="CB165"/>
    <hyperlink r:id="rId309" ref="CB166"/>
    <hyperlink r:id="rId310" ref="CC166"/>
    <hyperlink r:id="rId311" ref="CB167"/>
    <hyperlink r:id="rId312" ref="CB168"/>
    <hyperlink r:id="rId313" ref="CB169"/>
    <hyperlink r:id="rId314" ref="CB170"/>
    <hyperlink r:id="rId315" ref="CB171"/>
    <hyperlink r:id="rId316" ref="CB172"/>
    <hyperlink r:id="rId317" ref="CC172"/>
    <hyperlink r:id="rId318" ref="CD172"/>
    <hyperlink r:id="rId319" ref="CE172"/>
    <hyperlink r:id="rId320" ref="CB173"/>
    <hyperlink r:id="rId321" ref="CB174"/>
    <hyperlink r:id="rId322" ref="CB175"/>
    <hyperlink r:id="rId323" ref="CB176"/>
    <hyperlink r:id="rId324" ref="CB177"/>
    <hyperlink r:id="rId325" ref="CB178"/>
    <hyperlink r:id="rId326" ref="CB179"/>
    <hyperlink r:id="rId327" ref="CB180"/>
    <hyperlink r:id="rId328" ref="CB181"/>
    <hyperlink r:id="rId329" ref="CC181"/>
    <hyperlink r:id="rId330" ref="CB182"/>
    <hyperlink r:id="rId331" ref="CB183"/>
    <hyperlink r:id="rId332" ref="CC183"/>
    <hyperlink r:id="rId333" ref="CB184"/>
    <hyperlink r:id="rId334" ref="CB185"/>
    <hyperlink r:id="rId335" ref="CC185"/>
    <hyperlink r:id="rId336" ref="CB186"/>
    <hyperlink r:id="rId337" ref="CC186"/>
    <hyperlink r:id="rId338" ref="CD186"/>
    <hyperlink r:id="rId339" ref="CB187"/>
    <hyperlink r:id="rId340" ref="CC187"/>
    <hyperlink r:id="rId341" ref="CB188"/>
    <hyperlink r:id="rId342" ref="CC188"/>
    <hyperlink r:id="rId343" ref="CD188"/>
    <hyperlink r:id="rId344" ref="CE188"/>
    <hyperlink r:id="rId345" ref="CB189"/>
    <hyperlink r:id="rId346" ref="CB190"/>
    <hyperlink r:id="rId347" ref="CB191"/>
    <hyperlink r:id="rId348" ref="CC191"/>
    <hyperlink r:id="rId349" ref="CB192"/>
    <hyperlink r:id="rId350" ref="CB193"/>
    <hyperlink r:id="rId351" ref="CC193"/>
    <hyperlink r:id="rId352" ref="CD193"/>
    <hyperlink r:id="rId353" ref="CE193"/>
    <hyperlink r:id="rId354" ref="CB194"/>
    <hyperlink r:id="rId355" ref="CC194"/>
    <hyperlink r:id="rId356" ref="CB195"/>
    <hyperlink r:id="rId357" ref="CC195"/>
    <hyperlink r:id="rId358" ref="CD195"/>
    <hyperlink r:id="rId359" ref="CB196"/>
    <hyperlink r:id="rId360" ref="CC196"/>
    <hyperlink r:id="rId361" ref="CB197"/>
    <hyperlink r:id="rId362" ref="CB198"/>
    <hyperlink r:id="rId363" location=":~:text=Ap%C3%B3s%20seu%20lan%C3%A7amento%20durante%20a,Coopercitrus%20%E2%80%93%20Cooperativa%20de%20Produtores%20Rurais." ref="CC198"/>
    <hyperlink r:id="rId364" ref="CB199"/>
    <hyperlink r:id="rId365" ref="CB200"/>
    <hyperlink r:id="rId366" ref="CC200"/>
    <hyperlink r:id="rId367" location=":~:text=Em%202009%2C%20o%20Sistema%20OCEMG,ser%C3%A1%20em%2002%20de%20julho" ref="CD200"/>
    <hyperlink r:id="rId368" ref="CB201"/>
    <hyperlink r:id="rId369" ref="CC201"/>
    <hyperlink r:id="rId370" ref="CB202"/>
    <hyperlink r:id="rId371" ref="CB203"/>
    <hyperlink r:id="rId372" ref="CC203"/>
    <hyperlink r:id="rId373" ref="CB204"/>
    <hyperlink r:id="rId374" ref="CB205"/>
    <hyperlink r:id="rId375" ref="CB206"/>
    <hyperlink r:id="rId376" ref="CB207"/>
    <hyperlink r:id="rId377" ref="CB208"/>
    <hyperlink r:id="rId378" ref="CC208"/>
    <hyperlink r:id="rId379" ref="CB209"/>
    <hyperlink r:id="rId380" ref="CC209"/>
    <hyperlink r:id="rId381" ref="CB210"/>
    <hyperlink r:id="rId382" ref="CB211"/>
    <hyperlink r:id="rId383" ref="CC211"/>
    <hyperlink r:id="rId384" ref="CB212"/>
    <hyperlink r:id="rId385" ref="CB213"/>
    <hyperlink r:id="rId386" ref="CB214"/>
    <hyperlink r:id="rId387" ref="CB215"/>
    <hyperlink r:id="rId388" ref="CC215"/>
    <hyperlink r:id="rId389" ref="CD215"/>
    <hyperlink r:id="rId390" ref="CE215"/>
    <hyperlink r:id="rId391" ref="CB216"/>
    <hyperlink r:id="rId392" ref="CB217"/>
    <hyperlink r:id="rId393" ref="CB218"/>
    <hyperlink r:id="rId394" ref="CB219"/>
    <hyperlink r:id="rId395" ref="CC219"/>
    <hyperlink r:id="rId396" ref="CB220"/>
    <hyperlink r:id="rId397" ref="CB221"/>
    <hyperlink r:id="rId398" ref="CB222"/>
    <hyperlink r:id="rId399" ref="CC222"/>
    <hyperlink r:id="rId400" ref="CB223"/>
    <hyperlink r:id="rId401" ref="CC223"/>
    <hyperlink r:id="rId402" ref="CD223"/>
    <hyperlink r:id="rId403" ref="CE223"/>
    <hyperlink r:id="rId404" ref="CB224"/>
    <hyperlink r:id="rId405" ref="CC224"/>
    <hyperlink r:id="rId406" ref="CD224"/>
    <hyperlink r:id="rId407" ref="CE224"/>
    <hyperlink r:id="rId408" ref="CB225"/>
    <hyperlink r:id="rId409" ref="CC225"/>
    <hyperlink r:id="rId410" ref="CD225"/>
    <hyperlink r:id="rId411" ref="CE225"/>
    <hyperlink r:id="rId412" ref="CB226"/>
    <hyperlink r:id="rId413" ref="CC226"/>
    <hyperlink r:id="rId414" ref="CB227"/>
    <hyperlink r:id="rId415" ref="CB228"/>
    <hyperlink r:id="rId416" ref="CC228"/>
    <hyperlink r:id="rId417" ref="CB229"/>
    <hyperlink r:id="rId418" ref="CB230"/>
    <hyperlink r:id="rId419" ref="CB231"/>
    <hyperlink r:id="rId420" ref="CB232"/>
    <hyperlink r:id="rId421" ref="CB233"/>
    <hyperlink r:id="rId422" ref="CB234"/>
    <hyperlink r:id="rId423" ref="CB235"/>
    <hyperlink r:id="rId424" ref="CB236"/>
    <hyperlink r:id="rId425" ref="CB237"/>
    <hyperlink r:id="rId426" ref="CC237"/>
    <hyperlink r:id="rId427" location=":~:text=Em%202009%2C%20o%20Sistema%20OCEMG,ser%C3%A1%20em%2002%20de%20julho" ref="CD237"/>
    <hyperlink r:id="rId428" ref="CB238"/>
    <hyperlink r:id="rId429" ref="CB239"/>
    <hyperlink r:id="rId430" ref="CB240"/>
    <hyperlink r:id="rId431" ref="CB241"/>
    <hyperlink r:id="rId432" ref="CB242"/>
    <hyperlink r:id="rId433" ref="CB243"/>
    <hyperlink r:id="rId434" ref="CB244"/>
    <hyperlink r:id="rId435" ref="CB245"/>
    <hyperlink r:id="rId436" ref="CB246"/>
    <hyperlink r:id="rId437" ref="CC246"/>
    <hyperlink r:id="rId438" ref="CD246"/>
    <hyperlink r:id="rId439" ref="CB247"/>
    <hyperlink r:id="rId440" ref="CC247"/>
    <hyperlink r:id="rId441" ref="CD247"/>
    <hyperlink r:id="rId442" ref="CB248"/>
    <hyperlink r:id="rId443" ref="CC248"/>
    <hyperlink r:id="rId444" ref="CD248"/>
    <hyperlink r:id="rId445" ref="CB249"/>
    <hyperlink r:id="rId446" ref="CC249"/>
    <hyperlink r:id="rId447" ref="CB250"/>
    <hyperlink r:id="rId448" ref="CC250"/>
    <hyperlink r:id="rId449" ref="CB251"/>
    <hyperlink r:id="rId450" ref="CC251"/>
    <hyperlink r:id="rId451" ref="CD251"/>
    <hyperlink r:id="rId452" ref="CB252"/>
    <hyperlink r:id="rId453" location=":~:text=A%20DSM%20%C3%A9%20uma%20parceira,80%20pa%C3%ADses%20todos%20os%20anos." ref="CC252"/>
    <hyperlink r:id="rId454" ref="CB253"/>
    <hyperlink r:id="rId455" ref="CC253"/>
    <hyperlink r:id="rId456" ref="CD253"/>
    <hyperlink r:id="rId457" ref="CB254"/>
    <hyperlink r:id="rId458" ref="CC254"/>
    <hyperlink r:id="rId459" ref="CD254"/>
    <hyperlink r:id="rId460" ref="CB255"/>
    <hyperlink r:id="rId461" ref="CC255"/>
    <hyperlink r:id="rId462" ref="CD255"/>
    <hyperlink r:id="rId463" ref="CB256"/>
    <hyperlink r:id="rId464" ref="CB257"/>
    <hyperlink r:id="rId465" ref="CB258"/>
    <hyperlink r:id="rId466" ref="CC258"/>
    <hyperlink r:id="rId467" ref="CD258"/>
    <hyperlink r:id="rId468" ref="CB259"/>
    <hyperlink r:id="rId469" ref="CC259"/>
    <hyperlink r:id="rId470" ref="CD259"/>
    <hyperlink r:id="rId471" ref="CB260"/>
    <hyperlink r:id="rId472" ref="CB261"/>
    <hyperlink r:id="rId473" ref="CC261"/>
    <hyperlink r:id="rId474" ref="CB262"/>
    <hyperlink r:id="rId475" ref="CC262"/>
    <hyperlink r:id="rId476" ref="CB263"/>
    <hyperlink r:id="rId477" ref="CC263"/>
    <hyperlink r:id="rId478" ref="CB264"/>
    <hyperlink r:id="rId479" ref="CB265"/>
    <hyperlink r:id="rId480" ref="CB266"/>
    <hyperlink r:id="rId481" ref="CB267"/>
    <hyperlink r:id="rId482" ref="CB268"/>
    <hyperlink r:id="rId483" ref="CB269"/>
    <hyperlink r:id="rId484" ref="CB270"/>
    <hyperlink r:id="rId485" ref="CB271"/>
    <hyperlink r:id="rId486" ref="CB272"/>
    <hyperlink r:id="rId487" ref="CB273"/>
    <hyperlink r:id="rId488" ref="CB274"/>
    <hyperlink r:id="rId489" ref="CC274"/>
    <hyperlink r:id="rId490" ref="CB275"/>
    <hyperlink r:id="rId491" ref="CB276"/>
    <hyperlink r:id="rId492" ref="CB277"/>
    <hyperlink r:id="rId493" ref="CB278"/>
    <hyperlink r:id="rId494" ref="CC278"/>
    <hyperlink r:id="rId495" ref="CB279"/>
    <hyperlink r:id="rId496" ref="CB280"/>
    <hyperlink r:id="rId497" ref="CB281"/>
    <hyperlink r:id="rId498" ref="CB282"/>
    <hyperlink r:id="rId499" ref="CB283"/>
    <hyperlink r:id="rId500" ref="CB284"/>
    <hyperlink r:id="rId501" ref="CB285"/>
    <hyperlink r:id="rId502" ref="CC285"/>
    <hyperlink r:id="rId503" ref="CD285"/>
    <hyperlink r:id="rId504" ref="CE285"/>
    <hyperlink r:id="rId505" ref="CF285"/>
    <hyperlink r:id="rId506" ref="CG285"/>
    <hyperlink r:id="rId507" ref="CB286"/>
    <hyperlink r:id="rId508" ref="CC286"/>
    <hyperlink r:id="rId509" ref="CB287"/>
    <hyperlink r:id="rId510" ref="CB288"/>
    <hyperlink r:id="rId511" ref="CB289"/>
    <hyperlink r:id="rId512" ref="CB290"/>
    <hyperlink r:id="rId513" ref="CB291"/>
    <hyperlink r:id="rId514" ref="CB292"/>
    <hyperlink r:id="rId515" ref="CB293"/>
    <hyperlink r:id="rId516" ref="CB294"/>
    <hyperlink r:id="rId517" ref="CB295"/>
    <hyperlink r:id="rId518" ref="CC295"/>
    <hyperlink r:id="rId519" ref="CD295"/>
    <hyperlink r:id="rId520" ref="CE295"/>
    <hyperlink r:id="rId521" ref="CB296"/>
    <hyperlink r:id="rId522" ref="CB297"/>
    <hyperlink r:id="rId523" ref="CB298"/>
    <hyperlink r:id="rId524" ref="CB299"/>
    <hyperlink r:id="rId525" ref="CB300"/>
    <hyperlink r:id="rId526" ref="CB301"/>
    <hyperlink r:id="rId527" ref="CB302"/>
    <hyperlink r:id="rId528" ref="CD302"/>
    <hyperlink r:id="rId529" ref="CB303"/>
    <hyperlink r:id="rId530" ref="CC303"/>
    <hyperlink r:id="rId531" ref="CD303"/>
    <hyperlink r:id="rId532" ref="CE303"/>
    <hyperlink r:id="rId533" ref="CB304"/>
    <hyperlink r:id="rId534" ref="CB305"/>
    <hyperlink r:id="rId535" ref="CB306"/>
    <hyperlink r:id="rId536" ref="CB307"/>
    <hyperlink r:id="rId537" ref="CC307"/>
    <hyperlink r:id="rId538" ref="CB308"/>
    <hyperlink r:id="rId539" ref="CB309"/>
    <hyperlink r:id="rId540" ref="CB310"/>
    <hyperlink r:id="rId541" ref="CB311"/>
    <hyperlink r:id="rId542" ref="CB312"/>
    <hyperlink r:id="rId543" ref="CC312"/>
    <hyperlink r:id="rId544" ref="CD312"/>
    <hyperlink r:id="rId545" ref="CB313"/>
    <hyperlink r:id="rId546" ref="CC313"/>
    <hyperlink r:id="rId547" ref="CB314"/>
    <hyperlink r:id="rId548" ref="CC314"/>
    <hyperlink r:id="rId549" ref="CB315"/>
    <hyperlink r:id="rId550" ref="CB316"/>
    <hyperlink r:id="rId551" ref="CB317"/>
    <hyperlink r:id="rId552" ref="CB318"/>
    <hyperlink r:id="rId553" ref="CB319"/>
    <hyperlink r:id="rId554" ref="CB320"/>
    <hyperlink r:id="rId555" ref="CC320"/>
    <hyperlink r:id="rId556" ref="CB321"/>
    <hyperlink r:id="rId557" ref="CB322"/>
    <hyperlink r:id="rId558" ref="CB323"/>
    <hyperlink r:id="rId559" ref="CB324"/>
    <hyperlink r:id="rId560" ref="CC324"/>
    <hyperlink r:id="rId561" ref="CB325"/>
    <hyperlink r:id="rId562" ref="CC325"/>
    <hyperlink r:id="rId563" ref="CB326"/>
    <hyperlink r:id="rId564" ref="CB327"/>
    <hyperlink r:id="rId565" ref="CB328"/>
    <hyperlink r:id="rId566" ref="CB329"/>
    <hyperlink r:id="rId567" ref="CC329"/>
    <hyperlink r:id="rId568" ref="CB330"/>
    <hyperlink r:id="rId569" ref="CB331"/>
    <hyperlink r:id="rId570" ref="CC331"/>
    <hyperlink r:id="rId571" ref="CB332"/>
    <hyperlink r:id="rId572" ref="CB333"/>
    <hyperlink r:id="rId573" ref="CC333"/>
    <hyperlink r:id="rId574" ref="CB334"/>
    <hyperlink r:id="rId575" ref="CB335"/>
    <hyperlink r:id="rId576" ref="CB336"/>
    <hyperlink r:id="rId577" ref="CC336"/>
    <hyperlink r:id="rId578" ref="CB337"/>
    <hyperlink r:id="rId579" ref="CB338"/>
    <hyperlink r:id="rId580" ref="CC338"/>
    <hyperlink r:id="rId581" ref="CB339"/>
    <hyperlink r:id="rId582" ref="CB340"/>
    <hyperlink r:id="rId583" ref="CB341"/>
    <hyperlink r:id="rId584" ref="CC341"/>
    <hyperlink r:id="rId585" ref="CD341"/>
    <hyperlink r:id="rId586" ref="CB342"/>
    <hyperlink r:id="rId587" ref="CC342"/>
    <hyperlink r:id="rId588" ref="CD342"/>
    <hyperlink r:id="rId589" ref="CE342"/>
    <hyperlink r:id="rId590" ref="CB343"/>
    <hyperlink r:id="rId591" ref="CB344"/>
    <hyperlink r:id="rId592" ref="CC344"/>
    <hyperlink r:id="rId593" ref="CB345"/>
    <hyperlink r:id="rId594" ref="CB346"/>
    <hyperlink r:id="rId595" ref="CB347"/>
    <hyperlink r:id="rId596" ref="CB348"/>
    <hyperlink r:id="rId597" ref="CB349"/>
    <hyperlink r:id="rId598" ref="CB350"/>
    <hyperlink r:id="rId599" ref="CC350"/>
    <hyperlink r:id="rId600" ref="CB351"/>
    <hyperlink r:id="rId601" ref="CB352"/>
    <hyperlink r:id="rId602" ref="CC352"/>
    <hyperlink r:id="rId603" ref="CB353"/>
    <hyperlink r:id="rId604" ref="CB354"/>
    <hyperlink r:id="rId605" ref="CC354"/>
    <hyperlink r:id="rId606" ref="CD354"/>
    <hyperlink r:id="rId607" ref="CB355"/>
    <hyperlink r:id="rId608" ref="CB356"/>
    <hyperlink r:id="rId609" ref="CB357"/>
    <hyperlink r:id="rId610" ref="CC357"/>
    <hyperlink r:id="rId611" ref="CB358"/>
    <hyperlink r:id="rId612" ref="CB359"/>
    <hyperlink r:id="rId613" ref="CC359"/>
    <hyperlink r:id="rId614" ref="CB360"/>
    <hyperlink r:id="rId615" ref="CB361"/>
    <hyperlink r:id="rId616" ref="CB362"/>
    <hyperlink r:id="rId617" ref="CC362"/>
    <hyperlink r:id="rId618" ref="CD362"/>
    <hyperlink r:id="rId619" ref="CE362"/>
    <hyperlink r:id="rId620" ref="CB363"/>
    <hyperlink r:id="rId621" ref="CC363"/>
    <hyperlink r:id="rId622" ref="CD363"/>
    <hyperlink r:id="rId623" ref="CB364"/>
    <hyperlink r:id="rId624" ref="CB365"/>
    <hyperlink r:id="rId625" ref="CC365"/>
    <hyperlink r:id="rId626" ref="CB366"/>
    <hyperlink r:id="rId627" ref="CB367"/>
    <hyperlink r:id="rId628" ref="CB368"/>
    <hyperlink r:id="rId629" ref="CB369"/>
    <hyperlink r:id="rId630" ref="CC369"/>
    <hyperlink r:id="rId631" ref="CD369"/>
    <hyperlink r:id="rId632" ref="CB370"/>
    <hyperlink r:id="rId633" ref="CC370"/>
    <hyperlink r:id="rId634" ref="CB371"/>
    <hyperlink r:id="rId635" ref="CB372"/>
    <hyperlink r:id="rId636" ref="CC372"/>
    <hyperlink r:id="rId637" ref="CB373"/>
    <hyperlink r:id="rId638" ref="CB374"/>
    <hyperlink r:id="rId639" ref="CB375"/>
    <hyperlink r:id="rId640" ref="CC375"/>
    <hyperlink r:id="rId641" ref="CD375"/>
    <hyperlink r:id="rId642" ref="CE375"/>
    <hyperlink r:id="rId643" ref="CB376"/>
    <hyperlink r:id="rId644" ref="CC376"/>
    <hyperlink r:id="rId645" ref="CD376"/>
    <hyperlink r:id="rId646" ref="CE376"/>
    <hyperlink r:id="rId647" ref="CB377"/>
    <hyperlink r:id="rId648" ref="CC377"/>
    <hyperlink r:id="rId649" ref="CD377"/>
    <hyperlink r:id="rId650" ref="CE377"/>
    <hyperlink r:id="rId651" ref="CB378"/>
    <hyperlink r:id="rId652" ref="CC378"/>
    <hyperlink r:id="rId653" ref="CD378"/>
    <hyperlink r:id="rId654" ref="CE378"/>
    <hyperlink r:id="rId655" ref="CB379"/>
    <hyperlink r:id="rId656" ref="CB380"/>
    <hyperlink r:id="rId657" ref="CB381"/>
    <hyperlink r:id="rId658" ref="CB382"/>
    <hyperlink r:id="rId659" ref="CC382"/>
    <hyperlink r:id="rId660" ref="CD382"/>
    <hyperlink r:id="rId661" ref="CB383"/>
    <hyperlink r:id="rId662" ref="CB384"/>
    <hyperlink r:id="rId663" ref="CB385"/>
    <hyperlink r:id="rId664" ref="CB386"/>
    <hyperlink r:id="rId665" ref="CB387"/>
    <hyperlink r:id="rId666" ref="CB388"/>
    <hyperlink r:id="rId667" ref="CB389"/>
    <hyperlink r:id="rId668" ref="CB390"/>
    <hyperlink r:id="rId669" ref="CC390"/>
    <hyperlink r:id="rId670" ref="CD390"/>
    <hyperlink r:id="rId671" ref="CB391"/>
    <hyperlink r:id="rId672" ref="CC391"/>
    <hyperlink r:id="rId673" ref="CB392"/>
    <hyperlink r:id="rId674" ref="CC392"/>
    <hyperlink r:id="rId675" ref="CD392"/>
    <hyperlink r:id="rId676" ref="CB393"/>
    <hyperlink r:id="rId677" ref="CC393"/>
    <hyperlink r:id="rId678" ref="CD393"/>
    <hyperlink r:id="rId679" ref="CB394"/>
    <hyperlink r:id="rId680" ref="CB395"/>
    <hyperlink r:id="rId681" ref="CB396"/>
    <hyperlink r:id="rId682" ref="CB397"/>
    <hyperlink r:id="rId683" ref="CC397"/>
    <hyperlink r:id="rId684" ref="CD397"/>
    <hyperlink r:id="rId685" ref="CB398"/>
    <hyperlink r:id="rId686" ref="CC398"/>
    <hyperlink r:id="rId687" ref="CD398"/>
    <hyperlink r:id="rId688" ref="CE398"/>
    <hyperlink r:id="rId689" ref="CB399"/>
    <hyperlink r:id="rId690" ref="CC399"/>
    <hyperlink r:id="rId691" ref="CD399"/>
    <hyperlink r:id="rId692" ref="CB400"/>
    <hyperlink r:id="rId693" ref="CC400"/>
    <hyperlink r:id="rId694" ref="CD400"/>
    <hyperlink r:id="rId695" ref="CE400"/>
    <hyperlink r:id="rId696" ref="CB401"/>
    <hyperlink r:id="rId697" ref="CB402"/>
    <hyperlink r:id="rId698" ref="CB403"/>
    <hyperlink r:id="rId699" ref="CB404"/>
    <hyperlink r:id="rId700" ref="CB405"/>
    <hyperlink r:id="rId701" ref="CB406"/>
    <hyperlink r:id="rId702" ref="CC406"/>
    <hyperlink r:id="rId703" ref="CB407"/>
    <hyperlink r:id="rId704" ref="CB408"/>
    <hyperlink r:id="rId705" ref="CB409"/>
    <hyperlink r:id="rId706" ref="CB410"/>
    <hyperlink r:id="rId707" ref="CB411"/>
    <hyperlink r:id="rId708" ref="CB412"/>
    <hyperlink r:id="rId709" ref="CC412"/>
    <hyperlink r:id="rId710" ref="CB413"/>
    <hyperlink r:id="rId711" ref="CC413"/>
    <hyperlink r:id="rId712" ref="CB414"/>
    <hyperlink r:id="rId713" ref="CB415"/>
    <hyperlink r:id="rId714" ref="CB416"/>
    <hyperlink r:id="rId715" ref="CC416"/>
    <hyperlink r:id="rId716" ref="CD416"/>
    <hyperlink r:id="rId717" ref="CB417"/>
    <hyperlink r:id="rId718" ref="CB418"/>
    <hyperlink r:id="rId719" ref="CC418"/>
    <hyperlink r:id="rId720" ref="CB419"/>
    <hyperlink r:id="rId721" ref="CB420"/>
    <hyperlink r:id="rId722" ref="CC420"/>
    <hyperlink r:id="rId723" ref="CB421"/>
    <hyperlink r:id="rId724" ref="CC421"/>
    <hyperlink r:id="rId725" ref="CB422"/>
    <hyperlink r:id="rId726" ref="CC422"/>
    <hyperlink r:id="rId727" ref="CD422"/>
    <hyperlink r:id="rId728" ref="CE422"/>
    <hyperlink r:id="rId729" ref="CB423"/>
    <hyperlink r:id="rId730" ref="CB424"/>
    <hyperlink r:id="rId731" ref="CC424"/>
    <hyperlink r:id="rId732" ref="CD424"/>
    <hyperlink r:id="rId733" ref="CE424"/>
    <hyperlink r:id="rId734" ref="CF424"/>
    <hyperlink r:id="rId735" ref="CB425"/>
    <hyperlink r:id="rId736" ref="CC425"/>
    <hyperlink r:id="rId737" ref="CB426"/>
    <hyperlink r:id="rId738" ref="CC426"/>
    <hyperlink r:id="rId739" ref="CD426"/>
    <hyperlink r:id="rId740" ref="CE426"/>
    <hyperlink r:id="rId741" ref="CB427"/>
    <hyperlink r:id="rId742" ref="CC427"/>
    <hyperlink r:id="rId743" ref="CD427"/>
    <hyperlink r:id="rId744" ref="CE427"/>
    <hyperlink r:id="rId745" ref="CB428"/>
    <hyperlink r:id="rId746" ref="CB429"/>
    <hyperlink r:id="rId747" ref="CB430"/>
    <hyperlink r:id="rId748" ref="CB431"/>
    <hyperlink r:id="rId749" ref="CB432"/>
    <hyperlink r:id="rId750" ref="CC432"/>
    <hyperlink r:id="rId751" ref="CD432"/>
    <hyperlink r:id="rId752" ref="CB433"/>
    <hyperlink r:id="rId753" ref="CB434"/>
    <hyperlink r:id="rId754" ref="CB435"/>
    <hyperlink r:id="rId755" ref="CB436"/>
    <hyperlink r:id="rId756" ref="CC436"/>
    <hyperlink r:id="rId757" ref="CD436"/>
    <hyperlink r:id="rId758" ref="CB437"/>
    <hyperlink r:id="rId759" ref="CC437"/>
    <hyperlink r:id="rId760" ref="CD437"/>
    <hyperlink r:id="rId761" ref="CB438"/>
    <hyperlink r:id="rId762" ref="CC438"/>
    <hyperlink r:id="rId763" ref="CB439"/>
    <hyperlink r:id="rId764" ref="CB440"/>
    <hyperlink r:id="rId765" ref="CB441"/>
    <hyperlink r:id="rId766" ref="CC441"/>
    <hyperlink r:id="rId767" ref="CD441"/>
    <hyperlink r:id="rId768" ref="CB442"/>
    <hyperlink r:id="rId769" ref="CC442"/>
    <hyperlink r:id="rId770" ref="CB443"/>
    <hyperlink r:id="rId771" ref="CC443"/>
    <hyperlink r:id="rId772" ref="CB444"/>
    <hyperlink r:id="rId773" ref="CB445"/>
    <hyperlink r:id="rId774" ref="CC445"/>
    <hyperlink r:id="rId775" ref="CD445"/>
    <hyperlink r:id="rId776" ref="CB446"/>
    <hyperlink r:id="rId777" ref="CC446"/>
    <hyperlink r:id="rId778" ref="CB447"/>
    <hyperlink r:id="rId779" ref="CB448"/>
    <hyperlink r:id="rId780" ref="CC448"/>
    <hyperlink r:id="rId781" ref="CB449"/>
    <hyperlink r:id="rId782" ref="CC449"/>
    <hyperlink r:id="rId783" ref="CB450"/>
    <hyperlink r:id="rId784" ref="CB451"/>
    <hyperlink r:id="rId785" ref="CB452"/>
    <hyperlink r:id="rId786" ref="CB453"/>
    <hyperlink r:id="rId787" ref="CB454"/>
    <hyperlink r:id="rId788" ref="CB455"/>
    <hyperlink r:id="rId789" ref="CB456"/>
    <hyperlink r:id="rId790" ref="CC456"/>
    <hyperlink r:id="rId791" ref="CD456"/>
    <hyperlink r:id="rId792" ref="CB457"/>
    <hyperlink r:id="rId793" ref="CC457"/>
    <hyperlink r:id="rId794" ref="CD457"/>
    <hyperlink r:id="rId795" ref="CB458"/>
    <hyperlink r:id="rId796" ref="CB459"/>
    <hyperlink r:id="rId797" ref="CB460"/>
    <hyperlink r:id="rId798" ref="CB461"/>
    <hyperlink r:id="rId799" ref="CB462"/>
    <hyperlink r:id="rId800" ref="CC462"/>
    <hyperlink r:id="rId801" ref="CB463"/>
    <hyperlink r:id="rId802" ref="CC463"/>
    <hyperlink r:id="rId803" ref="CB464"/>
    <hyperlink r:id="rId804" ref="CC464"/>
    <hyperlink r:id="rId805" ref="CD464"/>
    <hyperlink r:id="rId806" ref="CB465"/>
    <hyperlink r:id="rId807" ref="CC465"/>
    <hyperlink r:id="rId808" ref="CD465"/>
    <hyperlink r:id="rId809" ref="CE465"/>
    <hyperlink r:id="rId810" ref="CB466"/>
    <hyperlink r:id="rId811" ref="CC466"/>
    <hyperlink r:id="rId812" ref="CD466"/>
    <hyperlink r:id="rId813" ref="CB467"/>
    <hyperlink r:id="rId814" location="SobreNOSSAHISTORIA%E2%80%8B" ref="CC467"/>
    <hyperlink r:id="rId815" ref="CD467"/>
    <hyperlink r:id="rId816" ref="CB468"/>
    <hyperlink r:id="rId817" ref="CC468"/>
    <hyperlink r:id="rId818" ref="CD468"/>
    <hyperlink r:id="rId819" ref="CE468"/>
    <hyperlink r:id="rId820" ref="CB469"/>
    <hyperlink r:id="rId821" ref="CC469"/>
    <hyperlink r:id="rId822" ref="CD469"/>
    <hyperlink r:id="rId823" ref="CE469"/>
    <hyperlink r:id="rId824" ref="CB470"/>
    <hyperlink r:id="rId825" ref="CC470"/>
    <hyperlink r:id="rId826" ref="CB471"/>
    <hyperlink r:id="rId827" ref="CB472"/>
    <hyperlink r:id="rId828" ref="CC472"/>
    <hyperlink r:id="rId829" ref="CD472"/>
    <hyperlink r:id="rId830" ref="CB473"/>
    <hyperlink r:id="rId831" ref="CC473"/>
    <hyperlink r:id="rId832" ref="CB474"/>
    <hyperlink r:id="rId833" ref="CB475"/>
    <hyperlink r:id="rId834" ref="CC475"/>
    <hyperlink r:id="rId835" ref="CB476"/>
    <hyperlink r:id="rId836" ref="CC476"/>
    <hyperlink r:id="rId837" ref="CB477"/>
    <hyperlink r:id="rId838" ref="CC477"/>
    <hyperlink r:id="rId839" ref="CB478"/>
    <hyperlink r:id="rId840" ref="CC478"/>
    <hyperlink r:id="rId841" ref="CD478"/>
    <hyperlink r:id="rId842" ref="CB479"/>
    <hyperlink r:id="rId843" ref="CB480"/>
    <hyperlink r:id="rId844" ref="CC480"/>
    <hyperlink r:id="rId845" ref="CB481"/>
    <hyperlink r:id="rId846" ref="CB482"/>
    <hyperlink r:id="rId847" ref="CB483"/>
    <hyperlink r:id="rId848" ref="CB484"/>
    <hyperlink r:id="rId849" ref="CB485"/>
    <hyperlink r:id="rId850" ref="CB486"/>
    <hyperlink r:id="rId851" ref="CB487"/>
    <hyperlink r:id="rId852" ref="CB488"/>
    <hyperlink r:id="rId853" ref="CC488"/>
    <hyperlink r:id="rId854" ref="CB489"/>
    <hyperlink r:id="rId855" ref="CB490"/>
    <hyperlink r:id="rId856" ref="CB491"/>
    <hyperlink r:id="rId857" ref="CC491"/>
    <hyperlink r:id="rId858" ref="CD491"/>
    <hyperlink r:id="rId859" ref="CE491"/>
    <hyperlink r:id="rId860" ref="CB492"/>
    <hyperlink r:id="rId861" ref="CC492"/>
    <hyperlink r:id="rId862" ref="CD492"/>
    <hyperlink r:id="rId863" ref="CE492"/>
    <hyperlink r:id="rId864" ref="CB493"/>
    <hyperlink r:id="rId865" ref="CC493"/>
    <hyperlink r:id="rId866" ref="CD493"/>
    <hyperlink r:id="rId867" ref="CB494"/>
    <hyperlink r:id="rId868" ref="CC494"/>
    <hyperlink r:id="rId869" ref="CD494"/>
    <hyperlink r:id="rId870" ref="CB495"/>
    <hyperlink r:id="rId871" ref="CC495"/>
    <hyperlink r:id="rId872" ref="CB496"/>
    <hyperlink r:id="rId873" ref="CC496"/>
    <hyperlink r:id="rId874" ref="CB497"/>
    <hyperlink r:id="rId875" ref="CB498"/>
    <hyperlink r:id="rId876" ref="CC498"/>
    <hyperlink r:id="rId877" ref="CD498"/>
    <hyperlink r:id="rId878" ref="CB499"/>
    <hyperlink r:id="rId879" ref="CC499"/>
    <hyperlink r:id="rId880" ref="CD499"/>
    <hyperlink r:id="rId881" ref="CB500"/>
    <hyperlink r:id="rId882" ref="CB501"/>
    <hyperlink r:id="rId883" ref="CB502"/>
    <hyperlink r:id="rId884" ref="CC502"/>
    <hyperlink r:id="rId885" ref="CB503"/>
    <hyperlink r:id="rId886" ref="CB504"/>
    <hyperlink r:id="rId887" ref="CC504"/>
    <hyperlink r:id="rId888" ref="CD504"/>
    <hyperlink r:id="rId889" ref="CB505"/>
    <hyperlink r:id="rId890" ref="CC505"/>
    <hyperlink r:id="rId891" ref="CB506"/>
    <hyperlink r:id="rId892" ref="CB507"/>
    <hyperlink r:id="rId893" ref="CC507"/>
    <hyperlink r:id="rId894" ref="CD507"/>
    <hyperlink r:id="rId895" ref="CE507"/>
    <hyperlink r:id="rId896" ref="CF507"/>
    <hyperlink r:id="rId897" ref="CB508"/>
    <hyperlink r:id="rId898" ref="CB509"/>
    <hyperlink r:id="rId899" ref="CB510"/>
    <hyperlink r:id="rId900" ref="CC510"/>
    <hyperlink r:id="rId901" ref="CB511"/>
    <hyperlink r:id="rId902" ref="CC511"/>
    <hyperlink r:id="rId903" ref="CB512"/>
    <hyperlink r:id="rId904" ref="CB513"/>
    <hyperlink r:id="rId905" ref="CC513"/>
    <hyperlink r:id="rId906" ref="CB514"/>
    <hyperlink r:id="rId907" ref="CC514"/>
    <hyperlink r:id="rId908" ref="CD514"/>
    <hyperlink r:id="rId909" ref="CE514"/>
    <hyperlink r:id="rId910" ref="CB515"/>
    <hyperlink r:id="rId911" ref="CB516"/>
    <hyperlink r:id="rId912" ref="CB517"/>
    <hyperlink r:id="rId913" ref="CB518"/>
    <hyperlink r:id="rId914" ref="CB519"/>
    <hyperlink r:id="rId915" ref="CB520"/>
    <hyperlink r:id="rId916" ref="CB521"/>
    <hyperlink r:id="rId917" ref="CC521"/>
    <hyperlink r:id="rId918" ref="CD521"/>
    <hyperlink r:id="rId919" ref="CE521"/>
    <hyperlink r:id="rId920" ref="CB522"/>
    <hyperlink r:id="rId921" ref="CC522"/>
    <hyperlink r:id="rId922" ref="CD522"/>
    <hyperlink r:id="rId923" ref="CE522"/>
    <hyperlink r:id="rId924" ref="CB523"/>
    <hyperlink r:id="rId925" ref="CC523"/>
    <hyperlink r:id="rId926" ref="CB524"/>
    <hyperlink r:id="rId927" ref="CB525"/>
    <hyperlink r:id="rId928" ref="CB526"/>
    <hyperlink r:id="rId929" ref="CC526"/>
    <hyperlink r:id="rId930" ref="CB527"/>
    <hyperlink r:id="rId931" ref="CC527"/>
    <hyperlink r:id="rId932" ref="CD527"/>
    <hyperlink r:id="rId933" ref="CE527"/>
    <hyperlink r:id="rId934" ref="CB528"/>
    <hyperlink r:id="rId935" ref="CB529"/>
    <hyperlink r:id="rId936" ref="CB530"/>
    <hyperlink r:id="rId937" ref="CB531"/>
    <hyperlink r:id="rId938" ref="CB532"/>
    <hyperlink r:id="rId939" ref="CB533"/>
    <hyperlink r:id="rId940" ref="CC533"/>
    <hyperlink r:id="rId941" ref="CD533"/>
    <hyperlink r:id="rId942" ref="CE533"/>
    <hyperlink r:id="rId943" ref="CB534"/>
    <hyperlink r:id="rId944" ref="CC534"/>
    <hyperlink r:id="rId945" ref="CD534"/>
    <hyperlink r:id="rId946" ref="CB535"/>
    <hyperlink r:id="rId947" ref="CC535"/>
    <hyperlink r:id="rId948" ref="CD535"/>
    <hyperlink r:id="rId949" ref="CB536"/>
    <hyperlink r:id="rId950" ref="CC536"/>
    <hyperlink r:id="rId951" ref="CB537"/>
    <hyperlink r:id="rId952" ref="CC537"/>
    <hyperlink r:id="rId953" ref="CD537"/>
    <hyperlink r:id="rId954" ref="CE537"/>
    <hyperlink r:id="rId955" ref="CB538"/>
    <hyperlink r:id="rId956" ref="CB539"/>
    <hyperlink r:id="rId957" ref="CB540"/>
    <hyperlink r:id="rId958" ref="CB541"/>
    <hyperlink r:id="rId959" ref="CB542"/>
    <hyperlink r:id="rId960" ref="CB543"/>
    <hyperlink r:id="rId961" ref="CB544"/>
    <hyperlink r:id="rId962" ref="CC544"/>
    <hyperlink r:id="rId963" ref="CB545"/>
    <hyperlink r:id="rId964" ref="CB546"/>
    <hyperlink r:id="rId965" ref="CB547"/>
    <hyperlink r:id="rId966" ref="CB548"/>
    <hyperlink r:id="rId967" ref="CB549"/>
    <hyperlink r:id="rId968" ref="CB550"/>
    <hyperlink r:id="rId969" ref="CC550"/>
    <hyperlink r:id="rId970" ref="CB551"/>
    <hyperlink r:id="rId971" ref="CC551"/>
    <hyperlink r:id="rId972" ref="CB552"/>
    <hyperlink r:id="rId973" ref="CB553"/>
    <hyperlink r:id="rId974" ref="CB554"/>
    <hyperlink r:id="rId975" ref="CC554"/>
    <hyperlink r:id="rId976" ref="CB555"/>
    <hyperlink r:id="rId977" ref="CB556"/>
    <hyperlink r:id="rId978" ref="CC556"/>
    <hyperlink r:id="rId979" ref="CB557"/>
    <hyperlink r:id="rId980" ref="CB558"/>
    <hyperlink r:id="rId981" ref="CB559"/>
    <hyperlink r:id="rId982" ref="CB560"/>
    <hyperlink r:id="rId983" ref="CB561"/>
    <hyperlink r:id="rId984" ref="CB562"/>
    <hyperlink r:id="rId985" ref="CC562"/>
    <hyperlink r:id="rId986" ref="CD562"/>
    <hyperlink r:id="rId987" ref="CE562"/>
    <hyperlink r:id="rId988" ref="CB563"/>
    <hyperlink r:id="rId989" ref="CB564"/>
    <hyperlink r:id="rId990" ref="CC564"/>
    <hyperlink r:id="rId991" ref="CB565"/>
    <hyperlink r:id="rId992" ref="CB566"/>
    <hyperlink r:id="rId993" ref="CB567"/>
    <hyperlink r:id="rId994" ref="CC567"/>
    <hyperlink r:id="rId995" ref="CB568"/>
    <hyperlink r:id="rId996" ref="CC568"/>
    <hyperlink r:id="rId997" ref="CB569"/>
    <hyperlink r:id="rId998" ref="CB570"/>
    <hyperlink r:id="rId999" ref="CB571"/>
    <hyperlink r:id="rId1000" ref="CC571"/>
    <hyperlink r:id="rId1001" ref="CB572"/>
    <hyperlink r:id="rId1002" ref="CC572"/>
    <hyperlink r:id="rId1003" ref="CB573"/>
    <hyperlink r:id="rId1004" ref="CB574"/>
    <hyperlink r:id="rId1005" ref="CB575"/>
    <hyperlink r:id="rId1006" ref="CC575"/>
    <hyperlink r:id="rId1007" ref="CD575"/>
    <hyperlink r:id="rId1008" ref="CB576"/>
    <hyperlink r:id="rId1009" ref="CB577"/>
    <hyperlink r:id="rId1010" ref="CB578"/>
    <hyperlink r:id="rId1011" ref="CB579"/>
    <hyperlink r:id="rId1012" ref="CB580"/>
    <hyperlink r:id="rId1013" ref="CB581"/>
    <hyperlink r:id="rId1014" ref="CC581"/>
    <hyperlink r:id="rId1015" ref="CB582"/>
    <hyperlink r:id="rId1016" ref="CC582"/>
    <hyperlink r:id="rId1017" ref="CB583"/>
    <hyperlink r:id="rId1018" ref="CC583"/>
    <hyperlink r:id="rId1019" ref="CD583"/>
    <hyperlink r:id="rId1020" ref="CE583"/>
    <hyperlink r:id="rId1021" ref="CB584"/>
    <hyperlink r:id="rId1022" ref="CC584"/>
    <hyperlink r:id="rId1023" ref="CB585"/>
    <hyperlink r:id="rId1024" ref="CC585"/>
    <hyperlink r:id="rId1025" ref="CB586"/>
    <hyperlink r:id="rId1026" ref="CC586"/>
    <hyperlink r:id="rId1027" ref="CB587"/>
    <hyperlink r:id="rId1028" ref="CC587"/>
    <hyperlink r:id="rId1029" ref="CD587"/>
    <hyperlink r:id="rId1030" ref="CE587"/>
    <hyperlink r:id="rId1031" ref="CB588"/>
    <hyperlink r:id="rId1032" ref="CC588"/>
    <hyperlink r:id="rId1033" ref="CD588"/>
    <hyperlink r:id="rId1034" ref="CE588"/>
    <hyperlink r:id="rId1035" ref="CB589"/>
    <hyperlink r:id="rId1036" ref="CC589"/>
    <hyperlink r:id="rId1037" ref="CB590"/>
    <hyperlink r:id="rId1038" ref="CB591"/>
    <hyperlink r:id="rId1039" ref="CB592"/>
    <hyperlink r:id="rId1040" ref="CC592"/>
    <hyperlink r:id="rId1041" ref="CD592"/>
    <hyperlink r:id="rId1042" ref="CE592"/>
    <hyperlink r:id="rId1043" ref="CB593"/>
    <hyperlink r:id="rId1044" ref="CB594"/>
    <hyperlink r:id="rId1045" ref="CC594"/>
    <hyperlink r:id="rId1046" ref="CD594"/>
    <hyperlink r:id="rId1047" ref="CE594"/>
    <hyperlink r:id="rId1048" ref="CB595"/>
    <hyperlink r:id="rId1049" ref="CC595"/>
    <hyperlink r:id="rId1050" ref="CB596"/>
    <hyperlink r:id="rId1051" ref="CC596"/>
    <hyperlink r:id="rId1052" ref="CD596"/>
    <hyperlink r:id="rId1053" ref="CB597"/>
    <hyperlink r:id="rId1054" ref="CC597"/>
    <hyperlink r:id="rId1055" ref="CB598"/>
    <hyperlink r:id="rId1056" ref="CB599"/>
    <hyperlink r:id="rId1057" ref="CB600"/>
    <hyperlink r:id="rId1058" ref="CB601"/>
    <hyperlink r:id="rId1059" ref="CB602"/>
    <hyperlink r:id="rId1060" ref="CB603"/>
    <hyperlink r:id="rId1061" ref="CB604"/>
    <hyperlink r:id="rId1062" ref="CC604"/>
    <hyperlink r:id="rId1063" ref="CD604"/>
    <hyperlink r:id="rId1064" ref="CB605"/>
    <hyperlink r:id="rId1065" ref="CC605"/>
    <hyperlink r:id="rId1066" ref="CB606"/>
    <hyperlink r:id="rId1067" ref="CB607"/>
    <hyperlink r:id="rId1068" ref="CB608"/>
    <hyperlink r:id="rId1069" ref="CB609"/>
    <hyperlink r:id="rId1070" ref="CB610"/>
    <hyperlink r:id="rId1071" ref="CC610"/>
    <hyperlink r:id="rId1072" ref="CB611"/>
    <hyperlink r:id="rId1073" ref="CC611"/>
    <hyperlink r:id="rId1074" ref="CB612"/>
    <hyperlink r:id="rId1075" ref="CC612"/>
    <hyperlink r:id="rId1076" ref="CD612"/>
    <hyperlink r:id="rId1077" ref="CB613"/>
    <hyperlink r:id="rId1078" ref="CB614"/>
    <hyperlink r:id="rId1079" ref="CC614"/>
    <hyperlink r:id="rId1080" ref="CD614"/>
    <hyperlink r:id="rId1081" ref="CE614"/>
    <hyperlink r:id="rId1082" ref="CB615"/>
    <hyperlink r:id="rId1083" ref="CB616"/>
    <hyperlink r:id="rId1084" ref="CB617"/>
    <hyperlink r:id="rId1085" ref="CB618"/>
    <hyperlink r:id="rId1086" ref="CB619"/>
    <hyperlink r:id="rId1087" ref="CC619"/>
    <hyperlink r:id="rId1088" ref="CB620"/>
    <hyperlink r:id="rId1089" ref="CC620"/>
    <hyperlink r:id="rId1090" ref="CD620"/>
    <hyperlink r:id="rId1091" ref="CE620"/>
    <hyperlink r:id="rId1092" ref="CB621"/>
    <hyperlink r:id="rId1093" ref="CC621"/>
    <hyperlink r:id="rId1094" ref="CD621"/>
    <hyperlink r:id="rId1095" ref="CE621"/>
    <hyperlink r:id="rId1096" ref="CB622"/>
    <hyperlink r:id="rId1097" ref="CC622"/>
    <hyperlink r:id="rId1098" ref="CD622"/>
    <hyperlink r:id="rId1099" ref="CE622"/>
    <hyperlink r:id="rId1100" ref="CB623"/>
    <hyperlink r:id="rId1101" ref="CC623"/>
    <hyperlink r:id="rId1102" ref="CD623"/>
    <hyperlink r:id="rId1103" ref="CE623"/>
    <hyperlink r:id="rId1104" ref="CB624"/>
    <hyperlink r:id="rId1105" ref="CB625"/>
    <hyperlink r:id="rId1106" ref="CB626"/>
    <hyperlink r:id="rId1107" ref="CB627"/>
    <hyperlink r:id="rId1108" ref="CC627"/>
    <hyperlink r:id="rId1109" ref="CB628"/>
    <hyperlink r:id="rId1110" ref="CC628"/>
    <hyperlink r:id="rId1111" ref="CB629"/>
    <hyperlink r:id="rId1112" ref="CB630"/>
    <hyperlink r:id="rId1113" ref="CB631"/>
    <hyperlink r:id="rId1114" ref="CB632"/>
    <hyperlink r:id="rId1115" ref="CB633"/>
    <hyperlink r:id="rId1116" ref="CB634"/>
    <hyperlink r:id="rId1117" ref="CB635"/>
    <hyperlink r:id="rId1118" ref="CB636"/>
    <hyperlink r:id="rId1119" ref="CC636"/>
    <hyperlink r:id="rId1120" ref="CB637"/>
    <hyperlink r:id="rId1121" ref="CB638"/>
    <hyperlink r:id="rId1122" ref="CC638"/>
    <hyperlink r:id="rId1123" ref="CB639"/>
    <hyperlink r:id="rId1124" ref="CC639"/>
    <hyperlink r:id="rId1125" ref="CB640"/>
    <hyperlink r:id="rId1126" ref="CC640"/>
    <hyperlink r:id="rId1127" ref="CB641"/>
    <hyperlink r:id="rId1128" ref="CB642"/>
    <hyperlink r:id="rId1129" ref="CC642"/>
    <hyperlink r:id="rId1130" ref="CB643"/>
    <hyperlink r:id="rId1131" ref="CC643"/>
    <hyperlink r:id="rId1132" ref="CB644"/>
    <hyperlink r:id="rId1133" ref="CB645"/>
    <hyperlink r:id="rId1134" ref="CB646"/>
    <hyperlink r:id="rId1135" ref="CB647"/>
    <hyperlink r:id="rId1136" ref="CB648"/>
    <hyperlink r:id="rId1137" ref="CB649"/>
    <hyperlink r:id="rId1138" ref="CB650"/>
    <hyperlink r:id="rId1139" ref="CB651"/>
    <hyperlink r:id="rId1140" ref="CB652"/>
    <hyperlink r:id="rId1141" ref="CB653"/>
    <hyperlink r:id="rId1142" ref="CB654"/>
    <hyperlink r:id="rId1143" ref="CB655"/>
    <hyperlink r:id="rId1144" ref="CC655"/>
    <hyperlink r:id="rId1145" ref="CD655"/>
    <hyperlink r:id="rId1146" ref="CE655"/>
    <hyperlink r:id="rId1147" ref="CF655"/>
    <hyperlink r:id="rId1148" ref="CB656"/>
    <hyperlink r:id="rId1149" ref="CB657"/>
    <hyperlink r:id="rId1150" ref="CB658"/>
    <hyperlink r:id="rId1151" ref="CB659"/>
    <hyperlink r:id="rId1152" ref="CB660"/>
    <hyperlink r:id="rId1153" ref="CC660"/>
    <hyperlink r:id="rId1154" ref="CB661"/>
    <hyperlink r:id="rId1155" ref="CB662"/>
    <hyperlink r:id="rId1156" ref="CB663"/>
    <hyperlink r:id="rId1157" ref="CB664"/>
    <hyperlink r:id="rId1158" ref="CB665"/>
    <hyperlink r:id="rId1159" ref="CC665"/>
    <hyperlink r:id="rId1160" ref="CB666"/>
    <hyperlink r:id="rId1161" ref="CC666"/>
    <hyperlink r:id="rId1162" ref="CB667"/>
    <hyperlink r:id="rId1163" ref="CC667"/>
    <hyperlink r:id="rId1164" ref="CD667"/>
    <hyperlink r:id="rId1165" ref="CE667"/>
    <hyperlink r:id="rId1166" ref="CB668"/>
    <hyperlink r:id="rId1167" ref="CB669"/>
    <hyperlink r:id="rId1168" ref="CC669"/>
    <hyperlink r:id="rId1169" ref="CD669"/>
    <hyperlink r:id="rId1170" ref="CB670"/>
    <hyperlink r:id="rId1171" ref="CC670"/>
    <hyperlink r:id="rId1172" ref="CD670"/>
    <hyperlink r:id="rId1173" location=":~:text=Lan%C3%A7ado%20em%20maio%20de%202015,cadeia%20de%20caf%C3%A9%20do%20munic%C3%ADpio." ref="CE670"/>
    <hyperlink r:id="rId1174" ref="CB671"/>
    <hyperlink r:id="rId1175" ref="CB672"/>
    <hyperlink r:id="rId1176" ref="CC672"/>
    <hyperlink r:id="rId1177" ref="CD672"/>
    <hyperlink r:id="rId1178" ref="CE672"/>
    <hyperlink r:id="rId1179" ref="CB673"/>
    <hyperlink r:id="rId1180" ref="CB674"/>
    <hyperlink r:id="rId1181" location="gad_source=1" ref="CC674"/>
    <hyperlink r:id="rId1182" ref="CB675"/>
    <hyperlink r:id="rId1183" ref="CC675"/>
    <hyperlink r:id="rId1184" location="gad_source=1" ref="CD675"/>
    <hyperlink r:id="rId1185" ref="CB676"/>
    <hyperlink r:id="rId1186" location="gad_source=1" ref="CC676"/>
    <hyperlink r:id="rId1187" ref="CB677"/>
    <hyperlink r:id="rId1188" ref="CB678"/>
    <hyperlink r:id="rId1189" ref="CB679"/>
    <hyperlink r:id="rId1190" location="p=1" ref="CB680"/>
    <hyperlink r:id="rId1191" ref="CB681"/>
    <hyperlink r:id="rId1192" ref="CB682"/>
    <hyperlink r:id="rId1193" ref="CB683"/>
    <hyperlink r:id="rId1194" ref="CB684"/>
    <hyperlink r:id="rId1195" ref="CB685"/>
    <hyperlink r:id="rId1196" ref="CC685"/>
    <hyperlink r:id="rId1197" ref="CD685"/>
    <hyperlink r:id="rId1198" location="/social" ref="CB686"/>
    <hyperlink r:id="rId1199" location="/" ref="CB687"/>
    <hyperlink r:id="rId1200" ref="CB688"/>
    <hyperlink r:id="rId1201" ref="CB689"/>
    <hyperlink r:id="rId1202" ref="CB690"/>
    <hyperlink r:id="rId1203" ref="CB691"/>
    <hyperlink r:id="rId1204" ref="CC691"/>
    <hyperlink r:id="rId1205" ref="CD691"/>
    <hyperlink r:id="rId1206" ref="CB692"/>
    <hyperlink r:id="rId1207" ref="CC692"/>
    <hyperlink r:id="rId1208" ref="CB693"/>
    <hyperlink r:id="rId1209" ref="CC693"/>
    <hyperlink r:id="rId1210" ref="CB694"/>
    <hyperlink r:id="rId1211" ref="CC694"/>
    <hyperlink r:id="rId1212" ref="CB695"/>
    <hyperlink r:id="rId1213" ref="CC695"/>
    <hyperlink r:id="rId1214" ref="CB696"/>
    <hyperlink r:id="rId1215" ref="CC696"/>
    <hyperlink r:id="rId1216" ref="CB697"/>
    <hyperlink r:id="rId1217" ref="CC697"/>
    <hyperlink r:id="rId1218" ref="CD697"/>
  </hyperlinks>
  <drawing r:id="rId1219"/>
  <legacyDrawing r:id="rId122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1.38"/>
    <col customWidth="1" min="2" max="2" width="42.5"/>
    <col customWidth="1" min="3" max="3" width="95.38"/>
    <col customWidth="1" min="4" max="6" width="12.63"/>
  </cols>
  <sheetData>
    <row r="1" ht="15.75" customHeight="1">
      <c r="A1" s="72" t="s">
        <v>3160</v>
      </c>
      <c r="B1" s="73" t="s">
        <v>3161</v>
      </c>
      <c r="C1" s="74" t="s">
        <v>3162</v>
      </c>
      <c r="D1" s="74" t="s">
        <v>3163</v>
      </c>
      <c r="E1" s="75"/>
      <c r="F1" s="76"/>
      <c r="G1" s="76"/>
      <c r="H1" s="76"/>
      <c r="I1" s="76"/>
      <c r="J1" s="76"/>
      <c r="K1" s="76"/>
      <c r="L1" s="76"/>
      <c r="M1" s="76"/>
      <c r="N1" s="76"/>
      <c r="O1" s="76"/>
      <c r="P1" s="76"/>
      <c r="Q1" s="76"/>
      <c r="R1" s="76"/>
      <c r="S1" s="76"/>
      <c r="T1" s="76"/>
      <c r="U1" s="76"/>
      <c r="V1" s="76"/>
      <c r="W1" s="76"/>
      <c r="X1" s="76"/>
      <c r="Y1" s="76"/>
      <c r="Z1" s="76"/>
    </row>
    <row r="2" ht="15.75" customHeight="1">
      <c r="A2" s="77" t="s">
        <v>0</v>
      </c>
      <c r="B2" s="78" t="s">
        <v>3164</v>
      </c>
      <c r="C2" s="78" t="s">
        <v>3165</v>
      </c>
      <c r="D2" s="79" t="s">
        <v>3164</v>
      </c>
      <c r="E2" s="80"/>
      <c r="F2" s="81"/>
      <c r="G2" s="81"/>
      <c r="H2" s="81"/>
      <c r="I2" s="81"/>
      <c r="J2" s="81"/>
      <c r="K2" s="81"/>
      <c r="L2" s="81"/>
      <c r="M2" s="81"/>
      <c r="N2" s="81"/>
      <c r="O2" s="81"/>
      <c r="P2" s="81"/>
      <c r="Q2" s="81"/>
      <c r="R2" s="81"/>
      <c r="S2" s="81"/>
      <c r="T2" s="81"/>
      <c r="U2" s="81"/>
      <c r="V2" s="81"/>
      <c r="W2" s="81"/>
      <c r="X2" s="81"/>
      <c r="Y2" s="81"/>
      <c r="Z2" s="81"/>
    </row>
    <row r="3" ht="15.75" customHeight="1">
      <c r="A3" s="82" t="s">
        <v>1</v>
      </c>
      <c r="B3" s="83" t="s">
        <v>3164</v>
      </c>
      <c r="C3" s="83" t="s">
        <v>3166</v>
      </c>
      <c r="D3" s="4" t="s">
        <v>3164</v>
      </c>
      <c r="E3" s="80"/>
      <c r="F3" s="81"/>
      <c r="G3" s="81"/>
      <c r="H3" s="81"/>
      <c r="I3" s="81"/>
      <c r="J3" s="81"/>
      <c r="K3" s="81"/>
      <c r="L3" s="81"/>
      <c r="M3" s="81"/>
      <c r="N3" s="81"/>
      <c r="O3" s="81"/>
      <c r="P3" s="81"/>
      <c r="Q3" s="81"/>
      <c r="R3" s="81"/>
      <c r="S3" s="81"/>
      <c r="T3" s="81"/>
      <c r="U3" s="81"/>
      <c r="V3" s="81"/>
      <c r="W3" s="81"/>
      <c r="X3" s="81"/>
      <c r="Y3" s="81"/>
      <c r="Z3" s="81"/>
    </row>
    <row r="4" ht="15.75" customHeight="1">
      <c r="A4" s="77" t="s">
        <v>2</v>
      </c>
      <c r="B4" s="78" t="s">
        <v>3167</v>
      </c>
      <c r="C4" s="78" t="s">
        <v>3168</v>
      </c>
      <c r="D4" s="79" t="s">
        <v>3164</v>
      </c>
      <c r="E4" s="80"/>
      <c r="F4" s="81"/>
      <c r="G4" s="81"/>
      <c r="H4" s="81"/>
      <c r="I4" s="81"/>
      <c r="J4" s="81"/>
      <c r="K4" s="81"/>
      <c r="L4" s="81"/>
      <c r="M4" s="81"/>
      <c r="N4" s="81"/>
      <c r="O4" s="81"/>
      <c r="P4" s="81"/>
      <c r="Q4" s="81"/>
      <c r="R4" s="81"/>
      <c r="S4" s="81"/>
      <c r="T4" s="81"/>
      <c r="U4" s="81"/>
      <c r="V4" s="81"/>
      <c r="W4" s="81"/>
      <c r="X4" s="81"/>
      <c r="Y4" s="81"/>
      <c r="Z4" s="81"/>
    </row>
    <row r="5" ht="15.75" customHeight="1">
      <c r="A5" s="82" t="s">
        <v>3</v>
      </c>
      <c r="B5" s="83" t="s">
        <v>3164</v>
      </c>
      <c r="C5" s="83" t="s">
        <v>3169</v>
      </c>
      <c r="D5" s="4" t="s">
        <v>3164</v>
      </c>
      <c r="E5" s="80"/>
      <c r="F5" s="81"/>
      <c r="G5" s="81"/>
      <c r="H5" s="81"/>
      <c r="I5" s="81"/>
      <c r="J5" s="81"/>
      <c r="K5" s="81"/>
      <c r="L5" s="81"/>
      <c r="M5" s="81"/>
      <c r="N5" s="81"/>
      <c r="O5" s="81"/>
      <c r="P5" s="81"/>
      <c r="Q5" s="81"/>
      <c r="R5" s="81"/>
      <c r="S5" s="81"/>
      <c r="T5" s="81"/>
      <c r="U5" s="81"/>
      <c r="V5" s="81"/>
      <c r="W5" s="81"/>
      <c r="X5" s="81"/>
      <c r="Y5" s="81"/>
      <c r="Z5" s="81"/>
    </row>
    <row r="6" ht="15.75" customHeight="1">
      <c r="A6" s="77" t="s">
        <v>4</v>
      </c>
      <c r="B6" s="78" t="s">
        <v>3164</v>
      </c>
      <c r="C6" s="78" t="s">
        <v>3170</v>
      </c>
      <c r="D6" s="79" t="s">
        <v>3164</v>
      </c>
      <c r="E6" s="80"/>
      <c r="F6" s="81"/>
      <c r="G6" s="81"/>
      <c r="H6" s="81"/>
      <c r="I6" s="81"/>
      <c r="J6" s="81"/>
      <c r="K6" s="81"/>
      <c r="L6" s="81"/>
      <c r="M6" s="81"/>
      <c r="N6" s="81"/>
      <c r="O6" s="81"/>
      <c r="P6" s="81"/>
      <c r="Q6" s="81"/>
      <c r="R6" s="81"/>
      <c r="S6" s="81"/>
      <c r="T6" s="81"/>
      <c r="U6" s="81"/>
      <c r="V6" s="81"/>
      <c r="W6" s="81"/>
      <c r="X6" s="81"/>
      <c r="Y6" s="81"/>
      <c r="Z6" s="81"/>
    </row>
    <row r="7" ht="15.75" customHeight="1">
      <c r="A7" s="82" t="s">
        <v>5</v>
      </c>
      <c r="B7" s="83" t="s">
        <v>3164</v>
      </c>
      <c r="C7" s="83" t="s">
        <v>3171</v>
      </c>
      <c r="D7" s="4" t="s">
        <v>3164</v>
      </c>
      <c r="E7" s="80"/>
      <c r="F7" s="81"/>
      <c r="G7" s="81"/>
      <c r="H7" s="81"/>
      <c r="I7" s="81"/>
      <c r="J7" s="81"/>
      <c r="K7" s="81"/>
      <c r="L7" s="81"/>
      <c r="M7" s="81"/>
      <c r="N7" s="81"/>
      <c r="O7" s="81"/>
      <c r="P7" s="81"/>
      <c r="Q7" s="81"/>
      <c r="R7" s="81"/>
      <c r="S7" s="81"/>
      <c r="T7" s="81"/>
      <c r="U7" s="81"/>
      <c r="V7" s="81"/>
      <c r="W7" s="81"/>
      <c r="X7" s="81"/>
      <c r="Y7" s="81"/>
      <c r="Z7" s="81"/>
    </row>
    <row r="8" ht="15.75" customHeight="1">
      <c r="A8" s="77" t="s">
        <v>6</v>
      </c>
      <c r="B8" s="84" t="s">
        <v>110</v>
      </c>
      <c r="C8" s="78" t="s">
        <v>3172</v>
      </c>
      <c r="D8" s="85" t="s">
        <v>3164</v>
      </c>
      <c r="E8" s="80"/>
      <c r="F8" s="81"/>
      <c r="G8" s="81"/>
      <c r="H8" s="81"/>
      <c r="I8" s="81"/>
      <c r="J8" s="81"/>
      <c r="K8" s="81"/>
      <c r="L8" s="81"/>
      <c r="M8" s="81"/>
      <c r="N8" s="81"/>
      <c r="O8" s="81"/>
      <c r="P8" s="81"/>
      <c r="Q8" s="81"/>
      <c r="R8" s="81"/>
      <c r="S8" s="81"/>
      <c r="T8" s="81"/>
      <c r="U8" s="81"/>
      <c r="V8" s="81"/>
      <c r="W8" s="81"/>
      <c r="X8" s="81"/>
      <c r="Y8" s="81"/>
      <c r="Z8" s="81"/>
    </row>
    <row r="9" ht="15.75" customHeight="1">
      <c r="B9" s="84" t="s">
        <v>90</v>
      </c>
      <c r="C9" s="78" t="s">
        <v>3173</v>
      </c>
      <c r="D9" s="85" t="s">
        <v>3164</v>
      </c>
      <c r="E9" s="80"/>
      <c r="F9" s="81"/>
      <c r="G9" s="81"/>
      <c r="H9" s="81"/>
      <c r="I9" s="81"/>
      <c r="J9" s="81"/>
      <c r="K9" s="81"/>
      <c r="L9" s="81"/>
      <c r="M9" s="81"/>
      <c r="N9" s="81"/>
      <c r="O9" s="81"/>
      <c r="P9" s="81"/>
      <c r="Q9" s="81"/>
      <c r="R9" s="81"/>
      <c r="S9" s="81"/>
      <c r="T9" s="81"/>
      <c r="U9" s="81"/>
      <c r="V9" s="81"/>
      <c r="W9" s="81"/>
      <c r="X9" s="81"/>
      <c r="Y9" s="81"/>
      <c r="Z9" s="81"/>
    </row>
    <row r="10" ht="15.75" customHeight="1">
      <c r="B10" s="84" t="s">
        <v>189</v>
      </c>
      <c r="C10" s="78" t="s">
        <v>3174</v>
      </c>
      <c r="D10" s="85" t="s">
        <v>3164</v>
      </c>
      <c r="E10" s="80"/>
      <c r="F10" s="81"/>
      <c r="G10" s="81"/>
      <c r="H10" s="81"/>
      <c r="I10" s="81"/>
      <c r="J10" s="81"/>
      <c r="K10" s="81"/>
      <c r="L10" s="81"/>
      <c r="M10" s="81"/>
      <c r="N10" s="81"/>
      <c r="O10" s="81"/>
      <c r="P10" s="81"/>
      <c r="Q10" s="81"/>
      <c r="R10" s="81"/>
      <c r="S10" s="81"/>
      <c r="T10" s="81"/>
      <c r="U10" s="81"/>
      <c r="V10" s="81"/>
      <c r="W10" s="81"/>
      <c r="X10" s="81"/>
      <c r="Y10" s="81"/>
      <c r="Z10" s="81"/>
    </row>
    <row r="11" ht="15.75" customHeight="1">
      <c r="B11" s="84" t="s">
        <v>709</v>
      </c>
      <c r="C11" s="78" t="s">
        <v>3175</v>
      </c>
      <c r="D11" s="85" t="s">
        <v>3164</v>
      </c>
      <c r="E11" s="80"/>
      <c r="F11" s="81"/>
      <c r="G11" s="81"/>
      <c r="H11" s="81"/>
      <c r="I11" s="81"/>
      <c r="J11" s="81"/>
      <c r="K11" s="81"/>
      <c r="L11" s="81"/>
      <c r="M11" s="81"/>
      <c r="N11" s="81"/>
      <c r="O11" s="81"/>
      <c r="P11" s="81"/>
      <c r="Q11" s="81"/>
      <c r="R11" s="81"/>
      <c r="S11" s="81"/>
      <c r="T11" s="81"/>
      <c r="U11" s="81"/>
      <c r="V11" s="81"/>
      <c r="W11" s="81"/>
      <c r="X11" s="81"/>
      <c r="Y11" s="81"/>
      <c r="Z11" s="81"/>
    </row>
    <row r="12" ht="15.75" customHeight="1">
      <c r="B12" s="78" t="s">
        <v>3176</v>
      </c>
      <c r="C12" s="78" t="s">
        <v>3177</v>
      </c>
      <c r="D12" s="79" t="s">
        <v>3164</v>
      </c>
      <c r="E12" s="80"/>
      <c r="F12" s="81"/>
      <c r="G12" s="81"/>
      <c r="H12" s="81"/>
      <c r="I12" s="81"/>
      <c r="J12" s="81"/>
      <c r="K12" s="81"/>
      <c r="L12" s="81"/>
      <c r="M12" s="81"/>
      <c r="N12" s="81"/>
      <c r="O12" s="81"/>
      <c r="P12" s="81"/>
      <c r="Q12" s="81"/>
      <c r="R12" s="81"/>
      <c r="S12" s="81"/>
      <c r="T12" s="81"/>
      <c r="U12" s="81"/>
      <c r="V12" s="81"/>
      <c r="W12" s="81"/>
      <c r="X12" s="81"/>
      <c r="Y12" s="81"/>
      <c r="Z12" s="81"/>
    </row>
    <row r="13" ht="15.75" customHeight="1">
      <c r="A13" s="83" t="s">
        <v>7</v>
      </c>
      <c r="B13" s="83" t="s">
        <v>3164</v>
      </c>
      <c r="C13" s="83" t="s">
        <v>3178</v>
      </c>
      <c r="D13" s="4" t="s">
        <v>3164</v>
      </c>
      <c r="E13" s="80"/>
      <c r="F13" s="81"/>
      <c r="G13" s="81"/>
      <c r="H13" s="81"/>
      <c r="I13" s="81"/>
      <c r="J13" s="81"/>
      <c r="K13" s="81"/>
      <c r="L13" s="81"/>
      <c r="M13" s="81"/>
      <c r="N13" s="81"/>
      <c r="O13" s="81"/>
      <c r="P13" s="81"/>
      <c r="Q13" s="81"/>
      <c r="R13" s="81"/>
      <c r="S13" s="81"/>
      <c r="T13" s="81"/>
      <c r="U13" s="81"/>
      <c r="V13" s="81"/>
      <c r="W13" s="81"/>
      <c r="X13" s="81"/>
      <c r="Y13" s="81"/>
      <c r="Z13" s="81"/>
    </row>
    <row r="14" ht="15.75" customHeight="1">
      <c r="A14" s="77" t="s">
        <v>8</v>
      </c>
      <c r="B14" s="78" t="s">
        <v>3179</v>
      </c>
      <c r="C14" s="78" t="s">
        <v>3180</v>
      </c>
      <c r="D14" s="79" t="s">
        <v>3164</v>
      </c>
      <c r="E14" s="86"/>
      <c r="F14" s="81"/>
      <c r="G14" s="81"/>
      <c r="H14" s="81"/>
      <c r="I14" s="81"/>
      <c r="J14" s="81"/>
      <c r="K14" s="81"/>
      <c r="L14" s="81"/>
      <c r="M14" s="81"/>
      <c r="N14" s="81"/>
      <c r="O14" s="81"/>
      <c r="P14" s="81"/>
      <c r="Q14" s="81"/>
      <c r="R14" s="81"/>
      <c r="S14" s="81"/>
      <c r="T14" s="81"/>
      <c r="U14" s="81"/>
      <c r="V14" s="81"/>
      <c r="W14" s="81"/>
      <c r="X14" s="81"/>
      <c r="Y14" s="81"/>
      <c r="Z14" s="81"/>
    </row>
    <row r="15" ht="15.75" customHeight="1">
      <c r="A15" s="77" t="s">
        <v>9</v>
      </c>
      <c r="B15" s="78" t="s">
        <v>3179</v>
      </c>
      <c r="C15" s="78" t="s">
        <v>3181</v>
      </c>
      <c r="D15" s="79" t="s">
        <v>3164</v>
      </c>
      <c r="E15" s="86"/>
      <c r="F15" s="81"/>
      <c r="G15" s="81"/>
      <c r="H15" s="81"/>
      <c r="I15" s="81"/>
      <c r="J15" s="81"/>
      <c r="K15" s="81"/>
      <c r="L15" s="81"/>
      <c r="M15" s="81"/>
      <c r="N15" s="81"/>
      <c r="O15" s="81"/>
      <c r="P15" s="81"/>
      <c r="Q15" s="81"/>
      <c r="R15" s="81"/>
      <c r="S15" s="81"/>
      <c r="T15" s="81"/>
      <c r="U15" s="81"/>
      <c r="V15" s="81"/>
      <c r="W15" s="81"/>
      <c r="X15" s="81"/>
      <c r="Y15" s="81"/>
      <c r="Z15" s="81"/>
    </row>
    <row r="16" ht="15.75" customHeight="1">
      <c r="A16" s="77" t="s">
        <v>10</v>
      </c>
      <c r="B16" s="78" t="s">
        <v>3179</v>
      </c>
      <c r="C16" s="78" t="s">
        <v>3182</v>
      </c>
      <c r="D16" s="79" t="s">
        <v>3164</v>
      </c>
      <c r="E16" s="86"/>
      <c r="F16" s="81"/>
      <c r="G16" s="81"/>
      <c r="H16" s="81"/>
      <c r="I16" s="81"/>
      <c r="J16" s="81"/>
      <c r="K16" s="81"/>
      <c r="L16" s="81"/>
      <c r="M16" s="81"/>
      <c r="N16" s="81"/>
      <c r="O16" s="81"/>
      <c r="P16" s="81"/>
      <c r="Q16" s="81"/>
      <c r="R16" s="81"/>
      <c r="S16" s="81"/>
      <c r="T16" s="81"/>
      <c r="U16" s="81"/>
      <c r="V16" s="81"/>
      <c r="W16" s="81"/>
      <c r="X16" s="81"/>
      <c r="Y16" s="81"/>
      <c r="Z16" s="81"/>
    </row>
    <row r="17" ht="15.75" customHeight="1">
      <c r="A17" s="77" t="s">
        <v>11</v>
      </c>
      <c r="B17" s="78" t="s">
        <v>3179</v>
      </c>
      <c r="C17" s="78" t="s">
        <v>3183</v>
      </c>
      <c r="D17" s="79" t="s">
        <v>3164</v>
      </c>
      <c r="E17" s="86"/>
      <c r="F17" s="81"/>
      <c r="G17" s="81"/>
      <c r="H17" s="81"/>
      <c r="I17" s="81"/>
      <c r="J17" s="81"/>
      <c r="K17" s="81"/>
      <c r="L17" s="81"/>
      <c r="M17" s="81"/>
      <c r="N17" s="81"/>
      <c r="O17" s="81"/>
      <c r="P17" s="81"/>
      <c r="Q17" s="81"/>
      <c r="R17" s="81"/>
      <c r="S17" s="81"/>
      <c r="T17" s="81"/>
      <c r="U17" s="81"/>
      <c r="V17" s="81"/>
      <c r="W17" s="81"/>
      <c r="X17" s="81"/>
      <c r="Y17" s="81"/>
      <c r="Z17" s="81"/>
    </row>
    <row r="18" ht="15.75" customHeight="1">
      <c r="A18" s="77" t="s">
        <v>12</v>
      </c>
      <c r="B18" s="78" t="s">
        <v>3184</v>
      </c>
      <c r="C18" s="78" t="s">
        <v>3185</v>
      </c>
      <c r="D18" s="79" t="s">
        <v>3164</v>
      </c>
      <c r="E18" s="80"/>
      <c r="F18" s="81"/>
      <c r="G18" s="81"/>
      <c r="H18" s="81"/>
      <c r="I18" s="81"/>
      <c r="J18" s="81"/>
      <c r="K18" s="81"/>
      <c r="L18" s="81"/>
      <c r="M18" s="81"/>
      <c r="N18" s="81"/>
      <c r="O18" s="81"/>
      <c r="P18" s="81"/>
      <c r="Q18" s="81"/>
      <c r="R18" s="81"/>
      <c r="S18" s="81"/>
      <c r="T18" s="81"/>
      <c r="U18" s="81"/>
      <c r="V18" s="81"/>
      <c r="W18" s="81"/>
      <c r="X18" s="81"/>
      <c r="Y18" s="81"/>
      <c r="Z18" s="81"/>
    </row>
    <row r="19" ht="15.75" customHeight="1">
      <c r="A19" s="87" t="s">
        <v>13</v>
      </c>
      <c r="B19" s="83" t="s">
        <v>3179</v>
      </c>
      <c r="C19" s="88" t="s">
        <v>3186</v>
      </c>
      <c r="D19" s="89" t="s">
        <v>3164</v>
      </c>
      <c r="E19" s="80"/>
      <c r="F19" s="81"/>
      <c r="G19" s="81"/>
      <c r="H19" s="81"/>
      <c r="I19" s="81"/>
      <c r="J19" s="81"/>
      <c r="K19" s="81"/>
      <c r="L19" s="81"/>
      <c r="M19" s="81"/>
      <c r="N19" s="81"/>
      <c r="O19" s="81"/>
      <c r="P19" s="81"/>
      <c r="Q19" s="81"/>
      <c r="R19" s="81"/>
      <c r="S19" s="81"/>
      <c r="T19" s="81"/>
      <c r="U19" s="81"/>
      <c r="V19" s="81"/>
      <c r="W19" s="81"/>
      <c r="X19" s="81"/>
      <c r="Y19" s="81"/>
      <c r="Z19" s="81"/>
    </row>
    <row r="20" ht="15.75" customHeight="1">
      <c r="A20" s="87" t="s">
        <v>14</v>
      </c>
      <c r="B20" s="83" t="s">
        <v>3179</v>
      </c>
      <c r="C20" s="88" t="s">
        <v>3187</v>
      </c>
      <c r="D20" s="89" t="s">
        <v>3164</v>
      </c>
      <c r="E20" s="80"/>
      <c r="F20" s="81"/>
      <c r="G20" s="81"/>
      <c r="H20" s="81"/>
      <c r="I20" s="81"/>
      <c r="J20" s="81"/>
      <c r="K20" s="81"/>
      <c r="L20" s="81"/>
      <c r="M20" s="81"/>
      <c r="N20" s="81"/>
      <c r="O20" s="81"/>
      <c r="P20" s="81"/>
      <c r="Q20" s="81"/>
      <c r="R20" s="81"/>
      <c r="S20" s="81"/>
      <c r="T20" s="81"/>
      <c r="U20" s="81"/>
      <c r="V20" s="81"/>
      <c r="W20" s="81"/>
      <c r="X20" s="81"/>
      <c r="Y20" s="81"/>
      <c r="Z20" s="81"/>
    </row>
    <row r="21" ht="15.75" customHeight="1">
      <c r="A21" s="87" t="s">
        <v>15</v>
      </c>
      <c r="B21" s="83" t="s">
        <v>3179</v>
      </c>
      <c r="C21" s="88" t="s">
        <v>3188</v>
      </c>
      <c r="D21" s="89" t="s">
        <v>3164</v>
      </c>
      <c r="E21" s="80"/>
      <c r="F21" s="81"/>
      <c r="G21" s="81"/>
      <c r="H21" s="81"/>
      <c r="I21" s="81"/>
      <c r="J21" s="81"/>
      <c r="K21" s="81"/>
      <c r="L21" s="81"/>
      <c r="M21" s="81"/>
      <c r="N21" s="81"/>
      <c r="O21" s="81"/>
      <c r="P21" s="81"/>
      <c r="Q21" s="81"/>
      <c r="R21" s="81"/>
      <c r="S21" s="81"/>
      <c r="T21" s="81"/>
      <c r="U21" s="81"/>
      <c r="V21" s="81"/>
      <c r="W21" s="81"/>
      <c r="X21" s="81"/>
      <c r="Y21" s="81"/>
      <c r="Z21" s="81"/>
    </row>
    <row r="22" ht="15.75" customHeight="1">
      <c r="A22" s="87" t="s">
        <v>16</v>
      </c>
      <c r="B22" s="83" t="s">
        <v>3179</v>
      </c>
      <c r="C22" s="88" t="s">
        <v>3189</v>
      </c>
      <c r="D22" s="4" t="s">
        <v>3164</v>
      </c>
      <c r="E22" s="80"/>
      <c r="F22" s="81"/>
      <c r="G22" s="81"/>
      <c r="H22" s="81"/>
      <c r="I22" s="81"/>
      <c r="J22" s="81"/>
      <c r="K22" s="81"/>
      <c r="L22" s="81"/>
      <c r="M22" s="81"/>
      <c r="N22" s="81"/>
      <c r="O22" s="81"/>
      <c r="P22" s="81"/>
      <c r="Q22" s="81"/>
      <c r="R22" s="81"/>
      <c r="S22" s="81"/>
      <c r="T22" s="81"/>
      <c r="U22" s="81"/>
      <c r="V22" s="81"/>
      <c r="W22" s="81"/>
      <c r="X22" s="81"/>
      <c r="Y22" s="81"/>
      <c r="Z22" s="81"/>
    </row>
    <row r="23" ht="15.75" customHeight="1">
      <c r="A23" s="78" t="s">
        <v>17</v>
      </c>
      <c r="B23" s="90" t="s">
        <v>3179</v>
      </c>
      <c r="C23" s="78" t="s">
        <v>3190</v>
      </c>
      <c r="D23" s="85" t="s">
        <v>3164</v>
      </c>
      <c r="E23" s="80"/>
      <c r="F23" s="81"/>
      <c r="G23" s="81"/>
      <c r="H23" s="81"/>
      <c r="I23" s="81"/>
      <c r="J23" s="81"/>
      <c r="K23" s="81"/>
      <c r="L23" s="81"/>
      <c r="M23" s="81"/>
      <c r="N23" s="81"/>
      <c r="O23" s="81"/>
      <c r="P23" s="81"/>
      <c r="Q23" s="81"/>
      <c r="R23" s="81"/>
      <c r="S23" s="81"/>
      <c r="T23" s="81"/>
      <c r="U23" s="81"/>
      <c r="V23" s="81"/>
      <c r="W23" s="81"/>
      <c r="X23" s="81"/>
      <c r="Y23" s="81"/>
      <c r="Z23" s="81"/>
    </row>
    <row r="24" ht="15.75" customHeight="1">
      <c r="A24" s="78" t="s">
        <v>18</v>
      </c>
      <c r="B24" s="90" t="s">
        <v>3179</v>
      </c>
      <c r="C24" s="78" t="s">
        <v>3191</v>
      </c>
      <c r="D24" s="85" t="s">
        <v>3164</v>
      </c>
      <c r="E24" s="80"/>
      <c r="F24" s="81"/>
      <c r="G24" s="81"/>
      <c r="H24" s="81"/>
      <c r="I24" s="81"/>
      <c r="J24" s="81"/>
      <c r="K24" s="81"/>
      <c r="L24" s="81"/>
      <c r="M24" s="81"/>
      <c r="N24" s="81"/>
      <c r="O24" s="81"/>
      <c r="P24" s="81"/>
      <c r="Q24" s="81"/>
      <c r="R24" s="81"/>
      <c r="S24" s="81"/>
      <c r="T24" s="81"/>
      <c r="U24" s="81"/>
      <c r="V24" s="81"/>
      <c r="W24" s="81"/>
      <c r="X24" s="81"/>
      <c r="Y24" s="81"/>
      <c r="Z24" s="81"/>
    </row>
    <row r="25" ht="15.75" customHeight="1">
      <c r="A25" s="78" t="s">
        <v>19</v>
      </c>
      <c r="B25" s="90" t="s">
        <v>3179</v>
      </c>
      <c r="C25" s="78" t="s">
        <v>3192</v>
      </c>
      <c r="D25" s="85" t="s">
        <v>3164</v>
      </c>
      <c r="E25" s="80"/>
      <c r="F25" s="81"/>
      <c r="G25" s="81"/>
      <c r="H25" s="81"/>
      <c r="I25" s="81"/>
      <c r="J25" s="81"/>
      <c r="K25" s="81"/>
      <c r="L25" s="81"/>
      <c r="M25" s="81"/>
      <c r="N25" s="81"/>
      <c r="O25" s="81"/>
      <c r="P25" s="81"/>
      <c r="Q25" s="81"/>
      <c r="R25" s="81"/>
      <c r="S25" s="81"/>
      <c r="T25" s="81"/>
      <c r="U25" s="81"/>
      <c r="V25" s="81"/>
      <c r="W25" s="81"/>
      <c r="X25" s="81"/>
      <c r="Y25" s="81"/>
      <c r="Z25" s="81"/>
    </row>
    <row r="26" ht="15.75" customHeight="1">
      <c r="A26" s="78" t="s">
        <v>20</v>
      </c>
      <c r="B26" s="90" t="s">
        <v>3179</v>
      </c>
      <c r="C26" s="78" t="s">
        <v>3193</v>
      </c>
      <c r="D26" s="85" t="s">
        <v>3164</v>
      </c>
      <c r="E26" s="80"/>
      <c r="F26" s="81"/>
      <c r="G26" s="81"/>
      <c r="H26" s="81"/>
      <c r="I26" s="81"/>
      <c r="J26" s="81"/>
      <c r="K26" s="81"/>
      <c r="L26" s="81"/>
      <c r="M26" s="81"/>
      <c r="N26" s="81"/>
      <c r="O26" s="81"/>
      <c r="P26" s="81"/>
      <c r="Q26" s="81"/>
      <c r="R26" s="81"/>
      <c r="S26" s="81"/>
      <c r="T26" s="81"/>
      <c r="U26" s="81"/>
      <c r="V26" s="81"/>
      <c r="W26" s="81"/>
      <c r="X26" s="81"/>
      <c r="Y26" s="81"/>
      <c r="Z26" s="81"/>
    </row>
    <row r="27" ht="15.75" customHeight="1">
      <c r="A27" s="78" t="s">
        <v>21</v>
      </c>
      <c r="B27" s="90" t="s">
        <v>3179</v>
      </c>
      <c r="C27" s="78" t="s">
        <v>3194</v>
      </c>
      <c r="D27" s="85" t="s">
        <v>3164</v>
      </c>
      <c r="E27" s="80"/>
      <c r="F27" s="81"/>
      <c r="G27" s="81"/>
      <c r="H27" s="81"/>
      <c r="I27" s="81"/>
      <c r="J27" s="81"/>
      <c r="K27" s="81"/>
      <c r="L27" s="81"/>
      <c r="M27" s="81"/>
      <c r="N27" s="81"/>
      <c r="O27" s="81"/>
      <c r="P27" s="81"/>
      <c r="Q27" s="81"/>
      <c r="R27" s="81"/>
      <c r="S27" s="81"/>
      <c r="T27" s="81"/>
      <c r="U27" s="81"/>
      <c r="V27" s="81"/>
      <c r="W27" s="81"/>
      <c r="X27" s="81"/>
      <c r="Y27" s="81"/>
      <c r="Z27" s="81"/>
    </row>
    <row r="28" ht="15.75" customHeight="1">
      <c r="A28" s="78" t="s">
        <v>22</v>
      </c>
      <c r="B28" s="90" t="s">
        <v>3179</v>
      </c>
      <c r="C28" s="78" t="s">
        <v>3195</v>
      </c>
      <c r="D28" s="85" t="s">
        <v>3164</v>
      </c>
      <c r="E28" s="80"/>
      <c r="F28" s="81"/>
      <c r="G28" s="81"/>
      <c r="H28" s="81"/>
      <c r="I28" s="81"/>
      <c r="J28" s="81"/>
      <c r="K28" s="81"/>
      <c r="L28" s="81"/>
      <c r="M28" s="81"/>
      <c r="N28" s="81"/>
      <c r="O28" s="81"/>
      <c r="P28" s="81"/>
      <c r="Q28" s="81"/>
      <c r="R28" s="81"/>
      <c r="S28" s="81"/>
      <c r="T28" s="81"/>
      <c r="U28" s="81"/>
      <c r="V28" s="81"/>
      <c r="W28" s="81"/>
      <c r="X28" s="81"/>
      <c r="Y28" s="81"/>
      <c r="Z28" s="81"/>
    </row>
    <row r="29" ht="15.75" customHeight="1">
      <c r="A29" s="78" t="s">
        <v>23</v>
      </c>
      <c r="B29" s="90" t="s">
        <v>3179</v>
      </c>
      <c r="C29" s="78" t="s">
        <v>3196</v>
      </c>
      <c r="D29" s="85" t="s">
        <v>3164</v>
      </c>
      <c r="E29" s="80"/>
      <c r="F29" s="81"/>
      <c r="G29" s="81"/>
      <c r="H29" s="81"/>
      <c r="I29" s="81"/>
      <c r="J29" s="81"/>
      <c r="K29" s="81"/>
      <c r="L29" s="81"/>
      <c r="M29" s="81"/>
      <c r="N29" s="81"/>
      <c r="O29" s="81"/>
      <c r="P29" s="81"/>
      <c r="Q29" s="81"/>
      <c r="R29" s="81"/>
      <c r="S29" s="81"/>
      <c r="T29" s="81"/>
      <c r="U29" s="81"/>
      <c r="V29" s="81"/>
      <c r="W29" s="81"/>
      <c r="X29" s="81"/>
      <c r="Y29" s="81"/>
      <c r="Z29" s="81"/>
    </row>
    <row r="30" ht="15.75" customHeight="1">
      <c r="A30" s="78" t="s">
        <v>24</v>
      </c>
      <c r="B30" s="90" t="s">
        <v>3179</v>
      </c>
      <c r="C30" s="78" t="s">
        <v>3197</v>
      </c>
      <c r="D30" s="79" t="s">
        <v>3164</v>
      </c>
      <c r="E30" s="80"/>
      <c r="F30" s="81"/>
      <c r="G30" s="81"/>
      <c r="H30" s="81"/>
      <c r="I30" s="81"/>
      <c r="J30" s="81"/>
      <c r="K30" s="81"/>
      <c r="L30" s="81"/>
      <c r="M30" s="81"/>
      <c r="N30" s="81"/>
      <c r="O30" s="81"/>
      <c r="P30" s="81"/>
      <c r="Q30" s="81"/>
      <c r="R30" s="81"/>
      <c r="S30" s="81"/>
      <c r="T30" s="81"/>
      <c r="U30" s="81"/>
      <c r="V30" s="81"/>
      <c r="W30" s="81"/>
      <c r="X30" s="81"/>
      <c r="Y30" s="81"/>
      <c r="Z30" s="81"/>
    </row>
    <row r="31" ht="15.75" customHeight="1">
      <c r="A31" s="78" t="s">
        <v>25</v>
      </c>
      <c r="B31" s="90" t="s">
        <v>3179</v>
      </c>
      <c r="C31" s="78" t="s">
        <v>3198</v>
      </c>
      <c r="D31" s="79" t="s">
        <v>3164</v>
      </c>
      <c r="E31" s="80"/>
      <c r="F31" s="81"/>
      <c r="G31" s="81"/>
      <c r="H31" s="81"/>
      <c r="I31" s="81"/>
      <c r="J31" s="81"/>
      <c r="K31" s="81"/>
      <c r="L31" s="81"/>
      <c r="M31" s="81"/>
      <c r="N31" s="81"/>
      <c r="O31" s="81"/>
      <c r="P31" s="81"/>
      <c r="Q31" s="81"/>
      <c r="R31" s="81"/>
      <c r="S31" s="81"/>
      <c r="T31" s="81"/>
      <c r="U31" s="81"/>
      <c r="V31" s="81"/>
      <c r="W31" s="81"/>
      <c r="X31" s="81"/>
      <c r="Y31" s="81"/>
      <c r="Z31" s="81"/>
    </row>
    <row r="32" ht="15.75" customHeight="1">
      <c r="A32" s="91" t="s">
        <v>26</v>
      </c>
      <c r="B32" s="83" t="s">
        <v>3179</v>
      </c>
      <c r="C32" s="92" t="s">
        <v>3199</v>
      </c>
      <c r="D32" s="89" t="s">
        <v>3164</v>
      </c>
      <c r="E32" s="80"/>
      <c r="F32" s="81"/>
      <c r="G32" s="81"/>
      <c r="H32" s="81"/>
      <c r="I32" s="81"/>
      <c r="J32" s="81"/>
      <c r="K32" s="81"/>
      <c r="L32" s="81"/>
      <c r="M32" s="81"/>
      <c r="N32" s="81"/>
      <c r="O32" s="81"/>
      <c r="P32" s="81"/>
      <c r="Q32" s="81"/>
      <c r="R32" s="81"/>
      <c r="S32" s="81"/>
      <c r="T32" s="81"/>
      <c r="U32" s="81"/>
      <c r="V32" s="81"/>
      <c r="W32" s="81"/>
      <c r="X32" s="81"/>
      <c r="Y32" s="81"/>
      <c r="Z32" s="81"/>
    </row>
    <row r="33" ht="15.75" customHeight="1">
      <c r="A33" s="91" t="s">
        <v>27</v>
      </c>
      <c r="B33" s="83" t="s">
        <v>3179</v>
      </c>
      <c r="C33" s="92" t="s">
        <v>3200</v>
      </c>
      <c r="D33" s="89" t="s">
        <v>3164</v>
      </c>
      <c r="E33" s="80"/>
      <c r="F33" s="81"/>
      <c r="G33" s="81"/>
      <c r="H33" s="81"/>
      <c r="I33" s="81"/>
      <c r="J33" s="81"/>
      <c r="K33" s="81"/>
      <c r="L33" s="81"/>
      <c r="M33" s="81"/>
      <c r="N33" s="81"/>
      <c r="O33" s="81"/>
      <c r="P33" s="81"/>
      <c r="Q33" s="81"/>
      <c r="R33" s="81"/>
      <c r="S33" s="81"/>
      <c r="T33" s="81"/>
      <c r="U33" s="81"/>
      <c r="V33" s="81"/>
      <c r="W33" s="81"/>
      <c r="X33" s="81"/>
      <c r="Y33" s="81"/>
      <c r="Z33" s="81"/>
    </row>
    <row r="34" ht="15.75" customHeight="1">
      <c r="A34" s="91" t="s">
        <v>28</v>
      </c>
      <c r="B34" s="83" t="s">
        <v>3179</v>
      </c>
      <c r="C34" s="92" t="s">
        <v>3201</v>
      </c>
      <c r="D34" s="4" t="s">
        <v>3164</v>
      </c>
      <c r="E34" s="80"/>
      <c r="F34" s="81"/>
      <c r="G34" s="81"/>
      <c r="H34" s="81"/>
      <c r="I34" s="81"/>
      <c r="J34" s="81"/>
      <c r="K34" s="81"/>
      <c r="L34" s="81"/>
      <c r="M34" s="81"/>
      <c r="N34" s="81"/>
      <c r="O34" s="81"/>
      <c r="P34" s="81"/>
      <c r="Q34" s="81"/>
      <c r="R34" s="81"/>
      <c r="S34" s="81"/>
      <c r="T34" s="81"/>
      <c r="U34" s="81"/>
      <c r="V34" s="81"/>
      <c r="W34" s="81"/>
      <c r="X34" s="81"/>
      <c r="Y34" s="81"/>
      <c r="Z34" s="81"/>
    </row>
    <row r="35" ht="15.75" customHeight="1">
      <c r="A35" s="77" t="s">
        <v>29</v>
      </c>
      <c r="B35" s="78" t="s">
        <v>3202</v>
      </c>
      <c r="C35" s="78" t="s">
        <v>3203</v>
      </c>
      <c r="D35" s="79" t="s">
        <v>3164</v>
      </c>
      <c r="E35" s="80"/>
      <c r="F35" s="81"/>
      <c r="G35" s="81"/>
      <c r="H35" s="81"/>
      <c r="I35" s="81"/>
      <c r="J35" s="81"/>
      <c r="K35" s="81"/>
      <c r="L35" s="81"/>
      <c r="M35" s="81"/>
      <c r="N35" s="81"/>
      <c r="O35" s="81"/>
      <c r="P35" s="81"/>
      <c r="Q35" s="81"/>
      <c r="R35" s="81"/>
      <c r="S35" s="81"/>
      <c r="T35" s="81"/>
      <c r="U35" s="81"/>
      <c r="V35" s="81"/>
      <c r="W35" s="81"/>
      <c r="X35" s="81"/>
      <c r="Y35" s="81"/>
      <c r="Z35" s="81"/>
    </row>
    <row r="36" ht="15.75" customHeight="1">
      <c r="B36" s="84" t="s">
        <v>287</v>
      </c>
      <c r="C36" s="78" t="s">
        <v>3204</v>
      </c>
      <c r="D36" s="85" t="s">
        <v>3164</v>
      </c>
      <c r="E36" s="80"/>
      <c r="F36" s="81"/>
      <c r="G36" s="81"/>
      <c r="H36" s="81"/>
      <c r="I36" s="81"/>
      <c r="J36" s="81"/>
      <c r="K36" s="81"/>
      <c r="L36" s="81"/>
      <c r="M36" s="81"/>
      <c r="N36" s="81"/>
      <c r="O36" s="81"/>
      <c r="P36" s="81"/>
      <c r="Q36" s="81"/>
      <c r="R36" s="81"/>
      <c r="S36" s="81"/>
      <c r="T36" s="81"/>
      <c r="U36" s="81"/>
      <c r="V36" s="81"/>
      <c r="W36" s="81"/>
      <c r="X36" s="81"/>
      <c r="Y36" s="81"/>
      <c r="Z36" s="81"/>
    </row>
    <row r="37" ht="15.75" customHeight="1">
      <c r="B37" s="84" t="s">
        <v>94</v>
      </c>
      <c r="C37" s="78" t="s">
        <v>3205</v>
      </c>
      <c r="D37" s="85" t="s">
        <v>3164</v>
      </c>
      <c r="E37" s="80"/>
      <c r="F37" s="81"/>
      <c r="G37" s="81"/>
      <c r="H37" s="81"/>
      <c r="I37" s="81"/>
      <c r="J37" s="81"/>
      <c r="K37" s="81"/>
      <c r="L37" s="81"/>
      <c r="M37" s="81"/>
      <c r="N37" s="81"/>
      <c r="O37" s="81"/>
      <c r="P37" s="81"/>
      <c r="Q37" s="81"/>
      <c r="R37" s="81"/>
      <c r="S37" s="81"/>
      <c r="T37" s="81"/>
      <c r="U37" s="81"/>
      <c r="V37" s="81"/>
      <c r="W37" s="81"/>
      <c r="X37" s="81"/>
      <c r="Y37" s="81"/>
      <c r="Z37" s="81"/>
    </row>
    <row r="38" ht="15.75" customHeight="1">
      <c r="B38" s="84" t="s">
        <v>1135</v>
      </c>
      <c r="C38" s="78" t="s">
        <v>3206</v>
      </c>
      <c r="D38" s="85" t="s">
        <v>3164</v>
      </c>
      <c r="E38" s="80"/>
      <c r="F38" s="81"/>
      <c r="G38" s="81"/>
      <c r="H38" s="81"/>
      <c r="I38" s="81"/>
      <c r="J38" s="81"/>
      <c r="K38" s="81"/>
      <c r="L38" s="81"/>
      <c r="M38" s="81"/>
      <c r="N38" s="81"/>
      <c r="O38" s="81"/>
      <c r="P38" s="81"/>
      <c r="Q38" s="81"/>
      <c r="R38" s="81"/>
      <c r="S38" s="81"/>
      <c r="T38" s="81"/>
      <c r="U38" s="81"/>
      <c r="V38" s="81"/>
      <c r="W38" s="81"/>
      <c r="X38" s="81"/>
      <c r="Y38" s="81"/>
      <c r="Z38" s="81"/>
    </row>
    <row r="39" ht="15.75" customHeight="1">
      <c r="B39" s="84" t="s">
        <v>148</v>
      </c>
      <c r="C39" s="78" t="s">
        <v>3207</v>
      </c>
      <c r="D39" s="85" t="s">
        <v>3164</v>
      </c>
      <c r="E39" s="80"/>
      <c r="F39" s="81"/>
      <c r="G39" s="81"/>
      <c r="H39" s="81"/>
      <c r="I39" s="81"/>
      <c r="J39" s="81"/>
      <c r="K39" s="81"/>
      <c r="L39" s="81"/>
      <c r="M39" s="81"/>
      <c r="N39" s="81"/>
      <c r="O39" s="81"/>
      <c r="P39" s="81"/>
      <c r="Q39" s="81"/>
      <c r="R39" s="81"/>
      <c r="S39" s="81"/>
      <c r="T39" s="81"/>
      <c r="U39" s="81"/>
      <c r="V39" s="81"/>
      <c r="W39" s="81"/>
      <c r="X39" s="81"/>
      <c r="Y39" s="81"/>
      <c r="Z39" s="81"/>
    </row>
    <row r="40" ht="15.75" customHeight="1">
      <c r="B40" s="78" t="s">
        <v>112</v>
      </c>
      <c r="C40" s="78" t="s">
        <v>3208</v>
      </c>
      <c r="D40" s="79" t="s">
        <v>3164</v>
      </c>
      <c r="E40" s="80"/>
      <c r="F40" s="81"/>
      <c r="G40" s="81"/>
      <c r="H40" s="81"/>
      <c r="I40" s="81"/>
      <c r="J40" s="81"/>
      <c r="K40" s="81"/>
      <c r="L40" s="81"/>
      <c r="M40" s="81"/>
      <c r="N40" s="81"/>
      <c r="O40" s="81"/>
      <c r="P40" s="81"/>
      <c r="Q40" s="81"/>
      <c r="R40" s="81"/>
      <c r="S40" s="81"/>
      <c r="T40" s="81"/>
      <c r="U40" s="81"/>
      <c r="V40" s="81"/>
      <c r="W40" s="81"/>
      <c r="X40" s="81"/>
      <c r="Y40" s="81"/>
      <c r="Z40" s="81"/>
    </row>
    <row r="41" ht="15.75" customHeight="1">
      <c r="B41" s="78" t="s">
        <v>231</v>
      </c>
      <c r="C41" s="78" t="s">
        <v>3209</v>
      </c>
      <c r="D41" s="79" t="s">
        <v>3164</v>
      </c>
      <c r="E41" s="80"/>
      <c r="F41" s="81"/>
      <c r="G41" s="81"/>
      <c r="H41" s="81"/>
      <c r="I41" s="81"/>
      <c r="J41" s="81"/>
      <c r="K41" s="81"/>
      <c r="L41" s="81"/>
      <c r="M41" s="81"/>
      <c r="N41" s="81"/>
      <c r="O41" s="81"/>
      <c r="P41" s="81"/>
      <c r="Q41" s="81"/>
      <c r="R41" s="81"/>
      <c r="S41" s="81"/>
      <c r="T41" s="81"/>
      <c r="U41" s="81"/>
      <c r="V41" s="81"/>
      <c r="W41" s="81"/>
      <c r="X41" s="81"/>
      <c r="Y41" s="81"/>
      <c r="Z41" s="81"/>
    </row>
    <row r="42" ht="15.75" customHeight="1">
      <c r="A42" s="93" t="s">
        <v>30</v>
      </c>
      <c r="B42" s="83" t="s">
        <v>3179</v>
      </c>
      <c r="C42" s="83" t="s">
        <v>3210</v>
      </c>
      <c r="D42" s="89" t="s">
        <v>3164</v>
      </c>
      <c r="E42" s="80"/>
      <c r="F42" s="81"/>
      <c r="G42" s="81"/>
      <c r="H42" s="81"/>
      <c r="I42" s="81"/>
      <c r="J42" s="81"/>
      <c r="K42" s="81"/>
      <c r="L42" s="81"/>
      <c r="M42" s="81"/>
      <c r="N42" s="81"/>
      <c r="O42" s="81"/>
      <c r="P42" s="81"/>
      <c r="Q42" s="81"/>
      <c r="R42" s="81"/>
      <c r="S42" s="81"/>
      <c r="T42" s="81"/>
      <c r="U42" s="81"/>
      <c r="V42" s="81"/>
      <c r="W42" s="81"/>
      <c r="X42" s="81"/>
      <c r="Y42" s="81"/>
      <c r="Z42" s="81"/>
    </row>
    <row r="43" ht="15.75" customHeight="1">
      <c r="A43" s="77" t="s">
        <v>31</v>
      </c>
      <c r="B43" s="78" t="s">
        <v>3164</v>
      </c>
      <c r="C43" s="78" t="s">
        <v>3211</v>
      </c>
      <c r="D43" s="79" t="s">
        <v>3164</v>
      </c>
      <c r="E43" s="80"/>
      <c r="F43" s="81"/>
      <c r="G43" s="81"/>
      <c r="H43" s="81"/>
      <c r="I43" s="81"/>
      <c r="J43" s="81"/>
      <c r="K43" s="81"/>
      <c r="L43" s="81"/>
      <c r="M43" s="81"/>
      <c r="N43" s="81"/>
      <c r="O43" s="81"/>
      <c r="P43" s="81"/>
      <c r="Q43" s="81"/>
      <c r="R43" s="81"/>
      <c r="S43" s="81"/>
      <c r="T43" s="81"/>
      <c r="U43" s="81"/>
      <c r="V43" s="81"/>
      <c r="W43" s="81"/>
      <c r="X43" s="81"/>
      <c r="Y43" s="81"/>
      <c r="Z43" s="81"/>
    </row>
    <row r="44" ht="15.75" customHeight="1">
      <c r="A44" s="93" t="s">
        <v>32</v>
      </c>
      <c r="B44" s="83" t="s">
        <v>3164</v>
      </c>
      <c r="C44" s="83" t="s">
        <v>3212</v>
      </c>
      <c r="D44" s="4" t="s">
        <v>3164</v>
      </c>
      <c r="E44" s="80"/>
      <c r="F44" s="81"/>
      <c r="G44" s="81"/>
      <c r="H44" s="81"/>
      <c r="I44" s="81"/>
      <c r="J44" s="81"/>
      <c r="K44" s="81"/>
      <c r="L44" s="81"/>
      <c r="M44" s="81"/>
      <c r="N44" s="81"/>
      <c r="O44" s="81"/>
      <c r="P44" s="81"/>
      <c r="Q44" s="81"/>
      <c r="R44" s="81"/>
      <c r="S44" s="81"/>
      <c r="T44" s="81"/>
      <c r="U44" s="81"/>
      <c r="V44" s="81"/>
      <c r="W44" s="81"/>
      <c r="X44" s="81"/>
      <c r="Y44" s="81"/>
      <c r="Z44" s="81"/>
    </row>
    <row r="45" ht="15.75" customHeight="1">
      <c r="A45" s="94" t="s">
        <v>33</v>
      </c>
      <c r="B45" s="78" t="s">
        <v>3179</v>
      </c>
      <c r="C45" s="78" t="s">
        <v>3213</v>
      </c>
      <c r="D45" s="85" t="s">
        <v>3164</v>
      </c>
      <c r="E45" s="80"/>
      <c r="F45" s="81"/>
      <c r="G45" s="81"/>
      <c r="H45" s="81"/>
      <c r="I45" s="81"/>
      <c r="J45" s="81"/>
      <c r="K45" s="81"/>
      <c r="L45" s="81"/>
      <c r="M45" s="81"/>
      <c r="N45" s="81"/>
      <c r="O45" s="81"/>
      <c r="P45" s="81"/>
      <c r="Q45" s="81"/>
      <c r="R45" s="81"/>
      <c r="S45" s="81"/>
      <c r="T45" s="81"/>
      <c r="U45" s="81"/>
      <c r="V45" s="81"/>
      <c r="W45" s="81"/>
      <c r="X45" s="81"/>
      <c r="Y45" s="81"/>
      <c r="Z45" s="81"/>
    </row>
    <row r="46" ht="15.75" customHeight="1">
      <c r="A46" s="94" t="s">
        <v>34</v>
      </c>
      <c r="B46" s="78" t="s">
        <v>3179</v>
      </c>
      <c r="C46" s="78" t="s">
        <v>3214</v>
      </c>
      <c r="D46" s="79" t="s">
        <v>3164</v>
      </c>
      <c r="E46" s="80"/>
      <c r="F46" s="81"/>
      <c r="G46" s="81"/>
      <c r="H46" s="81"/>
      <c r="I46" s="81"/>
      <c r="J46" s="81"/>
      <c r="K46" s="81"/>
      <c r="L46" s="81"/>
      <c r="M46" s="81"/>
      <c r="N46" s="81"/>
      <c r="O46" s="81"/>
      <c r="P46" s="81"/>
      <c r="Q46" s="81"/>
      <c r="R46" s="81"/>
      <c r="S46" s="81"/>
      <c r="T46" s="81"/>
      <c r="U46" s="81"/>
      <c r="V46" s="81"/>
      <c r="W46" s="81"/>
      <c r="X46" s="81"/>
      <c r="Y46" s="81"/>
      <c r="Z46" s="81"/>
    </row>
    <row r="47" ht="15.75" customHeight="1">
      <c r="A47" s="94" t="s">
        <v>35</v>
      </c>
      <c r="B47" s="78" t="s">
        <v>3179</v>
      </c>
      <c r="C47" s="78" t="s">
        <v>3215</v>
      </c>
      <c r="D47" s="79" t="s">
        <v>3164</v>
      </c>
      <c r="E47" s="80"/>
      <c r="F47" s="81"/>
      <c r="G47" s="81"/>
      <c r="H47" s="81"/>
      <c r="I47" s="81"/>
      <c r="J47" s="81"/>
      <c r="K47" s="81"/>
      <c r="L47" s="81"/>
      <c r="M47" s="81"/>
      <c r="N47" s="81"/>
      <c r="O47" s="81"/>
      <c r="P47" s="81"/>
      <c r="Q47" s="81"/>
      <c r="R47" s="81"/>
      <c r="S47" s="81"/>
      <c r="T47" s="81"/>
      <c r="U47" s="81"/>
      <c r="V47" s="81"/>
      <c r="W47" s="81"/>
      <c r="X47" s="81"/>
      <c r="Y47" s="81"/>
      <c r="Z47" s="81"/>
    </row>
    <row r="48" ht="15.75" customHeight="1">
      <c r="A48" s="94" t="s">
        <v>36</v>
      </c>
      <c r="B48" s="78" t="s">
        <v>3179</v>
      </c>
      <c r="C48" s="78" t="s">
        <v>3216</v>
      </c>
      <c r="D48" s="79" t="s">
        <v>3164</v>
      </c>
      <c r="E48" s="80"/>
      <c r="F48" s="81"/>
      <c r="G48" s="81"/>
      <c r="H48" s="81"/>
      <c r="I48" s="81"/>
      <c r="J48" s="81"/>
      <c r="K48" s="81"/>
      <c r="L48" s="81"/>
      <c r="M48" s="81"/>
      <c r="N48" s="81"/>
      <c r="O48" s="81"/>
      <c r="P48" s="81"/>
      <c r="Q48" s="81"/>
      <c r="R48" s="81"/>
      <c r="S48" s="81"/>
      <c r="T48" s="81"/>
      <c r="U48" s="81"/>
      <c r="V48" s="81"/>
      <c r="W48" s="81"/>
      <c r="X48" s="81"/>
      <c r="Y48" s="81"/>
      <c r="Z48" s="81"/>
    </row>
    <row r="49" ht="15.75" customHeight="1">
      <c r="A49" s="93" t="s">
        <v>37</v>
      </c>
      <c r="B49" s="83" t="s">
        <v>3164</v>
      </c>
      <c r="C49" s="83" t="s">
        <v>3217</v>
      </c>
      <c r="D49" s="4" t="s">
        <v>3164</v>
      </c>
      <c r="E49" s="80"/>
      <c r="F49" s="81"/>
      <c r="G49" s="81"/>
      <c r="H49" s="81"/>
      <c r="I49" s="81"/>
      <c r="J49" s="81"/>
      <c r="K49" s="81"/>
      <c r="L49" s="81"/>
      <c r="M49" s="81"/>
      <c r="N49" s="81"/>
      <c r="O49" s="81"/>
      <c r="P49" s="81"/>
      <c r="Q49" s="81"/>
      <c r="R49" s="81"/>
      <c r="S49" s="81"/>
      <c r="T49" s="81"/>
      <c r="U49" s="81"/>
      <c r="V49" s="81"/>
      <c r="W49" s="81"/>
      <c r="X49" s="81"/>
      <c r="Y49" s="81"/>
      <c r="Z49" s="81"/>
    </row>
    <row r="50" ht="15.75" customHeight="1">
      <c r="A50" s="93" t="s">
        <v>38</v>
      </c>
      <c r="B50" s="83" t="s">
        <v>3218</v>
      </c>
      <c r="C50" s="83" t="s">
        <v>3219</v>
      </c>
      <c r="D50" s="4" t="s">
        <v>3164</v>
      </c>
      <c r="E50" s="80"/>
      <c r="F50" s="81"/>
      <c r="G50" s="81"/>
      <c r="H50" s="81"/>
      <c r="I50" s="81"/>
      <c r="J50" s="81"/>
      <c r="K50" s="81"/>
      <c r="L50" s="81"/>
      <c r="M50" s="81"/>
      <c r="N50" s="81"/>
      <c r="O50" s="81"/>
      <c r="P50" s="81"/>
      <c r="Q50" s="81"/>
      <c r="R50" s="81"/>
      <c r="S50" s="81"/>
      <c r="T50" s="81"/>
      <c r="U50" s="81"/>
      <c r="V50" s="81"/>
      <c r="W50" s="81"/>
      <c r="X50" s="81"/>
      <c r="Y50" s="81"/>
      <c r="Z50" s="81"/>
    </row>
    <row r="51" ht="15.75" customHeight="1">
      <c r="A51" s="93" t="s">
        <v>39</v>
      </c>
      <c r="B51" s="83" t="s">
        <v>3184</v>
      </c>
      <c r="C51" s="83" t="s">
        <v>3220</v>
      </c>
      <c r="D51" s="4" t="s">
        <v>3164</v>
      </c>
      <c r="E51" s="80"/>
      <c r="F51" s="81"/>
      <c r="G51" s="81"/>
      <c r="H51" s="81"/>
      <c r="I51" s="81"/>
      <c r="J51" s="81"/>
      <c r="K51" s="81"/>
      <c r="L51" s="81"/>
      <c r="M51" s="81"/>
      <c r="N51" s="81"/>
      <c r="O51" s="81"/>
      <c r="P51" s="81"/>
      <c r="Q51" s="81"/>
      <c r="R51" s="81"/>
      <c r="S51" s="81"/>
      <c r="T51" s="81"/>
      <c r="U51" s="81"/>
      <c r="V51" s="81"/>
      <c r="W51" s="81"/>
      <c r="X51" s="81"/>
      <c r="Y51" s="81"/>
      <c r="Z51" s="81"/>
    </row>
    <row r="52" ht="15.75" customHeight="1">
      <c r="A52" s="77" t="s">
        <v>40</v>
      </c>
      <c r="B52" s="84" t="s">
        <v>3164</v>
      </c>
      <c r="C52" s="78" t="s">
        <v>3221</v>
      </c>
      <c r="D52" s="85" t="s">
        <v>3164</v>
      </c>
      <c r="E52" s="80"/>
      <c r="F52" s="81"/>
      <c r="G52" s="81"/>
      <c r="H52" s="81"/>
      <c r="I52" s="81"/>
      <c r="J52" s="81"/>
      <c r="K52" s="81"/>
      <c r="L52" s="81"/>
      <c r="M52" s="81"/>
      <c r="N52" s="81"/>
      <c r="O52" s="81"/>
      <c r="P52" s="81"/>
      <c r="Q52" s="81"/>
      <c r="R52" s="81"/>
      <c r="S52" s="81"/>
      <c r="T52" s="81"/>
      <c r="U52" s="81"/>
      <c r="V52" s="81"/>
      <c r="W52" s="81"/>
      <c r="X52" s="81"/>
      <c r="Y52" s="81"/>
      <c r="Z52" s="81"/>
    </row>
    <row r="53" ht="15.75" customHeight="1">
      <c r="A53" s="82" t="s">
        <v>49</v>
      </c>
      <c r="B53" s="83" t="s">
        <v>3164</v>
      </c>
      <c r="C53" s="83" t="s">
        <v>3222</v>
      </c>
      <c r="D53" s="4" t="s">
        <v>3164</v>
      </c>
      <c r="E53" s="80"/>
      <c r="F53" s="81"/>
      <c r="G53" s="81"/>
      <c r="H53" s="81"/>
      <c r="I53" s="81"/>
      <c r="J53" s="81"/>
      <c r="K53" s="81"/>
      <c r="L53" s="81"/>
      <c r="M53" s="81"/>
      <c r="N53" s="81"/>
      <c r="O53" s="81"/>
      <c r="P53" s="81"/>
      <c r="Q53" s="81"/>
      <c r="R53" s="81"/>
      <c r="S53" s="81"/>
      <c r="T53" s="81"/>
      <c r="U53" s="81"/>
      <c r="V53" s="81"/>
      <c r="W53" s="81"/>
      <c r="X53" s="81"/>
      <c r="Y53" s="81"/>
      <c r="Z53" s="81"/>
    </row>
    <row r="54" ht="15.75" customHeight="1">
      <c r="A54" s="82" t="s">
        <v>50</v>
      </c>
      <c r="B54" s="83" t="s">
        <v>3184</v>
      </c>
      <c r="C54" s="83" t="s">
        <v>3223</v>
      </c>
      <c r="D54" s="4" t="s">
        <v>3164</v>
      </c>
      <c r="E54" s="80"/>
      <c r="F54" s="81"/>
      <c r="G54" s="81"/>
      <c r="H54" s="81"/>
      <c r="I54" s="81"/>
      <c r="J54" s="81"/>
      <c r="K54" s="81"/>
      <c r="L54" s="81"/>
      <c r="M54" s="81"/>
      <c r="N54" s="81"/>
      <c r="O54" s="81"/>
      <c r="P54" s="81"/>
      <c r="Q54" s="81"/>
      <c r="R54" s="81"/>
      <c r="S54" s="81"/>
      <c r="T54" s="81"/>
      <c r="U54" s="81"/>
      <c r="V54" s="81"/>
      <c r="W54" s="81"/>
      <c r="X54" s="81"/>
      <c r="Y54" s="81"/>
      <c r="Z54" s="81"/>
    </row>
    <row r="55" ht="15.75" customHeight="1">
      <c r="A55" s="82" t="s">
        <v>51</v>
      </c>
      <c r="B55" s="83" t="s">
        <v>3164</v>
      </c>
      <c r="C55" s="83" t="s">
        <v>3224</v>
      </c>
      <c r="D55" s="4" t="s">
        <v>3164</v>
      </c>
      <c r="E55" s="80"/>
      <c r="F55" s="81"/>
      <c r="G55" s="81"/>
      <c r="H55" s="81"/>
      <c r="I55" s="81"/>
      <c r="J55" s="81"/>
      <c r="K55" s="81"/>
      <c r="L55" s="81"/>
      <c r="M55" s="81"/>
      <c r="N55" s="81"/>
      <c r="O55" s="81"/>
      <c r="P55" s="81"/>
      <c r="Q55" s="81"/>
      <c r="R55" s="81"/>
      <c r="S55" s="81"/>
      <c r="T55" s="81"/>
      <c r="U55" s="81"/>
      <c r="V55" s="81"/>
      <c r="W55" s="81"/>
      <c r="X55" s="81"/>
      <c r="Y55" s="81"/>
      <c r="Z55" s="81"/>
    </row>
    <row r="56" ht="15.75" customHeight="1">
      <c r="A56" s="82" t="s">
        <v>52</v>
      </c>
      <c r="B56" s="83" t="s">
        <v>3225</v>
      </c>
      <c r="C56" s="83" t="s">
        <v>3226</v>
      </c>
      <c r="D56" s="4" t="s">
        <v>3164</v>
      </c>
      <c r="E56" s="80"/>
      <c r="F56" s="81"/>
      <c r="G56" s="81"/>
      <c r="H56" s="81"/>
      <c r="I56" s="81"/>
      <c r="J56" s="81"/>
      <c r="K56" s="81"/>
      <c r="L56" s="81"/>
      <c r="M56" s="81"/>
      <c r="N56" s="81"/>
      <c r="O56" s="81"/>
      <c r="P56" s="81"/>
      <c r="Q56" s="81"/>
      <c r="R56" s="81"/>
      <c r="S56" s="81"/>
      <c r="T56" s="81"/>
      <c r="U56" s="81"/>
      <c r="V56" s="81"/>
      <c r="W56" s="81"/>
      <c r="X56" s="81"/>
      <c r="Y56" s="81"/>
      <c r="Z56" s="81"/>
    </row>
    <row r="57" ht="15.75" customHeight="1">
      <c r="A57" s="82" t="s">
        <v>53</v>
      </c>
      <c r="B57" s="83" t="s">
        <v>3227</v>
      </c>
      <c r="C57" s="83" t="s">
        <v>3228</v>
      </c>
      <c r="D57" s="4" t="s">
        <v>3164</v>
      </c>
      <c r="E57" s="80"/>
      <c r="F57" s="81"/>
      <c r="G57" s="81"/>
      <c r="H57" s="81"/>
      <c r="I57" s="81"/>
      <c r="J57" s="81"/>
      <c r="K57" s="81"/>
      <c r="L57" s="81"/>
      <c r="M57" s="81"/>
      <c r="N57" s="81"/>
      <c r="O57" s="81"/>
      <c r="P57" s="81"/>
      <c r="Q57" s="81"/>
      <c r="R57" s="81"/>
      <c r="S57" s="81"/>
      <c r="T57" s="81"/>
      <c r="U57" s="81"/>
      <c r="V57" s="81"/>
      <c r="W57" s="81"/>
      <c r="X57" s="81"/>
      <c r="Y57" s="81"/>
      <c r="Z57" s="81"/>
    </row>
    <row r="58" ht="15.75" customHeight="1">
      <c r="A58" s="83" t="s">
        <v>54</v>
      </c>
      <c r="B58" s="95" t="s">
        <v>3179</v>
      </c>
      <c r="C58" s="83" t="s">
        <v>3229</v>
      </c>
      <c r="D58" s="89" t="s">
        <v>3164</v>
      </c>
      <c r="E58" s="80"/>
      <c r="F58" s="81"/>
      <c r="G58" s="81"/>
      <c r="H58" s="81"/>
      <c r="I58" s="81"/>
      <c r="J58" s="81"/>
      <c r="K58" s="81"/>
      <c r="L58" s="81"/>
      <c r="M58" s="81"/>
      <c r="N58" s="81"/>
      <c r="O58" s="81"/>
      <c r="P58" s="81"/>
      <c r="Q58" s="81"/>
      <c r="R58" s="81"/>
      <c r="S58" s="81"/>
      <c r="T58" s="81"/>
      <c r="U58" s="81"/>
      <c r="V58" s="81"/>
      <c r="W58" s="81"/>
      <c r="X58" s="81"/>
      <c r="Y58" s="81"/>
      <c r="Z58" s="81"/>
    </row>
    <row r="59" ht="15.75" customHeight="1">
      <c r="A59" s="83" t="s">
        <v>55</v>
      </c>
      <c r="B59" s="95" t="s">
        <v>3179</v>
      </c>
      <c r="C59" s="83" t="s">
        <v>3230</v>
      </c>
      <c r="D59" s="89" t="s">
        <v>3164</v>
      </c>
      <c r="E59" s="80"/>
      <c r="F59" s="81"/>
      <c r="G59" s="81"/>
      <c r="H59" s="81"/>
      <c r="I59" s="81"/>
      <c r="J59" s="81"/>
      <c r="K59" s="81"/>
      <c r="L59" s="81"/>
      <c r="M59" s="81"/>
      <c r="N59" s="81"/>
      <c r="O59" s="81"/>
      <c r="P59" s="81"/>
      <c r="Q59" s="81"/>
      <c r="R59" s="81"/>
      <c r="S59" s="81"/>
      <c r="T59" s="81"/>
      <c r="U59" s="81"/>
      <c r="V59" s="81"/>
      <c r="W59" s="81"/>
      <c r="X59" s="81"/>
      <c r="Y59" s="81"/>
      <c r="Z59" s="81"/>
    </row>
    <row r="60" ht="15.75" customHeight="1">
      <c r="A60" s="83" t="s">
        <v>56</v>
      </c>
      <c r="B60" s="95" t="s">
        <v>3179</v>
      </c>
      <c r="C60" s="83" t="s">
        <v>3231</v>
      </c>
      <c r="D60" s="89" t="s">
        <v>3164</v>
      </c>
      <c r="E60" s="80"/>
      <c r="F60" s="81"/>
      <c r="G60" s="81"/>
      <c r="H60" s="81"/>
      <c r="I60" s="81"/>
      <c r="J60" s="81"/>
      <c r="K60" s="81"/>
      <c r="L60" s="81"/>
      <c r="M60" s="81"/>
      <c r="N60" s="81"/>
      <c r="O60" s="81"/>
      <c r="P60" s="81"/>
      <c r="Q60" s="81"/>
      <c r="R60" s="81"/>
      <c r="S60" s="81"/>
      <c r="T60" s="81"/>
      <c r="U60" s="81"/>
      <c r="V60" s="81"/>
      <c r="W60" s="81"/>
      <c r="X60" s="81"/>
      <c r="Y60" s="81"/>
      <c r="Z60" s="81"/>
    </row>
    <row r="61" ht="15.75" customHeight="1">
      <c r="A61" s="83" t="s">
        <v>57</v>
      </c>
      <c r="B61" s="95" t="s">
        <v>3179</v>
      </c>
      <c r="C61" s="83" t="s">
        <v>3232</v>
      </c>
      <c r="D61" s="89" t="s">
        <v>3164</v>
      </c>
      <c r="E61" s="80"/>
      <c r="F61" s="81"/>
      <c r="G61" s="81"/>
      <c r="H61" s="81"/>
      <c r="I61" s="81"/>
      <c r="J61" s="81"/>
      <c r="K61" s="81"/>
      <c r="L61" s="81"/>
      <c r="M61" s="81"/>
      <c r="N61" s="81"/>
      <c r="O61" s="81"/>
      <c r="P61" s="81"/>
      <c r="Q61" s="81"/>
      <c r="R61" s="81"/>
      <c r="S61" s="81"/>
      <c r="T61" s="81"/>
      <c r="U61" s="81"/>
      <c r="V61" s="81"/>
      <c r="W61" s="81"/>
      <c r="X61" s="81"/>
      <c r="Y61" s="81"/>
      <c r="Z61" s="81"/>
    </row>
    <row r="62" ht="15.75" customHeight="1">
      <c r="A62" s="83" t="s">
        <v>58</v>
      </c>
      <c r="B62" s="95" t="s">
        <v>3179</v>
      </c>
      <c r="C62" s="83" t="s">
        <v>3233</v>
      </c>
      <c r="D62" s="89" t="s">
        <v>3164</v>
      </c>
      <c r="E62" s="80"/>
      <c r="F62" s="81"/>
      <c r="G62" s="81"/>
      <c r="H62" s="81"/>
      <c r="I62" s="81"/>
      <c r="J62" s="81"/>
      <c r="K62" s="81"/>
      <c r="L62" s="81"/>
      <c r="M62" s="81"/>
      <c r="N62" s="81"/>
      <c r="O62" s="81"/>
      <c r="P62" s="81"/>
      <c r="Q62" s="81"/>
      <c r="R62" s="81"/>
      <c r="S62" s="81"/>
      <c r="T62" s="81"/>
      <c r="U62" s="81"/>
      <c r="V62" s="81"/>
      <c r="W62" s="81"/>
      <c r="X62" s="81"/>
      <c r="Y62" s="81"/>
      <c r="Z62" s="81"/>
    </row>
    <row r="63" ht="15.75" customHeight="1">
      <c r="A63" s="83" t="s">
        <v>59</v>
      </c>
      <c r="B63" s="95" t="s">
        <v>3179</v>
      </c>
      <c r="C63" s="83" t="s">
        <v>3234</v>
      </c>
      <c r="D63" s="89" t="s">
        <v>3164</v>
      </c>
      <c r="E63" s="80"/>
      <c r="F63" s="81"/>
      <c r="G63" s="81"/>
      <c r="H63" s="81"/>
      <c r="I63" s="81"/>
      <c r="J63" s="81"/>
      <c r="K63" s="81"/>
      <c r="L63" s="81"/>
      <c r="M63" s="81"/>
      <c r="N63" s="81"/>
      <c r="O63" s="81"/>
      <c r="P63" s="81"/>
      <c r="Q63" s="81"/>
      <c r="R63" s="81"/>
      <c r="S63" s="81"/>
      <c r="T63" s="81"/>
      <c r="U63" s="81"/>
      <c r="V63" s="81"/>
      <c r="W63" s="81"/>
      <c r="X63" s="81"/>
      <c r="Y63" s="81"/>
      <c r="Z63" s="81"/>
    </row>
    <row r="64" ht="15.75" customHeight="1">
      <c r="A64" s="94" t="s">
        <v>60</v>
      </c>
      <c r="B64" s="78" t="s">
        <v>3179</v>
      </c>
      <c r="C64" s="78" t="s">
        <v>3235</v>
      </c>
      <c r="D64" s="85" t="s">
        <v>3164</v>
      </c>
      <c r="E64" s="80"/>
      <c r="F64" s="81"/>
      <c r="G64" s="81"/>
      <c r="H64" s="81"/>
      <c r="I64" s="81"/>
      <c r="J64" s="81"/>
      <c r="K64" s="81"/>
      <c r="L64" s="81"/>
      <c r="M64" s="81"/>
      <c r="N64" s="81"/>
      <c r="O64" s="81"/>
      <c r="P64" s="81"/>
      <c r="Q64" s="81"/>
      <c r="R64" s="81"/>
      <c r="S64" s="81"/>
      <c r="T64" s="81"/>
      <c r="U64" s="81"/>
      <c r="V64" s="81"/>
      <c r="W64" s="81"/>
      <c r="X64" s="81"/>
      <c r="Y64" s="81"/>
      <c r="Z64" s="81"/>
    </row>
    <row r="65">
      <c r="A65" s="93" t="s">
        <v>61</v>
      </c>
      <c r="B65" s="83" t="s">
        <v>3164</v>
      </c>
      <c r="C65" s="83" t="s">
        <v>3236</v>
      </c>
      <c r="D65" s="4" t="s">
        <v>3164</v>
      </c>
      <c r="E65" s="80"/>
      <c r="F65" s="81"/>
      <c r="G65" s="81"/>
      <c r="H65" s="81"/>
      <c r="I65" s="81"/>
      <c r="J65" s="81"/>
      <c r="K65" s="81"/>
      <c r="L65" s="81"/>
      <c r="M65" s="81"/>
      <c r="N65" s="81"/>
      <c r="O65" s="81"/>
      <c r="P65" s="81"/>
      <c r="Q65" s="81"/>
      <c r="R65" s="81"/>
      <c r="S65" s="81"/>
      <c r="T65" s="81"/>
      <c r="U65" s="81"/>
      <c r="V65" s="81"/>
      <c r="W65" s="81"/>
      <c r="X65" s="81"/>
      <c r="Y65" s="81"/>
      <c r="Z65" s="81"/>
    </row>
    <row r="66" ht="15.75" customHeight="1">
      <c r="A66" s="93" t="s">
        <v>62</v>
      </c>
      <c r="B66" s="83" t="s">
        <v>3227</v>
      </c>
      <c r="C66" s="83" t="s">
        <v>3237</v>
      </c>
      <c r="D66" s="4" t="s">
        <v>3164</v>
      </c>
      <c r="E66" s="80"/>
      <c r="F66" s="81"/>
      <c r="G66" s="81"/>
      <c r="H66" s="81"/>
      <c r="I66" s="81"/>
      <c r="J66" s="81"/>
      <c r="K66" s="81"/>
      <c r="L66" s="81"/>
      <c r="M66" s="81"/>
      <c r="N66" s="81"/>
      <c r="O66" s="81"/>
      <c r="P66" s="81"/>
      <c r="Q66" s="81"/>
      <c r="R66" s="81"/>
      <c r="S66" s="81"/>
      <c r="T66" s="81"/>
      <c r="U66" s="81"/>
      <c r="V66" s="81"/>
      <c r="W66" s="81"/>
      <c r="X66" s="81"/>
      <c r="Y66" s="81"/>
      <c r="Z66" s="81"/>
    </row>
    <row r="67" ht="15.75" customHeight="1">
      <c r="A67" s="93" t="s">
        <v>63</v>
      </c>
      <c r="B67" s="83" t="s">
        <v>3227</v>
      </c>
      <c r="C67" s="83" t="s">
        <v>3238</v>
      </c>
      <c r="D67" s="4" t="s">
        <v>3164</v>
      </c>
      <c r="E67" s="80"/>
      <c r="F67" s="81"/>
      <c r="G67" s="81"/>
      <c r="H67" s="81"/>
      <c r="I67" s="81"/>
      <c r="J67" s="81"/>
      <c r="K67" s="81"/>
      <c r="L67" s="81"/>
      <c r="M67" s="81"/>
      <c r="N67" s="81"/>
      <c r="O67" s="81"/>
      <c r="P67" s="81"/>
      <c r="Q67" s="81"/>
      <c r="R67" s="81"/>
      <c r="S67" s="81"/>
      <c r="T67" s="81"/>
      <c r="U67" s="81"/>
      <c r="V67" s="81"/>
      <c r="W67" s="81"/>
      <c r="X67" s="81"/>
      <c r="Y67" s="81"/>
      <c r="Z67" s="81"/>
    </row>
    <row r="68" ht="15.75" customHeight="1">
      <c r="A68" s="93" t="s">
        <v>64</v>
      </c>
      <c r="B68" s="83" t="s">
        <v>3227</v>
      </c>
      <c r="C68" s="83" t="s">
        <v>3239</v>
      </c>
      <c r="D68" s="4" t="s">
        <v>3164</v>
      </c>
      <c r="E68" s="80"/>
      <c r="F68" s="81"/>
      <c r="G68" s="81"/>
      <c r="H68" s="81"/>
      <c r="I68" s="81"/>
      <c r="J68" s="81"/>
      <c r="K68" s="81"/>
      <c r="L68" s="81"/>
      <c r="M68" s="81"/>
      <c r="N68" s="81"/>
      <c r="O68" s="81"/>
      <c r="P68" s="81"/>
      <c r="Q68" s="81"/>
      <c r="R68" s="81"/>
      <c r="S68" s="81"/>
      <c r="T68" s="81"/>
      <c r="U68" s="81"/>
      <c r="V68" s="81"/>
      <c r="W68" s="81"/>
      <c r="X68" s="81"/>
      <c r="Y68" s="81"/>
      <c r="Z68" s="81"/>
    </row>
    <row r="69" ht="15.75" customHeight="1">
      <c r="A69" s="93" t="s">
        <v>65</v>
      </c>
      <c r="B69" s="83" t="s">
        <v>3227</v>
      </c>
      <c r="C69" s="83" t="s">
        <v>3240</v>
      </c>
      <c r="D69" s="4" t="s">
        <v>3164</v>
      </c>
      <c r="E69" s="80"/>
      <c r="F69" s="81"/>
      <c r="G69" s="81"/>
      <c r="H69" s="81"/>
      <c r="I69" s="81"/>
      <c r="J69" s="81"/>
      <c r="K69" s="81"/>
      <c r="L69" s="81"/>
      <c r="M69" s="81"/>
      <c r="N69" s="81"/>
      <c r="O69" s="81"/>
      <c r="P69" s="81"/>
      <c r="Q69" s="81"/>
      <c r="R69" s="81"/>
      <c r="S69" s="81"/>
      <c r="T69" s="81"/>
      <c r="U69" s="81"/>
      <c r="V69" s="81"/>
      <c r="W69" s="81"/>
      <c r="X69" s="81"/>
      <c r="Y69" s="81"/>
      <c r="Z69" s="81"/>
    </row>
    <row r="70" ht="15.75" customHeight="1">
      <c r="A70" s="93" t="s">
        <v>66</v>
      </c>
      <c r="B70" s="83" t="s">
        <v>3227</v>
      </c>
      <c r="C70" s="83" t="s">
        <v>3241</v>
      </c>
      <c r="D70" s="4" t="s">
        <v>3164</v>
      </c>
      <c r="E70" s="80"/>
      <c r="F70" s="81"/>
      <c r="G70" s="81"/>
      <c r="H70" s="81"/>
      <c r="I70" s="81"/>
      <c r="J70" s="81"/>
      <c r="K70" s="81"/>
      <c r="L70" s="81"/>
      <c r="M70" s="81"/>
      <c r="N70" s="81"/>
      <c r="O70" s="81"/>
      <c r="P70" s="81"/>
      <c r="Q70" s="81"/>
      <c r="R70" s="81"/>
      <c r="S70" s="81"/>
      <c r="T70" s="81"/>
      <c r="U70" s="81"/>
      <c r="V70" s="81"/>
      <c r="W70" s="81"/>
      <c r="X70" s="81"/>
      <c r="Y70" s="81"/>
      <c r="Z70" s="81"/>
    </row>
    <row r="71" ht="15.75" customHeight="1">
      <c r="A71" s="96" t="s">
        <v>67</v>
      </c>
      <c r="B71" s="97" t="s">
        <v>3179</v>
      </c>
      <c r="C71" s="97" t="s">
        <v>3242</v>
      </c>
      <c r="D71" s="98" t="s">
        <v>3164</v>
      </c>
      <c r="E71" s="52"/>
      <c r="F71" s="99"/>
      <c r="G71" s="99"/>
      <c r="H71" s="99"/>
      <c r="I71" s="99"/>
      <c r="J71" s="99"/>
      <c r="K71" s="99"/>
      <c r="L71" s="99"/>
      <c r="M71" s="99"/>
      <c r="N71" s="99"/>
      <c r="O71" s="99"/>
      <c r="P71" s="99"/>
      <c r="Q71" s="99"/>
      <c r="R71" s="99"/>
      <c r="S71" s="99"/>
      <c r="T71" s="99"/>
      <c r="U71" s="99"/>
      <c r="V71" s="99"/>
      <c r="W71" s="99"/>
      <c r="X71" s="99"/>
      <c r="Y71" s="99"/>
      <c r="Z71" s="99"/>
    </row>
    <row r="72" ht="15.0" customHeight="1">
      <c r="A72" s="96" t="s">
        <v>68</v>
      </c>
      <c r="B72" s="97" t="s">
        <v>3179</v>
      </c>
      <c r="C72" s="97" t="s">
        <v>3243</v>
      </c>
      <c r="D72" s="100" t="s">
        <v>3164</v>
      </c>
      <c r="E72" s="80"/>
      <c r="F72" s="81"/>
      <c r="G72" s="81"/>
      <c r="H72" s="81"/>
      <c r="I72" s="81"/>
      <c r="J72" s="81"/>
      <c r="K72" s="81"/>
      <c r="L72" s="81"/>
      <c r="M72" s="81"/>
      <c r="N72" s="81"/>
      <c r="O72" s="81"/>
      <c r="P72" s="81"/>
      <c r="Q72" s="81"/>
      <c r="R72" s="81"/>
      <c r="S72" s="81"/>
      <c r="T72" s="81"/>
      <c r="U72" s="81"/>
      <c r="V72" s="81"/>
      <c r="W72" s="81"/>
      <c r="X72" s="81"/>
      <c r="Y72" s="81"/>
      <c r="Z72" s="81"/>
    </row>
    <row r="73" ht="17.25" customHeight="1">
      <c r="A73" s="96" t="s">
        <v>69</v>
      </c>
      <c r="B73" s="97" t="s">
        <v>3179</v>
      </c>
      <c r="C73" s="97" t="s">
        <v>3244</v>
      </c>
      <c r="D73" s="98" t="s">
        <v>3164</v>
      </c>
      <c r="E73" s="80"/>
      <c r="F73" s="81"/>
      <c r="G73" s="81"/>
      <c r="H73" s="81"/>
      <c r="I73" s="81"/>
      <c r="J73" s="81"/>
      <c r="K73" s="81"/>
      <c r="L73" s="81"/>
      <c r="M73" s="81"/>
      <c r="N73" s="81"/>
      <c r="O73" s="81"/>
      <c r="P73" s="81"/>
      <c r="Q73" s="81"/>
      <c r="R73" s="81"/>
      <c r="S73" s="81"/>
      <c r="T73" s="81"/>
      <c r="U73" s="81"/>
      <c r="V73" s="81"/>
      <c r="W73" s="81"/>
      <c r="X73" s="81"/>
      <c r="Y73" s="81"/>
      <c r="Z73" s="81"/>
    </row>
    <row r="74" ht="15.75" customHeight="1">
      <c r="A74" s="96" t="s">
        <v>70</v>
      </c>
      <c r="B74" s="97" t="s">
        <v>3179</v>
      </c>
      <c r="C74" s="97" t="s">
        <v>3245</v>
      </c>
      <c r="D74" s="98" t="s">
        <v>3164</v>
      </c>
      <c r="E74" s="80"/>
      <c r="F74" s="81"/>
      <c r="G74" s="81"/>
      <c r="H74" s="81"/>
      <c r="I74" s="81"/>
      <c r="J74" s="81"/>
      <c r="K74" s="81"/>
      <c r="L74" s="81"/>
      <c r="M74" s="81"/>
      <c r="N74" s="81"/>
      <c r="O74" s="81"/>
      <c r="P74" s="81"/>
      <c r="Q74" s="81"/>
      <c r="R74" s="81"/>
      <c r="S74" s="81"/>
      <c r="T74" s="81"/>
      <c r="U74" s="81"/>
      <c r="V74" s="81"/>
      <c r="W74" s="81"/>
      <c r="X74" s="81"/>
      <c r="Y74" s="81"/>
      <c r="Z74" s="81"/>
    </row>
    <row r="75" ht="15.75" customHeight="1">
      <c r="A75" s="96" t="s">
        <v>71</v>
      </c>
      <c r="B75" s="97" t="s">
        <v>3179</v>
      </c>
      <c r="C75" s="97" t="s">
        <v>3246</v>
      </c>
      <c r="D75" s="98" t="s">
        <v>3164</v>
      </c>
      <c r="E75" s="80"/>
      <c r="F75" s="81"/>
      <c r="G75" s="81"/>
      <c r="H75" s="81"/>
      <c r="I75" s="81"/>
      <c r="J75" s="81"/>
      <c r="K75" s="81"/>
      <c r="L75" s="81"/>
      <c r="M75" s="81"/>
      <c r="N75" s="81"/>
      <c r="O75" s="81"/>
      <c r="P75" s="81"/>
      <c r="Q75" s="81"/>
      <c r="R75" s="81"/>
      <c r="S75" s="81"/>
      <c r="T75" s="81"/>
      <c r="U75" s="81"/>
      <c r="V75" s="81"/>
      <c r="W75" s="81"/>
      <c r="X75" s="81"/>
      <c r="Y75" s="81"/>
      <c r="Z75" s="81"/>
    </row>
    <row r="76" ht="17.25" customHeight="1">
      <c r="A76" s="96" t="s">
        <v>72</v>
      </c>
      <c r="B76" s="97" t="s">
        <v>3179</v>
      </c>
      <c r="C76" s="97" t="s">
        <v>3247</v>
      </c>
      <c r="D76" s="98" t="s">
        <v>3164</v>
      </c>
      <c r="E76" s="80"/>
      <c r="F76" s="81"/>
      <c r="G76" s="81"/>
      <c r="H76" s="81"/>
      <c r="I76" s="81"/>
      <c r="J76" s="81"/>
      <c r="K76" s="81"/>
      <c r="L76" s="81"/>
      <c r="M76" s="81"/>
      <c r="N76" s="81"/>
      <c r="O76" s="81"/>
      <c r="P76" s="81"/>
      <c r="Q76" s="81"/>
      <c r="R76" s="81"/>
      <c r="S76" s="81"/>
      <c r="T76" s="81"/>
      <c r="U76" s="81"/>
      <c r="V76" s="81"/>
      <c r="W76" s="81"/>
      <c r="X76" s="81"/>
      <c r="Y76" s="81"/>
      <c r="Z76" s="81"/>
    </row>
    <row r="77" ht="15.75" customHeight="1">
      <c r="A77" s="96" t="s">
        <v>73</v>
      </c>
      <c r="B77" s="97" t="s">
        <v>3179</v>
      </c>
      <c r="C77" s="97" t="s">
        <v>3248</v>
      </c>
      <c r="D77" s="98" t="s">
        <v>3164</v>
      </c>
      <c r="E77" s="80"/>
      <c r="F77" s="81"/>
      <c r="G77" s="81"/>
      <c r="H77" s="81"/>
      <c r="I77" s="81"/>
      <c r="J77" s="81"/>
      <c r="K77" s="81"/>
      <c r="L77" s="81"/>
      <c r="M77" s="81"/>
      <c r="N77" s="81"/>
      <c r="O77" s="81"/>
      <c r="P77" s="81"/>
      <c r="Q77" s="81"/>
      <c r="R77" s="81"/>
      <c r="S77" s="81"/>
      <c r="T77" s="81"/>
      <c r="U77" s="81"/>
      <c r="V77" s="81"/>
      <c r="W77" s="81"/>
      <c r="X77" s="81"/>
      <c r="Y77" s="81"/>
      <c r="Z77" s="81"/>
    </row>
    <row r="78" ht="18.0" customHeight="1">
      <c r="A78" s="96" t="s">
        <v>74</v>
      </c>
      <c r="B78" s="97" t="s">
        <v>3179</v>
      </c>
      <c r="C78" s="97" t="s">
        <v>3249</v>
      </c>
      <c r="D78" s="98" t="s">
        <v>3164</v>
      </c>
      <c r="E78" s="80"/>
      <c r="F78" s="81"/>
      <c r="G78" s="81"/>
      <c r="H78" s="81"/>
      <c r="I78" s="81"/>
      <c r="J78" s="81"/>
      <c r="K78" s="81"/>
      <c r="L78" s="81"/>
      <c r="M78" s="81"/>
      <c r="N78" s="81"/>
      <c r="O78" s="81"/>
      <c r="P78" s="81"/>
      <c r="Q78" s="81"/>
      <c r="R78" s="81"/>
      <c r="S78" s="81"/>
      <c r="T78" s="81"/>
      <c r="U78" s="81"/>
      <c r="V78" s="81"/>
      <c r="W78" s="81"/>
      <c r="X78" s="81"/>
      <c r="Y78" s="81"/>
      <c r="Z78" s="81"/>
    </row>
    <row r="79" ht="18.0" customHeight="1">
      <c r="A79" s="96" t="s">
        <v>75</v>
      </c>
      <c r="B79" s="97" t="s">
        <v>3179</v>
      </c>
      <c r="C79" s="97" t="s">
        <v>3250</v>
      </c>
      <c r="D79" s="98" t="s">
        <v>3164</v>
      </c>
      <c r="E79" s="80"/>
      <c r="F79" s="81"/>
      <c r="G79" s="81"/>
      <c r="H79" s="81"/>
      <c r="I79" s="81"/>
      <c r="J79" s="81"/>
      <c r="K79" s="81"/>
      <c r="L79" s="81"/>
      <c r="M79" s="81"/>
      <c r="N79" s="81"/>
      <c r="O79" s="81"/>
      <c r="P79" s="81"/>
      <c r="Q79" s="81"/>
      <c r="R79" s="81"/>
      <c r="S79" s="81"/>
      <c r="T79" s="81"/>
      <c r="U79" s="81"/>
      <c r="V79" s="81"/>
      <c r="W79" s="81"/>
      <c r="X79" s="81"/>
      <c r="Y79" s="81"/>
      <c r="Z79" s="81"/>
    </row>
    <row r="80" ht="18.75" customHeight="1">
      <c r="A80" s="96" t="s">
        <v>76</v>
      </c>
      <c r="B80" s="97" t="s">
        <v>3179</v>
      </c>
      <c r="C80" s="97" t="s">
        <v>3251</v>
      </c>
      <c r="D80" s="98" t="s">
        <v>3164</v>
      </c>
      <c r="E80" s="80"/>
      <c r="F80" s="81"/>
      <c r="G80" s="81"/>
      <c r="H80" s="81"/>
      <c r="I80" s="81"/>
      <c r="J80" s="81"/>
      <c r="K80" s="81"/>
      <c r="L80" s="81"/>
      <c r="M80" s="81"/>
      <c r="N80" s="81"/>
      <c r="O80" s="81"/>
      <c r="P80" s="81"/>
      <c r="Q80" s="81"/>
      <c r="R80" s="81"/>
      <c r="S80" s="81"/>
      <c r="T80" s="81"/>
      <c r="U80" s="81"/>
      <c r="V80" s="81"/>
      <c r="W80" s="81"/>
      <c r="X80" s="81"/>
      <c r="Y80" s="81"/>
      <c r="Z80" s="81"/>
    </row>
    <row r="81" ht="18.0" customHeight="1">
      <c r="A81" s="96" t="s">
        <v>77</v>
      </c>
      <c r="B81" s="97" t="s">
        <v>3179</v>
      </c>
      <c r="C81" s="97" t="s">
        <v>3252</v>
      </c>
      <c r="D81" s="98" t="s">
        <v>3164</v>
      </c>
      <c r="E81" s="80"/>
      <c r="F81" s="81"/>
      <c r="G81" s="81"/>
      <c r="H81" s="81"/>
      <c r="I81" s="81"/>
      <c r="J81" s="81"/>
      <c r="K81" s="81"/>
      <c r="L81" s="81"/>
      <c r="M81" s="81"/>
      <c r="N81" s="81"/>
      <c r="O81" s="81"/>
      <c r="P81" s="81"/>
      <c r="Q81" s="81"/>
      <c r="R81" s="81"/>
      <c r="S81" s="81"/>
      <c r="T81" s="81"/>
      <c r="U81" s="81"/>
      <c r="V81" s="81"/>
      <c r="W81" s="81"/>
      <c r="X81" s="81"/>
      <c r="Y81" s="81"/>
      <c r="Z81" s="81"/>
    </row>
    <row r="82" ht="15.75" customHeight="1">
      <c r="A82" s="81"/>
      <c r="B82" s="80"/>
      <c r="C82" s="80"/>
      <c r="D82" s="101"/>
      <c r="E82" s="80"/>
      <c r="F82" s="81"/>
      <c r="G82" s="81"/>
      <c r="H82" s="81"/>
      <c r="I82" s="81"/>
      <c r="J82" s="81"/>
      <c r="K82" s="81"/>
      <c r="L82" s="81"/>
      <c r="M82" s="81"/>
      <c r="N82" s="81"/>
      <c r="O82" s="81"/>
      <c r="P82" s="81"/>
      <c r="Q82" s="81"/>
      <c r="R82" s="81"/>
      <c r="S82" s="81"/>
      <c r="T82" s="81"/>
      <c r="U82" s="81"/>
      <c r="V82" s="81"/>
      <c r="W82" s="81"/>
      <c r="X82" s="81"/>
      <c r="Y82" s="81"/>
      <c r="Z82" s="81"/>
    </row>
    <row r="83" ht="15.75" customHeight="1">
      <c r="A83" s="81"/>
      <c r="B83" s="80"/>
      <c r="C83" s="80"/>
      <c r="D83" s="75"/>
      <c r="E83" s="80"/>
      <c r="F83" s="81"/>
      <c r="G83" s="81"/>
      <c r="H83" s="81"/>
      <c r="I83" s="81"/>
      <c r="J83" s="81"/>
      <c r="K83" s="81"/>
      <c r="L83" s="81"/>
      <c r="M83" s="81"/>
      <c r="N83" s="81"/>
      <c r="O83" s="81"/>
      <c r="P83" s="81"/>
      <c r="Q83" s="81"/>
      <c r="R83" s="81"/>
      <c r="S83" s="81"/>
      <c r="T83" s="81"/>
      <c r="U83" s="81"/>
      <c r="V83" s="81"/>
      <c r="W83" s="81"/>
      <c r="X83" s="81"/>
      <c r="Y83" s="81"/>
      <c r="Z83" s="81"/>
    </row>
    <row r="84" ht="15.75" customHeight="1">
      <c r="A84" s="81"/>
      <c r="B84" s="80"/>
      <c r="C84" s="80"/>
      <c r="D84" s="75"/>
      <c r="E84" s="80"/>
      <c r="F84" s="81"/>
      <c r="G84" s="81"/>
      <c r="H84" s="81"/>
      <c r="I84" s="81"/>
      <c r="J84" s="81"/>
      <c r="K84" s="81"/>
      <c r="L84" s="81"/>
      <c r="M84" s="81"/>
      <c r="N84" s="81"/>
      <c r="O84" s="81"/>
      <c r="P84" s="81"/>
      <c r="Q84" s="81"/>
      <c r="R84" s="81"/>
      <c r="S84" s="81"/>
      <c r="T84" s="81"/>
      <c r="U84" s="81"/>
      <c r="V84" s="81"/>
      <c r="W84" s="81"/>
      <c r="X84" s="81"/>
      <c r="Y84" s="81"/>
      <c r="Z84" s="81"/>
    </row>
    <row r="85" ht="15.75" customHeight="1">
      <c r="A85" s="81"/>
      <c r="B85" s="80"/>
      <c r="C85" s="80"/>
      <c r="D85" s="75"/>
      <c r="E85" s="80"/>
      <c r="F85" s="81"/>
      <c r="G85" s="81"/>
      <c r="H85" s="81"/>
      <c r="I85" s="81"/>
      <c r="J85" s="81"/>
      <c r="K85" s="81"/>
      <c r="L85" s="81"/>
      <c r="M85" s="81"/>
      <c r="N85" s="81"/>
      <c r="O85" s="81"/>
      <c r="P85" s="81"/>
      <c r="Q85" s="81"/>
      <c r="R85" s="81"/>
      <c r="S85" s="81"/>
      <c r="T85" s="81"/>
      <c r="U85" s="81"/>
      <c r="V85" s="81"/>
      <c r="W85" s="81"/>
      <c r="X85" s="81"/>
      <c r="Y85" s="81"/>
      <c r="Z85" s="81"/>
    </row>
    <row r="86" ht="15.75" customHeight="1">
      <c r="A86" s="81"/>
      <c r="B86" s="80"/>
      <c r="C86" s="80"/>
      <c r="D86" s="75"/>
      <c r="E86" s="80"/>
      <c r="F86" s="81"/>
      <c r="G86" s="81"/>
      <c r="H86" s="81"/>
      <c r="I86" s="81"/>
      <c r="J86" s="81"/>
      <c r="K86" s="81"/>
      <c r="L86" s="81"/>
      <c r="M86" s="81"/>
      <c r="N86" s="81"/>
      <c r="O86" s="81"/>
      <c r="P86" s="81"/>
      <c r="Q86" s="81"/>
      <c r="R86" s="81"/>
      <c r="S86" s="81"/>
      <c r="T86" s="81"/>
      <c r="U86" s="81"/>
      <c r="V86" s="81"/>
      <c r="W86" s="81"/>
      <c r="X86" s="81"/>
      <c r="Y86" s="81"/>
      <c r="Z86" s="81"/>
    </row>
    <row r="87" ht="15.75" customHeight="1">
      <c r="A87" s="81"/>
      <c r="B87" s="80"/>
      <c r="C87" s="80"/>
      <c r="D87" s="75"/>
      <c r="E87" s="80"/>
      <c r="F87" s="81"/>
      <c r="G87" s="81"/>
      <c r="H87" s="81"/>
      <c r="I87" s="81"/>
      <c r="J87" s="81"/>
      <c r="K87" s="81"/>
      <c r="L87" s="81"/>
      <c r="M87" s="81"/>
      <c r="N87" s="81"/>
      <c r="O87" s="81"/>
      <c r="P87" s="81"/>
      <c r="Q87" s="81"/>
      <c r="R87" s="81"/>
      <c r="S87" s="81"/>
      <c r="T87" s="81"/>
      <c r="U87" s="81"/>
      <c r="V87" s="81"/>
      <c r="W87" s="81"/>
      <c r="X87" s="81"/>
      <c r="Y87" s="81"/>
      <c r="Z87" s="81"/>
    </row>
    <row r="88" ht="15.75" customHeight="1">
      <c r="A88" s="81"/>
      <c r="B88" s="80"/>
      <c r="C88" s="80"/>
      <c r="D88" s="75"/>
      <c r="E88" s="80"/>
      <c r="F88" s="81"/>
      <c r="G88" s="81"/>
      <c r="H88" s="81"/>
      <c r="I88" s="81"/>
      <c r="J88" s="81"/>
      <c r="K88" s="81"/>
      <c r="L88" s="81"/>
      <c r="M88" s="81"/>
      <c r="N88" s="81"/>
      <c r="O88" s="81"/>
      <c r="P88" s="81"/>
      <c r="Q88" s="81"/>
      <c r="R88" s="81"/>
      <c r="S88" s="81"/>
      <c r="T88" s="81"/>
      <c r="U88" s="81"/>
      <c r="V88" s="81"/>
      <c r="W88" s="81"/>
      <c r="X88" s="81"/>
      <c r="Y88" s="81"/>
      <c r="Z88" s="81"/>
    </row>
    <row r="89" ht="15.75" customHeight="1">
      <c r="A89" s="81"/>
      <c r="B89" s="80"/>
      <c r="C89" s="80"/>
      <c r="D89" s="75"/>
      <c r="E89" s="80"/>
      <c r="F89" s="81"/>
      <c r="G89" s="81"/>
      <c r="H89" s="81"/>
      <c r="I89" s="81"/>
      <c r="J89" s="81"/>
      <c r="K89" s="81"/>
      <c r="L89" s="81"/>
      <c r="M89" s="81"/>
      <c r="N89" s="81"/>
      <c r="O89" s="81"/>
      <c r="P89" s="81"/>
      <c r="Q89" s="81"/>
      <c r="R89" s="81"/>
      <c r="S89" s="81"/>
      <c r="T89" s="81"/>
      <c r="U89" s="81"/>
      <c r="V89" s="81"/>
      <c r="W89" s="81"/>
      <c r="X89" s="81"/>
      <c r="Y89" s="81"/>
      <c r="Z89" s="81"/>
    </row>
    <row r="90" ht="15.75" customHeight="1">
      <c r="A90" s="81"/>
      <c r="B90" s="80"/>
      <c r="C90" s="80"/>
      <c r="D90" s="75"/>
      <c r="E90" s="80"/>
      <c r="F90" s="81"/>
      <c r="G90" s="81"/>
      <c r="H90" s="81"/>
      <c r="I90" s="81"/>
      <c r="J90" s="81"/>
      <c r="K90" s="81"/>
      <c r="L90" s="81"/>
      <c r="M90" s="81"/>
      <c r="N90" s="81"/>
      <c r="O90" s="81"/>
      <c r="P90" s="81"/>
      <c r="Q90" s="81"/>
      <c r="R90" s="81"/>
      <c r="S90" s="81"/>
      <c r="T90" s="81"/>
      <c r="U90" s="81"/>
      <c r="V90" s="81"/>
      <c r="W90" s="81"/>
      <c r="X90" s="81"/>
      <c r="Y90" s="81"/>
      <c r="Z90" s="81"/>
    </row>
    <row r="91" ht="15.75" customHeight="1">
      <c r="A91" s="81"/>
      <c r="B91" s="80"/>
      <c r="C91" s="80"/>
      <c r="D91" s="75"/>
      <c r="E91" s="80"/>
      <c r="F91" s="81"/>
      <c r="G91" s="81"/>
      <c r="H91" s="81"/>
      <c r="I91" s="81"/>
      <c r="J91" s="81"/>
      <c r="K91" s="81"/>
      <c r="L91" s="81"/>
      <c r="M91" s="81"/>
      <c r="N91" s="81"/>
      <c r="O91" s="81"/>
      <c r="P91" s="81"/>
      <c r="Q91" s="81"/>
      <c r="R91" s="81"/>
      <c r="S91" s="81"/>
      <c r="T91" s="81"/>
      <c r="U91" s="81"/>
      <c r="V91" s="81"/>
      <c r="W91" s="81"/>
      <c r="X91" s="81"/>
      <c r="Y91" s="81"/>
      <c r="Z91" s="81"/>
    </row>
    <row r="92" ht="15.75" customHeight="1">
      <c r="A92" s="81"/>
      <c r="B92" s="80"/>
      <c r="C92" s="80"/>
      <c r="D92" s="75"/>
      <c r="E92" s="80"/>
      <c r="F92" s="81"/>
      <c r="G92" s="81"/>
      <c r="H92" s="81"/>
      <c r="I92" s="81"/>
      <c r="J92" s="81"/>
      <c r="K92" s="81"/>
      <c r="L92" s="81"/>
      <c r="M92" s="81"/>
      <c r="N92" s="81"/>
      <c r="O92" s="81"/>
      <c r="P92" s="81"/>
      <c r="Q92" s="81"/>
      <c r="R92" s="81"/>
      <c r="S92" s="81"/>
      <c r="T92" s="81"/>
      <c r="U92" s="81"/>
      <c r="V92" s="81"/>
      <c r="W92" s="81"/>
      <c r="X92" s="81"/>
      <c r="Y92" s="81"/>
      <c r="Z92" s="81"/>
    </row>
    <row r="93" ht="15.75" customHeight="1">
      <c r="A93" s="81"/>
      <c r="B93" s="80"/>
      <c r="C93" s="80"/>
      <c r="D93" s="75"/>
      <c r="E93" s="80"/>
      <c r="F93" s="81"/>
      <c r="G93" s="81"/>
      <c r="H93" s="81"/>
      <c r="I93" s="81"/>
      <c r="J93" s="81"/>
      <c r="K93" s="81"/>
      <c r="L93" s="81"/>
      <c r="M93" s="81"/>
      <c r="N93" s="81"/>
      <c r="O93" s="81"/>
      <c r="P93" s="81"/>
      <c r="Q93" s="81"/>
      <c r="R93" s="81"/>
      <c r="S93" s="81"/>
      <c r="T93" s="81"/>
      <c r="U93" s="81"/>
      <c r="V93" s="81"/>
      <c r="W93" s="81"/>
      <c r="X93" s="81"/>
      <c r="Y93" s="81"/>
      <c r="Z93" s="81"/>
    </row>
    <row r="94" ht="15.75" customHeight="1">
      <c r="A94" s="81"/>
      <c r="B94" s="80"/>
      <c r="C94" s="80"/>
      <c r="D94" s="75"/>
      <c r="E94" s="80"/>
      <c r="F94" s="81"/>
      <c r="G94" s="81"/>
      <c r="H94" s="81"/>
      <c r="I94" s="81"/>
      <c r="J94" s="81"/>
      <c r="K94" s="81"/>
      <c r="L94" s="81"/>
      <c r="M94" s="81"/>
      <c r="N94" s="81"/>
      <c r="O94" s="81"/>
      <c r="P94" s="81"/>
      <c r="Q94" s="81"/>
      <c r="R94" s="81"/>
      <c r="S94" s="81"/>
      <c r="T94" s="81"/>
      <c r="U94" s="81"/>
      <c r="V94" s="81"/>
      <c r="W94" s="81"/>
      <c r="X94" s="81"/>
      <c r="Y94" s="81"/>
      <c r="Z94" s="81"/>
    </row>
    <row r="95" ht="15.75" customHeight="1">
      <c r="A95" s="81"/>
      <c r="B95" s="80"/>
      <c r="C95" s="80"/>
      <c r="D95" s="75"/>
      <c r="E95" s="80"/>
      <c r="F95" s="81"/>
      <c r="G95" s="81"/>
      <c r="H95" s="81"/>
      <c r="I95" s="81"/>
      <c r="J95" s="81"/>
      <c r="K95" s="81"/>
      <c r="L95" s="81"/>
      <c r="M95" s="81"/>
      <c r="N95" s="81"/>
      <c r="O95" s="81"/>
      <c r="P95" s="81"/>
      <c r="Q95" s="81"/>
      <c r="R95" s="81"/>
      <c r="S95" s="81"/>
      <c r="T95" s="81"/>
      <c r="U95" s="81"/>
      <c r="V95" s="81"/>
      <c r="W95" s="81"/>
      <c r="X95" s="81"/>
      <c r="Y95" s="81"/>
      <c r="Z95" s="81"/>
    </row>
    <row r="96" ht="15.75" customHeight="1">
      <c r="A96" s="81"/>
      <c r="B96" s="80"/>
      <c r="C96" s="80"/>
      <c r="D96" s="75"/>
      <c r="E96" s="80"/>
      <c r="F96" s="81"/>
      <c r="G96" s="81"/>
      <c r="H96" s="81"/>
      <c r="I96" s="81"/>
      <c r="J96" s="81"/>
      <c r="K96" s="81"/>
      <c r="L96" s="81"/>
      <c r="M96" s="81"/>
      <c r="N96" s="81"/>
      <c r="O96" s="81"/>
      <c r="P96" s="81"/>
      <c r="Q96" s="81"/>
      <c r="R96" s="81"/>
      <c r="S96" s="81"/>
      <c r="T96" s="81"/>
      <c r="U96" s="81"/>
      <c r="V96" s="81"/>
      <c r="W96" s="81"/>
      <c r="X96" s="81"/>
      <c r="Y96" s="81"/>
      <c r="Z96" s="81"/>
    </row>
    <row r="97" ht="15.75" customHeight="1">
      <c r="A97" s="81"/>
      <c r="B97" s="80"/>
      <c r="C97" s="80"/>
      <c r="D97" s="75"/>
      <c r="E97" s="80"/>
      <c r="F97" s="81"/>
      <c r="G97" s="81"/>
      <c r="H97" s="81"/>
      <c r="I97" s="81"/>
      <c r="J97" s="81"/>
      <c r="K97" s="81"/>
      <c r="L97" s="81"/>
      <c r="M97" s="81"/>
      <c r="N97" s="81"/>
      <c r="O97" s="81"/>
      <c r="P97" s="81"/>
      <c r="Q97" s="81"/>
      <c r="R97" s="81"/>
      <c r="S97" s="81"/>
      <c r="T97" s="81"/>
      <c r="U97" s="81"/>
      <c r="V97" s="81"/>
      <c r="W97" s="81"/>
      <c r="X97" s="81"/>
      <c r="Y97" s="81"/>
      <c r="Z97" s="81"/>
    </row>
    <row r="98" ht="15.75" customHeight="1">
      <c r="A98" s="81"/>
      <c r="B98" s="80"/>
      <c r="C98" s="80"/>
      <c r="D98" s="75"/>
      <c r="E98" s="80"/>
      <c r="F98" s="81"/>
      <c r="G98" s="81"/>
      <c r="H98" s="81"/>
      <c r="I98" s="81"/>
      <c r="J98" s="81"/>
      <c r="K98" s="81"/>
      <c r="L98" s="81"/>
      <c r="M98" s="81"/>
      <c r="N98" s="81"/>
      <c r="O98" s="81"/>
      <c r="P98" s="81"/>
      <c r="Q98" s="81"/>
      <c r="R98" s="81"/>
      <c r="S98" s="81"/>
      <c r="T98" s="81"/>
      <c r="U98" s="81"/>
      <c r="V98" s="81"/>
      <c r="W98" s="81"/>
      <c r="X98" s="81"/>
      <c r="Y98" s="81"/>
      <c r="Z98" s="81"/>
    </row>
    <row r="99" ht="15.75" customHeight="1">
      <c r="A99" s="81"/>
      <c r="B99" s="80"/>
      <c r="C99" s="80"/>
      <c r="D99" s="75"/>
      <c r="E99" s="80"/>
      <c r="F99" s="81"/>
      <c r="G99" s="81"/>
      <c r="H99" s="81"/>
      <c r="I99" s="81"/>
      <c r="J99" s="81"/>
      <c r="K99" s="81"/>
      <c r="L99" s="81"/>
      <c r="M99" s="81"/>
      <c r="N99" s="81"/>
      <c r="O99" s="81"/>
      <c r="P99" s="81"/>
      <c r="Q99" s="81"/>
      <c r="R99" s="81"/>
      <c r="S99" s="81"/>
      <c r="T99" s="81"/>
      <c r="U99" s="81"/>
      <c r="V99" s="81"/>
      <c r="W99" s="81"/>
      <c r="X99" s="81"/>
      <c r="Y99" s="81"/>
      <c r="Z99" s="81"/>
    </row>
    <row r="100" ht="15.75" customHeight="1">
      <c r="A100" s="81"/>
      <c r="B100" s="80"/>
      <c r="C100" s="80"/>
      <c r="D100" s="75"/>
      <c r="E100" s="80"/>
      <c r="F100" s="81"/>
      <c r="G100" s="81"/>
      <c r="H100" s="81"/>
      <c r="I100" s="81"/>
      <c r="J100" s="81"/>
      <c r="K100" s="81"/>
      <c r="L100" s="81"/>
      <c r="M100" s="81"/>
      <c r="N100" s="81"/>
      <c r="O100" s="81"/>
      <c r="P100" s="81"/>
      <c r="Q100" s="81"/>
      <c r="R100" s="81"/>
      <c r="S100" s="81"/>
      <c r="T100" s="81"/>
      <c r="U100" s="81"/>
      <c r="V100" s="81"/>
      <c r="W100" s="81"/>
      <c r="X100" s="81"/>
      <c r="Y100" s="81"/>
      <c r="Z100" s="81"/>
    </row>
    <row r="101" ht="15.75" customHeight="1">
      <c r="A101" s="81"/>
      <c r="B101" s="80"/>
      <c r="C101" s="80"/>
      <c r="D101" s="75"/>
      <c r="E101" s="80"/>
      <c r="F101" s="81"/>
      <c r="G101" s="81"/>
      <c r="H101" s="81"/>
      <c r="I101" s="81"/>
      <c r="J101" s="81"/>
      <c r="K101" s="81"/>
      <c r="L101" s="81"/>
      <c r="M101" s="81"/>
      <c r="N101" s="81"/>
      <c r="O101" s="81"/>
      <c r="P101" s="81"/>
      <c r="Q101" s="81"/>
      <c r="R101" s="81"/>
      <c r="S101" s="81"/>
      <c r="T101" s="81"/>
      <c r="U101" s="81"/>
      <c r="V101" s="81"/>
      <c r="W101" s="81"/>
      <c r="X101" s="81"/>
      <c r="Y101" s="81"/>
      <c r="Z101" s="81"/>
    </row>
    <row r="102" ht="15.75" customHeight="1">
      <c r="A102" s="81"/>
      <c r="B102" s="80"/>
      <c r="C102" s="80"/>
      <c r="D102" s="75"/>
      <c r="E102" s="80"/>
      <c r="F102" s="81"/>
      <c r="G102" s="81"/>
      <c r="H102" s="81"/>
      <c r="I102" s="81"/>
      <c r="J102" s="81"/>
      <c r="K102" s="81"/>
      <c r="L102" s="81"/>
      <c r="M102" s="81"/>
      <c r="N102" s="81"/>
      <c r="O102" s="81"/>
      <c r="P102" s="81"/>
      <c r="Q102" s="81"/>
      <c r="R102" s="81"/>
      <c r="S102" s="81"/>
      <c r="T102" s="81"/>
      <c r="U102" s="81"/>
      <c r="V102" s="81"/>
      <c r="W102" s="81"/>
      <c r="X102" s="81"/>
      <c r="Y102" s="81"/>
      <c r="Z102" s="81"/>
    </row>
    <row r="103" ht="15.75" customHeight="1">
      <c r="A103" s="81"/>
      <c r="B103" s="80"/>
      <c r="C103" s="80"/>
      <c r="D103" s="75"/>
      <c r="E103" s="80"/>
      <c r="F103" s="81"/>
      <c r="G103" s="81"/>
      <c r="H103" s="81"/>
      <c r="I103" s="81"/>
      <c r="J103" s="81"/>
      <c r="K103" s="81"/>
      <c r="L103" s="81"/>
      <c r="M103" s="81"/>
      <c r="N103" s="81"/>
      <c r="O103" s="81"/>
      <c r="P103" s="81"/>
      <c r="Q103" s="81"/>
      <c r="R103" s="81"/>
      <c r="S103" s="81"/>
      <c r="T103" s="81"/>
      <c r="U103" s="81"/>
      <c r="V103" s="81"/>
      <c r="W103" s="81"/>
      <c r="X103" s="81"/>
      <c r="Y103" s="81"/>
      <c r="Z103" s="81"/>
    </row>
    <row r="104" ht="15.75" customHeight="1">
      <c r="A104" s="81"/>
      <c r="B104" s="80"/>
      <c r="C104" s="80"/>
      <c r="D104" s="75"/>
      <c r="E104" s="80"/>
      <c r="F104" s="81"/>
      <c r="G104" s="81"/>
      <c r="H104" s="81"/>
      <c r="I104" s="81"/>
      <c r="J104" s="81"/>
      <c r="K104" s="81"/>
      <c r="L104" s="81"/>
      <c r="M104" s="81"/>
      <c r="N104" s="81"/>
      <c r="O104" s="81"/>
      <c r="P104" s="81"/>
      <c r="Q104" s="81"/>
      <c r="R104" s="81"/>
      <c r="S104" s="81"/>
      <c r="T104" s="81"/>
      <c r="U104" s="81"/>
      <c r="V104" s="81"/>
      <c r="W104" s="81"/>
      <c r="X104" s="81"/>
      <c r="Y104" s="81"/>
      <c r="Z104" s="81"/>
    </row>
    <row r="105" ht="15.75" customHeight="1">
      <c r="A105" s="81"/>
      <c r="B105" s="80"/>
      <c r="C105" s="80"/>
      <c r="D105" s="75"/>
      <c r="E105" s="80"/>
      <c r="F105" s="81"/>
      <c r="G105" s="81"/>
      <c r="H105" s="81"/>
      <c r="I105" s="81"/>
      <c r="J105" s="81"/>
      <c r="K105" s="81"/>
      <c r="L105" s="81"/>
      <c r="M105" s="81"/>
      <c r="N105" s="81"/>
      <c r="O105" s="81"/>
      <c r="P105" s="81"/>
      <c r="Q105" s="81"/>
      <c r="R105" s="81"/>
      <c r="S105" s="81"/>
      <c r="T105" s="81"/>
      <c r="U105" s="81"/>
      <c r="V105" s="81"/>
      <c r="W105" s="81"/>
      <c r="X105" s="81"/>
      <c r="Y105" s="81"/>
      <c r="Z105" s="81"/>
    </row>
    <row r="106" ht="15.75" customHeight="1">
      <c r="A106" s="81"/>
      <c r="B106" s="80"/>
      <c r="C106" s="80"/>
      <c r="D106" s="75"/>
      <c r="E106" s="80"/>
      <c r="F106" s="81"/>
      <c r="G106" s="81"/>
      <c r="H106" s="81"/>
      <c r="I106" s="81"/>
      <c r="J106" s="81"/>
      <c r="K106" s="81"/>
      <c r="L106" s="81"/>
      <c r="M106" s="81"/>
      <c r="N106" s="81"/>
      <c r="O106" s="81"/>
      <c r="P106" s="81"/>
      <c r="Q106" s="81"/>
      <c r="R106" s="81"/>
      <c r="S106" s="81"/>
      <c r="T106" s="81"/>
      <c r="U106" s="81"/>
      <c r="V106" s="81"/>
      <c r="W106" s="81"/>
      <c r="X106" s="81"/>
      <c r="Y106" s="81"/>
      <c r="Z106" s="81"/>
    </row>
    <row r="107" ht="15.75" customHeight="1">
      <c r="A107" s="81"/>
      <c r="B107" s="80"/>
      <c r="C107" s="80"/>
      <c r="D107" s="75"/>
      <c r="E107" s="80"/>
      <c r="F107" s="81"/>
      <c r="G107" s="81"/>
      <c r="H107" s="81"/>
      <c r="I107" s="81"/>
      <c r="J107" s="81"/>
      <c r="K107" s="81"/>
      <c r="L107" s="81"/>
      <c r="M107" s="81"/>
      <c r="N107" s="81"/>
      <c r="O107" s="81"/>
      <c r="P107" s="81"/>
      <c r="Q107" s="81"/>
      <c r="R107" s="81"/>
      <c r="S107" s="81"/>
      <c r="T107" s="81"/>
      <c r="U107" s="81"/>
      <c r="V107" s="81"/>
      <c r="W107" s="81"/>
      <c r="X107" s="81"/>
      <c r="Y107" s="81"/>
      <c r="Z107" s="81"/>
    </row>
    <row r="108" ht="15.75" customHeight="1">
      <c r="A108" s="81"/>
      <c r="B108" s="80"/>
      <c r="C108" s="80"/>
      <c r="D108" s="75"/>
      <c r="E108" s="80"/>
      <c r="F108" s="81"/>
      <c r="G108" s="81"/>
      <c r="H108" s="81"/>
      <c r="I108" s="81"/>
      <c r="J108" s="81"/>
      <c r="K108" s="81"/>
      <c r="L108" s="81"/>
      <c r="M108" s="81"/>
      <c r="N108" s="81"/>
      <c r="O108" s="81"/>
      <c r="P108" s="81"/>
      <c r="Q108" s="81"/>
      <c r="R108" s="81"/>
      <c r="S108" s="81"/>
      <c r="T108" s="81"/>
      <c r="U108" s="81"/>
      <c r="V108" s="81"/>
      <c r="W108" s="81"/>
      <c r="X108" s="81"/>
      <c r="Y108" s="81"/>
      <c r="Z108" s="81"/>
    </row>
    <row r="109" ht="15.75" customHeight="1">
      <c r="A109" s="81"/>
      <c r="B109" s="80"/>
      <c r="C109" s="80"/>
      <c r="D109" s="75"/>
      <c r="E109" s="80"/>
      <c r="F109" s="81"/>
      <c r="G109" s="81"/>
      <c r="H109" s="81"/>
      <c r="I109" s="81"/>
      <c r="J109" s="81"/>
      <c r="K109" s="81"/>
      <c r="L109" s="81"/>
      <c r="M109" s="81"/>
      <c r="N109" s="81"/>
      <c r="O109" s="81"/>
      <c r="P109" s="81"/>
      <c r="Q109" s="81"/>
      <c r="R109" s="81"/>
      <c r="S109" s="81"/>
      <c r="T109" s="81"/>
      <c r="U109" s="81"/>
      <c r="V109" s="81"/>
      <c r="W109" s="81"/>
      <c r="X109" s="81"/>
      <c r="Y109" s="81"/>
      <c r="Z109" s="81"/>
    </row>
    <row r="110" ht="15.75" customHeight="1">
      <c r="A110" s="81"/>
      <c r="B110" s="80"/>
      <c r="C110" s="80"/>
      <c r="D110" s="75"/>
      <c r="E110" s="80"/>
      <c r="F110" s="81"/>
      <c r="G110" s="81"/>
      <c r="H110" s="81"/>
      <c r="I110" s="81"/>
      <c r="J110" s="81"/>
      <c r="K110" s="81"/>
      <c r="L110" s="81"/>
      <c r="M110" s="81"/>
      <c r="N110" s="81"/>
      <c r="O110" s="81"/>
      <c r="P110" s="81"/>
      <c r="Q110" s="81"/>
      <c r="R110" s="81"/>
      <c r="S110" s="81"/>
      <c r="T110" s="81"/>
      <c r="U110" s="81"/>
      <c r="V110" s="81"/>
      <c r="W110" s="81"/>
      <c r="X110" s="81"/>
      <c r="Y110" s="81"/>
      <c r="Z110" s="81"/>
    </row>
    <row r="111" ht="15.75" customHeight="1">
      <c r="A111" s="81"/>
      <c r="B111" s="80"/>
      <c r="C111" s="80"/>
      <c r="D111" s="75"/>
      <c r="E111" s="80"/>
      <c r="F111" s="81"/>
      <c r="G111" s="81"/>
      <c r="H111" s="81"/>
      <c r="I111" s="81"/>
      <c r="J111" s="81"/>
      <c r="K111" s="81"/>
      <c r="L111" s="81"/>
      <c r="M111" s="81"/>
      <c r="N111" s="81"/>
      <c r="O111" s="81"/>
      <c r="P111" s="81"/>
      <c r="Q111" s="81"/>
      <c r="R111" s="81"/>
      <c r="S111" s="81"/>
      <c r="T111" s="81"/>
      <c r="U111" s="81"/>
      <c r="V111" s="81"/>
      <c r="W111" s="81"/>
      <c r="X111" s="81"/>
      <c r="Y111" s="81"/>
      <c r="Z111" s="81"/>
    </row>
    <row r="112" ht="15.75" customHeight="1">
      <c r="A112" s="81"/>
      <c r="B112" s="80"/>
      <c r="C112" s="80"/>
      <c r="D112" s="75"/>
      <c r="E112" s="80"/>
      <c r="F112" s="81"/>
      <c r="G112" s="81"/>
      <c r="H112" s="81"/>
      <c r="I112" s="81"/>
      <c r="J112" s="81"/>
      <c r="K112" s="81"/>
      <c r="L112" s="81"/>
      <c r="M112" s="81"/>
      <c r="N112" s="81"/>
      <c r="O112" s="81"/>
      <c r="P112" s="81"/>
      <c r="Q112" s="81"/>
      <c r="R112" s="81"/>
      <c r="S112" s="81"/>
      <c r="T112" s="81"/>
      <c r="U112" s="81"/>
      <c r="V112" s="81"/>
      <c r="W112" s="81"/>
      <c r="X112" s="81"/>
      <c r="Y112" s="81"/>
      <c r="Z112" s="81"/>
    </row>
    <row r="113" ht="15.75" customHeight="1">
      <c r="A113" s="81"/>
      <c r="B113" s="80"/>
      <c r="C113" s="80"/>
      <c r="D113" s="75"/>
      <c r="E113" s="80"/>
      <c r="F113" s="81"/>
      <c r="G113" s="81"/>
      <c r="H113" s="81"/>
      <c r="I113" s="81"/>
      <c r="J113" s="81"/>
      <c r="K113" s="81"/>
      <c r="L113" s="81"/>
      <c r="M113" s="81"/>
      <c r="N113" s="81"/>
      <c r="O113" s="81"/>
      <c r="P113" s="81"/>
      <c r="Q113" s="81"/>
      <c r="R113" s="81"/>
      <c r="S113" s="81"/>
      <c r="T113" s="81"/>
      <c r="U113" s="81"/>
      <c r="V113" s="81"/>
      <c r="W113" s="81"/>
      <c r="X113" s="81"/>
      <c r="Y113" s="81"/>
      <c r="Z113" s="81"/>
    </row>
    <row r="114" ht="15.75" customHeight="1">
      <c r="A114" s="81"/>
      <c r="B114" s="80"/>
      <c r="C114" s="80"/>
      <c r="D114" s="75"/>
      <c r="E114" s="80"/>
      <c r="F114" s="81"/>
      <c r="G114" s="81"/>
      <c r="H114" s="81"/>
      <c r="I114" s="81"/>
      <c r="J114" s="81"/>
      <c r="K114" s="81"/>
      <c r="L114" s="81"/>
      <c r="M114" s="81"/>
      <c r="N114" s="81"/>
      <c r="O114" s="81"/>
      <c r="P114" s="81"/>
      <c r="Q114" s="81"/>
      <c r="R114" s="81"/>
      <c r="S114" s="81"/>
      <c r="T114" s="81"/>
      <c r="U114" s="81"/>
      <c r="V114" s="81"/>
      <c r="W114" s="81"/>
      <c r="X114" s="81"/>
      <c r="Y114" s="81"/>
      <c r="Z114" s="81"/>
    </row>
    <row r="115" ht="15.75" customHeight="1">
      <c r="A115" s="81"/>
      <c r="B115" s="80"/>
      <c r="C115" s="80"/>
      <c r="D115" s="75"/>
      <c r="E115" s="80"/>
      <c r="F115" s="81"/>
      <c r="G115" s="81"/>
      <c r="H115" s="81"/>
      <c r="I115" s="81"/>
      <c r="J115" s="81"/>
      <c r="K115" s="81"/>
      <c r="L115" s="81"/>
      <c r="M115" s="81"/>
      <c r="N115" s="81"/>
      <c r="O115" s="81"/>
      <c r="P115" s="81"/>
      <c r="Q115" s="81"/>
      <c r="R115" s="81"/>
      <c r="S115" s="81"/>
      <c r="T115" s="81"/>
      <c r="U115" s="81"/>
      <c r="V115" s="81"/>
      <c r="W115" s="81"/>
      <c r="X115" s="81"/>
      <c r="Y115" s="81"/>
      <c r="Z115" s="81"/>
    </row>
    <row r="116" ht="15.75" customHeight="1">
      <c r="A116" s="81"/>
      <c r="B116" s="80"/>
      <c r="C116" s="80"/>
      <c r="D116" s="75"/>
      <c r="E116" s="80"/>
      <c r="F116" s="81"/>
      <c r="G116" s="81"/>
      <c r="H116" s="81"/>
      <c r="I116" s="81"/>
      <c r="J116" s="81"/>
      <c r="K116" s="81"/>
      <c r="L116" s="81"/>
      <c r="M116" s="81"/>
      <c r="N116" s="81"/>
      <c r="O116" s="81"/>
      <c r="P116" s="81"/>
      <c r="Q116" s="81"/>
      <c r="R116" s="81"/>
      <c r="S116" s="81"/>
      <c r="T116" s="81"/>
      <c r="U116" s="81"/>
      <c r="V116" s="81"/>
      <c r="W116" s="81"/>
      <c r="X116" s="81"/>
      <c r="Y116" s="81"/>
      <c r="Z116" s="81"/>
    </row>
    <row r="117" ht="15.75" customHeight="1">
      <c r="A117" s="81"/>
      <c r="B117" s="80"/>
      <c r="C117" s="80"/>
      <c r="D117" s="75"/>
      <c r="E117" s="80"/>
      <c r="F117" s="81"/>
      <c r="G117" s="81"/>
      <c r="H117" s="81"/>
      <c r="I117" s="81"/>
      <c r="J117" s="81"/>
      <c r="K117" s="81"/>
      <c r="L117" s="81"/>
      <c r="M117" s="81"/>
      <c r="N117" s="81"/>
      <c r="O117" s="81"/>
      <c r="P117" s="81"/>
      <c r="Q117" s="81"/>
      <c r="R117" s="81"/>
      <c r="S117" s="81"/>
      <c r="T117" s="81"/>
      <c r="U117" s="81"/>
      <c r="V117" s="81"/>
      <c r="W117" s="81"/>
      <c r="X117" s="81"/>
      <c r="Y117" s="81"/>
      <c r="Z117" s="81"/>
    </row>
    <row r="118" ht="15.75" customHeight="1">
      <c r="A118" s="81"/>
      <c r="B118" s="80"/>
      <c r="C118" s="80"/>
      <c r="D118" s="75"/>
      <c r="E118" s="80"/>
      <c r="F118" s="81"/>
      <c r="G118" s="81"/>
      <c r="H118" s="81"/>
      <c r="I118" s="81"/>
      <c r="J118" s="81"/>
      <c r="K118" s="81"/>
      <c r="L118" s="81"/>
      <c r="M118" s="81"/>
      <c r="N118" s="81"/>
      <c r="O118" s="81"/>
      <c r="P118" s="81"/>
      <c r="Q118" s="81"/>
      <c r="R118" s="81"/>
      <c r="S118" s="81"/>
      <c r="T118" s="81"/>
      <c r="U118" s="81"/>
      <c r="V118" s="81"/>
      <c r="W118" s="81"/>
      <c r="X118" s="81"/>
      <c r="Y118" s="81"/>
      <c r="Z118" s="81"/>
    </row>
    <row r="119" ht="15.75" customHeight="1">
      <c r="A119" s="81"/>
      <c r="B119" s="80"/>
      <c r="C119" s="80"/>
      <c r="D119" s="75"/>
      <c r="E119" s="80"/>
      <c r="F119" s="81"/>
      <c r="G119" s="81"/>
      <c r="H119" s="81"/>
      <c r="I119" s="81"/>
      <c r="J119" s="81"/>
      <c r="K119" s="81"/>
      <c r="L119" s="81"/>
      <c r="M119" s="81"/>
      <c r="N119" s="81"/>
      <c r="O119" s="81"/>
      <c r="P119" s="81"/>
      <c r="Q119" s="81"/>
      <c r="R119" s="81"/>
      <c r="S119" s="81"/>
      <c r="T119" s="81"/>
      <c r="U119" s="81"/>
      <c r="V119" s="81"/>
      <c r="W119" s="81"/>
      <c r="X119" s="81"/>
      <c r="Y119" s="81"/>
      <c r="Z119" s="81"/>
    </row>
    <row r="120" ht="15.75" customHeight="1">
      <c r="A120" s="81"/>
      <c r="B120" s="80"/>
      <c r="C120" s="80"/>
      <c r="D120" s="75"/>
      <c r="E120" s="80"/>
      <c r="F120" s="81"/>
      <c r="G120" s="81"/>
      <c r="H120" s="81"/>
      <c r="I120" s="81"/>
      <c r="J120" s="81"/>
      <c r="K120" s="81"/>
      <c r="L120" s="81"/>
      <c r="M120" s="81"/>
      <c r="N120" s="81"/>
      <c r="O120" s="81"/>
      <c r="P120" s="81"/>
      <c r="Q120" s="81"/>
      <c r="R120" s="81"/>
      <c r="S120" s="81"/>
      <c r="T120" s="81"/>
      <c r="U120" s="81"/>
      <c r="V120" s="81"/>
      <c r="W120" s="81"/>
      <c r="X120" s="81"/>
      <c r="Y120" s="81"/>
      <c r="Z120" s="81"/>
    </row>
    <row r="121" ht="15.75" customHeight="1">
      <c r="A121" s="81"/>
      <c r="B121" s="80"/>
      <c r="C121" s="80"/>
      <c r="D121" s="75"/>
      <c r="E121" s="80"/>
      <c r="F121" s="81"/>
      <c r="G121" s="81"/>
      <c r="H121" s="81"/>
      <c r="I121" s="81"/>
      <c r="J121" s="81"/>
      <c r="K121" s="81"/>
      <c r="L121" s="81"/>
      <c r="M121" s="81"/>
      <c r="N121" s="81"/>
      <c r="O121" s="81"/>
      <c r="P121" s="81"/>
      <c r="Q121" s="81"/>
      <c r="R121" s="81"/>
      <c r="S121" s="81"/>
      <c r="T121" s="81"/>
      <c r="U121" s="81"/>
      <c r="V121" s="81"/>
      <c r="W121" s="81"/>
      <c r="X121" s="81"/>
      <c r="Y121" s="81"/>
      <c r="Z121" s="81"/>
    </row>
    <row r="122" ht="15.75" customHeight="1">
      <c r="A122" s="81"/>
      <c r="B122" s="80"/>
      <c r="C122" s="80"/>
      <c r="D122" s="75"/>
      <c r="E122" s="80"/>
      <c r="F122" s="81"/>
      <c r="G122" s="81"/>
      <c r="H122" s="81"/>
      <c r="I122" s="81"/>
      <c r="J122" s="81"/>
      <c r="K122" s="81"/>
      <c r="L122" s="81"/>
      <c r="M122" s="81"/>
      <c r="N122" s="81"/>
      <c r="O122" s="81"/>
      <c r="P122" s="81"/>
      <c r="Q122" s="81"/>
      <c r="R122" s="81"/>
      <c r="S122" s="81"/>
      <c r="T122" s="81"/>
      <c r="U122" s="81"/>
      <c r="V122" s="81"/>
      <c r="W122" s="81"/>
      <c r="X122" s="81"/>
      <c r="Y122" s="81"/>
      <c r="Z122" s="81"/>
    </row>
    <row r="123" ht="15.75" customHeight="1">
      <c r="A123" s="81"/>
      <c r="B123" s="80"/>
      <c r="C123" s="80"/>
      <c r="D123" s="75"/>
      <c r="E123" s="80"/>
      <c r="F123" s="81"/>
      <c r="G123" s="81"/>
      <c r="H123" s="81"/>
      <c r="I123" s="81"/>
      <c r="J123" s="81"/>
      <c r="K123" s="81"/>
      <c r="L123" s="81"/>
      <c r="M123" s="81"/>
      <c r="N123" s="81"/>
      <c r="O123" s="81"/>
      <c r="P123" s="81"/>
      <c r="Q123" s="81"/>
      <c r="R123" s="81"/>
      <c r="S123" s="81"/>
      <c r="T123" s="81"/>
      <c r="U123" s="81"/>
      <c r="V123" s="81"/>
      <c r="W123" s="81"/>
      <c r="X123" s="81"/>
      <c r="Y123" s="81"/>
      <c r="Z123" s="81"/>
    </row>
    <row r="124" ht="15.75" customHeight="1">
      <c r="A124" s="81"/>
      <c r="B124" s="80"/>
      <c r="C124" s="80"/>
      <c r="D124" s="75"/>
      <c r="E124" s="80"/>
      <c r="F124" s="81"/>
      <c r="G124" s="81"/>
      <c r="H124" s="81"/>
      <c r="I124" s="81"/>
      <c r="J124" s="81"/>
      <c r="K124" s="81"/>
      <c r="L124" s="81"/>
      <c r="M124" s="81"/>
      <c r="N124" s="81"/>
      <c r="O124" s="81"/>
      <c r="P124" s="81"/>
      <c r="Q124" s="81"/>
      <c r="R124" s="81"/>
      <c r="S124" s="81"/>
      <c r="T124" s="81"/>
      <c r="U124" s="81"/>
      <c r="V124" s="81"/>
      <c r="W124" s="81"/>
      <c r="X124" s="81"/>
      <c r="Y124" s="81"/>
      <c r="Z124" s="81"/>
    </row>
    <row r="125" ht="15.75" customHeight="1">
      <c r="A125" s="81"/>
      <c r="B125" s="80"/>
      <c r="C125" s="80"/>
      <c r="D125" s="75"/>
      <c r="E125" s="80"/>
      <c r="F125" s="81"/>
      <c r="G125" s="81"/>
      <c r="H125" s="81"/>
      <c r="I125" s="81"/>
      <c r="J125" s="81"/>
      <c r="K125" s="81"/>
      <c r="L125" s="81"/>
      <c r="M125" s="81"/>
      <c r="N125" s="81"/>
      <c r="O125" s="81"/>
      <c r="P125" s="81"/>
      <c r="Q125" s="81"/>
      <c r="R125" s="81"/>
      <c r="S125" s="81"/>
      <c r="T125" s="81"/>
      <c r="U125" s="81"/>
      <c r="V125" s="81"/>
      <c r="W125" s="81"/>
      <c r="X125" s="81"/>
      <c r="Y125" s="81"/>
      <c r="Z125" s="81"/>
    </row>
    <row r="126" ht="15.75" customHeight="1">
      <c r="A126" s="81"/>
      <c r="B126" s="80"/>
      <c r="C126" s="80"/>
      <c r="D126" s="75"/>
      <c r="E126" s="80"/>
      <c r="F126" s="81"/>
      <c r="G126" s="81"/>
      <c r="H126" s="81"/>
      <c r="I126" s="81"/>
      <c r="J126" s="81"/>
      <c r="K126" s="81"/>
      <c r="L126" s="81"/>
      <c r="M126" s="81"/>
      <c r="N126" s="81"/>
      <c r="O126" s="81"/>
      <c r="P126" s="81"/>
      <c r="Q126" s="81"/>
      <c r="R126" s="81"/>
      <c r="S126" s="81"/>
      <c r="T126" s="81"/>
      <c r="U126" s="81"/>
      <c r="V126" s="81"/>
      <c r="W126" s="81"/>
      <c r="X126" s="81"/>
      <c r="Y126" s="81"/>
      <c r="Z126" s="81"/>
    </row>
    <row r="127" ht="15.75" customHeight="1">
      <c r="A127" s="81"/>
      <c r="B127" s="80"/>
      <c r="C127" s="80"/>
      <c r="D127" s="75"/>
      <c r="E127" s="80"/>
      <c r="F127" s="81"/>
      <c r="G127" s="81"/>
      <c r="H127" s="81"/>
      <c r="I127" s="81"/>
      <c r="J127" s="81"/>
      <c r="K127" s="81"/>
      <c r="L127" s="81"/>
      <c r="M127" s="81"/>
      <c r="N127" s="81"/>
      <c r="O127" s="81"/>
      <c r="P127" s="81"/>
      <c r="Q127" s="81"/>
      <c r="R127" s="81"/>
      <c r="S127" s="81"/>
      <c r="T127" s="81"/>
      <c r="U127" s="81"/>
      <c r="V127" s="81"/>
      <c r="W127" s="81"/>
      <c r="X127" s="81"/>
      <c r="Y127" s="81"/>
      <c r="Z127" s="81"/>
    </row>
    <row r="128" ht="15.75" customHeight="1">
      <c r="A128" s="81"/>
      <c r="B128" s="80"/>
      <c r="C128" s="80"/>
      <c r="D128" s="75"/>
      <c r="E128" s="80"/>
      <c r="F128" s="81"/>
      <c r="G128" s="81"/>
      <c r="H128" s="81"/>
      <c r="I128" s="81"/>
      <c r="J128" s="81"/>
      <c r="K128" s="81"/>
      <c r="L128" s="81"/>
      <c r="M128" s="81"/>
      <c r="N128" s="81"/>
      <c r="O128" s="81"/>
      <c r="P128" s="81"/>
      <c r="Q128" s="81"/>
      <c r="R128" s="81"/>
      <c r="S128" s="81"/>
      <c r="T128" s="81"/>
      <c r="U128" s="81"/>
      <c r="V128" s="81"/>
      <c r="W128" s="81"/>
      <c r="X128" s="81"/>
      <c r="Y128" s="81"/>
      <c r="Z128" s="81"/>
    </row>
    <row r="129" ht="15.75" customHeight="1">
      <c r="A129" s="81"/>
      <c r="B129" s="80"/>
      <c r="C129" s="80"/>
      <c r="D129" s="75"/>
      <c r="E129" s="80"/>
      <c r="F129" s="81"/>
      <c r="G129" s="81"/>
      <c r="H129" s="81"/>
      <c r="I129" s="81"/>
      <c r="J129" s="81"/>
      <c r="K129" s="81"/>
      <c r="L129" s="81"/>
      <c r="M129" s="81"/>
      <c r="N129" s="81"/>
      <c r="O129" s="81"/>
      <c r="P129" s="81"/>
      <c r="Q129" s="81"/>
      <c r="R129" s="81"/>
      <c r="S129" s="81"/>
      <c r="T129" s="81"/>
      <c r="U129" s="81"/>
      <c r="V129" s="81"/>
      <c r="W129" s="81"/>
      <c r="X129" s="81"/>
      <c r="Y129" s="81"/>
      <c r="Z129" s="81"/>
    </row>
    <row r="130" ht="15.75" customHeight="1">
      <c r="A130" s="81"/>
      <c r="B130" s="80"/>
      <c r="C130" s="80"/>
      <c r="D130" s="75"/>
      <c r="E130" s="80"/>
      <c r="F130" s="81"/>
      <c r="G130" s="81"/>
      <c r="H130" s="81"/>
      <c r="I130" s="81"/>
      <c r="J130" s="81"/>
      <c r="K130" s="81"/>
      <c r="L130" s="81"/>
      <c r="M130" s="81"/>
      <c r="N130" s="81"/>
      <c r="O130" s="81"/>
      <c r="P130" s="81"/>
      <c r="Q130" s="81"/>
      <c r="R130" s="81"/>
      <c r="S130" s="81"/>
      <c r="T130" s="81"/>
      <c r="U130" s="81"/>
      <c r="V130" s="81"/>
      <c r="W130" s="81"/>
      <c r="X130" s="81"/>
      <c r="Y130" s="81"/>
      <c r="Z130" s="81"/>
    </row>
    <row r="131" ht="15.75" customHeight="1">
      <c r="A131" s="81"/>
      <c r="B131" s="80"/>
      <c r="C131" s="80"/>
      <c r="D131" s="75"/>
      <c r="E131" s="80"/>
      <c r="F131" s="81"/>
      <c r="G131" s="81"/>
      <c r="H131" s="81"/>
      <c r="I131" s="81"/>
      <c r="J131" s="81"/>
      <c r="K131" s="81"/>
      <c r="L131" s="81"/>
      <c r="M131" s="81"/>
      <c r="N131" s="81"/>
      <c r="O131" s="81"/>
      <c r="P131" s="81"/>
      <c r="Q131" s="81"/>
      <c r="R131" s="81"/>
      <c r="S131" s="81"/>
      <c r="T131" s="81"/>
      <c r="U131" s="81"/>
      <c r="V131" s="81"/>
      <c r="W131" s="81"/>
      <c r="X131" s="81"/>
      <c r="Y131" s="81"/>
      <c r="Z131" s="81"/>
    </row>
    <row r="132" ht="15.75" customHeight="1">
      <c r="A132" s="81"/>
      <c r="B132" s="80"/>
      <c r="C132" s="80"/>
      <c r="D132" s="75"/>
      <c r="E132" s="80"/>
      <c r="F132" s="81"/>
      <c r="G132" s="81"/>
      <c r="H132" s="81"/>
      <c r="I132" s="81"/>
      <c r="J132" s="81"/>
      <c r="K132" s="81"/>
      <c r="L132" s="81"/>
      <c r="M132" s="81"/>
      <c r="N132" s="81"/>
      <c r="O132" s="81"/>
      <c r="P132" s="81"/>
      <c r="Q132" s="81"/>
      <c r="R132" s="81"/>
      <c r="S132" s="81"/>
      <c r="T132" s="81"/>
      <c r="U132" s="81"/>
      <c r="V132" s="81"/>
      <c r="W132" s="81"/>
      <c r="X132" s="81"/>
      <c r="Y132" s="81"/>
      <c r="Z132" s="81"/>
    </row>
    <row r="133" ht="15.75" customHeight="1">
      <c r="A133" s="81"/>
      <c r="B133" s="80"/>
      <c r="C133" s="80"/>
      <c r="D133" s="75"/>
      <c r="E133" s="80"/>
      <c r="F133" s="81"/>
      <c r="G133" s="81"/>
      <c r="H133" s="81"/>
      <c r="I133" s="81"/>
      <c r="J133" s="81"/>
      <c r="K133" s="81"/>
      <c r="L133" s="81"/>
      <c r="M133" s="81"/>
      <c r="N133" s="81"/>
      <c r="O133" s="81"/>
      <c r="P133" s="81"/>
      <c r="Q133" s="81"/>
      <c r="R133" s="81"/>
      <c r="S133" s="81"/>
      <c r="T133" s="81"/>
      <c r="U133" s="81"/>
      <c r="V133" s="81"/>
      <c r="W133" s="81"/>
      <c r="X133" s="81"/>
      <c r="Y133" s="81"/>
      <c r="Z133" s="81"/>
    </row>
    <row r="134" ht="15.75" customHeight="1">
      <c r="A134" s="81"/>
      <c r="B134" s="80"/>
      <c r="C134" s="80"/>
      <c r="D134" s="75"/>
      <c r="E134" s="80"/>
      <c r="F134" s="81"/>
      <c r="G134" s="81"/>
      <c r="H134" s="81"/>
      <c r="I134" s="81"/>
      <c r="J134" s="81"/>
      <c r="K134" s="81"/>
      <c r="L134" s="81"/>
      <c r="M134" s="81"/>
      <c r="N134" s="81"/>
      <c r="O134" s="81"/>
      <c r="P134" s="81"/>
      <c r="Q134" s="81"/>
      <c r="R134" s="81"/>
      <c r="S134" s="81"/>
      <c r="T134" s="81"/>
      <c r="U134" s="81"/>
      <c r="V134" s="81"/>
      <c r="W134" s="81"/>
      <c r="X134" s="81"/>
      <c r="Y134" s="81"/>
      <c r="Z134" s="81"/>
    </row>
    <row r="135" ht="15.75" customHeight="1">
      <c r="A135" s="81"/>
      <c r="B135" s="80"/>
      <c r="C135" s="80"/>
      <c r="D135" s="75"/>
      <c r="E135" s="80"/>
      <c r="F135" s="81"/>
      <c r="G135" s="81"/>
      <c r="H135" s="81"/>
      <c r="I135" s="81"/>
      <c r="J135" s="81"/>
      <c r="K135" s="81"/>
      <c r="L135" s="81"/>
      <c r="M135" s="81"/>
      <c r="N135" s="81"/>
      <c r="O135" s="81"/>
      <c r="P135" s="81"/>
      <c r="Q135" s="81"/>
      <c r="R135" s="81"/>
      <c r="S135" s="81"/>
      <c r="T135" s="81"/>
      <c r="U135" s="81"/>
      <c r="V135" s="81"/>
      <c r="W135" s="81"/>
      <c r="X135" s="81"/>
      <c r="Y135" s="81"/>
      <c r="Z135" s="81"/>
    </row>
    <row r="136" ht="15.75" customHeight="1">
      <c r="A136" s="81"/>
      <c r="B136" s="80"/>
      <c r="C136" s="80"/>
      <c r="D136" s="75"/>
      <c r="E136" s="80"/>
      <c r="F136" s="81"/>
      <c r="G136" s="81"/>
      <c r="H136" s="81"/>
      <c r="I136" s="81"/>
      <c r="J136" s="81"/>
      <c r="K136" s="81"/>
      <c r="L136" s="81"/>
      <c r="M136" s="81"/>
      <c r="N136" s="81"/>
      <c r="O136" s="81"/>
      <c r="P136" s="81"/>
      <c r="Q136" s="81"/>
      <c r="R136" s="81"/>
      <c r="S136" s="81"/>
      <c r="T136" s="81"/>
      <c r="U136" s="81"/>
      <c r="V136" s="81"/>
      <c r="W136" s="81"/>
      <c r="X136" s="81"/>
      <c r="Y136" s="81"/>
      <c r="Z136" s="81"/>
    </row>
    <row r="137" ht="15.75" customHeight="1">
      <c r="A137" s="81"/>
      <c r="B137" s="80"/>
      <c r="C137" s="80"/>
      <c r="D137" s="75"/>
      <c r="E137" s="80"/>
      <c r="F137" s="81"/>
      <c r="G137" s="81"/>
      <c r="H137" s="81"/>
      <c r="I137" s="81"/>
      <c r="J137" s="81"/>
      <c r="K137" s="81"/>
      <c r="L137" s="81"/>
      <c r="M137" s="81"/>
      <c r="N137" s="81"/>
      <c r="O137" s="81"/>
      <c r="P137" s="81"/>
      <c r="Q137" s="81"/>
      <c r="R137" s="81"/>
      <c r="S137" s="81"/>
      <c r="T137" s="81"/>
      <c r="U137" s="81"/>
      <c r="V137" s="81"/>
      <c r="W137" s="81"/>
      <c r="X137" s="81"/>
      <c r="Y137" s="81"/>
      <c r="Z137" s="81"/>
    </row>
    <row r="138" ht="15.75" customHeight="1">
      <c r="A138" s="81"/>
      <c r="B138" s="80"/>
      <c r="C138" s="80"/>
      <c r="D138" s="75"/>
      <c r="E138" s="80"/>
      <c r="F138" s="81"/>
      <c r="G138" s="81"/>
      <c r="H138" s="81"/>
      <c r="I138" s="81"/>
      <c r="J138" s="81"/>
      <c r="K138" s="81"/>
      <c r="L138" s="81"/>
      <c r="M138" s="81"/>
      <c r="N138" s="81"/>
      <c r="O138" s="81"/>
      <c r="P138" s="81"/>
      <c r="Q138" s="81"/>
      <c r="R138" s="81"/>
      <c r="S138" s="81"/>
      <c r="T138" s="81"/>
      <c r="U138" s="81"/>
      <c r="V138" s="81"/>
      <c r="W138" s="81"/>
      <c r="X138" s="81"/>
      <c r="Y138" s="81"/>
      <c r="Z138" s="81"/>
    </row>
    <row r="139" ht="15.75" customHeight="1">
      <c r="A139" s="81"/>
      <c r="B139" s="80"/>
      <c r="C139" s="80"/>
      <c r="D139" s="75"/>
      <c r="E139" s="80"/>
      <c r="F139" s="81"/>
      <c r="G139" s="81"/>
      <c r="H139" s="81"/>
      <c r="I139" s="81"/>
      <c r="J139" s="81"/>
      <c r="K139" s="81"/>
      <c r="L139" s="81"/>
      <c r="M139" s="81"/>
      <c r="N139" s="81"/>
      <c r="O139" s="81"/>
      <c r="P139" s="81"/>
      <c r="Q139" s="81"/>
      <c r="R139" s="81"/>
      <c r="S139" s="81"/>
      <c r="T139" s="81"/>
      <c r="U139" s="81"/>
      <c r="V139" s="81"/>
      <c r="W139" s="81"/>
      <c r="X139" s="81"/>
      <c r="Y139" s="81"/>
      <c r="Z139" s="81"/>
    </row>
    <row r="140" ht="15.75" customHeight="1">
      <c r="A140" s="81"/>
      <c r="B140" s="80"/>
      <c r="C140" s="80"/>
      <c r="D140" s="75"/>
      <c r="E140" s="80"/>
      <c r="F140" s="81"/>
      <c r="G140" s="81"/>
      <c r="H140" s="81"/>
      <c r="I140" s="81"/>
      <c r="J140" s="81"/>
      <c r="K140" s="81"/>
      <c r="L140" s="81"/>
      <c r="M140" s="81"/>
      <c r="N140" s="81"/>
      <c r="O140" s="81"/>
      <c r="P140" s="81"/>
      <c r="Q140" s="81"/>
      <c r="R140" s="81"/>
      <c r="S140" s="81"/>
      <c r="T140" s="81"/>
      <c r="U140" s="81"/>
      <c r="V140" s="81"/>
      <c r="W140" s="81"/>
      <c r="X140" s="81"/>
      <c r="Y140" s="81"/>
      <c r="Z140" s="81"/>
    </row>
    <row r="141" ht="15.75" customHeight="1">
      <c r="A141" s="81"/>
      <c r="B141" s="80"/>
      <c r="C141" s="80"/>
      <c r="D141" s="75"/>
      <c r="E141" s="80"/>
      <c r="F141" s="81"/>
      <c r="G141" s="81"/>
      <c r="H141" s="81"/>
      <c r="I141" s="81"/>
      <c r="J141" s="81"/>
      <c r="K141" s="81"/>
      <c r="L141" s="81"/>
      <c r="M141" s="81"/>
      <c r="N141" s="81"/>
      <c r="O141" s="81"/>
      <c r="P141" s="81"/>
      <c r="Q141" s="81"/>
      <c r="R141" s="81"/>
      <c r="S141" s="81"/>
      <c r="T141" s="81"/>
      <c r="U141" s="81"/>
      <c r="V141" s="81"/>
      <c r="W141" s="81"/>
      <c r="X141" s="81"/>
      <c r="Y141" s="81"/>
      <c r="Z141" s="81"/>
    </row>
    <row r="142" ht="15.75" customHeight="1">
      <c r="A142" s="81"/>
      <c r="B142" s="80"/>
      <c r="C142" s="80"/>
      <c r="D142" s="75"/>
      <c r="E142" s="80"/>
      <c r="F142" s="81"/>
      <c r="G142" s="81"/>
      <c r="H142" s="81"/>
      <c r="I142" s="81"/>
      <c r="J142" s="81"/>
      <c r="K142" s="81"/>
      <c r="L142" s="81"/>
      <c r="M142" s="81"/>
      <c r="N142" s="81"/>
      <c r="O142" s="81"/>
      <c r="P142" s="81"/>
      <c r="Q142" s="81"/>
      <c r="R142" s="81"/>
      <c r="S142" s="81"/>
      <c r="T142" s="81"/>
      <c r="U142" s="81"/>
      <c r="V142" s="81"/>
      <c r="W142" s="81"/>
      <c r="X142" s="81"/>
      <c r="Y142" s="81"/>
      <c r="Z142" s="81"/>
    </row>
    <row r="143" ht="15.75" customHeight="1">
      <c r="A143" s="81"/>
      <c r="B143" s="80"/>
      <c r="C143" s="80"/>
      <c r="D143" s="75"/>
      <c r="E143" s="80"/>
      <c r="F143" s="81"/>
      <c r="G143" s="81"/>
      <c r="H143" s="81"/>
      <c r="I143" s="81"/>
      <c r="J143" s="81"/>
      <c r="K143" s="81"/>
      <c r="L143" s="81"/>
      <c r="M143" s="81"/>
      <c r="N143" s="81"/>
      <c r="O143" s="81"/>
      <c r="P143" s="81"/>
      <c r="Q143" s="81"/>
      <c r="R143" s="81"/>
      <c r="S143" s="81"/>
      <c r="T143" s="81"/>
      <c r="U143" s="81"/>
      <c r="V143" s="81"/>
      <c r="W143" s="81"/>
      <c r="X143" s="81"/>
      <c r="Y143" s="81"/>
      <c r="Z143" s="81"/>
    </row>
    <row r="144" ht="15.75" customHeight="1">
      <c r="A144" s="81"/>
      <c r="B144" s="80"/>
      <c r="C144" s="80"/>
      <c r="D144" s="75"/>
      <c r="E144" s="80"/>
      <c r="F144" s="81"/>
      <c r="G144" s="81"/>
      <c r="H144" s="81"/>
      <c r="I144" s="81"/>
      <c r="J144" s="81"/>
      <c r="K144" s="81"/>
      <c r="L144" s="81"/>
      <c r="M144" s="81"/>
      <c r="N144" s="81"/>
      <c r="O144" s="81"/>
      <c r="P144" s="81"/>
      <c r="Q144" s="81"/>
      <c r="R144" s="81"/>
      <c r="S144" s="81"/>
      <c r="T144" s="81"/>
      <c r="U144" s="81"/>
      <c r="V144" s="81"/>
      <c r="W144" s="81"/>
      <c r="X144" s="81"/>
      <c r="Y144" s="81"/>
      <c r="Z144" s="81"/>
    </row>
    <row r="145" ht="15.75" customHeight="1">
      <c r="A145" s="81"/>
      <c r="B145" s="80"/>
      <c r="C145" s="80"/>
      <c r="D145" s="75"/>
      <c r="E145" s="80"/>
      <c r="F145" s="81"/>
      <c r="G145" s="81"/>
      <c r="H145" s="81"/>
      <c r="I145" s="81"/>
      <c r="J145" s="81"/>
      <c r="K145" s="81"/>
      <c r="L145" s="81"/>
      <c r="M145" s="81"/>
      <c r="N145" s="81"/>
      <c r="O145" s="81"/>
      <c r="P145" s="81"/>
      <c r="Q145" s="81"/>
      <c r="R145" s="81"/>
      <c r="S145" s="81"/>
      <c r="T145" s="81"/>
      <c r="U145" s="81"/>
      <c r="V145" s="81"/>
      <c r="W145" s="81"/>
      <c r="X145" s="81"/>
      <c r="Y145" s="81"/>
      <c r="Z145" s="81"/>
    </row>
    <row r="146" ht="15.75" customHeight="1">
      <c r="A146" s="81"/>
      <c r="B146" s="80"/>
      <c r="C146" s="80"/>
      <c r="D146" s="75"/>
      <c r="E146" s="80"/>
      <c r="F146" s="81"/>
      <c r="G146" s="81"/>
      <c r="H146" s="81"/>
      <c r="I146" s="81"/>
      <c r="J146" s="81"/>
      <c r="K146" s="81"/>
      <c r="L146" s="81"/>
      <c r="M146" s="81"/>
      <c r="N146" s="81"/>
      <c r="O146" s="81"/>
      <c r="P146" s="81"/>
      <c r="Q146" s="81"/>
      <c r="R146" s="81"/>
      <c r="S146" s="81"/>
      <c r="T146" s="81"/>
      <c r="U146" s="81"/>
      <c r="V146" s="81"/>
      <c r="W146" s="81"/>
      <c r="X146" s="81"/>
      <c r="Y146" s="81"/>
      <c r="Z146" s="81"/>
    </row>
    <row r="147" ht="15.75" customHeight="1">
      <c r="A147" s="81"/>
      <c r="B147" s="80"/>
      <c r="C147" s="80"/>
      <c r="D147" s="75"/>
      <c r="E147" s="80"/>
      <c r="F147" s="81"/>
      <c r="G147" s="81"/>
      <c r="H147" s="81"/>
      <c r="I147" s="81"/>
      <c r="J147" s="81"/>
      <c r="K147" s="81"/>
      <c r="L147" s="81"/>
      <c r="M147" s="81"/>
      <c r="N147" s="81"/>
      <c r="O147" s="81"/>
      <c r="P147" s="81"/>
      <c r="Q147" s="81"/>
      <c r="R147" s="81"/>
      <c r="S147" s="81"/>
      <c r="T147" s="81"/>
      <c r="U147" s="81"/>
      <c r="V147" s="81"/>
      <c r="W147" s="81"/>
      <c r="X147" s="81"/>
      <c r="Y147" s="81"/>
      <c r="Z147" s="81"/>
    </row>
    <row r="148" ht="15.75" customHeight="1">
      <c r="A148" s="81"/>
      <c r="B148" s="80"/>
      <c r="C148" s="80"/>
      <c r="D148" s="75"/>
      <c r="E148" s="80"/>
      <c r="F148" s="81"/>
      <c r="G148" s="81"/>
      <c r="H148" s="81"/>
      <c r="I148" s="81"/>
      <c r="J148" s="81"/>
      <c r="K148" s="81"/>
      <c r="L148" s="81"/>
      <c r="M148" s="81"/>
      <c r="N148" s="81"/>
      <c r="O148" s="81"/>
      <c r="P148" s="81"/>
      <c r="Q148" s="81"/>
      <c r="R148" s="81"/>
      <c r="S148" s="81"/>
      <c r="T148" s="81"/>
      <c r="U148" s="81"/>
      <c r="V148" s="81"/>
      <c r="W148" s="81"/>
      <c r="X148" s="81"/>
      <c r="Y148" s="81"/>
      <c r="Z148" s="81"/>
    </row>
    <row r="149" ht="15.75" customHeight="1">
      <c r="A149" s="81"/>
      <c r="B149" s="80"/>
      <c r="C149" s="80"/>
      <c r="D149" s="75"/>
      <c r="E149" s="80"/>
      <c r="F149" s="81"/>
      <c r="G149" s="81"/>
      <c r="H149" s="81"/>
      <c r="I149" s="81"/>
      <c r="J149" s="81"/>
      <c r="K149" s="81"/>
      <c r="L149" s="81"/>
      <c r="M149" s="81"/>
      <c r="N149" s="81"/>
      <c r="O149" s="81"/>
      <c r="P149" s="81"/>
      <c r="Q149" s="81"/>
      <c r="R149" s="81"/>
      <c r="S149" s="81"/>
      <c r="T149" s="81"/>
      <c r="U149" s="81"/>
      <c r="V149" s="81"/>
      <c r="W149" s="81"/>
      <c r="X149" s="81"/>
      <c r="Y149" s="81"/>
      <c r="Z149" s="81"/>
    </row>
    <row r="150" ht="15.75" customHeight="1">
      <c r="A150" s="81"/>
      <c r="B150" s="80"/>
      <c r="C150" s="80"/>
      <c r="D150" s="75"/>
      <c r="E150" s="80"/>
      <c r="F150" s="81"/>
      <c r="G150" s="81"/>
      <c r="H150" s="81"/>
      <c r="I150" s="81"/>
      <c r="J150" s="81"/>
      <c r="K150" s="81"/>
      <c r="L150" s="81"/>
      <c r="M150" s="81"/>
      <c r="N150" s="81"/>
      <c r="O150" s="81"/>
      <c r="P150" s="81"/>
      <c r="Q150" s="81"/>
      <c r="R150" s="81"/>
      <c r="S150" s="81"/>
      <c r="T150" s="81"/>
      <c r="U150" s="81"/>
      <c r="V150" s="81"/>
      <c r="W150" s="81"/>
      <c r="X150" s="81"/>
      <c r="Y150" s="81"/>
      <c r="Z150" s="81"/>
    </row>
    <row r="151" ht="15.75" customHeight="1">
      <c r="A151" s="81"/>
      <c r="B151" s="80"/>
      <c r="C151" s="80"/>
      <c r="D151" s="75"/>
      <c r="E151" s="80"/>
      <c r="F151" s="81"/>
      <c r="G151" s="81"/>
      <c r="H151" s="81"/>
      <c r="I151" s="81"/>
      <c r="J151" s="81"/>
      <c r="K151" s="81"/>
      <c r="L151" s="81"/>
      <c r="M151" s="81"/>
      <c r="N151" s="81"/>
      <c r="O151" s="81"/>
      <c r="P151" s="81"/>
      <c r="Q151" s="81"/>
      <c r="R151" s="81"/>
      <c r="S151" s="81"/>
      <c r="T151" s="81"/>
      <c r="U151" s="81"/>
      <c r="V151" s="81"/>
      <c r="W151" s="81"/>
      <c r="X151" s="81"/>
      <c r="Y151" s="81"/>
      <c r="Z151" s="81"/>
    </row>
    <row r="152" ht="15.75" customHeight="1">
      <c r="A152" s="81"/>
      <c r="B152" s="80"/>
      <c r="C152" s="80"/>
      <c r="D152" s="75"/>
      <c r="E152" s="80"/>
      <c r="F152" s="81"/>
      <c r="G152" s="81"/>
      <c r="H152" s="81"/>
      <c r="I152" s="81"/>
      <c r="J152" s="81"/>
      <c r="K152" s="81"/>
      <c r="L152" s="81"/>
      <c r="M152" s="81"/>
      <c r="N152" s="81"/>
      <c r="O152" s="81"/>
      <c r="P152" s="81"/>
      <c r="Q152" s="81"/>
      <c r="R152" s="81"/>
      <c r="S152" s="81"/>
      <c r="T152" s="81"/>
      <c r="U152" s="81"/>
      <c r="V152" s="81"/>
      <c r="W152" s="81"/>
      <c r="X152" s="81"/>
      <c r="Y152" s="81"/>
      <c r="Z152" s="81"/>
    </row>
    <row r="153" ht="15.75" customHeight="1">
      <c r="A153" s="81"/>
      <c r="B153" s="80"/>
      <c r="C153" s="80"/>
      <c r="D153" s="75"/>
      <c r="E153" s="80"/>
      <c r="F153" s="81"/>
      <c r="G153" s="81"/>
      <c r="H153" s="81"/>
      <c r="I153" s="81"/>
      <c r="J153" s="81"/>
      <c r="K153" s="81"/>
      <c r="L153" s="81"/>
      <c r="M153" s="81"/>
      <c r="N153" s="81"/>
      <c r="O153" s="81"/>
      <c r="P153" s="81"/>
      <c r="Q153" s="81"/>
      <c r="R153" s="81"/>
      <c r="S153" s="81"/>
      <c r="T153" s="81"/>
      <c r="U153" s="81"/>
      <c r="V153" s="81"/>
      <c r="W153" s="81"/>
      <c r="X153" s="81"/>
      <c r="Y153" s="81"/>
      <c r="Z153" s="81"/>
    </row>
    <row r="154" ht="15.75" customHeight="1">
      <c r="A154" s="81"/>
      <c r="B154" s="80"/>
      <c r="C154" s="80"/>
      <c r="D154" s="75"/>
      <c r="E154" s="80"/>
      <c r="F154" s="81"/>
      <c r="G154" s="81"/>
      <c r="H154" s="81"/>
      <c r="I154" s="81"/>
      <c r="J154" s="81"/>
      <c r="K154" s="81"/>
      <c r="L154" s="81"/>
      <c r="M154" s="81"/>
      <c r="N154" s="81"/>
      <c r="O154" s="81"/>
      <c r="P154" s="81"/>
      <c r="Q154" s="81"/>
      <c r="R154" s="81"/>
      <c r="S154" s="81"/>
      <c r="T154" s="81"/>
      <c r="U154" s="81"/>
      <c r="V154" s="81"/>
      <c r="W154" s="81"/>
      <c r="X154" s="81"/>
      <c r="Y154" s="81"/>
      <c r="Z154" s="81"/>
    </row>
    <row r="155" ht="15.75" customHeight="1">
      <c r="A155" s="81"/>
      <c r="B155" s="80"/>
      <c r="C155" s="80"/>
      <c r="D155" s="75"/>
      <c r="E155" s="80"/>
      <c r="F155" s="81"/>
      <c r="G155" s="81"/>
      <c r="H155" s="81"/>
      <c r="I155" s="81"/>
      <c r="J155" s="81"/>
      <c r="K155" s="81"/>
      <c r="L155" s="81"/>
      <c r="M155" s="81"/>
      <c r="N155" s="81"/>
      <c r="O155" s="81"/>
      <c r="P155" s="81"/>
      <c r="Q155" s="81"/>
      <c r="R155" s="81"/>
      <c r="S155" s="81"/>
      <c r="T155" s="81"/>
      <c r="U155" s="81"/>
      <c r="V155" s="81"/>
      <c r="W155" s="81"/>
      <c r="X155" s="81"/>
      <c r="Y155" s="81"/>
      <c r="Z155" s="81"/>
    </row>
    <row r="156" ht="15.75" customHeight="1">
      <c r="A156" s="81"/>
      <c r="B156" s="80"/>
      <c r="C156" s="80"/>
      <c r="D156" s="75"/>
      <c r="E156" s="80"/>
      <c r="F156" s="81"/>
      <c r="G156" s="81"/>
      <c r="H156" s="81"/>
      <c r="I156" s="81"/>
      <c r="J156" s="81"/>
      <c r="K156" s="81"/>
      <c r="L156" s="81"/>
      <c r="M156" s="81"/>
      <c r="N156" s="81"/>
      <c r="O156" s="81"/>
      <c r="P156" s="81"/>
      <c r="Q156" s="81"/>
      <c r="R156" s="81"/>
      <c r="S156" s="81"/>
      <c r="T156" s="81"/>
      <c r="U156" s="81"/>
      <c r="V156" s="81"/>
      <c r="W156" s="81"/>
      <c r="X156" s="81"/>
      <c r="Y156" s="81"/>
      <c r="Z156" s="81"/>
    </row>
    <row r="157" ht="15.75" customHeight="1">
      <c r="A157" s="81"/>
      <c r="B157" s="80"/>
      <c r="C157" s="80"/>
      <c r="D157" s="75"/>
      <c r="E157" s="80"/>
      <c r="F157" s="81"/>
      <c r="G157" s="81"/>
      <c r="H157" s="81"/>
      <c r="I157" s="81"/>
      <c r="J157" s="81"/>
      <c r="K157" s="81"/>
      <c r="L157" s="81"/>
      <c r="M157" s="81"/>
      <c r="N157" s="81"/>
      <c r="O157" s="81"/>
      <c r="P157" s="81"/>
      <c r="Q157" s="81"/>
      <c r="R157" s="81"/>
      <c r="S157" s="81"/>
      <c r="T157" s="81"/>
      <c r="U157" s="81"/>
      <c r="V157" s="81"/>
      <c r="W157" s="81"/>
      <c r="X157" s="81"/>
      <c r="Y157" s="81"/>
      <c r="Z157" s="81"/>
    </row>
    <row r="158" ht="15.75" customHeight="1">
      <c r="A158" s="81"/>
      <c r="B158" s="80"/>
      <c r="C158" s="80"/>
      <c r="D158" s="75"/>
      <c r="E158" s="80"/>
      <c r="F158" s="81"/>
      <c r="G158" s="81"/>
      <c r="H158" s="81"/>
      <c r="I158" s="81"/>
      <c r="J158" s="81"/>
      <c r="K158" s="81"/>
      <c r="L158" s="81"/>
      <c r="M158" s="81"/>
      <c r="N158" s="81"/>
      <c r="O158" s="81"/>
      <c r="P158" s="81"/>
      <c r="Q158" s="81"/>
      <c r="R158" s="81"/>
      <c r="S158" s="81"/>
      <c r="T158" s="81"/>
      <c r="U158" s="81"/>
      <c r="V158" s="81"/>
      <c r="W158" s="81"/>
      <c r="X158" s="81"/>
      <c r="Y158" s="81"/>
      <c r="Z158" s="81"/>
    </row>
    <row r="159" ht="15.75" customHeight="1">
      <c r="A159" s="81"/>
      <c r="B159" s="80"/>
      <c r="C159" s="80"/>
      <c r="D159" s="75"/>
      <c r="E159" s="80"/>
      <c r="F159" s="81"/>
      <c r="G159" s="81"/>
      <c r="H159" s="81"/>
      <c r="I159" s="81"/>
      <c r="J159" s="81"/>
      <c r="K159" s="81"/>
      <c r="L159" s="81"/>
      <c r="M159" s="81"/>
      <c r="N159" s="81"/>
      <c r="O159" s="81"/>
      <c r="P159" s="81"/>
      <c r="Q159" s="81"/>
      <c r="R159" s="81"/>
      <c r="S159" s="81"/>
      <c r="T159" s="81"/>
      <c r="U159" s="81"/>
      <c r="V159" s="81"/>
      <c r="W159" s="81"/>
      <c r="X159" s="81"/>
      <c r="Y159" s="81"/>
      <c r="Z159" s="81"/>
    </row>
    <row r="160" ht="15.75" customHeight="1">
      <c r="A160" s="81"/>
      <c r="B160" s="80"/>
      <c r="C160" s="80"/>
      <c r="D160" s="75"/>
      <c r="E160" s="80"/>
      <c r="F160" s="81"/>
      <c r="G160" s="81"/>
      <c r="H160" s="81"/>
      <c r="I160" s="81"/>
      <c r="J160" s="81"/>
      <c r="K160" s="81"/>
      <c r="L160" s="81"/>
      <c r="M160" s="81"/>
      <c r="N160" s="81"/>
      <c r="O160" s="81"/>
      <c r="P160" s="81"/>
      <c r="Q160" s="81"/>
      <c r="R160" s="81"/>
      <c r="S160" s="81"/>
      <c r="T160" s="81"/>
      <c r="U160" s="81"/>
      <c r="V160" s="81"/>
      <c r="W160" s="81"/>
      <c r="X160" s="81"/>
      <c r="Y160" s="81"/>
      <c r="Z160" s="81"/>
    </row>
    <row r="161" ht="15.75" customHeight="1">
      <c r="A161" s="81"/>
      <c r="B161" s="80"/>
      <c r="C161" s="80"/>
      <c r="D161" s="75"/>
      <c r="E161" s="80"/>
      <c r="F161" s="81"/>
      <c r="G161" s="81"/>
      <c r="H161" s="81"/>
      <c r="I161" s="81"/>
      <c r="J161" s="81"/>
      <c r="K161" s="81"/>
      <c r="L161" s="81"/>
      <c r="M161" s="81"/>
      <c r="N161" s="81"/>
      <c r="O161" s="81"/>
      <c r="P161" s="81"/>
      <c r="Q161" s="81"/>
      <c r="R161" s="81"/>
      <c r="S161" s="81"/>
      <c r="T161" s="81"/>
      <c r="U161" s="81"/>
      <c r="V161" s="81"/>
      <c r="W161" s="81"/>
      <c r="X161" s="81"/>
      <c r="Y161" s="81"/>
      <c r="Z161" s="81"/>
    </row>
    <row r="162" ht="15.75" customHeight="1">
      <c r="A162" s="81"/>
      <c r="B162" s="80"/>
      <c r="C162" s="80"/>
      <c r="D162" s="75"/>
      <c r="E162" s="80"/>
      <c r="F162" s="81"/>
      <c r="G162" s="81"/>
      <c r="H162" s="81"/>
      <c r="I162" s="81"/>
      <c r="J162" s="81"/>
      <c r="K162" s="81"/>
      <c r="L162" s="81"/>
      <c r="M162" s="81"/>
      <c r="N162" s="81"/>
      <c r="O162" s="81"/>
      <c r="P162" s="81"/>
      <c r="Q162" s="81"/>
      <c r="R162" s="81"/>
      <c r="S162" s="81"/>
      <c r="T162" s="81"/>
      <c r="U162" s="81"/>
      <c r="V162" s="81"/>
      <c r="W162" s="81"/>
      <c r="X162" s="81"/>
      <c r="Y162" s="81"/>
      <c r="Z162" s="81"/>
    </row>
    <row r="163" ht="15.75" customHeight="1">
      <c r="A163" s="81"/>
      <c r="B163" s="80"/>
      <c r="C163" s="80"/>
      <c r="D163" s="75"/>
      <c r="E163" s="80"/>
      <c r="F163" s="81"/>
      <c r="G163" s="81"/>
      <c r="H163" s="81"/>
      <c r="I163" s="81"/>
      <c r="J163" s="81"/>
      <c r="K163" s="81"/>
      <c r="L163" s="81"/>
      <c r="M163" s="81"/>
      <c r="N163" s="81"/>
      <c r="O163" s="81"/>
      <c r="P163" s="81"/>
      <c r="Q163" s="81"/>
      <c r="R163" s="81"/>
      <c r="S163" s="81"/>
      <c r="T163" s="81"/>
      <c r="U163" s="81"/>
      <c r="V163" s="81"/>
      <c r="W163" s="81"/>
      <c r="X163" s="81"/>
      <c r="Y163" s="81"/>
      <c r="Z163" s="81"/>
    </row>
    <row r="164" ht="15.75" customHeight="1">
      <c r="A164" s="81"/>
      <c r="B164" s="80"/>
      <c r="C164" s="80"/>
      <c r="D164" s="75"/>
      <c r="E164" s="80"/>
      <c r="F164" s="81"/>
      <c r="G164" s="81"/>
      <c r="H164" s="81"/>
      <c r="I164" s="81"/>
      <c r="J164" s="81"/>
      <c r="K164" s="81"/>
      <c r="L164" s="81"/>
      <c r="M164" s="81"/>
      <c r="N164" s="81"/>
      <c r="O164" s="81"/>
      <c r="P164" s="81"/>
      <c r="Q164" s="81"/>
      <c r="R164" s="81"/>
      <c r="S164" s="81"/>
      <c r="T164" s="81"/>
      <c r="U164" s="81"/>
      <c r="V164" s="81"/>
      <c r="W164" s="81"/>
      <c r="X164" s="81"/>
      <c r="Y164" s="81"/>
      <c r="Z164" s="81"/>
    </row>
    <row r="165" ht="15.75" customHeight="1">
      <c r="A165" s="81"/>
      <c r="B165" s="80"/>
      <c r="C165" s="80"/>
      <c r="D165" s="75"/>
      <c r="E165" s="80"/>
      <c r="F165" s="81"/>
      <c r="G165" s="81"/>
      <c r="H165" s="81"/>
      <c r="I165" s="81"/>
      <c r="J165" s="81"/>
      <c r="K165" s="81"/>
      <c r="L165" s="81"/>
      <c r="M165" s="81"/>
      <c r="N165" s="81"/>
      <c r="O165" s="81"/>
      <c r="P165" s="81"/>
      <c r="Q165" s="81"/>
      <c r="R165" s="81"/>
      <c r="S165" s="81"/>
      <c r="T165" s="81"/>
      <c r="U165" s="81"/>
      <c r="V165" s="81"/>
      <c r="W165" s="81"/>
      <c r="X165" s="81"/>
      <c r="Y165" s="81"/>
      <c r="Z165" s="81"/>
    </row>
    <row r="166" ht="15.75" customHeight="1">
      <c r="A166" s="81"/>
      <c r="B166" s="80"/>
      <c r="C166" s="80"/>
      <c r="D166" s="75"/>
      <c r="E166" s="80"/>
      <c r="F166" s="81"/>
      <c r="G166" s="81"/>
      <c r="H166" s="81"/>
      <c r="I166" s="81"/>
      <c r="J166" s="81"/>
      <c r="K166" s="81"/>
      <c r="L166" s="81"/>
      <c r="M166" s="81"/>
      <c r="N166" s="81"/>
      <c r="O166" s="81"/>
      <c r="P166" s="81"/>
      <c r="Q166" s="81"/>
      <c r="R166" s="81"/>
      <c r="S166" s="81"/>
      <c r="T166" s="81"/>
      <c r="U166" s="81"/>
      <c r="V166" s="81"/>
      <c r="W166" s="81"/>
      <c r="X166" s="81"/>
      <c r="Y166" s="81"/>
      <c r="Z166" s="81"/>
    </row>
    <row r="167" ht="15.75" customHeight="1">
      <c r="A167" s="81"/>
      <c r="B167" s="80"/>
      <c r="C167" s="80"/>
      <c r="D167" s="75"/>
      <c r="E167" s="80"/>
      <c r="F167" s="81"/>
      <c r="G167" s="81"/>
      <c r="H167" s="81"/>
      <c r="I167" s="81"/>
      <c r="J167" s="81"/>
      <c r="K167" s="81"/>
      <c r="L167" s="81"/>
      <c r="M167" s="81"/>
      <c r="N167" s="81"/>
      <c r="O167" s="81"/>
      <c r="P167" s="81"/>
      <c r="Q167" s="81"/>
      <c r="R167" s="81"/>
      <c r="S167" s="81"/>
      <c r="T167" s="81"/>
      <c r="U167" s="81"/>
      <c r="V167" s="81"/>
      <c r="W167" s="81"/>
      <c r="X167" s="81"/>
      <c r="Y167" s="81"/>
      <c r="Z167" s="81"/>
    </row>
    <row r="168" ht="15.75" customHeight="1">
      <c r="A168" s="81"/>
      <c r="B168" s="80"/>
      <c r="C168" s="80"/>
      <c r="D168" s="75"/>
      <c r="E168" s="80"/>
      <c r="F168" s="81"/>
      <c r="G168" s="81"/>
      <c r="H168" s="81"/>
      <c r="I168" s="81"/>
      <c r="J168" s="81"/>
      <c r="K168" s="81"/>
      <c r="L168" s="81"/>
      <c r="M168" s="81"/>
      <c r="N168" s="81"/>
      <c r="O168" s="81"/>
      <c r="P168" s="81"/>
      <c r="Q168" s="81"/>
      <c r="R168" s="81"/>
      <c r="S168" s="81"/>
      <c r="T168" s="81"/>
      <c r="U168" s="81"/>
      <c r="V168" s="81"/>
      <c r="W168" s="81"/>
      <c r="X168" s="81"/>
      <c r="Y168" s="81"/>
      <c r="Z168" s="81"/>
    </row>
    <row r="169" ht="15.75" customHeight="1">
      <c r="A169" s="81"/>
      <c r="B169" s="80"/>
      <c r="C169" s="80"/>
      <c r="D169" s="75"/>
      <c r="E169" s="80"/>
      <c r="F169" s="81"/>
      <c r="G169" s="81"/>
      <c r="H169" s="81"/>
      <c r="I169" s="81"/>
      <c r="J169" s="81"/>
      <c r="K169" s="81"/>
      <c r="L169" s="81"/>
      <c r="M169" s="81"/>
      <c r="N169" s="81"/>
      <c r="O169" s="81"/>
      <c r="P169" s="81"/>
      <c r="Q169" s="81"/>
      <c r="R169" s="81"/>
      <c r="S169" s="81"/>
      <c r="T169" s="81"/>
      <c r="U169" s="81"/>
      <c r="V169" s="81"/>
      <c r="W169" s="81"/>
      <c r="X169" s="81"/>
      <c r="Y169" s="81"/>
      <c r="Z169" s="81"/>
    </row>
    <row r="170" ht="15.75" customHeight="1">
      <c r="A170" s="81"/>
      <c r="B170" s="80"/>
      <c r="C170" s="80"/>
      <c r="D170" s="75"/>
      <c r="E170" s="80"/>
      <c r="F170" s="81"/>
      <c r="G170" s="81"/>
      <c r="H170" s="81"/>
      <c r="I170" s="81"/>
      <c r="J170" s="81"/>
      <c r="K170" s="81"/>
      <c r="L170" s="81"/>
      <c r="M170" s="81"/>
      <c r="N170" s="81"/>
      <c r="O170" s="81"/>
      <c r="P170" s="81"/>
      <c r="Q170" s="81"/>
      <c r="R170" s="81"/>
      <c r="S170" s="81"/>
      <c r="T170" s="81"/>
      <c r="U170" s="81"/>
      <c r="V170" s="81"/>
      <c r="W170" s="81"/>
      <c r="X170" s="81"/>
      <c r="Y170" s="81"/>
      <c r="Z170" s="81"/>
    </row>
    <row r="171" ht="15.75" customHeight="1">
      <c r="A171" s="81"/>
      <c r="B171" s="80"/>
      <c r="C171" s="80"/>
      <c r="D171" s="75"/>
      <c r="E171" s="80"/>
      <c r="F171" s="81"/>
      <c r="G171" s="81"/>
      <c r="H171" s="81"/>
      <c r="I171" s="81"/>
      <c r="J171" s="81"/>
      <c r="K171" s="81"/>
      <c r="L171" s="81"/>
      <c r="M171" s="81"/>
      <c r="N171" s="81"/>
      <c r="O171" s="81"/>
      <c r="P171" s="81"/>
      <c r="Q171" s="81"/>
      <c r="R171" s="81"/>
      <c r="S171" s="81"/>
      <c r="T171" s="81"/>
      <c r="U171" s="81"/>
      <c r="V171" s="81"/>
      <c r="W171" s="81"/>
      <c r="X171" s="81"/>
      <c r="Y171" s="81"/>
      <c r="Z171" s="81"/>
    </row>
    <row r="172" ht="15.75" customHeight="1">
      <c r="A172" s="81"/>
      <c r="B172" s="80"/>
      <c r="C172" s="80"/>
      <c r="D172" s="75"/>
      <c r="E172" s="80"/>
      <c r="F172" s="81"/>
      <c r="G172" s="81"/>
      <c r="H172" s="81"/>
      <c r="I172" s="81"/>
      <c r="J172" s="81"/>
      <c r="K172" s="81"/>
      <c r="L172" s="81"/>
      <c r="M172" s="81"/>
      <c r="N172" s="81"/>
      <c r="O172" s="81"/>
      <c r="P172" s="81"/>
      <c r="Q172" s="81"/>
      <c r="R172" s="81"/>
      <c r="S172" s="81"/>
      <c r="T172" s="81"/>
      <c r="U172" s="81"/>
      <c r="V172" s="81"/>
      <c r="W172" s="81"/>
      <c r="X172" s="81"/>
      <c r="Y172" s="81"/>
      <c r="Z172" s="81"/>
    </row>
    <row r="173" ht="15.75" customHeight="1">
      <c r="A173" s="81"/>
      <c r="B173" s="80"/>
      <c r="C173" s="80"/>
      <c r="D173" s="75"/>
      <c r="E173" s="80"/>
      <c r="F173" s="81"/>
      <c r="G173" s="81"/>
      <c r="H173" s="81"/>
      <c r="I173" s="81"/>
      <c r="J173" s="81"/>
      <c r="K173" s="81"/>
      <c r="L173" s="81"/>
      <c r="M173" s="81"/>
      <c r="N173" s="81"/>
      <c r="O173" s="81"/>
      <c r="P173" s="81"/>
      <c r="Q173" s="81"/>
      <c r="R173" s="81"/>
      <c r="S173" s="81"/>
      <c r="T173" s="81"/>
      <c r="U173" s="81"/>
      <c r="V173" s="81"/>
      <c r="W173" s="81"/>
      <c r="X173" s="81"/>
      <c r="Y173" s="81"/>
      <c r="Z173" s="81"/>
    </row>
    <row r="174" ht="15.75" customHeight="1">
      <c r="A174" s="81"/>
      <c r="B174" s="80"/>
      <c r="C174" s="80"/>
      <c r="D174" s="75"/>
      <c r="E174" s="80"/>
      <c r="F174" s="81"/>
      <c r="G174" s="81"/>
      <c r="H174" s="81"/>
      <c r="I174" s="81"/>
      <c r="J174" s="81"/>
      <c r="K174" s="81"/>
      <c r="L174" s="81"/>
      <c r="M174" s="81"/>
      <c r="N174" s="81"/>
      <c r="O174" s="81"/>
      <c r="P174" s="81"/>
      <c r="Q174" s="81"/>
      <c r="R174" s="81"/>
      <c r="S174" s="81"/>
      <c r="T174" s="81"/>
      <c r="U174" s="81"/>
      <c r="V174" s="81"/>
      <c r="W174" s="81"/>
      <c r="X174" s="81"/>
      <c r="Y174" s="81"/>
      <c r="Z174" s="81"/>
    </row>
    <row r="175" ht="15.75" customHeight="1">
      <c r="A175" s="81"/>
      <c r="B175" s="80"/>
      <c r="C175" s="80"/>
      <c r="D175" s="75"/>
      <c r="E175" s="80"/>
      <c r="F175" s="81"/>
      <c r="G175" s="81"/>
      <c r="H175" s="81"/>
      <c r="I175" s="81"/>
      <c r="J175" s="81"/>
      <c r="K175" s="81"/>
      <c r="L175" s="81"/>
      <c r="M175" s="81"/>
      <c r="N175" s="81"/>
      <c r="O175" s="81"/>
      <c r="P175" s="81"/>
      <c r="Q175" s="81"/>
      <c r="R175" s="81"/>
      <c r="S175" s="81"/>
      <c r="T175" s="81"/>
      <c r="U175" s="81"/>
      <c r="V175" s="81"/>
      <c r="W175" s="81"/>
      <c r="X175" s="81"/>
      <c r="Y175" s="81"/>
      <c r="Z175" s="81"/>
    </row>
    <row r="176" ht="15.75" customHeight="1">
      <c r="A176" s="81"/>
      <c r="B176" s="80"/>
      <c r="C176" s="80"/>
      <c r="D176" s="75"/>
      <c r="E176" s="80"/>
      <c r="F176" s="81"/>
      <c r="G176" s="81"/>
      <c r="H176" s="81"/>
      <c r="I176" s="81"/>
      <c r="J176" s="81"/>
      <c r="K176" s="81"/>
      <c r="L176" s="81"/>
      <c r="M176" s="81"/>
      <c r="N176" s="81"/>
      <c r="O176" s="81"/>
      <c r="P176" s="81"/>
      <c r="Q176" s="81"/>
      <c r="R176" s="81"/>
      <c r="S176" s="81"/>
      <c r="T176" s="81"/>
      <c r="U176" s="81"/>
      <c r="V176" s="81"/>
      <c r="W176" s="81"/>
      <c r="X176" s="81"/>
      <c r="Y176" s="81"/>
      <c r="Z176" s="81"/>
    </row>
    <row r="177" ht="15.75" customHeight="1">
      <c r="A177" s="81"/>
      <c r="B177" s="80"/>
      <c r="C177" s="80"/>
      <c r="D177" s="75"/>
      <c r="E177" s="80"/>
      <c r="F177" s="81"/>
      <c r="G177" s="81"/>
      <c r="H177" s="81"/>
      <c r="I177" s="81"/>
      <c r="J177" s="81"/>
      <c r="K177" s="81"/>
      <c r="L177" s="81"/>
      <c r="M177" s="81"/>
      <c r="N177" s="81"/>
      <c r="O177" s="81"/>
      <c r="P177" s="81"/>
      <c r="Q177" s="81"/>
      <c r="R177" s="81"/>
      <c r="S177" s="81"/>
      <c r="T177" s="81"/>
      <c r="U177" s="81"/>
      <c r="V177" s="81"/>
      <c r="W177" s="81"/>
      <c r="X177" s="81"/>
      <c r="Y177" s="81"/>
      <c r="Z177" s="81"/>
    </row>
    <row r="178" ht="15.75" customHeight="1">
      <c r="A178" s="81"/>
      <c r="B178" s="80"/>
      <c r="C178" s="80"/>
      <c r="D178" s="75"/>
      <c r="E178" s="80"/>
      <c r="F178" s="81"/>
      <c r="G178" s="81"/>
      <c r="H178" s="81"/>
      <c r="I178" s="81"/>
      <c r="J178" s="81"/>
      <c r="K178" s="81"/>
      <c r="L178" s="81"/>
      <c r="M178" s="81"/>
      <c r="N178" s="81"/>
      <c r="O178" s="81"/>
      <c r="P178" s="81"/>
      <c r="Q178" s="81"/>
      <c r="R178" s="81"/>
      <c r="S178" s="81"/>
      <c r="T178" s="81"/>
      <c r="U178" s="81"/>
      <c r="V178" s="81"/>
      <c r="W178" s="81"/>
      <c r="X178" s="81"/>
      <c r="Y178" s="81"/>
      <c r="Z178" s="81"/>
    </row>
    <row r="179" ht="15.75" customHeight="1">
      <c r="A179" s="81"/>
      <c r="B179" s="80"/>
      <c r="C179" s="80"/>
      <c r="D179" s="75"/>
      <c r="E179" s="80"/>
      <c r="F179" s="81"/>
      <c r="G179" s="81"/>
      <c r="H179" s="81"/>
      <c r="I179" s="81"/>
      <c r="J179" s="81"/>
      <c r="K179" s="81"/>
      <c r="L179" s="81"/>
      <c r="M179" s="81"/>
      <c r="N179" s="81"/>
      <c r="O179" s="81"/>
      <c r="P179" s="81"/>
      <c r="Q179" s="81"/>
      <c r="R179" s="81"/>
      <c r="S179" s="81"/>
      <c r="T179" s="81"/>
      <c r="U179" s="81"/>
      <c r="V179" s="81"/>
      <c r="W179" s="81"/>
      <c r="X179" s="81"/>
      <c r="Y179" s="81"/>
      <c r="Z179" s="81"/>
    </row>
    <row r="180" ht="15.75" customHeight="1">
      <c r="A180" s="81"/>
      <c r="B180" s="80"/>
      <c r="C180" s="80"/>
      <c r="D180" s="75"/>
      <c r="E180" s="80"/>
      <c r="F180" s="81"/>
      <c r="G180" s="81"/>
      <c r="H180" s="81"/>
      <c r="I180" s="81"/>
      <c r="J180" s="81"/>
      <c r="K180" s="81"/>
      <c r="L180" s="81"/>
      <c r="M180" s="81"/>
      <c r="N180" s="81"/>
      <c r="O180" s="81"/>
      <c r="P180" s="81"/>
      <c r="Q180" s="81"/>
      <c r="R180" s="81"/>
      <c r="S180" s="81"/>
      <c r="T180" s="81"/>
      <c r="U180" s="81"/>
      <c r="V180" s="81"/>
      <c r="W180" s="81"/>
      <c r="X180" s="81"/>
      <c r="Y180" s="81"/>
      <c r="Z180" s="81"/>
    </row>
    <row r="181" ht="15.75" customHeight="1">
      <c r="A181" s="81"/>
      <c r="B181" s="80"/>
      <c r="C181" s="80"/>
      <c r="D181" s="75"/>
      <c r="E181" s="80"/>
      <c r="F181" s="81"/>
      <c r="G181" s="81"/>
      <c r="H181" s="81"/>
      <c r="I181" s="81"/>
      <c r="J181" s="81"/>
      <c r="K181" s="81"/>
      <c r="L181" s="81"/>
      <c r="M181" s="81"/>
      <c r="N181" s="81"/>
      <c r="O181" s="81"/>
      <c r="P181" s="81"/>
      <c r="Q181" s="81"/>
      <c r="R181" s="81"/>
      <c r="S181" s="81"/>
      <c r="T181" s="81"/>
      <c r="U181" s="81"/>
      <c r="V181" s="81"/>
      <c r="W181" s="81"/>
      <c r="X181" s="81"/>
      <c r="Y181" s="81"/>
      <c r="Z181" s="81"/>
    </row>
    <row r="182" ht="15.75" customHeight="1">
      <c r="A182" s="81"/>
      <c r="B182" s="80"/>
      <c r="C182" s="80"/>
      <c r="D182" s="75"/>
      <c r="E182" s="80"/>
      <c r="F182" s="81"/>
      <c r="G182" s="81"/>
      <c r="H182" s="81"/>
      <c r="I182" s="81"/>
      <c r="J182" s="81"/>
      <c r="K182" s="81"/>
      <c r="L182" s="81"/>
      <c r="M182" s="81"/>
      <c r="N182" s="81"/>
      <c r="O182" s="81"/>
      <c r="P182" s="81"/>
      <c r="Q182" s="81"/>
      <c r="R182" s="81"/>
      <c r="S182" s="81"/>
      <c r="T182" s="81"/>
      <c r="U182" s="81"/>
      <c r="V182" s="81"/>
      <c r="W182" s="81"/>
      <c r="X182" s="81"/>
      <c r="Y182" s="81"/>
      <c r="Z182" s="81"/>
    </row>
    <row r="183" ht="15.75" customHeight="1">
      <c r="A183" s="81"/>
      <c r="B183" s="80"/>
      <c r="C183" s="80"/>
      <c r="D183" s="75"/>
      <c r="E183" s="80"/>
      <c r="F183" s="81"/>
      <c r="G183" s="81"/>
      <c r="H183" s="81"/>
      <c r="I183" s="81"/>
      <c r="J183" s="81"/>
      <c r="K183" s="81"/>
      <c r="L183" s="81"/>
      <c r="M183" s="81"/>
      <c r="N183" s="81"/>
      <c r="O183" s="81"/>
      <c r="P183" s="81"/>
      <c r="Q183" s="81"/>
      <c r="R183" s="81"/>
      <c r="S183" s="81"/>
      <c r="T183" s="81"/>
      <c r="U183" s="81"/>
      <c r="V183" s="81"/>
      <c r="W183" s="81"/>
      <c r="X183" s="81"/>
      <c r="Y183" s="81"/>
      <c r="Z183" s="81"/>
    </row>
    <row r="184" ht="15.75" customHeight="1">
      <c r="A184" s="81"/>
      <c r="B184" s="80"/>
      <c r="C184" s="80"/>
      <c r="D184" s="75"/>
      <c r="E184" s="80"/>
      <c r="F184" s="81"/>
      <c r="G184" s="81"/>
      <c r="H184" s="81"/>
      <c r="I184" s="81"/>
      <c r="J184" s="81"/>
      <c r="K184" s="81"/>
      <c r="L184" s="81"/>
      <c r="M184" s="81"/>
      <c r="N184" s="81"/>
      <c r="O184" s="81"/>
      <c r="P184" s="81"/>
      <c r="Q184" s="81"/>
      <c r="R184" s="81"/>
      <c r="S184" s="81"/>
      <c r="T184" s="81"/>
      <c r="U184" s="81"/>
      <c r="V184" s="81"/>
      <c r="W184" s="81"/>
      <c r="X184" s="81"/>
      <c r="Y184" s="81"/>
      <c r="Z184" s="81"/>
    </row>
    <row r="185" ht="15.75" customHeight="1">
      <c r="A185" s="81"/>
      <c r="B185" s="80"/>
      <c r="C185" s="80"/>
      <c r="D185" s="75"/>
      <c r="E185" s="80"/>
      <c r="F185" s="81"/>
      <c r="G185" s="81"/>
      <c r="H185" s="81"/>
      <c r="I185" s="81"/>
      <c r="J185" s="81"/>
      <c r="K185" s="81"/>
      <c r="L185" s="81"/>
      <c r="M185" s="81"/>
      <c r="N185" s="81"/>
      <c r="O185" s="81"/>
      <c r="P185" s="81"/>
      <c r="Q185" s="81"/>
      <c r="R185" s="81"/>
      <c r="S185" s="81"/>
      <c r="T185" s="81"/>
      <c r="U185" s="81"/>
      <c r="V185" s="81"/>
      <c r="W185" s="81"/>
      <c r="X185" s="81"/>
      <c r="Y185" s="81"/>
      <c r="Z185" s="81"/>
    </row>
    <row r="186" ht="15.75" customHeight="1">
      <c r="A186" s="81"/>
      <c r="B186" s="80"/>
      <c r="C186" s="80"/>
      <c r="D186" s="75"/>
      <c r="E186" s="80"/>
      <c r="F186" s="81"/>
      <c r="G186" s="81"/>
      <c r="H186" s="81"/>
      <c r="I186" s="81"/>
      <c r="J186" s="81"/>
      <c r="K186" s="81"/>
      <c r="L186" s="81"/>
      <c r="M186" s="81"/>
      <c r="N186" s="81"/>
      <c r="O186" s="81"/>
      <c r="P186" s="81"/>
      <c r="Q186" s="81"/>
      <c r="R186" s="81"/>
      <c r="S186" s="81"/>
      <c r="T186" s="81"/>
      <c r="U186" s="81"/>
      <c r="V186" s="81"/>
      <c r="W186" s="81"/>
      <c r="X186" s="81"/>
      <c r="Y186" s="81"/>
      <c r="Z186" s="81"/>
    </row>
    <row r="187" ht="15.75" customHeight="1">
      <c r="A187" s="81"/>
      <c r="B187" s="80"/>
      <c r="C187" s="80"/>
      <c r="D187" s="75"/>
      <c r="E187" s="80"/>
      <c r="F187" s="81"/>
      <c r="G187" s="81"/>
      <c r="H187" s="81"/>
      <c r="I187" s="81"/>
      <c r="J187" s="81"/>
      <c r="K187" s="81"/>
      <c r="L187" s="81"/>
      <c r="M187" s="81"/>
      <c r="N187" s="81"/>
      <c r="O187" s="81"/>
      <c r="P187" s="81"/>
      <c r="Q187" s="81"/>
      <c r="R187" s="81"/>
      <c r="S187" s="81"/>
      <c r="T187" s="81"/>
      <c r="U187" s="81"/>
      <c r="V187" s="81"/>
      <c r="W187" s="81"/>
      <c r="X187" s="81"/>
      <c r="Y187" s="81"/>
      <c r="Z187" s="81"/>
    </row>
    <row r="188" ht="15.75" customHeight="1">
      <c r="A188" s="81"/>
      <c r="B188" s="80"/>
      <c r="C188" s="80"/>
      <c r="D188" s="75"/>
      <c r="E188" s="80"/>
      <c r="F188" s="81"/>
      <c r="G188" s="81"/>
      <c r="H188" s="81"/>
      <c r="I188" s="81"/>
      <c r="J188" s="81"/>
      <c r="K188" s="81"/>
      <c r="L188" s="81"/>
      <c r="M188" s="81"/>
      <c r="N188" s="81"/>
      <c r="O188" s="81"/>
      <c r="P188" s="81"/>
      <c r="Q188" s="81"/>
      <c r="R188" s="81"/>
      <c r="S188" s="81"/>
      <c r="T188" s="81"/>
      <c r="U188" s="81"/>
      <c r="V188" s="81"/>
      <c r="W188" s="81"/>
      <c r="X188" s="81"/>
      <c r="Y188" s="81"/>
      <c r="Z188" s="81"/>
    </row>
    <row r="189" ht="15.75" customHeight="1">
      <c r="A189" s="81"/>
      <c r="B189" s="80"/>
      <c r="C189" s="80"/>
      <c r="D189" s="75"/>
      <c r="E189" s="80"/>
      <c r="F189" s="81"/>
      <c r="G189" s="81"/>
      <c r="H189" s="81"/>
      <c r="I189" s="81"/>
      <c r="J189" s="81"/>
      <c r="K189" s="81"/>
      <c r="L189" s="81"/>
      <c r="M189" s="81"/>
      <c r="N189" s="81"/>
      <c r="O189" s="81"/>
      <c r="P189" s="81"/>
      <c r="Q189" s="81"/>
      <c r="R189" s="81"/>
      <c r="S189" s="81"/>
      <c r="T189" s="81"/>
      <c r="U189" s="81"/>
      <c r="V189" s="81"/>
      <c r="W189" s="81"/>
      <c r="X189" s="81"/>
      <c r="Y189" s="81"/>
      <c r="Z189" s="81"/>
    </row>
    <row r="190" ht="15.75" customHeight="1">
      <c r="A190" s="81"/>
      <c r="B190" s="80"/>
      <c r="C190" s="80"/>
      <c r="D190" s="75"/>
      <c r="E190" s="80"/>
      <c r="F190" s="81"/>
      <c r="G190" s="81"/>
      <c r="H190" s="81"/>
      <c r="I190" s="81"/>
      <c r="J190" s="81"/>
      <c r="K190" s="81"/>
      <c r="L190" s="81"/>
      <c r="M190" s="81"/>
      <c r="N190" s="81"/>
      <c r="O190" s="81"/>
      <c r="P190" s="81"/>
      <c r="Q190" s="81"/>
      <c r="R190" s="81"/>
      <c r="S190" s="81"/>
      <c r="T190" s="81"/>
      <c r="U190" s="81"/>
      <c r="V190" s="81"/>
      <c r="W190" s="81"/>
      <c r="X190" s="81"/>
      <c r="Y190" s="81"/>
      <c r="Z190" s="81"/>
    </row>
    <row r="191" ht="15.75" customHeight="1">
      <c r="A191" s="81"/>
      <c r="B191" s="80"/>
      <c r="C191" s="80"/>
      <c r="D191" s="75"/>
      <c r="E191" s="80"/>
      <c r="F191" s="81"/>
      <c r="G191" s="81"/>
      <c r="H191" s="81"/>
      <c r="I191" s="81"/>
      <c r="J191" s="81"/>
      <c r="K191" s="81"/>
      <c r="L191" s="81"/>
      <c r="M191" s="81"/>
      <c r="N191" s="81"/>
      <c r="O191" s="81"/>
      <c r="P191" s="81"/>
      <c r="Q191" s="81"/>
      <c r="R191" s="81"/>
      <c r="S191" s="81"/>
      <c r="T191" s="81"/>
      <c r="U191" s="81"/>
      <c r="V191" s="81"/>
      <c r="W191" s="81"/>
      <c r="X191" s="81"/>
      <c r="Y191" s="81"/>
      <c r="Z191" s="81"/>
    </row>
    <row r="192" ht="15.75" customHeight="1">
      <c r="A192" s="81"/>
      <c r="B192" s="80"/>
      <c r="C192" s="80"/>
      <c r="D192" s="75"/>
      <c r="E192" s="80"/>
      <c r="F192" s="81"/>
      <c r="G192" s="81"/>
      <c r="H192" s="81"/>
      <c r="I192" s="81"/>
      <c r="J192" s="81"/>
      <c r="K192" s="81"/>
      <c r="L192" s="81"/>
      <c r="M192" s="81"/>
      <c r="N192" s="81"/>
      <c r="O192" s="81"/>
      <c r="P192" s="81"/>
      <c r="Q192" s="81"/>
      <c r="R192" s="81"/>
      <c r="S192" s="81"/>
      <c r="T192" s="81"/>
      <c r="U192" s="81"/>
      <c r="V192" s="81"/>
      <c r="W192" s="81"/>
      <c r="X192" s="81"/>
      <c r="Y192" s="81"/>
      <c r="Z192" s="81"/>
    </row>
    <row r="193" ht="15.75" customHeight="1">
      <c r="A193" s="81"/>
      <c r="B193" s="80"/>
      <c r="C193" s="80"/>
      <c r="D193" s="75"/>
      <c r="E193" s="80"/>
      <c r="F193" s="81"/>
      <c r="G193" s="81"/>
      <c r="H193" s="81"/>
      <c r="I193" s="81"/>
      <c r="J193" s="81"/>
      <c r="K193" s="81"/>
      <c r="L193" s="81"/>
      <c r="M193" s="81"/>
      <c r="N193" s="81"/>
      <c r="O193" s="81"/>
      <c r="P193" s="81"/>
      <c r="Q193" s="81"/>
      <c r="R193" s="81"/>
      <c r="S193" s="81"/>
      <c r="T193" s="81"/>
      <c r="U193" s="81"/>
      <c r="V193" s="81"/>
      <c r="W193" s="81"/>
      <c r="X193" s="81"/>
      <c r="Y193" s="81"/>
      <c r="Z193" s="81"/>
    </row>
    <row r="194" ht="15.75" customHeight="1">
      <c r="A194" s="81"/>
      <c r="B194" s="80"/>
      <c r="C194" s="80"/>
      <c r="D194" s="75"/>
      <c r="E194" s="80"/>
      <c r="F194" s="81"/>
      <c r="G194" s="81"/>
      <c r="H194" s="81"/>
      <c r="I194" s="81"/>
      <c r="J194" s="81"/>
      <c r="K194" s="81"/>
      <c r="L194" s="81"/>
      <c r="M194" s="81"/>
      <c r="N194" s="81"/>
      <c r="O194" s="81"/>
      <c r="P194" s="81"/>
      <c r="Q194" s="81"/>
      <c r="R194" s="81"/>
      <c r="S194" s="81"/>
      <c r="T194" s="81"/>
      <c r="U194" s="81"/>
      <c r="V194" s="81"/>
      <c r="W194" s="81"/>
      <c r="X194" s="81"/>
      <c r="Y194" s="81"/>
      <c r="Z194" s="81"/>
    </row>
    <row r="195" ht="15.75" customHeight="1">
      <c r="A195" s="81"/>
      <c r="B195" s="80"/>
      <c r="C195" s="80"/>
      <c r="D195" s="75"/>
      <c r="E195" s="80"/>
      <c r="F195" s="81"/>
      <c r="G195" s="81"/>
      <c r="H195" s="81"/>
      <c r="I195" s="81"/>
      <c r="J195" s="81"/>
      <c r="K195" s="81"/>
      <c r="L195" s="81"/>
      <c r="M195" s="81"/>
      <c r="N195" s="81"/>
      <c r="O195" s="81"/>
      <c r="P195" s="81"/>
      <c r="Q195" s="81"/>
      <c r="R195" s="81"/>
      <c r="S195" s="81"/>
      <c r="T195" s="81"/>
      <c r="U195" s="81"/>
      <c r="V195" s="81"/>
      <c r="W195" s="81"/>
      <c r="X195" s="81"/>
      <c r="Y195" s="81"/>
      <c r="Z195" s="81"/>
    </row>
    <row r="196" ht="15.75" customHeight="1">
      <c r="A196" s="81"/>
      <c r="B196" s="80"/>
      <c r="C196" s="80"/>
      <c r="D196" s="75"/>
      <c r="E196" s="80"/>
      <c r="F196" s="81"/>
      <c r="G196" s="81"/>
      <c r="H196" s="81"/>
      <c r="I196" s="81"/>
      <c r="J196" s="81"/>
      <c r="K196" s="81"/>
      <c r="L196" s="81"/>
      <c r="M196" s="81"/>
      <c r="N196" s="81"/>
      <c r="O196" s="81"/>
      <c r="P196" s="81"/>
      <c r="Q196" s="81"/>
      <c r="R196" s="81"/>
      <c r="S196" s="81"/>
      <c r="T196" s="81"/>
      <c r="U196" s="81"/>
      <c r="V196" s="81"/>
      <c r="W196" s="81"/>
      <c r="X196" s="81"/>
      <c r="Y196" s="81"/>
      <c r="Z196" s="81"/>
    </row>
    <row r="197" ht="15.75" customHeight="1">
      <c r="A197" s="81"/>
      <c r="B197" s="80"/>
      <c r="C197" s="80"/>
      <c r="D197" s="75"/>
      <c r="E197" s="80"/>
      <c r="F197" s="81"/>
      <c r="G197" s="81"/>
      <c r="H197" s="81"/>
      <c r="I197" s="81"/>
      <c r="J197" s="81"/>
      <c r="K197" s="81"/>
      <c r="L197" s="81"/>
      <c r="M197" s="81"/>
      <c r="N197" s="81"/>
      <c r="O197" s="81"/>
      <c r="P197" s="81"/>
      <c r="Q197" s="81"/>
      <c r="R197" s="81"/>
      <c r="S197" s="81"/>
      <c r="T197" s="81"/>
      <c r="U197" s="81"/>
      <c r="V197" s="81"/>
      <c r="W197" s="81"/>
      <c r="X197" s="81"/>
      <c r="Y197" s="81"/>
      <c r="Z197" s="81"/>
    </row>
    <row r="198" ht="15.75" customHeight="1">
      <c r="A198" s="81"/>
      <c r="B198" s="80"/>
      <c r="C198" s="80"/>
      <c r="D198" s="75"/>
      <c r="E198" s="80"/>
      <c r="F198" s="81"/>
      <c r="G198" s="81"/>
      <c r="H198" s="81"/>
      <c r="I198" s="81"/>
      <c r="J198" s="81"/>
      <c r="K198" s="81"/>
      <c r="L198" s="81"/>
      <c r="M198" s="81"/>
      <c r="N198" s="81"/>
      <c r="O198" s="81"/>
      <c r="P198" s="81"/>
      <c r="Q198" s="81"/>
      <c r="R198" s="81"/>
      <c r="S198" s="81"/>
      <c r="T198" s="81"/>
      <c r="U198" s="81"/>
      <c r="V198" s="81"/>
      <c r="W198" s="81"/>
      <c r="X198" s="81"/>
      <c r="Y198" s="81"/>
      <c r="Z198" s="81"/>
    </row>
    <row r="199" ht="15.75" customHeight="1">
      <c r="A199" s="81"/>
      <c r="B199" s="80"/>
      <c r="C199" s="80"/>
      <c r="D199" s="75"/>
      <c r="E199" s="80"/>
      <c r="F199" s="81"/>
      <c r="G199" s="81"/>
      <c r="H199" s="81"/>
      <c r="I199" s="81"/>
      <c r="J199" s="81"/>
      <c r="K199" s="81"/>
      <c r="L199" s="81"/>
      <c r="M199" s="81"/>
      <c r="N199" s="81"/>
      <c r="O199" s="81"/>
      <c r="P199" s="81"/>
      <c r="Q199" s="81"/>
      <c r="R199" s="81"/>
      <c r="S199" s="81"/>
      <c r="T199" s="81"/>
      <c r="U199" s="81"/>
      <c r="V199" s="81"/>
      <c r="W199" s="81"/>
      <c r="X199" s="81"/>
      <c r="Y199" s="81"/>
      <c r="Z199" s="81"/>
    </row>
    <row r="200" ht="15.75" customHeight="1">
      <c r="A200" s="81"/>
      <c r="B200" s="80"/>
      <c r="C200" s="80"/>
      <c r="D200" s="75"/>
      <c r="E200" s="80"/>
      <c r="F200" s="81"/>
      <c r="G200" s="81"/>
      <c r="H200" s="81"/>
      <c r="I200" s="81"/>
      <c r="J200" s="81"/>
      <c r="K200" s="81"/>
      <c r="L200" s="81"/>
      <c r="M200" s="81"/>
      <c r="N200" s="81"/>
      <c r="O200" s="81"/>
      <c r="P200" s="81"/>
      <c r="Q200" s="81"/>
      <c r="R200" s="81"/>
      <c r="S200" s="81"/>
      <c r="T200" s="81"/>
      <c r="U200" s="81"/>
      <c r="V200" s="81"/>
      <c r="W200" s="81"/>
      <c r="X200" s="81"/>
      <c r="Y200" s="81"/>
      <c r="Z200" s="81"/>
    </row>
    <row r="201" ht="15.75" customHeight="1">
      <c r="A201" s="81"/>
      <c r="B201" s="80"/>
      <c r="C201" s="80"/>
      <c r="D201" s="75"/>
      <c r="E201" s="80"/>
      <c r="F201" s="81"/>
      <c r="G201" s="81"/>
      <c r="H201" s="81"/>
      <c r="I201" s="81"/>
      <c r="J201" s="81"/>
      <c r="K201" s="81"/>
      <c r="L201" s="81"/>
      <c r="M201" s="81"/>
      <c r="N201" s="81"/>
      <c r="O201" s="81"/>
      <c r="P201" s="81"/>
      <c r="Q201" s="81"/>
      <c r="R201" s="81"/>
      <c r="S201" s="81"/>
      <c r="T201" s="81"/>
      <c r="U201" s="81"/>
      <c r="V201" s="81"/>
      <c r="W201" s="81"/>
      <c r="X201" s="81"/>
      <c r="Y201" s="81"/>
      <c r="Z201" s="81"/>
    </row>
    <row r="202" ht="15.75" customHeight="1">
      <c r="A202" s="81"/>
      <c r="B202" s="80"/>
      <c r="C202" s="80"/>
      <c r="D202" s="75"/>
      <c r="E202" s="80"/>
      <c r="F202" s="81"/>
      <c r="G202" s="81"/>
      <c r="H202" s="81"/>
      <c r="I202" s="81"/>
      <c r="J202" s="81"/>
      <c r="K202" s="81"/>
      <c r="L202" s="81"/>
      <c r="M202" s="81"/>
      <c r="N202" s="81"/>
      <c r="O202" s="81"/>
      <c r="P202" s="81"/>
      <c r="Q202" s="81"/>
      <c r="R202" s="81"/>
      <c r="S202" s="81"/>
      <c r="T202" s="81"/>
      <c r="U202" s="81"/>
      <c r="V202" s="81"/>
      <c r="W202" s="81"/>
      <c r="X202" s="81"/>
      <c r="Y202" s="81"/>
      <c r="Z202" s="81"/>
    </row>
    <row r="203" ht="15.75" customHeight="1">
      <c r="A203" s="81"/>
      <c r="B203" s="80"/>
      <c r="C203" s="80"/>
      <c r="D203" s="75"/>
      <c r="E203" s="80"/>
      <c r="F203" s="81"/>
      <c r="G203" s="81"/>
      <c r="H203" s="81"/>
      <c r="I203" s="81"/>
      <c r="J203" s="81"/>
      <c r="K203" s="81"/>
      <c r="L203" s="81"/>
      <c r="M203" s="81"/>
      <c r="N203" s="81"/>
      <c r="O203" s="81"/>
      <c r="P203" s="81"/>
      <c r="Q203" s="81"/>
      <c r="R203" s="81"/>
      <c r="S203" s="81"/>
      <c r="T203" s="81"/>
      <c r="U203" s="81"/>
      <c r="V203" s="81"/>
      <c r="W203" s="81"/>
      <c r="X203" s="81"/>
      <c r="Y203" s="81"/>
      <c r="Z203" s="81"/>
    </row>
    <row r="204" ht="15.75" customHeight="1">
      <c r="A204" s="81"/>
      <c r="B204" s="80"/>
      <c r="C204" s="80"/>
      <c r="D204" s="75"/>
      <c r="E204" s="80"/>
      <c r="F204" s="81"/>
      <c r="G204" s="81"/>
      <c r="H204" s="81"/>
      <c r="I204" s="81"/>
      <c r="J204" s="81"/>
      <c r="K204" s="81"/>
      <c r="L204" s="81"/>
      <c r="M204" s="81"/>
      <c r="N204" s="81"/>
      <c r="O204" s="81"/>
      <c r="P204" s="81"/>
      <c r="Q204" s="81"/>
      <c r="R204" s="81"/>
      <c r="S204" s="81"/>
      <c r="T204" s="81"/>
      <c r="U204" s="81"/>
      <c r="V204" s="81"/>
      <c r="W204" s="81"/>
      <c r="X204" s="81"/>
      <c r="Y204" s="81"/>
      <c r="Z204" s="81"/>
    </row>
    <row r="205" ht="15.75" customHeight="1">
      <c r="A205" s="81"/>
      <c r="B205" s="80"/>
      <c r="C205" s="80"/>
      <c r="D205" s="75"/>
      <c r="E205" s="80"/>
      <c r="F205" s="81"/>
      <c r="G205" s="81"/>
      <c r="H205" s="81"/>
      <c r="I205" s="81"/>
      <c r="J205" s="81"/>
      <c r="K205" s="81"/>
      <c r="L205" s="81"/>
      <c r="M205" s="81"/>
      <c r="N205" s="81"/>
      <c r="O205" s="81"/>
      <c r="P205" s="81"/>
      <c r="Q205" s="81"/>
      <c r="R205" s="81"/>
      <c r="S205" s="81"/>
      <c r="T205" s="81"/>
      <c r="U205" s="81"/>
      <c r="V205" s="81"/>
      <c r="W205" s="81"/>
      <c r="X205" s="81"/>
      <c r="Y205" s="81"/>
      <c r="Z205" s="81"/>
    </row>
    <row r="206" ht="15.75" customHeight="1">
      <c r="A206" s="81"/>
      <c r="B206" s="80"/>
      <c r="C206" s="80"/>
      <c r="D206" s="75"/>
      <c r="E206" s="80"/>
      <c r="F206" s="81"/>
      <c r="G206" s="81"/>
      <c r="H206" s="81"/>
      <c r="I206" s="81"/>
      <c r="J206" s="81"/>
      <c r="K206" s="81"/>
      <c r="L206" s="81"/>
      <c r="M206" s="81"/>
      <c r="N206" s="81"/>
      <c r="O206" s="81"/>
      <c r="P206" s="81"/>
      <c r="Q206" s="81"/>
      <c r="R206" s="81"/>
      <c r="S206" s="81"/>
      <c r="T206" s="81"/>
      <c r="U206" s="81"/>
      <c r="V206" s="81"/>
      <c r="W206" s="81"/>
      <c r="X206" s="81"/>
      <c r="Y206" s="81"/>
      <c r="Z206" s="81"/>
    </row>
    <row r="207" ht="15.75" customHeight="1">
      <c r="A207" s="81"/>
      <c r="B207" s="80"/>
      <c r="C207" s="80"/>
      <c r="D207" s="75"/>
      <c r="E207" s="80"/>
      <c r="F207" s="81"/>
      <c r="G207" s="81"/>
      <c r="H207" s="81"/>
      <c r="I207" s="81"/>
      <c r="J207" s="81"/>
      <c r="K207" s="81"/>
      <c r="L207" s="81"/>
      <c r="M207" s="81"/>
      <c r="N207" s="81"/>
      <c r="O207" s="81"/>
      <c r="P207" s="81"/>
      <c r="Q207" s="81"/>
      <c r="R207" s="81"/>
      <c r="S207" s="81"/>
      <c r="T207" s="81"/>
      <c r="U207" s="81"/>
      <c r="V207" s="81"/>
      <c r="W207" s="81"/>
      <c r="X207" s="81"/>
      <c r="Y207" s="81"/>
      <c r="Z207" s="81"/>
    </row>
    <row r="208" ht="15.75" customHeight="1">
      <c r="A208" s="81"/>
      <c r="B208" s="80"/>
      <c r="C208" s="80"/>
      <c r="D208" s="75"/>
      <c r="E208" s="80"/>
      <c r="F208" s="81"/>
      <c r="G208" s="81"/>
      <c r="H208" s="81"/>
      <c r="I208" s="81"/>
      <c r="J208" s="81"/>
      <c r="K208" s="81"/>
      <c r="L208" s="81"/>
      <c r="M208" s="81"/>
      <c r="N208" s="81"/>
      <c r="O208" s="81"/>
      <c r="P208" s="81"/>
      <c r="Q208" s="81"/>
      <c r="R208" s="81"/>
      <c r="S208" s="81"/>
      <c r="T208" s="81"/>
      <c r="U208" s="81"/>
      <c r="V208" s="81"/>
      <c r="W208" s="81"/>
      <c r="X208" s="81"/>
      <c r="Y208" s="81"/>
      <c r="Z208" s="81"/>
    </row>
    <row r="209" ht="15.75" customHeight="1">
      <c r="A209" s="81"/>
      <c r="B209" s="80"/>
      <c r="C209" s="80"/>
      <c r="D209" s="75"/>
      <c r="E209" s="80"/>
      <c r="F209" s="81"/>
      <c r="G209" s="81"/>
      <c r="H209" s="81"/>
      <c r="I209" s="81"/>
      <c r="J209" s="81"/>
      <c r="K209" s="81"/>
      <c r="L209" s="81"/>
      <c r="M209" s="81"/>
      <c r="N209" s="81"/>
      <c r="O209" s="81"/>
      <c r="P209" s="81"/>
      <c r="Q209" s="81"/>
      <c r="R209" s="81"/>
      <c r="S209" s="81"/>
      <c r="T209" s="81"/>
      <c r="U209" s="81"/>
      <c r="V209" s="81"/>
      <c r="W209" s="81"/>
      <c r="X209" s="81"/>
      <c r="Y209" s="81"/>
      <c r="Z209" s="81"/>
    </row>
    <row r="210" ht="15.75" customHeight="1">
      <c r="A210" s="81"/>
      <c r="B210" s="80"/>
      <c r="C210" s="80"/>
      <c r="D210" s="75"/>
      <c r="E210" s="80"/>
      <c r="F210" s="81"/>
      <c r="G210" s="81"/>
      <c r="H210" s="81"/>
      <c r="I210" s="81"/>
      <c r="J210" s="81"/>
      <c r="K210" s="81"/>
      <c r="L210" s="81"/>
      <c r="M210" s="81"/>
      <c r="N210" s="81"/>
      <c r="O210" s="81"/>
      <c r="P210" s="81"/>
      <c r="Q210" s="81"/>
      <c r="R210" s="81"/>
      <c r="S210" s="81"/>
      <c r="T210" s="81"/>
      <c r="U210" s="81"/>
      <c r="V210" s="81"/>
      <c r="W210" s="81"/>
      <c r="X210" s="81"/>
      <c r="Y210" s="81"/>
      <c r="Z210" s="81"/>
    </row>
    <row r="211" ht="15.75" customHeight="1">
      <c r="A211" s="81"/>
      <c r="B211" s="80"/>
      <c r="C211" s="80"/>
      <c r="D211" s="75"/>
      <c r="E211" s="80"/>
      <c r="F211" s="81"/>
      <c r="G211" s="81"/>
      <c r="H211" s="81"/>
      <c r="I211" s="81"/>
      <c r="J211" s="81"/>
      <c r="K211" s="81"/>
      <c r="L211" s="81"/>
      <c r="M211" s="81"/>
      <c r="N211" s="81"/>
      <c r="O211" s="81"/>
      <c r="P211" s="81"/>
      <c r="Q211" s="81"/>
      <c r="R211" s="81"/>
      <c r="S211" s="81"/>
      <c r="T211" s="81"/>
      <c r="U211" s="81"/>
      <c r="V211" s="81"/>
      <c r="W211" s="81"/>
      <c r="X211" s="81"/>
      <c r="Y211" s="81"/>
      <c r="Z211" s="81"/>
    </row>
    <row r="212" ht="15.75" customHeight="1">
      <c r="A212" s="81"/>
      <c r="B212" s="80"/>
      <c r="C212" s="80"/>
      <c r="D212" s="75"/>
      <c r="E212" s="80"/>
      <c r="F212" s="81"/>
      <c r="G212" s="81"/>
      <c r="H212" s="81"/>
      <c r="I212" s="81"/>
      <c r="J212" s="81"/>
      <c r="K212" s="81"/>
      <c r="L212" s="81"/>
      <c r="M212" s="81"/>
      <c r="N212" s="81"/>
      <c r="O212" s="81"/>
      <c r="P212" s="81"/>
      <c r="Q212" s="81"/>
      <c r="R212" s="81"/>
      <c r="S212" s="81"/>
      <c r="T212" s="81"/>
      <c r="U212" s="81"/>
      <c r="V212" s="81"/>
      <c r="W212" s="81"/>
      <c r="X212" s="81"/>
      <c r="Y212" s="81"/>
      <c r="Z212" s="81"/>
    </row>
    <row r="213" ht="15.75" customHeight="1">
      <c r="A213" s="81"/>
      <c r="B213" s="80"/>
      <c r="C213" s="80"/>
      <c r="D213" s="75"/>
      <c r="E213" s="80"/>
      <c r="F213" s="81"/>
      <c r="G213" s="81"/>
      <c r="H213" s="81"/>
      <c r="I213" s="81"/>
      <c r="J213" s="81"/>
      <c r="K213" s="81"/>
      <c r="L213" s="81"/>
      <c r="M213" s="81"/>
      <c r="N213" s="81"/>
      <c r="O213" s="81"/>
      <c r="P213" s="81"/>
      <c r="Q213" s="81"/>
      <c r="R213" s="81"/>
      <c r="S213" s="81"/>
      <c r="T213" s="81"/>
      <c r="U213" s="81"/>
      <c r="V213" s="81"/>
      <c r="W213" s="81"/>
      <c r="X213" s="81"/>
      <c r="Y213" s="81"/>
      <c r="Z213" s="81"/>
    </row>
    <row r="214" ht="15.75" customHeight="1">
      <c r="A214" s="81"/>
      <c r="B214" s="80"/>
      <c r="C214" s="80"/>
      <c r="D214" s="75"/>
      <c r="E214" s="80"/>
      <c r="F214" s="81"/>
      <c r="G214" s="81"/>
      <c r="H214" s="81"/>
      <c r="I214" s="81"/>
      <c r="J214" s="81"/>
      <c r="K214" s="81"/>
      <c r="L214" s="81"/>
      <c r="M214" s="81"/>
      <c r="N214" s="81"/>
      <c r="O214" s="81"/>
      <c r="P214" s="81"/>
      <c r="Q214" s="81"/>
      <c r="R214" s="81"/>
      <c r="S214" s="81"/>
      <c r="T214" s="81"/>
      <c r="U214" s="81"/>
      <c r="V214" s="81"/>
      <c r="W214" s="81"/>
      <c r="X214" s="81"/>
      <c r="Y214" s="81"/>
      <c r="Z214" s="81"/>
    </row>
    <row r="215" ht="15.75" customHeight="1">
      <c r="A215" s="81"/>
      <c r="B215" s="80"/>
      <c r="C215" s="80"/>
      <c r="D215" s="75"/>
      <c r="E215" s="80"/>
      <c r="F215" s="81"/>
      <c r="G215" s="81"/>
      <c r="H215" s="81"/>
      <c r="I215" s="81"/>
      <c r="J215" s="81"/>
      <c r="K215" s="81"/>
      <c r="L215" s="81"/>
      <c r="M215" s="81"/>
      <c r="N215" s="81"/>
      <c r="O215" s="81"/>
      <c r="P215" s="81"/>
      <c r="Q215" s="81"/>
      <c r="R215" s="81"/>
      <c r="S215" s="81"/>
      <c r="T215" s="81"/>
      <c r="U215" s="81"/>
      <c r="V215" s="81"/>
      <c r="W215" s="81"/>
      <c r="X215" s="81"/>
      <c r="Y215" s="81"/>
      <c r="Z215" s="81"/>
    </row>
    <row r="216" ht="15.75" customHeight="1">
      <c r="A216" s="81"/>
      <c r="B216" s="80"/>
      <c r="C216" s="80"/>
      <c r="D216" s="75"/>
      <c r="E216" s="80"/>
      <c r="F216" s="81"/>
      <c r="G216" s="81"/>
      <c r="H216" s="81"/>
      <c r="I216" s="81"/>
      <c r="J216" s="81"/>
      <c r="K216" s="81"/>
      <c r="L216" s="81"/>
      <c r="M216" s="81"/>
      <c r="N216" s="81"/>
      <c r="O216" s="81"/>
      <c r="P216" s="81"/>
      <c r="Q216" s="81"/>
      <c r="R216" s="81"/>
      <c r="S216" s="81"/>
      <c r="T216" s="81"/>
      <c r="U216" s="81"/>
      <c r="V216" s="81"/>
      <c r="W216" s="81"/>
      <c r="X216" s="81"/>
      <c r="Y216" s="81"/>
      <c r="Z216" s="81"/>
    </row>
    <row r="217" ht="15.75" customHeight="1">
      <c r="A217" s="81"/>
      <c r="B217" s="80"/>
      <c r="C217" s="80"/>
      <c r="D217" s="75"/>
      <c r="E217" s="80"/>
      <c r="F217" s="81"/>
      <c r="G217" s="81"/>
      <c r="H217" s="81"/>
      <c r="I217" s="81"/>
      <c r="J217" s="81"/>
      <c r="K217" s="81"/>
      <c r="L217" s="81"/>
      <c r="M217" s="81"/>
      <c r="N217" s="81"/>
      <c r="O217" s="81"/>
      <c r="P217" s="81"/>
      <c r="Q217" s="81"/>
      <c r="R217" s="81"/>
      <c r="S217" s="81"/>
      <c r="T217" s="81"/>
      <c r="U217" s="81"/>
      <c r="V217" s="81"/>
      <c r="W217" s="81"/>
      <c r="X217" s="81"/>
      <c r="Y217" s="81"/>
      <c r="Z217" s="81"/>
    </row>
    <row r="218" ht="15.75" customHeight="1">
      <c r="A218" s="81"/>
      <c r="B218" s="80"/>
      <c r="C218" s="80"/>
      <c r="D218" s="75"/>
      <c r="E218" s="80"/>
      <c r="F218" s="81"/>
      <c r="G218" s="81"/>
      <c r="H218" s="81"/>
      <c r="I218" s="81"/>
      <c r="J218" s="81"/>
      <c r="K218" s="81"/>
      <c r="L218" s="81"/>
      <c r="M218" s="81"/>
      <c r="N218" s="81"/>
      <c r="O218" s="81"/>
      <c r="P218" s="81"/>
      <c r="Q218" s="81"/>
      <c r="R218" s="81"/>
      <c r="S218" s="81"/>
      <c r="T218" s="81"/>
      <c r="U218" s="81"/>
      <c r="V218" s="81"/>
      <c r="W218" s="81"/>
      <c r="X218" s="81"/>
      <c r="Y218" s="81"/>
      <c r="Z218" s="81"/>
    </row>
    <row r="219" ht="15.75" customHeight="1">
      <c r="A219" s="81"/>
      <c r="B219" s="80"/>
      <c r="C219" s="80"/>
      <c r="D219" s="75"/>
      <c r="E219" s="80"/>
      <c r="F219" s="81"/>
      <c r="G219" s="81"/>
      <c r="H219" s="81"/>
      <c r="I219" s="81"/>
      <c r="J219" s="81"/>
      <c r="K219" s="81"/>
      <c r="L219" s="81"/>
      <c r="M219" s="81"/>
      <c r="N219" s="81"/>
      <c r="O219" s="81"/>
      <c r="P219" s="81"/>
      <c r="Q219" s="81"/>
      <c r="R219" s="81"/>
      <c r="S219" s="81"/>
      <c r="T219" s="81"/>
      <c r="U219" s="81"/>
      <c r="V219" s="81"/>
      <c r="W219" s="81"/>
      <c r="X219" s="81"/>
      <c r="Y219" s="81"/>
      <c r="Z219" s="81"/>
    </row>
    <row r="220" ht="15.75" customHeight="1">
      <c r="A220" s="81"/>
      <c r="B220" s="80"/>
      <c r="C220" s="80"/>
      <c r="D220" s="75"/>
      <c r="E220" s="80"/>
      <c r="F220" s="81"/>
      <c r="G220" s="81"/>
      <c r="H220" s="81"/>
      <c r="I220" s="81"/>
      <c r="J220" s="81"/>
      <c r="K220" s="81"/>
      <c r="L220" s="81"/>
      <c r="M220" s="81"/>
      <c r="N220" s="81"/>
      <c r="O220" s="81"/>
      <c r="P220" s="81"/>
      <c r="Q220" s="81"/>
      <c r="R220" s="81"/>
      <c r="S220" s="81"/>
      <c r="T220" s="81"/>
      <c r="U220" s="81"/>
      <c r="V220" s="81"/>
      <c r="W220" s="81"/>
      <c r="X220" s="81"/>
      <c r="Y220" s="81"/>
      <c r="Z220" s="81"/>
    </row>
    <row r="221" ht="15.75" customHeight="1">
      <c r="A221" s="81"/>
      <c r="B221" s="80"/>
      <c r="C221" s="80"/>
      <c r="D221" s="75"/>
      <c r="E221" s="80"/>
      <c r="F221" s="81"/>
      <c r="G221" s="81"/>
      <c r="H221" s="81"/>
      <c r="I221" s="81"/>
      <c r="J221" s="81"/>
      <c r="K221" s="81"/>
      <c r="L221" s="81"/>
      <c r="M221" s="81"/>
      <c r="N221" s="81"/>
      <c r="O221" s="81"/>
      <c r="P221" s="81"/>
      <c r="Q221" s="81"/>
      <c r="R221" s="81"/>
      <c r="S221" s="81"/>
      <c r="T221" s="81"/>
      <c r="U221" s="81"/>
      <c r="V221" s="81"/>
      <c r="W221" s="81"/>
      <c r="X221" s="81"/>
      <c r="Y221" s="81"/>
      <c r="Z221" s="81"/>
    </row>
    <row r="222" ht="15.75" customHeight="1">
      <c r="A222" s="81"/>
      <c r="B222" s="80"/>
      <c r="C222" s="80"/>
      <c r="D222" s="75"/>
      <c r="E222" s="80"/>
      <c r="F222" s="81"/>
      <c r="G222" s="81"/>
      <c r="H222" s="81"/>
      <c r="I222" s="81"/>
      <c r="J222" s="81"/>
      <c r="K222" s="81"/>
      <c r="L222" s="81"/>
      <c r="M222" s="81"/>
      <c r="N222" s="81"/>
      <c r="O222" s="81"/>
      <c r="P222" s="81"/>
      <c r="Q222" s="81"/>
      <c r="R222" s="81"/>
      <c r="S222" s="81"/>
      <c r="T222" s="81"/>
      <c r="U222" s="81"/>
      <c r="V222" s="81"/>
      <c r="W222" s="81"/>
      <c r="X222" s="81"/>
      <c r="Y222" s="81"/>
      <c r="Z222" s="81"/>
    </row>
    <row r="223" ht="15.75" customHeight="1">
      <c r="A223" s="81"/>
      <c r="B223" s="80"/>
      <c r="C223" s="80"/>
      <c r="D223" s="75"/>
      <c r="E223" s="80"/>
      <c r="F223" s="81"/>
      <c r="G223" s="81"/>
      <c r="H223" s="81"/>
      <c r="I223" s="81"/>
      <c r="J223" s="81"/>
      <c r="K223" s="81"/>
      <c r="L223" s="81"/>
      <c r="M223" s="81"/>
      <c r="N223" s="81"/>
      <c r="O223" s="81"/>
      <c r="P223" s="81"/>
      <c r="Q223" s="81"/>
      <c r="R223" s="81"/>
      <c r="S223" s="81"/>
      <c r="T223" s="81"/>
      <c r="U223" s="81"/>
      <c r="V223" s="81"/>
      <c r="W223" s="81"/>
      <c r="X223" s="81"/>
      <c r="Y223" s="81"/>
      <c r="Z223" s="81"/>
    </row>
    <row r="224" ht="15.75" customHeight="1">
      <c r="A224" s="81"/>
      <c r="B224" s="80"/>
      <c r="C224" s="80"/>
      <c r="D224" s="75"/>
      <c r="E224" s="80"/>
      <c r="F224" s="81"/>
      <c r="G224" s="81"/>
      <c r="H224" s="81"/>
      <c r="I224" s="81"/>
      <c r="J224" s="81"/>
      <c r="K224" s="81"/>
      <c r="L224" s="81"/>
      <c r="M224" s="81"/>
      <c r="N224" s="81"/>
      <c r="O224" s="81"/>
      <c r="P224" s="81"/>
      <c r="Q224" s="81"/>
      <c r="R224" s="81"/>
      <c r="S224" s="81"/>
      <c r="T224" s="81"/>
      <c r="U224" s="81"/>
      <c r="V224" s="81"/>
      <c r="W224" s="81"/>
      <c r="X224" s="81"/>
      <c r="Y224" s="81"/>
      <c r="Z224" s="81"/>
    </row>
    <row r="225" ht="15.75" customHeight="1">
      <c r="A225" s="81"/>
      <c r="B225" s="80"/>
      <c r="C225" s="80"/>
      <c r="D225" s="75"/>
      <c r="E225" s="80"/>
      <c r="F225" s="81"/>
      <c r="G225" s="81"/>
      <c r="H225" s="81"/>
      <c r="I225" s="81"/>
      <c r="J225" s="81"/>
      <c r="K225" s="81"/>
      <c r="L225" s="81"/>
      <c r="M225" s="81"/>
      <c r="N225" s="81"/>
      <c r="O225" s="81"/>
      <c r="P225" s="81"/>
      <c r="Q225" s="81"/>
      <c r="R225" s="81"/>
      <c r="S225" s="81"/>
      <c r="T225" s="81"/>
      <c r="U225" s="81"/>
      <c r="V225" s="81"/>
      <c r="W225" s="81"/>
      <c r="X225" s="81"/>
      <c r="Y225" s="81"/>
      <c r="Z225" s="81"/>
    </row>
    <row r="226" ht="15.75" customHeight="1">
      <c r="A226" s="81"/>
      <c r="B226" s="80"/>
      <c r="C226" s="80"/>
      <c r="D226" s="75"/>
      <c r="E226" s="80"/>
      <c r="F226" s="81"/>
      <c r="G226" s="81"/>
      <c r="H226" s="81"/>
      <c r="I226" s="81"/>
      <c r="J226" s="81"/>
      <c r="K226" s="81"/>
      <c r="L226" s="81"/>
      <c r="M226" s="81"/>
      <c r="N226" s="81"/>
      <c r="O226" s="81"/>
      <c r="P226" s="81"/>
      <c r="Q226" s="81"/>
      <c r="R226" s="81"/>
      <c r="S226" s="81"/>
      <c r="T226" s="81"/>
      <c r="U226" s="81"/>
      <c r="V226" s="81"/>
      <c r="W226" s="81"/>
      <c r="X226" s="81"/>
      <c r="Y226" s="81"/>
      <c r="Z226" s="81"/>
    </row>
    <row r="227" ht="15.75" customHeight="1">
      <c r="A227" s="81"/>
      <c r="B227" s="80"/>
      <c r="C227" s="80"/>
      <c r="D227" s="75"/>
      <c r="E227" s="80"/>
      <c r="F227" s="81"/>
      <c r="G227" s="81"/>
      <c r="H227" s="81"/>
      <c r="I227" s="81"/>
      <c r="J227" s="81"/>
      <c r="K227" s="81"/>
      <c r="L227" s="81"/>
      <c r="M227" s="81"/>
      <c r="N227" s="81"/>
      <c r="O227" s="81"/>
      <c r="P227" s="81"/>
      <c r="Q227" s="81"/>
      <c r="R227" s="81"/>
      <c r="S227" s="81"/>
      <c r="T227" s="81"/>
      <c r="U227" s="81"/>
      <c r="V227" s="81"/>
      <c r="W227" s="81"/>
      <c r="X227" s="81"/>
      <c r="Y227" s="81"/>
      <c r="Z227" s="81"/>
    </row>
    <row r="228" ht="15.75" customHeight="1">
      <c r="A228" s="81"/>
      <c r="B228" s="80"/>
      <c r="C228" s="80"/>
      <c r="D228" s="75"/>
      <c r="E228" s="80"/>
      <c r="F228" s="81"/>
      <c r="G228" s="81"/>
      <c r="H228" s="81"/>
      <c r="I228" s="81"/>
      <c r="J228" s="81"/>
      <c r="K228" s="81"/>
      <c r="L228" s="81"/>
      <c r="M228" s="81"/>
      <c r="N228" s="81"/>
      <c r="O228" s="81"/>
      <c r="P228" s="81"/>
      <c r="Q228" s="81"/>
      <c r="R228" s="81"/>
      <c r="S228" s="81"/>
      <c r="T228" s="81"/>
      <c r="U228" s="81"/>
      <c r="V228" s="81"/>
      <c r="W228" s="81"/>
      <c r="X228" s="81"/>
      <c r="Y228" s="81"/>
      <c r="Z228" s="81"/>
    </row>
    <row r="229" ht="15.75" customHeight="1">
      <c r="A229" s="81"/>
      <c r="B229" s="80"/>
      <c r="C229" s="80"/>
      <c r="D229" s="75"/>
      <c r="E229" s="80"/>
      <c r="F229" s="81"/>
      <c r="G229" s="81"/>
      <c r="H229" s="81"/>
      <c r="I229" s="81"/>
      <c r="J229" s="81"/>
      <c r="K229" s="81"/>
      <c r="L229" s="81"/>
      <c r="M229" s="81"/>
      <c r="N229" s="81"/>
      <c r="O229" s="81"/>
      <c r="P229" s="81"/>
      <c r="Q229" s="81"/>
      <c r="R229" s="81"/>
      <c r="S229" s="81"/>
      <c r="T229" s="81"/>
      <c r="U229" s="81"/>
      <c r="V229" s="81"/>
      <c r="W229" s="81"/>
      <c r="X229" s="81"/>
      <c r="Y229" s="81"/>
      <c r="Z229" s="81"/>
    </row>
    <row r="230" ht="15.75" customHeight="1">
      <c r="A230" s="81"/>
      <c r="B230" s="80"/>
      <c r="C230" s="80"/>
      <c r="D230" s="75"/>
      <c r="E230" s="80"/>
      <c r="F230" s="81"/>
      <c r="G230" s="81"/>
      <c r="H230" s="81"/>
      <c r="I230" s="81"/>
      <c r="J230" s="81"/>
      <c r="K230" s="81"/>
      <c r="L230" s="81"/>
      <c r="M230" s="81"/>
      <c r="N230" s="81"/>
      <c r="O230" s="81"/>
      <c r="P230" s="81"/>
      <c r="Q230" s="81"/>
      <c r="R230" s="81"/>
      <c r="S230" s="81"/>
      <c r="T230" s="81"/>
      <c r="U230" s="81"/>
      <c r="V230" s="81"/>
      <c r="W230" s="81"/>
      <c r="X230" s="81"/>
      <c r="Y230" s="81"/>
      <c r="Z230" s="81"/>
    </row>
    <row r="231" ht="15.75" customHeight="1">
      <c r="A231" s="81"/>
      <c r="B231" s="80"/>
      <c r="C231" s="80"/>
      <c r="D231" s="75"/>
      <c r="E231" s="80"/>
      <c r="F231" s="81"/>
      <c r="G231" s="81"/>
      <c r="H231" s="81"/>
      <c r="I231" s="81"/>
      <c r="J231" s="81"/>
      <c r="K231" s="81"/>
      <c r="L231" s="81"/>
      <c r="M231" s="81"/>
      <c r="N231" s="81"/>
      <c r="O231" s="81"/>
      <c r="P231" s="81"/>
      <c r="Q231" s="81"/>
      <c r="R231" s="81"/>
      <c r="S231" s="81"/>
      <c r="T231" s="81"/>
      <c r="U231" s="81"/>
      <c r="V231" s="81"/>
      <c r="W231" s="81"/>
      <c r="X231" s="81"/>
      <c r="Y231" s="81"/>
      <c r="Z231" s="81"/>
    </row>
    <row r="232" ht="15.75" customHeight="1">
      <c r="A232" s="81"/>
      <c r="B232" s="80"/>
      <c r="C232" s="80"/>
      <c r="D232" s="75"/>
      <c r="E232" s="80"/>
      <c r="F232" s="81"/>
      <c r="G232" s="81"/>
      <c r="H232" s="81"/>
      <c r="I232" s="81"/>
      <c r="J232" s="81"/>
      <c r="K232" s="81"/>
      <c r="L232" s="81"/>
      <c r="M232" s="81"/>
      <c r="N232" s="81"/>
      <c r="O232" s="81"/>
      <c r="P232" s="81"/>
      <c r="Q232" s="81"/>
      <c r="R232" s="81"/>
      <c r="S232" s="81"/>
      <c r="T232" s="81"/>
      <c r="U232" s="81"/>
      <c r="V232" s="81"/>
      <c r="W232" s="81"/>
      <c r="X232" s="81"/>
      <c r="Y232" s="81"/>
      <c r="Z232" s="81"/>
    </row>
    <row r="233" ht="15.75" customHeight="1">
      <c r="A233" s="81"/>
      <c r="B233" s="80"/>
      <c r="C233" s="80"/>
      <c r="D233" s="75"/>
      <c r="E233" s="80"/>
      <c r="F233" s="81"/>
      <c r="G233" s="81"/>
      <c r="H233" s="81"/>
      <c r="I233" s="81"/>
      <c r="J233" s="81"/>
      <c r="K233" s="81"/>
      <c r="L233" s="81"/>
      <c r="M233" s="81"/>
      <c r="N233" s="81"/>
      <c r="O233" s="81"/>
      <c r="P233" s="81"/>
      <c r="Q233" s="81"/>
      <c r="R233" s="81"/>
      <c r="S233" s="81"/>
      <c r="T233" s="81"/>
      <c r="U233" s="81"/>
      <c r="V233" s="81"/>
      <c r="W233" s="81"/>
      <c r="X233" s="81"/>
      <c r="Y233" s="81"/>
      <c r="Z233" s="81"/>
    </row>
    <row r="234" ht="15.75" customHeight="1">
      <c r="A234" s="81"/>
      <c r="B234" s="80"/>
      <c r="C234" s="80"/>
      <c r="D234" s="75"/>
      <c r="E234" s="80"/>
      <c r="F234" s="81"/>
      <c r="G234" s="81"/>
      <c r="H234" s="81"/>
      <c r="I234" s="81"/>
      <c r="J234" s="81"/>
      <c r="K234" s="81"/>
      <c r="L234" s="81"/>
      <c r="M234" s="81"/>
      <c r="N234" s="81"/>
      <c r="O234" s="81"/>
      <c r="P234" s="81"/>
      <c r="Q234" s="81"/>
      <c r="R234" s="81"/>
      <c r="S234" s="81"/>
      <c r="T234" s="81"/>
      <c r="U234" s="81"/>
      <c r="V234" s="81"/>
      <c r="W234" s="81"/>
      <c r="X234" s="81"/>
      <c r="Y234" s="81"/>
      <c r="Z234" s="81"/>
    </row>
    <row r="235" ht="15.75" customHeight="1">
      <c r="A235" s="81"/>
      <c r="B235" s="80"/>
      <c r="C235" s="80"/>
      <c r="D235" s="75"/>
      <c r="E235" s="80"/>
      <c r="F235" s="81"/>
      <c r="G235" s="81"/>
      <c r="H235" s="81"/>
      <c r="I235" s="81"/>
      <c r="J235" s="81"/>
      <c r="K235" s="81"/>
      <c r="L235" s="81"/>
      <c r="M235" s="81"/>
      <c r="N235" s="81"/>
      <c r="O235" s="81"/>
      <c r="P235" s="81"/>
      <c r="Q235" s="81"/>
      <c r="R235" s="81"/>
      <c r="S235" s="81"/>
      <c r="T235" s="81"/>
      <c r="U235" s="81"/>
      <c r="V235" s="81"/>
      <c r="W235" s="81"/>
      <c r="X235" s="81"/>
      <c r="Y235" s="81"/>
      <c r="Z235" s="81"/>
    </row>
    <row r="236" ht="15.75" customHeight="1">
      <c r="A236" s="81"/>
      <c r="B236" s="80"/>
      <c r="C236" s="80"/>
      <c r="D236" s="75"/>
      <c r="E236" s="80"/>
      <c r="F236" s="81"/>
      <c r="G236" s="81"/>
      <c r="H236" s="81"/>
      <c r="I236" s="81"/>
      <c r="J236" s="81"/>
      <c r="K236" s="81"/>
      <c r="L236" s="81"/>
      <c r="M236" s="81"/>
      <c r="N236" s="81"/>
      <c r="O236" s="81"/>
      <c r="P236" s="81"/>
      <c r="Q236" s="81"/>
      <c r="R236" s="81"/>
      <c r="S236" s="81"/>
      <c r="T236" s="81"/>
      <c r="U236" s="81"/>
      <c r="V236" s="81"/>
      <c r="W236" s="81"/>
      <c r="X236" s="81"/>
      <c r="Y236" s="81"/>
      <c r="Z236" s="81"/>
    </row>
    <row r="237" ht="15.75" customHeight="1">
      <c r="A237" s="81"/>
      <c r="B237" s="80"/>
      <c r="C237" s="80"/>
      <c r="D237" s="75"/>
      <c r="E237" s="80"/>
      <c r="F237" s="81"/>
      <c r="G237" s="81"/>
      <c r="H237" s="81"/>
      <c r="I237" s="81"/>
      <c r="J237" s="81"/>
      <c r="K237" s="81"/>
      <c r="L237" s="81"/>
      <c r="M237" s="81"/>
      <c r="N237" s="81"/>
      <c r="O237" s="81"/>
      <c r="P237" s="81"/>
      <c r="Q237" s="81"/>
      <c r="R237" s="81"/>
      <c r="S237" s="81"/>
      <c r="T237" s="81"/>
      <c r="U237" s="81"/>
      <c r="V237" s="81"/>
      <c r="W237" s="81"/>
      <c r="X237" s="81"/>
      <c r="Y237" s="81"/>
      <c r="Z237" s="81"/>
    </row>
    <row r="238" ht="15.75" customHeight="1">
      <c r="A238" s="81"/>
      <c r="B238" s="80"/>
      <c r="C238" s="80"/>
      <c r="D238" s="75"/>
      <c r="E238" s="80"/>
      <c r="F238" s="81"/>
      <c r="G238" s="81"/>
      <c r="H238" s="81"/>
      <c r="I238" s="81"/>
      <c r="J238" s="81"/>
      <c r="K238" s="81"/>
      <c r="L238" s="81"/>
      <c r="M238" s="81"/>
      <c r="N238" s="81"/>
      <c r="O238" s="81"/>
      <c r="P238" s="81"/>
      <c r="Q238" s="81"/>
      <c r="R238" s="81"/>
      <c r="S238" s="81"/>
      <c r="T238" s="81"/>
      <c r="U238" s="81"/>
      <c r="V238" s="81"/>
      <c r="W238" s="81"/>
      <c r="X238" s="81"/>
      <c r="Y238" s="81"/>
      <c r="Z238" s="81"/>
    </row>
    <row r="239" ht="15.75" customHeight="1">
      <c r="A239" s="81"/>
      <c r="B239" s="80"/>
      <c r="C239" s="80"/>
      <c r="D239" s="75"/>
      <c r="E239" s="80"/>
      <c r="F239" s="81"/>
      <c r="G239" s="81"/>
      <c r="H239" s="81"/>
      <c r="I239" s="81"/>
      <c r="J239" s="81"/>
      <c r="K239" s="81"/>
      <c r="L239" s="81"/>
      <c r="M239" s="81"/>
      <c r="N239" s="81"/>
      <c r="O239" s="81"/>
      <c r="P239" s="81"/>
      <c r="Q239" s="81"/>
      <c r="R239" s="81"/>
      <c r="S239" s="81"/>
      <c r="T239" s="81"/>
      <c r="U239" s="81"/>
      <c r="V239" s="81"/>
      <c r="W239" s="81"/>
      <c r="X239" s="81"/>
      <c r="Y239" s="81"/>
      <c r="Z239" s="81"/>
    </row>
    <row r="240" ht="15.75" customHeight="1">
      <c r="A240" s="81"/>
      <c r="B240" s="80"/>
      <c r="C240" s="80"/>
      <c r="D240" s="75"/>
      <c r="E240" s="80"/>
      <c r="F240" s="81"/>
      <c r="G240" s="81"/>
      <c r="H240" s="81"/>
      <c r="I240" s="81"/>
      <c r="J240" s="81"/>
      <c r="K240" s="81"/>
      <c r="L240" s="81"/>
      <c r="M240" s="81"/>
      <c r="N240" s="81"/>
      <c r="O240" s="81"/>
      <c r="P240" s="81"/>
      <c r="Q240" s="81"/>
      <c r="R240" s="81"/>
      <c r="S240" s="81"/>
      <c r="T240" s="81"/>
      <c r="U240" s="81"/>
      <c r="V240" s="81"/>
      <c r="W240" s="81"/>
      <c r="X240" s="81"/>
      <c r="Y240" s="81"/>
      <c r="Z240" s="81"/>
    </row>
    <row r="241" ht="15.75" customHeight="1">
      <c r="A241" s="81"/>
      <c r="B241" s="80"/>
      <c r="C241" s="80"/>
      <c r="D241" s="75"/>
      <c r="E241" s="80"/>
      <c r="F241" s="81"/>
      <c r="G241" s="81"/>
      <c r="H241" s="81"/>
      <c r="I241" s="81"/>
      <c r="J241" s="81"/>
      <c r="K241" s="81"/>
      <c r="L241" s="81"/>
      <c r="M241" s="81"/>
      <c r="N241" s="81"/>
      <c r="O241" s="81"/>
      <c r="P241" s="81"/>
      <c r="Q241" s="81"/>
      <c r="R241" s="81"/>
      <c r="S241" s="81"/>
      <c r="T241" s="81"/>
      <c r="U241" s="81"/>
      <c r="V241" s="81"/>
      <c r="W241" s="81"/>
      <c r="X241" s="81"/>
      <c r="Y241" s="81"/>
      <c r="Z241" s="81"/>
    </row>
    <row r="242" ht="15.75" customHeight="1">
      <c r="A242" s="81"/>
      <c r="B242" s="80"/>
      <c r="C242" s="80"/>
      <c r="D242" s="75"/>
      <c r="E242" s="80"/>
      <c r="F242" s="81"/>
      <c r="G242" s="81"/>
      <c r="H242" s="81"/>
      <c r="I242" s="81"/>
      <c r="J242" s="81"/>
      <c r="K242" s="81"/>
      <c r="L242" s="81"/>
      <c r="M242" s="81"/>
      <c r="N242" s="81"/>
      <c r="O242" s="81"/>
      <c r="P242" s="81"/>
      <c r="Q242" s="81"/>
      <c r="R242" s="81"/>
      <c r="S242" s="81"/>
      <c r="T242" s="81"/>
      <c r="U242" s="81"/>
      <c r="V242" s="81"/>
      <c r="W242" s="81"/>
      <c r="X242" s="81"/>
      <c r="Y242" s="81"/>
      <c r="Z242" s="81"/>
    </row>
    <row r="243" ht="15.75" customHeight="1">
      <c r="A243" s="81"/>
      <c r="B243" s="80"/>
      <c r="C243" s="80"/>
      <c r="D243" s="75"/>
      <c r="E243" s="80"/>
      <c r="F243" s="81"/>
      <c r="G243" s="81"/>
      <c r="H243" s="81"/>
      <c r="I243" s="81"/>
      <c r="J243" s="81"/>
      <c r="K243" s="81"/>
      <c r="L243" s="81"/>
      <c r="M243" s="81"/>
      <c r="N243" s="81"/>
      <c r="O243" s="81"/>
      <c r="P243" s="81"/>
      <c r="Q243" s="81"/>
      <c r="R243" s="81"/>
      <c r="S243" s="81"/>
      <c r="T243" s="81"/>
      <c r="U243" s="81"/>
      <c r="V243" s="81"/>
      <c r="W243" s="81"/>
      <c r="X243" s="81"/>
      <c r="Y243" s="81"/>
      <c r="Z243" s="81"/>
    </row>
    <row r="244" ht="15.75" customHeight="1">
      <c r="A244" s="81"/>
      <c r="B244" s="80"/>
      <c r="C244" s="80"/>
      <c r="D244" s="75"/>
      <c r="E244" s="80"/>
      <c r="F244" s="81"/>
      <c r="G244" s="81"/>
      <c r="H244" s="81"/>
      <c r="I244" s="81"/>
      <c r="J244" s="81"/>
      <c r="K244" s="81"/>
      <c r="L244" s="81"/>
      <c r="M244" s="81"/>
      <c r="N244" s="81"/>
      <c r="O244" s="81"/>
      <c r="P244" s="81"/>
      <c r="Q244" s="81"/>
      <c r="R244" s="81"/>
      <c r="S244" s="81"/>
      <c r="T244" s="81"/>
      <c r="U244" s="81"/>
      <c r="V244" s="81"/>
      <c r="W244" s="81"/>
      <c r="X244" s="81"/>
      <c r="Y244" s="81"/>
      <c r="Z244" s="81"/>
    </row>
    <row r="245" ht="15.75" customHeight="1">
      <c r="A245" s="81"/>
      <c r="B245" s="80"/>
      <c r="C245" s="80"/>
      <c r="D245" s="75"/>
      <c r="E245" s="80"/>
      <c r="F245" s="81"/>
      <c r="G245" s="81"/>
      <c r="H245" s="81"/>
      <c r="I245" s="81"/>
      <c r="J245" s="81"/>
      <c r="K245" s="81"/>
      <c r="L245" s="81"/>
      <c r="M245" s="81"/>
      <c r="N245" s="81"/>
      <c r="O245" s="81"/>
      <c r="P245" s="81"/>
      <c r="Q245" s="81"/>
      <c r="R245" s="81"/>
      <c r="S245" s="81"/>
      <c r="T245" s="81"/>
      <c r="U245" s="81"/>
      <c r="V245" s="81"/>
      <c r="W245" s="81"/>
      <c r="X245" s="81"/>
      <c r="Y245" s="81"/>
      <c r="Z245" s="81"/>
    </row>
    <row r="246" ht="15.75" customHeight="1">
      <c r="A246" s="81"/>
      <c r="B246" s="80"/>
      <c r="C246" s="80"/>
      <c r="D246" s="75"/>
      <c r="E246" s="80"/>
      <c r="F246" s="81"/>
      <c r="G246" s="81"/>
      <c r="H246" s="81"/>
      <c r="I246" s="81"/>
      <c r="J246" s="81"/>
      <c r="K246" s="81"/>
      <c r="L246" s="81"/>
      <c r="M246" s="81"/>
      <c r="N246" s="81"/>
      <c r="O246" s="81"/>
      <c r="P246" s="81"/>
      <c r="Q246" s="81"/>
      <c r="R246" s="81"/>
      <c r="S246" s="81"/>
      <c r="T246" s="81"/>
      <c r="U246" s="81"/>
      <c r="V246" s="81"/>
      <c r="W246" s="81"/>
      <c r="X246" s="81"/>
      <c r="Y246" s="81"/>
      <c r="Z246" s="81"/>
    </row>
    <row r="247" ht="15.75" customHeight="1">
      <c r="A247" s="81"/>
      <c r="B247" s="80"/>
      <c r="C247" s="80"/>
      <c r="D247" s="75"/>
      <c r="E247" s="80"/>
      <c r="F247" s="81"/>
      <c r="G247" s="81"/>
      <c r="H247" s="81"/>
      <c r="I247" s="81"/>
      <c r="J247" s="81"/>
      <c r="K247" s="81"/>
      <c r="L247" s="81"/>
      <c r="M247" s="81"/>
      <c r="N247" s="81"/>
      <c r="O247" s="81"/>
      <c r="P247" s="81"/>
      <c r="Q247" s="81"/>
      <c r="R247" s="81"/>
      <c r="S247" s="81"/>
      <c r="T247" s="81"/>
      <c r="U247" s="81"/>
      <c r="V247" s="81"/>
      <c r="W247" s="81"/>
      <c r="X247" s="81"/>
      <c r="Y247" s="81"/>
      <c r="Z247" s="81"/>
    </row>
    <row r="248" ht="15.75" customHeight="1">
      <c r="A248" s="81"/>
      <c r="B248" s="80"/>
      <c r="C248" s="80"/>
      <c r="D248" s="75"/>
      <c r="E248" s="80"/>
      <c r="F248" s="81"/>
      <c r="G248" s="81"/>
      <c r="H248" s="81"/>
      <c r="I248" s="81"/>
      <c r="J248" s="81"/>
      <c r="K248" s="81"/>
      <c r="L248" s="81"/>
      <c r="M248" s="81"/>
      <c r="N248" s="81"/>
      <c r="O248" s="81"/>
      <c r="P248" s="81"/>
      <c r="Q248" s="81"/>
      <c r="R248" s="81"/>
      <c r="S248" s="81"/>
      <c r="T248" s="81"/>
      <c r="U248" s="81"/>
      <c r="V248" s="81"/>
      <c r="W248" s="81"/>
      <c r="X248" s="81"/>
      <c r="Y248" s="81"/>
      <c r="Z248" s="81"/>
    </row>
    <row r="249" ht="15.75" customHeight="1">
      <c r="A249" s="81"/>
      <c r="B249" s="80"/>
      <c r="C249" s="80"/>
      <c r="D249" s="75"/>
      <c r="E249" s="80"/>
      <c r="F249" s="81"/>
      <c r="G249" s="81"/>
      <c r="H249" s="81"/>
      <c r="I249" s="81"/>
      <c r="J249" s="81"/>
      <c r="K249" s="81"/>
      <c r="L249" s="81"/>
      <c r="M249" s="81"/>
      <c r="N249" s="81"/>
      <c r="O249" s="81"/>
      <c r="P249" s="81"/>
      <c r="Q249" s="81"/>
      <c r="R249" s="81"/>
      <c r="S249" s="81"/>
      <c r="T249" s="81"/>
      <c r="U249" s="81"/>
      <c r="V249" s="81"/>
      <c r="W249" s="81"/>
      <c r="X249" s="81"/>
      <c r="Y249" s="81"/>
      <c r="Z249" s="81"/>
    </row>
    <row r="250" ht="15.75" customHeight="1">
      <c r="A250" s="81"/>
      <c r="B250" s="80"/>
      <c r="C250" s="80"/>
      <c r="D250" s="75"/>
      <c r="E250" s="80"/>
      <c r="F250" s="81"/>
      <c r="G250" s="81"/>
      <c r="H250" s="81"/>
      <c r="I250" s="81"/>
      <c r="J250" s="81"/>
      <c r="K250" s="81"/>
      <c r="L250" s="81"/>
      <c r="M250" s="81"/>
      <c r="N250" s="81"/>
      <c r="O250" s="81"/>
      <c r="P250" s="81"/>
      <c r="Q250" s="81"/>
      <c r="R250" s="81"/>
      <c r="S250" s="81"/>
      <c r="T250" s="81"/>
      <c r="U250" s="81"/>
      <c r="V250" s="81"/>
      <c r="W250" s="81"/>
      <c r="X250" s="81"/>
      <c r="Y250" s="81"/>
      <c r="Z250" s="81"/>
    </row>
    <row r="251" ht="15.75" customHeight="1">
      <c r="A251" s="81"/>
      <c r="B251" s="80"/>
      <c r="C251" s="80"/>
      <c r="D251" s="75"/>
      <c r="E251" s="80"/>
      <c r="F251" s="81"/>
      <c r="G251" s="81"/>
      <c r="H251" s="81"/>
      <c r="I251" s="81"/>
      <c r="J251" s="81"/>
      <c r="K251" s="81"/>
      <c r="L251" s="81"/>
      <c r="M251" s="81"/>
      <c r="N251" s="81"/>
      <c r="O251" s="81"/>
      <c r="P251" s="81"/>
      <c r="Q251" s="81"/>
      <c r="R251" s="81"/>
      <c r="S251" s="81"/>
      <c r="T251" s="81"/>
      <c r="U251" s="81"/>
      <c r="V251" s="81"/>
      <c r="W251" s="81"/>
      <c r="X251" s="81"/>
      <c r="Y251" s="81"/>
      <c r="Z251" s="81"/>
    </row>
    <row r="252" ht="15.75" customHeight="1">
      <c r="A252" s="81"/>
      <c r="B252" s="80"/>
      <c r="C252" s="80"/>
      <c r="D252" s="75"/>
      <c r="E252" s="80"/>
      <c r="F252" s="81"/>
      <c r="G252" s="81"/>
      <c r="H252" s="81"/>
      <c r="I252" s="81"/>
      <c r="J252" s="81"/>
      <c r="K252" s="81"/>
      <c r="L252" s="81"/>
      <c r="M252" s="81"/>
      <c r="N252" s="81"/>
      <c r="O252" s="81"/>
      <c r="P252" s="81"/>
      <c r="Q252" s="81"/>
      <c r="R252" s="81"/>
      <c r="S252" s="81"/>
      <c r="T252" s="81"/>
      <c r="U252" s="81"/>
      <c r="V252" s="81"/>
      <c r="W252" s="81"/>
      <c r="X252" s="81"/>
      <c r="Y252" s="81"/>
      <c r="Z252" s="81"/>
    </row>
    <row r="253" ht="15.75" customHeight="1">
      <c r="A253" s="81"/>
      <c r="B253" s="80"/>
      <c r="C253" s="80"/>
      <c r="D253" s="75"/>
      <c r="E253" s="80"/>
      <c r="F253" s="81"/>
      <c r="G253" s="81"/>
      <c r="H253" s="81"/>
      <c r="I253" s="81"/>
      <c r="J253" s="81"/>
      <c r="K253" s="81"/>
      <c r="L253" s="81"/>
      <c r="M253" s="81"/>
      <c r="N253" s="81"/>
      <c r="O253" s="81"/>
      <c r="P253" s="81"/>
      <c r="Q253" s="81"/>
      <c r="R253" s="81"/>
      <c r="S253" s="81"/>
      <c r="T253" s="81"/>
      <c r="U253" s="81"/>
      <c r="V253" s="81"/>
      <c r="W253" s="81"/>
      <c r="X253" s="81"/>
      <c r="Y253" s="81"/>
      <c r="Z253" s="81"/>
    </row>
    <row r="254" ht="15.75" customHeight="1">
      <c r="A254" s="81"/>
      <c r="B254" s="80"/>
      <c r="C254" s="80"/>
      <c r="D254" s="75"/>
      <c r="E254" s="80"/>
      <c r="F254" s="81"/>
      <c r="G254" s="81"/>
      <c r="H254" s="81"/>
      <c r="I254" s="81"/>
      <c r="J254" s="81"/>
      <c r="K254" s="81"/>
      <c r="L254" s="81"/>
      <c r="M254" s="81"/>
      <c r="N254" s="81"/>
      <c r="O254" s="81"/>
      <c r="P254" s="81"/>
      <c r="Q254" s="81"/>
      <c r="R254" s="81"/>
      <c r="S254" s="81"/>
      <c r="T254" s="81"/>
      <c r="U254" s="81"/>
      <c r="V254" s="81"/>
      <c r="W254" s="81"/>
      <c r="X254" s="81"/>
      <c r="Y254" s="81"/>
      <c r="Z254" s="81"/>
    </row>
    <row r="255" ht="15.75" customHeight="1">
      <c r="A255" s="81"/>
      <c r="B255" s="80"/>
      <c r="C255" s="80"/>
      <c r="D255" s="75"/>
      <c r="E255" s="80"/>
      <c r="F255" s="81"/>
      <c r="G255" s="81"/>
      <c r="H255" s="81"/>
      <c r="I255" s="81"/>
      <c r="J255" s="81"/>
      <c r="K255" s="81"/>
      <c r="L255" s="81"/>
      <c r="M255" s="81"/>
      <c r="N255" s="81"/>
      <c r="O255" s="81"/>
      <c r="P255" s="81"/>
      <c r="Q255" s="81"/>
      <c r="R255" s="81"/>
      <c r="S255" s="81"/>
      <c r="T255" s="81"/>
      <c r="U255" s="81"/>
      <c r="V255" s="81"/>
      <c r="W255" s="81"/>
      <c r="X255" s="81"/>
      <c r="Y255" s="81"/>
      <c r="Z255" s="81"/>
    </row>
    <row r="256" ht="15.75" customHeight="1">
      <c r="A256" s="81"/>
      <c r="B256" s="80"/>
      <c r="C256" s="80"/>
      <c r="D256" s="75"/>
      <c r="E256" s="80"/>
      <c r="F256" s="81"/>
      <c r="G256" s="81"/>
      <c r="H256" s="81"/>
      <c r="I256" s="81"/>
      <c r="J256" s="81"/>
      <c r="K256" s="81"/>
      <c r="L256" s="81"/>
      <c r="M256" s="81"/>
      <c r="N256" s="81"/>
      <c r="O256" s="81"/>
      <c r="P256" s="81"/>
      <c r="Q256" s="81"/>
      <c r="R256" s="81"/>
      <c r="S256" s="81"/>
      <c r="T256" s="81"/>
      <c r="U256" s="81"/>
      <c r="V256" s="81"/>
      <c r="W256" s="81"/>
      <c r="X256" s="81"/>
      <c r="Y256" s="81"/>
      <c r="Z256" s="81"/>
    </row>
    <row r="257" ht="15.75" customHeight="1">
      <c r="A257" s="81"/>
      <c r="B257" s="80"/>
      <c r="C257" s="80"/>
      <c r="D257" s="75"/>
      <c r="E257" s="80"/>
      <c r="F257" s="81"/>
      <c r="G257" s="81"/>
      <c r="H257" s="81"/>
      <c r="I257" s="81"/>
      <c r="J257" s="81"/>
      <c r="K257" s="81"/>
      <c r="L257" s="81"/>
      <c r="M257" s="81"/>
      <c r="N257" s="81"/>
      <c r="O257" s="81"/>
      <c r="P257" s="81"/>
      <c r="Q257" s="81"/>
      <c r="R257" s="81"/>
      <c r="S257" s="81"/>
      <c r="T257" s="81"/>
      <c r="U257" s="81"/>
      <c r="V257" s="81"/>
      <c r="W257" s="81"/>
      <c r="X257" s="81"/>
      <c r="Y257" s="81"/>
      <c r="Z257" s="81"/>
    </row>
    <row r="258" ht="15.75" customHeight="1">
      <c r="A258" s="81"/>
      <c r="B258" s="80"/>
      <c r="C258" s="80"/>
      <c r="D258" s="75"/>
      <c r="E258" s="80"/>
      <c r="F258" s="81"/>
      <c r="G258" s="81"/>
      <c r="H258" s="81"/>
      <c r="I258" s="81"/>
      <c r="J258" s="81"/>
      <c r="K258" s="81"/>
      <c r="L258" s="81"/>
      <c r="M258" s="81"/>
      <c r="N258" s="81"/>
      <c r="O258" s="81"/>
      <c r="P258" s="81"/>
      <c r="Q258" s="81"/>
      <c r="R258" s="81"/>
      <c r="S258" s="81"/>
      <c r="T258" s="81"/>
      <c r="U258" s="81"/>
      <c r="V258" s="81"/>
      <c r="W258" s="81"/>
      <c r="X258" s="81"/>
      <c r="Y258" s="81"/>
      <c r="Z258" s="81"/>
    </row>
    <row r="259" ht="15.75" customHeight="1">
      <c r="A259" s="81"/>
      <c r="B259" s="80"/>
      <c r="C259" s="80"/>
      <c r="D259" s="75"/>
      <c r="E259" s="80"/>
      <c r="F259" s="81"/>
      <c r="G259" s="81"/>
      <c r="H259" s="81"/>
      <c r="I259" s="81"/>
      <c r="J259" s="81"/>
      <c r="K259" s="81"/>
      <c r="L259" s="81"/>
      <c r="M259" s="81"/>
      <c r="N259" s="81"/>
      <c r="O259" s="81"/>
      <c r="P259" s="81"/>
      <c r="Q259" s="81"/>
      <c r="R259" s="81"/>
      <c r="S259" s="81"/>
      <c r="T259" s="81"/>
      <c r="U259" s="81"/>
      <c r="V259" s="81"/>
      <c r="W259" s="81"/>
      <c r="X259" s="81"/>
      <c r="Y259" s="81"/>
      <c r="Z259" s="81"/>
    </row>
    <row r="260" ht="15.75" customHeight="1">
      <c r="A260" s="81"/>
      <c r="B260" s="80"/>
      <c r="C260" s="80"/>
      <c r="D260" s="75"/>
      <c r="E260" s="80"/>
      <c r="F260" s="81"/>
      <c r="G260" s="81"/>
      <c r="H260" s="81"/>
      <c r="I260" s="81"/>
      <c r="J260" s="81"/>
      <c r="K260" s="81"/>
      <c r="L260" s="81"/>
      <c r="M260" s="81"/>
      <c r="N260" s="81"/>
      <c r="O260" s="81"/>
      <c r="P260" s="81"/>
      <c r="Q260" s="81"/>
      <c r="R260" s="81"/>
      <c r="S260" s="81"/>
      <c r="T260" s="81"/>
      <c r="U260" s="81"/>
      <c r="V260" s="81"/>
      <c r="W260" s="81"/>
      <c r="X260" s="81"/>
      <c r="Y260" s="81"/>
      <c r="Z260" s="81"/>
    </row>
    <row r="261" ht="15.75" customHeight="1">
      <c r="A261" s="81"/>
      <c r="B261" s="80"/>
      <c r="C261" s="80"/>
      <c r="D261" s="75"/>
      <c r="E261" s="80"/>
      <c r="F261" s="81"/>
      <c r="G261" s="81"/>
      <c r="H261" s="81"/>
      <c r="I261" s="81"/>
      <c r="J261" s="81"/>
      <c r="K261" s="81"/>
      <c r="L261" s="81"/>
      <c r="M261" s="81"/>
      <c r="N261" s="81"/>
      <c r="O261" s="81"/>
      <c r="P261" s="81"/>
      <c r="Q261" s="81"/>
      <c r="R261" s="81"/>
      <c r="S261" s="81"/>
      <c r="T261" s="81"/>
      <c r="U261" s="81"/>
      <c r="V261" s="81"/>
      <c r="W261" s="81"/>
      <c r="X261" s="81"/>
      <c r="Y261" s="81"/>
      <c r="Z261" s="81"/>
    </row>
    <row r="262" ht="15.75" customHeight="1">
      <c r="A262" s="81"/>
      <c r="B262" s="80"/>
      <c r="C262" s="80"/>
      <c r="D262" s="75"/>
      <c r="E262" s="80"/>
      <c r="F262" s="81"/>
      <c r="G262" s="81"/>
      <c r="H262" s="81"/>
      <c r="I262" s="81"/>
      <c r="J262" s="81"/>
      <c r="K262" s="81"/>
      <c r="L262" s="81"/>
      <c r="M262" s="81"/>
      <c r="N262" s="81"/>
      <c r="O262" s="81"/>
      <c r="P262" s="81"/>
      <c r="Q262" s="81"/>
      <c r="R262" s="81"/>
      <c r="S262" s="81"/>
      <c r="T262" s="81"/>
      <c r="U262" s="81"/>
      <c r="V262" s="81"/>
      <c r="W262" s="81"/>
      <c r="X262" s="81"/>
      <c r="Y262" s="81"/>
      <c r="Z262" s="81"/>
    </row>
    <row r="263" ht="15.75" customHeight="1">
      <c r="A263" s="81"/>
      <c r="B263" s="80"/>
      <c r="C263" s="80"/>
      <c r="D263" s="75"/>
      <c r="E263" s="80"/>
      <c r="F263" s="81"/>
      <c r="G263" s="81"/>
      <c r="H263" s="81"/>
      <c r="I263" s="81"/>
      <c r="J263" s="81"/>
      <c r="K263" s="81"/>
      <c r="L263" s="81"/>
      <c r="M263" s="81"/>
      <c r="N263" s="81"/>
      <c r="O263" s="81"/>
      <c r="P263" s="81"/>
      <c r="Q263" s="81"/>
      <c r="R263" s="81"/>
      <c r="S263" s="81"/>
      <c r="T263" s="81"/>
      <c r="U263" s="81"/>
      <c r="V263" s="81"/>
      <c r="W263" s="81"/>
      <c r="X263" s="81"/>
      <c r="Y263" s="81"/>
      <c r="Z263" s="81"/>
    </row>
    <row r="264" ht="15.75" customHeight="1">
      <c r="A264" s="81"/>
      <c r="B264" s="80"/>
      <c r="C264" s="80"/>
      <c r="D264" s="75"/>
      <c r="E264" s="80"/>
      <c r="F264" s="81"/>
      <c r="G264" s="81"/>
      <c r="H264" s="81"/>
      <c r="I264" s="81"/>
      <c r="J264" s="81"/>
      <c r="K264" s="81"/>
      <c r="L264" s="81"/>
      <c r="M264" s="81"/>
      <c r="N264" s="81"/>
      <c r="O264" s="81"/>
      <c r="P264" s="81"/>
      <c r="Q264" s="81"/>
      <c r="R264" s="81"/>
      <c r="S264" s="81"/>
      <c r="T264" s="81"/>
      <c r="U264" s="81"/>
      <c r="V264" s="81"/>
      <c r="W264" s="81"/>
      <c r="X264" s="81"/>
      <c r="Y264" s="81"/>
      <c r="Z264" s="81"/>
    </row>
    <row r="265" ht="15.75" customHeight="1">
      <c r="A265" s="81"/>
      <c r="B265" s="80"/>
      <c r="C265" s="80"/>
      <c r="D265" s="75"/>
      <c r="E265" s="80"/>
      <c r="F265" s="81"/>
      <c r="G265" s="81"/>
      <c r="H265" s="81"/>
      <c r="I265" s="81"/>
      <c r="J265" s="81"/>
      <c r="K265" s="81"/>
      <c r="L265" s="81"/>
      <c r="M265" s="81"/>
      <c r="N265" s="81"/>
      <c r="O265" s="81"/>
      <c r="P265" s="81"/>
      <c r="Q265" s="81"/>
      <c r="R265" s="81"/>
      <c r="S265" s="81"/>
      <c r="T265" s="81"/>
      <c r="U265" s="81"/>
      <c r="V265" s="81"/>
      <c r="W265" s="81"/>
      <c r="X265" s="81"/>
      <c r="Y265" s="81"/>
      <c r="Z265" s="81"/>
    </row>
    <row r="266" ht="15.75" customHeight="1">
      <c r="A266" s="81"/>
      <c r="B266" s="80"/>
      <c r="C266" s="80"/>
      <c r="D266" s="75"/>
      <c r="E266" s="80"/>
      <c r="F266" s="81"/>
      <c r="G266" s="81"/>
      <c r="H266" s="81"/>
      <c r="I266" s="81"/>
      <c r="J266" s="81"/>
      <c r="K266" s="81"/>
      <c r="L266" s="81"/>
      <c r="M266" s="81"/>
      <c r="N266" s="81"/>
      <c r="O266" s="81"/>
      <c r="P266" s="81"/>
      <c r="Q266" s="81"/>
      <c r="R266" s="81"/>
      <c r="S266" s="81"/>
      <c r="T266" s="81"/>
      <c r="U266" s="81"/>
      <c r="V266" s="81"/>
      <c r="W266" s="81"/>
      <c r="X266" s="81"/>
      <c r="Y266" s="81"/>
      <c r="Z266" s="81"/>
    </row>
    <row r="267" ht="15.75" customHeight="1">
      <c r="A267" s="81"/>
      <c r="B267" s="80"/>
      <c r="C267" s="80"/>
      <c r="D267" s="75"/>
      <c r="E267" s="80"/>
      <c r="F267" s="81"/>
      <c r="G267" s="81"/>
      <c r="H267" s="81"/>
      <c r="I267" s="81"/>
      <c r="J267" s="81"/>
      <c r="K267" s="81"/>
      <c r="L267" s="81"/>
      <c r="M267" s="81"/>
      <c r="N267" s="81"/>
      <c r="O267" s="81"/>
      <c r="P267" s="81"/>
      <c r="Q267" s="81"/>
      <c r="R267" s="81"/>
      <c r="S267" s="81"/>
      <c r="T267" s="81"/>
      <c r="U267" s="81"/>
      <c r="V267" s="81"/>
      <c r="W267" s="81"/>
      <c r="X267" s="81"/>
      <c r="Y267" s="81"/>
      <c r="Z267" s="81"/>
    </row>
    <row r="268" ht="15.75" customHeight="1">
      <c r="A268" s="81"/>
      <c r="B268" s="80"/>
      <c r="C268" s="80"/>
      <c r="D268" s="75"/>
      <c r="E268" s="80"/>
      <c r="F268" s="81"/>
      <c r="G268" s="81"/>
      <c r="H268" s="81"/>
      <c r="I268" s="81"/>
      <c r="J268" s="81"/>
      <c r="K268" s="81"/>
      <c r="L268" s="81"/>
      <c r="M268" s="81"/>
      <c r="N268" s="81"/>
      <c r="O268" s="81"/>
      <c r="P268" s="81"/>
      <c r="Q268" s="81"/>
      <c r="R268" s="81"/>
      <c r="S268" s="81"/>
      <c r="T268" s="81"/>
      <c r="U268" s="81"/>
      <c r="V268" s="81"/>
      <c r="W268" s="81"/>
      <c r="X268" s="81"/>
      <c r="Y268" s="81"/>
      <c r="Z268" s="81"/>
    </row>
    <row r="269" ht="15.75" customHeight="1">
      <c r="A269" s="81"/>
      <c r="B269" s="80"/>
      <c r="C269" s="80"/>
      <c r="D269" s="75"/>
      <c r="E269" s="80"/>
      <c r="F269" s="81"/>
      <c r="G269" s="81"/>
      <c r="H269" s="81"/>
      <c r="I269" s="81"/>
      <c r="J269" s="81"/>
      <c r="K269" s="81"/>
      <c r="L269" s="81"/>
      <c r="M269" s="81"/>
      <c r="N269" s="81"/>
      <c r="O269" s="81"/>
      <c r="P269" s="81"/>
      <c r="Q269" s="81"/>
      <c r="R269" s="81"/>
      <c r="S269" s="81"/>
      <c r="T269" s="81"/>
      <c r="U269" s="81"/>
      <c r="V269" s="81"/>
      <c r="W269" s="81"/>
      <c r="X269" s="81"/>
      <c r="Y269" s="81"/>
      <c r="Z269" s="81"/>
    </row>
    <row r="270" ht="15.75" customHeight="1">
      <c r="A270" s="81"/>
      <c r="B270" s="80"/>
      <c r="C270" s="80"/>
      <c r="D270" s="75"/>
      <c r="E270" s="80"/>
      <c r="F270" s="81"/>
      <c r="G270" s="81"/>
      <c r="H270" s="81"/>
      <c r="I270" s="81"/>
      <c r="J270" s="81"/>
      <c r="K270" s="81"/>
      <c r="L270" s="81"/>
      <c r="M270" s="81"/>
      <c r="N270" s="81"/>
      <c r="O270" s="81"/>
      <c r="P270" s="81"/>
      <c r="Q270" s="81"/>
      <c r="R270" s="81"/>
      <c r="S270" s="81"/>
      <c r="T270" s="81"/>
      <c r="U270" s="81"/>
      <c r="V270" s="81"/>
      <c r="W270" s="81"/>
      <c r="X270" s="81"/>
      <c r="Y270" s="81"/>
      <c r="Z270" s="81"/>
    </row>
    <row r="271" ht="15.75" customHeight="1">
      <c r="A271" s="81"/>
      <c r="B271" s="80"/>
      <c r="C271" s="80"/>
      <c r="D271" s="75"/>
      <c r="E271" s="80"/>
      <c r="F271" s="81"/>
      <c r="G271" s="81"/>
      <c r="H271" s="81"/>
      <c r="I271" s="81"/>
      <c r="J271" s="81"/>
      <c r="K271" s="81"/>
      <c r="L271" s="81"/>
      <c r="M271" s="81"/>
      <c r="N271" s="81"/>
      <c r="O271" s="81"/>
      <c r="P271" s="81"/>
      <c r="Q271" s="81"/>
      <c r="R271" s="81"/>
      <c r="S271" s="81"/>
      <c r="T271" s="81"/>
      <c r="U271" s="81"/>
      <c r="V271" s="81"/>
      <c r="W271" s="81"/>
      <c r="X271" s="81"/>
      <c r="Y271" s="81"/>
      <c r="Z271" s="81"/>
    </row>
    <row r="272" ht="15.75" customHeight="1">
      <c r="A272" s="81"/>
      <c r="B272" s="80"/>
      <c r="C272" s="80"/>
      <c r="D272" s="75"/>
      <c r="E272" s="80"/>
      <c r="F272" s="81"/>
      <c r="G272" s="81"/>
      <c r="H272" s="81"/>
      <c r="I272" s="81"/>
      <c r="J272" s="81"/>
      <c r="K272" s="81"/>
      <c r="L272" s="81"/>
      <c r="M272" s="81"/>
      <c r="N272" s="81"/>
      <c r="O272" s="81"/>
      <c r="P272" s="81"/>
      <c r="Q272" s="81"/>
      <c r="R272" s="81"/>
      <c r="S272" s="81"/>
      <c r="T272" s="81"/>
      <c r="U272" s="81"/>
      <c r="V272" s="81"/>
      <c r="W272" s="81"/>
      <c r="X272" s="81"/>
      <c r="Y272" s="81"/>
      <c r="Z272" s="81"/>
    </row>
    <row r="273" ht="15.75" customHeight="1">
      <c r="A273" s="81"/>
      <c r="B273" s="80"/>
      <c r="C273" s="80"/>
      <c r="D273" s="75"/>
      <c r="E273" s="80"/>
      <c r="F273" s="81"/>
      <c r="G273" s="81"/>
      <c r="H273" s="81"/>
      <c r="I273" s="81"/>
      <c r="J273" s="81"/>
      <c r="K273" s="81"/>
      <c r="L273" s="81"/>
      <c r="M273" s="81"/>
      <c r="N273" s="81"/>
      <c r="O273" s="81"/>
      <c r="P273" s="81"/>
      <c r="Q273" s="81"/>
      <c r="R273" s="81"/>
      <c r="S273" s="81"/>
      <c r="T273" s="81"/>
      <c r="U273" s="81"/>
      <c r="V273" s="81"/>
      <c r="W273" s="81"/>
      <c r="X273" s="81"/>
      <c r="Y273" s="81"/>
      <c r="Z273" s="81"/>
    </row>
    <row r="274" ht="15.75" customHeight="1">
      <c r="A274" s="81"/>
      <c r="B274" s="80"/>
      <c r="C274" s="80"/>
      <c r="D274" s="75"/>
      <c r="E274" s="80"/>
      <c r="F274" s="81"/>
      <c r="G274" s="81"/>
      <c r="H274" s="81"/>
      <c r="I274" s="81"/>
      <c r="J274" s="81"/>
      <c r="K274" s="81"/>
      <c r="L274" s="81"/>
      <c r="M274" s="81"/>
      <c r="N274" s="81"/>
      <c r="O274" s="81"/>
      <c r="P274" s="81"/>
      <c r="Q274" s="81"/>
      <c r="R274" s="81"/>
      <c r="S274" s="81"/>
      <c r="T274" s="81"/>
      <c r="U274" s="81"/>
      <c r="V274" s="81"/>
      <c r="W274" s="81"/>
      <c r="X274" s="81"/>
      <c r="Y274" s="81"/>
      <c r="Z274" s="81"/>
    </row>
    <row r="275" ht="15.75" customHeight="1">
      <c r="A275" s="81"/>
      <c r="B275" s="80"/>
      <c r="C275" s="80"/>
      <c r="D275" s="75"/>
      <c r="E275" s="80"/>
      <c r="F275" s="81"/>
      <c r="G275" s="81"/>
      <c r="H275" s="81"/>
      <c r="I275" s="81"/>
      <c r="J275" s="81"/>
      <c r="K275" s="81"/>
      <c r="L275" s="81"/>
      <c r="M275" s="81"/>
      <c r="N275" s="81"/>
      <c r="O275" s="81"/>
      <c r="P275" s="81"/>
      <c r="Q275" s="81"/>
      <c r="R275" s="81"/>
      <c r="S275" s="81"/>
      <c r="T275" s="81"/>
      <c r="U275" s="81"/>
      <c r="V275" s="81"/>
      <c r="W275" s="81"/>
      <c r="X275" s="81"/>
      <c r="Y275" s="81"/>
      <c r="Z275" s="81"/>
    </row>
    <row r="276" ht="15.75" customHeight="1">
      <c r="A276" s="81"/>
      <c r="B276" s="80"/>
      <c r="C276" s="80"/>
      <c r="D276" s="75"/>
      <c r="E276" s="80"/>
      <c r="F276" s="81"/>
      <c r="G276" s="81"/>
      <c r="H276" s="81"/>
      <c r="I276" s="81"/>
      <c r="J276" s="81"/>
      <c r="K276" s="81"/>
      <c r="L276" s="81"/>
      <c r="M276" s="81"/>
      <c r="N276" s="81"/>
      <c r="O276" s="81"/>
      <c r="P276" s="81"/>
      <c r="Q276" s="81"/>
      <c r="R276" s="81"/>
      <c r="S276" s="81"/>
      <c r="T276" s="81"/>
      <c r="U276" s="81"/>
      <c r="V276" s="81"/>
      <c r="W276" s="81"/>
      <c r="X276" s="81"/>
      <c r="Y276" s="81"/>
      <c r="Z276" s="81"/>
    </row>
    <row r="277" ht="15.75" customHeight="1">
      <c r="A277" s="81"/>
      <c r="B277" s="80"/>
      <c r="C277" s="80"/>
      <c r="D277" s="75"/>
      <c r="E277" s="80"/>
      <c r="F277" s="81"/>
      <c r="G277" s="81"/>
      <c r="H277" s="81"/>
      <c r="I277" s="81"/>
      <c r="J277" s="81"/>
      <c r="K277" s="81"/>
      <c r="L277" s="81"/>
      <c r="M277" s="81"/>
      <c r="N277" s="81"/>
      <c r="O277" s="81"/>
      <c r="P277" s="81"/>
      <c r="Q277" s="81"/>
      <c r="R277" s="81"/>
      <c r="S277" s="81"/>
      <c r="T277" s="81"/>
      <c r="U277" s="81"/>
      <c r="V277" s="81"/>
      <c r="W277" s="81"/>
      <c r="X277" s="81"/>
      <c r="Y277" s="81"/>
      <c r="Z277" s="81"/>
    </row>
    <row r="278" ht="15.75" customHeight="1">
      <c r="A278" s="81"/>
      <c r="B278" s="80"/>
      <c r="C278" s="80"/>
      <c r="D278" s="75"/>
      <c r="E278" s="80"/>
      <c r="F278" s="81"/>
      <c r="G278" s="81"/>
      <c r="H278" s="81"/>
      <c r="I278" s="81"/>
      <c r="J278" s="81"/>
      <c r="K278" s="81"/>
      <c r="L278" s="81"/>
      <c r="M278" s="81"/>
      <c r="N278" s="81"/>
      <c r="O278" s="81"/>
      <c r="P278" s="81"/>
      <c r="Q278" s="81"/>
      <c r="R278" s="81"/>
      <c r="S278" s="81"/>
      <c r="T278" s="81"/>
      <c r="U278" s="81"/>
      <c r="V278" s="81"/>
      <c r="W278" s="81"/>
      <c r="X278" s="81"/>
      <c r="Y278" s="81"/>
      <c r="Z278" s="81"/>
    </row>
    <row r="279" ht="15.75" customHeight="1">
      <c r="A279" s="81"/>
      <c r="B279" s="80"/>
      <c r="C279" s="80"/>
      <c r="D279" s="75"/>
      <c r="E279" s="80"/>
      <c r="F279" s="81"/>
      <c r="G279" s="81"/>
      <c r="H279" s="81"/>
      <c r="I279" s="81"/>
      <c r="J279" s="81"/>
      <c r="K279" s="81"/>
      <c r="L279" s="81"/>
      <c r="M279" s="81"/>
      <c r="N279" s="81"/>
      <c r="O279" s="81"/>
      <c r="P279" s="81"/>
      <c r="Q279" s="81"/>
      <c r="R279" s="81"/>
      <c r="S279" s="81"/>
      <c r="T279" s="81"/>
      <c r="U279" s="81"/>
      <c r="V279" s="81"/>
      <c r="W279" s="81"/>
      <c r="X279" s="81"/>
      <c r="Y279" s="81"/>
      <c r="Z279" s="81"/>
    </row>
    <row r="280" ht="15.75" customHeight="1">
      <c r="A280" s="81"/>
      <c r="B280" s="80"/>
      <c r="C280" s="80"/>
      <c r="D280" s="75"/>
      <c r="E280" s="80"/>
      <c r="F280" s="81"/>
      <c r="G280" s="81"/>
      <c r="H280" s="81"/>
      <c r="I280" s="81"/>
      <c r="J280" s="81"/>
      <c r="K280" s="81"/>
      <c r="L280" s="81"/>
      <c r="M280" s="81"/>
      <c r="N280" s="81"/>
      <c r="O280" s="81"/>
      <c r="P280" s="81"/>
      <c r="Q280" s="81"/>
      <c r="R280" s="81"/>
      <c r="S280" s="81"/>
      <c r="T280" s="81"/>
      <c r="U280" s="81"/>
      <c r="V280" s="81"/>
      <c r="W280" s="81"/>
      <c r="X280" s="81"/>
      <c r="Y280" s="81"/>
      <c r="Z280" s="81"/>
    </row>
    <row r="281" ht="15.75" customHeight="1">
      <c r="A281" s="81"/>
      <c r="B281" s="80"/>
      <c r="C281" s="80"/>
      <c r="D281" s="75"/>
      <c r="E281" s="80"/>
      <c r="F281" s="81"/>
      <c r="G281" s="81"/>
      <c r="H281" s="81"/>
      <c r="I281" s="81"/>
      <c r="J281" s="81"/>
      <c r="K281" s="81"/>
      <c r="L281" s="81"/>
      <c r="M281" s="81"/>
      <c r="N281" s="81"/>
      <c r="O281" s="81"/>
      <c r="P281" s="81"/>
      <c r="Q281" s="81"/>
      <c r="R281" s="81"/>
      <c r="S281" s="81"/>
      <c r="T281" s="81"/>
      <c r="U281" s="81"/>
      <c r="V281" s="81"/>
      <c r="W281" s="81"/>
      <c r="X281" s="81"/>
      <c r="Y281" s="81"/>
      <c r="Z281" s="81"/>
    </row>
    <row r="282" ht="15.75" customHeight="1">
      <c r="A282" s="102"/>
      <c r="B282" s="103"/>
      <c r="C282" s="103"/>
      <c r="D282" s="104"/>
      <c r="E282" s="103"/>
      <c r="F282" s="102"/>
      <c r="G282" s="102"/>
      <c r="H282" s="102"/>
      <c r="I282" s="102"/>
      <c r="J282" s="102"/>
      <c r="K282" s="102"/>
      <c r="L282" s="102"/>
      <c r="M282" s="102"/>
      <c r="N282" s="102"/>
      <c r="O282" s="102"/>
      <c r="P282" s="102"/>
      <c r="Q282" s="102"/>
      <c r="R282" s="102"/>
      <c r="S282" s="102"/>
      <c r="T282" s="102"/>
      <c r="U282" s="102"/>
      <c r="V282" s="102"/>
      <c r="W282" s="102"/>
      <c r="X282" s="102"/>
      <c r="Y282" s="102"/>
      <c r="Z282" s="102"/>
    </row>
    <row r="283" ht="15.75" customHeight="1">
      <c r="A283" s="102"/>
      <c r="B283" s="103"/>
      <c r="C283" s="103"/>
      <c r="D283" s="104"/>
      <c r="E283" s="103"/>
      <c r="F283" s="102"/>
      <c r="G283" s="102"/>
      <c r="H283" s="102"/>
      <c r="I283" s="102"/>
      <c r="J283" s="102"/>
      <c r="K283" s="102"/>
      <c r="L283" s="102"/>
      <c r="M283" s="102"/>
      <c r="N283" s="102"/>
      <c r="O283" s="102"/>
      <c r="P283" s="102"/>
      <c r="Q283" s="102"/>
      <c r="R283" s="102"/>
      <c r="S283" s="102"/>
      <c r="T283" s="102"/>
      <c r="U283" s="102"/>
      <c r="V283" s="102"/>
      <c r="W283" s="102"/>
      <c r="X283" s="102"/>
      <c r="Y283" s="102"/>
      <c r="Z283" s="102"/>
    </row>
    <row r="284" ht="15.75" customHeight="1">
      <c r="A284" s="102"/>
      <c r="B284" s="103"/>
      <c r="C284" s="103"/>
      <c r="D284" s="104"/>
      <c r="E284" s="103"/>
      <c r="F284" s="102"/>
      <c r="G284" s="102"/>
      <c r="H284" s="102"/>
      <c r="I284" s="102"/>
      <c r="J284" s="102"/>
      <c r="K284" s="102"/>
      <c r="L284" s="102"/>
      <c r="M284" s="102"/>
      <c r="N284" s="102"/>
      <c r="O284" s="102"/>
      <c r="P284" s="102"/>
      <c r="Q284" s="102"/>
      <c r="R284" s="102"/>
      <c r="S284" s="102"/>
      <c r="T284" s="102"/>
      <c r="U284" s="102"/>
      <c r="V284" s="102"/>
      <c r="W284" s="102"/>
      <c r="X284" s="102"/>
      <c r="Y284" s="102"/>
      <c r="Z284" s="102"/>
    </row>
    <row r="285" ht="15.75" customHeight="1">
      <c r="A285" s="102"/>
      <c r="B285" s="103"/>
      <c r="C285" s="103"/>
      <c r="D285" s="104"/>
      <c r="E285" s="103"/>
      <c r="F285" s="102"/>
      <c r="G285" s="102"/>
      <c r="H285" s="102"/>
      <c r="I285" s="102"/>
      <c r="J285" s="102"/>
      <c r="K285" s="102"/>
      <c r="L285" s="102"/>
      <c r="M285" s="102"/>
      <c r="N285" s="102"/>
      <c r="O285" s="102"/>
      <c r="P285" s="102"/>
      <c r="Q285" s="102"/>
      <c r="R285" s="102"/>
      <c r="S285" s="102"/>
      <c r="T285" s="102"/>
      <c r="U285" s="102"/>
      <c r="V285" s="102"/>
      <c r="W285" s="102"/>
      <c r="X285" s="102"/>
      <c r="Y285" s="102"/>
      <c r="Z285" s="102"/>
    </row>
    <row r="286" ht="15.75" customHeight="1">
      <c r="A286" s="102"/>
      <c r="B286" s="103"/>
      <c r="C286" s="103"/>
      <c r="D286" s="104"/>
      <c r="E286" s="103"/>
      <c r="F286" s="102"/>
      <c r="G286" s="102"/>
      <c r="H286" s="102"/>
      <c r="I286" s="102"/>
      <c r="J286" s="102"/>
      <c r="K286" s="102"/>
      <c r="L286" s="102"/>
      <c r="M286" s="102"/>
      <c r="N286" s="102"/>
      <c r="O286" s="102"/>
      <c r="P286" s="102"/>
      <c r="Q286" s="102"/>
      <c r="R286" s="102"/>
      <c r="S286" s="102"/>
      <c r="T286" s="102"/>
      <c r="U286" s="102"/>
      <c r="V286" s="102"/>
      <c r="W286" s="102"/>
      <c r="X286" s="102"/>
      <c r="Y286" s="102"/>
      <c r="Z286" s="102"/>
    </row>
    <row r="287" ht="15.75" customHeight="1">
      <c r="A287" s="102"/>
      <c r="B287" s="103"/>
      <c r="C287" s="103"/>
      <c r="D287" s="104"/>
      <c r="E287" s="103"/>
      <c r="F287" s="102"/>
      <c r="G287" s="102"/>
      <c r="H287" s="102"/>
      <c r="I287" s="102"/>
      <c r="J287" s="102"/>
      <c r="K287" s="102"/>
      <c r="L287" s="102"/>
      <c r="M287" s="102"/>
      <c r="N287" s="102"/>
      <c r="O287" s="102"/>
      <c r="P287" s="102"/>
      <c r="Q287" s="102"/>
      <c r="R287" s="102"/>
      <c r="S287" s="102"/>
      <c r="T287" s="102"/>
      <c r="U287" s="102"/>
      <c r="V287" s="102"/>
      <c r="W287" s="102"/>
      <c r="X287" s="102"/>
      <c r="Y287" s="102"/>
      <c r="Z287" s="102"/>
    </row>
    <row r="288" ht="15.75" customHeight="1">
      <c r="A288" s="102"/>
      <c r="B288" s="103"/>
      <c r="C288" s="103"/>
      <c r="D288" s="104"/>
      <c r="E288" s="103"/>
      <c r="F288" s="102"/>
      <c r="G288" s="102"/>
      <c r="H288" s="102"/>
      <c r="I288" s="102"/>
      <c r="J288" s="102"/>
      <c r="K288" s="102"/>
      <c r="L288" s="102"/>
      <c r="M288" s="102"/>
      <c r="N288" s="102"/>
      <c r="O288" s="102"/>
      <c r="P288" s="102"/>
      <c r="Q288" s="102"/>
      <c r="R288" s="102"/>
      <c r="S288" s="102"/>
      <c r="T288" s="102"/>
      <c r="U288" s="102"/>
      <c r="V288" s="102"/>
      <c r="W288" s="102"/>
      <c r="X288" s="102"/>
      <c r="Y288" s="102"/>
      <c r="Z288" s="102"/>
    </row>
    <row r="289" ht="15.75" customHeight="1">
      <c r="A289" s="102"/>
      <c r="B289" s="103"/>
      <c r="C289" s="103"/>
      <c r="D289" s="104"/>
      <c r="E289" s="103"/>
      <c r="F289" s="102"/>
      <c r="G289" s="102"/>
      <c r="H289" s="102"/>
      <c r="I289" s="102"/>
      <c r="J289" s="102"/>
      <c r="K289" s="102"/>
      <c r="L289" s="102"/>
      <c r="M289" s="102"/>
      <c r="N289" s="102"/>
      <c r="O289" s="102"/>
      <c r="P289" s="102"/>
      <c r="Q289" s="102"/>
      <c r="R289" s="102"/>
      <c r="S289" s="102"/>
      <c r="T289" s="102"/>
      <c r="U289" s="102"/>
      <c r="V289" s="102"/>
      <c r="W289" s="102"/>
      <c r="X289" s="102"/>
      <c r="Y289" s="102"/>
      <c r="Z289" s="102"/>
    </row>
    <row r="290" ht="15.75" customHeight="1">
      <c r="A290" s="102"/>
      <c r="B290" s="103"/>
      <c r="C290" s="103"/>
      <c r="D290" s="104"/>
      <c r="E290" s="103"/>
      <c r="F290" s="102"/>
      <c r="G290" s="102"/>
      <c r="H290" s="102"/>
      <c r="I290" s="102"/>
      <c r="J290" s="102"/>
      <c r="K290" s="102"/>
      <c r="L290" s="102"/>
      <c r="M290" s="102"/>
      <c r="N290" s="102"/>
      <c r="O290" s="102"/>
      <c r="P290" s="102"/>
      <c r="Q290" s="102"/>
      <c r="R290" s="102"/>
      <c r="S290" s="102"/>
      <c r="T290" s="102"/>
      <c r="U290" s="102"/>
      <c r="V290" s="102"/>
      <c r="W290" s="102"/>
      <c r="X290" s="102"/>
      <c r="Y290" s="102"/>
      <c r="Z290" s="102"/>
    </row>
    <row r="291" ht="15.75" customHeight="1">
      <c r="A291" s="102"/>
      <c r="B291" s="103"/>
      <c r="C291" s="103"/>
      <c r="D291" s="104"/>
      <c r="E291" s="103"/>
      <c r="F291" s="102"/>
      <c r="G291" s="102"/>
      <c r="H291" s="102"/>
      <c r="I291" s="102"/>
      <c r="J291" s="102"/>
      <c r="K291" s="102"/>
      <c r="L291" s="102"/>
      <c r="M291" s="102"/>
      <c r="N291" s="102"/>
      <c r="O291" s="102"/>
      <c r="P291" s="102"/>
      <c r="Q291" s="102"/>
      <c r="R291" s="102"/>
      <c r="S291" s="102"/>
      <c r="T291" s="102"/>
      <c r="U291" s="102"/>
      <c r="V291" s="102"/>
      <c r="W291" s="102"/>
      <c r="X291" s="102"/>
      <c r="Y291" s="102"/>
      <c r="Z291" s="102"/>
    </row>
    <row r="292" ht="15.75" customHeight="1">
      <c r="A292" s="102"/>
      <c r="B292" s="103"/>
      <c r="C292" s="103"/>
      <c r="D292" s="104"/>
      <c r="E292" s="103"/>
      <c r="F292" s="102"/>
      <c r="G292" s="102"/>
      <c r="H292" s="102"/>
      <c r="I292" s="102"/>
      <c r="J292" s="102"/>
      <c r="K292" s="102"/>
      <c r="L292" s="102"/>
      <c r="M292" s="102"/>
      <c r="N292" s="102"/>
      <c r="O292" s="102"/>
      <c r="P292" s="102"/>
      <c r="Q292" s="102"/>
      <c r="R292" s="102"/>
      <c r="S292" s="102"/>
      <c r="T292" s="102"/>
      <c r="U292" s="102"/>
      <c r="V292" s="102"/>
      <c r="W292" s="102"/>
      <c r="X292" s="102"/>
      <c r="Y292" s="102"/>
      <c r="Z292" s="102"/>
    </row>
    <row r="293" ht="15.75" customHeight="1">
      <c r="A293" s="102"/>
      <c r="B293" s="103"/>
      <c r="C293" s="103"/>
      <c r="D293" s="104"/>
      <c r="E293" s="103"/>
      <c r="F293" s="102"/>
      <c r="G293" s="102"/>
      <c r="H293" s="102"/>
      <c r="I293" s="102"/>
      <c r="J293" s="102"/>
      <c r="K293" s="102"/>
      <c r="L293" s="102"/>
      <c r="M293" s="102"/>
      <c r="N293" s="102"/>
      <c r="O293" s="102"/>
      <c r="P293" s="102"/>
      <c r="Q293" s="102"/>
      <c r="R293" s="102"/>
      <c r="S293" s="102"/>
      <c r="T293" s="102"/>
      <c r="U293" s="102"/>
      <c r="V293" s="102"/>
      <c r="W293" s="102"/>
      <c r="X293" s="102"/>
      <c r="Y293" s="102"/>
      <c r="Z293" s="102"/>
    </row>
    <row r="294" ht="15.75" customHeight="1">
      <c r="A294" s="102"/>
      <c r="B294" s="103"/>
      <c r="C294" s="103"/>
      <c r="D294" s="104"/>
      <c r="E294" s="103"/>
      <c r="F294" s="102"/>
      <c r="G294" s="102"/>
      <c r="H294" s="102"/>
      <c r="I294" s="102"/>
      <c r="J294" s="102"/>
      <c r="K294" s="102"/>
      <c r="L294" s="102"/>
      <c r="M294" s="102"/>
      <c r="N294" s="102"/>
      <c r="O294" s="102"/>
      <c r="P294" s="102"/>
      <c r="Q294" s="102"/>
      <c r="R294" s="102"/>
      <c r="S294" s="102"/>
      <c r="T294" s="102"/>
      <c r="U294" s="102"/>
      <c r="V294" s="102"/>
      <c r="W294" s="102"/>
      <c r="X294" s="102"/>
      <c r="Y294" s="102"/>
      <c r="Z294" s="102"/>
    </row>
    <row r="295" ht="15.75" customHeight="1">
      <c r="A295" s="102"/>
      <c r="B295" s="103"/>
      <c r="C295" s="103"/>
      <c r="D295" s="104"/>
      <c r="E295" s="103"/>
      <c r="F295" s="102"/>
      <c r="G295" s="102"/>
      <c r="H295" s="102"/>
      <c r="I295" s="102"/>
      <c r="J295" s="102"/>
      <c r="K295" s="102"/>
      <c r="L295" s="102"/>
      <c r="M295" s="102"/>
      <c r="N295" s="102"/>
      <c r="O295" s="102"/>
      <c r="P295" s="102"/>
      <c r="Q295" s="102"/>
      <c r="R295" s="102"/>
      <c r="S295" s="102"/>
      <c r="T295" s="102"/>
      <c r="U295" s="102"/>
      <c r="V295" s="102"/>
      <c r="W295" s="102"/>
      <c r="X295" s="102"/>
      <c r="Y295" s="102"/>
      <c r="Z295" s="102"/>
    </row>
    <row r="296" ht="15.75" customHeight="1">
      <c r="A296" s="102"/>
      <c r="B296" s="103"/>
      <c r="C296" s="103"/>
      <c r="D296" s="104"/>
      <c r="E296" s="103"/>
      <c r="F296" s="102"/>
      <c r="G296" s="102"/>
      <c r="H296" s="102"/>
      <c r="I296" s="102"/>
      <c r="J296" s="102"/>
      <c r="K296" s="102"/>
      <c r="L296" s="102"/>
      <c r="M296" s="102"/>
      <c r="N296" s="102"/>
      <c r="O296" s="102"/>
      <c r="P296" s="102"/>
      <c r="Q296" s="102"/>
      <c r="R296" s="102"/>
      <c r="S296" s="102"/>
      <c r="T296" s="102"/>
      <c r="U296" s="102"/>
      <c r="V296" s="102"/>
      <c r="W296" s="102"/>
      <c r="X296" s="102"/>
      <c r="Y296" s="102"/>
      <c r="Z296" s="102"/>
    </row>
    <row r="297" ht="15.75" customHeight="1">
      <c r="A297" s="102"/>
      <c r="B297" s="103"/>
      <c r="C297" s="103"/>
      <c r="D297" s="104"/>
      <c r="E297" s="103"/>
      <c r="F297" s="102"/>
      <c r="G297" s="102"/>
      <c r="H297" s="102"/>
      <c r="I297" s="102"/>
      <c r="J297" s="102"/>
      <c r="K297" s="102"/>
      <c r="L297" s="102"/>
      <c r="M297" s="102"/>
      <c r="N297" s="102"/>
      <c r="O297" s="102"/>
      <c r="P297" s="102"/>
      <c r="Q297" s="102"/>
      <c r="R297" s="102"/>
      <c r="S297" s="102"/>
      <c r="T297" s="102"/>
      <c r="U297" s="102"/>
      <c r="V297" s="102"/>
      <c r="W297" s="102"/>
      <c r="X297" s="102"/>
      <c r="Y297" s="102"/>
      <c r="Z297" s="102"/>
    </row>
    <row r="298" ht="15.75" customHeight="1">
      <c r="A298" s="102"/>
      <c r="B298" s="103"/>
      <c r="C298" s="103"/>
      <c r="D298" s="104"/>
      <c r="E298" s="103"/>
      <c r="F298" s="102"/>
      <c r="G298" s="102"/>
      <c r="H298" s="102"/>
      <c r="I298" s="102"/>
      <c r="J298" s="102"/>
      <c r="K298" s="102"/>
      <c r="L298" s="102"/>
      <c r="M298" s="102"/>
      <c r="N298" s="102"/>
      <c r="O298" s="102"/>
      <c r="P298" s="102"/>
      <c r="Q298" s="102"/>
      <c r="R298" s="102"/>
      <c r="S298" s="102"/>
      <c r="T298" s="102"/>
      <c r="U298" s="102"/>
      <c r="V298" s="102"/>
      <c r="W298" s="102"/>
      <c r="X298" s="102"/>
      <c r="Y298" s="102"/>
      <c r="Z298" s="102"/>
    </row>
    <row r="299" ht="15.75" customHeight="1">
      <c r="A299" s="102"/>
      <c r="B299" s="103"/>
      <c r="C299" s="103"/>
      <c r="D299" s="104"/>
      <c r="E299" s="103"/>
      <c r="F299" s="102"/>
      <c r="G299" s="102"/>
      <c r="H299" s="102"/>
      <c r="I299" s="102"/>
      <c r="J299" s="102"/>
      <c r="K299" s="102"/>
      <c r="L299" s="102"/>
      <c r="M299" s="102"/>
      <c r="N299" s="102"/>
      <c r="O299" s="102"/>
      <c r="P299" s="102"/>
      <c r="Q299" s="102"/>
      <c r="R299" s="102"/>
      <c r="S299" s="102"/>
      <c r="T299" s="102"/>
      <c r="U299" s="102"/>
      <c r="V299" s="102"/>
      <c r="W299" s="102"/>
      <c r="X299" s="102"/>
      <c r="Y299" s="102"/>
      <c r="Z299" s="102"/>
    </row>
    <row r="300" ht="15.75" customHeight="1">
      <c r="A300" s="102"/>
      <c r="B300" s="103"/>
      <c r="C300" s="103"/>
      <c r="D300" s="104"/>
      <c r="E300" s="103"/>
      <c r="F300" s="102"/>
      <c r="G300" s="102"/>
      <c r="H300" s="102"/>
      <c r="I300" s="102"/>
      <c r="J300" s="102"/>
      <c r="K300" s="102"/>
      <c r="L300" s="102"/>
      <c r="M300" s="102"/>
      <c r="N300" s="102"/>
      <c r="O300" s="102"/>
      <c r="P300" s="102"/>
      <c r="Q300" s="102"/>
      <c r="R300" s="102"/>
      <c r="S300" s="102"/>
      <c r="T300" s="102"/>
      <c r="U300" s="102"/>
      <c r="V300" s="102"/>
      <c r="W300" s="102"/>
      <c r="X300" s="102"/>
      <c r="Y300" s="102"/>
      <c r="Z300" s="102"/>
    </row>
    <row r="301" ht="15.75" customHeight="1">
      <c r="A301" s="102"/>
      <c r="B301" s="103"/>
      <c r="C301" s="103"/>
      <c r="D301" s="104"/>
      <c r="E301" s="103"/>
      <c r="F301" s="102"/>
      <c r="G301" s="102"/>
      <c r="H301" s="102"/>
      <c r="I301" s="102"/>
      <c r="J301" s="102"/>
      <c r="K301" s="102"/>
      <c r="L301" s="102"/>
      <c r="M301" s="102"/>
      <c r="N301" s="102"/>
      <c r="O301" s="102"/>
      <c r="P301" s="102"/>
      <c r="Q301" s="102"/>
      <c r="R301" s="102"/>
      <c r="S301" s="102"/>
      <c r="T301" s="102"/>
      <c r="U301" s="102"/>
      <c r="V301" s="102"/>
      <c r="W301" s="102"/>
      <c r="X301" s="102"/>
      <c r="Y301" s="102"/>
      <c r="Z301" s="102"/>
    </row>
    <row r="302" ht="15.75" customHeight="1">
      <c r="A302" s="102"/>
      <c r="B302" s="103"/>
      <c r="C302" s="103"/>
      <c r="D302" s="104"/>
      <c r="E302" s="103"/>
      <c r="F302" s="102"/>
      <c r="G302" s="102"/>
      <c r="H302" s="102"/>
      <c r="I302" s="102"/>
      <c r="J302" s="102"/>
      <c r="K302" s="102"/>
      <c r="L302" s="102"/>
      <c r="M302" s="102"/>
      <c r="N302" s="102"/>
      <c r="O302" s="102"/>
      <c r="P302" s="102"/>
      <c r="Q302" s="102"/>
      <c r="R302" s="102"/>
      <c r="S302" s="102"/>
      <c r="T302" s="102"/>
      <c r="U302" s="102"/>
      <c r="V302" s="102"/>
      <c r="W302" s="102"/>
      <c r="X302" s="102"/>
      <c r="Y302" s="102"/>
      <c r="Z302" s="102"/>
    </row>
    <row r="303" ht="15.75" customHeight="1">
      <c r="A303" s="102"/>
      <c r="B303" s="103"/>
      <c r="C303" s="103"/>
      <c r="D303" s="104"/>
      <c r="E303" s="103"/>
      <c r="F303" s="102"/>
      <c r="G303" s="102"/>
      <c r="H303" s="102"/>
      <c r="I303" s="102"/>
      <c r="J303" s="102"/>
      <c r="K303" s="102"/>
      <c r="L303" s="102"/>
      <c r="M303" s="102"/>
      <c r="N303" s="102"/>
      <c r="O303" s="102"/>
      <c r="P303" s="102"/>
      <c r="Q303" s="102"/>
      <c r="R303" s="102"/>
      <c r="S303" s="102"/>
      <c r="T303" s="102"/>
      <c r="U303" s="102"/>
      <c r="V303" s="102"/>
      <c r="W303" s="102"/>
      <c r="X303" s="102"/>
      <c r="Y303" s="102"/>
      <c r="Z303" s="102"/>
    </row>
    <row r="304" ht="15.75" customHeight="1">
      <c r="A304" s="102"/>
      <c r="B304" s="103"/>
      <c r="C304" s="103"/>
      <c r="D304" s="104"/>
      <c r="E304" s="103"/>
      <c r="F304" s="102"/>
      <c r="G304" s="102"/>
      <c r="H304" s="102"/>
      <c r="I304" s="102"/>
      <c r="J304" s="102"/>
      <c r="K304" s="102"/>
      <c r="L304" s="102"/>
      <c r="M304" s="102"/>
      <c r="N304" s="102"/>
      <c r="O304" s="102"/>
      <c r="P304" s="102"/>
      <c r="Q304" s="102"/>
      <c r="R304" s="102"/>
      <c r="S304" s="102"/>
      <c r="T304" s="102"/>
      <c r="U304" s="102"/>
      <c r="V304" s="102"/>
      <c r="W304" s="102"/>
      <c r="X304" s="102"/>
      <c r="Y304" s="102"/>
      <c r="Z304" s="102"/>
    </row>
    <row r="305" ht="15.75" customHeight="1">
      <c r="A305" s="102"/>
      <c r="B305" s="103"/>
      <c r="C305" s="103"/>
      <c r="D305" s="104"/>
      <c r="E305" s="103"/>
      <c r="F305" s="102"/>
      <c r="G305" s="102"/>
      <c r="H305" s="102"/>
      <c r="I305" s="102"/>
      <c r="J305" s="102"/>
      <c r="K305" s="102"/>
      <c r="L305" s="102"/>
      <c r="M305" s="102"/>
      <c r="N305" s="102"/>
      <c r="O305" s="102"/>
      <c r="P305" s="102"/>
      <c r="Q305" s="102"/>
      <c r="R305" s="102"/>
      <c r="S305" s="102"/>
      <c r="T305" s="102"/>
      <c r="U305" s="102"/>
      <c r="V305" s="102"/>
      <c r="W305" s="102"/>
      <c r="X305" s="102"/>
      <c r="Y305" s="102"/>
      <c r="Z305" s="102"/>
    </row>
    <row r="306" ht="15.75" customHeight="1">
      <c r="A306" s="102"/>
      <c r="B306" s="103"/>
      <c r="C306" s="103"/>
      <c r="D306" s="104"/>
      <c r="E306" s="103"/>
      <c r="F306" s="102"/>
      <c r="G306" s="102"/>
      <c r="H306" s="102"/>
      <c r="I306" s="102"/>
      <c r="J306" s="102"/>
      <c r="K306" s="102"/>
      <c r="L306" s="102"/>
      <c r="M306" s="102"/>
      <c r="N306" s="102"/>
      <c r="O306" s="102"/>
      <c r="P306" s="102"/>
      <c r="Q306" s="102"/>
      <c r="R306" s="102"/>
      <c r="S306" s="102"/>
      <c r="T306" s="102"/>
      <c r="U306" s="102"/>
      <c r="V306" s="102"/>
      <c r="W306" s="102"/>
      <c r="X306" s="102"/>
      <c r="Y306" s="102"/>
      <c r="Z306" s="102"/>
    </row>
    <row r="307" ht="15.75" customHeight="1">
      <c r="A307" s="102"/>
      <c r="B307" s="103"/>
      <c r="C307" s="103"/>
      <c r="D307" s="104"/>
      <c r="E307" s="103"/>
      <c r="F307" s="102"/>
      <c r="G307" s="102"/>
      <c r="H307" s="102"/>
      <c r="I307" s="102"/>
      <c r="J307" s="102"/>
      <c r="K307" s="102"/>
      <c r="L307" s="102"/>
      <c r="M307" s="102"/>
      <c r="N307" s="102"/>
      <c r="O307" s="102"/>
      <c r="P307" s="102"/>
      <c r="Q307" s="102"/>
      <c r="R307" s="102"/>
      <c r="S307" s="102"/>
      <c r="T307" s="102"/>
      <c r="U307" s="102"/>
      <c r="V307" s="102"/>
      <c r="W307" s="102"/>
      <c r="X307" s="102"/>
      <c r="Y307" s="102"/>
      <c r="Z307" s="102"/>
    </row>
    <row r="308" ht="15.75" customHeight="1">
      <c r="A308" s="102"/>
      <c r="B308" s="103"/>
      <c r="C308" s="103"/>
      <c r="D308" s="104"/>
      <c r="E308" s="103"/>
      <c r="F308" s="102"/>
      <c r="G308" s="102"/>
      <c r="H308" s="102"/>
      <c r="I308" s="102"/>
      <c r="J308" s="102"/>
      <c r="K308" s="102"/>
      <c r="L308" s="102"/>
      <c r="M308" s="102"/>
      <c r="N308" s="102"/>
      <c r="O308" s="102"/>
      <c r="P308" s="102"/>
      <c r="Q308" s="102"/>
      <c r="R308" s="102"/>
      <c r="S308" s="102"/>
      <c r="T308" s="102"/>
      <c r="U308" s="102"/>
      <c r="V308" s="102"/>
      <c r="W308" s="102"/>
      <c r="X308" s="102"/>
      <c r="Y308" s="102"/>
      <c r="Z308" s="102"/>
    </row>
    <row r="309" ht="15.75" customHeight="1">
      <c r="A309" s="102"/>
      <c r="B309" s="103"/>
      <c r="C309" s="103"/>
      <c r="D309" s="104"/>
      <c r="E309" s="103"/>
      <c r="F309" s="102"/>
      <c r="G309" s="102"/>
      <c r="H309" s="102"/>
      <c r="I309" s="102"/>
      <c r="J309" s="102"/>
      <c r="K309" s="102"/>
      <c r="L309" s="102"/>
      <c r="M309" s="102"/>
      <c r="N309" s="102"/>
      <c r="O309" s="102"/>
      <c r="P309" s="102"/>
      <c r="Q309" s="102"/>
      <c r="R309" s="102"/>
      <c r="S309" s="102"/>
      <c r="T309" s="102"/>
      <c r="U309" s="102"/>
      <c r="V309" s="102"/>
      <c r="W309" s="102"/>
      <c r="X309" s="102"/>
      <c r="Y309" s="102"/>
      <c r="Z309" s="102"/>
    </row>
    <row r="310" ht="15.75" customHeight="1">
      <c r="A310" s="102"/>
      <c r="B310" s="103"/>
      <c r="C310" s="103"/>
      <c r="D310" s="104"/>
      <c r="E310" s="103"/>
      <c r="F310" s="102"/>
      <c r="G310" s="102"/>
      <c r="H310" s="102"/>
      <c r="I310" s="102"/>
      <c r="J310" s="102"/>
      <c r="K310" s="102"/>
      <c r="L310" s="102"/>
      <c r="M310" s="102"/>
      <c r="N310" s="102"/>
      <c r="O310" s="102"/>
      <c r="P310" s="102"/>
      <c r="Q310" s="102"/>
      <c r="R310" s="102"/>
      <c r="S310" s="102"/>
      <c r="T310" s="102"/>
      <c r="U310" s="102"/>
      <c r="V310" s="102"/>
      <c r="W310" s="102"/>
      <c r="X310" s="102"/>
      <c r="Y310" s="102"/>
      <c r="Z310" s="102"/>
    </row>
    <row r="311" ht="15.75" customHeight="1">
      <c r="A311" s="102"/>
      <c r="B311" s="103"/>
      <c r="C311" s="103"/>
      <c r="D311" s="104"/>
      <c r="E311" s="103"/>
      <c r="F311" s="102"/>
      <c r="G311" s="102"/>
      <c r="H311" s="102"/>
      <c r="I311" s="102"/>
      <c r="J311" s="102"/>
      <c r="K311" s="102"/>
      <c r="L311" s="102"/>
      <c r="M311" s="102"/>
      <c r="N311" s="102"/>
      <c r="O311" s="102"/>
      <c r="P311" s="102"/>
      <c r="Q311" s="102"/>
      <c r="R311" s="102"/>
      <c r="S311" s="102"/>
      <c r="T311" s="102"/>
      <c r="U311" s="102"/>
      <c r="V311" s="102"/>
      <c r="W311" s="102"/>
      <c r="X311" s="102"/>
      <c r="Y311" s="102"/>
      <c r="Z311" s="102"/>
    </row>
    <row r="312" ht="15.75" customHeight="1">
      <c r="A312" s="102"/>
      <c r="B312" s="103"/>
      <c r="C312" s="103"/>
      <c r="D312" s="104"/>
      <c r="E312" s="103"/>
      <c r="F312" s="102"/>
      <c r="G312" s="102"/>
      <c r="H312" s="102"/>
      <c r="I312" s="102"/>
      <c r="J312" s="102"/>
      <c r="K312" s="102"/>
      <c r="L312" s="102"/>
      <c r="M312" s="102"/>
      <c r="N312" s="102"/>
      <c r="O312" s="102"/>
      <c r="P312" s="102"/>
      <c r="Q312" s="102"/>
      <c r="R312" s="102"/>
      <c r="S312" s="102"/>
      <c r="T312" s="102"/>
      <c r="U312" s="102"/>
      <c r="V312" s="102"/>
      <c r="W312" s="102"/>
      <c r="X312" s="102"/>
      <c r="Y312" s="102"/>
      <c r="Z312" s="102"/>
    </row>
    <row r="313" ht="15.75" customHeight="1">
      <c r="A313" s="102"/>
      <c r="B313" s="103"/>
      <c r="C313" s="103"/>
      <c r="D313" s="104"/>
      <c r="E313" s="103"/>
      <c r="F313" s="102"/>
      <c r="G313" s="102"/>
      <c r="H313" s="102"/>
      <c r="I313" s="102"/>
      <c r="J313" s="102"/>
      <c r="K313" s="102"/>
      <c r="L313" s="102"/>
      <c r="M313" s="102"/>
      <c r="N313" s="102"/>
      <c r="O313" s="102"/>
      <c r="P313" s="102"/>
      <c r="Q313" s="102"/>
      <c r="R313" s="102"/>
      <c r="S313" s="102"/>
      <c r="T313" s="102"/>
      <c r="U313" s="102"/>
      <c r="V313" s="102"/>
      <c r="W313" s="102"/>
      <c r="X313" s="102"/>
      <c r="Y313" s="102"/>
      <c r="Z313" s="102"/>
    </row>
    <row r="314" ht="15.75" customHeight="1">
      <c r="A314" s="102"/>
      <c r="B314" s="103"/>
      <c r="C314" s="103"/>
      <c r="D314" s="104"/>
      <c r="E314" s="103"/>
      <c r="F314" s="102"/>
      <c r="G314" s="102"/>
      <c r="H314" s="102"/>
      <c r="I314" s="102"/>
      <c r="J314" s="102"/>
      <c r="K314" s="102"/>
      <c r="L314" s="102"/>
      <c r="M314" s="102"/>
      <c r="N314" s="102"/>
      <c r="O314" s="102"/>
      <c r="P314" s="102"/>
      <c r="Q314" s="102"/>
      <c r="R314" s="102"/>
      <c r="S314" s="102"/>
      <c r="T314" s="102"/>
      <c r="U314" s="102"/>
      <c r="V314" s="102"/>
      <c r="W314" s="102"/>
      <c r="X314" s="102"/>
      <c r="Y314" s="102"/>
      <c r="Z314" s="102"/>
    </row>
    <row r="315" ht="15.75" customHeight="1">
      <c r="A315" s="102"/>
      <c r="B315" s="103"/>
      <c r="C315" s="103"/>
      <c r="D315" s="104"/>
      <c r="E315" s="103"/>
      <c r="F315" s="102"/>
      <c r="G315" s="102"/>
      <c r="H315" s="102"/>
      <c r="I315" s="102"/>
      <c r="J315" s="102"/>
      <c r="K315" s="102"/>
      <c r="L315" s="102"/>
      <c r="M315" s="102"/>
      <c r="N315" s="102"/>
      <c r="O315" s="102"/>
      <c r="P315" s="102"/>
      <c r="Q315" s="102"/>
      <c r="R315" s="102"/>
      <c r="S315" s="102"/>
      <c r="T315" s="102"/>
      <c r="U315" s="102"/>
      <c r="V315" s="102"/>
      <c r="W315" s="102"/>
      <c r="X315" s="102"/>
      <c r="Y315" s="102"/>
      <c r="Z315" s="102"/>
    </row>
    <row r="316" ht="15.75" customHeight="1">
      <c r="A316" s="102"/>
      <c r="B316" s="103"/>
      <c r="C316" s="103"/>
      <c r="D316" s="104"/>
      <c r="E316" s="103"/>
      <c r="F316" s="102"/>
      <c r="G316" s="102"/>
      <c r="H316" s="102"/>
      <c r="I316" s="102"/>
      <c r="J316" s="102"/>
      <c r="K316" s="102"/>
      <c r="L316" s="102"/>
      <c r="M316" s="102"/>
      <c r="N316" s="102"/>
      <c r="O316" s="102"/>
      <c r="P316" s="102"/>
      <c r="Q316" s="102"/>
      <c r="R316" s="102"/>
      <c r="S316" s="102"/>
      <c r="T316" s="102"/>
      <c r="U316" s="102"/>
      <c r="V316" s="102"/>
      <c r="W316" s="102"/>
      <c r="X316" s="102"/>
      <c r="Y316" s="102"/>
      <c r="Z316" s="102"/>
    </row>
    <row r="317" ht="15.75" customHeight="1">
      <c r="A317" s="102"/>
      <c r="B317" s="103"/>
      <c r="C317" s="103"/>
      <c r="D317" s="104"/>
      <c r="E317" s="103"/>
      <c r="F317" s="102"/>
      <c r="G317" s="102"/>
      <c r="H317" s="102"/>
      <c r="I317" s="102"/>
      <c r="J317" s="102"/>
      <c r="K317" s="102"/>
      <c r="L317" s="102"/>
      <c r="M317" s="102"/>
      <c r="N317" s="102"/>
      <c r="O317" s="102"/>
      <c r="P317" s="102"/>
      <c r="Q317" s="102"/>
      <c r="R317" s="102"/>
      <c r="S317" s="102"/>
      <c r="T317" s="102"/>
      <c r="U317" s="102"/>
      <c r="V317" s="102"/>
      <c r="W317" s="102"/>
      <c r="X317" s="102"/>
      <c r="Y317" s="102"/>
      <c r="Z317" s="102"/>
    </row>
    <row r="318" ht="15.75" customHeight="1">
      <c r="A318" s="102"/>
      <c r="B318" s="103"/>
      <c r="C318" s="103"/>
      <c r="D318" s="104"/>
      <c r="E318" s="103"/>
      <c r="F318" s="102"/>
      <c r="G318" s="102"/>
      <c r="H318" s="102"/>
      <c r="I318" s="102"/>
      <c r="J318" s="102"/>
      <c r="K318" s="102"/>
      <c r="L318" s="102"/>
      <c r="M318" s="102"/>
      <c r="N318" s="102"/>
      <c r="O318" s="102"/>
      <c r="P318" s="102"/>
      <c r="Q318" s="102"/>
      <c r="R318" s="102"/>
      <c r="S318" s="102"/>
      <c r="T318" s="102"/>
      <c r="U318" s="102"/>
      <c r="V318" s="102"/>
      <c r="W318" s="102"/>
      <c r="X318" s="102"/>
      <c r="Y318" s="102"/>
      <c r="Z318" s="102"/>
    </row>
    <row r="319" ht="15.75" customHeight="1">
      <c r="A319" s="102"/>
      <c r="B319" s="103"/>
      <c r="C319" s="103"/>
      <c r="D319" s="104"/>
      <c r="E319" s="103"/>
      <c r="F319" s="102"/>
      <c r="G319" s="102"/>
      <c r="H319" s="102"/>
      <c r="I319" s="102"/>
      <c r="J319" s="102"/>
      <c r="K319" s="102"/>
      <c r="L319" s="102"/>
      <c r="M319" s="102"/>
      <c r="N319" s="102"/>
      <c r="O319" s="102"/>
      <c r="P319" s="102"/>
      <c r="Q319" s="102"/>
      <c r="R319" s="102"/>
      <c r="S319" s="102"/>
      <c r="T319" s="102"/>
      <c r="U319" s="102"/>
      <c r="V319" s="102"/>
      <c r="W319" s="102"/>
      <c r="X319" s="102"/>
      <c r="Y319" s="102"/>
      <c r="Z319" s="102"/>
    </row>
    <row r="320" ht="15.75" customHeight="1">
      <c r="A320" s="102"/>
      <c r="B320" s="103"/>
      <c r="C320" s="103"/>
      <c r="D320" s="104"/>
      <c r="E320" s="103"/>
      <c r="F320" s="102"/>
      <c r="G320" s="102"/>
      <c r="H320" s="102"/>
      <c r="I320" s="102"/>
      <c r="J320" s="102"/>
      <c r="K320" s="102"/>
      <c r="L320" s="102"/>
      <c r="M320" s="102"/>
      <c r="N320" s="102"/>
      <c r="O320" s="102"/>
      <c r="P320" s="102"/>
      <c r="Q320" s="102"/>
      <c r="R320" s="102"/>
      <c r="S320" s="102"/>
      <c r="T320" s="102"/>
      <c r="U320" s="102"/>
      <c r="V320" s="102"/>
      <c r="W320" s="102"/>
      <c r="X320" s="102"/>
      <c r="Y320" s="102"/>
      <c r="Z320" s="102"/>
    </row>
    <row r="321" ht="15.75" customHeight="1">
      <c r="A321" s="102"/>
      <c r="B321" s="103"/>
      <c r="C321" s="103"/>
      <c r="D321" s="104"/>
      <c r="E321" s="103"/>
      <c r="F321" s="102"/>
      <c r="G321" s="102"/>
      <c r="H321" s="102"/>
      <c r="I321" s="102"/>
      <c r="J321" s="102"/>
      <c r="K321" s="102"/>
      <c r="L321" s="102"/>
      <c r="M321" s="102"/>
      <c r="N321" s="102"/>
      <c r="O321" s="102"/>
      <c r="P321" s="102"/>
      <c r="Q321" s="102"/>
      <c r="R321" s="102"/>
      <c r="S321" s="102"/>
      <c r="T321" s="102"/>
      <c r="U321" s="102"/>
      <c r="V321" s="102"/>
      <c r="W321" s="102"/>
      <c r="X321" s="102"/>
      <c r="Y321" s="102"/>
      <c r="Z321" s="102"/>
    </row>
    <row r="322" ht="15.75" customHeight="1">
      <c r="A322" s="102"/>
      <c r="B322" s="103"/>
      <c r="C322" s="103"/>
      <c r="D322" s="104"/>
      <c r="E322" s="103"/>
      <c r="F322" s="102"/>
      <c r="G322" s="102"/>
      <c r="H322" s="102"/>
      <c r="I322" s="102"/>
      <c r="J322" s="102"/>
      <c r="K322" s="102"/>
      <c r="L322" s="102"/>
      <c r="M322" s="102"/>
      <c r="N322" s="102"/>
      <c r="O322" s="102"/>
      <c r="P322" s="102"/>
      <c r="Q322" s="102"/>
      <c r="R322" s="102"/>
      <c r="S322" s="102"/>
      <c r="T322" s="102"/>
      <c r="U322" s="102"/>
      <c r="V322" s="102"/>
      <c r="W322" s="102"/>
      <c r="X322" s="102"/>
      <c r="Y322" s="102"/>
      <c r="Z322" s="102"/>
    </row>
    <row r="323" ht="15.75" customHeight="1">
      <c r="A323" s="102"/>
      <c r="B323" s="103"/>
      <c r="C323" s="103"/>
      <c r="D323" s="104"/>
      <c r="E323" s="103"/>
      <c r="F323" s="102"/>
      <c r="G323" s="102"/>
      <c r="H323" s="102"/>
      <c r="I323" s="102"/>
      <c r="J323" s="102"/>
      <c r="K323" s="102"/>
      <c r="L323" s="102"/>
      <c r="M323" s="102"/>
      <c r="N323" s="102"/>
      <c r="O323" s="102"/>
      <c r="P323" s="102"/>
      <c r="Q323" s="102"/>
      <c r="R323" s="102"/>
      <c r="S323" s="102"/>
      <c r="T323" s="102"/>
      <c r="U323" s="102"/>
      <c r="V323" s="102"/>
      <c r="W323" s="102"/>
      <c r="X323" s="102"/>
      <c r="Y323" s="102"/>
      <c r="Z323" s="102"/>
    </row>
    <row r="324" ht="15.75" customHeight="1">
      <c r="A324" s="102"/>
      <c r="B324" s="103"/>
      <c r="C324" s="103"/>
      <c r="D324" s="104"/>
      <c r="E324" s="103"/>
      <c r="F324" s="102"/>
      <c r="G324" s="102"/>
      <c r="H324" s="102"/>
      <c r="I324" s="102"/>
      <c r="J324" s="102"/>
      <c r="K324" s="102"/>
      <c r="L324" s="102"/>
      <c r="M324" s="102"/>
      <c r="N324" s="102"/>
      <c r="O324" s="102"/>
      <c r="P324" s="102"/>
      <c r="Q324" s="102"/>
      <c r="R324" s="102"/>
      <c r="S324" s="102"/>
      <c r="T324" s="102"/>
      <c r="U324" s="102"/>
      <c r="V324" s="102"/>
      <c r="W324" s="102"/>
      <c r="X324" s="102"/>
      <c r="Y324" s="102"/>
      <c r="Z324" s="102"/>
    </row>
    <row r="325" ht="15.75" customHeight="1">
      <c r="A325" s="102"/>
      <c r="B325" s="103"/>
      <c r="C325" s="103"/>
      <c r="D325" s="104"/>
      <c r="E325" s="103"/>
      <c r="F325" s="102"/>
      <c r="G325" s="102"/>
      <c r="H325" s="102"/>
      <c r="I325" s="102"/>
      <c r="J325" s="102"/>
      <c r="K325" s="102"/>
      <c r="L325" s="102"/>
      <c r="M325" s="102"/>
      <c r="N325" s="102"/>
      <c r="O325" s="102"/>
      <c r="P325" s="102"/>
      <c r="Q325" s="102"/>
      <c r="R325" s="102"/>
      <c r="S325" s="102"/>
      <c r="T325" s="102"/>
      <c r="U325" s="102"/>
      <c r="V325" s="102"/>
      <c r="W325" s="102"/>
      <c r="X325" s="102"/>
      <c r="Y325" s="102"/>
      <c r="Z325" s="102"/>
    </row>
    <row r="326" ht="15.75" customHeight="1">
      <c r="A326" s="102"/>
      <c r="B326" s="103"/>
      <c r="C326" s="103"/>
      <c r="D326" s="104"/>
      <c r="E326" s="103"/>
      <c r="F326" s="102"/>
      <c r="G326" s="102"/>
      <c r="H326" s="102"/>
      <c r="I326" s="102"/>
      <c r="J326" s="102"/>
      <c r="K326" s="102"/>
      <c r="L326" s="102"/>
      <c r="M326" s="102"/>
      <c r="N326" s="102"/>
      <c r="O326" s="102"/>
      <c r="P326" s="102"/>
      <c r="Q326" s="102"/>
      <c r="R326" s="102"/>
      <c r="S326" s="102"/>
      <c r="T326" s="102"/>
      <c r="U326" s="102"/>
      <c r="V326" s="102"/>
      <c r="W326" s="102"/>
      <c r="X326" s="102"/>
      <c r="Y326" s="102"/>
      <c r="Z326" s="102"/>
    </row>
    <row r="327" ht="15.75" customHeight="1">
      <c r="A327" s="102"/>
      <c r="B327" s="103"/>
      <c r="C327" s="103"/>
      <c r="D327" s="104"/>
      <c r="E327" s="103"/>
      <c r="F327" s="102"/>
      <c r="G327" s="102"/>
      <c r="H327" s="102"/>
      <c r="I327" s="102"/>
      <c r="J327" s="102"/>
      <c r="K327" s="102"/>
      <c r="L327" s="102"/>
      <c r="M327" s="102"/>
      <c r="N327" s="102"/>
      <c r="O327" s="102"/>
      <c r="P327" s="102"/>
      <c r="Q327" s="102"/>
      <c r="R327" s="102"/>
      <c r="S327" s="102"/>
      <c r="T327" s="102"/>
      <c r="U327" s="102"/>
      <c r="V327" s="102"/>
      <c r="W327" s="102"/>
      <c r="X327" s="102"/>
      <c r="Y327" s="102"/>
      <c r="Z327" s="102"/>
    </row>
    <row r="328" ht="15.75" customHeight="1">
      <c r="A328" s="102"/>
      <c r="B328" s="103"/>
      <c r="C328" s="103"/>
      <c r="D328" s="104"/>
      <c r="E328" s="103"/>
      <c r="F328" s="102"/>
      <c r="G328" s="102"/>
      <c r="H328" s="102"/>
      <c r="I328" s="102"/>
      <c r="J328" s="102"/>
      <c r="K328" s="102"/>
      <c r="L328" s="102"/>
      <c r="M328" s="102"/>
      <c r="N328" s="102"/>
      <c r="O328" s="102"/>
      <c r="P328" s="102"/>
      <c r="Q328" s="102"/>
      <c r="R328" s="102"/>
      <c r="S328" s="102"/>
      <c r="T328" s="102"/>
      <c r="U328" s="102"/>
      <c r="V328" s="102"/>
      <c r="W328" s="102"/>
      <c r="X328" s="102"/>
      <c r="Y328" s="102"/>
      <c r="Z328" s="102"/>
    </row>
    <row r="329" ht="15.75" customHeight="1">
      <c r="A329" s="102"/>
      <c r="B329" s="103"/>
      <c r="C329" s="103"/>
      <c r="D329" s="104"/>
      <c r="E329" s="103"/>
      <c r="F329" s="102"/>
      <c r="G329" s="102"/>
      <c r="H329" s="102"/>
      <c r="I329" s="102"/>
      <c r="J329" s="102"/>
      <c r="K329" s="102"/>
      <c r="L329" s="102"/>
      <c r="M329" s="102"/>
      <c r="N329" s="102"/>
      <c r="O329" s="102"/>
      <c r="P329" s="102"/>
      <c r="Q329" s="102"/>
      <c r="R329" s="102"/>
      <c r="S329" s="102"/>
      <c r="T329" s="102"/>
      <c r="U329" s="102"/>
      <c r="V329" s="102"/>
      <c r="W329" s="102"/>
      <c r="X329" s="102"/>
      <c r="Y329" s="102"/>
      <c r="Z329" s="102"/>
    </row>
    <row r="330" ht="15.75" customHeight="1">
      <c r="A330" s="102"/>
      <c r="B330" s="103"/>
      <c r="C330" s="103"/>
      <c r="D330" s="104"/>
      <c r="E330" s="103"/>
      <c r="F330" s="102"/>
      <c r="G330" s="102"/>
      <c r="H330" s="102"/>
      <c r="I330" s="102"/>
      <c r="J330" s="102"/>
      <c r="K330" s="102"/>
      <c r="L330" s="102"/>
      <c r="M330" s="102"/>
      <c r="N330" s="102"/>
      <c r="O330" s="102"/>
      <c r="P330" s="102"/>
      <c r="Q330" s="102"/>
      <c r="R330" s="102"/>
      <c r="S330" s="102"/>
      <c r="T330" s="102"/>
      <c r="U330" s="102"/>
      <c r="V330" s="102"/>
      <c r="W330" s="102"/>
      <c r="X330" s="102"/>
      <c r="Y330" s="102"/>
      <c r="Z330" s="102"/>
    </row>
    <row r="331" ht="15.75" customHeight="1">
      <c r="A331" s="102"/>
      <c r="B331" s="103"/>
      <c r="C331" s="103"/>
      <c r="D331" s="104"/>
      <c r="E331" s="103"/>
      <c r="F331" s="102"/>
      <c r="G331" s="102"/>
      <c r="H331" s="102"/>
      <c r="I331" s="102"/>
      <c r="J331" s="102"/>
      <c r="K331" s="102"/>
      <c r="L331" s="102"/>
      <c r="M331" s="102"/>
      <c r="N331" s="102"/>
      <c r="O331" s="102"/>
      <c r="P331" s="102"/>
      <c r="Q331" s="102"/>
      <c r="R331" s="102"/>
      <c r="S331" s="102"/>
      <c r="T331" s="102"/>
      <c r="U331" s="102"/>
      <c r="V331" s="102"/>
      <c r="W331" s="102"/>
      <c r="X331" s="102"/>
      <c r="Y331" s="102"/>
      <c r="Z331" s="102"/>
    </row>
    <row r="332" ht="15.75" customHeight="1">
      <c r="A332" s="102"/>
      <c r="B332" s="103"/>
      <c r="C332" s="103"/>
      <c r="D332" s="104"/>
      <c r="E332" s="103"/>
      <c r="F332" s="102"/>
      <c r="G332" s="102"/>
      <c r="H332" s="102"/>
      <c r="I332" s="102"/>
      <c r="J332" s="102"/>
      <c r="K332" s="102"/>
      <c r="L332" s="102"/>
      <c r="M332" s="102"/>
      <c r="N332" s="102"/>
      <c r="O332" s="102"/>
      <c r="P332" s="102"/>
      <c r="Q332" s="102"/>
      <c r="R332" s="102"/>
      <c r="S332" s="102"/>
      <c r="T332" s="102"/>
      <c r="U332" s="102"/>
      <c r="V332" s="102"/>
      <c r="W332" s="102"/>
      <c r="X332" s="102"/>
      <c r="Y332" s="102"/>
      <c r="Z332" s="102"/>
    </row>
    <row r="333" ht="15.75" customHeight="1">
      <c r="A333" s="102"/>
      <c r="B333" s="103"/>
      <c r="C333" s="103"/>
      <c r="D333" s="104"/>
      <c r="E333" s="103"/>
      <c r="F333" s="102"/>
      <c r="G333" s="102"/>
      <c r="H333" s="102"/>
      <c r="I333" s="102"/>
      <c r="J333" s="102"/>
      <c r="K333" s="102"/>
      <c r="L333" s="102"/>
      <c r="M333" s="102"/>
      <c r="N333" s="102"/>
      <c r="O333" s="102"/>
      <c r="P333" s="102"/>
      <c r="Q333" s="102"/>
      <c r="R333" s="102"/>
      <c r="S333" s="102"/>
      <c r="T333" s="102"/>
      <c r="U333" s="102"/>
      <c r="V333" s="102"/>
      <c r="W333" s="102"/>
      <c r="X333" s="102"/>
      <c r="Y333" s="102"/>
      <c r="Z333" s="102"/>
    </row>
    <row r="334" ht="15.75" customHeight="1">
      <c r="A334" s="102"/>
      <c r="B334" s="103"/>
      <c r="C334" s="103"/>
      <c r="D334" s="104"/>
      <c r="E334" s="103"/>
      <c r="F334" s="102"/>
      <c r="G334" s="102"/>
      <c r="H334" s="102"/>
      <c r="I334" s="102"/>
      <c r="J334" s="102"/>
      <c r="K334" s="102"/>
      <c r="L334" s="102"/>
      <c r="M334" s="102"/>
      <c r="N334" s="102"/>
      <c r="O334" s="102"/>
      <c r="P334" s="102"/>
      <c r="Q334" s="102"/>
      <c r="R334" s="102"/>
      <c r="S334" s="102"/>
      <c r="T334" s="102"/>
      <c r="U334" s="102"/>
      <c r="V334" s="102"/>
      <c r="W334" s="102"/>
      <c r="X334" s="102"/>
      <c r="Y334" s="102"/>
      <c r="Z334" s="102"/>
    </row>
    <row r="335" ht="15.75" customHeight="1">
      <c r="A335" s="102"/>
      <c r="B335" s="103"/>
      <c r="C335" s="103"/>
      <c r="D335" s="104"/>
      <c r="E335" s="103"/>
      <c r="F335" s="102"/>
      <c r="G335" s="102"/>
      <c r="H335" s="102"/>
      <c r="I335" s="102"/>
      <c r="J335" s="102"/>
      <c r="K335" s="102"/>
      <c r="L335" s="102"/>
      <c r="M335" s="102"/>
      <c r="N335" s="102"/>
      <c r="O335" s="102"/>
      <c r="P335" s="102"/>
      <c r="Q335" s="102"/>
      <c r="R335" s="102"/>
      <c r="S335" s="102"/>
      <c r="T335" s="102"/>
      <c r="U335" s="102"/>
      <c r="V335" s="102"/>
      <c r="W335" s="102"/>
      <c r="X335" s="102"/>
      <c r="Y335" s="102"/>
      <c r="Z335" s="102"/>
    </row>
    <row r="336" ht="15.75" customHeight="1">
      <c r="A336" s="102"/>
      <c r="B336" s="103"/>
      <c r="C336" s="103"/>
      <c r="D336" s="104"/>
      <c r="E336" s="103"/>
      <c r="F336" s="102"/>
      <c r="G336" s="102"/>
      <c r="H336" s="102"/>
      <c r="I336" s="102"/>
      <c r="J336" s="102"/>
      <c r="K336" s="102"/>
      <c r="L336" s="102"/>
      <c r="M336" s="102"/>
      <c r="N336" s="102"/>
      <c r="O336" s="102"/>
      <c r="P336" s="102"/>
      <c r="Q336" s="102"/>
      <c r="R336" s="102"/>
      <c r="S336" s="102"/>
      <c r="T336" s="102"/>
      <c r="U336" s="102"/>
      <c r="V336" s="102"/>
      <c r="W336" s="102"/>
      <c r="X336" s="102"/>
      <c r="Y336" s="102"/>
      <c r="Z336" s="102"/>
    </row>
    <row r="337" ht="15.75" customHeight="1">
      <c r="A337" s="102"/>
      <c r="B337" s="103"/>
      <c r="C337" s="103"/>
      <c r="D337" s="104"/>
      <c r="E337" s="103"/>
      <c r="F337" s="102"/>
      <c r="G337" s="102"/>
      <c r="H337" s="102"/>
      <c r="I337" s="102"/>
      <c r="J337" s="102"/>
      <c r="K337" s="102"/>
      <c r="L337" s="102"/>
      <c r="M337" s="102"/>
      <c r="N337" s="102"/>
      <c r="O337" s="102"/>
      <c r="P337" s="102"/>
      <c r="Q337" s="102"/>
      <c r="R337" s="102"/>
      <c r="S337" s="102"/>
      <c r="T337" s="102"/>
      <c r="U337" s="102"/>
      <c r="V337" s="102"/>
      <c r="W337" s="102"/>
      <c r="X337" s="102"/>
      <c r="Y337" s="102"/>
      <c r="Z337" s="102"/>
    </row>
    <row r="338" ht="15.75" customHeight="1">
      <c r="A338" s="102"/>
      <c r="B338" s="103"/>
      <c r="C338" s="103"/>
      <c r="D338" s="104"/>
      <c r="E338" s="103"/>
      <c r="F338" s="102"/>
      <c r="G338" s="102"/>
      <c r="H338" s="102"/>
      <c r="I338" s="102"/>
      <c r="J338" s="102"/>
      <c r="K338" s="102"/>
      <c r="L338" s="102"/>
      <c r="M338" s="102"/>
      <c r="N338" s="102"/>
      <c r="O338" s="102"/>
      <c r="P338" s="102"/>
      <c r="Q338" s="102"/>
      <c r="R338" s="102"/>
      <c r="S338" s="102"/>
      <c r="T338" s="102"/>
      <c r="U338" s="102"/>
      <c r="V338" s="102"/>
      <c r="W338" s="102"/>
      <c r="X338" s="102"/>
      <c r="Y338" s="102"/>
      <c r="Z338" s="102"/>
    </row>
    <row r="339" ht="15.75" customHeight="1">
      <c r="A339" s="102"/>
      <c r="B339" s="103"/>
      <c r="C339" s="103"/>
      <c r="D339" s="104"/>
      <c r="E339" s="103"/>
      <c r="F339" s="102"/>
      <c r="G339" s="102"/>
      <c r="H339" s="102"/>
      <c r="I339" s="102"/>
      <c r="J339" s="102"/>
      <c r="K339" s="102"/>
      <c r="L339" s="102"/>
      <c r="M339" s="102"/>
      <c r="N339" s="102"/>
      <c r="O339" s="102"/>
      <c r="P339" s="102"/>
      <c r="Q339" s="102"/>
      <c r="R339" s="102"/>
      <c r="S339" s="102"/>
      <c r="T339" s="102"/>
      <c r="U339" s="102"/>
      <c r="V339" s="102"/>
      <c r="W339" s="102"/>
      <c r="X339" s="102"/>
      <c r="Y339" s="102"/>
      <c r="Z339" s="102"/>
    </row>
    <row r="340" ht="15.75" customHeight="1">
      <c r="A340" s="102"/>
      <c r="B340" s="103"/>
      <c r="C340" s="103"/>
      <c r="D340" s="104"/>
      <c r="E340" s="103"/>
      <c r="F340" s="102"/>
      <c r="G340" s="102"/>
      <c r="H340" s="102"/>
      <c r="I340" s="102"/>
      <c r="J340" s="102"/>
      <c r="K340" s="102"/>
      <c r="L340" s="102"/>
      <c r="M340" s="102"/>
      <c r="N340" s="102"/>
      <c r="O340" s="102"/>
      <c r="P340" s="102"/>
      <c r="Q340" s="102"/>
      <c r="R340" s="102"/>
      <c r="S340" s="102"/>
      <c r="T340" s="102"/>
      <c r="U340" s="102"/>
      <c r="V340" s="102"/>
      <c r="W340" s="102"/>
      <c r="X340" s="102"/>
      <c r="Y340" s="102"/>
      <c r="Z340" s="102"/>
    </row>
    <row r="341" ht="15.75" customHeight="1">
      <c r="A341" s="102"/>
      <c r="B341" s="103"/>
      <c r="C341" s="103"/>
      <c r="D341" s="104"/>
      <c r="E341" s="103"/>
      <c r="F341" s="102"/>
      <c r="G341" s="102"/>
      <c r="H341" s="102"/>
      <c r="I341" s="102"/>
      <c r="J341" s="102"/>
      <c r="K341" s="102"/>
      <c r="L341" s="102"/>
      <c r="M341" s="102"/>
      <c r="N341" s="102"/>
      <c r="O341" s="102"/>
      <c r="P341" s="102"/>
      <c r="Q341" s="102"/>
      <c r="R341" s="102"/>
      <c r="S341" s="102"/>
      <c r="T341" s="102"/>
      <c r="U341" s="102"/>
      <c r="V341" s="102"/>
      <c r="W341" s="102"/>
      <c r="X341" s="102"/>
      <c r="Y341" s="102"/>
      <c r="Z341" s="102"/>
    </row>
    <row r="342" ht="15.75" customHeight="1">
      <c r="A342" s="102"/>
      <c r="B342" s="103"/>
      <c r="C342" s="103"/>
      <c r="D342" s="104"/>
      <c r="E342" s="103"/>
      <c r="F342" s="102"/>
      <c r="G342" s="102"/>
      <c r="H342" s="102"/>
      <c r="I342" s="102"/>
      <c r="J342" s="102"/>
      <c r="K342" s="102"/>
      <c r="L342" s="102"/>
      <c r="M342" s="102"/>
      <c r="N342" s="102"/>
      <c r="O342" s="102"/>
      <c r="P342" s="102"/>
      <c r="Q342" s="102"/>
      <c r="R342" s="102"/>
      <c r="S342" s="102"/>
      <c r="T342" s="102"/>
      <c r="U342" s="102"/>
      <c r="V342" s="102"/>
      <c r="W342" s="102"/>
      <c r="X342" s="102"/>
      <c r="Y342" s="102"/>
      <c r="Z342" s="102"/>
    </row>
    <row r="343" ht="15.75" customHeight="1">
      <c r="A343" s="102"/>
      <c r="B343" s="103"/>
      <c r="C343" s="103"/>
      <c r="D343" s="104"/>
      <c r="E343" s="103"/>
      <c r="F343" s="102"/>
      <c r="G343" s="102"/>
      <c r="H343" s="102"/>
      <c r="I343" s="102"/>
      <c r="J343" s="102"/>
      <c r="K343" s="102"/>
      <c r="L343" s="102"/>
      <c r="M343" s="102"/>
      <c r="N343" s="102"/>
      <c r="O343" s="102"/>
      <c r="P343" s="102"/>
      <c r="Q343" s="102"/>
      <c r="R343" s="102"/>
      <c r="S343" s="102"/>
      <c r="T343" s="102"/>
      <c r="U343" s="102"/>
      <c r="V343" s="102"/>
      <c r="W343" s="102"/>
      <c r="X343" s="102"/>
      <c r="Y343" s="102"/>
      <c r="Z343" s="102"/>
    </row>
    <row r="344" ht="15.75" customHeight="1">
      <c r="A344" s="102"/>
      <c r="B344" s="103"/>
      <c r="C344" s="103"/>
      <c r="D344" s="104"/>
      <c r="E344" s="103"/>
      <c r="F344" s="102"/>
      <c r="G344" s="102"/>
      <c r="H344" s="102"/>
      <c r="I344" s="102"/>
      <c r="J344" s="102"/>
      <c r="K344" s="102"/>
      <c r="L344" s="102"/>
      <c r="M344" s="102"/>
      <c r="N344" s="102"/>
      <c r="O344" s="102"/>
      <c r="P344" s="102"/>
      <c r="Q344" s="102"/>
      <c r="R344" s="102"/>
      <c r="S344" s="102"/>
      <c r="T344" s="102"/>
      <c r="U344" s="102"/>
      <c r="V344" s="102"/>
      <c r="W344" s="102"/>
      <c r="X344" s="102"/>
      <c r="Y344" s="102"/>
      <c r="Z344" s="102"/>
    </row>
    <row r="345" ht="15.75" customHeight="1">
      <c r="A345" s="102"/>
      <c r="B345" s="103"/>
      <c r="C345" s="103"/>
      <c r="D345" s="104"/>
      <c r="E345" s="103"/>
      <c r="F345" s="102"/>
      <c r="G345" s="102"/>
      <c r="H345" s="102"/>
      <c r="I345" s="102"/>
      <c r="J345" s="102"/>
      <c r="K345" s="102"/>
      <c r="L345" s="102"/>
      <c r="M345" s="102"/>
      <c r="N345" s="102"/>
      <c r="O345" s="102"/>
      <c r="P345" s="102"/>
      <c r="Q345" s="102"/>
      <c r="R345" s="102"/>
      <c r="S345" s="102"/>
      <c r="T345" s="102"/>
      <c r="U345" s="102"/>
      <c r="V345" s="102"/>
      <c r="W345" s="102"/>
      <c r="X345" s="102"/>
      <c r="Y345" s="102"/>
      <c r="Z345" s="102"/>
    </row>
    <row r="346" ht="15.75" customHeight="1">
      <c r="A346" s="102"/>
      <c r="B346" s="103"/>
      <c r="C346" s="103"/>
      <c r="D346" s="104"/>
      <c r="E346" s="103"/>
      <c r="F346" s="102"/>
      <c r="G346" s="102"/>
      <c r="H346" s="102"/>
      <c r="I346" s="102"/>
      <c r="J346" s="102"/>
      <c r="K346" s="102"/>
      <c r="L346" s="102"/>
      <c r="M346" s="102"/>
      <c r="N346" s="102"/>
      <c r="O346" s="102"/>
      <c r="P346" s="102"/>
      <c r="Q346" s="102"/>
      <c r="R346" s="102"/>
      <c r="S346" s="102"/>
      <c r="T346" s="102"/>
      <c r="U346" s="102"/>
      <c r="V346" s="102"/>
      <c r="W346" s="102"/>
      <c r="X346" s="102"/>
      <c r="Y346" s="102"/>
      <c r="Z346" s="102"/>
    </row>
    <row r="347" ht="15.75" customHeight="1">
      <c r="A347" s="102"/>
      <c r="B347" s="103"/>
      <c r="C347" s="103"/>
      <c r="D347" s="104"/>
      <c r="E347" s="103"/>
      <c r="F347" s="102"/>
      <c r="G347" s="102"/>
      <c r="H347" s="102"/>
      <c r="I347" s="102"/>
      <c r="J347" s="102"/>
      <c r="K347" s="102"/>
      <c r="L347" s="102"/>
      <c r="M347" s="102"/>
      <c r="N347" s="102"/>
      <c r="O347" s="102"/>
      <c r="P347" s="102"/>
      <c r="Q347" s="102"/>
      <c r="R347" s="102"/>
      <c r="S347" s="102"/>
      <c r="T347" s="102"/>
      <c r="U347" s="102"/>
      <c r="V347" s="102"/>
      <c r="W347" s="102"/>
      <c r="X347" s="102"/>
      <c r="Y347" s="102"/>
      <c r="Z347" s="102"/>
    </row>
    <row r="348" ht="15.75" customHeight="1">
      <c r="A348" s="102"/>
      <c r="B348" s="103"/>
      <c r="C348" s="103"/>
      <c r="D348" s="104"/>
      <c r="E348" s="103"/>
      <c r="F348" s="102"/>
      <c r="G348" s="102"/>
      <c r="H348" s="102"/>
      <c r="I348" s="102"/>
      <c r="J348" s="102"/>
      <c r="K348" s="102"/>
      <c r="L348" s="102"/>
      <c r="M348" s="102"/>
      <c r="N348" s="102"/>
      <c r="O348" s="102"/>
      <c r="P348" s="102"/>
      <c r="Q348" s="102"/>
      <c r="R348" s="102"/>
      <c r="S348" s="102"/>
      <c r="T348" s="102"/>
      <c r="U348" s="102"/>
      <c r="V348" s="102"/>
      <c r="W348" s="102"/>
      <c r="X348" s="102"/>
      <c r="Y348" s="102"/>
      <c r="Z348" s="102"/>
    </row>
    <row r="349" ht="15.75" customHeight="1">
      <c r="A349" s="102"/>
      <c r="B349" s="103"/>
      <c r="C349" s="103"/>
      <c r="D349" s="104"/>
      <c r="E349" s="103"/>
      <c r="F349" s="102"/>
      <c r="G349" s="102"/>
      <c r="H349" s="102"/>
      <c r="I349" s="102"/>
      <c r="J349" s="102"/>
      <c r="K349" s="102"/>
      <c r="L349" s="102"/>
      <c r="M349" s="102"/>
      <c r="N349" s="102"/>
      <c r="O349" s="102"/>
      <c r="P349" s="102"/>
      <c r="Q349" s="102"/>
      <c r="R349" s="102"/>
      <c r="S349" s="102"/>
      <c r="T349" s="102"/>
      <c r="U349" s="102"/>
      <c r="V349" s="102"/>
      <c r="W349" s="102"/>
      <c r="X349" s="102"/>
      <c r="Y349" s="102"/>
      <c r="Z349" s="102"/>
    </row>
    <row r="350" ht="15.75" customHeight="1">
      <c r="A350" s="102"/>
      <c r="B350" s="103"/>
      <c r="C350" s="103"/>
      <c r="D350" s="104"/>
      <c r="E350" s="103"/>
      <c r="F350" s="102"/>
      <c r="G350" s="102"/>
      <c r="H350" s="102"/>
      <c r="I350" s="102"/>
      <c r="J350" s="102"/>
      <c r="K350" s="102"/>
      <c r="L350" s="102"/>
      <c r="M350" s="102"/>
      <c r="N350" s="102"/>
      <c r="O350" s="102"/>
      <c r="P350" s="102"/>
      <c r="Q350" s="102"/>
      <c r="R350" s="102"/>
      <c r="S350" s="102"/>
      <c r="T350" s="102"/>
      <c r="U350" s="102"/>
      <c r="V350" s="102"/>
      <c r="W350" s="102"/>
      <c r="X350" s="102"/>
      <c r="Y350" s="102"/>
      <c r="Z350" s="102"/>
    </row>
    <row r="351" ht="15.75" customHeight="1">
      <c r="A351" s="102"/>
      <c r="B351" s="103"/>
      <c r="C351" s="103"/>
      <c r="D351" s="104"/>
      <c r="E351" s="103"/>
      <c r="F351" s="102"/>
      <c r="G351" s="102"/>
      <c r="H351" s="102"/>
      <c r="I351" s="102"/>
      <c r="J351" s="102"/>
      <c r="K351" s="102"/>
      <c r="L351" s="102"/>
      <c r="M351" s="102"/>
      <c r="N351" s="102"/>
      <c r="O351" s="102"/>
      <c r="P351" s="102"/>
      <c r="Q351" s="102"/>
      <c r="R351" s="102"/>
      <c r="S351" s="102"/>
      <c r="T351" s="102"/>
      <c r="U351" s="102"/>
      <c r="V351" s="102"/>
      <c r="W351" s="102"/>
      <c r="X351" s="102"/>
      <c r="Y351" s="102"/>
      <c r="Z351" s="102"/>
    </row>
    <row r="352" ht="15.75" customHeight="1">
      <c r="A352" s="102"/>
      <c r="B352" s="103"/>
      <c r="C352" s="103"/>
      <c r="D352" s="104"/>
      <c r="E352" s="103"/>
      <c r="F352" s="102"/>
      <c r="G352" s="102"/>
      <c r="H352" s="102"/>
      <c r="I352" s="102"/>
      <c r="J352" s="102"/>
      <c r="K352" s="102"/>
      <c r="L352" s="102"/>
      <c r="M352" s="102"/>
      <c r="N352" s="102"/>
      <c r="O352" s="102"/>
      <c r="P352" s="102"/>
      <c r="Q352" s="102"/>
      <c r="R352" s="102"/>
      <c r="S352" s="102"/>
      <c r="T352" s="102"/>
      <c r="U352" s="102"/>
      <c r="V352" s="102"/>
      <c r="W352" s="102"/>
      <c r="X352" s="102"/>
      <c r="Y352" s="102"/>
      <c r="Z352" s="102"/>
    </row>
    <row r="353" ht="15.75" customHeight="1">
      <c r="A353" s="102"/>
      <c r="B353" s="103"/>
      <c r="C353" s="103"/>
      <c r="D353" s="104"/>
      <c r="E353" s="103"/>
      <c r="F353" s="102"/>
      <c r="G353" s="102"/>
      <c r="H353" s="102"/>
      <c r="I353" s="102"/>
      <c r="J353" s="102"/>
      <c r="K353" s="102"/>
      <c r="L353" s="102"/>
      <c r="M353" s="102"/>
      <c r="N353" s="102"/>
      <c r="O353" s="102"/>
      <c r="P353" s="102"/>
      <c r="Q353" s="102"/>
      <c r="R353" s="102"/>
      <c r="S353" s="102"/>
      <c r="T353" s="102"/>
      <c r="U353" s="102"/>
      <c r="V353" s="102"/>
      <c r="W353" s="102"/>
      <c r="X353" s="102"/>
      <c r="Y353" s="102"/>
      <c r="Z353" s="102"/>
    </row>
    <row r="354" ht="15.75" customHeight="1">
      <c r="A354" s="102"/>
      <c r="B354" s="103"/>
      <c r="C354" s="103"/>
      <c r="D354" s="104"/>
      <c r="E354" s="103"/>
      <c r="F354" s="102"/>
      <c r="G354" s="102"/>
      <c r="H354" s="102"/>
      <c r="I354" s="102"/>
      <c r="J354" s="102"/>
      <c r="K354" s="102"/>
      <c r="L354" s="102"/>
      <c r="M354" s="102"/>
      <c r="N354" s="102"/>
      <c r="O354" s="102"/>
      <c r="P354" s="102"/>
      <c r="Q354" s="102"/>
      <c r="R354" s="102"/>
      <c r="S354" s="102"/>
      <c r="T354" s="102"/>
      <c r="U354" s="102"/>
      <c r="V354" s="102"/>
      <c r="W354" s="102"/>
      <c r="X354" s="102"/>
      <c r="Y354" s="102"/>
      <c r="Z354" s="102"/>
    </row>
    <row r="355" ht="15.75" customHeight="1">
      <c r="A355" s="102"/>
      <c r="B355" s="103"/>
      <c r="C355" s="103"/>
      <c r="D355" s="104"/>
      <c r="E355" s="103"/>
      <c r="F355" s="102"/>
      <c r="G355" s="102"/>
      <c r="H355" s="102"/>
      <c r="I355" s="102"/>
      <c r="J355" s="102"/>
      <c r="K355" s="102"/>
      <c r="L355" s="102"/>
      <c r="M355" s="102"/>
      <c r="N355" s="102"/>
      <c r="O355" s="102"/>
      <c r="P355" s="102"/>
      <c r="Q355" s="102"/>
      <c r="R355" s="102"/>
      <c r="S355" s="102"/>
      <c r="T355" s="102"/>
      <c r="U355" s="102"/>
      <c r="V355" s="102"/>
      <c r="W355" s="102"/>
      <c r="X355" s="102"/>
      <c r="Y355" s="102"/>
      <c r="Z355" s="102"/>
    </row>
    <row r="356" ht="15.75" customHeight="1">
      <c r="A356" s="102"/>
      <c r="B356" s="103"/>
      <c r="C356" s="103"/>
      <c r="D356" s="104"/>
      <c r="E356" s="103"/>
      <c r="F356" s="102"/>
      <c r="G356" s="102"/>
      <c r="H356" s="102"/>
      <c r="I356" s="102"/>
      <c r="J356" s="102"/>
      <c r="K356" s="102"/>
      <c r="L356" s="102"/>
      <c r="M356" s="102"/>
      <c r="N356" s="102"/>
      <c r="O356" s="102"/>
      <c r="P356" s="102"/>
      <c r="Q356" s="102"/>
      <c r="R356" s="102"/>
      <c r="S356" s="102"/>
      <c r="T356" s="102"/>
      <c r="U356" s="102"/>
      <c r="V356" s="102"/>
      <c r="W356" s="102"/>
      <c r="X356" s="102"/>
      <c r="Y356" s="102"/>
      <c r="Z356" s="102"/>
    </row>
    <row r="357" ht="15.75" customHeight="1">
      <c r="A357" s="102"/>
      <c r="B357" s="103"/>
      <c r="C357" s="103"/>
      <c r="D357" s="104"/>
      <c r="E357" s="103"/>
      <c r="F357" s="102"/>
      <c r="G357" s="102"/>
      <c r="H357" s="102"/>
      <c r="I357" s="102"/>
      <c r="J357" s="102"/>
      <c r="K357" s="102"/>
      <c r="L357" s="102"/>
      <c r="M357" s="102"/>
      <c r="N357" s="102"/>
      <c r="O357" s="102"/>
      <c r="P357" s="102"/>
      <c r="Q357" s="102"/>
      <c r="R357" s="102"/>
      <c r="S357" s="102"/>
      <c r="T357" s="102"/>
      <c r="U357" s="102"/>
      <c r="V357" s="102"/>
      <c r="W357" s="102"/>
      <c r="X357" s="102"/>
      <c r="Y357" s="102"/>
      <c r="Z357" s="102"/>
    </row>
    <row r="358" ht="15.75" customHeight="1">
      <c r="A358" s="102"/>
      <c r="B358" s="103"/>
      <c r="C358" s="103"/>
      <c r="D358" s="104"/>
      <c r="E358" s="103"/>
      <c r="F358" s="102"/>
      <c r="G358" s="102"/>
      <c r="H358" s="102"/>
      <c r="I358" s="102"/>
      <c r="J358" s="102"/>
      <c r="K358" s="102"/>
      <c r="L358" s="102"/>
      <c r="M358" s="102"/>
      <c r="N358" s="102"/>
      <c r="O358" s="102"/>
      <c r="P358" s="102"/>
      <c r="Q358" s="102"/>
      <c r="R358" s="102"/>
      <c r="S358" s="102"/>
      <c r="T358" s="102"/>
      <c r="U358" s="102"/>
      <c r="V358" s="102"/>
      <c r="W358" s="102"/>
      <c r="X358" s="102"/>
      <c r="Y358" s="102"/>
      <c r="Z358" s="102"/>
    </row>
    <row r="359" ht="15.75" customHeight="1">
      <c r="A359" s="102"/>
      <c r="B359" s="103"/>
      <c r="C359" s="103"/>
      <c r="D359" s="104"/>
      <c r="E359" s="103"/>
      <c r="F359" s="102"/>
      <c r="G359" s="102"/>
      <c r="H359" s="102"/>
      <c r="I359" s="102"/>
      <c r="J359" s="102"/>
      <c r="K359" s="102"/>
      <c r="L359" s="102"/>
      <c r="M359" s="102"/>
      <c r="N359" s="102"/>
      <c r="O359" s="102"/>
      <c r="P359" s="102"/>
      <c r="Q359" s="102"/>
      <c r="R359" s="102"/>
      <c r="S359" s="102"/>
      <c r="T359" s="102"/>
      <c r="U359" s="102"/>
      <c r="V359" s="102"/>
      <c r="W359" s="102"/>
      <c r="X359" s="102"/>
      <c r="Y359" s="102"/>
      <c r="Z359" s="102"/>
    </row>
    <row r="360" ht="15.75" customHeight="1">
      <c r="A360" s="102"/>
      <c r="B360" s="103"/>
      <c r="C360" s="103"/>
      <c r="D360" s="104"/>
      <c r="E360" s="103"/>
      <c r="F360" s="102"/>
      <c r="G360" s="102"/>
      <c r="H360" s="102"/>
      <c r="I360" s="102"/>
      <c r="J360" s="102"/>
      <c r="K360" s="102"/>
      <c r="L360" s="102"/>
      <c r="M360" s="102"/>
      <c r="N360" s="102"/>
      <c r="O360" s="102"/>
      <c r="P360" s="102"/>
      <c r="Q360" s="102"/>
      <c r="R360" s="102"/>
      <c r="S360" s="102"/>
      <c r="T360" s="102"/>
      <c r="U360" s="102"/>
      <c r="V360" s="102"/>
      <c r="W360" s="102"/>
      <c r="X360" s="102"/>
      <c r="Y360" s="102"/>
      <c r="Z360" s="102"/>
    </row>
    <row r="361" ht="15.75" customHeight="1">
      <c r="A361" s="102"/>
      <c r="B361" s="103"/>
      <c r="C361" s="103"/>
      <c r="D361" s="104"/>
      <c r="E361" s="103"/>
      <c r="F361" s="102"/>
      <c r="G361" s="102"/>
      <c r="H361" s="102"/>
      <c r="I361" s="102"/>
      <c r="J361" s="102"/>
      <c r="K361" s="102"/>
      <c r="L361" s="102"/>
      <c r="M361" s="102"/>
      <c r="N361" s="102"/>
      <c r="O361" s="102"/>
      <c r="P361" s="102"/>
      <c r="Q361" s="102"/>
      <c r="R361" s="102"/>
      <c r="S361" s="102"/>
      <c r="T361" s="102"/>
      <c r="U361" s="102"/>
      <c r="V361" s="102"/>
      <c r="W361" s="102"/>
      <c r="X361" s="102"/>
      <c r="Y361" s="102"/>
      <c r="Z361" s="102"/>
    </row>
    <row r="362" ht="15.75" customHeight="1">
      <c r="A362" s="102"/>
      <c r="B362" s="103"/>
      <c r="C362" s="103"/>
      <c r="D362" s="104"/>
      <c r="E362" s="103"/>
      <c r="F362" s="102"/>
      <c r="G362" s="102"/>
      <c r="H362" s="102"/>
      <c r="I362" s="102"/>
      <c r="J362" s="102"/>
      <c r="K362" s="102"/>
      <c r="L362" s="102"/>
      <c r="M362" s="102"/>
      <c r="N362" s="102"/>
      <c r="O362" s="102"/>
      <c r="P362" s="102"/>
      <c r="Q362" s="102"/>
      <c r="R362" s="102"/>
      <c r="S362" s="102"/>
      <c r="T362" s="102"/>
      <c r="U362" s="102"/>
      <c r="V362" s="102"/>
      <c r="W362" s="102"/>
      <c r="X362" s="102"/>
      <c r="Y362" s="102"/>
      <c r="Z362" s="102"/>
    </row>
    <row r="363" ht="15.75" customHeight="1">
      <c r="A363" s="102"/>
      <c r="B363" s="103"/>
      <c r="C363" s="103"/>
      <c r="D363" s="104"/>
      <c r="E363" s="103"/>
      <c r="F363" s="102"/>
      <c r="G363" s="102"/>
      <c r="H363" s="102"/>
      <c r="I363" s="102"/>
      <c r="J363" s="102"/>
      <c r="K363" s="102"/>
      <c r="L363" s="102"/>
      <c r="M363" s="102"/>
      <c r="N363" s="102"/>
      <c r="O363" s="102"/>
      <c r="P363" s="102"/>
      <c r="Q363" s="102"/>
      <c r="R363" s="102"/>
      <c r="S363" s="102"/>
      <c r="T363" s="102"/>
      <c r="U363" s="102"/>
      <c r="V363" s="102"/>
      <c r="W363" s="102"/>
      <c r="X363" s="102"/>
      <c r="Y363" s="102"/>
      <c r="Z363" s="102"/>
    </row>
    <row r="364" ht="15.75" customHeight="1">
      <c r="A364" s="102"/>
      <c r="B364" s="103"/>
      <c r="C364" s="103"/>
      <c r="D364" s="104"/>
      <c r="E364" s="103"/>
      <c r="F364" s="102"/>
      <c r="G364" s="102"/>
      <c r="H364" s="102"/>
      <c r="I364" s="102"/>
      <c r="J364" s="102"/>
      <c r="K364" s="102"/>
      <c r="L364" s="102"/>
      <c r="M364" s="102"/>
      <c r="N364" s="102"/>
      <c r="O364" s="102"/>
      <c r="P364" s="102"/>
      <c r="Q364" s="102"/>
      <c r="R364" s="102"/>
      <c r="S364" s="102"/>
      <c r="T364" s="102"/>
      <c r="U364" s="102"/>
      <c r="V364" s="102"/>
      <c r="W364" s="102"/>
      <c r="X364" s="102"/>
      <c r="Y364" s="102"/>
      <c r="Z364" s="102"/>
    </row>
    <row r="365" ht="15.75" customHeight="1">
      <c r="A365" s="102"/>
      <c r="B365" s="103"/>
      <c r="C365" s="103"/>
      <c r="D365" s="104"/>
      <c r="E365" s="103"/>
      <c r="F365" s="102"/>
      <c r="G365" s="102"/>
      <c r="H365" s="102"/>
      <c r="I365" s="102"/>
      <c r="J365" s="102"/>
      <c r="K365" s="102"/>
      <c r="L365" s="102"/>
      <c r="M365" s="102"/>
      <c r="N365" s="102"/>
      <c r="O365" s="102"/>
      <c r="P365" s="102"/>
      <c r="Q365" s="102"/>
      <c r="R365" s="102"/>
      <c r="S365" s="102"/>
      <c r="T365" s="102"/>
      <c r="U365" s="102"/>
      <c r="V365" s="102"/>
      <c r="W365" s="102"/>
      <c r="X365" s="102"/>
      <c r="Y365" s="102"/>
      <c r="Z365" s="102"/>
    </row>
    <row r="366" ht="15.75" customHeight="1">
      <c r="A366" s="102"/>
      <c r="B366" s="103"/>
      <c r="C366" s="103"/>
      <c r="D366" s="104"/>
      <c r="E366" s="103"/>
      <c r="F366" s="102"/>
      <c r="G366" s="102"/>
      <c r="H366" s="102"/>
      <c r="I366" s="102"/>
      <c r="J366" s="102"/>
      <c r="K366" s="102"/>
      <c r="L366" s="102"/>
      <c r="M366" s="102"/>
      <c r="N366" s="102"/>
      <c r="O366" s="102"/>
      <c r="P366" s="102"/>
      <c r="Q366" s="102"/>
      <c r="R366" s="102"/>
      <c r="S366" s="102"/>
      <c r="T366" s="102"/>
      <c r="U366" s="102"/>
      <c r="V366" s="102"/>
      <c r="W366" s="102"/>
      <c r="X366" s="102"/>
      <c r="Y366" s="102"/>
      <c r="Z366" s="102"/>
    </row>
    <row r="367" ht="15.75" customHeight="1">
      <c r="A367" s="102"/>
      <c r="B367" s="103"/>
      <c r="C367" s="103"/>
      <c r="D367" s="104"/>
      <c r="E367" s="103"/>
      <c r="F367" s="102"/>
      <c r="G367" s="102"/>
      <c r="H367" s="102"/>
      <c r="I367" s="102"/>
      <c r="J367" s="102"/>
      <c r="K367" s="102"/>
      <c r="L367" s="102"/>
      <c r="M367" s="102"/>
      <c r="N367" s="102"/>
      <c r="O367" s="102"/>
      <c r="P367" s="102"/>
      <c r="Q367" s="102"/>
      <c r="R367" s="102"/>
      <c r="S367" s="102"/>
      <c r="T367" s="102"/>
      <c r="U367" s="102"/>
      <c r="V367" s="102"/>
      <c r="W367" s="102"/>
      <c r="X367" s="102"/>
      <c r="Y367" s="102"/>
      <c r="Z367" s="102"/>
    </row>
    <row r="368" ht="15.75" customHeight="1">
      <c r="A368" s="102"/>
      <c r="B368" s="103"/>
      <c r="C368" s="103"/>
      <c r="D368" s="104"/>
      <c r="E368" s="103"/>
      <c r="F368" s="102"/>
      <c r="G368" s="102"/>
      <c r="H368" s="102"/>
      <c r="I368" s="102"/>
      <c r="J368" s="102"/>
      <c r="K368" s="102"/>
      <c r="L368" s="102"/>
      <c r="M368" s="102"/>
      <c r="N368" s="102"/>
      <c r="O368" s="102"/>
      <c r="P368" s="102"/>
      <c r="Q368" s="102"/>
      <c r="R368" s="102"/>
      <c r="S368" s="102"/>
      <c r="T368" s="102"/>
      <c r="U368" s="102"/>
      <c r="V368" s="102"/>
      <c r="W368" s="102"/>
      <c r="X368" s="102"/>
      <c r="Y368" s="102"/>
      <c r="Z368" s="102"/>
    </row>
    <row r="369" ht="15.75" customHeight="1">
      <c r="A369" s="102"/>
      <c r="B369" s="103"/>
      <c r="C369" s="103"/>
      <c r="D369" s="104"/>
      <c r="E369" s="103"/>
      <c r="F369" s="102"/>
      <c r="G369" s="102"/>
      <c r="H369" s="102"/>
      <c r="I369" s="102"/>
      <c r="J369" s="102"/>
      <c r="K369" s="102"/>
      <c r="L369" s="102"/>
      <c r="M369" s="102"/>
      <c r="N369" s="102"/>
      <c r="O369" s="102"/>
      <c r="P369" s="102"/>
      <c r="Q369" s="102"/>
      <c r="R369" s="102"/>
      <c r="S369" s="102"/>
      <c r="T369" s="102"/>
      <c r="U369" s="102"/>
      <c r="V369" s="102"/>
      <c r="W369" s="102"/>
      <c r="X369" s="102"/>
      <c r="Y369" s="102"/>
      <c r="Z369" s="102"/>
    </row>
    <row r="370" ht="15.75" customHeight="1">
      <c r="A370" s="102"/>
      <c r="B370" s="103"/>
      <c r="C370" s="103"/>
      <c r="D370" s="104"/>
      <c r="E370" s="103"/>
      <c r="F370" s="102"/>
      <c r="G370" s="102"/>
      <c r="H370" s="102"/>
      <c r="I370" s="102"/>
      <c r="J370" s="102"/>
      <c r="K370" s="102"/>
      <c r="L370" s="102"/>
      <c r="M370" s="102"/>
      <c r="N370" s="102"/>
      <c r="O370" s="102"/>
      <c r="P370" s="102"/>
      <c r="Q370" s="102"/>
      <c r="R370" s="102"/>
      <c r="S370" s="102"/>
      <c r="T370" s="102"/>
      <c r="U370" s="102"/>
      <c r="V370" s="102"/>
      <c r="W370" s="102"/>
      <c r="X370" s="102"/>
      <c r="Y370" s="102"/>
      <c r="Z370" s="102"/>
    </row>
    <row r="371" ht="15.75" customHeight="1">
      <c r="A371" s="102"/>
      <c r="B371" s="103"/>
      <c r="C371" s="103"/>
      <c r="D371" s="104"/>
      <c r="E371" s="103"/>
      <c r="F371" s="102"/>
      <c r="G371" s="102"/>
      <c r="H371" s="102"/>
      <c r="I371" s="102"/>
      <c r="J371" s="102"/>
      <c r="K371" s="102"/>
      <c r="L371" s="102"/>
      <c r="M371" s="102"/>
      <c r="N371" s="102"/>
      <c r="O371" s="102"/>
      <c r="P371" s="102"/>
      <c r="Q371" s="102"/>
      <c r="R371" s="102"/>
      <c r="S371" s="102"/>
      <c r="T371" s="102"/>
      <c r="U371" s="102"/>
      <c r="V371" s="102"/>
      <c r="W371" s="102"/>
      <c r="X371" s="102"/>
      <c r="Y371" s="102"/>
      <c r="Z371" s="102"/>
    </row>
    <row r="372" ht="15.75" customHeight="1">
      <c r="A372" s="102"/>
      <c r="B372" s="103"/>
      <c r="C372" s="103"/>
      <c r="D372" s="104"/>
      <c r="E372" s="103"/>
      <c r="F372" s="102"/>
      <c r="G372" s="102"/>
      <c r="H372" s="102"/>
      <c r="I372" s="102"/>
      <c r="J372" s="102"/>
      <c r="K372" s="102"/>
      <c r="L372" s="102"/>
      <c r="M372" s="102"/>
      <c r="N372" s="102"/>
      <c r="O372" s="102"/>
      <c r="P372" s="102"/>
      <c r="Q372" s="102"/>
      <c r="R372" s="102"/>
      <c r="S372" s="102"/>
      <c r="T372" s="102"/>
      <c r="U372" s="102"/>
      <c r="V372" s="102"/>
      <c r="W372" s="102"/>
      <c r="X372" s="102"/>
      <c r="Y372" s="102"/>
      <c r="Z372" s="102"/>
    </row>
    <row r="373" ht="15.75" customHeight="1">
      <c r="A373" s="102"/>
      <c r="B373" s="103"/>
      <c r="C373" s="103"/>
      <c r="D373" s="104"/>
      <c r="E373" s="103"/>
      <c r="F373" s="102"/>
      <c r="G373" s="102"/>
      <c r="H373" s="102"/>
      <c r="I373" s="102"/>
      <c r="J373" s="102"/>
      <c r="K373" s="102"/>
      <c r="L373" s="102"/>
      <c r="M373" s="102"/>
      <c r="N373" s="102"/>
      <c r="O373" s="102"/>
      <c r="P373" s="102"/>
      <c r="Q373" s="102"/>
      <c r="R373" s="102"/>
      <c r="S373" s="102"/>
      <c r="T373" s="102"/>
      <c r="U373" s="102"/>
      <c r="V373" s="102"/>
      <c r="W373" s="102"/>
      <c r="X373" s="102"/>
      <c r="Y373" s="102"/>
      <c r="Z373" s="102"/>
    </row>
    <row r="374" ht="15.75" customHeight="1">
      <c r="A374" s="102"/>
      <c r="B374" s="103"/>
      <c r="C374" s="103"/>
      <c r="D374" s="104"/>
      <c r="E374" s="103"/>
      <c r="F374" s="102"/>
      <c r="G374" s="102"/>
      <c r="H374" s="102"/>
      <c r="I374" s="102"/>
      <c r="J374" s="102"/>
      <c r="K374" s="102"/>
      <c r="L374" s="102"/>
      <c r="M374" s="102"/>
      <c r="N374" s="102"/>
      <c r="O374" s="102"/>
      <c r="P374" s="102"/>
      <c r="Q374" s="102"/>
      <c r="R374" s="102"/>
      <c r="S374" s="102"/>
      <c r="T374" s="102"/>
      <c r="U374" s="102"/>
      <c r="V374" s="102"/>
      <c r="W374" s="102"/>
      <c r="X374" s="102"/>
      <c r="Y374" s="102"/>
      <c r="Z374" s="102"/>
    </row>
    <row r="375" ht="15.75" customHeight="1">
      <c r="A375" s="102"/>
      <c r="B375" s="103"/>
      <c r="C375" s="103"/>
      <c r="D375" s="104"/>
      <c r="E375" s="103"/>
      <c r="F375" s="102"/>
      <c r="G375" s="102"/>
      <c r="H375" s="102"/>
      <c r="I375" s="102"/>
      <c r="J375" s="102"/>
      <c r="K375" s="102"/>
      <c r="L375" s="102"/>
      <c r="M375" s="102"/>
      <c r="N375" s="102"/>
      <c r="O375" s="102"/>
      <c r="P375" s="102"/>
      <c r="Q375" s="102"/>
      <c r="R375" s="102"/>
      <c r="S375" s="102"/>
      <c r="T375" s="102"/>
      <c r="U375" s="102"/>
      <c r="V375" s="102"/>
      <c r="W375" s="102"/>
      <c r="X375" s="102"/>
      <c r="Y375" s="102"/>
      <c r="Z375" s="102"/>
    </row>
    <row r="376" ht="15.75" customHeight="1">
      <c r="A376" s="102"/>
      <c r="B376" s="103"/>
      <c r="C376" s="103"/>
      <c r="D376" s="104"/>
      <c r="E376" s="103"/>
      <c r="F376" s="102"/>
      <c r="G376" s="102"/>
      <c r="H376" s="102"/>
      <c r="I376" s="102"/>
      <c r="J376" s="102"/>
      <c r="K376" s="102"/>
      <c r="L376" s="102"/>
      <c r="M376" s="102"/>
      <c r="N376" s="102"/>
      <c r="O376" s="102"/>
      <c r="P376" s="102"/>
      <c r="Q376" s="102"/>
      <c r="R376" s="102"/>
      <c r="S376" s="102"/>
      <c r="T376" s="102"/>
      <c r="U376" s="102"/>
      <c r="V376" s="102"/>
      <c r="W376" s="102"/>
      <c r="X376" s="102"/>
      <c r="Y376" s="102"/>
      <c r="Z376" s="102"/>
    </row>
    <row r="377" ht="15.75" customHeight="1">
      <c r="A377" s="102"/>
      <c r="B377" s="103"/>
      <c r="C377" s="103"/>
      <c r="D377" s="104"/>
      <c r="E377" s="103"/>
      <c r="F377" s="102"/>
      <c r="G377" s="102"/>
      <c r="H377" s="102"/>
      <c r="I377" s="102"/>
      <c r="J377" s="102"/>
      <c r="K377" s="102"/>
      <c r="L377" s="102"/>
      <c r="M377" s="102"/>
      <c r="N377" s="102"/>
      <c r="O377" s="102"/>
      <c r="P377" s="102"/>
      <c r="Q377" s="102"/>
      <c r="R377" s="102"/>
      <c r="S377" s="102"/>
      <c r="T377" s="102"/>
      <c r="U377" s="102"/>
      <c r="V377" s="102"/>
      <c r="W377" s="102"/>
      <c r="X377" s="102"/>
      <c r="Y377" s="102"/>
      <c r="Z377" s="102"/>
    </row>
    <row r="378" ht="15.75" customHeight="1">
      <c r="A378" s="102"/>
      <c r="B378" s="103"/>
      <c r="C378" s="103"/>
      <c r="D378" s="104"/>
      <c r="E378" s="103"/>
      <c r="F378" s="102"/>
      <c r="G378" s="102"/>
      <c r="H378" s="102"/>
      <c r="I378" s="102"/>
      <c r="J378" s="102"/>
      <c r="K378" s="102"/>
      <c r="L378" s="102"/>
      <c r="M378" s="102"/>
      <c r="N378" s="102"/>
      <c r="O378" s="102"/>
      <c r="P378" s="102"/>
      <c r="Q378" s="102"/>
      <c r="R378" s="102"/>
      <c r="S378" s="102"/>
      <c r="T378" s="102"/>
      <c r="U378" s="102"/>
      <c r="V378" s="102"/>
      <c r="W378" s="102"/>
      <c r="X378" s="102"/>
      <c r="Y378" s="102"/>
      <c r="Z378" s="102"/>
    </row>
    <row r="379" ht="15.75" customHeight="1">
      <c r="A379" s="102"/>
      <c r="B379" s="103"/>
      <c r="C379" s="103"/>
      <c r="D379" s="104"/>
      <c r="E379" s="103"/>
      <c r="F379" s="102"/>
      <c r="G379" s="102"/>
      <c r="H379" s="102"/>
      <c r="I379" s="102"/>
      <c r="J379" s="102"/>
      <c r="K379" s="102"/>
      <c r="L379" s="102"/>
      <c r="M379" s="102"/>
      <c r="N379" s="102"/>
      <c r="O379" s="102"/>
      <c r="P379" s="102"/>
      <c r="Q379" s="102"/>
      <c r="R379" s="102"/>
      <c r="S379" s="102"/>
      <c r="T379" s="102"/>
      <c r="U379" s="102"/>
      <c r="V379" s="102"/>
      <c r="W379" s="102"/>
      <c r="X379" s="102"/>
      <c r="Y379" s="102"/>
      <c r="Z379" s="102"/>
    </row>
    <row r="380" ht="15.75" customHeight="1">
      <c r="A380" s="102"/>
      <c r="B380" s="103"/>
      <c r="C380" s="103"/>
      <c r="D380" s="104"/>
      <c r="E380" s="103"/>
      <c r="F380" s="102"/>
      <c r="G380" s="102"/>
      <c r="H380" s="102"/>
      <c r="I380" s="102"/>
      <c r="J380" s="102"/>
      <c r="K380" s="102"/>
      <c r="L380" s="102"/>
      <c r="M380" s="102"/>
      <c r="N380" s="102"/>
      <c r="O380" s="102"/>
      <c r="P380" s="102"/>
      <c r="Q380" s="102"/>
      <c r="R380" s="102"/>
      <c r="S380" s="102"/>
      <c r="T380" s="102"/>
      <c r="U380" s="102"/>
      <c r="V380" s="102"/>
      <c r="W380" s="102"/>
      <c r="X380" s="102"/>
      <c r="Y380" s="102"/>
      <c r="Z380" s="102"/>
    </row>
    <row r="381" ht="15.75" customHeight="1">
      <c r="A381" s="102"/>
      <c r="B381" s="103"/>
      <c r="C381" s="103"/>
      <c r="D381" s="104"/>
      <c r="E381" s="103"/>
      <c r="F381" s="102"/>
      <c r="G381" s="102"/>
      <c r="H381" s="102"/>
      <c r="I381" s="102"/>
      <c r="J381" s="102"/>
      <c r="K381" s="102"/>
      <c r="L381" s="102"/>
      <c r="M381" s="102"/>
      <c r="N381" s="102"/>
      <c r="O381" s="102"/>
      <c r="P381" s="102"/>
      <c r="Q381" s="102"/>
      <c r="R381" s="102"/>
      <c r="S381" s="102"/>
      <c r="T381" s="102"/>
      <c r="U381" s="102"/>
      <c r="V381" s="102"/>
      <c r="W381" s="102"/>
      <c r="X381" s="102"/>
      <c r="Y381" s="102"/>
      <c r="Z381" s="102"/>
    </row>
    <row r="382" ht="15.75" customHeight="1">
      <c r="A382" s="102"/>
      <c r="B382" s="103"/>
      <c r="C382" s="103"/>
      <c r="D382" s="104"/>
      <c r="E382" s="103"/>
      <c r="F382" s="102"/>
      <c r="G382" s="102"/>
      <c r="H382" s="102"/>
      <c r="I382" s="102"/>
      <c r="J382" s="102"/>
      <c r="K382" s="102"/>
      <c r="L382" s="102"/>
      <c r="M382" s="102"/>
      <c r="N382" s="102"/>
      <c r="O382" s="102"/>
      <c r="P382" s="102"/>
      <c r="Q382" s="102"/>
      <c r="R382" s="102"/>
      <c r="S382" s="102"/>
      <c r="T382" s="102"/>
      <c r="U382" s="102"/>
      <c r="V382" s="102"/>
      <c r="W382" s="102"/>
      <c r="X382" s="102"/>
      <c r="Y382" s="102"/>
      <c r="Z382" s="102"/>
    </row>
    <row r="383" ht="15.75" customHeight="1">
      <c r="A383" s="102"/>
      <c r="B383" s="103"/>
      <c r="C383" s="103"/>
      <c r="D383" s="104"/>
      <c r="E383" s="103"/>
      <c r="F383" s="102"/>
      <c r="G383" s="102"/>
      <c r="H383" s="102"/>
      <c r="I383" s="102"/>
      <c r="J383" s="102"/>
      <c r="K383" s="102"/>
      <c r="L383" s="102"/>
      <c r="M383" s="102"/>
      <c r="N383" s="102"/>
      <c r="O383" s="102"/>
      <c r="P383" s="102"/>
      <c r="Q383" s="102"/>
      <c r="R383" s="102"/>
      <c r="S383" s="102"/>
      <c r="T383" s="102"/>
      <c r="U383" s="102"/>
      <c r="V383" s="102"/>
      <c r="W383" s="102"/>
      <c r="X383" s="102"/>
      <c r="Y383" s="102"/>
      <c r="Z383" s="102"/>
    </row>
    <row r="384" ht="15.75" customHeight="1">
      <c r="A384" s="102"/>
      <c r="B384" s="103"/>
      <c r="C384" s="103"/>
      <c r="D384" s="104"/>
      <c r="E384" s="103"/>
      <c r="F384" s="102"/>
      <c r="G384" s="102"/>
      <c r="H384" s="102"/>
      <c r="I384" s="102"/>
      <c r="J384" s="102"/>
      <c r="K384" s="102"/>
      <c r="L384" s="102"/>
      <c r="M384" s="102"/>
      <c r="N384" s="102"/>
      <c r="O384" s="102"/>
      <c r="P384" s="102"/>
      <c r="Q384" s="102"/>
      <c r="R384" s="102"/>
      <c r="S384" s="102"/>
      <c r="T384" s="102"/>
      <c r="U384" s="102"/>
      <c r="V384" s="102"/>
      <c r="W384" s="102"/>
      <c r="X384" s="102"/>
      <c r="Y384" s="102"/>
      <c r="Z384" s="102"/>
    </row>
    <row r="385" ht="15.75" customHeight="1">
      <c r="A385" s="102"/>
      <c r="B385" s="103"/>
      <c r="C385" s="103"/>
      <c r="D385" s="104"/>
      <c r="E385" s="103"/>
      <c r="F385" s="102"/>
      <c r="G385" s="102"/>
      <c r="H385" s="102"/>
      <c r="I385" s="102"/>
      <c r="J385" s="102"/>
      <c r="K385" s="102"/>
      <c r="L385" s="102"/>
      <c r="M385" s="102"/>
      <c r="N385" s="102"/>
      <c r="O385" s="102"/>
      <c r="P385" s="102"/>
      <c r="Q385" s="102"/>
      <c r="R385" s="102"/>
      <c r="S385" s="102"/>
      <c r="T385" s="102"/>
      <c r="U385" s="102"/>
      <c r="V385" s="102"/>
      <c r="W385" s="102"/>
      <c r="X385" s="102"/>
      <c r="Y385" s="102"/>
      <c r="Z385" s="102"/>
    </row>
    <row r="386" ht="15.75" customHeight="1">
      <c r="A386" s="102"/>
      <c r="B386" s="103"/>
      <c r="C386" s="103"/>
      <c r="D386" s="104"/>
      <c r="E386" s="103"/>
      <c r="F386" s="102"/>
      <c r="G386" s="102"/>
      <c r="H386" s="102"/>
      <c r="I386" s="102"/>
      <c r="J386" s="102"/>
      <c r="K386" s="102"/>
      <c r="L386" s="102"/>
      <c r="M386" s="102"/>
      <c r="N386" s="102"/>
      <c r="O386" s="102"/>
      <c r="P386" s="102"/>
      <c r="Q386" s="102"/>
      <c r="R386" s="102"/>
      <c r="S386" s="102"/>
      <c r="T386" s="102"/>
      <c r="U386" s="102"/>
      <c r="V386" s="102"/>
      <c r="W386" s="102"/>
      <c r="X386" s="102"/>
      <c r="Y386" s="102"/>
      <c r="Z386" s="102"/>
    </row>
    <row r="387" ht="15.75" customHeight="1">
      <c r="A387" s="102"/>
      <c r="B387" s="103"/>
      <c r="C387" s="103"/>
      <c r="D387" s="104"/>
      <c r="E387" s="103"/>
      <c r="F387" s="102"/>
      <c r="G387" s="102"/>
      <c r="H387" s="102"/>
      <c r="I387" s="102"/>
      <c r="J387" s="102"/>
      <c r="K387" s="102"/>
      <c r="L387" s="102"/>
      <c r="M387" s="102"/>
      <c r="N387" s="102"/>
      <c r="O387" s="102"/>
      <c r="P387" s="102"/>
      <c r="Q387" s="102"/>
      <c r="R387" s="102"/>
      <c r="S387" s="102"/>
      <c r="T387" s="102"/>
      <c r="U387" s="102"/>
      <c r="V387" s="102"/>
      <c r="W387" s="102"/>
      <c r="X387" s="102"/>
      <c r="Y387" s="102"/>
      <c r="Z387" s="102"/>
    </row>
    <row r="388" ht="15.75" customHeight="1">
      <c r="A388" s="102"/>
      <c r="B388" s="103"/>
      <c r="C388" s="103"/>
      <c r="D388" s="104"/>
      <c r="E388" s="103"/>
      <c r="F388" s="102"/>
      <c r="G388" s="102"/>
      <c r="H388" s="102"/>
      <c r="I388" s="102"/>
      <c r="J388" s="102"/>
      <c r="K388" s="102"/>
      <c r="L388" s="102"/>
      <c r="M388" s="102"/>
      <c r="N388" s="102"/>
      <c r="O388" s="102"/>
      <c r="P388" s="102"/>
      <c r="Q388" s="102"/>
      <c r="R388" s="102"/>
      <c r="S388" s="102"/>
      <c r="T388" s="102"/>
      <c r="U388" s="102"/>
      <c r="V388" s="102"/>
      <c r="W388" s="102"/>
      <c r="X388" s="102"/>
      <c r="Y388" s="102"/>
      <c r="Z388" s="102"/>
    </row>
    <row r="389" ht="15.75" customHeight="1">
      <c r="A389" s="102"/>
      <c r="B389" s="103"/>
      <c r="C389" s="103"/>
      <c r="D389" s="104"/>
      <c r="E389" s="103"/>
      <c r="F389" s="102"/>
      <c r="G389" s="102"/>
      <c r="H389" s="102"/>
      <c r="I389" s="102"/>
      <c r="J389" s="102"/>
      <c r="K389" s="102"/>
      <c r="L389" s="102"/>
      <c r="M389" s="102"/>
      <c r="N389" s="102"/>
      <c r="O389" s="102"/>
      <c r="P389" s="102"/>
      <c r="Q389" s="102"/>
      <c r="R389" s="102"/>
      <c r="S389" s="102"/>
      <c r="T389" s="102"/>
      <c r="U389" s="102"/>
      <c r="V389" s="102"/>
      <c r="W389" s="102"/>
      <c r="X389" s="102"/>
      <c r="Y389" s="102"/>
      <c r="Z389" s="102"/>
    </row>
    <row r="390" ht="15.75" customHeight="1">
      <c r="A390" s="102"/>
      <c r="B390" s="103"/>
      <c r="C390" s="103"/>
      <c r="D390" s="104"/>
      <c r="E390" s="103"/>
      <c r="F390" s="102"/>
      <c r="G390" s="102"/>
      <c r="H390" s="102"/>
      <c r="I390" s="102"/>
      <c r="J390" s="102"/>
      <c r="K390" s="102"/>
      <c r="L390" s="102"/>
      <c r="M390" s="102"/>
      <c r="N390" s="102"/>
      <c r="O390" s="102"/>
      <c r="P390" s="102"/>
      <c r="Q390" s="102"/>
      <c r="R390" s="102"/>
      <c r="S390" s="102"/>
      <c r="T390" s="102"/>
      <c r="U390" s="102"/>
      <c r="V390" s="102"/>
      <c r="W390" s="102"/>
      <c r="X390" s="102"/>
      <c r="Y390" s="102"/>
      <c r="Z390" s="102"/>
    </row>
    <row r="391" ht="15.75" customHeight="1">
      <c r="A391" s="102"/>
      <c r="B391" s="103"/>
      <c r="C391" s="103"/>
      <c r="D391" s="104"/>
      <c r="E391" s="103"/>
      <c r="F391" s="102"/>
      <c r="G391" s="102"/>
      <c r="H391" s="102"/>
      <c r="I391" s="102"/>
      <c r="J391" s="102"/>
      <c r="K391" s="102"/>
      <c r="L391" s="102"/>
      <c r="M391" s="102"/>
      <c r="N391" s="102"/>
      <c r="O391" s="102"/>
      <c r="P391" s="102"/>
      <c r="Q391" s="102"/>
      <c r="R391" s="102"/>
      <c r="S391" s="102"/>
      <c r="T391" s="102"/>
      <c r="U391" s="102"/>
      <c r="V391" s="102"/>
      <c r="W391" s="102"/>
      <c r="X391" s="102"/>
      <c r="Y391" s="102"/>
      <c r="Z391" s="102"/>
    </row>
    <row r="392" ht="15.75" customHeight="1">
      <c r="A392" s="102"/>
      <c r="B392" s="103"/>
      <c r="C392" s="103"/>
      <c r="D392" s="104"/>
      <c r="E392" s="103"/>
      <c r="F392" s="102"/>
      <c r="G392" s="102"/>
      <c r="H392" s="102"/>
      <c r="I392" s="102"/>
      <c r="J392" s="102"/>
      <c r="K392" s="102"/>
      <c r="L392" s="102"/>
      <c r="M392" s="102"/>
      <c r="N392" s="102"/>
      <c r="O392" s="102"/>
      <c r="P392" s="102"/>
      <c r="Q392" s="102"/>
      <c r="R392" s="102"/>
      <c r="S392" s="102"/>
      <c r="T392" s="102"/>
      <c r="U392" s="102"/>
      <c r="V392" s="102"/>
      <c r="W392" s="102"/>
      <c r="X392" s="102"/>
      <c r="Y392" s="102"/>
      <c r="Z392" s="102"/>
    </row>
    <row r="393" ht="15.75" customHeight="1">
      <c r="A393" s="102"/>
      <c r="B393" s="103"/>
      <c r="C393" s="103"/>
      <c r="D393" s="104"/>
      <c r="E393" s="103"/>
      <c r="F393" s="102"/>
      <c r="G393" s="102"/>
      <c r="H393" s="102"/>
      <c r="I393" s="102"/>
      <c r="J393" s="102"/>
      <c r="K393" s="102"/>
      <c r="L393" s="102"/>
      <c r="M393" s="102"/>
      <c r="N393" s="102"/>
      <c r="O393" s="102"/>
      <c r="P393" s="102"/>
      <c r="Q393" s="102"/>
      <c r="R393" s="102"/>
      <c r="S393" s="102"/>
      <c r="T393" s="102"/>
      <c r="U393" s="102"/>
      <c r="V393" s="102"/>
      <c r="W393" s="102"/>
      <c r="X393" s="102"/>
      <c r="Y393" s="102"/>
      <c r="Z393" s="102"/>
    </row>
    <row r="394" ht="15.75" customHeight="1">
      <c r="A394" s="102"/>
      <c r="B394" s="103"/>
      <c r="C394" s="103"/>
      <c r="D394" s="104"/>
      <c r="E394" s="103"/>
      <c r="F394" s="102"/>
      <c r="G394" s="102"/>
      <c r="H394" s="102"/>
      <c r="I394" s="102"/>
      <c r="J394" s="102"/>
      <c r="K394" s="102"/>
      <c r="L394" s="102"/>
      <c r="M394" s="102"/>
      <c r="N394" s="102"/>
      <c r="O394" s="102"/>
      <c r="P394" s="102"/>
      <c r="Q394" s="102"/>
      <c r="R394" s="102"/>
      <c r="S394" s="102"/>
      <c r="T394" s="102"/>
      <c r="U394" s="102"/>
      <c r="V394" s="102"/>
      <c r="W394" s="102"/>
      <c r="X394" s="102"/>
      <c r="Y394" s="102"/>
      <c r="Z394" s="102"/>
    </row>
    <row r="395" ht="15.75" customHeight="1">
      <c r="A395" s="102"/>
      <c r="B395" s="103"/>
      <c r="C395" s="103"/>
      <c r="D395" s="104"/>
      <c r="E395" s="103"/>
      <c r="F395" s="102"/>
      <c r="G395" s="102"/>
      <c r="H395" s="102"/>
      <c r="I395" s="102"/>
      <c r="J395" s="102"/>
      <c r="K395" s="102"/>
      <c r="L395" s="102"/>
      <c r="M395" s="102"/>
      <c r="N395" s="102"/>
      <c r="O395" s="102"/>
      <c r="P395" s="102"/>
      <c r="Q395" s="102"/>
      <c r="R395" s="102"/>
      <c r="S395" s="102"/>
      <c r="T395" s="102"/>
      <c r="U395" s="102"/>
      <c r="V395" s="102"/>
      <c r="W395" s="102"/>
      <c r="X395" s="102"/>
      <c r="Y395" s="102"/>
      <c r="Z395" s="102"/>
    </row>
    <row r="396" ht="15.75" customHeight="1">
      <c r="A396" s="102"/>
      <c r="B396" s="103"/>
      <c r="C396" s="103"/>
      <c r="D396" s="104"/>
      <c r="E396" s="103"/>
      <c r="F396" s="102"/>
      <c r="G396" s="102"/>
      <c r="H396" s="102"/>
      <c r="I396" s="102"/>
      <c r="J396" s="102"/>
      <c r="K396" s="102"/>
      <c r="L396" s="102"/>
      <c r="M396" s="102"/>
      <c r="N396" s="102"/>
      <c r="O396" s="102"/>
      <c r="P396" s="102"/>
      <c r="Q396" s="102"/>
      <c r="R396" s="102"/>
      <c r="S396" s="102"/>
      <c r="T396" s="102"/>
      <c r="U396" s="102"/>
      <c r="V396" s="102"/>
      <c r="W396" s="102"/>
      <c r="X396" s="102"/>
      <c r="Y396" s="102"/>
      <c r="Z396" s="102"/>
    </row>
    <row r="397" ht="15.75" customHeight="1">
      <c r="A397" s="102"/>
      <c r="B397" s="103"/>
      <c r="C397" s="103"/>
      <c r="D397" s="104"/>
      <c r="E397" s="103"/>
      <c r="F397" s="102"/>
      <c r="G397" s="102"/>
      <c r="H397" s="102"/>
      <c r="I397" s="102"/>
      <c r="J397" s="102"/>
      <c r="K397" s="102"/>
      <c r="L397" s="102"/>
      <c r="M397" s="102"/>
      <c r="N397" s="102"/>
      <c r="O397" s="102"/>
      <c r="P397" s="102"/>
      <c r="Q397" s="102"/>
      <c r="R397" s="102"/>
      <c r="S397" s="102"/>
      <c r="T397" s="102"/>
      <c r="U397" s="102"/>
      <c r="V397" s="102"/>
      <c r="W397" s="102"/>
      <c r="X397" s="102"/>
      <c r="Y397" s="102"/>
      <c r="Z397" s="102"/>
    </row>
    <row r="398" ht="15.75" customHeight="1">
      <c r="A398" s="102"/>
      <c r="B398" s="103"/>
      <c r="C398" s="103"/>
      <c r="D398" s="104"/>
      <c r="E398" s="103"/>
      <c r="F398" s="102"/>
      <c r="G398" s="102"/>
      <c r="H398" s="102"/>
      <c r="I398" s="102"/>
      <c r="J398" s="102"/>
      <c r="K398" s="102"/>
      <c r="L398" s="102"/>
      <c r="M398" s="102"/>
      <c r="N398" s="102"/>
      <c r="O398" s="102"/>
      <c r="P398" s="102"/>
      <c r="Q398" s="102"/>
      <c r="R398" s="102"/>
      <c r="S398" s="102"/>
      <c r="T398" s="102"/>
      <c r="U398" s="102"/>
      <c r="V398" s="102"/>
      <c r="W398" s="102"/>
      <c r="X398" s="102"/>
      <c r="Y398" s="102"/>
      <c r="Z398" s="102"/>
    </row>
    <row r="399" ht="15.75" customHeight="1">
      <c r="A399" s="102"/>
      <c r="B399" s="103"/>
      <c r="C399" s="103"/>
      <c r="D399" s="104"/>
      <c r="E399" s="103"/>
      <c r="F399" s="102"/>
      <c r="G399" s="102"/>
      <c r="H399" s="102"/>
      <c r="I399" s="102"/>
      <c r="J399" s="102"/>
      <c r="K399" s="102"/>
      <c r="L399" s="102"/>
      <c r="M399" s="102"/>
      <c r="N399" s="102"/>
      <c r="O399" s="102"/>
      <c r="P399" s="102"/>
      <c r="Q399" s="102"/>
      <c r="R399" s="102"/>
      <c r="S399" s="102"/>
      <c r="T399" s="102"/>
      <c r="U399" s="102"/>
      <c r="V399" s="102"/>
      <c r="W399" s="102"/>
      <c r="X399" s="102"/>
      <c r="Y399" s="102"/>
      <c r="Z399" s="102"/>
    </row>
    <row r="400" ht="15.75" customHeight="1">
      <c r="A400" s="102"/>
      <c r="B400" s="103"/>
      <c r="C400" s="103"/>
      <c r="D400" s="104"/>
      <c r="E400" s="103"/>
      <c r="F400" s="102"/>
      <c r="G400" s="102"/>
      <c r="H400" s="102"/>
      <c r="I400" s="102"/>
      <c r="J400" s="102"/>
      <c r="K400" s="102"/>
      <c r="L400" s="102"/>
      <c r="M400" s="102"/>
      <c r="N400" s="102"/>
      <c r="O400" s="102"/>
      <c r="P400" s="102"/>
      <c r="Q400" s="102"/>
      <c r="R400" s="102"/>
      <c r="S400" s="102"/>
      <c r="T400" s="102"/>
      <c r="U400" s="102"/>
      <c r="V400" s="102"/>
      <c r="W400" s="102"/>
      <c r="X400" s="102"/>
      <c r="Y400" s="102"/>
      <c r="Z400" s="102"/>
    </row>
    <row r="401" ht="15.75" customHeight="1">
      <c r="A401" s="102"/>
      <c r="B401" s="103"/>
      <c r="C401" s="103"/>
      <c r="D401" s="104"/>
      <c r="E401" s="103"/>
      <c r="F401" s="102"/>
      <c r="G401" s="102"/>
      <c r="H401" s="102"/>
      <c r="I401" s="102"/>
      <c r="J401" s="102"/>
      <c r="K401" s="102"/>
      <c r="L401" s="102"/>
      <c r="M401" s="102"/>
      <c r="N401" s="102"/>
      <c r="O401" s="102"/>
      <c r="P401" s="102"/>
      <c r="Q401" s="102"/>
      <c r="R401" s="102"/>
      <c r="S401" s="102"/>
      <c r="T401" s="102"/>
      <c r="U401" s="102"/>
      <c r="V401" s="102"/>
      <c r="W401" s="102"/>
      <c r="X401" s="102"/>
      <c r="Y401" s="102"/>
      <c r="Z401" s="102"/>
    </row>
    <row r="402" ht="15.75" customHeight="1">
      <c r="A402" s="102"/>
      <c r="B402" s="103"/>
      <c r="C402" s="103"/>
      <c r="D402" s="104"/>
      <c r="E402" s="103"/>
      <c r="F402" s="102"/>
      <c r="G402" s="102"/>
      <c r="H402" s="102"/>
      <c r="I402" s="102"/>
      <c r="J402" s="102"/>
      <c r="K402" s="102"/>
      <c r="L402" s="102"/>
      <c r="M402" s="102"/>
      <c r="N402" s="102"/>
      <c r="O402" s="102"/>
      <c r="P402" s="102"/>
      <c r="Q402" s="102"/>
      <c r="R402" s="102"/>
      <c r="S402" s="102"/>
      <c r="T402" s="102"/>
      <c r="U402" s="102"/>
      <c r="V402" s="102"/>
      <c r="W402" s="102"/>
      <c r="X402" s="102"/>
      <c r="Y402" s="102"/>
      <c r="Z402" s="102"/>
    </row>
    <row r="403" ht="15.75" customHeight="1">
      <c r="A403" s="102"/>
      <c r="B403" s="103"/>
      <c r="C403" s="103"/>
      <c r="D403" s="104"/>
      <c r="E403" s="103"/>
      <c r="F403" s="102"/>
      <c r="G403" s="102"/>
      <c r="H403" s="102"/>
      <c r="I403" s="102"/>
      <c r="J403" s="102"/>
      <c r="K403" s="102"/>
      <c r="L403" s="102"/>
      <c r="M403" s="102"/>
      <c r="N403" s="102"/>
      <c r="O403" s="102"/>
      <c r="P403" s="102"/>
      <c r="Q403" s="102"/>
      <c r="R403" s="102"/>
      <c r="S403" s="102"/>
      <c r="T403" s="102"/>
      <c r="U403" s="102"/>
      <c r="V403" s="102"/>
      <c r="W403" s="102"/>
      <c r="X403" s="102"/>
      <c r="Y403" s="102"/>
      <c r="Z403" s="102"/>
    </row>
    <row r="404" ht="15.75" customHeight="1">
      <c r="A404" s="102"/>
      <c r="B404" s="103"/>
      <c r="C404" s="103"/>
      <c r="D404" s="104"/>
      <c r="E404" s="103"/>
      <c r="F404" s="102"/>
      <c r="G404" s="102"/>
      <c r="H404" s="102"/>
      <c r="I404" s="102"/>
      <c r="J404" s="102"/>
      <c r="K404" s="102"/>
      <c r="L404" s="102"/>
      <c r="M404" s="102"/>
      <c r="N404" s="102"/>
      <c r="O404" s="102"/>
      <c r="P404" s="102"/>
      <c r="Q404" s="102"/>
      <c r="R404" s="102"/>
      <c r="S404" s="102"/>
      <c r="T404" s="102"/>
      <c r="U404" s="102"/>
      <c r="V404" s="102"/>
      <c r="W404" s="102"/>
      <c r="X404" s="102"/>
      <c r="Y404" s="102"/>
      <c r="Z404" s="102"/>
    </row>
    <row r="405" ht="15.75" customHeight="1">
      <c r="A405" s="102"/>
      <c r="B405" s="103"/>
      <c r="C405" s="103"/>
      <c r="D405" s="104"/>
      <c r="E405" s="103"/>
      <c r="F405" s="102"/>
      <c r="G405" s="102"/>
      <c r="H405" s="102"/>
      <c r="I405" s="102"/>
      <c r="J405" s="102"/>
      <c r="K405" s="102"/>
      <c r="L405" s="102"/>
      <c r="M405" s="102"/>
      <c r="N405" s="102"/>
      <c r="O405" s="102"/>
      <c r="P405" s="102"/>
      <c r="Q405" s="102"/>
      <c r="R405" s="102"/>
      <c r="S405" s="102"/>
      <c r="T405" s="102"/>
      <c r="U405" s="102"/>
      <c r="V405" s="102"/>
      <c r="W405" s="102"/>
      <c r="X405" s="102"/>
      <c r="Y405" s="102"/>
      <c r="Z405" s="102"/>
    </row>
    <row r="406" ht="15.75" customHeight="1">
      <c r="A406" s="102"/>
      <c r="B406" s="103"/>
      <c r="C406" s="103"/>
      <c r="D406" s="104"/>
      <c r="E406" s="103"/>
      <c r="F406" s="102"/>
      <c r="G406" s="102"/>
      <c r="H406" s="102"/>
      <c r="I406" s="102"/>
      <c r="J406" s="102"/>
      <c r="K406" s="102"/>
      <c r="L406" s="102"/>
      <c r="M406" s="102"/>
      <c r="N406" s="102"/>
      <c r="O406" s="102"/>
      <c r="P406" s="102"/>
      <c r="Q406" s="102"/>
      <c r="R406" s="102"/>
      <c r="S406" s="102"/>
      <c r="T406" s="102"/>
      <c r="U406" s="102"/>
      <c r="V406" s="102"/>
      <c r="W406" s="102"/>
      <c r="X406" s="102"/>
      <c r="Y406" s="102"/>
      <c r="Z406" s="102"/>
    </row>
    <row r="407" ht="15.75" customHeight="1">
      <c r="A407" s="102"/>
      <c r="B407" s="103"/>
      <c r="C407" s="103"/>
      <c r="D407" s="104"/>
      <c r="E407" s="103"/>
      <c r="F407" s="102"/>
      <c r="G407" s="102"/>
      <c r="H407" s="102"/>
      <c r="I407" s="102"/>
      <c r="J407" s="102"/>
      <c r="K407" s="102"/>
      <c r="L407" s="102"/>
      <c r="M407" s="102"/>
      <c r="N407" s="102"/>
      <c r="O407" s="102"/>
      <c r="P407" s="102"/>
      <c r="Q407" s="102"/>
      <c r="R407" s="102"/>
      <c r="S407" s="102"/>
      <c r="T407" s="102"/>
      <c r="U407" s="102"/>
      <c r="V407" s="102"/>
      <c r="W407" s="102"/>
      <c r="X407" s="102"/>
      <c r="Y407" s="102"/>
      <c r="Z407" s="102"/>
    </row>
    <row r="408" ht="15.75" customHeight="1">
      <c r="A408" s="102"/>
      <c r="B408" s="103"/>
      <c r="C408" s="103"/>
      <c r="D408" s="104"/>
      <c r="E408" s="103"/>
      <c r="F408" s="102"/>
      <c r="G408" s="102"/>
      <c r="H408" s="102"/>
      <c r="I408" s="102"/>
      <c r="J408" s="102"/>
      <c r="K408" s="102"/>
      <c r="L408" s="102"/>
      <c r="M408" s="102"/>
      <c r="N408" s="102"/>
      <c r="O408" s="102"/>
      <c r="P408" s="102"/>
      <c r="Q408" s="102"/>
      <c r="R408" s="102"/>
      <c r="S408" s="102"/>
      <c r="T408" s="102"/>
      <c r="U408" s="102"/>
      <c r="V408" s="102"/>
      <c r="W408" s="102"/>
      <c r="X408" s="102"/>
      <c r="Y408" s="102"/>
      <c r="Z408" s="102"/>
    </row>
    <row r="409" ht="15.75" customHeight="1">
      <c r="A409" s="102"/>
      <c r="B409" s="103"/>
      <c r="C409" s="103"/>
      <c r="D409" s="104"/>
      <c r="E409" s="103"/>
      <c r="F409" s="102"/>
      <c r="G409" s="102"/>
      <c r="H409" s="102"/>
      <c r="I409" s="102"/>
      <c r="J409" s="102"/>
      <c r="K409" s="102"/>
      <c r="L409" s="102"/>
      <c r="M409" s="102"/>
      <c r="N409" s="102"/>
      <c r="O409" s="102"/>
      <c r="P409" s="102"/>
      <c r="Q409" s="102"/>
      <c r="R409" s="102"/>
      <c r="S409" s="102"/>
      <c r="T409" s="102"/>
      <c r="U409" s="102"/>
      <c r="V409" s="102"/>
      <c r="W409" s="102"/>
      <c r="X409" s="102"/>
      <c r="Y409" s="102"/>
      <c r="Z409" s="102"/>
    </row>
    <row r="410" ht="15.75" customHeight="1">
      <c r="A410" s="102"/>
      <c r="B410" s="103"/>
      <c r="C410" s="103"/>
      <c r="D410" s="104"/>
      <c r="E410" s="103"/>
      <c r="F410" s="102"/>
      <c r="G410" s="102"/>
      <c r="H410" s="102"/>
      <c r="I410" s="102"/>
      <c r="J410" s="102"/>
      <c r="K410" s="102"/>
      <c r="L410" s="102"/>
      <c r="M410" s="102"/>
      <c r="N410" s="102"/>
      <c r="O410" s="102"/>
      <c r="P410" s="102"/>
      <c r="Q410" s="102"/>
      <c r="R410" s="102"/>
      <c r="S410" s="102"/>
      <c r="T410" s="102"/>
      <c r="U410" s="102"/>
      <c r="V410" s="102"/>
      <c r="W410" s="102"/>
      <c r="X410" s="102"/>
      <c r="Y410" s="102"/>
      <c r="Z410" s="102"/>
    </row>
    <row r="411" ht="15.75" customHeight="1">
      <c r="A411" s="102"/>
      <c r="B411" s="103"/>
      <c r="C411" s="103"/>
      <c r="D411" s="104"/>
      <c r="E411" s="103"/>
      <c r="F411" s="102"/>
      <c r="G411" s="102"/>
      <c r="H411" s="102"/>
      <c r="I411" s="102"/>
      <c r="J411" s="102"/>
      <c r="K411" s="102"/>
      <c r="L411" s="102"/>
      <c r="M411" s="102"/>
      <c r="N411" s="102"/>
      <c r="O411" s="102"/>
      <c r="P411" s="102"/>
      <c r="Q411" s="102"/>
      <c r="R411" s="102"/>
      <c r="S411" s="102"/>
      <c r="T411" s="102"/>
      <c r="U411" s="102"/>
      <c r="V411" s="102"/>
      <c r="W411" s="102"/>
      <c r="X411" s="102"/>
      <c r="Y411" s="102"/>
      <c r="Z411" s="102"/>
    </row>
    <row r="412" ht="15.75" customHeight="1">
      <c r="A412" s="102"/>
      <c r="B412" s="103"/>
      <c r="C412" s="103"/>
      <c r="D412" s="104"/>
      <c r="E412" s="103"/>
      <c r="F412" s="102"/>
      <c r="G412" s="102"/>
      <c r="H412" s="102"/>
      <c r="I412" s="102"/>
      <c r="J412" s="102"/>
      <c r="K412" s="102"/>
      <c r="L412" s="102"/>
      <c r="M412" s="102"/>
      <c r="N412" s="102"/>
      <c r="O412" s="102"/>
      <c r="P412" s="102"/>
      <c r="Q412" s="102"/>
      <c r="R412" s="102"/>
      <c r="S412" s="102"/>
      <c r="T412" s="102"/>
      <c r="U412" s="102"/>
      <c r="V412" s="102"/>
      <c r="W412" s="102"/>
      <c r="X412" s="102"/>
      <c r="Y412" s="102"/>
      <c r="Z412" s="102"/>
    </row>
    <row r="413" ht="15.75" customHeight="1">
      <c r="A413" s="102"/>
      <c r="B413" s="103"/>
      <c r="C413" s="103"/>
      <c r="D413" s="104"/>
      <c r="E413" s="103"/>
      <c r="F413" s="102"/>
      <c r="G413" s="102"/>
      <c r="H413" s="102"/>
      <c r="I413" s="102"/>
      <c r="J413" s="102"/>
      <c r="K413" s="102"/>
      <c r="L413" s="102"/>
      <c r="M413" s="102"/>
      <c r="N413" s="102"/>
      <c r="O413" s="102"/>
      <c r="P413" s="102"/>
      <c r="Q413" s="102"/>
      <c r="R413" s="102"/>
      <c r="S413" s="102"/>
      <c r="T413" s="102"/>
      <c r="U413" s="102"/>
      <c r="V413" s="102"/>
      <c r="W413" s="102"/>
      <c r="X413" s="102"/>
      <c r="Y413" s="102"/>
      <c r="Z413" s="102"/>
    </row>
    <row r="414" ht="15.75" customHeight="1">
      <c r="A414" s="102"/>
      <c r="B414" s="103"/>
      <c r="C414" s="103"/>
      <c r="D414" s="104"/>
      <c r="E414" s="103"/>
      <c r="F414" s="102"/>
      <c r="G414" s="102"/>
      <c r="H414" s="102"/>
      <c r="I414" s="102"/>
      <c r="J414" s="102"/>
      <c r="K414" s="102"/>
      <c r="L414" s="102"/>
      <c r="M414" s="102"/>
      <c r="N414" s="102"/>
      <c r="O414" s="102"/>
      <c r="P414" s="102"/>
      <c r="Q414" s="102"/>
      <c r="R414" s="102"/>
      <c r="S414" s="102"/>
      <c r="T414" s="102"/>
      <c r="U414" s="102"/>
      <c r="V414" s="102"/>
      <c r="W414" s="102"/>
      <c r="X414" s="102"/>
      <c r="Y414" s="102"/>
      <c r="Z414" s="102"/>
    </row>
    <row r="415" ht="15.75" customHeight="1">
      <c r="A415" s="102"/>
      <c r="B415" s="103"/>
      <c r="C415" s="103"/>
      <c r="D415" s="104"/>
      <c r="E415" s="103"/>
      <c r="F415" s="102"/>
      <c r="G415" s="102"/>
      <c r="H415" s="102"/>
      <c r="I415" s="102"/>
      <c r="J415" s="102"/>
      <c r="K415" s="102"/>
      <c r="L415" s="102"/>
      <c r="M415" s="102"/>
      <c r="N415" s="102"/>
      <c r="O415" s="102"/>
      <c r="P415" s="102"/>
      <c r="Q415" s="102"/>
      <c r="R415" s="102"/>
      <c r="S415" s="102"/>
      <c r="T415" s="102"/>
      <c r="U415" s="102"/>
      <c r="V415" s="102"/>
      <c r="W415" s="102"/>
      <c r="X415" s="102"/>
      <c r="Y415" s="102"/>
      <c r="Z415" s="102"/>
    </row>
    <row r="416" ht="15.75" customHeight="1">
      <c r="A416" s="102"/>
      <c r="B416" s="103"/>
      <c r="C416" s="103"/>
      <c r="D416" s="104"/>
      <c r="E416" s="103"/>
      <c r="F416" s="102"/>
      <c r="G416" s="102"/>
      <c r="H416" s="102"/>
      <c r="I416" s="102"/>
      <c r="J416" s="102"/>
      <c r="K416" s="102"/>
      <c r="L416" s="102"/>
      <c r="M416" s="102"/>
      <c r="N416" s="102"/>
      <c r="O416" s="102"/>
      <c r="P416" s="102"/>
      <c r="Q416" s="102"/>
      <c r="R416" s="102"/>
      <c r="S416" s="102"/>
      <c r="T416" s="102"/>
      <c r="U416" s="102"/>
      <c r="V416" s="102"/>
      <c r="W416" s="102"/>
      <c r="X416" s="102"/>
      <c r="Y416" s="102"/>
      <c r="Z416" s="102"/>
    </row>
    <row r="417" ht="15.75" customHeight="1">
      <c r="A417" s="102"/>
      <c r="B417" s="103"/>
      <c r="C417" s="103"/>
      <c r="D417" s="104"/>
      <c r="E417" s="103"/>
      <c r="F417" s="102"/>
      <c r="G417" s="102"/>
      <c r="H417" s="102"/>
      <c r="I417" s="102"/>
      <c r="J417" s="102"/>
      <c r="K417" s="102"/>
      <c r="L417" s="102"/>
      <c r="M417" s="102"/>
      <c r="N417" s="102"/>
      <c r="O417" s="102"/>
      <c r="P417" s="102"/>
      <c r="Q417" s="102"/>
      <c r="R417" s="102"/>
      <c r="S417" s="102"/>
      <c r="T417" s="102"/>
      <c r="U417" s="102"/>
      <c r="V417" s="102"/>
      <c r="W417" s="102"/>
      <c r="X417" s="102"/>
      <c r="Y417" s="102"/>
      <c r="Z417" s="102"/>
    </row>
    <row r="418" ht="15.75" customHeight="1">
      <c r="A418" s="102"/>
      <c r="B418" s="103"/>
      <c r="C418" s="103"/>
      <c r="D418" s="104"/>
      <c r="E418" s="103"/>
      <c r="F418" s="102"/>
      <c r="G418" s="102"/>
      <c r="H418" s="102"/>
      <c r="I418" s="102"/>
      <c r="J418" s="102"/>
      <c r="K418" s="102"/>
      <c r="L418" s="102"/>
      <c r="M418" s="102"/>
      <c r="N418" s="102"/>
      <c r="O418" s="102"/>
      <c r="P418" s="102"/>
      <c r="Q418" s="102"/>
      <c r="R418" s="102"/>
      <c r="S418" s="102"/>
      <c r="T418" s="102"/>
      <c r="U418" s="102"/>
      <c r="V418" s="102"/>
      <c r="W418" s="102"/>
      <c r="X418" s="102"/>
      <c r="Y418" s="102"/>
      <c r="Z418" s="102"/>
    </row>
    <row r="419" ht="15.75" customHeight="1">
      <c r="A419" s="102"/>
      <c r="B419" s="103"/>
      <c r="C419" s="103"/>
      <c r="D419" s="104"/>
      <c r="E419" s="103"/>
      <c r="F419" s="102"/>
      <c r="G419" s="102"/>
      <c r="H419" s="102"/>
      <c r="I419" s="102"/>
      <c r="J419" s="102"/>
      <c r="K419" s="102"/>
      <c r="L419" s="102"/>
      <c r="M419" s="102"/>
      <c r="N419" s="102"/>
      <c r="O419" s="102"/>
      <c r="P419" s="102"/>
      <c r="Q419" s="102"/>
      <c r="R419" s="102"/>
      <c r="S419" s="102"/>
      <c r="T419" s="102"/>
      <c r="U419" s="102"/>
      <c r="V419" s="102"/>
      <c r="W419" s="102"/>
      <c r="X419" s="102"/>
      <c r="Y419" s="102"/>
      <c r="Z419" s="102"/>
    </row>
    <row r="420" ht="15.75" customHeight="1">
      <c r="A420" s="102"/>
      <c r="B420" s="103"/>
      <c r="C420" s="103"/>
      <c r="D420" s="104"/>
      <c r="E420" s="103"/>
      <c r="F420" s="102"/>
      <c r="G420" s="102"/>
      <c r="H420" s="102"/>
      <c r="I420" s="102"/>
      <c r="J420" s="102"/>
      <c r="K420" s="102"/>
      <c r="L420" s="102"/>
      <c r="M420" s="102"/>
      <c r="N420" s="102"/>
      <c r="O420" s="102"/>
      <c r="P420" s="102"/>
      <c r="Q420" s="102"/>
      <c r="R420" s="102"/>
      <c r="S420" s="102"/>
      <c r="T420" s="102"/>
      <c r="U420" s="102"/>
      <c r="V420" s="102"/>
      <c r="W420" s="102"/>
      <c r="X420" s="102"/>
      <c r="Y420" s="102"/>
      <c r="Z420" s="102"/>
    </row>
    <row r="421" ht="15.75" customHeight="1">
      <c r="A421" s="102"/>
      <c r="B421" s="103"/>
      <c r="C421" s="103"/>
      <c r="D421" s="104"/>
      <c r="E421" s="103"/>
      <c r="F421" s="102"/>
      <c r="G421" s="102"/>
      <c r="H421" s="102"/>
      <c r="I421" s="102"/>
      <c r="J421" s="102"/>
      <c r="K421" s="102"/>
      <c r="L421" s="102"/>
      <c r="M421" s="102"/>
      <c r="N421" s="102"/>
      <c r="O421" s="102"/>
      <c r="P421" s="102"/>
      <c r="Q421" s="102"/>
      <c r="R421" s="102"/>
      <c r="S421" s="102"/>
      <c r="T421" s="102"/>
      <c r="U421" s="102"/>
      <c r="V421" s="102"/>
      <c r="W421" s="102"/>
      <c r="X421" s="102"/>
      <c r="Y421" s="102"/>
      <c r="Z421" s="102"/>
    </row>
    <row r="422" ht="15.75" customHeight="1">
      <c r="A422" s="102"/>
      <c r="B422" s="103"/>
      <c r="C422" s="103"/>
      <c r="D422" s="104"/>
      <c r="E422" s="103"/>
      <c r="F422" s="102"/>
      <c r="G422" s="102"/>
      <c r="H422" s="102"/>
      <c r="I422" s="102"/>
      <c r="J422" s="102"/>
      <c r="K422" s="102"/>
      <c r="L422" s="102"/>
      <c r="M422" s="102"/>
      <c r="N422" s="102"/>
      <c r="O422" s="102"/>
      <c r="P422" s="102"/>
      <c r="Q422" s="102"/>
      <c r="R422" s="102"/>
      <c r="S422" s="102"/>
      <c r="T422" s="102"/>
      <c r="U422" s="102"/>
      <c r="V422" s="102"/>
      <c r="W422" s="102"/>
      <c r="X422" s="102"/>
      <c r="Y422" s="102"/>
      <c r="Z422" s="102"/>
    </row>
    <row r="423" ht="15.75" customHeight="1">
      <c r="A423" s="102"/>
      <c r="B423" s="103"/>
      <c r="C423" s="103"/>
      <c r="D423" s="104"/>
      <c r="E423" s="103"/>
      <c r="F423" s="102"/>
      <c r="G423" s="102"/>
      <c r="H423" s="102"/>
      <c r="I423" s="102"/>
      <c r="J423" s="102"/>
      <c r="K423" s="102"/>
      <c r="L423" s="102"/>
      <c r="M423" s="102"/>
      <c r="N423" s="102"/>
      <c r="O423" s="102"/>
      <c r="P423" s="102"/>
      <c r="Q423" s="102"/>
      <c r="R423" s="102"/>
      <c r="S423" s="102"/>
      <c r="T423" s="102"/>
      <c r="U423" s="102"/>
      <c r="V423" s="102"/>
      <c r="W423" s="102"/>
      <c r="X423" s="102"/>
      <c r="Y423" s="102"/>
      <c r="Z423" s="102"/>
    </row>
    <row r="424" ht="15.75" customHeight="1">
      <c r="A424" s="102"/>
      <c r="B424" s="103"/>
      <c r="C424" s="103"/>
      <c r="D424" s="104"/>
      <c r="E424" s="103"/>
      <c r="F424" s="102"/>
      <c r="G424" s="102"/>
      <c r="H424" s="102"/>
      <c r="I424" s="102"/>
      <c r="J424" s="102"/>
      <c r="K424" s="102"/>
      <c r="L424" s="102"/>
      <c r="M424" s="102"/>
      <c r="N424" s="102"/>
      <c r="O424" s="102"/>
      <c r="P424" s="102"/>
      <c r="Q424" s="102"/>
      <c r="R424" s="102"/>
      <c r="S424" s="102"/>
      <c r="T424" s="102"/>
      <c r="U424" s="102"/>
      <c r="V424" s="102"/>
      <c r="W424" s="102"/>
      <c r="X424" s="102"/>
      <c r="Y424" s="102"/>
      <c r="Z424" s="102"/>
    </row>
    <row r="425" ht="15.75" customHeight="1">
      <c r="A425" s="102"/>
      <c r="B425" s="103"/>
      <c r="C425" s="103"/>
      <c r="D425" s="104"/>
      <c r="E425" s="103"/>
      <c r="F425" s="102"/>
      <c r="G425" s="102"/>
      <c r="H425" s="102"/>
      <c r="I425" s="102"/>
      <c r="J425" s="102"/>
      <c r="K425" s="102"/>
      <c r="L425" s="102"/>
      <c r="M425" s="102"/>
      <c r="N425" s="102"/>
      <c r="O425" s="102"/>
      <c r="P425" s="102"/>
      <c r="Q425" s="102"/>
      <c r="R425" s="102"/>
      <c r="S425" s="102"/>
      <c r="T425" s="102"/>
      <c r="U425" s="102"/>
      <c r="V425" s="102"/>
      <c r="W425" s="102"/>
      <c r="X425" s="102"/>
      <c r="Y425" s="102"/>
      <c r="Z425" s="102"/>
    </row>
    <row r="426" ht="15.75" customHeight="1">
      <c r="A426" s="102"/>
      <c r="B426" s="103"/>
      <c r="C426" s="103"/>
      <c r="D426" s="104"/>
      <c r="E426" s="103"/>
      <c r="F426" s="102"/>
      <c r="G426" s="102"/>
      <c r="H426" s="102"/>
      <c r="I426" s="102"/>
      <c r="J426" s="102"/>
      <c r="K426" s="102"/>
      <c r="L426" s="102"/>
      <c r="M426" s="102"/>
      <c r="N426" s="102"/>
      <c r="O426" s="102"/>
      <c r="P426" s="102"/>
      <c r="Q426" s="102"/>
      <c r="R426" s="102"/>
      <c r="S426" s="102"/>
      <c r="T426" s="102"/>
      <c r="U426" s="102"/>
      <c r="V426" s="102"/>
      <c r="W426" s="102"/>
      <c r="X426" s="102"/>
      <c r="Y426" s="102"/>
      <c r="Z426" s="102"/>
    </row>
    <row r="427" ht="15.75" customHeight="1">
      <c r="A427" s="102"/>
      <c r="B427" s="103"/>
      <c r="C427" s="103"/>
      <c r="D427" s="104"/>
      <c r="E427" s="103"/>
      <c r="F427" s="102"/>
      <c r="G427" s="102"/>
      <c r="H427" s="102"/>
      <c r="I427" s="102"/>
      <c r="J427" s="102"/>
      <c r="K427" s="102"/>
      <c r="L427" s="102"/>
      <c r="M427" s="102"/>
      <c r="N427" s="102"/>
      <c r="O427" s="102"/>
      <c r="P427" s="102"/>
      <c r="Q427" s="102"/>
      <c r="R427" s="102"/>
      <c r="S427" s="102"/>
      <c r="T427" s="102"/>
      <c r="U427" s="102"/>
      <c r="V427" s="102"/>
      <c r="W427" s="102"/>
      <c r="X427" s="102"/>
      <c r="Y427" s="102"/>
      <c r="Z427" s="102"/>
    </row>
    <row r="428" ht="15.75" customHeight="1">
      <c r="A428" s="102"/>
      <c r="B428" s="103"/>
      <c r="C428" s="103"/>
      <c r="D428" s="104"/>
      <c r="E428" s="103"/>
      <c r="F428" s="102"/>
      <c r="G428" s="102"/>
      <c r="H428" s="102"/>
      <c r="I428" s="102"/>
      <c r="J428" s="102"/>
      <c r="K428" s="102"/>
      <c r="L428" s="102"/>
      <c r="M428" s="102"/>
      <c r="N428" s="102"/>
      <c r="O428" s="102"/>
      <c r="P428" s="102"/>
      <c r="Q428" s="102"/>
      <c r="R428" s="102"/>
      <c r="S428" s="102"/>
      <c r="T428" s="102"/>
      <c r="U428" s="102"/>
      <c r="V428" s="102"/>
      <c r="W428" s="102"/>
      <c r="X428" s="102"/>
      <c r="Y428" s="102"/>
      <c r="Z428" s="102"/>
    </row>
    <row r="429" ht="15.75" customHeight="1">
      <c r="A429" s="102"/>
      <c r="B429" s="103"/>
      <c r="C429" s="103"/>
      <c r="D429" s="104"/>
      <c r="E429" s="103"/>
      <c r="F429" s="102"/>
      <c r="G429" s="102"/>
      <c r="H429" s="102"/>
      <c r="I429" s="102"/>
      <c r="J429" s="102"/>
      <c r="K429" s="102"/>
      <c r="L429" s="102"/>
      <c r="M429" s="102"/>
      <c r="N429" s="102"/>
      <c r="O429" s="102"/>
      <c r="P429" s="102"/>
      <c r="Q429" s="102"/>
      <c r="R429" s="102"/>
      <c r="S429" s="102"/>
      <c r="T429" s="102"/>
      <c r="U429" s="102"/>
      <c r="V429" s="102"/>
      <c r="W429" s="102"/>
      <c r="X429" s="102"/>
      <c r="Y429" s="102"/>
      <c r="Z429" s="102"/>
    </row>
    <row r="430" ht="15.75" customHeight="1">
      <c r="A430" s="102"/>
      <c r="B430" s="103"/>
      <c r="C430" s="103"/>
      <c r="D430" s="104"/>
      <c r="E430" s="103"/>
      <c r="F430" s="102"/>
      <c r="G430" s="102"/>
      <c r="H430" s="102"/>
      <c r="I430" s="102"/>
      <c r="J430" s="102"/>
      <c r="K430" s="102"/>
      <c r="L430" s="102"/>
      <c r="M430" s="102"/>
      <c r="N430" s="102"/>
      <c r="O430" s="102"/>
      <c r="P430" s="102"/>
      <c r="Q430" s="102"/>
      <c r="R430" s="102"/>
      <c r="S430" s="102"/>
      <c r="T430" s="102"/>
      <c r="U430" s="102"/>
      <c r="V430" s="102"/>
      <c r="W430" s="102"/>
      <c r="X430" s="102"/>
      <c r="Y430" s="102"/>
      <c r="Z430" s="102"/>
    </row>
    <row r="431" ht="15.75" customHeight="1">
      <c r="A431" s="102"/>
      <c r="B431" s="103"/>
      <c r="C431" s="103"/>
      <c r="D431" s="104"/>
      <c r="E431" s="103"/>
      <c r="F431" s="102"/>
      <c r="G431" s="102"/>
      <c r="H431" s="102"/>
      <c r="I431" s="102"/>
      <c r="J431" s="102"/>
      <c r="K431" s="102"/>
      <c r="L431" s="102"/>
      <c r="M431" s="102"/>
      <c r="N431" s="102"/>
      <c r="O431" s="102"/>
      <c r="P431" s="102"/>
      <c r="Q431" s="102"/>
      <c r="R431" s="102"/>
      <c r="S431" s="102"/>
      <c r="T431" s="102"/>
      <c r="U431" s="102"/>
      <c r="V431" s="102"/>
      <c r="W431" s="102"/>
      <c r="X431" s="102"/>
      <c r="Y431" s="102"/>
      <c r="Z431" s="102"/>
    </row>
    <row r="432" ht="15.75" customHeight="1">
      <c r="A432" s="102"/>
      <c r="B432" s="103"/>
      <c r="C432" s="103"/>
      <c r="D432" s="104"/>
      <c r="E432" s="103"/>
      <c r="F432" s="102"/>
      <c r="G432" s="102"/>
      <c r="H432" s="102"/>
      <c r="I432" s="102"/>
      <c r="J432" s="102"/>
      <c r="K432" s="102"/>
      <c r="L432" s="102"/>
      <c r="M432" s="102"/>
      <c r="N432" s="102"/>
      <c r="O432" s="102"/>
      <c r="P432" s="102"/>
      <c r="Q432" s="102"/>
      <c r="R432" s="102"/>
      <c r="S432" s="102"/>
      <c r="T432" s="102"/>
      <c r="U432" s="102"/>
      <c r="V432" s="102"/>
      <c r="W432" s="102"/>
      <c r="X432" s="102"/>
      <c r="Y432" s="102"/>
      <c r="Z432" s="102"/>
    </row>
    <row r="433" ht="15.75" customHeight="1">
      <c r="A433" s="102"/>
      <c r="B433" s="103"/>
      <c r="C433" s="103"/>
      <c r="D433" s="104"/>
      <c r="E433" s="103"/>
      <c r="F433" s="102"/>
      <c r="G433" s="102"/>
      <c r="H433" s="102"/>
      <c r="I433" s="102"/>
      <c r="J433" s="102"/>
      <c r="K433" s="102"/>
      <c r="L433" s="102"/>
      <c r="M433" s="102"/>
      <c r="N433" s="102"/>
      <c r="O433" s="102"/>
      <c r="P433" s="102"/>
      <c r="Q433" s="102"/>
      <c r="R433" s="102"/>
      <c r="S433" s="102"/>
      <c r="T433" s="102"/>
      <c r="U433" s="102"/>
      <c r="V433" s="102"/>
      <c r="W433" s="102"/>
      <c r="X433" s="102"/>
      <c r="Y433" s="102"/>
      <c r="Z433" s="102"/>
    </row>
    <row r="434" ht="15.75" customHeight="1">
      <c r="A434" s="102"/>
      <c r="B434" s="103"/>
      <c r="C434" s="103"/>
      <c r="D434" s="104"/>
      <c r="E434" s="103"/>
      <c r="F434" s="102"/>
      <c r="G434" s="102"/>
      <c r="H434" s="102"/>
      <c r="I434" s="102"/>
      <c r="J434" s="102"/>
      <c r="K434" s="102"/>
      <c r="L434" s="102"/>
      <c r="M434" s="102"/>
      <c r="N434" s="102"/>
      <c r="O434" s="102"/>
      <c r="P434" s="102"/>
      <c r="Q434" s="102"/>
      <c r="R434" s="102"/>
      <c r="S434" s="102"/>
      <c r="T434" s="102"/>
      <c r="U434" s="102"/>
      <c r="V434" s="102"/>
      <c r="W434" s="102"/>
      <c r="X434" s="102"/>
      <c r="Y434" s="102"/>
      <c r="Z434" s="102"/>
    </row>
    <row r="435" ht="15.75" customHeight="1">
      <c r="A435" s="102"/>
      <c r="B435" s="103"/>
      <c r="C435" s="103"/>
      <c r="D435" s="104"/>
      <c r="E435" s="103"/>
      <c r="F435" s="102"/>
      <c r="G435" s="102"/>
      <c r="H435" s="102"/>
      <c r="I435" s="102"/>
      <c r="J435" s="102"/>
      <c r="K435" s="102"/>
      <c r="L435" s="102"/>
      <c r="M435" s="102"/>
      <c r="N435" s="102"/>
      <c r="O435" s="102"/>
      <c r="P435" s="102"/>
      <c r="Q435" s="102"/>
      <c r="R435" s="102"/>
      <c r="S435" s="102"/>
      <c r="T435" s="102"/>
      <c r="U435" s="102"/>
      <c r="V435" s="102"/>
      <c r="W435" s="102"/>
      <c r="X435" s="102"/>
      <c r="Y435" s="102"/>
      <c r="Z435" s="102"/>
    </row>
    <row r="436" ht="15.75" customHeight="1">
      <c r="A436" s="102"/>
      <c r="B436" s="103"/>
      <c r="C436" s="103"/>
      <c r="D436" s="104"/>
      <c r="E436" s="103"/>
      <c r="F436" s="102"/>
      <c r="G436" s="102"/>
      <c r="H436" s="102"/>
      <c r="I436" s="102"/>
      <c r="J436" s="102"/>
      <c r="K436" s="102"/>
      <c r="L436" s="102"/>
      <c r="M436" s="102"/>
      <c r="N436" s="102"/>
      <c r="O436" s="102"/>
      <c r="P436" s="102"/>
      <c r="Q436" s="102"/>
      <c r="R436" s="102"/>
      <c r="S436" s="102"/>
      <c r="T436" s="102"/>
      <c r="U436" s="102"/>
      <c r="V436" s="102"/>
      <c r="W436" s="102"/>
      <c r="X436" s="102"/>
      <c r="Y436" s="102"/>
      <c r="Z436" s="102"/>
    </row>
    <row r="437" ht="15.75" customHeight="1">
      <c r="A437" s="102"/>
      <c r="B437" s="103"/>
      <c r="C437" s="103"/>
      <c r="D437" s="104"/>
      <c r="E437" s="103"/>
      <c r="F437" s="102"/>
      <c r="G437" s="102"/>
      <c r="H437" s="102"/>
      <c r="I437" s="102"/>
      <c r="J437" s="102"/>
      <c r="K437" s="102"/>
      <c r="L437" s="102"/>
      <c r="M437" s="102"/>
      <c r="N437" s="102"/>
      <c r="O437" s="102"/>
      <c r="P437" s="102"/>
      <c r="Q437" s="102"/>
      <c r="R437" s="102"/>
      <c r="S437" s="102"/>
      <c r="T437" s="102"/>
      <c r="U437" s="102"/>
      <c r="V437" s="102"/>
      <c r="W437" s="102"/>
      <c r="X437" s="102"/>
      <c r="Y437" s="102"/>
      <c r="Z437" s="102"/>
    </row>
    <row r="438" ht="15.75" customHeight="1">
      <c r="A438" s="102"/>
      <c r="B438" s="103"/>
      <c r="C438" s="103"/>
      <c r="D438" s="104"/>
      <c r="E438" s="103"/>
      <c r="F438" s="102"/>
      <c r="G438" s="102"/>
      <c r="H438" s="102"/>
      <c r="I438" s="102"/>
      <c r="J438" s="102"/>
      <c r="K438" s="102"/>
      <c r="L438" s="102"/>
      <c r="M438" s="102"/>
      <c r="N438" s="102"/>
      <c r="O438" s="102"/>
      <c r="P438" s="102"/>
      <c r="Q438" s="102"/>
      <c r="R438" s="102"/>
      <c r="S438" s="102"/>
      <c r="T438" s="102"/>
      <c r="U438" s="102"/>
      <c r="V438" s="102"/>
      <c r="W438" s="102"/>
      <c r="X438" s="102"/>
      <c r="Y438" s="102"/>
      <c r="Z438" s="102"/>
    </row>
    <row r="439" ht="15.75" customHeight="1">
      <c r="A439" s="102"/>
      <c r="B439" s="103"/>
      <c r="C439" s="103"/>
      <c r="D439" s="104"/>
      <c r="E439" s="103"/>
      <c r="F439" s="102"/>
      <c r="G439" s="102"/>
      <c r="H439" s="102"/>
      <c r="I439" s="102"/>
      <c r="J439" s="102"/>
      <c r="K439" s="102"/>
      <c r="L439" s="102"/>
      <c r="M439" s="102"/>
      <c r="N439" s="102"/>
      <c r="O439" s="102"/>
      <c r="P439" s="102"/>
      <c r="Q439" s="102"/>
      <c r="R439" s="102"/>
      <c r="S439" s="102"/>
      <c r="T439" s="102"/>
      <c r="U439" s="102"/>
      <c r="V439" s="102"/>
      <c r="W439" s="102"/>
      <c r="X439" s="102"/>
      <c r="Y439" s="102"/>
      <c r="Z439" s="102"/>
    </row>
    <row r="440" ht="15.75" customHeight="1">
      <c r="A440" s="102"/>
      <c r="B440" s="103"/>
      <c r="C440" s="103"/>
      <c r="D440" s="104"/>
      <c r="E440" s="103"/>
      <c r="F440" s="102"/>
      <c r="G440" s="102"/>
      <c r="H440" s="102"/>
      <c r="I440" s="102"/>
      <c r="J440" s="102"/>
      <c r="K440" s="102"/>
      <c r="L440" s="102"/>
      <c r="M440" s="102"/>
      <c r="N440" s="102"/>
      <c r="O440" s="102"/>
      <c r="P440" s="102"/>
      <c r="Q440" s="102"/>
      <c r="R440" s="102"/>
      <c r="S440" s="102"/>
      <c r="T440" s="102"/>
      <c r="U440" s="102"/>
      <c r="V440" s="102"/>
      <c r="W440" s="102"/>
      <c r="X440" s="102"/>
      <c r="Y440" s="102"/>
      <c r="Z440" s="102"/>
    </row>
    <row r="441" ht="15.75" customHeight="1">
      <c r="A441" s="102"/>
      <c r="B441" s="103"/>
      <c r="C441" s="103"/>
      <c r="D441" s="104"/>
      <c r="E441" s="103"/>
      <c r="F441" s="102"/>
      <c r="G441" s="102"/>
      <c r="H441" s="102"/>
      <c r="I441" s="102"/>
      <c r="J441" s="102"/>
      <c r="K441" s="102"/>
      <c r="L441" s="102"/>
      <c r="M441" s="102"/>
      <c r="N441" s="102"/>
      <c r="O441" s="102"/>
      <c r="P441" s="102"/>
      <c r="Q441" s="102"/>
      <c r="R441" s="102"/>
      <c r="S441" s="102"/>
      <c r="T441" s="102"/>
      <c r="U441" s="102"/>
      <c r="V441" s="102"/>
      <c r="W441" s="102"/>
      <c r="X441" s="102"/>
      <c r="Y441" s="102"/>
      <c r="Z441" s="102"/>
    </row>
    <row r="442" ht="15.75" customHeight="1">
      <c r="A442" s="102"/>
      <c r="B442" s="103"/>
      <c r="C442" s="103"/>
      <c r="D442" s="104"/>
      <c r="E442" s="103"/>
      <c r="F442" s="102"/>
      <c r="G442" s="102"/>
      <c r="H442" s="102"/>
      <c r="I442" s="102"/>
      <c r="J442" s="102"/>
      <c r="K442" s="102"/>
      <c r="L442" s="102"/>
      <c r="M442" s="102"/>
      <c r="N442" s="102"/>
      <c r="O442" s="102"/>
      <c r="P442" s="102"/>
      <c r="Q442" s="102"/>
      <c r="R442" s="102"/>
      <c r="S442" s="102"/>
      <c r="T442" s="102"/>
      <c r="U442" s="102"/>
      <c r="V442" s="102"/>
      <c r="W442" s="102"/>
      <c r="X442" s="102"/>
      <c r="Y442" s="102"/>
      <c r="Z442" s="102"/>
    </row>
    <row r="443" ht="15.75" customHeight="1">
      <c r="A443" s="102"/>
      <c r="B443" s="103"/>
      <c r="C443" s="103"/>
      <c r="D443" s="104"/>
      <c r="E443" s="103"/>
      <c r="F443" s="102"/>
      <c r="G443" s="102"/>
      <c r="H443" s="102"/>
      <c r="I443" s="102"/>
      <c r="J443" s="102"/>
      <c r="K443" s="102"/>
      <c r="L443" s="102"/>
      <c r="M443" s="102"/>
      <c r="N443" s="102"/>
      <c r="O443" s="102"/>
      <c r="P443" s="102"/>
      <c r="Q443" s="102"/>
      <c r="R443" s="102"/>
      <c r="S443" s="102"/>
      <c r="T443" s="102"/>
      <c r="U443" s="102"/>
      <c r="V443" s="102"/>
      <c r="W443" s="102"/>
      <c r="X443" s="102"/>
      <c r="Y443" s="102"/>
      <c r="Z443" s="102"/>
    </row>
    <row r="444" ht="15.75" customHeight="1">
      <c r="A444" s="102"/>
      <c r="B444" s="103"/>
      <c r="C444" s="103"/>
      <c r="D444" s="104"/>
      <c r="E444" s="103"/>
      <c r="F444" s="102"/>
      <c r="G444" s="102"/>
      <c r="H444" s="102"/>
      <c r="I444" s="102"/>
      <c r="J444" s="102"/>
      <c r="K444" s="102"/>
      <c r="L444" s="102"/>
      <c r="M444" s="102"/>
      <c r="N444" s="102"/>
      <c r="O444" s="102"/>
      <c r="P444" s="102"/>
      <c r="Q444" s="102"/>
      <c r="R444" s="102"/>
      <c r="S444" s="102"/>
      <c r="T444" s="102"/>
      <c r="U444" s="102"/>
      <c r="V444" s="102"/>
      <c r="W444" s="102"/>
      <c r="X444" s="102"/>
      <c r="Y444" s="102"/>
      <c r="Z444" s="102"/>
    </row>
    <row r="445" ht="15.75" customHeight="1">
      <c r="A445" s="102"/>
      <c r="B445" s="103"/>
      <c r="C445" s="103"/>
      <c r="D445" s="104"/>
      <c r="E445" s="103"/>
      <c r="F445" s="102"/>
      <c r="G445" s="102"/>
      <c r="H445" s="102"/>
      <c r="I445" s="102"/>
      <c r="J445" s="102"/>
      <c r="K445" s="102"/>
      <c r="L445" s="102"/>
      <c r="M445" s="102"/>
      <c r="N445" s="102"/>
      <c r="O445" s="102"/>
      <c r="P445" s="102"/>
      <c r="Q445" s="102"/>
      <c r="R445" s="102"/>
      <c r="S445" s="102"/>
      <c r="T445" s="102"/>
      <c r="U445" s="102"/>
      <c r="V445" s="102"/>
      <c r="W445" s="102"/>
      <c r="X445" s="102"/>
      <c r="Y445" s="102"/>
      <c r="Z445" s="102"/>
    </row>
    <row r="446" ht="15.75" customHeight="1">
      <c r="A446" s="102"/>
      <c r="B446" s="103"/>
      <c r="C446" s="103"/>
      <c r="D446" s="104"/>
      <c r="E446" s="103"/>
      <c r="F446" s="102"/>
      <c r="G446" s="102"/>
      <c r="H446" s="102"/>
      <c r="I446" s="102"/>
      <c r="J446" s="102"/>
      <c r="K446" s="102"/>
      <c r="L446" s="102"/>
      <c r="M446" s="102"/>
      <c r="N446" s="102"/>
      <c r="O446" s="102"/>
      <c r="P446" s="102"/>
      <c r="Q446" s="102"/>
      <c r="R446" s="102"/>
      <c r="S446" s="102"/>
      <c r="T446" s="102"/>
      <c r="U446" s="102"/>
      <c r="V446" s="102"/>
      <c r="W446" s="102"/>
      <c r="X446" s="102"/>
      <c r="Y446" s="102"/>
      <c r="Z446" s="102"/>
    </row>
    <row r="447" ht="15.75" customHeight="1">
      <c r="A447" s="102"/>
      <c r="B447" s="103"/>
      <c r="C447" s="103"/>
      <c r="D447" s="104"/>
      <c r="E447" s="103"/>
      <c r="F447" s="102"/>
      <c r="G447" s="102"/>
      <c r="H447" s="102"/>
      <c r="I447" s="102"/>
      <c r="J447" s="102"/>
      <c r="K447" s="102"/>
      <c r="L447" s="102"/>
      <c r="M447" s="102"/>
      <c r="N447" s="102"/>
      <c r="O447" s="102"/>
      <c r="P447" s="102"/>
      <c r="Q447" s="102"/>
      <c r="R447" s="102"/>
      <c r="S447" s="102"/>
      <c r="T447" s="102"/>
      <c r="U447" s="102"/>
      <c r="V447" s="102"/>
      <c r="W447" s="102"/>
      <c r="X447" s="102"/>
      <c r="Y447" s="102"/>
      <c r="Z447" s="102"/>
    </row>
    <row r="448" ht="15.75" customHeight="1">
      <c r="A448" s="102"/>
      <c r="B448" s="103"/>
      <c r="C448" s="103"/>
      <c r="D448" s="104"/>
      <c r="E448" s="103"/>
      <c r="F448" s="102"/>
      <c r="G448" s="102"/>
      <c r="H448" s="102"/>
      <c r="I448" s="102"/>
      <c r="J448" s="102"/>
      <c r="K448" s="102"/>
      <c r="L448" s="102"/>
      <c r="M448" s="102"/>
      <c r="N448" s="102"/>
      <c r="O448" s="102"/>
      <c r="P448" s="102"/>
      <c r="Q448" s="102"/>
      <c r="R448" s="102"/>
      <c r="S448" s="102"/>
      <c r="T448" s="102"/>
      <c r="U448" s="102"/>
      <c r="V448" s="102"/>
      <c r="W448" s="102"/>
      <c r="X448" s="102"/>
      <c r="Y448" s="102"/>
      <c r="Z448" s="102"/>
    </row>
    <row r="449" ht="15.75" customHeight="1">
      <c r="A449" s="102"/>
      <c r="B449" s="103"/>
      <c r="C449" s="103"/>
      <c r="D449" s="104"/>
      <c r="E449" s="103"/>
      <c r="F449" s="102"/>
      <c r="G449" s="102"/>
      <c r="H449" s="102"/>
      <c r="I449" s="102"/>
      <c r="J449" s="102"/>
      <c r="K449" s="102"/>
      <c r="L449" s="102"/>
      <c r="M449" s="102"/>
      <c r="N449" s="102"/>
      <c r="O449" s="102"/>
      <c r="P449" s="102"/>
      <c r="Q449" s="102"/>
      <c r="R449" s="102"/>
      <c r="S449" s="102"/>
      <c r="T449" s="102"/>
      <c r="U449" s="102"/>
      <c r="V449" s="102"/>
      <c r="W449" s="102"/>
      <c r="X449" s="102"/>
      <c r="Y449" s="102"/>
      <c r="Z449" s="102"/>
    </row>
    <row r="450" ht="15.75" customHeight="1">
      <c r="A450" s="102"/>
      <c r="B450" s="103"/>
      <c r="C450" s="103"/>
      <c r="D450" s="104"/>
      <c r="E450" s="103"/>
      <c r="F450" s="102"/>
      <c r="G450" s="102"/>
      <c r="H450" s="102"/>
      <c r="I450" s="102"/>
      <c r="J450" s="102"/>
      <c r="K450" s="102"/>
      <c r="L450" s="102"/>
      <c r="M450" s="102"/>
      <c r="N450" s="102"/>
      <c r="O450" s="102"/>
      <c r="P450" s="102"/>
      <c r="Q450" s="102"/>
      <c r="R450" s="102"/>
      <c r="S450" s="102"/>
      <c r="T450" s="102"/>
      <c r="U450" s="102"/>
      <c r="V450" s="102"/>
      <c r="W450" s="102"/>
      <c r="X450" s="102"/>
      <c r="Y450" s="102"/>
      <c r="Z450" s="102"/>
    </row>
    <row r="451" ht="15.75" customHeight="1">
      <c r="A451" s="102"/>
      <c r="B451" s="103"/>
      <c r="C451" s="103"/>
      <c r="D451" s="104"/>
      <c r="E451" s="103"/>
      <c r="F451" s="102"/>
      <c r="G451" s="102"/>
      <c r="H451" s="102"/>
      <c r="I451" s="102"/>
      <c r="J451" s="102"/>
      <c r="K451" s="102"/>
      <c r="L451" s="102"/>
      <c r="M451" s="102"/>
      <c r="N451" s="102"/>
      <c r="O451" s="102"/>
      <c r="P451" s="102"/>
      <c r="Q451" s="102"/>
      <c r="R451" s="102"/>
      <c r="S451" s="102"/>
      <c r="T451" s="102"/>
      <c r="U451" s="102"/>
      <c r="V451" s="102"/>
      <c r="W451" s="102"/>
      <c r="X451" s="102"/>
      <c r="Y451" s="102"/>
      <c r="Z451" s="102"/>
    </row>
    <row r="452" ht="15.75" customHeight="1">
      <c r="A452" s="102"/>
      <c r="B452" s="103"/>
      <c r="C452" s="103"/>
      <c r="D452" s="104"/>
      <c r="E452" s="103"/>
      <c r="F452" s="102"/>
      <c r="G452" s="102"/>
      <c r="H452" s="102"/>
      <c r="I452" s="102"/>
      <c r="J452" s="102"/>
      <c r="K452" s="102"/>
      <c r="L452" s="102"/>
      <c r="M452" s="102"/>
      <c r="N452" s="102"/>
      <c r="O452" s="102"/>
      <c r="P452" s="102"/>
      <c r="Q452" s="102"/>
      <c r="R452" s="102"/>
      <c r="S452" s="102"/>
      <c r="T452" s="102"/>
      <c r="U452" s="102"/>
      <c r="V452" s="102"/>
      <c r="W452" s="102"/>
      <c r="X452" s="102"/>
      <c r="Y452" s="102"/>
      <c r="Z452" s="102"/>
    </row>
    <row r="453" ht="15.75" customHeight="1">
      <c r="A453" s="102"/>
      <c r="B453" s="103"/>
      <c r="C453" s="103"/>
      <c r="D453" s="104"/>
      <c r="E453" s="103"/>
      <c r="F453" s="102"/>
      <c r="G453" s="102"/>
      <c r="H453" s="102"/>
      <c r="I453" s="102"/>
      <c r="J453" s="102"/>
      <c r="K453" s="102"/>
      <c r="L453" s="102"/>
      <c r="M453" s="102"/>
      <c r="N453" s="102"/>
      <c r="O453" s="102"/>
      <c r="P453" s="102"/>
      <c r="Q453" s="102"/>
      <c r="R453" s="102"/>
      <c r="S453" s="102"/>
      <c r="T453" s="102"/>
      <c r="U453" s="102"/>
      <c r="V453" s="102"/>
      <c r="W453" s="102"/>
      <c r="X453" s="102"/>
      <c r="Y453" s="102"/>
      <c r="Z453" s="102"/>
    </row>
    <row r="454" ht="15.75" customHeight="1">
      <c r="A454" s="102"/>
      <c r="B454" s="103"/>
      <c r="C454" s="103"/>
      <c r="D454" s="104"/>
      <c r="E454" s="103"/>
      <c r="F454" s="102"/>
      <c r="G454" s="102"/>
      <c r="H454" s="102"/>
      <c r="I454" s="102"/>
      <c r="J454" s="102"/>
      <c r="K454" s="102"/>
      <c r="L454" s="102"/>
      <c r="M454" s="102"/>
      <c r="N454" s="102"/>
      <c r="O454" s="102"/>
      <c r="P454" s="102"/>
      <c r="Q454" s="102"/>
      <c r="R454" s="102"/>
      <c r="S454" s="102"/>
      <c r="T454" s="102"/>
      <c r="U454" s="102"/>
      <c r="V454" s="102"/>
      <c r="W454" s="102"/>
      <c r="X454" s="102"/>
      <c r="Y454" s="102"/>
      <c r="Z454" s="102"/>
    </row>
    <row r="455" ht="15.75" customHeight="1">
      <c r="A455" s="102"/>
      <c r="B455" s="103"/>
      <c r="C455" s="103"/>
      <c r="D455" s="104"/>
      <c r="E455" s="103"/>
      <c r="F455" s="102"/>
      <c r="G455" s="102"/>
      <c r="H455" s="102"/>
      <c r="I455" s="102"/>
      <c r="J455" s="102"/>
      <c r="K455" s="102"/>
      <c r="L455" s="102"/>
      <c r="M455" s="102"/>
      <c r="N455" s="102"/>
      <c r="O455" s="102"/>
      <c r="P455" s="102"/>
      <c r="Q455" s="102"/>
      <c r="R455" s="102"/>
      <c r="S455" s="102"/>
      <c r="T455" s="102"/>
      <c r="U455" s="102"/>
      <c r="V455" s="102"/>
      <c r="W455" s="102"/>
      <c r="X455" s="102"/>
      <c r="Y455" s="102"/>
      <c r="Z455" s="102"/>
    </row>
    <row r="456" ht="15.75" customHeight="1">
      <c r="A456" s="102"/>
      <c r="B456" s="103"/>
      <c r="C456" s="103"/>
      <c r="D456" s="104"/>
      <c r="E456" s="103"/>
      <c r="F456" s="102"/>
      <c r="G456" s="102"/>
      <c r="H456" s="102"/>
      <c r="I456" s="102"/>
      <c r="J456" s="102"/>
      <c r="K456" s="102"/>
      <c r="L456" s="102"/>
      <c r="M456" s="102"/>
      <c r="N456" s="102"/>
      <c r="O456" s="102"/>
      <c r="P456" s="102"/>
      <c r="Q456" s="102"/>
      <c r="R456" s="102"/>
      <c r="S456" s="102"/>
      <c r="T456" s="102"/>
      <c r="U456" s="102"/>
      <c r="V456" s="102"/>
      <c r="W456" s="102"/>
      <c r="X456" s="102"/>
      <c r="Y456" s="102"/>
      <c r="Z456" s="102"/>
    </row>
    <row r="457" ht="15.75" customHeight="1">
      <c r="A457" s="102"/>
      <c r="B457" s="103"/>
      <c r="C457" s="103"/>
      <c r="D457" s="104"/>
      <c r="E457" s="103"/>
      <c r="F457" s="102"/>
      <c r="G457" s="102"/>
      <c r="H457" s="102"/>
      <c r="I457" s="102"/>
      <c r="J457" s="102"/>
      <c r="K457" s="102"/>
      <c r="L457" s="102"/>
      <c r="M457" s="102"/>
      <c r="N457" s="102"/>
      <c r="O457" s="102"/>
      <c r="P457" s="102"/>
      <c r="Q457" s="102"/>
      <c r="R457" s="102"/>
      <c r="S457" s="102"/>
      <c r="T457" s="102"/>
      <c r="U457" s="102"/>
      <c r="V457" s="102"/>
      <c r="W457" s="102"/>
      <c r="X457" s="102"/>
      <c r="Y457" s="102"/>
      <c r="Z457" s="102"/>
    </row>
    <row r="458" ht="15.75" customHeight="1">
      <c r="A458" s="102"/>
      <c r="B458" s="103"/>
      <c r="C458" s="103"/>
      <c r="D458" s="104"/>
      <c r="E458" s="103"/>
      <c r="F458" s="102"/>
      <c r="G458" s="102"/>
      <c r="H458" s="102"/>
      <c r="I458" s="102"/>
      <c r="J458" s="102"/>
      <c r="K458" s="102"/>
      <c r="L458" s="102"/>
      <c r="M458" s="102"/>
      <c r="N458" s="102"/>
      <c r="O458" s="102"/>
      <c r="P458" s="102"/>
      <c r="Q458" s="102"/>
      <c r="R458" s="102"/>
      <c r="S458" s="102"/>
      <c r="T458" s="102"/>
      <c r="U458" s="102"/>
      <c r="V458" s="102"/>
      <c r="W458" s="102"/>
      <c r="X458" s="102"/>
      <c r="Y458" s="102"/>
      <c r="Z458" s="102"/>
    </row>
    <row r="459" ht="15.75" customHeight="1">
      <c r="A459" s="102"/>
      <c r="B459" s="103"/>
      <c r="C459" s="103"/>
      <c r="D459" s="104"/>
      <c r="E459" s="103"/>
      <c r="F459" s="102"/>
      <c r="G459" s="102"/>
      <c r="H459" s="102"/>
      <c r="I459" s="102"/>
      <c r="J459" s="102"/>
      <c r="K459" s="102"/>
      <c r="L459" s="102"/>
      <c r="M459" s="102"/>
      <c r="N459" s="102"/>
      <c r="O459" s="102"/>
      <c r="P459" s="102"/>
      <c r="Q459" s="102"/>
      <c r="R459" s="102"/>
      <c r="S459" s="102"/>
      <c r="T459" s="102"/>
      <c r="U459" s="102"/>
      <c r="V459" s="102"/>
      <c r="W459" s="102"/>
      <c r="X459" s="102"/>
      <c r="Y459" s="102"/>
      <c r="Z459" s="102"/>
    </row>
    <row r="460" ht="15.75" customHeight="1">
      <c r="A460" s="102"/>
      <c r="B460" s="103"/>
      <c r="C460" s="103"/>
      <c r="D460" s="104"/>
      <c r="E460" s="103"/>
      <c r="F460" s="102"/>
      <c r="G460" s="102"/>
      <c r="H460" s="102"/>
      <c r="I460" s="102"/>
      <c r="J460" s="102"/>
      <c r="K460" s="102"/>
      <c r="L460" s="102"/>
      <c r="M460" s="102"/>
      <c r="N460" s="102"/>
      <c r="O460" s="102"/>
      <c r="P460" s="102"/>
      <c r="Q460" s="102"/>
      <c r="R460" s="102"/>
      <c r="S460" s="102"/>
      <c r="T460" s="102"/>
      <c r="U460" s="102"/>
      <c r="V460" s="102"/>
      <c r="W460" s="102"/>
      <c r="X460" s="102"/>
      <c r="Y460" s="102"/>
      <c r="Z460" s="102"/>
    </row>
    <row r="461" ht="15.75" customHeight="1">
      <c r="A461" s="102"/>
      <c r="B461" s="103"/>
      <c r="C461" s="103"/>
      <c r="D461" s="104"/>
      <c r="E461" s="103"/>
      <c r="F461" s="102"/>
      <c r="G461" s="102"/>
      <c r="H461" s="102"/>
      <c r="I461" s="102"/>
      <c r="J461" s="102"/>
      <c r="K461" s="102"/>
      <c r="L461" s="102"/>
      <c r="M461" s="102"/>
      <c r="N461" s="102"/>
      <c r="O461" s="102"/>
      <c r="P461" s="102"/>
      <c r="Q461" s="102"/>
      <c r="R461" s="102"/>
      <c r="S461" s="102"/>
      <c r="T461" s="102"/>
      <c r="U461" s="102"/>
      <c r="V461" s="102"/>
      <c r="W461" s="102"/>
      <c r="X461" s="102"/>
      <c r="Y461" s="102"/>
      <c r="Z461" s="102"/>
    </row>
    <row r="462" ht="15.75" customHeight="1">
      <c r="A462" s="102"/>
      <c r="B462" s="103"/>
      <c r="C462" s="103"/>
      <c r="D462" s="104"/>
      <c r="E462" s="103"/>
      <c r="F462" s="102"/>
      <c r="G462" s="102"/>
      <c r="H462" s="102"/>
      <c r="I462" s="102"/>
      <c r="J462" s="102"/>
      <c r="K462" s="102"/>
      <c r="L462" s="102"/>
      <c r="M462" s="102"/>
      <c r="N462" s="102"/>
      <c r="O462" s="102"/>
      <c r="P462" s="102"/>
      <c r="Q462" s="102"/>
      <c r="R462" s="102"/>
      <c r="S462" s="102"/>
      <c r="T462" s="102"/>
      <c r="U462" s="102"/>
      <c r="V462" s="102"/>
      <c r="W462" s="102"/>
      <c r="X462" s="102"/>
      <c r="Y462" s="102"/>
      <c r="Z462" s="102"/>
    </row>
    <row r="463" ht="15.75" customHeight="1">
      <c r="A463" s="102"/>
      <c r="B463" s="103"/>
      <c r="C463" s="103"/>
      <c r="D463" s="104"/>
      <c r="E463" s="103"/>
      <c r="F463" s="102"/>
      <c r="G463" s="102"/>
      <c r="H463" s="102"/>
      <c r="I463" s="102"/>
      <c r="J463" s="102"/>
      <c r="K463" s="102"/>
      <c r="L463" s="102"/>
      <c r="M463" s="102"/>
      <c r="N463" s="102"/>
      <c r="O463" s="102"/>
      <c r="P463" s="102"/>
      <c r="Q463" s="102"/>
      <c r="R463" s="102"/>
      <c r="S463" s="102"/>
      <c r="T463" s="102"/>
      <c r="U463" s="102"/>
      <c r="V463" s="102"/>
      <c r="W463" s="102"/>
      <c r="X463" s="102"/>
      <c r="Y463" s="102"/>
      <c r="Z463" s="102"/>
    </row>
    <row r="464" ht="15.75" customHeight="1">
      <c r="A464" s="102"/>
      <c r="B464" s="103"/>
      <c r="C464" s="103"/>
      <c r="D464" s="104"/>
      <c r="E464" s="103"/>
      <c r="F464" s="102"/>
      <c r="G464" s="102"/>
      <c r="H464" s="102"/>
      <c r="I464" s="102"/>
      <c r="J464" s="102"/>
      <c r="K464" s="102"/>
      <c r="L464" s="102"/>
      <c r="M464" s="102"/>
      <c r="N464" s="102"/>
      <c r="O464" s="102"/>
      <c r="P464" s="102"/>
      <c r="Q464" s="102"/>
      <c r="R464" s="102"/>
      <c r="S464" s="102"/>
      <c r="T464" s="102"/>
      <c r="U464" s="102"/>
      <c r="V464" s="102"/>
      <c r="W464" s="102"/>
      <c r="X464" s="102"/>
      <c r="Y464" s="102"/>
      <c r="Z464" s="102"/>
    </row>
    <row r="465" ht="15.75" customHeight="1">
      <c r="A465" s="102"/>
      <c r="B465" s="103"/>
      <c r="C465" s="103"/>
      <c r="D465" s="104"/>
      <c r="E465" s="103"/>
      <c r="F465" s="102"/>
      <c r="G465" s="102"/>
      <c r="H465" s="102"/>
      <c r="I465" s="102"/>
      <c r="J465" s="102"/>
      <c r="K465" s="102"/>
      <c r="L465" s="102"/>
      <c r="M465" s="102"/>
      <c r="N465" s="102"/>
      <c r="O465" s="102"/>
      <c r="P465" s="102"/>
      <c r="Q465" s="102"/>
      <c r="R465" s="102"/>
      <c r="S465" s="102"/>
      <c r="T465" s="102"/>
      <c r="U465" s="102"/>
      <c r="V465" s="102"/>
      <c r="W465" s="102"/>
      <c r="X465" s="102"/>
      <c r="Y465" s="102"/>
      <c r="Z465" s="102"/>
    </row>
    <row r="466" ht="15.75" customHeight="1">
      <c r="A466" s="102"/>
      <c r="B466" s="103"/>
      <c r="C466" s="103"/>
      <c r="D466" s="104"/>
      <c r="E466" s="103"/>
      <c r="F466" s="102"/>
      <c r="G466" s="102"/>
      <c r="H466" s="102"/>
      <c r="I466" s="102"/>
      <c r="J466" s="102"/>
      <c r="K466" s="102"/>
      <c r="L466" s="102"/>
      <c r="M466" s="102"/>
      <c r="N466" s="102"/>
      <c r="O466" s="102"/>
      <c r="P466" s="102"/>
      <c r="Q466" s="102"/>
      <c r="R466" s="102"/>
      <c r="S466" s="102"/>
      <c r="T466" s="102"/>
      <c r="U466" s="102"/>
      <c r="V466" s="102"/>
      <c r="W466" s="102"/>
      <c r="X466" s="102"/>
      <c r="Y466" s="102"/>
      <c r="Z466" s="102"/>
    </row>
    <row r="467" ht="15.75" customHeight="1">
      <c r="A467" s="102"/>
      <c r="B467" s="103"/>
      <c r="C467" s="103"/>
      <c r="D467" s="104"/>
      <c r="E467" s="103"/>
      <c r="F467" s="102"/>
      <c r="G467" s="102"/>
      <c r="H467" s="102"/>
      <c r="I467" s="102"/>
      <c r="J467" s="102"/>
      <c r="K467" s="102"/>
      <c r="L467" s="102"/>
      <c r="M467" s="102"/>
      <c r="N467" s="102"/>
      <c r="O467" s="102"/>
      <c r="P467" s="102"/>
      <c r="Q467" s="102"/>
      <c r="R467" s="102"/>
      <c r="S467" s="102"/>
      <c r="T467" s="102"/>
      <c r="U467" s="102"/>
      <c r="V467" s="102"/>
      <c r="W467" s="102"/>
      <c r="X467" s="102"/>
      <c r="Y467" s="102"/>
      <c r="Z467" s="102"/>
    </row>
    <row r="468" ht="15.75" customHeight="1">
      <c r="A468" s="102"/>
      <c r="B468" s="103"/>
      <c r="C468" s="103"/>
      <c r="D468" s="104"/>
      <c r="E468" s="103"/>
      <c r="F468" s="102"/>
      <c r="G468" s="102"/>
      <c r="H468" s="102"/>
      <c r="I468" s="102"/>
      <c r="J468" s="102"/>
      <c r="K468" s="102"/>
      <c r="L468" s="102"/>
      <c r="M468" s="102"/>
      <c r="N468" s="102"/>
      <c r="O468" s="102"/>
      <c r="P468" s="102"/>
      <c r="Q468" s="102"/>
      <c r="R468" s="102"/>
      <c r="S468" s="102"/>
      <c r="T468" s="102"/>
      <c r="U468" s="102"/>
      <c r="V468" s="102"/>
      <c r="W468" s="102"/>
      <c r="X468" s="102"/>
      <c r="Y468" s="102"/>
      <c r="Z468" s="102"/>
    </row>
    <row r="469" ht="15.75" customHeight="1">
      <c r="A469" s="102"/>
      <c r="B469" s="103"/>
      <c r="C469" s="103"/>
      <c r="D469" s="104"/>
      <c r="E469" s="103"/>
      <c r="F469" s="102"/>
      <c r="G469" s="102"/>
      <c r="H469" s="102"/>
      <c r="I469" s="102"/>
      <c r="J469" s="102"/>
      <c r="K469" s="102"/>
      <c r="L469" s="102"/>
      <c r="M469" s="102"/>
      <c r="N469" s="102"/>
      <c r="O469" s="102"/>
      <c r="P469" s="102"/>
      <c r="Q469" s="102"/>
      <c r="R469" s="102"/>
      <c r="S469" s="102"/>
      <c r="T469" s="102"/>
      <c r="U469" s="102"/>
      <c r="V469" s="102"/>
      <c r="W469" s="102"/>
      <c r="X469" s="102"/>
      <c r="Y469" s="102"/>
      <c r="Z469" s="102"/>
    </row>
    <row r="470" ht="15.75" customHeight="1">
      <c r="A470" s="102"/>
      <c r="B470" s="103"/>
      <c r="C470" s="103"/>
      <c r="D470" s="104"/>
      <c r="E470" s="103"/>
      <c r="F470" s="102"/>
      <c r="G470" s="102"/>
      <c r="H470" s="102"/>
      <c r="I470" s="102"/>
      <c r="J470" s="102"/>
      <c r="K470" s="102"/>
      <c r="L470" s="102"/>
      <c r="M470" s="102"/>
      <c r="N470" s="102"/>
      <c r="O470" s="102"/>
      <c r="P470" s="102"/>
      <c r="Q470" s="102"/>
      <c r="R470" s="102"/>
      <c r="S470" s="102"/>
      <c r="T470" s="102"/>
      <c r="U470" s="102"/>
      <c r="V470" s="102"/>
      <c r="W470" s="102"/>
      <c r="X470" s="102"/>
      <c r="Y470" s="102"/>
      <c r="Z470" s="102"/>
    </row>
    <row r="471" ht="15.75" customHeight="1">
      <c r="A471" s="102"/>
      <c r="B471" s="103"/>
      <c r="C471" s="103"/>
      <c r="D471" s="104"/>
      <c r="E471" s="103"/>
      <c r="F471" s="102"/>
      <c r="G471" s="102"/>
      <c r="H471" s="102"/>
      <c r="I471" s="102"/>
      <c r="J471" s="102"/>
      <c r="K471" s="102"/>
      <c r="L471" s="102"/>
      <c r="M471" s="102"/>
      <c r="N471" s="102"/>
      <c r="O471" s="102"/>
      <c r="P471" s="102"/>
      <c r="Q471" s="102"/>
      <c r="R471" s="102"/>
      <c r="S471" s="102"/>
      <c r="T471" s="102"/>
      <c r="U471" s="102"/>
      <c r="V471" s="102"/>
      <c r="W471" s="102"/>
      <c r="X471" s="102"/>
      <c r="Y471" s="102"/>
      <c r="Z471" s="102"/>
    </row>
    <row r="472" ht="15.75" customHeight="1">
      <c r="A472" s="102"/>
      <c r="B472" s="103"/>
      <c r="C472" s="103"/>
      <c r="D472" s="104"/>
      <c r="E472" s="103"/>
      <c r="F472" s="102"/>
      <c r="G472" s="102"/>
      <c r="H472" s="102"/>
      <c r="I472" s="102"/>
      <c r="J472" s="102"/>
      <c r="K472" s="102"/>
      <c r="L472" s="102"/>
      <c r="M472" s="102"/>
      <c r="N472" s="102"/>
      <c r="O472" s="102"/>
      <c r="P472" s="102"/>
      <c r="Q472" s="102"/>
      <c r="R472" s="102"/>
      <c r="S472" s="102"/>
      <c r="T472" s="102"/>
      <c r="U472" s="102"/>
      <c r="V472" s="102"/>
      <c r="W472" s="102"/>
      <c r="X472" s="102"/>
      <c r="Y472" s="102"/>
      <c r="Z472" s="102"/>
    </row>
    <row r="473" ht="15.75" customHeight="1">
      <c r="A473" s="102"/>
      <c r="B473" s="103"/>
      <c r="C473" s="103"/>
      <c r="D473" s="104"/>
      <c r="E473" s="103"/>
      <c r="F473" s="102"/>
      <c r="G473" s="102"/>
      <c r="H473" s="102"/>
      <c r="I473" s="102"/>
      <c r="J473" s="102"/>
      <c r="K473" s="102"/>
      <c r="L473" s="102"/>
      <c r="M473" s="102"/>
      <c r="N473" s="102"/>
      <c r="O473" s="102"/>
      <c r="P473" s="102"/>
      <c r="Q473" s="102"/>
      <c r="R473" s="102"/>
      <c r="S473" s="102"/>
      <c r="T473" s="102"/>
      <c r="U473" s="102"/>
      <c r="V473" s="102"/>
      <c r="W473" s="102"/>
      <c r="X473" s="102"/>
      <c r="Y473" s="102"/>
      <c r="Z473" s="102"/>
    </row>
    <row r="474" ht="15.75" customHeight="1">
      <c r="A474" s="102"/>
      <c r="B474" s="103"/>
      <c r="C474" s="103"/>
      <c r="D474" s="104"/>
      <c r="E474" s="103"/>
      <c r="F474" s="102"/>
      <c r="G474" s="102"/>
      <c r="H474" s="102"/>
      <c r="I474" s="102"/>
      <c r="J474" s="102"/>
      <c r="K474" s="102"/>
      <c r="L474" s="102"/>
      <c r="M474" s="102"/>
      <c r="N474" s="102"/>
      <c r="O474" s="102"/>
      <c r="P474" s="102"/>
      <c r="Q474" s="102"/>
      <c r="R474" s="102"/>
      <c r="S474" s="102"/>
      <c r="T474" s="102"/>
      <c r="U474" s="102"/>
      <c r="V474" s="102"/>
      <c r="W474" s="102"/>
      <c r="X474" s="102"/>
      <c r="Y474" s="102"/>
      <c r="Z474" s="102"/>
    </row>
    <row r="475" ht="15.75" customHeight="1">
      <c r="A475" s="102"/>
      <c r="B475" s="103"/>
      <c r="C475" s="103"/>
      <c r="D475" s="104"/>
      <c r="E475" s="103"/>
      <c r="F475" s="102"/>
      <c r="G475" s="102"/>
      <c r="H475" s="102"/>
      <c r="I475" s="102"/>
      <c r="J475" s="102"/>
      <c r="K475" s="102"/>
      <c r="L475" s="102"/>
      <c r="M475" s="102"/>
      <c r="N475" s="102"/>
      <c r="O475" s="102"/>
      <c r="P475" s="102"/>
      <c r="Q475" s="102"/>
      <c r="R475" s="102"/>
      <c r="S475" s="102"/>
      <c r="T475" s="102"/>
      <c r="U475" s="102"/>
      <c r="V475" s="102"/>
      <c r="W475" s="102"/>
      <c r="X475" s="102"/>
      <c r="Y475" s="102"/>
      <c r="Z475" s="102"/>
    </row>
    <row r="476" ht="15.75" customHeight="1">
      <c r="A476" s="102"/>
      <c r="B476" s="103"/>
      <c r="C476" s="103"/>
      <c r="D476" s="104"/>
      <c r="E476" s="103"/>
      <c r="F476" s="102"/>
      <c r="G476" s="102"/>
      <c r="H476" s="102"/>
      <c r="I476" s="102"/>
      <c r="J476" s="102"/>
      <c r="K476" s="102"/>
      <c r="L476" s="102"/>
      <c r="M476" s="102"/>
      <c r="N476" s="102"/>
      <c r="O476" s="102"/>
      <c r="P476" s="102"/>
      <c r="Q476" s="102"/>
      <c r="R476" s="102"/>
      <c r="S476" s="102"/>
      <c r="T476" s="102"/>
      <c r="U476" s="102"/>
      <c r="V476" s="102"/>
      <c r="W476" s="102"/>
      <c r="X476" s="102"/>
      <c r="Y476" s="102"/>
      <c r="Z476" s="102"/>
    </row>
    <row r="477" ht="15.75" customHeight="1">
      <c r="A477" s="102"/>
      <c r="B477" s="103"/>
      <c r="C477" s="103"/>
      <c r="D477" s="104"/>
      <c r="E477" s="103"/>
      <c r="F477" s="102"/>
      <c r="G477" s="102"/>
      <c r="H477" s="102"/>
      <c r="I477" s="102"/>
      <c r="J477" s="102"/>
      <c r="K477" s="102"/>
      <c r="L477" s="102"/>
      <c r="M477" s="102"/>
      <c r="N477" s="102"/>
      <c r="O477" s="102"/>
      <c r="P477" s="102"/>
      <c r="Q477" s="102"/>
      <c r="R477" s="102"/>
      <c r="S477" s="102"/>
      <c r="T477" s="102"/>
      <c r="U477" s="102"/>
      <c r="V477" s="102"/>
      <c r="W477" s="102"/>
      <c r="X477" s="102"/>
      <c r="Y477" s="102"/>
      <c r="Z477" s="102"/>
    </row>
    <row r="478" ht="15.75" customHeight="1">
      <c r="A478" s="102"/>
      <c r="B478" s="103"/>
      <c r="C478" s="103"/>
      <c r="D478" s="104"/>
      <c r="E478" s="103"/>
      <c r="F478" s="102"/>
      <c r="G478" s="102"/>
      <c r="H478" s="102"/>
      <c r="I478" s="102"/>
      <c r="J478" s="102"/>
      <c r="K478" s="102"/>
      <c r="L478" s="102"/>
      <c r="M478" s="102"/>
      <c r="N478" s="102"/>
      <c r="O478" s="102"/>
      <c r="P478" s="102"/>
      <c r="Q478" s="102"/>
      <c r="R478" s="102"/>
      <c r="S478" s="102"/>
      <c r="T478" s="102"/>
      <c r="U478" s="102"/>
      <c r="V478" s="102"/>
      <c r="W478" s="102"/>
      <c r="X478" s="102"/>
      <c r="Y478" s="102"/>
      <c r="Z478" s="102"/>
    </row>
    <row r="479" ht="15.75" customHeight="1">
      <c r="A479" s="102"/>
      <c r="B479" s="103"/>
      <c r="C479" s="103"/>
      <c r="D479" s="104"/>
      <c r="E479" s="103"/>
      <c r="F479" s="102"/>
      <c r="G479" s="102"/>
      <c r="H479" s="102"/>
      <c r="I479" s="102"/>
      <c r="J479" s="102"/>
      <c r="K479" s="102"/>
      <c r="L479" s="102"/>
      <c r="M479" s="102"/>
      <c r="N479" s="102"/>
      <c r="O479" s="102"/>
      <c r="P479" s="102"/>
      <c r="Q479" s="102"/>
      <c r="R479" s="102"/>
      <c r="S479" s="102"/>
      <c r="T479" s="102"/>
      <c r="U479" s="102"/>
      <c r="V479" s="102"/>
      <c r="W479" s="102"/>
      <c r="X479" s="102"/>
      <c r="Y479" s="102"/>
      <c r="Z479" s="102"/>
    </row>
    <row r="480" ht="15.75" customHeight="1">
      <c r="A480" s="102"/>
      <c r="B480" s="103"/>
      <c r="C480" s="103"/>
      <c r="D480" s="104"/>
      <c r="E480" s="103"/>
      <c r="F480" s="102"/>
      <c r="G480" s="102"/>
      <c r="H480" s="102"/>
      <c r="I480" s="102"/>
      <c r="J480" s="102"/>
      <c r="K480" s="102"/>
      <c r="L480" s="102"/>
      <c r="M480" s="102"/>
      <c r="N480" s="102"/>
      <c r="O480" s="102"/>
      <c r="P480" s="102"/>
      <c r="Q480" s="102"/>
      <c r="R480" s="102"/>
      <c r="S480" s="102"/>
      <c r="T480" s="102"/>
      <c r="U480" s="102"/>
      <c r="V480" s="102"/>
      <c r="W480" s="102"/>
      <c r="X480" s="102"/>
      <c r="Y480" s="102"/>
      <c r="Z480" s="102"/>
    </row>
    <row r="481" ht="15.75" customHeight="1">
      <c r="A481" s="102"/>
      <c r="B481" s="103"/>
      <c r="C481" s="103"/>
      <c r="D481" s="104"/>
      <c r="E481" s="103"/>
      <c r="F481" s="102"/>
      <c r="G481" s="102"/>
      <c r="H481" s="102"/>
      <c r="I481" s="102"/>
      <c r="J481" s="102"/>
      <c r="K481" s="102"/>
      <c r="L481" s="102"/>
      <c r="M481" s="102"/>
      <c r="N481" s="102"/>
      <c r="O481" s="102"/>
      <c r="P481" s="102"/>
      <c r="Q481" s="102"/>
      <c r="R481" s="102"/>
      <c r="S481" s="102"/>
      <c r="T481" s="102"/>
      <c r="U481" s="102"/>
      <c r="V481" s="102"/>
      <c r="W481" s="102"/>
      <c r="X481" s="102"/>
      <c r="Y481" s="102"/>
      <c r="Z481" s="102"/>
    </row>
    <row r="482" ht="15.75" customHeight="1">
      <c r="A482" s="102"/>
      <c r="B482" s="103"/>
      <c r="C482" s="103"/>
      <c r="D482" s="104"/>
      <c r="E482" s="103"/>
      <c r="F482" s="102"/>
      <c r="G482" s="102"/>
      <c r="H482" s="102"/>
      <c r="I482" s="102"/>
      <c r="J482" s="102"/>
      <c r="K482" s="102"/>
      <c r="L482" s="102"/>
      <c r="M482" s="102"/>
      <c r="N482" s="102"/>
      <c r="O482" s="102"/>
      <c r="P482" s="102"/>
      <c r="Q482" s="102"/>
      <c r="R482" s="102"/>
      <c r="S482" s="102"/>
      <c r="T482" s="102"/>
      <c r="U482" s="102"/>
      <c r="V482" s="102"/>
      <c r="W482" s="102"/>
      <c r="X482" s="102"/>
      <c r="Y482" s="102"/>
      <c r="Z482" s="102"/>
    </row>
    <row r="483" ht="15.75" customHeight="1">
      <c r="A483" s="102"/>
      <c r="B483" s="103"/>
      <c r="C483" s="103"/>
      <c r="D483" s="104"/>
      <c r="E483" s="103"/>
      <c r="F483" s="102"/>
      <c r="G483" s="102"/>
      <c r="H483" s="102"/>
      <c r="I483" s="102"/>
      <c r="J483" s="102"/>
      <c r="K483" s="102"/>
      <c r="L483" s="102"/>
      <c r="M483" s="102"/>
      <c r="N483" s="102"/>
      <c r="O483" s="102"/>
      <c r="P483" s="102"/>
      <c r="Q483" s="102"/>
      <c r="R483" s="102"/>
      <c r="S483" s="102"/>
      <c r="T483" s="102"/>
      <c r="U483" s="102"/>
      <c r="V483" s="102"/>
      <c r="W483" s="102"/>
      <c r="X483" s="102"/>
      <c r="Y483" s="102"/>
      <c r="Z483" s="102"/>
    </row>
    <row r="484" ht="15.75" customHeight="1">
      <c r="A484" s="102"/>
      <c r="B484" s="103"/>
      <c r="C484" s="103"/>
      <c r="D484" s="104"/>
      <c r="E484" s="103"/>
      <c r="F484" s="102"/>
      <c r="G484" s="102"/>
      <c r="H484" s="102"/>
      <c r="I484" s="102"/>
      <c r="J484" s="102"/>
      <c r="K484" s="102"/>
      <c r="L484" s="102"/>
      <c r="M484" s="102"/>
      <c r="N484" s="102"/>
      <c r="O484" s="102"/>
      <c r="P484" s="102"/>
      <c r="Q484" s="102"/>
      <c r="R484" s="102"/>
      <c r="S484" s="102"/>
      <c r="T484" s="102"/>
      <c r="U484" s="102"/>
      <c r="V484" s="102"/>
      <c r="W484" s="102"/>
      <c r="X484" s="102"/>
      <c r="Y484" s="102"/>
      <c r="Z484" s="102"/>
    </row>
    <row r="485" ht="15.75" customHeight="1">
      <c r="A485" s="102"/>
      <c r="B485" s="103"/>
      <c r="C485" s="103"/>
      <c r="D485" s="104"/>
      <c r="E485" s="103"/>
      <c r="F485" s="102"/>
      <c r="G485" s="102"/>
      <c r="H485" s="102"/>
      <c r="I485" s="102"/>
      <c r="J485" s="102"/>
      <c r="K485" s="102"/>
      <c r="L485" s="102"/>
      <c r="M485" s="102"/>
      <c r="N485" s="102"/>
      <c r="O485" s="102"/>
      <c r="P485" s="102"/>
      <c r="Q485" s="102"/>
      <c r="R485" s="102"/>
      <c r="S485" s="102"/>
      <c r="T485" s="102"/>
      <c r="U485" s="102"/>
      <c r="V485" s="102"/>
      <c r="W485" s="102"/>
      <c r="X485" s="102"/>
      <c r="Y485" s="102"/>
      <c r="Z485" s="102"/>
    </row>
    <row r="486" ht="15.75" customHeight="1">
      <c r="A486" s="102"/>
      <c r="B486" s="103"/>
      <c r="C486" s="103"/>
      <c r="D486" s="104"/>
      <c r="E486" s="103"/>
      <c r="F486" s="102"/>
      <c r="G486" s="102"/>
      <c r="H486" s="102"/>
      <c r="I486" s="102"/>
      <c r="J486" s="102"/>
      <c r="K486" s="102"/>
      <c r="L486" s="102"/>
      <c r="M486" s="102"/>
      <c r="N486" s="102"/>
      <c r="O486" s="102"/>
      <c r="P486" s="102"/>
      <c r="Q486" s="102"/>
      <c r="R486" s="102"/>
      <c r="S486" s="102"/>
      <c r="T486" s="102"/>
      <c r="U486" s="102"/>
      <c r="V486" s="102"/>
      <c r="W486" s="102"/>
      <c r="X486" s="102"/>
      <c r="Y486" s="102"/>
      <c r="Z486" s="102"/>
    </row>
    <row r="487" ht="15.75" customHeight="1">
      <c r="A487" s="102"/>
      <c r="B487" s="103"/>
      <c r="C487" s="103"/>
      <c r="D487" s="104"/>
      <c r="E487" s="103"/>
      <c r="F487" s="102"/>
      <c r="G487" s="102"/>
      <c r="H487" s="102"/>
      <c r="I487" s="102"/>
      <c r="J487" s="102"/>
      <c r="K487" s="102"/>
      <c r="L487" s="102"/>
      <c r="M487" s="102"/>
      <c r="N487" s="102"/>
      <c r="O487" s="102"/>
      <c r="P487" s="102"/>
      <c r="Q487" s="102"/>
      <c r="R487" s="102"/>
      <c r="S487" s="102"/>
      <c r="T487" s="102"/>
      <c r="U487" s="102"/>
      <c r="V487" s="102"/>
      <c r="W487" s="102"/>
      <c r="X487" s="102"/>
      <c r="Y487" s="102"/>
      <c r="Z487" s="102"/>
    </row>
    <row r="488" ht="15.75" customHeight="1">
      <c r="A488" s="102"/>
      <c r="B488" s="103"/>
      <c r="C488" s="103"/>
      <c r="D488" s="104"/>
      <c r="E488" s="103"/>
      <c r="F488" s="102"/>
      <c r="G488" s="102"/>
      <c r="H488" s="102"/>
      <c r="I488" s="102"/>
      <c r="J488" s="102"/>
      <c r="K488" s="102"/>
      <c r="L488" s="102"/>
      <c r="M488" s="102"/>
      <c r="N488" s="102"/>
      <c r="O488" s="102"/>
      <c r="P488" s="102"/>
      <c r="Q488" s="102"/>
      <c r="R488" s="102"/>
      <c r="S488" s="102"/>
      <c r="T488" s="102"/>
      <c r="U488" s="102"/>
      <c r="V488" s="102"/>
      <c r="W488" s="102"/>
      <c r="X488" s="102"/>
      <c r="Y488" s="102"/>
      <c r="Z488" s="102"/>
    </row>
    <row r="489" ht="15.75" customHeight="1">
      <c r="A489" s="102"/>
      <c r="B489" s="103"/>
      <c r="C489" s="103"/>
      <c r="D489" s="104"/>
      <c r="E489" s="103"/>
      <c r="F489" s="102"/>
      <c r="G489" s="102"/>
      <c r="H489" s="102"/>
      <c r="I489" s="102"/>
      <c r="J489" s="102"/>
      <c r="K489" s="102"/>
      <c r="L489" s="102"/>
      <c r="M489" s="102"/>
      <c r="N489" s="102"/>
      <c r="O489" s="102"/>
      <c r="P489" s="102"/>
      <c r="Q489" s="102"/>
      <c r="R489" s="102"/>
      <c r="S489" s="102"/>
      <c r="T489" s="102"/>
      <c r="U489" s="102"/>
      <c r="V489" s="102"/>
      <c r="W489" s="102"/>
      <c r="X489" s="102"/>
      <c r="Y489" s="102"/>
      <c r="Z489" s="102"/>
    </row>
    <row r="490" ht="15.75" customHeight="1">
      <c r="A490" s="102"/>
      <c r="B490" s="103"/>
      <c r="C490" s="103"/>
      <c r="D490" s="104"/>
      <c r="E490" s="103"/>
      <c r="F490" s="102"/>
      <c r="G490" s="102"/>
      <c r="H490" s="102"/>
      <c r="I490" s="102"/>
      <c r="J490" s="102"/>
      <c r="K490" s="102"/>
      <c r="L490" s="102"/>
      <c r="M490" s="102"/>
      <c r="N490" s="102"/>
      <c r="O490" s="102"/>
      <c r="P490" s="102"/>
      <c r="Q490" s="102"/>
      <c r="R490" s="102"/>
      <c r="S490" s="102"/>
      <c r="T490" s="102"/>
      <c r="U490" s="102"/>
      <c r="V490" s="102"/>
      <c r="W490" s="102"/>
      <c r="X490" s="102"/>
      <c r="Y490" s="102"/>
      <c r="Z490" s="102"/>
    </row>
    <row r="491" ht="15.75" customHeight="1">
      <c r="A491" s="102"/>
      <c r="B491" s="103"/>
      <c r="C491" s="103"/>
      <c r="D491" s="104"/>
      <c r="E491" s="103"/>
      <c r="F491" s="102"/>
      <c r="G491" s="102"/>
      <c r="H491" s="102"/>
      <c r="I491" s="102"/>
      <c r="J491" s="102"/>
      <c r="K491" s="102"/>
      <c r="L491" s="102"/>
      <c r="M491" s="102"/>
      <c r="N491" s="102"/>
      <c r="O491" s="102"/>
      <c r="P491" s="102"/>
      <c r="Q491" s="102"/>
      <c r="R491" s="102"/>
      <c r="S491" s="102"/>
      <c r="T491" s="102"/>
      <c r="U491" s="102"/>
      <c r="V491" s="102"/>
      <c r="W491" s="102"/>
      <c r="X491" s="102"/>
      <c r="Y491" s="102"/>
      <c r="Z491" s="102"/>
    </row>
    <row r="492" ht="15.75" customHeight="1">
      <c r="A492" s="102"/>
      <c r="B492" s="103"/>
      <c r="C492" s="103"/>
      <c r="D492" s="104"/>
      <c r="E492" s="103"/>
      <c r="F492" s="102"/>
      <c r="G492" s="102"/>
      <c r="H492" s="102"/>
      <c r="I492" s="102"/>
      <c r="J492" s="102"/>
      <c r="K492" s="102"/>
      <c r="L492" s="102"/>
      <c r="M492" s="102"/>
      <c r="N492" s="102"/>
      <c r="O492" s="102"/>
      <c r="P492" s="102"/>
      <c r="Q492" s="102"/>
      <c r="R492" s="102"/>
      <c r="S492" s="102"/>
      <c r="T492" s="102"/>
      <c r="U492" s="102"/>
      <c r="V492" s="102"/>
      <c r="W492" s="102"/>
      <c r="X492" s="102"/>
      <c r="Y492" s="102"/>
      <c r="Z492" s="102"/>
    </row>
    <row r="493" ht="15.75" customHeight="1">
      <c r="A493" s="102"/>
      <c r="B493" s="103"/>
      <c r="C493" s="103"/>
      <c r="D493" s="104"/>
      <c r="E493" s="103"/>
      <c r="F493" s="102"/>
      <c r="G493" s="102"/>
      <c r="H493" s="102"/>
      <c r="I493" s="102"/>
      <c r="J493" s="102"/>
      <c r="K493" s="102"/>
      <c r="L493" s="102"/>
      <c r="M493" s="102"/>
      <c r="N493" s="102"/>
      <c r="O493" s="102"/>
      <c r="P493" s="102"/>
      <c r="Q493" s="102"/>
      <c r="R493" s="102"/>
      <c r="S493" s="102"/>
      <c r="T493" s="102"/>
      <c r="U493" s="102"/>
      <c r="V493" s="102"/>
      <c r="W493" s="102"/>
      <c r="X493" s="102"/>
      <c r="Y493" s="102"/>
      <c r="Z493" s="102"/>
    </row>
    <row r="494" ht="15.75" customHeight="1">
      <c r="A494" s="102"/>
      <c r="B494" s="103"/>
      <c r="C494" s="103"/>
      <c r="D494" s="104"/>
      <c r="E494" s="103"/>
      <c r="F494" s="102"/>
      <c r="G494" s="102"/>
      <c r="H494" s="102"/>
      <c r="I494" s="102"/>
      <c r="J494" s="102"/>
      <c r="K494" s="102"/>
      <c r="L494" s="102"/>
      <c r="M494" s="102"/>
      <c r="N494" s="102"/>
      <c r="O494" s="102"/>
      <c r="P494" s="102"/>
      <c r="Q494" s="102"/>
      <c r="R494" s="102"/>
      <c r="S494" s="102"/>
      <c r="T494" s="102"/>
      <c r="U494" s="102"/>
      <c r="V494" s="102"/>
      <c r="W494" s="102"/>
      <c r="X494" s="102"/>
      <c r="Y494" s="102"/>
      <c r="Z494" s="102"/>
    </row>
    <row r="495" ht="15.75" customHeight="1">
      <c r="A495" s="102"/>
      <c r="B495" s="103"/>
      <c r="C495" s="103"/>
      <c r="D495" s="104"/>
      <c r="E495" s="103"/>
      <c r="F495" s="102"/>
      <c r="G495" s="102"/>
      <c r="H495" s="102"/>
      <c r="I495" s="102"/>
      <c r="J495" s="102"/>
      <c r="K495" s="102"/>
      <c r="L495" s="102"/>
      <c r="M495" s="102"/>
      <c r="N495" s="102"/>
      <c r="O495" s="102"/>
      <c r="P495" s="102"/>
      <c r="Q495" s="102"/>
      <c r="R495" s="102"/>
      <c r="S495" s="102"/>
      <c r="T495" s="102"/>
      <c r="U495" s="102"/>
      <c r="V495" s="102"/>
      <c r="W495" s="102"/>
      <c r="X495" s="102"/>
      <c r="Y495" s="102"/>
      <c r="Z495" s="102"/>
    </row>
    <row r="496" ht="15.75" customHeight="1">
      <c r="A496" s="102"/>
      <c r="B496" s="103"/>
      <c r="C496" s="103"/>
      <c r="D496" s="104"/>
      <c r="E496" s="103"/>
      <c r="F496" s="102"/>
      <c r="G496" s="102"/>
      <c r="H496" s="102"/>
      <c r="I496" s="102"/>
      <c r="J496" s="102"/>
      <c r="K496" s="102"/>
      <c r="L496" s="102"/>
      <c r="M496" s="102"/>
      <c r="N496" s="102"/>
      <c r="O496" s="102"/>
      <c r="P496" s="102"/>
      <c r="Q496" s="102"/>
      <c r="R496" s="102"/>
      <c r="S496" s="102"/>
      <c r="T496" s="102"/>
      <c r="U496" s="102"/>
      <c r="V496" s="102"/>
      <c r="W496" s="102"/>
      <c r="X496" s="102"/>
      <c r="Y496" s="102"/>
      <c r="Z496" s="102"/>
    </row>
    <row r="497" ht="15.75" customHeight="1">
      <c r="A497" s="102"/>
      <c r="B497" s="103"/>
      <c r="C497" s="103"/>
      <c r="D497" s="104"/>
      <c r="E497" s="103"/>
      <c r="F497" s="102"/>
      <c r="G497" s="102"/>
      <c r="H497" s="102"/>
      <c r="I497" s="102"/>
      <c r="J497" s="102"/>
      <c r="K497" s="102"/>
      <c r="L497" s="102"/>
      <c r="M497" s="102"/>
      <c r="N497" s="102"/>
      <c r="O497" s="102"/>
      <c r="P497" s="102"/>
      <c r="Q497" s="102"/>
      <c r="R497" s="102"/>
      <c r="S497" s="102"/>
      <c r="T497" s="102"/>
      <c r="U497" s="102"/>
      <c r="V497" s="102"/>
      <c r="W497" s="102"/>
      <c r="X497" s="102"/>
      <c r="Y497" s="102"/>
      <c r="Z497" s="102"/>
    </row>
    <row r="498" ht="15.75" customHeight="1">
      <c r="A498" s="102"/>
      <c r="B498" s="103"/>
      <c r="C498" s="103"/>
      <c r="D498" s="104"/>
      <c r="E498" s="103"/>
      <c r="F498" s="102"/>
      <c r="G498" s="102"/>
      <c r="H498" s="102"/>
      <c r="I498" s="102"/>
      <c r="J498" s="102"/>
      <c r="K498" s="102"/>
      <c r="L498" s="102"/>
      <c r="M498" s="102"/>
      <c r="N498" s="102"/>
      <c r="O498" s="102"/>
      <c r="P498" s="102"/>
      <c r="Q498" s="102"/>
      <c r="R498" s="102"/>
      <c r="S498" s="102"/>
      <c r="T498" s="102"/>
      <c r="U498" s="102"/>
      <c r="V498" s="102"/>
      <c r="W498" s="102"/>
      <c r="X498" s="102"/>
      <c r="Y498" s="102"/>
      <c r="Z498" s="102"/>
    </row>
    <row r="499" ht="15.75" customHeight="1">
      <c r="A499" s="102"/>
      <c r="B499" s="103"/>
      <c r="C499" s="103"/>
      <c r="D499" s="104"/>
      <c r="E499" s="103"/>
      <c r="F499" s="102"/>
      <c r="G499" s="102"/>
      <c r="H499" s="102"/>
      <c r="I499" s="102"/>
      <c r="J499" s="102"/>
      <c r="K499" s="102"/>
      <c r="L499" s="102"/>
      <c r="M499" s="102"/>
      <c r="N499" s="102"/>
      <c r="O499" s="102"/>
      <c r="P499" s="102"/>
      <c r="Q499" s="102"/>
      <c r="R499" s="102"/>
      <c r="S499" s="102"/>
      <c r="T499" s="102"/>
      <c r="U499" s="102"/>
      <c r="V499" s="102"/>
      <c r="W499" s="102"/>
      <c r="X499" s="102"/>
      <c r="Y499" s="102"/>
      <c r="Z499" s="102"/>
    </row>
    <row r="500" ht="15.75" customHeight="1">
      <c r="A500" s="102"/>
      <c r="B500" s="103"/>
      <c r="C500" s="103"/>
      <c r="D500" s="104"/>
      <c r="E500" s="103"/>
      <c r="F500" s="102"/>
      <c r="G500" s="102"/>
      <c r="H500" s="102"/>
      <c r="I500" s="102"/>
      <c r="J500" s="102"/>
      <c r="K500" s="102"/>
      <c r="L500" s="102"/>
      <c r="M500" s="102"/>
      <c r="N500" s="102"/>
      <c r="O500" s="102"/>
      <c r="P500" s="102"/>
      <c r="Q500" s="102"/>
      <c r="R500" s="102"/>
      <c r="S500" s="102"/>
      <c r="T500" s="102"/>
      <c r="U500" s="102"/>
      <c r="V500" s="102"/>
      <c r="W500" s="102"/>
      <c r="X500" s="102"/>
      <c r="Y500" s="102"/>
      <c r="Z500" s="102"/>
    </row>
    <row r="501" ht="15.75" customHeight="1">
      <c r="A501" s="102"/>
      <c r="B501" s="103"/>
      <c r="C501" s="103"/>
      <c r="D501" s="104"/>
      <c r="E501" s="103"/>
      <c r="F501" s="102"/>
      <c r="G501" s="102"/>
      <c r="H501" s="102"/>
      <c r="I501" s="102"/>
      <c r="J501" s="102"/>
      <c r="K501" s="102"/>
      <c r="L501" s="102"/>
      <c r="M501" s="102"/>
      <c r="N501" s="102"/>
      <c r="O501" s="102"/>
      <c r="P501" s="102"/>
      <c r="Q501" s="102"/>
      <c r="R501" s="102"/>
      <c r="S501" s="102"/>
      <c r="T501" s="102"/>
      <c r="U501" s="102"/>
      <c r="V501" s="102"/>
      <c r="W501" s="102"/>
      <c r="X501" s="102"/>
      <c r="Y501" s="102"/>
      <c r="Z501" s="102"/>
    </row>
    <row r="502" ht="15.75" customHeight="1">
      <c r="A502" s="102"/>
      <c r="B502" s="103"/>
      <c r="C502" s="103"/>
      <c r="D502" s="104"/>
      <c r="E502" s="103"/>
      <c r="F502" s="102"/>
      <c r="G502" s="102"/>
      <c r="H502" s="102"/>
      <c r="I502" s="102"/>
      <c r="J502" s="102"/>
      <c r="K502" s="102"/>
      <c r="L502" s="102"/>
      <c r="M502" s="102"/>
      <c r="N502" s="102"/>
      <c r="O502" s="102"/>
      <c r="P502" s="102"/>
      <c r="Q502" s="102"/>
      <c r="R502" s="102"/>
      <c r="S502" s="102"/>
      <c r="T502" s="102"/>
      <c r="U502" s="102"/>
      <c r="V502" s="102"/>
      <c r="W502" s="102"/>
      <c r="X502" s="102"/>
      <c r="Y502" s="102"/>
      <c r="Z502" s="102"/>
    </row>
    <row r="503" ht="15.75" customHeight="1">
      <c r="A503" s="102"/>
      <c r="B503" s="103"/>
      <c r="C503" s="103"/>
      <c r="D503" s="104"/>
      <c r="E503" s="103"/>
      <c r="F503" s="102"/>
      <c r="G503" s="102"/>
      <c r="H503" s="102"/>
      <c r="I503" s="102"/>
      <c r="J503" s="102"/>
      <c r="K503" s="102"/>
      <c r="L503" s="102"/>
      <c r="M503" s="102"/>
      <c r="N503" s="102"/>
      <c r="O503" s="102"/>
      <c r="P503" s="102"/>
      <c r="Q503" s="102"/>
      <c r="R503" s="102"/>
      <c r="S503" s="102"/>
      <c r="T503" s="102"/>
      <c r="U503" s="102"/>
      <c r="V503" s="102"/>
      <c r="W503" s="102"/>
      <c r="X503" s="102"/>
      <c r="Y503" s="102"/>
      <c r="Z503" s="102"/>
    </row>
    <row r="504" ht="15.75" customHeight="1">
      <c r="A504" s="102"/>
      <c r="B504" s="103"/>
      <c r="C504" s="103"/>
      <c r="D504" s="104"/>
      <c r="E504" s="103"/>
      <c r="F504" s="102"/>
      <c r="G504" s="102"/>
      <c r="H504" s="102"/>
      <c r="I504" s="102"/>
      <c r="J504" s="102"/>
      <c r="K504" s="102"/>
      <c r="L504" s="102"/>
      <c r="M504" s="102"/>
      <c r="N504" s="102"/>
      <c r="O504" s="102"/>
      <c r="P504" s="102"/>
      <c r="Q504" s="102"/>
      <c r="R504" s="102"/>
      <c r="S504" s="102"/>
      <c r="T504" s="102"/>
      <c r="U504" s="102"/>
      <c r="V504" s="102"/>
      <c r="W504" s="102"/>
      <c r="X504" s="102"/>
      <c r="Y504" s="102"/>
      <c r="Z504" s="102"/>
    </row>
    <row r="505" ht="15.75" customHeight="1">
      <c r="A505" s="102"/>
      <c r="B505" s="103"/>
      <c r="C505" s="103"/>
      <c r="D505" s="104"/>
      <c r="E505" s="103"/>
      <c r="F505" s="102"/>
      <c r="G505" s="102"/>
      <c r="H505" s="102"/>
      <c r="I505" s="102"/>
      <c r="J505" s="102"/>
      <c r="K505" s="102"/>
      <c r="L505" s="102"/>
      <c r="M505" s="102"/>
      <c r="N505" s="102"/>
      <c r="O505" s="102"/>
      <c r="P505" s="102"/>
      <c r="Q505" s="102"/>
      <c r="R505" s="102"/>
      <c r="S505" s="102"/>
      <c r="T505" s="102"/>
      <c r="U505" s="102"/>
      <c r="V505" s="102"/>
      <c r="W505" s="102"/>
      <c r="X505" s="102"/>
      <c r="Y505" s="102"/>
      <c r="Z505" s="102"/>
    </row>
    <row r="506" ht="15.75" customHeight="1">
      <c r="A506" s="102"/>
      <c r="B506" s="103"/>
      <c r="C506" s="103"/>
      <c r="D506" s="104"/>
      <c r="E506" s="103"/>
      <c r="F506" s="102"/>
      <c r="G506" s="102"/>
      <c r="H506" s="102"/>
      <c r="I506" s="102"/>
      <c r="J506" s="102"/>
      <c r="K506" s="102"/>
      <c r="L506" s="102"/>
      <c r="M506" s="102"/>
      <c r="N506" s="102"/>
      <c r="O506" s="102"/>
      <c r="P506" s="102"/>
      <c r="Q506" s="102"/>
      <c r="R506" s="102"/>
      <c r="S506" s="102"/>
      <c r="T506" s="102"/>
      <c r="U506" s="102"/>
      <c r="V506" s="102"/>
      <c r="W506" s="102"/>
      <c r="X506" s="102"/>
      <c r="Y506" s="102"/>
      <c r="Z506" s="102"/>
    </row>
    <row r="507" ht="15.75" customHeight="1">
      <c r="A507" s="102"/>
      <c r="B507" s="103"/>
      <c r="C507" s="103"/>
      <c r="D507" s="104"/>
      <c r="E507" s="103"/>
      <c r="F507" s="102"/>
      <c r="G507" s="102"/>
      <c r="H507" s="102"/>
      <c r="I507" s="102"/>
      <c r="J507" s="102"/>
      <c r="K507" s="102"/>
      <c r="L507" s="102"/>
      <c r="M507" s="102"/>
      <c r="N507" s="102"/>
      <c r="O507" s="102"/>
      <c r="P507" s="102"/>
      <c r="Q507" s="102"/>
      <c r="R507" s="102"/>
      <c r="S507" s="102"/>
      <c r="T507" s="102"/>
      <c r="U507" s="102"/>
      <c r="V507" s="102"/>
      <c r="W507" s="102"/>
      <c r="X507" s="102"/>
      <c r="Y507" s="102"/>
      <c r="Z507" s="102"/>
    </row>
    <row r="508" ht="15.75" customHeight="1">
      <c r="A508" s="102"/>
      <c r="B508" s="103"/>
      <c r="C508" s="103"/>
      <c r="D508" s="104"/>
      <c r="E508" s="103"/>
      <c r="F508" s="102"/>
      <c r="G508" s="102"/>
      <c r="H508" s="102"/>
      <c r="I508" s="102"/>
      <c r="J508" s="102"/>
      <c r="K508" s="102"/>
      <c r="L508" s="102"/>
      <c r="M508" s="102"/>
      <c r="N508" s="102"/>
      <c r="O508" s="102"/>
      <c r="P508" s="102"/>
      <c r="Q508" s="102"/>
      <c r="R508" s="102"/>
      <c r="S508" s="102"/>
      <c r="T508" s="102"/>
      <c r="U508" s="102"/>
      <c r="V508" s="102"/>
      <c r="W508" s="102"/>
      <c r="X508" s="102"/>
      <c r="Y508" s="102"/>
      <c r="Z508" s="102"/>
    </row>
    <row r="509" ht="15.75" customHeight="1">
      <c r="A509" s="102"/>
      <c r="B509" s="103"/>
      <c r="C509" s="103"/>
      <c r="D509" s="104"/>
      <c r="E509" s="103"/>
      <c r="F509" s="102"/>
      <c r="G509" s="102"/>
      <c r="H509" s="102"/>
      <c r="I509" s="102"/>
      <c r="J509" s="102"/>
      <c r="K509" s="102"/>
      <c r="L509" s="102"/>
      <c r="M509" s="102"/>
      <c r="N509" s="102"/>
      <c r="O509" s="102"/>
      <c r="P509" s="102"/>
      <c r="Q509" s="102"/>
      <c r="R509" s="102"/>
      <c r="S509" s="102"/>
      <c r="T509" s="102"/>
      <c r="U509" s="102"/>
      <c r="V509" s="102"/>
      <c r="W509" s="102"/>
      <c r="X509" s="102"/>
      <c r="Y509" s="102"/>
      <c r="Z509" s="102"/>
    </row>
    <row r="510" ht="15.75" customHeight="1">
      <c r="A510" s="102"/>
      <c r="B510" s="103"/>
      <c r="C510" s="103"/>
      <c r="D510" s="104"/>
      <c r="E510" s="103"/>
      <c r="F510" s="102"/>
      <c r="G510" s="102"/>
      <c r="H510" s="102"/>
      <c r="I510" s="102"/>
      <c r="J510" s="102"/>
      <c r="K510" s="102"/>
      <c r="L510" s="102"/>
      <c r="M510" s="102"/>
      <c r="N510" s="102"/>
      <c r="O510" s="102"/>
      <c r="P510" s="102"/>
      <c r="Q510" s="102"/>
      <c r="R510" s="102"/>
      <c r="S510" s="102"/>
      <c r="T510" s="102"/>
      <c r="U510" s="102"/>
      <c r="V510" s="102"/>
      <c r="W510" s="102"/>
      <c r="X510" s="102"/>
      <c r="Y510" s="102"/>
      <c r="Z510" s="102"/>
    </row>
    <row r="511" ht="15.75" customHeight="1">
      <c r="A511" s="102"/>
      <c r="B511" s="103"/>
      <c r="C511" s="103"/>
      <c r="D511" s="104"/>
      <c r="E511" s="103"/>
      <c r="F511" s="102"/>
      <c r="G511" s="102"/>
      <c r="H511" s="102"/>
      <c r="I511" s="102"/>
      <c r="J511" s="102"/>
      <c r="K511" s="102"/>
      <c r="L511" s="102"/>
      <c r="M511" s="102"/>
      <c r="N511" s="102"/>
      <c r="O511" s="102"/>
      <c r="P511" s="102"/>
      <c r="Q511" s="102"/>
      <c r="R511" s="102"/>
      <c r="S511" s="102"/>
      <c r="T511" s="102"/>
      <c r="U511" s="102"/>
      <c r="V511" s="102"/>
      <c r="W511" s="102"/>
      <c r="X511" s="102"/>
      <c r="Y511" s="102"/>
      <c r="Z511" s="102"/>
    </row>
    <row r="512" ht="15.75" customHeight="1">
      <c r="A512" s="102"/>
      <c r="B512" s="103"/>
      <c r="C512" s="103"/>
      <c r="D512" s="104"/>
      <c r="E512" s="103"/>
      <c r="F512" s="102"/>
      <c r="G512" s="102"/>
      <c r="H512" s="102"/>
      <c r="I512" s="102"/>
      <c r="J512" s="102"/>
      <c r="K512" s="102"/>
      <c r="L512" s="102"/>
      <c r="M512" s="102"/>
      <c r="N512" s="102"/>
      <c r="O512" s="102"/>
      <c r="P512" s="102"/>
      <c r="Q512" s="102"/>
      <c r="R512" s="102"/>
      <c r="S512" s="102"/>
      <c r="T512" s="102"/>
      <c r="U512" s="102"/>
      <c r="V512" s="102"/>
      <c r="W512" s="102"/>
      <c r="X512" s="102"/>
      <c r="Y512" s="102"/>
      <c r="Z512" s="102"/>
    </row>
    <row r="513" ht="15.75" customHeight="1">
      <c r="A513" s="102"/>
      <c r="B513" s="103"/>
      <c r="C513" s="103"/>
      <c r="D513" s="104"/>
      <c r="E513" s="103"/>
      <c r="F513" s="102"/>
      <c r="G513" s="102"/>
      <c r="H513" s="102"/>
      <c r="I513" s="102"/>
      <c r="J513" s="102"/>
      <c r="K513" s="102"/>
      <c r="L513" s="102"/>
      <c r="M513" s="102"/>
      <c r="N513" s="102"/>
      <c r="O513" s="102"/>
      <c r="P513" s="102"/>
      <c r="Q513" s="102"/>
      <c r="R513" s="102"/>
      <c r="S513" s="102"/>
      <c r="T513" s="102"/>
      <c r="U513" s="102"/>
      <c r="V513" s="102"/>
      <c r="W513" s="102"/>
      <c r="X513" s="102"/>
      <c r="Y513" s="102"/>
      <c r="Z513" s="102"/>
    </row>
    <row r="514" ht="15.75" customHeight="1">
      <c r="A514" s="102"/>
      <c r="B514" s="103"/>
      <c r="C514" s="103"/>
      <c r="D514" s="104"/>
      <c r="E514" s="103"/>
      <c r="F514" s="102"/>
      <c r="G514" s="102"/>
      <c r="H514" s="102"/>
      <c r="I514" s="102"/>
      <c r="J514" s="102"/>
      <c r="K514" s="102"/>
      <c r="L514" s="102"/>
      <c r="M514" s="102"/>
      <c r="N514" s="102"/>
      <c r="O514" s="102"/>
      <c r="P514" s="102"/>
      <c r="Q514" s="102"/>
      <c r="R514" s="102"/>
      <c r="S514" s="102"/>
      <c r="T514" s="102"/>
      <c r="U514" s="102"/>
      <c r="V514" s="102"/>
      <c r="W514" s="102"/>
      <c r="X514" s="102"/>
      <c r="Y514" s="102"/>
      <c r="Z514" s="102"/>
    </row>
    <row r="515" ht="15.75" customHeight="1">
      <c r="A515" s="102"/>
      <c r="B515" s="103"/>
      <c r="C515" s="103"/>
      <c r="D515" s="104"/>
      <c r="E515" s="103"/>
      <c r="F515" s="102"/>
      <c r="G515" s="102"/>
      <c r="H515" s="102"/>
      <c r="I515" s="102"/>
      <c r="J515" s="102"/>
      <c r="K515" s="102"/>
      <c r="L515" s="102"/>
      <c r="M515" s="102"/>
      <c r="N515" s="102"/>
      <c r="O515" s="102"/>
      <c r="P515" s="102"/>
      <c r="Q515" s="102"/>
      <c r="R515" s="102"/>
      <c r="S515" s="102"/>
      <c r="T515" s="102"/>
      <c r="U515" s="102"/>
      <c r="V515" s="102"/>
      <c r="W515" s="102"/>
      <c r="X515" s="102"/>
      <c r="Y515" s="102"/>
      <c r="Z515" s="102"/>
    </row>
    <row r="516" ht="15.75" customHeight="1">
      <c r="A516" s="102"/>
      <c r="B516" s="103"/>
      <c r="C516" s="103"/>
      <c r="D516" s="104"/>
      <c r="E516" s="103"/>
      <c r="F516" s="102"/>
      <c r="G516" s="102"/>
      <c r="H516" s="102"/>
      <c r="I516" s="102"/>
      <c r="J516" s="102"/>
      <c r="K516" s="102"/>
      <c r="L516" s="102"/>
      <c r="M516" s="102"/>
      <c r="N516" s="102"/>
      <c r="O516" s="102"/>
      <c r="P516" s="102"/>
      <c r="Q516" s="102"/>
      <c r="R516" s="102"/>
      <c r="S516" s="102"/>
      <c r="T516" s="102"/>
      <c r="U516" s="102"/>
      <c r="V516" s="102"/>
      <c r="W516" s="102"/>
      <c r="X516" s="102"/>
      <c r="Y516" s="102"/>
      <c r="Z516" s="102"/>
    </row>
    <row r="517" ht="15.75" customHeight="1">
      <c r="A517" s="102"/>
      <c r="B517" s="103"/>
      <c r="C517" s="103"/>
      <c r="D517" s="104"/>
      <c r="E517" s="103"/>
      <c r="F517" s="102"/>
      <c r="G517" s="102"/>
      <c r="H517" s="102"/>
      <c r="I517" s="102"/>
      <c r="J517" s="102"/>
      <c r="K517" s="102"/>
      <c r="L517" s="102"/>
      <c r="M517" s="102"/>
      <c r="N517" s="102"/>
      <c r="O517" s="102"/>
      <c r="P517" s="102"/>
      <c r="Q517" s="102"/>
      <c r="R517" s="102"/>
      <c r="S517" s="102"/>
      <c r="T517" s="102"/>
      <c r="U517" s="102"/>
      <c r="V517" s="102"/>
      <c r="W517" s="102"/>
      <c r="X517" s="102"/>
      <c r="Y517" s="102"/>
      <c r="Z517" s="102"/>
    </row>
    <row r="518" ht="15.75" customHeight="1">
      <c r="A518" s="102"/>
      <c r="B518" s="103"/>
      <c r="C518" s="103"/>
      <c r="D518" s="104"/>
      <c r="E518" s="103"/>
      <c r="F518" s="102"/>
      <c r="G518" s="102"/>
      <c r="H518" s="102"/>
      <c r="I518" s="102"/>
      <c r="J518" s="102"/>
      <c r="K518" s="102"/>
      <c r="L518" s="102"/>
      <c r="M518" s="102"/>
      <c r="N518" s="102"/>
      <c r="O518" s="102"/>
      <c r="P518" s="102"/>
      <c r="Q518" s="102"/>
      <c r="R518" s="102"/>
      <c r="S518" s="102"/>
      <c r="T518" s="102"/>
      <c r="U518" s="102"/>
      <c r="V518" s="102"/>
      <c r="W518" s="102"/>
      <c r="X518" s="102"/>
      <c r="Y518" s="102"/>
      <c r="Z518" s="102"/>
    </row>
    <row r="519" ht="15.75" customHeight="1">
      <c r="A519" s="102"/>
      <c r="B519" s="103"/>
      <c r="C519" s="103"/>
      <c r="D519" s="104"/>
      <c r="E519" s="103"/>
      <c r="F519" s="102"/>
      <c r="G519" s="102"/>
      <c r="H519" s="102"/>
      <c r="I519" s="102"/>
      <c r="J519" s="102"/>
      <c r="K519" s="102"/>
      <c r="L519" s="102"/>
      <c r="M519" s="102"/>
      <c r="N519" s="102"/>
      <c r="O519" s="102"/>
      <c r="P519" s="102"/>
      <c r="Q519" s="102"/>
      <c r="R519" s="102"/>
      <c r="S519" s="102"/>
      <c r="T519" s="102"/>
      <c r="U519" s="102"/>
      <c r="V519" s="102"/>
      <c r="W519" s="102"/>
      <c r="X519" s="102"/>
      <c r="Y519" s="102"/>
      <c r="Z519" s="102"/>
    </row>
    <row r="520" ht="15.75" customHeight="1">
      <c r="A520" s="102"/>
      <c r="B520" s="103"/>
      <c r="C520" s="103"/>
      <c r="D520" s="104"/>
      <c r="E520" s="103"/>
      <c r="F520" s="102"/>
      <c r="G520" s="102"/>
      <c r="H520" s="102"/>
      <c r="I520" s="102"/>
      <c r="J520" s="102"/>
      <c r="K520" s="102"/>
      <c r="L520" s="102"/>
      <c r="M520" s="102"/>
      <c r="N520" s="102"/>
      <c r="O520" s="102"/>
      <c r="P520" s="102"/>
      <c r="Q520" s="102"/>
      <c r="R520" s="102"/>
      <c r="S520" s="102"/>
      <c r="T520" s="102"/>
      <c r="U520" s="102"/>
      <c r="V520" s="102"/>
      <c r="W520" s="102"/>
      <c r="X520" s="102"/>
      <c r="Y520" s="102"/>
      <c r="Z520" s="102"/>
    </row>
    <row r="521" ht="15.75" customHeight="1">
      <c r="A521" s="102"/>
      <c r="B521" s="103"/>
      <c r="C521" s="103"/>
      <c r="D521" s="104"/>
      <c r="E521" s="103"/>
      <c r="F521" s="102"/>
      <c r="G521" s="102"/>
      <c r="H521" s="102"/>
      <c r="I521" s="102"/>
      <c r="J521" s="102"/>
      <c r="K521" s="102"/>
      <c r="L521" s="102"/>
      <c r="M521" s="102"/>
      <c r="N521" s="102"/>
      <c r="O521" s="102"/>
      <c r="P521" s="102"/>
      <c r="Q521" s="102"/>
      <c r="R521" s="102"/>
      <c r="S521" s="102"/>
      <c r="T521" s="102"/>
      <c r="U521" s="102"/>
      <c r="V521" s="102"/>
      <c r="W521" s="102"/>
      <c r="X521" s="102"/>
      <c r="Y521" s="102"/>
      <c r="Z521" s="102"/>
    </row>
    <row r="522" ht="15.75" customHeight="1">
      <c r="A522" s="102"/>
      <c r="B522" s="103"/>
      <c r="C522" s="103"/>
      <c r="D522" s="104"/>
      <c r="E522" s="103"/>
      <c r="F522" s="102"/>
      <c r="G522" s="102"/>
      <c r="H522" s="102"/>
      <c r="I522" s="102"/>
      <c r="J522" s="102"/>
      <c r="K522" s="102"/>
      <c r="L522" s="102"/>
      <c r="M522" s="102"/>
      <c r="N522" s="102"/>
      <c r="O522" s="102"/>
      <c r="P522" s="102"/>
      <c r="Q522" s="102"/>
      <c r="R522" s="102"/>
      <c r="S522" s="102"/>
      <c r="T522" s="102"/>
      <c r="U522" s="102"/>
      <c r="V522" s="102"/>
      <c r="W522" s="102"/>
      <c r="X522" s="102"/>
      <c r="Y522" s="102"/>
      <c r="Z522" s="102"/>
    </row>
    <row r="523" ht="15.75" customHeight="1">
      <c r="A523" s="102"/>
      <c r="B523" s="103"/>
      <c r="C523" s="103"/>
      <c r="D523" s="104"/>
      <c r="E523" s="103"/>
      <c r="F523" s="102"/>
      <c r="G523" s="102"/>
      <c r="H523" s="102"/>
      <c r="I523" s="102"/>
      <c r="J523" s="102"/>
      <c r="K523" s="102"/>
      <c r="L523" s="102"/>
      <c r="M523" s="102"/>
      <c r="N523" s="102"/>
      <c r="O523" s="102"/>
      <c r="P523" s="102"/>
      <c r="Q523" s="102"/>
      <c r="R523" s="102"/>
      <c r="S523" s="102"/>
      <c r="T523" s="102"/>
      <c r="U523" s="102"/>
      <c r="V523" s="102"/>
      <c r="W523" s="102"/>
      <c r="X523" s="102"/>
      <c r="Y523" s="102"/>
      <c r="Z523" s="102"/>
    </row>
    <row r="524" ht="15.75" customHeight="1">
      <c r="A524" s="102"/>
      <c r="B524" s="103"/>
      <c r="C524" s="103"/>
      <c r="D524" s="104"/>
      <c r="E524" s="103"/>
      <c r="F524" s="102"/>
      <c r="G524" s="102"/>
      <c r="H524" s="102"/>
      <c r="I524" s="102"/>
      <c r="J524" s="102"/>
      <c r="K524" s="102"/>
      <c r="L524" s="102"/>
      <c r="M524" s="102"/>
      <c r="N524" s="102"/>
      <c r="O524" s="102"/>
      <c r="P524" s="102"/>
      <c r="Q524" s="102"/>
      <c r="R524" s="102"/>
      <c r="S524" s="102"/>
      <c r="T524" s="102"/>
      <c r="U524" s="102"/>
      <c r="V524" s="102"/>
      <c r="W524" s="102"/>
      <c r="X524" s="102"/>
      <c r="Y524" s="102"/>
      <c r="Z524" s="102"/>
    </row>
    <row r="525" ht="15.75" customHeight="1">
      <c r="A525" s="102"/>
      <c r="B525" s="103"/>
      <c r="C525" s="103"/>
      <c r="D525" s="104"/>
      <c r="E525" s="103"/>
      <c r="F525" s="102"/>
      <c r="G525" s="102"/>
      <c r="H525" s="102"/>
      <c r="I525" s="102"/>
      <c r="J525" s="102"/>
      <c r="K525" s="102"/>
      <c r="L525" s="102"/>
      <c r="M525" s="102"/>
      <c r="N525" s="102"/>
      <c r="O525" s="102"/>
      <c r="P525" s="102"/>
      <c r="Q525" s="102"/>
      <c r="R525" s="102"/>
      <c r="S525" s="102"/>
      <c r="T525" s="102"/>
      <c r="U525" s="102"/>
      <c r="V525" s="102"/>
      <c r="W525" s="102"/>
      <c r="X525" s="102"/>
      <c r="Y525" s="102"/>
      <c r="Z525" s="102"/>
    </row>
    <row r="526" ht="15.75" customHeight="1">
      <c r="A526" s="102"/>
      <c r="B526" s="103"/>
      <c r="C526" s="103"/>
      <c r="D526" s="104"/>
      <c r="E526" s="103"/>
      <c r="F526" s="102"/>
      <c r="G526" s="102"/>
      <c r="H526" s="102"/>
      <c r="I526" s="102"/>
      <c r="J526" s="102"/>
      <c r="K526" s="102"/>
      <c r="L526" s="102"/>
      <c r="M526" s="102"/>
      <c r="N526" s="102"/>
      <c r="O526" s="102"/>
      <c r="P526" s="102"/>
      <c r="Q526" s="102"/>
      <c r="R526" s="102"/>
      <c r="S526" s="102"/>
      <c r="T526" s="102"/>
      <c r="U526" s="102"/>
      <c r="V526" s="102"/>
      <c r="W526" s="102"/>
      <c r="X526" s="102"/>
      <c r="Y526" s="102"/>
      <c r="Z526" s="102"/>
    </row>
    <row r="527" ht="15.75" customHeight="1">
      <c r="A527" s="102"/>
      <c r="B527" s="103"/>
      <c r="C527" s="103"/>
      <c r="D527" s="104"/>
      <c r="E527" s="103"/>
      <c r="F527" s="102"/>
      <c r="G527" s="102"/>
      <c r="H527" s="102"/>
      <c r="I527" s="102"/>
      <c r="J527" s="102"/>
      <c r="K527" s="102"/>
      <c r="L527" s="102"/>
      <c r="M527" s="102"/>
      <c r="N527" s="102"/>
      <c r="O527" s="102"/>
      <c r="P527" s="102"/>
      <c r="Q527" s="102"/>
      <c r="R527" s="102"/>
      <c r="S527" s="102"/>
      <c r="T527" s="102"/>
      <c r="U527" s="102"/>
      <c r="V527" s="102"/>
      <c r="W527" s="102"/>
      <c r="X527" s="102"/>
      <c r="Y527" s="102"/>
      <c r="Z527" s="102"/>
    </row>
    <row r="528" ht="15.75" customHeight="1">
      <c r="A528" s="102"/>
      <c r="B528" s="103"/>
      <c r="C528" s="103"/>
      <c r="D528" s="104"/>
      <c r="E528" s="103"/>
      <c r="F528" s="102"/>
      <c r="G528" s="102"/>
      <c r="H528" s="102"/>
      <c r="I528" s="102"/>
      <c r="J528" s="102"/>
      <c r="K528" s="102"/>
      <c r="L528" s="102"/>
      <c r="M528" s="102"/>
      <c r="N528" s="102"/>
      <c r="O528" s="102"/>
      <c r="P528" s="102"/>
      <c r="Q528" s="102"/>
      <c r="R528" s="102"/>
      <c r="S528" s="102"/>
      <c r="T528" s="102"/>
      <c r="U528" s="102"/>
      <c r="V528" s="102"/>
      <c r="W528" s="102"/>
      <c r="X528" s="102"/>
      <c r="Y528" s="102"/>
      <c r="Z528" s="102"/>
    </row>
    <row r="529" ht="15.75" customHeight="1">
      <c r="A529" s="102"/>
      <c r="B529" s="103"/>
      <c r="C529" s="103"/>
      <c r="D529" s="104"/>
      <c r="E529" s="103"/>
      <c r="F529" s="102"/>
      <c r="G529" s="102"/>
      <c r="H529" s="102"/>
      <c r="I529" s="102"/>
      <c r="J529" s="102"/>
      <c r="K529" s="102"/>
      <c r="L529" s="102"/>
      <c r="M529" s="102"/>
      <c r="N529" s="102"/>
      <c r="O529" s="102"/>
      <c r="P529" s="102"/>
      <c r="Q529" s="102"/>
      <c r="R529" s="102"/>
      <c r="S529" s="102"/>
      <c r="T529" s="102"/>
      <c r="U529" s="102"/>
      <c r="V529" s="102"/>
      <c r="W529" s="102"/>
      <c r="X529" s="102"/>
      <c r="Y529" s="102"/>
      <c r="Z529" s="102"/>
    </row>
    <row r="530" ht="15.75" customHeight="1">
      <c r="A530" s="102"/>
      <c r="B530" s="103"/>
      <c r="C530" s="103"/>
      <c r="D530" s="104"/>
      <c r="E530" s="103"/>
      <c r="F530" s="102"/>
      <c r="G530" s="102"/>
      <c r="H530" s="102"/>
      <c r="I530" s="102"/>
      <c r="J530" s="102"/>
      <c r="K530" s="102"/>
      <c r="L530" s="102"/>
      <c r="M530" s="102"/>
      <c r="N530" s="102"/>
      <c r="O530" s="102"/>
      <c r="P530" s="102"/>
      <c r="Q530" s="102"/>
      <c r="R530" s="102"/>
      <c r="S530" s="102"/>
      <c r="T530" s="102"/>
      <c r="U530" s="102"/>
      <c r="V530" s="102"/>
      <c r="W530" s="102"/>
      <c r="X530" s="102"/>
      <c r="Y530" s="102"/>
      <c r="Z530" s="102"/>
    </row>
    <row r="531" ht="15.75" customHeight="1">
      <c r="A531" s="102"/>
      <c r="B531" s="103"/>
      <c r="C531" s="103"/>
      <c r="D531" s="104"/>
      <c r="E531" s="103"/>
      <c r="F531" s="102"/>
      <c r="G531" s="102"/>
      <c r="H531" s="102"/>
      <c r="I531" s="102"/>
      <c r="J531" s="102"/>
      <c r="K531" s="102"/>
      <c r="L531" s="102"/>
      <c r="M531" s="102"/>
      <c r="N531" s="102"/>
      <c r="O531" s="102"/>
      <c r="P531" s="102"/>
      <c r="Q531" s="102"/>
      <c r="R531" s="102"/>
      <c r="S531" s="102"/>
      <c r="T531" s="102"/>
      <c r="U531" s="102"/>
      <c r="V531" s="102"/>
      <c r="W531" s="102"/>
      <c r="X531" s="102"/>
      <c r="Y531" s="102"/>
      <c r="Z531" s="102"/>
    </row>
    <row r="532" ht="15.75" customHeight="1">
      <c r="A532" s="102"/>
      <c r="B532" s="103"/>
      <c r="C532" s="103"/>
      <c r="D532" s="104"/>
      <c r="E532" s="103"/>
      <c r="F532" s="102"/>
      <c r="G532" s="102"/>
      <c r="H532" s="102"/>
      <c r="I532" s="102"/>
      <c r="J532" s="102"/>
      <c r="K532" s="102"/>
      <c r="L532" s="102"/>
      <c r="M532" s="102"/>
      <c r="N532" s="102"/>
      <c r="O532" s="102"/>
      <c r="P532" s="102"/>
      <c r="Q532" s="102"/>
      <c r="R532" s="102"/>
      <c r="S532" s="102"/>
      <c r="T532" s="102"/>
      <c r="U532" s="102"/>
      <c r="V532" s="102"/>
      <c r="W532" s="102"/>
      <c r="X532" s="102"/>
      <c r="Y532" s="102"/>
      <c r="Z532" s="102"/>
    </row>
    <row r="533" ht="15.75" customHeight="1">
      <c r="A533" s="102"/>
      <c r="B533" s="103"/>
      <c r="C533" s="103"/>
      <c r="D533" s="104"/>
      <c r="E533" s="103"/>
      <c r="F533" s="102"/>
      <c r="G533" s="102"/>
      <c r="H533" s="102"/>
      <c r="I533" s="102"/>
      <c r="J533" s="102"/>
      <c r="K533" s="102"/>
      <c r="L533" s="102"/>
      <c r="M533" s="102"/>
      <c r="N533" s="102"/>
      <c r="O533" s="102"/>
      <c r="P533" s="102"/>
      <c r="Q533" s="102"/>
      <c r="R533" s="102"/>
      <c r="S533" s="102"/>
      <c r="T533" s="102"/>
      <c r="U533" s="102"/>
      <c r="V533" s="102"/>
      <c r="W533" s="102"/>
      <c r="X533" s="102"/>
      <c r="Y533" s="102"/>
      <c r="Z533" s="102"/>
    </row>
    <row r="534" ht="15.75" customHeight="1">
      <c r="A534" s="102"/>
      <c r="B534" s="103"/>
      <c r="C534" s="103"/>
      <c r="D534" s="104"/>
      <c r="E534" s="103"/>
      <c r="F534" s="102"/>
      <c r="G534" s="102"/>
      <c r="H534" s="102"/>
      <c r="I534" s="102"/>
      <c r="J534" s="102"/>
      <c r="K534" s="102"/>
      <c r="L534" s="102"/>
      <c r="M534" s="102"/>
      <c r="N534" s="102"/>
      <c r="O534" s="102"/>
      <c r="P534" s="102"/>
      <c r="Q534" s="102"/>
      <c r="R534" s="102"/>
      <c r="S534" s="102"/>
      <c r="T534" s="102"/>
      <c r="U534" s="102"/>
      <c r="V534" s="102"/>
      <c r="W534" s="102"/>
      <c r="X534" s="102"/>
      <c r="Y534" s="102"/>
      <c r="Z534" s="102"/>
    </row>
    <row r="535" ht="15.75" customHeight="1">
      <c r="A535" s="102"/>
      <c r="B535" s="103"/>
      <c r="C535" s="103"/>
      <c r="D535" s="104"/>
      <c r="E535" s="103"/>
      <c r="F535" s="102"/>
      <c r="G535" s="102"/>
      <c r="H535" s="102"/>
      <c r="I535" s="102"/>
      <c r="J535" s="102"/>
      <c r="K535" s="102"/>
      <c r="L535" s="102"/>
      <c r="M535" s="102"/>
      <c r="N535" s="102"/>
      <c r="O535" s="102"/>
      <c r="P535" s="102"/>
      <c r="Q535" s="102"/>
      <c r="R535" s="102"/>
      <c r="S535" s="102"/>
      <c r="T535" s="102"/>
      <c r="U535" s="102"/>
      <c r="V535" s="102"/>
      <c r="W535" s="102"/>
      <c r="X535" s="102"/>
      <c r="Y535" s="102"/>
      <c r="Z535" s="102"/>
    </row>
    <row r="536" ht="15.75" customHeight="1">
      <c r="A536" s="102"/>
      <c r="B536" s="103"/>
      <c r="C536" s="103"/>
      <c r="D536" s="104"/>
      <c r="E536" s="103"/>
      <c r="F536" s="102"/>
      <c r="G536" s="102"/>
      <c r="H536" s="102"/>
      <c r="I536" s="102"/>
      <c r="J536" s="102"/>
      <c r="K536" s="102"/>
      <c r="L536" s="102"/>
      <c r="M536" s="102"/>
      <c r="N536" s="102"/>
      <c r="O536" s="102"/>
      <c r="P536" s="102"/>
      <c r="Q536" s="102"/>
      <c r="R536" s="102"/>
      <c r="S536" s="102"/>
      <c r="T536" s="102"/>
      <c r="U536" s="102"/>
      <c r="V536" s="102"/>
      <c r="W536" s="102"/>
      <c r="X536" s="102"/>
      <c r="Y536" s="102"/>
      <c r="Z536" s="102"/>
    </row>
    <row r="537" ht="15.75" customHeight="1">
      <c r="A537" s="102"/>
      <c r="B537" s="103"/>
      <c r="C537" s="103"/>
      <c r="D537" s="104"/>
      <c r="E537" s="103"/>
      <c r="F537" s="102"/>
      <c r="G537" s="102"/>
      <c r="H537" s="102"/>
      <c r="I537" s="102"/>
      <c r="J537" s="102"/>
      <c r="K537" s="102"/>
      <c r="L537" s="102"/>
      <c r="M537" s="102"/>
      <c r="N537" s="102"/>
      <c r="O537" s="102"/>
      <c r="P537" s="102"/>
      <c r="Q537" s="102"/>
      <c r="R537" s="102"/>
      <c r="S537" s="102"/>
      <c r="T537" s="102"/>
      <c r="U537" s="102"/>
      <c r="V537" s="102"/>
      <c r="W537" s="102"/>
      <c r="X537" s="102"/>
      <c r="Y537" s="102"/>
      <c r="Z537" s="102"/>
    </row>
    <row r="538" ht="15.75" customHeight="1">
      <c r="A538" s="102"/>
      <c r="B538" s="103"/>
      <c r="C538" s="103"/>
      <c r="D538" s="104"/>
      <c r="E538" s="103"/>
      <c r="F538" s="102"/>
      <c r="G538" s="102"/>
      <c r="H538" s="102"/>
      <c r="I538" s="102"/>
      <c r="J538" s="102"/>
      <c r="K538" s="102"/>
      <c r="L538" s="102"/>
      <c r="M538" s="102"/>
      <c r="N538" s="102"/>
      <c r="O538" s="102"/>
      <c r="P538" s="102"/>
      <c r="Q538" s="102"/>
      <c r="R538" s="102"/>
      <c r="S538" s="102"/>
      <c r="T538" s="102"/>
      <c r="U538" s="102"/>
      <c r="V538" s="102"/>
      <c r="W538" s="102"/>
      <c r="X538" s="102"/>
      <c r="Y538" s="102"/>
      <c r="Z538" s="102"/>
    </row>
    <row r="539" ht="15.75" customHeight="1">
      <c r="A539" s="102"/>
      <c r="B539" s="103"/>
      <c r="C539" s="103"/>
      <c r="D539" s="104"/>
      <c r="E539" s="103"/>
      <c r="F539" s="102"/>
      <c r="G539" s="102"/>
      <c r="H539" s="102"/>
      <c r="I539" s="102"/>
      <c r="J539" s="102"/>
      <c r="K539" s="102"/>
      <c r="L539" s="102"/>
      <c r="M539" s="102"/>
      <c r="N539" s="102"/>
      <c r="O539" s="102"/>
      <c r="P539" s="102"/>
      <c r="Q539" s="102"/>
      <c r="R539" s="102"/>
      <c r="S539" s="102"/>
      <c r="T539" s="102"/>
      <c r="U539" s="102"/>
      <c r="V539" s="102"/>
      <c r="W539" s="102"/>
      <c r="X539" s="102"/>
      <c r="Y539" s="102"/>
      <c r="Z539" s="102"/>
    </row>
    <row r="540" ht="15.75" customHeight="1">
      <c r="A540" s="102"/>
      <c r="B540" s="103"/>
      <c r="C540" s="103"/>
      <c r="D540" s="104"/>
      <c r="E540" s="103"/>
      <c r="F540" s="102"/>
      <c r="G540" s="102"/>
      <c r="H540" s="102"/>
      <c r="I540" s="102"/>
      <c r="J540" s="102"/>
      <c r="K540" s="102"/>
      <c r="L540" s="102"/>
      <c r="M540" s="102"/>
      <c r="N540" s="102"/>
      <c r="O540" s="102"/>
      <c r="P540" s="102"/>
      <c r="Q540" s="102"/>
      <c r="R540" s="102"/>
      <c r="S540" s="102"/>
      <c r="T540" s="102"/>
      <c r="U540" s="102"/>
      <c r="V540" s="102"/>
      <c r="W540" s="102"/>
      <c r="X540" s="102"/>
      <c r="Y540" s="102"/>
      <c r="Z540" s="102"/>
    </row>
    <row r="541" ht="15.75" customHeight="1">
      <c r="A541" s="102"/>
      <c r="B541" s="103"/>
      <c r="C541" s="103"/>
      <c r="D541" s="104"/>
      <c r="E541" s="103"/>
      <c r="F541" s="102"/>
      <c r="G541" s="102"/>
      <c r="H541" s="102"/>
      <c r="I541" s="102"/>
      <c r="J541" s="102"/>
      <c r="K541" s="102"/>
      <c r="L541" s="102"/>
      <c r="M541" s="102"/>
      <c r="N541" s="102"/>
      <c r="O541" s="102"/>
      <c r="P541" s="102"/>
      <c r="Q541" s="102"/>
      <c r="R541" s="102"/>
      <c r="S541" s="102"/>
      <c r="T541" s="102"/>
      <c r="U541" s="102"/>
      <c r="V541" s="102"/>
      <c r="W541" s="102"/>
      <c r="X541" s="102"/>
      <c r="Y541" s="102"/>
      <c r="Z541" s="102"/>
    </row>
    <row r="542" ht="15.75" customHeight="1">
      <c r="A542" s="102"/>
      <c r="B542" s="103"/>
      <c r="C542" s="103"/>
      <c r="D542" s="104"/>
      <c r="E542" s="103"/>
      <c r="F542" s="102"/>
      <c r="G542" s="102"/>
      <c r="H542" s="102"/>
      <c r="I542" s="102"/>
      <c r="J542" s="102"/>
      <c r="K542" s="102"/>
      <c r="L542" s="102"/>
      <c r="M542" s="102"/>
      <c r="N542" s="102"/>
      <c r="O542" s="102"/>
      <c r="P542" s="102"/>
      <c r="Q542" s="102"/>
      <c r="R542" s="102"/>
      <c r="S542" s="102"/>
      <c r="T542" s="102"/>
      <c r="U542" s="102"/>
      <c r="V542" s="102"/>
      <c r="W542" s="102"/>
      <c r="X542" s="102"/>
      <c r="Y542" s="102"/>
      <c r="Z542" s="102"/>
    </row>
    <row r="543" ht="15.75" customHeight="1">
      <c r="A543" s="102"/>
      <c r="B543" s="103"/>
      <c r="C543" s="103"/>
      <c r="D543" s="104"/>
      <c r="E543" s="103"/>
      <c r="F543" s="102"/>
      <c r="G543" s="102"/>
      <c r="H543" s="102"/>
      <c r="I543" s="102"/>
      <c r="J543" s="102"/>
      <c r="K543" s="102"/>
      <c r="L543" s="102"/>
      <c r="M543" s="102"/>
      <c r="N543" s="102"/>
      <c r="O543" s="102"/>
      <c r="P543" s="102"/>
      <c r="Q543" s="102"/>
      <c r="R543" s="102"/>
      <c r="S543" s="102"/>
      <c r="T543" s="102"/>
      <c r="U543" s="102"/>
      <c r="V543" s="102"/>
      <c r="W543" s="102"/>
      <c r="X543" s="102"/>
      <c r="Y543" s="102"/>
      <c r="Z543" s="102"/>
    </row>
    <row r="544" ht="15.75" customHeight="1">
      <c r="A544" s="102"/>
      <c r="B544" s="103"/>
      <c r="C544" s="103"/>
      <c r="D544" s="104"/>
      <c r="E544" s="103"/>
      <c r="F544" s="102"/>
      <c r="G544" s="102"/>
      <c r="H544" s="102"/>
      <c r="I544" s="102"/>
      <c r="J544" s="102"/>
      <c r="K544" s="102"/>
      <c r="L544" s="102"/>
      <c r="M544" s="102"/>
      <c r="N544" s="102"/>
      <c r="O544" s="102"/>
      <c r="P544" s="102"/>
      <c r="Q544" s="102"/>
      <c r="R544" s="102"/>
      <c r="S544" s="102"/>
      <c r="T544" s="102"/>
      <c r="U544" s="102"/>
      <c r="V544" s="102"/>
      <c r="W544" s="102"/>
      <c r="X544" s="102"/>
      <c r="Y544" s="102"/>
      <c r="Z544" s="102"/>
    </row>
    <row r="545" ht="15.75" customHeight="1">
      <c r="A545" s="102"/>
      <c r="B545" s="103"/>
      <c r="C545" s="103"/>
      <c r="D545" s="104"/>
      <c r="E545" s="103"/>
      <c r="F545" s="102"/>
      <c r="G545" s="102"/>
      <c r="H545" s="102"/>
      <c r="I545" s="102"/>
      <c r="J545" s="102"/>
      <c r="K545" s="102"/>
      <c r="L545" s="102"/>
      <c r="M545" s="102"/>
      <c r="N545" s="102"/>
      <c r="O545" s="102"/>
      <c r="P545" s="102"/>
      <c r="Q545" s="102"/>
      <c r="R545" s="102"/>
      <c r="S545" s="102"/>
      <c r="T545" s="102"/>
      <c r="U545" s="102"/>
      <c r="V545" s="102"/>
      <c r="W545" s="102"/>
      <c r="X545" s="102"/>
      <c r="Y545" s="102"/>
      <c r="Z545" s="102"/>
    </row>
    <row r="546" ht="15.75" customHeight="1">
      <c r="A546" s="102"/>
      <c r="B546" s="103"/>
      <c r="C546" s="103"/>
      <c r="D546" s="104"/>
      <c r="E546" s="103"/>
      <c r="F546" s="102"/>
      <c r="G546" s="102"/>
      <c r="H546" s="102"/>
      <c r="I546" s="102"/>
      <c r="J546" s="102"/>
      <c r="K546" s="102"/>
      <c r="L546" s="102"/>
      <c r="M546" s="102"/>
      <c r="N546" s="102"/>
      <c r="O546" s="102"/>
      <c r="P546" s="102"/>
      <c r="Q546" s="102"/>
      <c r="R546" s="102"/>
      <c r="S546" s="102"/>
      <c r="T546" s="102"/>
      <c r="U546" s="102"/>
      <c r="V546" s="102"/>
      <c r="W546" s="102"/>
      <c r="X546" s="102"/>
      <c r="Y546" s="102"/>
      <c r="Z546" s="102"/>
    </row>
    <row r="547" ht="15.75" customHeight="1">
      <c r="A547" s="102"/>
      <c r="B547" s="103"/>
      <c r="C547" s="103"/>
      <c r="D547" s="104"/>
      <c r="E547" s="103"/>
      <c r="F547" s="102"/>
      <c r="G547" s="102"/>
      <c r="H547" s="102"/>
      <c r="I547" s="102"/>
      <c r="J547" s="102"/>
      <c r="K547" s="102"/>
      <c r="L547" s="102"/>
      <c r="M547" s="102"/>
      <c r="N547" s="102"/>
      <c r="O547" s="102"/>
      <c r="P547" s="102"/>
      <c r="Q547" s="102"/>
      <c r="R547" s="102"/>
      <c r="S547" s="102"/>
      <c r="T547" s="102"/>
      <c r="U547" s="102"/>
      <c r="V547" s="102"/>
      <c r="W547" s="102"/>
      <c r="X547" s="102"/>
      <c r="Y547" s="102"/>
      <c r="Z547" s="102"/>
    </row>
    <row r="548" ht="15.75" customHeight="1">
      <c r="A548" s="102"/>
      <c r="B548" s="103"/>
      <c r="C548" s="103"/>
      <c r="D548" s="104"/>
      <c r="E548" s="103"/>
      <c r="F548" s="102"/>
      <c r="G548" s="102"/>
      <c r="H548" s="102"/>
      <c r="I548" s="102"/>
      <c r="J548" s="102"/>
      <c r="K548" s="102"/>
      <c r="L548" s="102"/>
      <c r="M548" s="102"/>
      <c r="N548" s="102"/>
      <c r="O548" s="102"/>
      <c r="P548" s="102"/>
      <c r="Q548" s="102"/>
      <c r="R548" s="102"/>
      <c r="S548" s="102"/>
      <c r="T548" s="102"/>
      <c r="U548" s="102"/>
      <c r="V548" s="102"/>
      <c r="W548" s="102"/>
      <c r="X548" s="102"/>
      <c r="Y548" s="102"/>
      <c r="Z548" s="102"/>
    </row>
    <row r="549" ht="15.75" customHeight="1">
      <c r="A549" s="102"/>
      <c r="B549" s="103"/>
      <c r="C549" s="103"/>
      <c r="D549" s="104"/>
      <c r="E549" s="103"/>
      <c r="F549" s="102"/>
      <c r="G549" s="102"/>
      <c r="H549" s="102"/>
      <c r="I549" s="102"/>
      <c r="J549" s="102"/>
      <c r="K549" s="102"/>
      <c r="L549" s="102"/>
      <c r="M549" s="102"/>
      <c r="N549" s="102"/>
      <c r="O549" s="102"/>
      <c r="P549" s="102"/>
      <c r="Q549" s="102"/>
      <c r="R549" s="102"/>
      <c r="S549" s="102"/>
      <c r="T549" s="102"/>
      <c r="U549" s="102"/>
      <c r="V549" s="102"/>
      <c r="W549" s="102"/>
      <c r="X549" s="102"/>
      <c r="Y549" s="102"/>
      <c r="Z549" s="102"/>
    </row>
    <row r="550" ht="15.75" customHeight="1">
      <c r="A550" s="102"/>
      <c r="B550" s="103"/>
      <c r="C550" s="103"/>
      <c r="D550" s="104"/>
      <c r="E550" s="103"/>
      <c r="F550" s="102"/>
      <c r="G550" s="102"/>
      <c r="H550" s="102"/>
      <c r="I550" s="102"/>
      <c r="J550" s="102"/>
      <c r="K550" s="102"/>
      <c r="L550" s="102"/>
      <c r="M550" s="102"/>
      <c r="N550" s="102"/>
      <c r="O550" s="102"/>
      <c r="P550" s="102"/>
      <c r="Q550" s="102"/>
      <c r="R550" s="102"/>
      <c r="S550" s="102"/>
      <c r="T550" s="102"/>
      <c r="U550" s="102"/>
      <c r="V550" s="102"/>
      <c r="W550" s="102"/>
      <c r="X550" s="102"/>
      <c r="Y550" s="102"/>
      <c r="Z550" s="102"/>
    </row>
    <row r="551" ht="15.75" customHeight="1">
      <c r="A551" s="102"/>
      <c r="B551" s="103"/>
      <c r="C551" s="103"/>
      <c r="D551" s="104"/>
      <c r="E551" s="103"/>
      <c r="F551" s="102"/>
      <c r="G551" s="102"/>
      <c r="H551" s="102"/>
      <c r="I551" s="102"/>
      <c r="J551" s="102"/>
      <c r="K551" s="102"/>
      <c r="L551" s="102"/>
      <c r="M551" s="102"/>
      <c r="N551" s="102"/>
      <c r="O551" s="102"/>
      <c r="P551" s="102"/>
      <c r="Q551" s="102"/>
      <c r="R551" s="102"/>
      <c r="S551" s="102"/>
      <c r="T551" s="102"/>
      <c r="U551" s="102"/>
      <c r="V551" s="102"/>
      <c r="W551" s="102"/>
      <c r="X551" s="102"/>
      <c r="Y551" s="102"/>
      <c r="Z551" s="102"/>
    </row>
    <row r="552" ht="15.75" customHeight="1">
      <c r="A552" s="102"/>
      <c r="B552" s="103"/>
      <c r="C552" s="103"/>
      <c r="D552" s="104"/>
      <c r="E552" s="103"/>
      <c r="F552" s="102"/>
      <c r="G552" s="102"/>
      <c r="H552" s="102"/>
      <c r="I552" s="102"/>
      <c r="J552" s="102"/>
      <c r="K552" s="102"/>
      <c r="L552" s="102"/>
      <c r="M552" s="102"/>
      <c r="N552" s="102"/>
      <c r="O552" s="102"/>
      <c r="P552" s="102"/>
      <c r="Q552" s="102"/>
      <c r="R552" s="102"/>
      <c r="S552" s="102"/>
      <c r="T552" s="102"/>
      <c r="U552" s="102"/>
      <c r="V552" s="102"/>
      <c r="W552" s="102"/>
      <c r="X552" s="102"/>
      <c r="Y552" s="102"/>
      <c r="Z552" s="102"/>
    </row>
    <row r="553" ht="15.75" customHeight="1">
      <c r="A553" s="102"/>
      <c r="B553" s="103"/>
      <c r="C553" s="103"/>
      <c r="D553" s="104"/>
      <c r="E553" s="103"/>
      <c r="F553" s="102"/>
      <c r="G553" s="102"/>
      <c r="H553" s="102"/>
      <c r="I553" s="102"/>
      <c r="J553" s="102"/>
      <c r="K553" s="102"/>
      <c r="L553" s="102"/>
      <c r="M553" s="102"/>
      <c r="N553" s="102"/>
      <c r="O553" s="102"/>
      <c r="P553" s="102"/>
      <c r="Q553" s="102"/>
      <c r="R553" s="102"/>
      <c r="S553" s="102"/>
      <c r="T553" s="102"/>
      <c r="U553" s="102"/>
      <c r="V553" s="102"/>
      <c r="W553" s="102"/>
      <c r="X553" s="102"/>
      <c r="Y553" s="102"/>
      <c r="Z553" s="102"/>
    </row>
    <row r="554" ht="15.75" customHeight="1">
      <c r="A554" s="102"/>
      <c r="B554" s="103"/>
      <c r="C554" s="103"/>
      <c r="D554" s="104"/>
      <c r="E554" s="103"/>
      <c r="F554" s="102"/>
      <c r="G554" s="102"/>
      <c r="H554" s="102"/>
      <c r="I554" s="102"/>
      <c r="J554" s="102"/>
      <c r="K554" s="102"/>
      <c r="L554" s="102"/>
      <c r="M554" s="102"/>
      <c r="N554" s="102"/>
      <c r="O554" s="102"/>
      <c r="P554" s="102"/>
      <c r="Q554" s="102"/>
      <c r="R554" s="102"/>
      <c r="S554" s="102"/>
      <c r="T554" s="102"/>
      <c r="U554" s="102"/>
      <c r="V554" s="102"/>
      <c r="W554" s="102"/>
      <c r="X554" s="102"/>
      <c r="Y554" s="102"/>
      <c r="Z554" s="102"/>
    </row>
    <row r="555" ht="15.75" customHeight="1">
      <c r="A555" s="102"/>
      <c r="B555" s="103"/>
      <c r="C555" s="103"/>
      <c r="D555" s="104"/>
      <c r="E555" s="103"/>
      <c r="F555" s="102"/>
      <c r="G555" s="102"/>
      <c r="H555" s="102"/>
      <c r="I555" s="102"/>
      <c r="J555" s="102"/>
      <c r="K555" s="102"/>
      <c r="L555" s="102"/>
      <c r="M555" s="102"/>
      <c r="N555" s="102"/>
      <c r="O555" s="102"/>
      <c r="P555" s="102"/>
      <c r="Q555" s="102"/>
      <c r="R555" s="102"/>
      <c r="S555" s="102"/>
      <c r="T555" s="102"/>
      <c r="U555" s="102"/>
      <c r="V555" s="102"/>
      <c r="W555" s="102"/>
      <c r="X555" s="102"/>
      <c r="Y555" s="102"/>
      <c r="Z555" s="102"/>
    </row>
    <row r="556" ht="15.75" customHeight="1">
      <c r="A556" s="102"/>
      <c r="B556" s="103"/>
      <c r="C556" s="103"/>
      <c r="D556" s="104"/>
      <c r="E556" s="103"/>
      <c r="F556" s="102"/>
      <c r="G556" s="102"/>
      <c r="H556" s="102"/>
      <c r="I556" s="102"/>
      <c r="J556" s="102"/>
      <c r="K556" s="102"/>
      <c r="L556" s="102"/>
      <c r="M556" s="102"/>
      <c r="N556" s="102"/>
      <c r="O556" s="102"/>
      <c r="P556" s="102"/>
      <c r="Q556" s="102"/>
      <c r="R556" s="102"/>
      <c r="S556" s="102"/>
      <c r="T556" s="102"/>
      <c r="U556" s="102"/>
      <c r="V556" s="102"/>
      <c r="W556" s="102"/>
      <c r="X556" s="102"/>
      <c r="Y556" s="102"/>
      <c r="Z556" s="102"/>
    </row>
    <row r="557" ht="15.75" customHeight="1">
      <c r="A557" s="102"/>
      <c r="B557" s="103"/>
      <c r="C557" s="103"/>
      <c r="D557" s="104"/>
      <c r="E557" s="103"/>
      <c r="F557" s="102"/>
      <c r="G557" s="102"/>
      <c r="H557" s="102"/>
      <c r="I557" s="102"/>
      <c r="J557" s="102"/>
      <c r="K557" s="102"/>
      <c r="L557" s="102"/>
      <c r="M557" s="102"/>
      <c r="N557" s="102"/>
      <c r="O557" s="102"/>
      <c r="P557" s="102"/>
      <c r="Q557" s="102"/>
      <c r="R557" s="102"/>
      <c r="S557" s="102"/>
      <c r="T557" s="102"/>
      <c r="U557" s="102"/>
      <c r="V557" s="102"/>
      <c r="W557" s="102"/>
      <c r="X557" s="102"/>
      <c r="Y557" s="102"/>
      <c r="Z557" s="102"/>
    </row>
    <row r="558" ht="15.75" customHeight="1">
      <c r="A558" s="102"/>
      <c r="B558" s="103"/>
      <c r="C558" s="103"/>
      <c r="D558" s="104"/>
      <c r="E558" s="103"/>
      <c r="F558" s="102"/>
      <c r="G558" s="102"/>
      <c r="H558" s="102"/>
      <c r="I558" s="102"/>
      <c r="J558" s="102"/>
      <c r="K558" s="102"/>
      <c r="L558" s="102"/>
      <c r="M558" s="102"/>
      <c r="N558" s="102"/>
      <c r="O558" s="102"/>
      <c r="P558" s="102"/>
      <c r="Q558" s="102"/>
      <c r="R558" s="102"/>
      <c r="S558" s="102"/>
      <c r="T558" s="102"/>
      <c r="U558" s="102"/>
      <c r="V558" s="102"/>
      <c r="W558" s="102"/>
      <c r="X558" s="102"/>
      <c r="Y558" s="102"/>
      <c r="Z558" s="102"/>
    </row>
    <row r="559" ht="15.75" customHeight="1">
      <c r="A559" s="102"/>
      <c r="B559" s="103"/>
      <c r="C559" s="103"/>
      <c r="D559" s="104"/>
      <c r="E559" s="103"/>
      <c r="F559" s="102"/>
      <c r="G559" s="102"/>
      <c r="H559" s="102"/>
      <c r="I559" s="102"/>
      <c r="J559" s="102"/>
      <c r="K559" s="102"/>
      <c r="L559" s="102"/>
      <c r="M559" s="102"/>
      <c r="N559" s="102"/>
      <c r="O559" s="102"/>
      <c r="P559" s="102"/>
      <c r="Q559" s="102"/>
      <c r="R559" s="102"/>
      <c r="S559" s="102"/>
      <c r="T559" s="102"/>
      <c r="U559" s="102"/>
      <c r="V559" s="102"/>
      <c r="W559" s="102"/>
      <c r="X559" s="102"/>
      <c r="Y559" s="102"/>
      <c r="Z559" s="102"/>
    </row>
    <row r="560" ht="15.75" customHeight="1">
      <c r="A560" s="102"/>
      <c r="B560" s="103"/>
      <c r="C560" s="103"/>
      <c r="D560" s="104"/>
      <c r="E560" s="103"/>
      <c r="F560" s="102"/>
      <c r="G560" s="102"/>
      <c r="H560" s="102"/>
      <c r="I560" s="102"/>
      <c r="J560" s="102"/>
      <c r="K560" s="102"/>
      <c r="L560" s="102"/>
      <c r="M560" s="102"/>
      <c r="N560" s="102"/>
      <c r="O560" s="102"/>
      <c r="P560" s="102"/>
      <c r="Q560" s="102"/>
      <c r="R560" s="102"/>
      <c r="S560" s="102"/>
      <c r="T560" s="102"/>
      <c r="U560" s="102"/>
      <c r="V560" s="102"/>
      <c r="W560" s="102"/>
      <c r="X560" s="102"/>
      <c r="Y560" s="102"/>
      <c r="Z560" s="102"/>
    </row>
    <row r="561" ht="15.75" customHeight="1">
      <c r="A561" s="102"/>
      <c r="B561" s="103"/>
      <c r="C561" s="103"/>
      <c r="D561" s="104"/>
      <c r="E561" s="103"/>
      <c r="F561" s="102"/>
      <c r="G561" s="102"/>
      <c r="H561" s="102"/>
      <c r="I561" s="102"/>
      <c r="J561" s="102"/>
      <c r="K561" s="102"/>
      <c r="L561" s="102"/>
      <c r="M561" s="102"/>
      <c r="N561" s="102"/>
      <c r="O561" s="102"/>
      <c r="P561" s="102"/>
      <c r="Q561" s="102"/>
      <c r="R561" s="102"/>
      <c r="S561" s="102"/>
      <c r="T561" s="102"/>
      <c r="U561" s="102"/>
      <c r="V561" s="102"/>
      <c r="W561" s="102"/>
      <c r="X561" s="102"/>
      <c r="Y561" s="102"/>
      <c r="Z561" s="102"/>
    </row>
    <row r="562" ht="15.75" customHeight="1">
      <c r="A562" s="102"/>
      <c r="B562" s="103"/>
      <c r="C562" s="103"/>
      <c r="D562" s="104"/>
      <c r="E562" s="103"/>
      <c r="F562" s="102"/>
      <c r="G562" s="102"/>
      <c r="H562" s="102"/>
      <c r="I562" s="102"/>
      <c r="J562" s="102"/>
      <c r="K562" s="102"/>
      <c r="L562" s="102"/>
      <c r="M562" s="102"/>
      <c r="N562" s="102"/>
      <c r="O562" s="102"/>
      <c r="P562" s="102"/>
      <c r="Q562" s="102"/>
      <c r="R562" s="102"/>
      <c r="S562" s="102"/>
      <c r="T562" s="102"/>
      <c r="U562" s="102"/>
      <c r="V562" s="102"/>
      <c r="W562" s="102"/>
      <c r="X562" s="102"/>
      <c r="Y562" s="102"/>
      <c r="Z562" s="102"/>
    </row>
    <row r="563" ht="15.75" customHeight="1">
      <c r="A563" s="102"/>
      <c r="B563" s="103"/>
      <c r="C563" s="103"/>
      <c r="D563" s="104"/>
      <c r="E563" s="103"/>
      <c r="F563" s="102"/>
      <c r="G563" s="102"/>
      <c r="H563" s="102"/>
      <c r="I563" s="102"/>
      <c r="J563" s="102"/>
      <c r="K563" s="102"/>
      <c r="L563" s="102"/>
      <c r="M563" s="102"/>
      <c r="N563" s="102"/>
      <c r="O563" s="102"/>
      <c r="P563" s="102"/>
      <c r="Q563" s="102"/>
      <c r="R563" s="102"/>
      <c r="S563" s="102"/>
      <c r="T563" s="102"/>
      <c r="U563" s="102"/>
      <c r="V563" s="102"/>
      <c r="W563" s="102"/>
      <c r="X563" s="102"/>
      <c r="Y563" s="102"/>
      <c r="Z563" s="102"/>
    </row>
    <row r="564" ht="15.75" customHeight="1">
      <c r="A564" s="102"/>
      <c r="B564" s="103"/>
      <c r="C564" s="103"/>
      <c r="D564" s="104"/>
      <c r="E564" s="103"/>
      <c r="F564" s="102"/>
      <c r="G564" s="102"/>
      <c r="H564" s="102"/>
      <c r="I564" s="102"/>
      <c r="J564" s="102"/>
      <c r="K564" s="102"/>
      <c r="L564" s="102"/>
      <c r="M564" s="102"/>
      <c r="N564" s="102"/>
      <c r="O564" s="102"/>
      <c r="P564" s="102"/>
      <c r="Q564" s="102"/>
      <c r="R564" s="102"/>
      <c r="S564" s="102"/>
      <c r="T564" s="102"/>
      <c r="U564" s="102"/>
      <c r="V564" s="102"/>
      <c r="W564" s="102"/>
      <c r="X564" s="102"/>
      <c r="Y564" s="102"/>
      <c r="Z564" s="102"/>
    </row>
    <row r="565" ht="15.75" customHeight="1">
      <c r="A565" s="102"/>
      <c r="B565" s="103"/>
      <c r="C565" s="103"/>
      <c r="D565" s="104"/>
      <c r="E565" s="103"/>
      <c r="F565" s="102"/>
      <c r="G565" s="102"/>
      <c r="H565" s="102"/>
      <c r="I565" s="102"/>
      <c r="J565" s="102"/>
      <c r="K565" s="102"/>
      <c r="L565" s="102"/>
      <c r="M565" s="102"/>
      <c r="N565" s="102"/>
      <c r="O565" s="102"/>
      <c r="P565" s="102"/>
      <c r="Q565" s="102"/>
      <c r="R565" s="102"/>
      <c r="S565" s="102"/>
      <c r="T565" s="102"/>
      <c r="U565" s="102"/>
      <c r="V565" s="102"/>
      <c r="W565" s="102"/>
      <c r="X565" s="102"/>
      <c r="Y565" s="102"/>
      <c r="Z565" s="102"/>
    </row>
    <row r="566" ht="15.75" customHeight="1">
      <c r="A566" s="102"/>
      <c r="B566" s="103"/>
      <c r="C566" s="103"/>
      <c r="D566" s="104"/>
      <c r="E566" s="103"/>
      <c r="F566" s="102"/>
      <c r="G566" s="102"/>
      <c r="H566" s="102"/>
      <c r="I566" s="102"/>
      <c r="J566" s="102"/>
      <c r="K566" s="102"/>
      <c r="L566" s="102"/>
      <c r="M566" s="102"/>
      <c r="N566" s="102"/>
      <c r="O566" s="102"/>
      <c r="P566" s="102"/>
      <c r="Q566" s="102"/>
      <c r="R566" s="102"/>
      <c r="S566" s="102"/>
      <c r="T566" s="102"/>
      <c r="U566" s="102"/>
      <c r="V566" s="102"/>
      <c r="W566" s="102"/>
      <c r="X566" s="102"/>
      <c r="Y566" s="102"/>
      <c r="Z566" s="102"/>
    </row>
    <row r="567" ht="15.75" customHeight="1">
      <c r="A567" s="102"/>
      <c r="B567" s="103"/>
      <c r="C567" s="103"/>
      <c r="D567" s="104"/>
      <c r="E567" s="103"/>
      <c r="F567" s="102"/>
      <c r="G567" s="102"/>
      <c r="H567" s="102"/>
      <c r="I567" s="102"/>
      <c r="J567" s="102"/>
      <c r="K567" s="102"/>
      <c r="L567" s="102"/>
      <c r="M567" s="102"/>
      <c r="N567" s="102"/>
      <c r="O567" s="102"/>
      <c r="P567" s="102"/>
      <c r="Q567" s="102"/>
      <c r="R567" s="102"/>
      <c r="S567" s="102"/>
      <c r="T567" s="102"/>
      <c r="U567" s="102"/>
      <c r="V567" s="102"/>
      <c r="W567" s="102"/>
      <c r="X567" s="102"/>
      <c r="Y567" s="102"/>
      <c r="Z567" s="102"/>
    </row>
    <row r="568" ht="15.75" customHeight="1">
      <c r="A568" s="102"/>
      <c r="B568" s="103"/>
      <c r="C568" s="103"/>
      <c r="D568" s="104"/>
      <c r="E568" s="103"/>
      <c r="F568" s="102"/>
      <c r="G568" s="102"/>
      <c r="H568" s="102"/>
      <c r="I568" s="102"/>
      <c r="J568" s="102"/>
      <c r="K568" s="102"/>
      <c r="L568" s="102"/>
      <c r="M568" s="102"/>
      <c r="N568" s="102"/>
      <c r="O568" s="102"/>
      <c r="P568" s="102"/>
      <c r="Q568" s="102"/>
      <c r="R568" s="102"/>
      <c r="S568" s="102"/>
      <c r="T568" s="102"/>
      <c r="U568" s="102"/>
      <c r="V568" s="102"/>
      <c r="W568" s="102"/>
      <c r="X568" s="102"/>
      <c r="Y568" s="102"/>
      <c r="Z568" s="102"/>
    </row>
    <row r="569" ht="15.75" customHeight="1">
      <c r="A569" s="102"/>
      <c r="B569" s="103"/>
      <c r="C569" s="103"/>
      <c r="D569" s="104"/>
      <c r="E569" s="103"/>
      <c r="F569" s="102"/>
      <c r="G569" s="102"/>
      <c r="H569" s="102"/>
      <c r="I569" s="102"/>
      <c r="J569" s="102"/>
      <c r="K569" s="102"/>
      <c r="L569" s="102"/>
      <c r="M569" s="102"/>
      <c r="N569" s="102"/>
      <c r="O569" s="102"/>
      <c r="P569" s="102"/>
      <c r="Q569" s="102"/>
      <c r="R569" s="102"/>
      <c r="S569" s="102"/>
      <c r="T569" s="102"/>
      <c r="U569" s="102"/>
      <c r="V569" s="102"/>
      <c r="W569" s="102"/>
      <c r="X569" s="102"/>
      <c r="Y569" s="102"/>
      <c r="Z569" s="102"/>
    </row>
    <row r="570" ht="15.75" customHeight="1">
      <c r="A570" s="102"/>
      <c r="B570" s="103"/>
      <c r="C570" s="103"/>
      <c r="D570" s="104"/>
      <c r="E570" s="103"/>
      <c r="F570" s="102"/>
      <c r="G570" s="102"/>
      <c r="H570" s="102"/>
      <c r="I570" s="102"/>
      <c r="J570" s="102"/>
      <c r="K570" s="102"/>
      <c r="L570" s="102"/>
      <c r="M570" s="102"/>
      <c r="N570" s="102"/>
      <c r="O570" s="102"/>
      <c r="P570" s="102"/>
      <c r="Q570" s="102"/>
      <c r="R570" s="102"/>
      <c r="S570" s="102"/>
      <c r="T570" s="102"/>
      <c r="U570" s="102"/>
      <c r="V570" s="102"/>
      <c r="W570" s="102"/>
      <c r="X570" s="102"/>
      <c r="Y570" s="102"/>
      <c r="Z570" s="102"/>
    </row>
    <row r="571" ht="15.75" customHeight="1">
      <c r="A571" s="102"/>
      <c r="B571" s="103"/>
      <c r="C571" s="103"/>
      <c r="D571" s="104"/>
      <c r="E571" s="103"/>
      <c r="F571" s="102"/>
      <c r="G571" s="102"/>
      <c r="H571" s="102"/>
      <c r="I571" s="102"/>
      <c r="J571" s="102"/>
      <c r="K571" s="102"/>
      <c r="L571" s="102"/>
      <c r="M571" s="102"/>
      <c r="N571" s="102"/>
      <c r="O571" s="102"/>
      <c r="P571" s="102"/>
      <c r="Q571" s="102"/>
      <c r="R571" s="102"/>
      <c r="S571" s="102"/>
      <c r="T571" s="102"/>
      <c r="U571" s="102"/>
      <c r="V571" s="102"/>
      <c r="W571" s="102"/>
      <c r="X571" s="102"/>
      <c r="Y571" s="102"/>
      <c r="Z571" s="102"/>
    </row>
    <row r="572" ht="15.75" customHeight="1">
      <c r="A572" s="102"/>
      <c r="B572" s="103"/>
      <c r="C572" s="103"/>
      <c r="D572" s="104"/>
      <c r="E572" s="103"/>
      <c r="F572" s="102"/>
      <c r="G572" s="102"/>
      <c r="H572" s="102"/>
      <c r="I572" s="102"/>
      <c r="J572" s="102"/>
      <c r="K572" s="102"/>
      <c r="L572" s="102"/>
      <c r="M572" s="102"/>
      <c r="N572" s="102"/>
      <c r="O572" s="102"/>
      <c r="P572" s="102"/>
      <c r="Q572" s="102"/>
      <c r="R572" s="102"/>
      <c r="S572" s="102"/>
      <c r="T572" s="102"/>
      <c r="U572" s="102"/>
      <c r="V572" s="102"/>
      <c r="W572" s="102"/>
      <c r="X572" s="102"/>
      <c r="Y572" s="102"/>
      <c r="Z572" s="102"/>
    </row>
    <row r="573" ht="15.75" customHeight="1">
      <c r="A573" s="102"/>
      <c r="B573" s="103"/>
      <c r="C573" s="103"/>
      <c r="D573" s="104"/>
      <c r="E573" s="103"/>
      <c r="F573" s="102"/>
      <c r="G573" s="102"/>
      <c r="H573" s="102"/>
      <c r="I573" s="102"/>
      <c r="J573" s="102"/>
      <c r="K573" s="102"/>
      <c r="L573" s="102"/>
      <c r="M573" s="102"/>
      <c r="N573" s="102"/>
      <c r="O573" s="102"/>
      <c r="P573" s="102"/>
      <c r="Q573" s="102"/>
      <c r="R573" s="102"/>
      <c r="S573" s="102"/>
      <c r="T573" s="102"/>
      <c r="U573" s="102"/>
      <c r="V573" s="102"/>
      <c r="W573" s="102"/>
      <c r="X573" s="102"/>
      <c r="Y573" s="102"/>
      <c r="Z573" s="102"/>
    </row>
    <row r="574" ht="15.75" customHeight="1">
      <c r="A574" s="102"/>
      <c r="B574" s="103"/>
      <c r="C574" s="103"/>
      <c r="D574" s="104"/>
      <c r="E574" s="103"/>
      <c r="F574" s="102"/>
      <c r="G574" s="102"/>
      <c r="H574" s="102"/>
      <c r="I574" s="102"/>
      <c r="J574" s="102"/>
      <c r="K574" s="102"/>
      <c r="L574" s="102"/>
      <c r="M574" s="102"/>
      <c r="N574" s="102"/>
      <c r="O574" s="102"/>
      <c r="P574" s="102"/>
      <c r="Q574" s="102"/>
      <c r="R574" s="102"/>
      <c r="S574" s="102"/>
      <c r="T574" s="102"/>
      <c r="U574" s="102"/>
      <c r="V574" s="102"/>
      <c r="W574" s="102"/>
      <c r="X574" s="102"/>
      <c r="Y574" s="102"/>
      <c r="Z574" s="102"/>
    </row>
    <row r="575" ht="15.75" customHeight="1">
      <c r="A575" s="102"/>
      <c r="B575" s="103"/>
      <c r="C575" s="103"/>
      <c r="D575" s="104"/>
      <c r="E575" s="103"/>
      <c r="F575" s="102"/>
      <c r="G575" s="102"/>
      <c r="H575" s="102"/>
      <c r="I575" s="102"/>
      <c r="J575" s="102"/>
      <c r="K575" s="102"/>
      <c r="L575" s="102"/>
      <c r="M575" s="102"/>
      <c r="N575" s="102"/>
      <c r="O575" s="102"/>
      <c r="P575" s="102"/>
      <c r="Q575" s="102"/>
      <c r="R575" s="102"/>
      <c r="S575" s="102"/>
      <c r="T575" s="102"/>
      <c r="U575" s="102"/>
      <c r="V575" s="102"/>
      <c r="W575" s="102"/>
      <c r="X575" s="102"/>
      <c r="Y575" s="102"/>
      <c r="Z575" s="102"/>
    </row>
    <row r="576" ht="15.75" customHeight="1">
      <c r="A576" s="102"/>
      <c r="B576" s="103"/>
      <c r="C576" s="103"/>
      <c r="D576" s="104"/>
      <c r="E576" s="103"/>
      <c r="F576" s="102"/>
      <c r="G576" s="102"/>
      <c r="H576" s="102"/>
      <c r="I576" s="102"/>
      <c r="J576" s="102"/>
      <c r="K576" s="102"/>
      <c r="L576" s="102"/>
      <c r="M576" s="102"/>
      <c r="N576" s="102"/>
      <c r="O576" s="102"/>
      <c r="P576" s="102"/>
      <c r="Q576" s="102"/>
      <c r="R576" s="102"/>
      <c r="S576" s="102"/>
      <c r="T576" s="102"/>
      <c r="U576" s="102"/>
      <c r="V576" s="102"/>
      <c r="W576" s="102"/>
      <c r="X576" s="102"/>
      <c r="Y576" s="102"/>
      <c r="Z576" s="102"/>
    </row>
    <row r="577" ht="15.75" customHeight="1">
      <c r="A577" s="102"/>
      <c r="B577" s="103"/>
      <c r="C577" s="103"/>
      <c r="D577" s="104"/>
      <c r="E577" s="103"/>
      <c r="F577" s="102"/>
      <c r="G577" s="102"/>
      <c r="H577" s="102"/>
      <c r="I577" s="102"/>
      <c r="J577" s="102"/>
      <c r="K577" s="102"/>
      <c r="L577" s="102"/>
      <c r="M577" s="102"/>
      <c r="N577" s="102"/>
      <c r="O577" s="102"/>
      <c r="P577" s="102"/>
      <c r="Q577" s="102"/>
      <c r="R577" s="102"/>
      <c r="S577" s="102"/>
      <c r="T577" s="102"/>
      <c r="U577" s="102"/>
      <c r="V577" s="102"/>
      <c r="W577" s="102"/>
      <c r="X577" s="102"/>
      <c r="Y577" s="102"/>
      <c r="Z577" s="102"/>
    </row>
    <row r="578" ht="15.75" customHeight="1">
      <c r="A578" s="102"/>
      <c r="B578" s="103"/>
      <c r="C578" s="103"/>
      <c r="D578" s="104"/>
      <c r="E578" s="103"/>
      <c r="F578" s="102"/>
      <c r="G578" s="102"/>
      <c r="H578" s="102"/>
      <c r="I578" s="102"/>
      <c r="J578" s="102"/>
      <c r="K578" s="102"/>
      <c r="L578" s="102"/>
      <c r="M578" s="102"/>
      <c r="N578" s="102"/>
      <c r="O578" s="102"/>
      <c r="P578" s="102"/>
      <c r="Q578" s="102"/>
      <c r="R578" s="102"/>
      <c r="S578" s="102"/>
      <c r="T578" s="102"/>
      <c r="U578" s="102"/>
      <c r="V578" s="102"/>
      <c r="W578" s="102"/>
      <c r="X578" s="102"/>
      <c r="Y578" s="102"/>
      <c r="Z578" s="102"/>
    </row>
    <row r="579" ht="15.75" customHeight="1">
      <c r="A579" s="102"/>
      <c r="B579" s="103"/>
      <c r="C579" s="103"/>
      <c r="D579" s="104"/>
      <c r="E579" s="103"/>
      <c r="F579" s="102"/>
      <c r="G579" s="102"/>
      <c r="H579" s="102"/>
      <c r="I579" s="102"/>
      <c r="J579" s="102"/>
      <c r="K579" s="102"/>
      <c r="L579" s="102"/>
      <c r="M579" s="102"/>
      <c r="N579" s="102"/>
      <c r="O579" s="102"/>
      <c r="P579" s="102"/>
      <c r="Q579" s="102"/>
      <c r="R579" s="102"/>
      <c r="S579" s="102"/>
      <c r="T579" s="102"/>
      <c r="U579" s="102"/>
      <c r="V579" s="102"/>
      <c r="W579" s="102"/>
      <c r="X579" s="102"/>
      <c r="Y579" s="102"/>
      <c r="Z579" s="102"/>
    </row>
    <row r="580" ht="15.75" customHeight="1">
      <c r="A580" s="102"/>
      <c r="B580" s="103"/>
      <c r="C580" s="103"/>
      <c r="D580" s="104"/>
      <c r="E580" s="103"/>
      <c r="F580" s="102"/>
      <c r="G580" s="102"/>
      <c r="H580" s="102"/>
      <c r="I580" s="102"/>
      <c r="J580" s="102"/>
      <c r="K580" s="102"/>
      <c r="L580" s="102"/>
      <c r="M580" s="102"/>
      <c r="N580" s="102"/>
      <c r="O580" s="102"/>
      <c r="P580" s="102"/>
      <c r="Q580" s="102"/>
      <c r="R580" s="102"/>
      <c r="S580" s="102"/>
      <c r="T580" s="102"/>
      <c r="U580" s="102"/>
      <c r="V580" s="102"/>
      <c r="W580" s="102"/>
      <c r="X580" s="102"/>
      <c r="Y580" s="102"/>
      <c r="Z580" s="102"/>
    </row>
    <row r="581" ht="15.75" customHeight="1">
      <c r="A581" s="102"/>
      <c r="B581" s="103"/>
      <c r="C581" s="103"/>
      <c r="D581" s="104"/>
      <c r="E581" s="103"/>
      <c r="F581" s="102"/>
      <c r="G581" s="102"/>
      <c r="H581" s="102"/>
      <c r="I581" s="102"/>
      <c r="J581" s="102"/>
      <c r="K581" s="102"/>
      <c r="L581" s="102"/>
      <c r="M581" s="102"/>
      <c r="N581" s="102"/>
      <c r="O581" s="102"/>
      <c r="P581" s="102"/>
      <c r="Q581" s="102"/>
      <c r="R581" s="102"/>
      <c r="S581" s="102"/>
      <c r="T581" s="102"/>
      <c r="U581" s="102"/>
      <c r="V581" s="102"/>
      <c r="W581" s="102"/>
      <c r="X581" s="102"/>
      <c r="Y581" s="102"/>
      <c r="Z581" s="102"/>
    </row>
    <row r="582" ht="15.75" customHeight="1">
      <c r="A582" s="102"/>
      <c r="B582" s="103"/>
      <c r="C582" s="103"/>
      <c r="D582" s="104"/>
      <c r="E582" s="103"/>
      <c r="F582" s="102"/>
      <c r="G582" s="102"/>
      <c r="H582" s="102"/>
      <c r="I582" s="102"/>
      <c r="J582" s="102"/>
      <c r="K582" s="102"/>
      <c r="L582" s="102"/>
      <c r="M582" s="102"/>
      <c r="N582" s="102"/>
      <c r="O582" s="102"/>
      <c r="P582" s="102"/>
      <c r="Q582" s="102"/>
      <c r="R582" s="102"/>
      <c r="S582" s="102"/>
      <c r="T582" s="102"/>
      <c r="U582" s="102"/>
      <c r="V582" s="102"/>
      <c r="W582" s="102"/>
      <c r="X582" s="102"/>
      <c r="Y582" s="102"/>
      <c r="Z582" s="102"/>
    </row>
    <row r="583" ht="15.75" customHeight="1">
      <c r="A583" s="102"/>
      <c r="B583" s="103"/>
      <c r="C583" s="103"/>
      <c r="D583" s="104"/>
      <c r="E583" s="103"/>
      <c r="F583" s="102"/>
      <c r="G583" s="102"/>
      <c r="H583" s="102"/>
      <c r="I583" s="102"/>
      <c r="J583" s="102"/>
      <c r="K583" s="102"/>
      <c r="L583" s="102"/>
      <c r="M583" s="102"/>
      <c r="N583" s="102"/>
      <c r="O583" s="102"/>
      <c r="P583" s="102"/>
      <c r="Q583" s="102"/>
      <c r="R583" s="102"/>
      <c r="S583" s="102"/>
      <c r="T583" s="102"/>
      <c r="U583" s="102"/>
      <c r="V583" s="102"/>
      <c r="W583" s="102"/>
      <c r="X583" s="102"/>
      <c r="Y583" s="102"/>
      <c r="Z583" s="102"/>
    </row>
    <row r="584" ht="15.75" customHeight="1">
      <c r="A584" s="102"/>
      <c r="B584" s="103"/>
      <c r="C584" s="103"/>
      <c r="D584" s="104"/>
      <c r="E584" s="103"/>
      <c r="F584" s="102"/>
      <c r="G584" s="102"/>
      <c r="H584" s="102"/>
      <c r="I584" s="102"/>
      <c r="J584" s="102"/>
      <c r="K584" s="102"/>
      <c r="L584" s="102"/>
      <c r="M584" s="102"/>
      <c r="N584" s="102"/>
      <c r="O584" s="102"/>
      <c r="P584" s="102"/>
      <c r="Q584" s="102"/>
      <c r="R584" s="102"/>
      <c r="S584" s="102"/>
      <c r="T584" s="102"/>
      <c r="U584" s="102"/>
      <c r="V584" s="102"/>
      <c r="W584" s="102"/>
      <c r="X584" s="102"/>
      <c r="Y584" s="102"/>
      <c r="Z584" s="102"/>
    </row>
    <row r="585" ht="15.75" customHeight="1">
      <c r="A585" s="102"/>
      <c r="B585" s="103"/>
      <c r="C585" s="103"/>
      <c r="D585" s="104"/>
      <c r="E585" s="103"/>
      <c r="F585" s="102"/>
      <c r="G585" s="102"/>
      <c r="H585" s="102"/>
      <c r="I585" s="102"/>
      <c r="J585" s="102"/>
      <c r="K585" s="102"/>
      <c r="L585" s="102"/>
      <c r="M585" s="102"/>
      <c r="N585" s="102"/>
      <c r="O585" s="102"/>
      <c r="P585" s="102"/>
      <c r="Q585" s="102"/>
      <c r="R585" s="102"/>
      <c r="S585" s="102"/>
      <c r="T585" s="102"/>
      <c r="U585" s="102"/>
      <c r="V585" s="102"/>
      <c r="W585" s="102"/>
      <c r="X585" s="102"/>
      <c r="Y585" s="102"/>
      <c r="Z585" s="102"/>
    </row>
    <row r="586" ht="15.75" customHeight="1">
      <c r="A586" s="102"/>
      <c r="B586" s="103"/>
      <c r="C586" s="103"/>
      <c r="D586" s="104"/>
      <c r="E586" s="103"/>
      <c r="F586" s="102"/>
      <c r="G586" s="102"/>
      <c r="H586" s="102"/>
      <c r="I586" s="102"/>
      <c r="J586" s="102"/>
      <c r="K586" s="102"/>
      <c r="L586" s="102"/>
      <c r="M586" s="102"/>
      <c r="N586" s="102"/>
      <c r="O586" s="102"/>
      <c r="P586" s="102"/>
      <c r="Q586" s="102"/>
      <c r="R586" s="102"/>
      <c r="S586" s="102"/>
      <c r="T586" s="102"/>
      <c r="U586" s="102"/>
      <c r="V586" s="102"/>
      <c r="W586" s="102"/>
      <c r="X586" s="102"/>
      <c r="Y586" s="102"/>
      <c r="Z586" s="102"/>
    </row>
    <row r="587" ht="15.75" customHeight="1">
      <c r="A587" s="102"/>
      <c r="B587" s="103"/>
      <c r="C587" s="103"/>
      <c r="D587" s="104"/>
      <c r="E587" s="103"/>
      <c r="F587" s="102"/>
      <c r="G587" s="102"/>
      <c r="H587" s="102"/>
      <c r="I587" s="102"/>
      <c r="J587" s="102"/>
      <c r="K587" s="102"/>
      <c r="L587" s="102"/>
      <c r="M587" s="102"/>
      <c r="N587" s="102"/>
      <c r="O587" s="102"/>
      <c r="P587" s="102"/>
      <c r="Q587" s="102"/>
      <c r="R587" s="102"/>
      <c r="S587" s="102"/>
      <c r="T587" s="102"/>
      <c r="U587" s="102"/>
      <c r="V587" s="102"/>
      <c r="W587" s="102"/>
      <c r="X587" s="102"/>
      <c r="Y587" s="102"/>
      <c r="Z587" s="102"/>
    </row>
    <row r="588" ht="15.75" customHeight="1">
      <c r="A588" s="102"/>
      <c r="B588" s="103"/>
      <c r="C588" s="103"/>
      <c r="D588" s="104"/>
      <c r="E588" s="103"/>
      <c r="F588" s="102"/>
      <c r="G588" s="102"/>
      <c r="H588" s="102"/>
      <c r="I588" s="102"/>
      <c r="J588" s="102"/>
      <c r="K588" s="102"/>
      <c r="L588" s="102"/>
      <c r="M588" s="102"/>
      <c r="N588" s="102"/>
      <c r="O588" s="102"/>
      <c r="P588" s="102"/>
      <c r="Q588" s="102"/>
      <c r="R588" s="102"/>
      <c r="S588" s="102"/>
      <c r="T588" s="102"/>
      <c r="U588" s="102"/>
      <c r="V588" s="102"/>
      <c r="W588" s="102"/>
      <c r="X588" s="102"/>
      <c r="Y588" s="102"/>
      <c r="Z588" s="102"/>
    </row>
    <row r="589" ht="15.75" customHeight="1">
      <c r="A589" s="102"/>
      <c r="B589" s="103"/>
      <c r="C589" s="103"/>
      <c r="D589" s="104"/>
      <c r="E589" s="103"/>
      <c r="F589" s="102"/>
      <c r="G589" s="102"/>
      <c r="H589" s="102"/>
      <c r="I589" s="102"/>
      <c r="J589" s="102"/>
      <c r="K589" s="102"/>
      <c r="L589" s="102"/>
      <c r="M589" s="102"/>
      <c r="N589" s="102"/>
      <c r="O589" s="102"/>
      <c r="P589" s="102"/>
      <c r="Q589" s="102"/>
      <c r="R589" s="102"/>
      <c r="S589" s="102"/>
      <c r="T589" s="102"/>
      <c r="U589" s="102"/>
      <c r="V589" s="102"/>
      <c r="W589" s="102"/>
      <c r="X589" s="102"/>
      <c r="Y589" s="102"/>
      <c r="Z589" s="102"/>
    </row>
    <row r="590" ht="15.75" customHeight="1">
      <c r="A590" s="102"/>
      <c r="B590" s="103"/>
      <c r="C590" s="103"/>
      <c r="D590" s="104"/>
      <c r="E590" s="103"/>
      <c r="F590" s="102"/>
      <c r="G590" s="102"/>
      <c r="H590" s="102"/>
      <c r="I590" s="102"/>
      <c r="J590" s="102"/>
      <c r="K590" s="102"/>
      <c r="L590" s="102"/>
      <c r="M590" s="102"/>
      <c r="N590" s="102"/>
      <c r="O590" s="102"/>
      <c r="P590" s="102"/>
      <c r="Q590" s="102"/>
      <c r="R590" s="102"/>
      <c r="S590" s="102"/>
      <c r="T590" s="102"/>
      <c r="U590" s="102"/>
      <c r="V590" s="102"/>
      <c r="W590" s="102"/>
      <c r="X590" s="102"/>
      <c r="Y590" s="102"/>
      <c r="Z590" s="102"/>
    </row>
    <row r="591" ht="15.75" customHeight="1">
      <c r="A591" s="102"/>
      <c r="B591" s="103"/>
      <c r="C591" s="103"/>
      <c r="D591" s="104"/>
      <c r="E591" s="103"/>
      <c r="F591" s="102"/>
      <c r="G591" s="102"/>
      <c r="H591" s="102"/>
      <c r="I591" s="102"/>
      <c r="J591" s="102"/>
      <c r="K591" s="102"/>
      <c r="L591" s="102"/>
      <c r="M591" s="102"/>
      <c r="N591" s="102"/>
      <c r="O591" s="102"/>
      <c r="P591" s="102"/>
      <c r="Q591" s="102"/>
      <c r="R591" s="102"/>
      <c r="S591" s="102"/>
      <c r="T591" s="102"/>
      <c r="U591" s="102"/>
      <c r="V591" s="102"/>
      <c r="W591" s="102"/>
      <c r="X591" s="102"/>
      <c r="Y591" s="102"/>
      <c r="Z591" s="102"/>
    </row>
    <row r="592" ht="15.75" customHeight="1">
      <c r="A592" s="102"/>
      <c r="B592" s="103"/>
      <c r="C592" s="103"/>
      <c r="D592" s="104"/>
      <c r="E592" s="103"/>
      <c r="F592" s="102"/>
      <c r="G592" s="102"/>
      <c r="H592" s="102"/>
      <c r="I592" s="102"/>
      <c r="J592" s="102"/>
      <c r="K592" s="102"/>
      <c r="L592" s="102"/>
      <c r="M592" s="102"/>
      <c r="N592" s="102"/>
      <c r="O592" s="102"/>
      <c r="P592" s="102"/>
      <c r="Q592" s="102"/>
      <c r="R592" s="102"/>
      <c r="S592" s="102"/>
      <c r="T592" s="102"/>
      <c r="U592" s="102"/>
      <c r="V592" s="102"/>
      <c r="W592" s="102"/>
      <c r="X592" s="102"/>
      <c r="Y592" s="102"/>
      <c r="Z592" s="102"/>
    </row>
    <row r="593" ht="15.75" customHeight="1">
      <c r="A593" s="102"/>
      <c r="B593" s="103"/>
      <c r="C593" s="103"/>
      <c r="D593" s="104"/>
      <c r="E593" s="103"/>
      <c r="F593" s="102"/>
      <c r="G593" s="102"/>
      <c r="H593" s="102"/>
      <c r="I593" s="102"/>
      <c r="J593" s="102"/>
      <c r="K593" s="102"/>
      <c r="L593" s="102"/>
      <c r="M593" s="102"/>
      <c r="N593" s="102"/>
      <c r="O593" s="102"/>
      <c r="P593" s="102"/>
      <c r="Q593" s="102"/>
      <c r="R593" s="102"/>
      <c r="S593" s="102"/>
      <c r="T593" s="102"/>
      <c r="U593" s="102"/>
      <c r="V593" s="102"/>
      <c r="W593" s="102"/>
      <c r="X593" s="102"/>
      <c r="Y593" s="102"/>
      <c r="Z593" s="102"/>
    </row>
    <row r="594" ht="15.75" customHeight="1">
      <c r="A594" s="102"/>
      <c r="B594" s="103"/>
      <c r="C594" s="103"/>
      <c r="D594" s="104"/>
      <c r="E594" s="103"/>
      <c r="F594" s="102"/>
      <c r="G594" s="102"/>
      <c r="H594" s="102"/>
      <c r="I594" s="102"/>
      <c r="J594" s="102"/>
      <c r="K594" s="102"/>
      <c r="L594" s="102"/>
      <c r="M594" s="102"/>
      <c r="N594" s="102"/>
      <c r="O594" s="102"/>
      <c r="P594" s="102"/>
      <c r="Q594" s="102"/>
      <c r="R594" s="102"/>
      <c r="S594" s="102"/>
      <c r="T594" s="102"/>
      <c r="U594" s="102"/>
      <c r="V594" s="102"/>
      <c r="W594" s="102"/>
      <c r="X594" s="102"/>
      <c r="Y594" s="102"/>
      <c r="Z594" s="102"/>
    </row>
    <row r="595" ht="15.75" customHeight="1">
      <c r="A595" s="102"/>
      <c r="B595" s="103"/>
      <c r="C595" s="103"/>
      <c r="D595" s="104"/>
      <c r="E595" s="103"/>
      <c r="F595" s="102"/>
      <c r="G595" s="102"/>
      <c r="H595" s="102"/>
      <c r="I595" s="102"/>
      <c r="J595" s="102"/>
      <c r="K595" s="102"/>
      <c r="L595" s="102"/>
      <c r="M595" s="102"/>
      <c r="N595" s="102"/>
      <c r="O595" s="102"/>
      <c r="P595" s="102"/>
      <c r="Q595" s="102"/>
      <c r="R595" s="102"/>
      <c r="S595" s="102"/>
      <c r="T595" s="102"/>
      <c r="U595" s="102"/>
      <c r="V595" s="102"/>
      <c r="W595" s="102"/>
      <c r="X595" s="102"/>
      <c r="Y595" s="102"/>
      <c r="Z595" s="102"/>
    </row>
    <row r="596" ht="15.75" customHeight="1">
      <c r="A596" s="102"/>
      <c r="B596" s="103"/>
      <c r="C596" s="103"/>
      <c r="D596" s="104"/>
      <c r="E596" s="103"/>
      <c r="F596" s="102"/>
      <c r="G596" s="102"/>
      <c r="H596" s="102"/>
      <c r="I596" s="102"/>
      <c r="J596" s="102"/>
      <c r="K596" s="102"/>
      <c r="L596" s="102"/>
      <c r="M596" s="102"/>
      <c r="N596" s="102"/>
      <c r="O596" s="102"/>
      <c r="P596" s="102"/>
      <c r="Q596" s="102"/>
      <c r="R596" s="102"/>
      <c r="S596" s="102"/>
      <c r="T596" s="102"/>
      <c r="U596" s="102"/>
      <c r="V596" s="102"/>
      <c r="W596" s="102"/>
      <c r="X596" s="102"/>
      <c r="Y596" s="102"/>
      <c r="Z596" s="102"/>
    </row>
    <row r="597" ht="15.75" customHeight="1">
      <c r="A597" s="102"/>
      <c r="B597" s="103"/>
      <c r="C597" s="103"/>
      <c r="D597" s="104"/>
      <c r="E597" s="103"/>
      <c r="F597" s="102"/>
      <c r="G597" s="102"/>
      <c r="H597" s="102"/>
      <c r="I597" s="102"/>
      <c r="J597" s="102"/>
      <c r="K597" s="102"/>
      <c r="L597" s="102"/>
      <c r="M597" s="102"/>
      <c r="N597" s="102"/>
      <c r="O597" s="102"/>
      <c r="P597" s="102"/>
      <c r="Q597" s="102"/>
      <c r="R597" s="102"/>
      <c r="S597" s="102"/>
      <c r="T597" s="102"/>
      <c r="U597" s="102"/>
      <c r="V597" s="102"/>
      <c r="W597" s="102"/>
      <c r="X597" s="102"/>
      <c r="Y597" s="102"/>
      <c r="Z597" s="102"/>
    </row>
    <row r="598" ht="15.75" customHeight="1">
      <c r="A598" s="102"/>
      <c r="B598" s="103"/>
      <c r="C598" s="103"/>
      <c r="D598" s="104"/>
      <c r="E598" s="103"/>
      <c r="F598" s="102"/>
      <c r="G598" s="102"/>
      <c r="H598" s="102"/>
      <c r="I598" s="102"/>
      <c r="J598" s="102"/>
      <c r="K598" s="102"/>
      <c r="L598" s="102"/>
      <c r="M598" s="102"/>
      <c r="N598" s="102"/>
      <c r="O598" s="102"/>
      <c r="P598" s="102"/>
      <c r="Q598" s="102"/>
      <c r="R598" s="102"/>
      <c r="S598" s="102"/>
      <c r="T598" s="102"/>
      <c r="U598" s="102"/>
      <c r="V598" s="102"/>
      <c r="W598" s="102"/>
      <c r="X598" s="102"/>
      <c r="Y598" s="102"/>
      <c r="Z598" s="102"/>
    </row>
    <row r="599" ht="15.75" customHeight="1">
      <c r="A599" s="102"/>
      <c r="B599" s="103"/>
      <c r="C599" s="103"/>
      <c r="D599" s="104"/>
      <c r="E599" s="103"/>
      <c r="F599" s="102"/>
      <c r="G599" s="102"/>
      <c r="H599" s="102"/>
      <c r="I599" s="102"/>
      <c r="J599" s="102"/>
      <c r="K599" s="102"/>
      <c r="L599" s="102"/>
      <c r="M599" s="102"/>
      <c r="N599" s="102"/>
      <c r="O599" s="102"/>
      <c r="P599" s="102"/>
      <c r="Q599" s="102"/>
      <c r="R599" s="102"/>
      <c r="S599" s="102"/>
      <c r="T599" s="102"/>
      <c r="U599" s="102"/>
      <c r="V599" s="102"/>
      <c r="W599" s="102"/>
      <c r="X599" s="102"/>
      <c r="Y599" s="102"/>
      <c r="Z599" s="102"/>
    </row>
    <row r="600" ht="15.75" customHeight="1">
      <c r="A600" s="102"/>
      <c r="B600" s="103"/>
      <c r="C600" s="103"/>
      <c r="D600" s="104"/>
      <c r="E600" s="103"/>
      <c r="F600" s="102"/>
      <c r="G600" s="102"/>
      <c r="H600" s="102"/>
      <c r="I600" s="102"/>
      <c r="J600" s="102"/>
      <c r="K600" s="102"/>
      <c r="L600" s="102"/>
      <c r="M600" s="102"/>
      <c r="N600" s="102"/>
      <c r="O600" s="102"/>
      <c r="P600" s="102"/>
      <c r="Q600" s="102"/>
      <c r="R600" s="102"/>
      <c r="S600" s="102"/>
      <c r="T600" s="102"/>
      <c r="U600" s="102"/>
      <c r="V600" s="102"/>
      <c r="W600" s="102"/>
      <c r="X600" s="102"/>
      <c r="Y600" s="102"/>
      <c r="Z600" s="102"/>
    </row>
    <row r="601" ht="15.75" customHeight="1">
      <c r="A601" s="102"/>
      <c r="B601" s="103"/>
      <c r="C601" s="103"/>
      <c r="D601" s="104"/>
      <c r="E601" s="103"/>
      <c r="F601" s="102"/>
      <c r="G601" s="102"/>
      <c r="H601" s="102"/>
      <c r="I601" s="102"/>
      <c r="J601" s="102"/>
      <c r="K601" s="102"/>
      <c r="L601" s="102"/>
      <c r="M601" s="102"/>
      <c r="N601" s="102"/>
      <c r="O601" s="102"/>
      <c r="P601" s="102"/>
      <c r="Q601" s="102"/>
      <c r="R601" s="102"/>
      <c r="S601" s="102"/>
      <c r="T601" s="102"/>
      <c r="U601" s="102"/>
      <c r="V601" s="102"/>
      <c r="W601" s="102"/>
      <c r="X601" s="102"/>
      <c r="Y601" s="102"/>
      <c r="Z601" s="102"/>
    </row>
    <row r="602" ht="15.75" customHeight="1">
      <c r="A602" s="102"/>
      <c r="B602" s="103"/>
      <c r="C602" s="103"/>
      <c r="D602" s="104"/>
      <c r="E602" s="103"/>
      <c r="F602" s="102"/>
      <c r="G602" s="102"/>
      <c r="H602" s="102"/>
      <c r="I602" s="102"/>
      <c r="J602" s="102"/>
      <c r="K602" s="102"/>
      <c r="L602" s="102"/>
      <c r="M602" s="102"/>
      <c r="N602" s="102"/>
      <c r="O602" s="102"/>
      <c r="P602" s="102"/>
      <c r="Q602" s="102"/>
      <c r="R602" s="102"/>
      <c r="S602" s="102"/>
      <c r="T602" s="102"/>
      <c r="U602" s="102"/>
      <c r="V602" s="102"/>
      <c r="W602" s="102"/>
      <c r="X602" s="102"/>
      <c r="Y602" s="102"/>
      <c r="Z602" s="102"/>
    </row>
    <row r="603" ht="15.75" customHeight="1">
      <c r="A603" s="102"/>
      <c r="B603" s="103"/>
      <c r="C603" s="103"/>
      <c r="D603" s="104"/>
      <c r="E603" s="103"/>
      <c r="F603" s="102"/>
      <c r="G603" s="102"/>
      <c r="H603" s="102"/>
      <c r="I603" s="102"/>
      <c r="J603" s="102"/>
      <c r="K603" s="102"/>
      <c r="L603" s="102"/>
      <c r="M603" s="102"/>
      <c r="N603" s="102"/>
      <c r="O603" s="102"/>
      <c r="P603" s="102"/>
      <c r="Q603" s="102"/>
      <c r="R603" s="102"/>
      <c r="S603" s="102"/>
      <c r="T603" s="102"/>
      <c r="U603" s="102"/>
      <c r="V603" s="102"/>
      <c r="W603" s="102"/>
      <c r="X603" s="102"/>
      <c r="Y603" s="102"/>
      <c r="Z603" s="102"/>
    </row>
    <row r="604" ht="15.75" customHeight="1">
      <c r="A604" s="102"/>
      <c r="B604" s="103"/>
      <c r="C604" s="103"/>
      <c r="D604" s="104"/>
      <c r="E604" s="103"/>
      <c r="F604" s="102"/>
      <c r="G604" s="102"/>
      <c r="H604" s="102"/>
      <c r="I604" s="102"/>
      <c r="J604" s="102"/>
      <c r="K604" s="102"/>
      <c r="L604" s="102"/>
      <c r="M604" s="102"/>
      <c r="N604" s="102"/>
      <c r="O604" s="102"/>
      <c r="P604" s="102"/>
      <c r="Q604" s="102"/>
      <c r="R604" s="102"/>
      <c r="S604" s="102"/>
      <c r="T604" s="102"/>
      <c r="U604" s="102"/>
      <c r="V604" s="102"/>
      <c r="W604" s="102"/>
      <c r="X604" s="102"/>
      <c r="Y604" s="102"/>
      <c r="Z604" s="102"/>
    </row>
    <row r="605" ht="15.75" customHeight="1">
      <c r="A605" s="102"/>
      <c r="B605" s="103"/>
      <c r="C605" s="103"/>
      <c r="D605" s="104"/>
      <c r="E605" s="103"/>
      <c r="F605" s="102"/>
      <c r="G605" s="102"/>
      <c r="H605" s="102"/>
      <c r="I605" s="102"/>
      <c r="J605" s="102"/>
      <c r="K605" s="102"/>
      <c r="L605" s="102"/>
      <c r="M605" s="102"/>
      <c r="N605" s="102"/>
      <c r="O605" s="102"/>
      <c r="P605" s="102"/>
      <c r="Q605" s="102"/>
      <c r="R605" s="102"/>
      <c r="S605" s="102"/>
      <c r="T605" s="102"/>
      <c r="U605" s="102"/>
      <c r="V605" s="102"/>
      <c r="W605" s="102"/>
      <c r="X605" s="102"/>
      <c r="Y605" s="102"/>
      <c r="Z605" s="102"/>
    </row>
    <row r="606" ht="15.75" customHeight="1">
      <c r="A606" s="102"/>
      <c r="B606" s="103"/>
      <c r="C606" s="103"/>
      <c r="D606" s="104"/>
      <c r="E606" s="103"/>
      <c r="F606" s="102"/>
      <c r="G606" s="102"/>
      <c r="H606" s="102"/>
      <c r="I606" s="102"/>
      <c r="J606" s="102"/>
      <c r="K606" s="102"/>
      <c r="L606" s="102"/>
      <c r="M606" s="102"/>
      <c r="N606" s="102"/>
      <c r="O606" s="102"/>
      <c r="P606" s="102"/>
      <c r="Q606" s="102"/>
      <c r="R606" s="102"/>
      <c r="S606" s="102"/>
      <c r="T606" s="102"/>
      <c r="U606" s="102"/>
      <c r="V606" s="102"/>
      <c r="W606" s="102"/>
      <c r="X606" s="102"/>
      <c r="Y606" s="102"/>
      <c r="Z606" s="102"/>
    </row>
    <row r="607" ht="15.75" customHeight="1">
      <c r="A607" s="102"/>
      <c r="B607" s="103"/>
      <c r="C607" s="103"/>
      <c r="D607" s="104"/>
      <c r="E607" s="103"/>
      <c r="F607" s="102"/>
      <c r="G607" s="102"/>
      <c r="H607" s="102"/>
      <c r="I607" s="102"/>
      <c r="J607" s="102"/>
      <c r="K607" s="102"/>
      <c r="L607" s="102"/>
      <c r="M607" s="102"/>
      <c r="N607" s="102"/>
      <c r="O607" s="102"/>
      <c r="P607" s="102"/>
      <c r="Q607" s="102"/>
      <c r="R607" s="102"/>
      <c r="S607" s="102"/>
      <c r="T607" s="102"/>
      <c r="U607" s="102"/>
      <c r="V607" s="102"/>
      <c r="W607" s="102"/>
      <c r="X607" s="102"/>
      <c r="Y607" s="102"/>
      <c r="Z607" s="102"/>
    </row>
    <row r="608" ht="15.75" customHeight="1">
      <c r="A608" s="102"/>
      <c r="B608" s="103"/>
      <c r="C608" s="103"/>
      <c r="D608" s="104"/>
      <c r="E608" s="103"/>
      <c r="F608" s="102"/>
      <c r="G608" s="102"/>
      <c r="H608" s="102"/>
      <c r="I608" s="102"/>
      <c r="J608" s="102"/>
      <c r="K608" s="102"/>
      <c r="L608" s="102"/>
      <c r="M608" s="102"/>
      <c r="N608" s="102"/>
      <c r="O608" s="102"/>
      <c r="P608" s="102"/>
      <c r="Q608" s="102"/>
      <c r="R608" s="102"/>
      <c r="S608" s="102"/>
      <c r="T608" s="102"/>
      <c r="U608" s="102"/>
      <c r="V608" s="102"/>
      <c r="W608" s="102"/>
      <c r="X608" s="102"/>
      <c r="Y608" s="102"/>
      <c r="Z608" s="102"/>
    </row>
    <row r="609" ht="15.75" customHeight="1">
      <c r="A609" s="102"/>
      <c r="B609" s="103"/>
      <c r="C609" s="103"/>
      <c r="D609" s="104"/>
      <c r="E609" s="103"/>
      <c r="F609" s="102"/>
      <c r="G609" s="102"/>
      <c r="H609" s="102"/>
      <c r="I609" s="102"/>
      <c r="J609" s="102"/>
      <c r="K609" s="102"/>
      <c r="L609" s="102"/>
      <c r="M609" s="102"/>
      <c r="N609" s="102"/>
      <c r="O609" s="102"/>
      <c r="P609" s="102"/>
      <c r="Q609" s="102"/>
      <c r="R609" s="102"/>
      <c r="S609" s="102"/>
      <c r="T609" s="102"/>
      <c r="U609" s="102"/>
      <c r="V609" s="102"/>
      <c r="W609" s="102"/>
      <c r="X609" s="102"/>
      <c r="Y609" s="102"/>
      <c r="Z609" s="102"/>
    </row>
    <row r="610" ht="15.75" customHeight="1">
      <c r="A610" s="102"/>
      <c r="B610" s="103"/>
      <c r="C610" s="103"/>
      <c r="D610" s="104"/>
      <c r="E610" s="103"/>
      <c r="F610" s="102"/>
      <c r="G610" s="102"/>
      <c r="H610" s="102"/>
      <c r="I610" s="102"/>
      <c r="J610" s="102"/>
      <c r="K610" s="102"/>
      <c r="L610" s="102"/>
      <c r="M610" s="102"/>
      <c r="N610" s="102"/>
      <c r="O610" s="102"/>
      <c r="P610" s="102"/>
      <c r="Q610" s="102"/>
      <c r="R610" s="102"/>
      <c r="S610" s="102"/>
      <c r="T610" s="102"/>
      <c r="U610" s="102"/>
      <c r="V610" s="102"/>
      <c r="W610" s="102"/>
      <c r="X610" s="102"/>
      <c r="Y610" s="102"/>
      <c r="Z610" s="102"/>
    </row>
    <row r="611" ht="15.75" customHeight="1">
      <c r="A611" s="102"/>
      <c r="B611" s="103"/>
      <c r="C611" s="103"/>
      <c r="D611" s="104"/>
      <c r="E611" s="103"/>
      <c r="F611" s="102"/>
      <c r="G611" s="102"/>
      <c r="H611" s="102"/>
      <c r="I611" s="102"/>
      <c r="J611" s="102"/>
      <c r="K611" s="102"/>
      <c r="L611" s="102"/>
      <c r="M611" s="102"/>
      <c r="N611" s="102"/>
      <c r="O611" s="102"/>
      <c r="P611" s="102"/>
      <c r="Q611" s="102"/>
      <c r="R611" s="102"/>
      <c r="S611" s="102"/>
      <c r="T611" s="102"/>
      <c r="U611" s="102"/>
      <c r="V611" s="102"/>
      <c r="W611" s="102"/>
      <c r="X611" s="102"/>
      <c r="Y611" s="102"/>
      <c r="Z611" s="102"/>
    </row>
    <row r="612" ht="15.75" customHeight="1">
      <c r="A612" s="102"/>
      <c r="B612" s="103"/>
      <c r="C612" s="103"/>
      <c r="D612" s="104"/>
      <c r="E612" s="103"/>
      <c r="F612" s="102"/>
      <c r="G612" s="102"/>
      <c r="H612" s="102"/>
      <c r="I612" s="102"/>
      <c r="J612" s="102"/>
      <c r="K612" s="102"/>
      <c r="L612" s="102"/>
      <c r="M612" s="102"/>
      <c r="N612" s="102"/>
      <c r="O612" s="102"/>
      <c r="P612" s="102"/>
      <c r="Q612" s="102"/>
      <c r="R612" s="102"/>
      <c r="S612" s="102"/>
      <c r="T612" s="102"/>
      <c r="U612" s="102"/>
      <c r="V612" s="102"/>
      <c r="W612" s="102"/>
      <c r="X612" s="102"/>
      <c r="Y612" s="102"/>
      <c r="Z612" s="102"/>
    </row>
    <row r="613" ht="15.75" customHeight="1">
      <c r="A613" s="102"/>
      <c r="B613" s="103"/>
      <c r="C613" s="103"/>
      <c r="D613" s="104"/>
      <c r="E613" s="103"/>
      <c r="F613" s="102"/>
      <c r="G613" s="102"/>
      <c r="H613" s="102"/>
      <c r="I613" s="102"/>
      <c r="J613" s="102"/>
      <c r="K613" s="102"/>
      <c r="L613" s="102"/>
      <c r="M613" s="102"/>
      <c r="N613" s="102"/>
      <c r="O613" s="102"/>
      <c r="P613" s="102"/>
      <c r="Q613" s="102"/>
      <c r="R613" s="102"/>
      <c r="S613" s="102"/>
      <c r="T613" s="102"/>
      <c r="U613" s="102"/>
      <c r="V613" s="102"/>
      <c r="W613" s="102"/>
      <c r="X613" s="102"/>
      <c r="Y613" s="102"/>
      <c r="Z613" s="102"/>
    </row>
    <row r="614" ht="15.75" customHeight="1">
      <c r="A614" s="102"/>
      <c r="B614" s="103"/>
      <c r="C614" s="103"/>
      <c r="D614" s="104"/>
      <c r="E614" s="103"/>
      <c r="F614" s="102"/>
      <c r="G614" s="102"/>
      <c r="H614" s="102"/>
      <c r="I614" s="102"/>
      <c r="J614" s="102"/>
      <c r="K614" s="102"/>
      <c r="L614" s="102"/>
      <c r="M614" s="102"/>
      <c r="N614" s="102"/>
      <c r="O614" s="102"/>
      <c r="P614" s="102"/>
      <c r="Q614" s="102"/>
      <c r="R614" s="102"/>
      <c r="S614" s="102"/>
      <c r="T614" s="102"/>
      <c r="U614" s="102"/>
      <c r="V614" s="102"/>
      <c r="W614" s="102"/>
      <c r="X614" s="102"/>
      <c r="Y614" s="102"/>
      <c r="Z614" s="102"/>
    </row>
    <row r="615" ht="15.75" customHeight="1">
      <c r="A615" s="102"/>
      <c r="B615" s="103"/>
      <c r="C615" s="103"/>
      <c r="D615" s="104"/>
      <c r="E615" s="103"/>
      <c r="F615" s="102"/>
      <c r="G615" s="102"/>
      <c r="H615" s="102"/>
      <c r="I615" s="102"/>
      <c r="J615" s="102"/>
      <c r="K615" s="102"/>
      <c r="L615" s="102"/>
      <c r="M615" s="102"/>
      <c r="N615" s="102"/>
      <c r="O615" s="102"/>
      <c r="P615" s="102"/>
      <c r="Q615" s="102"/>
      <c r="R615" s="102"/>
      <c r="S615" s="102"/>
      <c r="T615" s="102"/>
      <c r="U615" s="102"/>
      <c r="V615" s="102"/>
      <c r="W615" s="102"/>
      <c r="X615" s="102"/>
      <c r="Y615" s="102"/>
      <c r="Z615" s="102"/>
    </row>
    <row r="616" ht="15.75" customHeight="1">
      <c r="A616" s="102"/>
      <c r="B616" s="103"/>
      <c r="C616" s="103"/>
      <c r="D616" s="104"/>
      <c r="E616" s="103"/>
      <c r="F616" s="102"/>
      <c r="G616" s="102"/>
      <c r="H616" s="102"/>
      <c r="I616" s="102"/>
      <c r="J616" s="102"/>
      <c r="K616" s="102"/>
      <c r="L616" s="102"/>
      <c r="M616" s="102"/>
      <c r="N616" s="102"/>
      <c r="O616" s="102"/>
      <c r="P616" s="102"/>
      <c r="Q616" s="102"/>
      <c r="R616" s="102"/>
      <c r="S616" s="102"/>
      <c r="T616" s="102"/>
      <c r="U616" s="102"/>
      <c r="V616" s="102"/>
      <c r="W616" s="102"/>
      <c r="X616" s="102"/>
      <c r="Y616" s="102"/>
      <c r="Z616" s="102"/>
    </row>
    <row r="617" ht="15.75" customHeight="1">
      <c r="A617" s="102"/>
      <c r="B617" s="103"/>
      <c r="C617" s="103"/>
      <c r="D617" s="104"/>
      <c r="E617" s="103"/>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ht="15.75" customHeight="1">
      <c r="A618" s="102"/>
      <c r="B618" s="103"/>
      <c r="C618" s="103"/>
      <c r="D618" s="104"/>
      <c r="E618" s="103"/>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ht="15.75" customHeight="1">
      <c r="A619" s="102"/>
      <c r="B619" s="103"/>
      <c r="C619" s="103"/>
      <c r="D619" s="104"/>
      <c r="E619" s="103"/>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ht="15.75" customHeight="1">
      <c r="A620" s="102"/>
      <c r="B620" s="103"/>
      <c r="C620" s="103"/>
      <c r="D620" s="104"/>
      <c r="E620" s="103"/>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ht="15.75" customHeight="1">
      <c r="A621" s="102"/>
      <c r="B621" s="103"/>
      <c r="C621" s="103"/>
      <c r="D621" s="104"/>
      <c r="E621" s="103"/>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ht="15.75" customHeight="1">
      <c r="A622" s="102"/>
      <c r="B622" s="103"/>
      <c r="C622" s="103"/>
      <c r="D622" s="104"/>
      <c r="E622" s="103"/>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ht="15.75" customHeight="1">
      <c r="A623" s="102"/>
      <c r="B623" s="103"/>
      <c r="C623" s="103"/>
      <c r="D623" s="104"/>
      <c r="E623" s="103"/>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ht="15.75" customHeight="1">
      <c r="A624" s="102"/>
      <c r="B624" s="103"/>
      <c r="C624" s="103"/>
      <c r="D624" s="104"/>
      <c r="E624" s="103"/>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ht="15.75" customHeight="1">
      <c r="A625" s="102"/>
      <c r="B625" s="103"/>
      <c r="C625" s="103"/>
      <c r="D625" s="104"/>
      <c r="E625" s="103"/>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ht="15.75" customHeight="1">
      <c r="A626" s="102"/>
      <c r="B626" s="103"/>
      <c r="C626" s="103"/>
      <c r="D626" s="104"/>
      <c r="E626" s="103"/>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ht="15.75" customHeight="1">
      <c r="A627" s="102"/>
      <c r="B627" s="103"/>
      <c r="C627" s="103"/>
      <c r="D627" s="104"/>
      <c r="E627" s="103"/>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ht="15.75" customHeight="1">
      <c r="A628" s="102"/>
      <c r="B628" s="103"/>
      <c r="C628" s="103"/>
      <c r="D628" s="104"/>
      <c r="E628" s="103"/>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ht="15.75" customHeight="1">
      <c r="A629" s="102"/>
      <c r="B629" s="103"/>
      <c r="C629" s="103"/>
      <c r="D629" s="104"/>
      <c r="E629" s="103"/>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ht="15.75" customHeight="1">
      <c r="A630" s="102"/>
      <c r="B630" s="103"/>
      <c r="C630" s="103"/>
      <c r="D630" s="104"/>
      <c r="E630" s="103"/>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ht="15.75" customHeight="1">
      <c r="A631" s="102"/>
      <c r="B631" s="103"/>
      <c r="C631" s="103"/>
      <c r="D631" s="104"/>
      <c r="E631" s="103"/>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ht="15.75" customHeight="1">
      <c r="A632" s="102"/>
      <c r="B632" s="103"/>
      <c r="C632" s="103"/>
      <c r="D632" s="104"/>
      <c r="E632" s="103"/>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ht="15.75" customHeight="1">
      <c r="A633" s="102"/>
      <c r="B633" s="103"/>
      <c r="C633" s="103"/>
      <c r="D633" s="104"/>
      <c r="E633" s="103"/>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ht="15.75" customHeight="1">
      <c r="A634" s="102"/>
      <c r="B634" s="103"/>
      <c r="C634" s="103"/>
      <c r="D634" s="104"/>
      <c r="E634" s="103"/>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ht="15.75" customHeight="1">
      <c r="A635" s="102"/>
      <c r="B635" s="103"/>
      <c r="C635" s="103"/>
      <c r="D635" s="104"/>
      <c r="E635" s="103"/>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ht="15.75" customHeight="1">
      <c r="A636" s="102"/>
      <c r="B636" s="103"/>
      <c r="C636" s="103"/>
      <c r="D636" s="104"/>
      <c r="E636" s="103"/>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ht="15.75" customHeight="1">
      <c r="A637" s="102"/>
      <c r="B637" s="103"/>
      <c r="C637" s="103"/>
      <c r="D637" s="104"/>
      <c r="E637" s="103"/>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ht="15.75" customHeight="1">
      <c r="A638" s="102"/>
      <c r="B638" s="103"/>
      <c r="C638" s="103"/>
      <c r="D638" s="104"/>
      <c r="E638" s="103"/>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ht="15.75" customHeight="1">
      <c r="A639" s="102"/>
      <c r="B639" s="103"/>
      <c r="C639" s="103"/>
      <c r="D639" s="104"/>
      <c r="E639" s="103"/>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ht="15.75" customHeight="1">
      <c r="A640" s="102"/>
      <c r="B640" s="103"/>
      <c r="C640" s="103"/>
      <c r="D640" s="104"/>
      <c r="E640" s="103"/>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ht="15.75" customHeight="1">
      <c r="A641" s="102"/>
      <c r="B641" s="103"/>
      <c r="C641" s="103"/>
      <c r="D641" s="104"/>
      <c r="E641" s="103"/>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ht="15.75" customHeight="1">
      <c r="A642" s="102"/>
      <c r="B642" s="103"/>
      <c r="C642" s="103"/>
      <c r="D642" s="104"/>
      <c r="E642" s="103"/>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ht="15.75" customHeight="1">
      <c r="A643" s="102"/>
      <c r="B643" s="103"/>
      <c r="C643" s="103"/>
      <c r="D643" s="104"/>
      <c r="E643" s="103"/>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ht="15.75" customHeight="1">
      <c r="A644" s="102"/>
      <c r="B644" s="103"/>
      <c r="C644" s="103"/>
      <c r="D644" s="104"/>
      <c r="E644" s="103"/>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ht="15.75" customHeight="1">
      <c r="A645" s="102"/>
      <c r="B645" s="103"/>
      <c r="C645" s="103"/>
      <c r="D645" s="104"/>
      <c r="E645" s="103"/>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ht="15.75" customHeight="1">
      <c r="A646" s="102"/>
      <c r="B646" s="103"/>
      <c r="C646" s="103"/>
      <c r="D646" s="104"/>
      <c r="E646" s="103"/>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ht="15.75" customHeight="1">
      <c r="A647" s="102"/>
      <c r="B647" s="103"/>
      <c r="C647" s="103"/>
      <c r="D647" s="104"/>
      <c r="E647" s="103"/>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ht="15.75" customHeight="1">
      <c r="A648" s="102"/>
      <c r="B648" s="103"/>
      <c r="C648" s="103"/>
      <c r="D648" s="104"/>
      <c r="E648" s="103"/>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ht="15.75" customHeight="1">
      <c r="A649" s="102"/>
      <c r="B649" s="103"/>
      <c r="C649" s="103"/>
      <c r="D649" s="104"/>
      <c r="E649" s="103"/>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ht="15.75" customHeight="1">
      <c r="A650" s="102"/>
      <c r="B650" s="103"/>
      <c r="C650" s="103"/>
      <c r="D650" s="104"/>
      <c r="E650" s="103"/>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ht="15.75" customHeight="1">
      <c r="A651" s="102"/>
      <c r="B651" s="103"/>
      <c r="C651" s="103"/>
      <c r="D651" s="104"/>
      <c r="E651" s="103"/>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ht="15.75" customHeight="1">
      <c r="A652" s="102"/>
      <c r="B652" s="103"/>
      <c r="C652" s="103"/>
      <c r="D652" s="104"/>
      <c r="E652" s="103"/>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ht="15.75" customHeight="1">
      <c r="A653" s="102"/>
      <c r="B653" s="103"/>
      <c r="C653" s="103"/>
      <c r="D653" s="104"/>
      <c r="E653" s="103"/>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ht="15.75" customHeight="1">
      <c r="A654" s="102"/>
      <c r="B654" s="103"/>
      <c r="C654" s="103"/>
      <c r="D654" s="104"/>
      <c r="E654" s="103"/>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ht="15.75" customHeight="1">
      <c r="A655" s="102"/>
      <c r="B655" s="103"/>
      <c r="C655" s="103"/>
      <c r="D655" s="104"/>
      <c r="E655" s="103"/>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ht="15.75" customHeight="1">
      <c r="A656" s="102"/>
      <c r="B656" s="103"/>
      <c r="C656" s="103"/>
      <c r="D656" s="104"/>
      <c r="E656" s="103"/>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ht="15.75" customHeight="1">
      <c r="A657" s="102"/>
      <c r="B657" s="103"/>
      <c r="C657" s="103"/>
      <c r="D657" s="104"/>
      <c r="E657" s="103"/>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ht="15.75" customHeight="1">
      <c r="A658" s="102"/>
      <c r="B658" s="103"/>
      <c r="C658" s="103"/>
      <c r="D658" s="104"/>
      <c r="E658" s="103"/>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ht="15.75" customHeight="1">
      <c r="A659" s="102"/>
      <c r="B659" s="103"/>
      <c r="C659" s="103"/>
      <c r="D659" s="104"/>
      <c r="E659" s="103"/>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ht="15.75" customHeight="1">
      <c r="A660" s="102"/>
      <c r="B660" s="103"/>
      <c r="C660" s="103"/>
      <c r="D660" s="104"/>
      <c r="E660" s="103"/>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ht="15.75" customHeight="1">
      <c r="A661" s="102"/>
      <c r="B661" s="103"/>
      <c r="C661" s="103"/>
      <c r="D661" s="104"/>
      <c r="E661" s="103"/>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ht="15.75" customHeight="1">
      <c r="A662" s="102"/>
      <c r="B662" s="103"/>
      <c r="C662" s="103"/>
      <c r="D662" s="104"/>
      <c r="E662" s="103"/>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ht="15.75" customHeight="1">
      <c r="A663" s="102"/>
      <c r="B663" s="103"/>
      <c r="C663" s="103"/>
      <c r="D663" s="104"/>
      <c r="E663" s="103"/>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ht="15.75" customHeight="1">
      <c r="A664" s="102"/>
      <c r="B664" s="103"/>
      <c r="C664" s="103"/>
      <c r="D664" s="104"/>
      <c r="E664" s="103"/>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ht="15.75" customHeight="1">
      <c r="A665" s="102"/>
      <c r="B665" s="103"/>
      <c r="C665" s="103"/>
      <c r="D665" s="104"/>
      <c r="E665" s="103"/>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ht="15.75" customHeight="1">
      <c r="A666" s="102"/>
      <c r="B666" s="103"/>
      <c r="C666" s="103"/>
      <c r="D666" s="104"/>
      <c r="E666" s="103"/>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ht="15.75" customHeight="1">
      <c r="A667" s="102"/>
      <c r="B667" s="103"/>
      <c r="C667" s="103"/>
      <c r="D667" s="104"/>
      <c r="E667" s="103"/>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ht="15.75" customHeight="1">
      <c r="A668" s="102"/>
      <c r="B668" s="103"/>
      <c r="C668" s="103"/>
      <c r="D668" s="104"/>
      <c r="E668" s="103"/>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ht="15.75" customHeight="1">
      <c r="A669" s="102"/>
      <c r="B669" s="103"/>
      <c r="C669" s="103"/>
      <c r="D669" s="104"/>
      <c r="E669" s="103"/>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ht="15.75" customHeight="1">
      <c r="A670" s="102"/>
      <c r="B670" s="103"/>
      <c r="C670" s="103"/>
      <c r="D670" s="104"/>
      <c r="E670" s="103"/>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ht="15.75" customHeight="1">
      <c r="A671" s="102"/>
      <c r="B671" s="103"/>
      <c r="C671" s="103"/>
      <c r="D671" s="104"/>
      <c r="E671" s="103"/>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ht="15.75" customHeight="1">
      <c r="A672" s="102"/>
      <c r="B672" s="103"/>
      <c r="C672" s="103"/>
      <c r="D672" s="104"/>
      <c r="E672" s="103"/>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ht="15.75" customHeight="1">
      <c r="A673" s="102"/>
      <c r="B673" s="103"/>
      <c r="C673" s="103"/>
      <c r="D673" s="104"/>
      <c r="E673" s="103"/>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ht="15.75" customHeight="1">
      <c r="A674" s="102"/>
      <c r="B674" s="103"/>
      <c r="C674" s="103"/>
      <c r="D674" s="104"/>
      <c r="E674" s="103"/>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ht="15.75" customHeight="1">
      <c r="A675" s="102"/>
      <c r="B675" s="103"/>
      <c r="C675" s="103"/>
      <c r="D675" s="104"/>
      <c r="E675" s="103"/>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ht="15.75" customHeight="1">
      <c r="A676" s="102"/>
      <c r="B676" s="103"/>
      <c r="C676" s="103"/>
      <c r="D676" s="104"/>
      <c r="E676" s="103"/>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ht="15.75" customHeight="1">
      <c r="A677" s="102"/>
      <c r="B677" s="103"/>
      <c r="C677" s="103"/>
      <c r="D677" s="104"/>
      <c r="E677" s="103"/>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ht="15.75" customHeight="1">
      <c r="A678" s="102"/>
      <c r="B678" s="103"/>
      <c r="C678" s="103"/>
      <c r="D678" s="104"/>
      <c r="E678" s="103"/>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ht="15.75" customHeight="1">
      <c r="A679" s="102"/>
      <c r="B679" s="103"/>
      <c r="C679" s="103"/>
      <c r="D679" s="104"/>
      <c r="E679" s="103"/>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ht="15.75" customHeight="1">
      <c r="A680" s="102"/>
      <c r="B680" s="103"/>
      <c r="C680" s="103"/>
      <c r="D680" s="104"/>
      <c r="E680" s="103"/>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ht="15.75" customHeight="1">
      <c r="A681" s="102"/>
      <c r="B681" s="103"/>
      <c r="C681" s="103"/>
      <c r="D681" s="104"/>
      <c r="E681" s="103"/>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ht="15.75" customHeight="1">
      <c r="A682" s="102"/>
      <c r="B682" s="103"/>
      <c r="C682" s="103"/>
      <c r="D682" s="104"/>
      <c r="E682" s="103"/>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ht="15.75" customHeight="1">
      <c r="A683" s="102"/>
      <c r="B683" s="103"/>
      <c r="C683" s="103"/>
      <c r="D683" s="104"/>
      <c r="E683" s="103"/>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ht="15.75" customHeight="1">
      <c r="A684" s="102"/>
      <c r="B684" s="103"/>
      <c r="C684" s="103"/>
      <c r="D684" s="104"/>
      <c r="E684" s="103"/>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ht="15.75" customHeight="1">
      <c r="A685" s="102"/>
      <c r="B685" s="103"/>
      <c r="C685" s="103"/>
      <c r="D685" s="104"/>
      <c r="E685" s="103"/>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ht="15.75" customHeight="1">
      <c r="A686" s="102"/>
      <c r="B686" s="103"/>
      <c r="C686" s="103"/>
      <c r="D686" s="104"/>
      <c r="E686" s="103"/>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ht="15.75" customHeight="1">
      <c r="A687" s="102"/>
      <c r="B687" s="103"/>
      <c r="C687" s="103"/>
      <c r="D687" s="104"/>
      <c r="E687" s="103"/>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ht="15.75" customHeight="1">
      <c r="A688" s="102"/>
      <c r="B688" s="103"/>
      <c r="C688" s="103"/>
      <c r="D688" s="104"/>
      <c r="E688" s="103"/>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ht="15.75" customHeight="1">
      <c r="A689" s="102"/>
      <c r="B689" s="103"/>
      <c r="C689" s="103"/>
      <c r="D689" s="104"/>
      <c r="E689" s="103"/>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ht="15.75" customHeight="1">
      <c r="A690" s="102"/>
      <c r="B690" s="103"/>
      <c r="C690" s="103"/>
      <c r="D690" s="104"/>
      <c r="E690" s="103"/>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ht="15.75" customHeight="1">
      <c r="A691" s="102"/>
      <c r="B691" s="103"/>
      <c r="C691" s="103"/>
      <c r="D691" s="104"/>
      <c r="E691" s="103"/>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ht="15.75" customHeight="1">
      <c r="A692" s="102"/>
      <c r="B692" s="103"/>
      <c r="C692" s="103"/>
      <c r="D692" s="104"/>
      <c r="E692" s="103"/>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ht="15.75" customHeight="1">
      <c r="A693" s="102"/>
      <c r="B693" s="103"/>
      <c r="C693" s="103"/>
      <c r="D693" s="104"/>
      <c r="E693" s="103"/>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ht="15.75" customHeight="1">
      <c r="A694" s="102"/>
      <c r="B694" s="103"/>
      <c r="C694" s="103"/>
      <c r="D694" s="104"/>
      <c r="E694" s="103"/>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ht="15.75" customHeight="1">
      <c r="A695" s="102"/>
      <c r="B695" s="103"/>
      <c r="C695" s="103"/>
      <c r="D695" s="104"/>
      <c r="E695" s="103"/>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ht="15.75" customHeight="1">
      <c r="A696" s="102"/>
      <c r="B696" s="103"/>
      <c r="C696" s="103"/>
      <c r="D696" s="104"/>
      <c r="E696" s="103"/>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ht="15.75" customHeight="1">
      <c r="A697" s="102"/>
      <c r="B697" s="103"/>
      <c r="C697" s="103"/>
      <c r="D697" s="104"/>
      <c r="E697" s="103"/>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ht="15.75" customHeight="1">
      <c r="A698" s="102"/>
      <c r="B698" s="103"/>
      <c r="C698" s="103"/>
      <c r="D698" s="104"/>
      <c r="E698" s="103"/>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ht="15.75" customHeight="1">
      <c r="A699" s="102"/>
      <c r="B699" s="103"/>
      <c r="C699" s="103"/>
      <c r="D699" s="104"/>
      <c r="E699" s="103"/>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ht="15.75" customHeight="1">
      <c r="A700" s="102"/>
      <c r="B700" s="103"/>
      <c r="C700" s="103"/>
      <c r="D700" s="104"/>
      <c r="E700" s="103"/>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ht="15.75" customHeight="1">
      <c r="A701" s="102"/>
      <c r="B701" s="103"/>
      <c r="C701" s="103"/>
      <c r="D701" s="104"/>
      <c r="E701" s="103"/>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ht="15.75" customHeight="1">
      <c r="A702" s="102"/>
      <c r="B702" s="103"/>
      <c r="C702" s="103"/>
      <c r="D702" s="104"/>
      <c r="E702" s="103"/>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ht="15.75" customHeight="1">
      <c r="A703" s="102"/>
      <c r="B703" s="103"/>
      <c r="C703" s="103"/>
      <c r="D703" s="104"/>
      <c r="E703" s="103"/>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ht="15.75" customHeight="1">
      <c r="A704" s="102"/>
      <c r="B704" s="103"/>
      <c r="C704" s="103"/>
      <c r="D704" s="104"/>
      <c r="E704" s="103"/>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ht="15.75" customHeight="1">
      <c r="A705" s="102"/>
      <c r="B705" s="103"/>
      <c r="C705" s="103"/>
      <c r="D705" s="104"/>
      <c r="E705" s="103"/>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ht="15.75" customHeight="1">
      <c r="A706" s="102"/>
      <c r="B706" s="103"/>
      <c r="C706" s="103"/>
      <c r="D706" s="104"/>
      <c r="E706" s="103"/>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ht="15.75" customHeight="1">
      <c r="A707" s="102"/>
      <c r="B707" s="103"/>
      <c r="C707" s="103"/>
      <c r="D707" s="104"/>
      <c r="E707" s="103"/>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ht="15.75" customHeight="1">
      <c r="A708" s="102"/>
      <c r="B708" s="103"/>
      <c r="C708" s="103"/>
      <c r="D708" s="104"/>
      <c r="E708" s="103"/>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ht="15.75" customHeight="1">
      <c r="A709" s="102"/>
      <c r="B709" s="103"/>
      <c r="C709" s="103"/>
      <c r="D709" s="104"/>
      <c r="E709" s="103"/>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ht="15.75" customHeight="1">
      <c r="A710" s="102"/>
      <c r="B710" s="103"/>
      <c r="C710" s="103"/>
      <c r="D710" s="104"/>
      <c r="E710" s="103"/>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ht="15.75" customHeight="1">
      <c r="A711" s="102"/>
      <c r="B711" s="103"/>
      <c r="C711" s="103"/>
      <c r="D711" s="104"/>
      <c r="E711" s="103"/>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ht="15.75" customHeight="1">
      <c r="A712" s="102"/>
      <c r="B712" s="103"/>
      <c r="C712" s="103"/>
      <c r="D712" s="104"/>
      <c r="E712" s="103"/>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ht="15.75" customHeight="1">
      <c r="A713" s="102"/>
      <c r="B713" s="103"/>
      <c r="C713" s="103"/>
      <c r="D713" s="104"/>
      <c r="E713" s="103"/>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ht="15.75" customHeight="1">
      <c r="A714" s="102"/>
      <c r="B714" s="103"/>
      <c r="C714" s="103"/>
      <c r="D714" s="104"/>
      <c r="E714" s="103"/>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ht="15.75" customHeight="1">
      <c r="A715" s="102"/>
      <c r="B715" s="103"/>
      <c r="C715" s="103"/>
      <c r="D715" s="104"/>
      <c r="E715" s="103"/>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ht="15.75" customHeight="1">
      <c r="A716" s="102"/>
      <c r="B716" s="103"/>
      <c r="C716" s="103"/>
      <c r="D716" s="104"/>
      <c r="E716" s="103"/>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ht="15.75" customHeight="1">
      <c r="A717" s="102"/>
      <c r="B717" s="103"/>
      <c r="C717" s="103"/>
      <c r="D717" s="104"/>
      <c r="E717" s="103"/>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ht="15.75" customHeight="1">
      <c r="A718" s="102"/>
      <c r="B718" s="103"/>
      <c r="C718" s="103"/>
      <c r="D718" s="104"/>
      <c r="E718" s="103"/>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ht="15.75" customHeight="1">
      <c r="A719" s="102"/>
      <c r="B719" s="103"/>
      <c r="C719" s="103"/>
      <c r="D719" s="104"/>
      <c r="E719" s="103"/>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ht="15.75" customHeight="1">
      <c r="A720" s="102"/>
      <c r="B720" s="103"/>
      <c r="C720" s="103"/>
      <c r="D720" s="104"/>
      <c r="E720" s="103"/>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ht="15.75" customHeight="1">
      <c r="A721" s="102"/>
      <c r="B721" s="103"/>
      <c r="C721" s="103"/>
      <c r="D721" s="104"/>
      <c r="E721" s="103"/>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ht="15.75" customHeight="1">
      <c r="A722" s="102"/>
      <c r="B722" s="103"/>
      <c r="C722" s="103"/>
      <c r="D722" s="104"/>
      <c r="E722" s="103"/>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ht="15.75" customHeight="1">
      <c r="A723" s="102"/>
      <c r="B723" s="103"/>
      <c r="C723" s="103"/>
      <c r="D723" s="104"/>
      <c r="E723" s="103"/>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ht="15.75" customHeight="1">
      <c r="A724" s="102"/>
      <c r="B724" s="103"/>
      <c r="C724" s="103"/>
      <c r="D724" s="104"/>
      <c r="E724" s="103"/>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ht="15.75" customHeight="1">
      <c r="A725" s="102"/>
      <c r="B725" s="103"/>
      <c r="C725" s="103"/>
      <c r="D725" s="104"/>
      <c r="E725" s="103"/>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ht="15.75" customHeight="1">
      <c r="A726" s="102"/>
      <c r="B726" s="103"/>
      <c r="C726" s="103"/>
      <c r="D726" s="104"/>
      <c r="E726" s="103"/>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ht="15.75" customHeight="1">
      <c r="A727" s="102"/>
      <c r="B727" s="103"/>
      <c r="C727" s="103"/>
      <c r="D727" s="104"/>
      <c r="E727" s="103"/>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ht="15.75" customHeight="1">
      <c r="A728" s="102"/>
      <c r="B728" s="103"/>
      <c r="C728" s="103"/>
      <c r="D728" s="104"/>
      <c r="E728" s="103"/>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ht="15.75" customHeight="1">
      <c r="A729" s="102"/>
      <c r="B729" s="103"/>
      <c r="C729" s="103"/>
      <c r="D729" s="104"/>
      <c r="E729" s="103"/>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ht="15.75" customHeight="1">
      <c r="A730" s="102"/>
      <c r="B730" s="103"/>
      <c r="C730" s="103"/>
      <c r="D730" s="104"/>
      <c r="E730" s="103"/>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ht="15.75" customHeight="1">
      <c r="A731" s="102"/>
      <c r="B731" s="103"/>
      <c r="C731" s="103"/>
      <c r="D731" s="104"/>
      <c r="E731" s="103"/>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ht="15.75" customHeight="1">
      <c r="A732" s="102"/>
      <c r="B732" s="103"/>
      <c r="C732" s="103"/>
      <c r="D732" s="104"/>
      <c r="E732" s="103"/>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ht="15.75" customHeight="1">
      <c r="A733" s="102"/>
      <c r="B733" s="103"/>
      <c r="C733" s="103"/>
      <c r="D733" s="104"/>
      <c r="E733" s="103"/>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ht="15.75" customHeight="1">
      <c r="A734" s="102"/>
      <c r="B734" s="103"/>
      <c r="C734" s="103"/>
      <c r="D734" s="104"/>
      <c r="E734" s="103"/>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ht="15.75" customHeight="1">
      <c r="A735" s="102"/>
      <c r="B735" s="103"/>
      <c r="C735" s="103"/>
      <c r="D735" s="104"/>
      <c r="E735" s="103"/>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ht="15.75" customHeight="1">
      <c r="A736" s="102"/>
      <c r="B736" s="103"/>
      <c r="C736" s="103"/>
      <c r="D736" s="104"/>
      <c r="E736" s="103"/>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ht="15.75" customHeight="1">
      <c r="A737" s="102"/>
      <c r="B737" s="103"/>
      <c r="C737" s="103"/>
      <c r="D737" s="104"/>
      <c r="E737" s="103"/>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ht="15.75" customHeight="1">
      <c r="A738" s="102"/>
      <c r="B738" s="103"/>
      <c r="C738" s="103"/>
      <c r="D738" s="104"/>
      <c r="E738" s="103"/>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ht="15.75" customHeight="1">
      <c r="A739" s="102"/>
      <c r="B739" s="103"/>
      <c r="C739" s="103"/>
      <c r="D739" s="104"/>
      <c r="E739" s="103"/>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ht="15.75" customHeight="1">
      <c r="A740" s="102"/>
      <c r="B740" s="103"/>
      <c r="C740" s="103"/>
      <c r="D740" s="104"/>
      <c r="E740" s="103"/>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ht="15.75" customHeight="1">
      <c r="A741" s="102"/>
      <c r="B741" s="103"/>
      <c r="C741" s="103"/>
      <c r="D741" s="104"/>
      <c r="E741" s="103"/>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ht="15.75" customHeight="1">
      <c r="A742" s="102"/>
      <c r="B742" s="103"/>
      <c r="C742" s="103"/>
      <c r="D742" s="104"/>
      <c r="E742" s="103"/>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ht="15.75" customHeight="1">
      <c r="A743" s="102"/>
      <c r="B743" s="103"/>
      <c r="C743" s="103"/>
      <c r="D743" s="104"/>
      <c r="E743" s="103"/>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ht="15.75" customHeight="1">
      <c r="A744" s="102"/>
      <c r="B744" s="103"/>
      <c r="C744" s="103"/>
      <c r="D744" s="104"/>
      <c r="E744" s="103"/>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ht="15.75" customHeight="1">
      <c r="A745" s="102"/>
      <c r="B745" s="103"/>
      <c r="C745" s="103"/>
      <c r="D745" s="104"/>
      <c r="E745" s="103"/>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ht="15.75" customHeight="1">
      <c r="A746" s="102"/>
      <c r="B746" s="103"/>
      <c r="C746" s="103"/>
      <c r="D746" s="104"/>
      <c r="E746" s="103"/>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ht="15.75" customHeight="1">
      <c r="A747" s="102"/>
      <c r="B747" s="103"/>
      <c r="C747" s="103"/>
      <c r="D747" s="104"/>
      <c r="E747" s="103"/>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ht="15.75" customHeight="1">
      <c r="A748" s="102"/>
      <c r="B748" s="103"/>
      <c r="C748" s="103"/>
      <c r="D748" s="104"/>
      <c r="E748" s="103"/>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ht="15.75" customHeight="1">
      <c r="A749" s="102"/>
      <c r="B749" s="103"/>
      <c r="C749" s="103"/>
      <c r="D749" s="104"/>
      <c r="E749" s="103"/>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ht="15.75" customHeight="1">
      <c r="A750" s="102"/>
      <c r="B750" s="103"/>
      <c r="C750" s="103"/>
      <c r="D750" s="104"/>
      <c r="E750" s="103"/>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ht="15.75" customHeight="1">
      <c r="A751" s="102"/>
      <c r="B751" s="103"/>
      <c r="C751" s="103"/>
      <c r="D751" s="104"/>
      <c r="E751" s="103"/>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ht="15.75" customHeight="1">
      <c r="A752" s="102"/>
      <c r="B752" s="103"/>
      <c r="C752" s="103"/>
      <c r="D752" s="104"/>
      <c r="E752" s="103"/>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ht="15.75" customHeight="1">
      <c r="A753" s="102"/>
      <c r="B753" s="103"/>
      <c r="C753" s="103"/>
      <c r="D753" s="104"/>
      <c r="E753" s="103"/>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ht="15.75" customHeight="1">
      <c r="A754" s="102"/>
      <c r="B754" s="103"/>
      <c r="C754" s="103"/>
      <c r="D754" s="104"/>
      <c r="E754" s="103"/>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ht="15.75" customHeight="1">
      <c r="A755" s="102"/>
      <c r="B755" s="103"/>
      <c r="C755" s="103"/>
      <c r="D755" s="104"/>
      <c r="E755" s="103"/>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ht="15.75" customHeight="1">
      <c r="A756" s="102"/>
      <c r="B756" s="103"/>
      <c r="C756" s="103"/>
      <c r="D756" s="104"/>
      <c r="E756" s="103"/>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ht="15.75" customHeight="1">
      <c r="A757" s="102"/>
      <c r="B757" s="103"/>
      <c r="C757" s="103"/>
      <c r="D757" s="104"/>
      <c r="E757" s="103"/>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ht="15.75" customHeight="1">
      <c r="A758" s="102"/>
      <c r="B758" s="103"/>
      <c r="C758" s="103"/>
      <c r="D758" s="104"/>
      <c r="E758" s="103"/>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ht="15.75" customHeight="1">
      <c r="A759" s="102"/>
      <c r="B759" s="103"/>
      <c r="C759" s="103"/>
      <c r="D759" s="104"/>
      <c r="E759" s="103"/>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ht="15.75" customHeight="1">
      <c r="A760" s="102"/>
      <c r="B760" s="103"/>
      <c r="C760" s="103"/>
      <c r="D760" s="104"/>
      <c r="E760" s="103"/>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ht="15.75" customHeight="1">
      <c r="A761" s="102"/>
      <c r="B761" s="103"/>
      <c r="C761" s="103"/>
      <c r="D761" s="104"/>
      <c r="E761" s="103"/>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ht="15.75" customHeight="1">
      <c r="A762" s="102"/>
      <c r="B762" s="103"/>
      <c r="C762" s="103"/>
      <c r="D762" s="104"/>
      <c r="E762" s="103"/>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ht="15.75" customHeight="1">
      <c r="A763" s="102"/>
      <c r="B763" s="103"/>
      <c r="C763" s="103"/>
      <c r="D763" s="104"/>
      <c r="E763" s="103"/>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ht="15.75" customHeight="1">
      <c r="A764" s="102"/>
      <c r="B764" s="103"/>
      <c r="C764" s="103"/>
      <c r="D764" s="104"/>
      <c r="E764" s="103"/>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ht="15.75" customHeight="1">
      <c r="A765" s="102"/>
      <c r="B765" s="103"/>
      <c r="C765" s="103"/>
      <c r="D765" s="104"/>
      <c r="E765" s="103"/>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ht="15.75" customHeight="1">
      <c r="A766" s="102"/>
      <c r="B766" s="103"/>
      <c r="C766" s="103"/>
      <c r="D766" s="104"/>
      <c r="E766" s="103"/>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ht="15.75" customHeight="1">
      <c r="A767" s="102"/>
      <c r="B767" s="103"/>
      <c r="C767" s="103"/>
      <c r="D767" s="104"/>
      <c r="E767" s="103"/>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ht="15.75" customHeight="1">
      <c r="A768" s="102"/>
      <c r="B768" s="103"/>
      <c r="C768" s="103"/>
      <c r="D768" s="104"/>
      <c r="E768" s="103"/>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ht="15.75" customHeight="1">
      <c r="A769" s="102"/>
      <c r="B769" s="103"/>
      <c r="C769" s="103"/>
      <c r="D769" s="104"/>
      <c r="E769" s="103"/>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ht="15.75" customHeight="1">
      <c r="A770" s="102"/>
      <c r="B770" s="103"/>
      <c r="C770" s="103"/>
      <c r="D770" s="104"/>
      <c r="E770" s="103"/>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ht="15.75" customHeight="1">
      <c r="A771" s="102"/>
      <c r="B771" s="103"/>
      <c r="C771" s="103"/>
      <c r="D771" s="104"/>
      <c r="E771" s="103"/>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ht="15.75" customHeight="1">
      <c r="A772" s="102"/>
      <c r="B772" s="103"/>
      <c r="C772" s="103"/>
      <c r="D772" s="104"/>
      <c r="E772" s="103"/>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ht="15.75" customHeight="1">
      <c r="A773" s="102"/>
      <c r="B773" s="103"/>
      <c r="C773" s="103"/>
      <c r="D773" s="104"/>
      <c r="E773" s="103"/>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ht="15.75" customHeight="1">
      <c r="A774" s="102"/>
      <c r="B774" s="103"/>
      <c r="C774" s="103"/>
      <c r="D774" s="104"/>
      <c r="E774" s="103"/>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ht="15.75" customHeight="1">
      <c r="A775" s="102"/>
      <c r="B775" s="103"/>
      <c r="C775" s="103"/>
      <c r="D775" s="104"/>
      <c r="E775" s="103"/>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ht="15.75" customHeight="1">
      <c r="A776" s="102"/>
      <c r="B776" s="103"/>
      <c r="C776" s="103"/>
      <c r="D776" s="104"/>
      <c r="E776" s="103"/>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ht="15.75" customHeight="1">
      <c r="A777" s="102"/>
      <c r="B777" s="103"/>
      <c r="C777" s="103"/>
      <c r="D777" s="104"/>
      <c r="E777" s="103"/>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ht="15.75" customHeight="1">
      <c r="A778" s="102"/>
      <c r="B778" s="103"/>
      <c r="C778" s="103"/>
      <c r="D778" s="104"/>
      <c r="E778" s="103"/>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ht="15.75" customHeight="1">
      <c r="A779" s="102"/>
      <c r="B779" s="103"/>
      <c r="C779" s="103"/>
      <c r="D779" s="104"/>
      <c r="E779" s="103"/>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ht="15.75" customHeight="1">
      <c r="A780" s="102"/>
      <c r="B780" s="103"/>
      <c r="C780" s="103"/>
      <c r="D780" s="104"/>
      <c r="E780" s="103"/>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ht="15.75" customHeight="1">
      <c r="A781" s="102"/>
      <c r="B781" s="103"/>
      <c r="C781" s="103"/>
      <c r="D781" s="104"/>
      <c r="E781" s="103"/>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ht="15.75" customHeight="1">
      <c r="A782" s="102"/>
      <c r="B782" s="103"/>
      <c r="C782" s="103"/>
      <c r="D782" s="104"/>
      <c r="E782" s="103"/>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ht="15.75" customHeight="1">
      <c r="A783" s="102"/>
      <c r="B783" s="103"/>
      <c r="C783" s="103"/>
      <c r="D783" s="104"/>
      <c r="E783" s="103"/>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ht="15.75" customHeight="1">
      <c r="A784" s="102"/>
      <c r="B784" s="103"/>
      <c r="C784" s="103"/>
      <c r="D784" s="104"/>
      <c r="E784" s="103"/>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ht="15.75" customHeight="1">
      <c r="A785" s="102"/>
      <c r="B785" s="103"/>
      <c r="C785" s="103"/>
      <c r="D785" s="104"/>
      <c r="E785" s="103"/>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ht="15.75" customHeight="1">
      <c r="A786" s="102"/>
      <c r="B786" s="103"/>
      <c r="C786" s="103"/>
      <c r="D786" s="104"/>
      <c r="E786" s="103"/>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ht="15.75" customHeight="1">
      <c r="A787" s="102"/>
      <c r="B787" s="103"/>
      <c r="C787" s="103"/>
      <c r="D787" s="104"/>
      <c r="E787" s="103"/>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ht="15.75" customHeight="1">
      <c r="A788" s="102"/>
      <c r="B788" s="103"/>
      <c r="C788" s="103"/>
      <c r="D788" s="104"/>
      <c r="E788" s="103"/>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ht="15.75" customHeight="1">
      <c r="A789" s="102"/>
      <c r="B789" s="103"/>
      <c r="C789" s="103"/>
      <c r="D789" s="104"/>
      <c r="E789" s="103"/>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ht="15.75" customHeight="1">
      <c r="A790" s="102"/>
      <c r="B790" s="103"/>
      <c r="C790" s="103"/>
      <c r="D790" s="104"/>
      <c r="E790" s="103"/>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ht="15.75" customHeight="1">
      <c r="A791" s="102"/>
      <c r="B791" s="103"/>
      <c r="C791" s="103"/>
      <c r="D791" s="104"/>
      <c r="E791" s="103"/>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ht="15.75" customHeight="1">
      <c r="A792" s="102"/>
      <c r="B792" s="103"/>
      <c r="C792" s="103"/>
      <c r="D792" s="104"/>
      <c r="E792" s="103"/>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ht="15.75" customHeight="1">
      <c r="A793" s="102"/>
      <c r="B793" s="103"/>
      <c r="C793" s="103"/>
      <c r="D793" s="104"/>
      <c r="E793" s="103"/>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ht="15.75" customHeight="1">
      <c r="A794" s="102"/>
      <c r="B794" s="103"/>
      <c r="C794" s="103"/>
      <c r="D794" s="104"/>
      <c r="E794" s="103"/>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ht="15.75" customHeight="1">
      <c r="A795" s="102"/>
      <c r="B795" s="103"/>
      <c r="C795" s="103"/>
      <c r="D795" s="104"/>
      <c r="E795" s="103"/>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ht="15.75" customHeight="1">
      <c r="A796" s="102"/>
      <c r="B796" s="103"/>
      <c r="C796" s="103"/>
      <c r="D796" s="104"/>
      <c r="E796" s="103"/>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ht="15.75" customHeight="1">
      <c r="A797" s="102"/>
      <c r="B797" s="103"/>
      <c r="C797" s="103"/>
      <c r="D797" s="104"/>
      <c r="E797" s="103"/>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ht="15.75" customHeight="1">
      <c r="A798" s="102"/>
      <c r="B798" s="103"/>
      <c r="C798" s="103"/>
      <c r="D798" s="104"/>
      <c r="E798" s="103"/>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ht="15.75" customHeight="1">
      <c r="A799" s="102"/>
      <c r="B799" s="103"/>
      <c r="C799" s="103"/>
      <c r="D799" s="104"/>
      <c r="E799" s="103"/>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ht="15.75" customHeight="1">
      <c r="A800" s="102"/>
      <c r="B800" s="103"/>
      <c r="C800" s="103"/>
      <c r="D800" s="104"/>
      <c r="E800" s="103"/>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ht="15.75" customHeight="1">
      <c r="A801" s="102"/>
      <c r="B801" s="103"/>
      <c r="C801" s="103"/>
      <c r="D801" s="104"/>
      <c r="E801" s="103"/>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ht="15.75" customHeight="1">
      <c r="A802" s="102"/>
      <c r="B802" s="103"/>
      <c r="C802" s="103"/>
      <c r="D802" s="104"/>
      <c r="E802" s="103"/>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ht="15.75" customHeight="1">
      <c r="A803" s="102"/>
      <c r="B803" s="103"/>
      <c r="C803" s="103"/>
      <c r="D803" s="104"/>
      <c r="E803" s="103"/>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ht="15.75" customHeight="1">
      <c r="A804" s="102"/>
      <c r="B804" s="103"/>
      <c r="C804" s="103"/>
      <c r="D804" s="104"/>
      <c r="E804" s="103"/>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ht="15.75" customHeight="1">
      <c r="A805" s="102"/>
      <c r="B805" s="103"/>
      <c r="C805" s="103"/>
      <c r="D805" s="104"/>
      <c r="E805" s="103"/>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ht="15.75" customHeight="1">
      <c r="A806" s="102"/>
      <c r="B806" s="103"/>
      <c r="C806" s="103"/>
      <c r="D806" s="104"/>
      <c r="E806" s="103"/>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ht="15.75" customHeight="1">
      <c r="A807" s="102"/>
      <c r="B807" s="103"/>
      <c r="C807" s="103"/>
      <c r="D807" s="104"/>
      <c r="E807" s="103"/>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ht="15.75" customHeight="1">
      <c r="A808" s="102"/>
      <c r="B808" s="103"/>
      <c r="C808" s="103"/>
      <c r="D808" s="104"/>
      <c r="E808" s="103"/>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ht="15.75" customHeight="1">
      <c r="A809" s="102"/>
      <c r="B809" s="103"/>
      <c r="C809" s="103"/>
      <c r="D809" s="104"/>
      <c r="E809" s="103"/>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ht="15.75" customHeight="1">
      <c r="A810" s="102"/>
      <c r="B810" s="103"/>
      <c r="C810" s="103"/>
      <c r="D810" s="104"/>
      <c r="E810" s="103"/>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ht="15.75" customHeight="1">
      <c r="A811" s="102"/>
      <c r="B811" s="103"/>
      <c r="C811" s="103"/>
      <c r="D811" s="104"/>
      <c r="E811" s="103"/>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ht="15.75" customHeight="1">
      <c r="A812" s="102"/>
      <c r="B812" s="103"/>
      <c r="C812" s="103"/>
      <c r="D812" s="104"/>
      <c r="E812" s="103"/>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ht="15.75" customHeight="1">
      <c r="A813" s="102"/>
      <c r="B813" s="103"/>
      <c r="C813" s="103"/>
      <c r="D813" s="104"/>
      <c r="E813" s="103"/>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ht="15.75" customHeight="1">
      <c r="A814" s="102"/>
      <c r="B814" s="103"/>
      <c r="C814" s="103"/>
      <c r="D814" s="104"/>
      <c r="E814" s="103"/>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ht="15.75" customHeight="1">
      <c r="A815" s="102"/>
      <c r="B815" s="103"/>
      <c r="C815" s="103"/>
      <c r="D815" s="104"/>
      <c r="E815" s="103"/>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ht="15.75" customHeight="1">
      <c r="A816" s="102"/>
      <c r="B816" s="103"/>
      <c r="C816" s="103"/>
      <c r="D816" s="104"/>
      <c r="E816" s="103"/>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ht="15.75" customHeight="1">
      <c r="A817" s="102"/>
      <c r="B817" s="103"/>
      <c r="C817" s="103"/>
      <c r="D817" s="104"/>
      <c r="E817" s="103"/>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ht="15.75" customHeight="1">
      <c r="A818" s="102"/>
      <c r="B818" s="103"/>
      <c r="C818" s="103"/>
      <c r="D818" s="104"/>
      <c r="E818" s="103"/>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ht="15.75" customHeight="1">
      <c r="A819" s="102"/>
      <c r="B819" s="103"/>
      <c r="C819" s="103"/>
      <c r="D819" s="104"/>
      <c r="E819" s="103"/>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ht="15.75" customHeight="1">
      <c r="A820" s="102"/>
      <c r="B820" s="103"/>
      <c r="C820" s="103"/>
      <c r="D820" s="104"/>
      <c r="E820" s="103"/>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ht="15.75" customHeight="1">
      <c r="A821" s="102"/>
      <c r="B821" s="103"/>
      <c r="C821" s="103"/>
      <c r="D821" s="104"/>
      <c r="E821" s="103"/>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ht="15.75" customHeight="1">
      <c r="A822" s="102"/>
      <c r="B822" s="103"/>
      <c r="C822" s="103"/>
      <c r="D822" s="104"/>
      <c r="E822" s="103"/>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ht="15.75" customHeight="1">
      <c r="A823" s="102"/>
      <c r="B823" s="103"/>
      <c r="C823" s="103"/>
      <c r="D823" s="104"/>
      <c r="E823" s="103"/>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ht="15.75" customHeight="1">
      <c r="A824" s="102"/>
      <c r="B824" s="103"/>
      <c r="C824" s="103"/>
      <c r="D824" s="104"/>
      <c r="E824" s="103"/>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ht="15.75" customHeight="1">
      <c r="A825" s="102"/>
      <c r="B825" s="103"/>
      <c r="C825" s="103"/>
      <c r="D825" s="104"/>
      <c r="E825" s="103"/>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ht="15.75" customHeight="1">
      <c r="A826" s="102"/>
      <c r="B826" s="103"/>
      <c r="C826" s="103"/>
      <c r="D826" s="104"/>
      <c r="E826" s="103"/>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ht="15.75" customHeight="1">
      <c r="A827" s="102"/>
      <c r="B827" s="103"/>
      <c r="C827" s="103"/>
      <c r="D827" s="104"/>
      <c r="E827" s="103"/>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ht="15.75" customHeight="1">
      <c r="A828" s="102"/>
      <c r="B828" s="103"/>
      <c r="C828" s="103"/>
      <c r="D828" s="104"/>
      <c r="E828" s="103"/>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ht="15.75" customHeight="1">
      <c r="A829" s="102"/>
      <c r="B829" s="103"/>
      <c r="C829" s="103"/>
      <c r="D829" s="104"/>
      <c r="E829" s="103"/>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ht="15.75" customHeight="1">
      <c r="A830" s="102"/>
      <c r="B830" s="103"/>
      <c r="C830" s="103"/>
      <c r="D830" s="104"/>
      <c r="E830" s="103"/>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ht="15.75" customHeight="1">
      <c r="A831" s="102"/>
      <c r="B831" s="103"/>
      <c r="C831" s="103"/>
      <c r="D831" s="104"/>
      <c r="E831" s="103"/>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ht="15.75" customHeight="1">
      <c r="A832" s="102"/>
      <c r="B832" s="103"/>
      <c r="C832" s="103"/>
      <c r="D832" s="104"/>
      <c r="E832" s="103"/>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ht="15.75" customHeight="1">
      <c r="A833" s="102"/>
      <c r="B833" s="103"/>
      <c r="C833" s="103"/>
      <c r="D833" s="104"/>
      <c r="E833" s="103"/>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ht="15.75" customHeight="1">
      <c r="A834" s="102"/>
      <c r="B834" s="103"/>
      <c r="C834" s="103"/>
      <c r="D834" s="104"/>
      <c r="E834" s="103"/>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ht="15.75" customHeight="1">
      <c r="A835" s="102"/>
      <c r="B835" s="103"/>
      <c r="C835" s="103"/>
      <c r="D835" s="104"/>
      <c r="E835" s="103"/>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ht="15.75" customHeight="1">
      <c r="A836" s="102"/>
      <c r="B836" s="103"/>
      <c r="C836" s="103"/>
      <c r="D836" s="104"/>
      <c r="E836" s="103"/>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ht="15.75" customHeight="1">
      <c r="A837" s="102"/>
      <c r="B837" s="103"/>
      <c r="C837" s="103"/>
      <c r="D837" s="104"/>
      <c r="E837" s="103"/>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ht="15.75" customHeight="1">
      <c r="A838" s="102"/>
      <c r="B838" s="103"/>
      <c r="C838" s="103"/>
      <c r="D838" s="104"/>
      <c r="E838" s="103"/>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ht="15.75" customHeight="1">
      <c r="A839" s="102"/>
      <c r="B839" s="103"/>
      <c r="C839" s="103"/>
      <c r="D839" s="104"/>
      <c r="E839" s="103"/>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ht="15.75" customHeight="1">
      <c r="A840" s="102"/>
      <c r="B840" s="103"/>
      <c r="C840" s="103"/>
      <c r="D840" s="104"/>
      <c r="E840" s="103"/>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ht="15.75" customHeight="1">
      <c r="A841" s="102"/>
      <c r="B841" s="103"/>
      <c r="C841" s="103"/>
      <c r="D841" s="104"/>
      <c r="E841" s="103"/>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ht="15.75" customHeight="1">
      <c r="A842" s="102"/>
      <c r="B842" s="103"/>
      <c r="C842" s="103"/>
      <c r="D842" s="104"/>
      <c r="E842" s="103"/>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ht="15.75" customHeight="1">
      <c r="A843" s="102"/>
      <c r="B843" s="103"/>
      <c r="C843" s="103"/>
      <c r="D843" s="104"/>
      <c r="E843" s="103"/>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ht="15.75" customHeight="1">
      <c r="A844" s="102"/>
      <c r="B844" s="103"/>
      <c r="C844" s="103"/>
      <c r="D844" s="104"/>
      <c r="E844" s="103"/>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ht="15.75" customHeight="1">
      <c r="A845" s="102"/>
      <c r="B845" s="103"/>
      <c r="C845" s="103"/>
      <c r="D845" s="104"/>
      <c r="E845" s="103"/>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ht="15.75" customHeight="1">
      <c r="A846" s="102"/>
      <c r="B846" s="103"/>
      <c r="C846" s="103"/>
      <c r="D846" s="104"/>
      <c r="E846" s="103"/>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ht="15.75" customHeight="1">
      <c r="A847" s="102"/>
      <c r="B847" s="103"/>
      <c r="C847" s="103"/>
      <c r="D847" s="104"/>
      <c r="E847" s="103"/>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ht="15.75" customHeight="1">
      <c r="A848" s="102"/>
      <c r="B848" s="103"/>
      <c r="C848" s="103"/>
      <c r="D848" s="104"/>
      <c r="E848" s="103"/>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ht="15.75" customHeight="1">
      <c r="A849" s="102"/>
      <c r="B849" s="103"/>
      <c r="C849" s="103"/>
      <c r="D849" s="104"/>
      <c r="E849" s="103"/>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ht="15.75" customHeight="1">
      <c r="A850" s="102"/>
      <c r="B850" s="103"/>
      <c r="C850" s="103"/>
      <c r="D850" s="104"/>
      <c r="E850" s="103"/>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ht="15.75" customHeight="1">
      <c r="A851" s="102"/>
      <c r="B851" s="103"/>
      <c r="C851" s="103"/>
      <c r="D851" s="104"/>
      <c r="E851" s="103"/>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ht="15.75" customHeight="1">
      <c r="A852" s="102"/>
      <c r="B852" s="103"/>
      <c r="C852" s="103"/>
      <c r="D852" s="104"/>
      <c r="E852" s="103"/>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ht="15.75" customHeight="1">
      <c r="A853" s="102"/>
      <c r="B853" s="103"/>
      <c r="C853" s="103"/>
      <c r="D853" s="104"/>
      <c r="E853" s="103"/>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ht="15.75" customHeight="1">
      <c r="A854" s="102"/>
      <c r="B854" s="103"/>
      <c r="C854" s="103"/>
      <c r="D854" s="104"/>
      <c r="E854" s="103"/>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ht="15.75" customHeight="1">
      <c r="A855" s="102"/>
      <c r="B855" s="103"/>
      <c r="C855" s="103"/>
      <c r="D855" s="104"/>
      <c r="E855" s="103"/>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ht="15.75" customHeight="1">
      <c r="A856" s="102"/>
      <c r="B856" s="103"/>
      <c r="C856" s="103"/>
      <c r="D856" s="104"/>
      <c r="E856" s="103"/>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ht="15.75" customHeight="1">
      <c r="A857" s="102"/>
      <c r="B857" s="103"/>
      <c r="C857" s="103"/>
      <c r="D857" s="104"/>
      <c r="E857" s="103"/>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ht="15.75" customHeight="1">
      <c r="A858" s="102"/>
      <c r="B858" s="103"/>
      <c r="C858" s="103"/>
      <c r="D858" s="104"/>
      <c r="E858" s="103"/>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ht="15.75" customHeight="1">
      <c r="A859" s="102"/>
      <c r="B859" s="103"/>
      <c r="C859" s="103"/>
      <c r="D859" s="104"/>
      <c r="E859" s="103"/>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ht="15.75" customHeight="1">
      <c r="A860" s="102"/>
      <c r="B860" s="103"/>
      <c r="C860" s="103"/>
      <c r="D860" s="104"/>
      <c r="E860" s="103"/>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ht="15.75" customHeight="1">
      <c r="A861" s="102"/>
      <c r="B861" s="103"/>
      <c r="C861" s="103"/>
      <c r="D861" s="104"/>
      <c r="E861" s="103"/>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ht="15.75" customHeight="1">
      <c r="A862" s="102"/>
      <c r="B862" s="103"/>
      <c r="C862" s="103"/>
      <c r="D862" s="104"/>
      <c r="E862" s="103"/>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ht="15.75" customHeight="1">
      <c r="A863" s="102"/>
      <c r="B863" s="103"/>
      <c r="C863" s="103"/>
      <c r="D863" s="104"/>
      <c r="E863" s="103"/>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ht="15.75" customHeight="1">
      <c r="A864" s="102"/>
      <c r="B864" s="103"/>
      <c r="C864" s="103"/>
      <c r="D864" s="104"/>
      <c r="E864" s="103"/>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ht="15.75" customHeight="1">
      <c r="A865" s="102"/>
      <c r="B865" s="103"/>
      <c r="C865" s="103"/>
      <c r="D865" s="104"/>
      <c r="E865" s="103"/>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ht="15.75" customHeight="1">
      <c r="A866" s="102"/>
      <c r="B866" s="103"/>
      <c r="C866" s="103"/>
      <c r="D866" s="104"/>
      <c r="E866" s="103"/>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ht="15.75" customHeight="1">
      <c r="A867" s="102"/>
      <c r="B867" s="103"/>
      <c r="C867" s="103"/>
      <c r="D867" s="104"/>
      <c r="E867" s="103"/>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ht="15.75" customHeight="1">
      <c r="A868" s="102"/>
      <c r="B868" s="103"/>
      <c r="C868" s="103"/>
      <c r="D868" s="104"/>
      <c r="E868" s="103"/>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ht="15.75" customHeight="1">
      <c r="A869" s="102"/>
      <c r="B869" s="103"/>
      <c r="C869" s="103"/>
      <c r="D869" s="104"/>
      <c r="E869" s="103"/>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ht="15.75" customHeight="1">
      <c r="A870" s="102"/>
      <c r="B870" s="103"/>
      <c r="C870" s="103"/>
      <c r="D870" s="104"/>
      <c r="E870" s="103"/>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ht="15.75" customHeight="1">
      <c r="A871" s="102"/>
      <c r="B871" s="103"/>
      <c r="C871" s="103"/>
      <c r="D871" s="104"/>
      <c r="E871" s="103"/>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ht="15.75" customHeight="1">
      <c r="A872" s="102"/>
      <c r="B872" s="103"/>
      <c r="C872" s="103"/>
      <c r="D872" s="104"/>
      <c r="E872" s="103"/>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ht="15.75" customHeight="1">
      <c r="A873" s="102"/>
      <c r="B873" s="103"/>
      <c r="C873" s="103"/>
      <c r="D873" s="104"/>
      <c r="E873" s="103"/>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ht="15.75" customHeight="1">
      <c r="A874" s="102"/>
      <c r="B874" s="103"/>
      <c r="C874" s="103"/>
      <c r="D874" s="104"/>
      <c r="E874" s="103"/>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ht="15.75" customHeight="1">
      <c r="A875" s="102"/>
      <c r="B875" s="103"/>
      <c r="C875" s="103"/>
      <c r="D875" s="104"/>
      <c r="E875" s="103"/>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ht="15.75" customHeight="1">
      <c r="A876" s="102"/>
      <c r="B876" s="103"/>
      <c r="C876" s="103"/>
      <c r="D876" s="104"/>
      <c r="E876" s="103"/>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ht="15.75" customHeight="1">
      <c r="A877" s="102"/>
      <c r="B877" s="103"/>
      <c r="C877" s="103"/>
      <c r="D877" s="104"/>
      <c r="E877" s="103"/>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ht="15.75" customHeight="1">
      <c r="A878" s="102"/>
      <c r="B878" s="103"/>
      <c r="C878" s="103"/>
      <c r="D878" s="104"/>
      <c r="E878" s="103"/>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ht="15.75" customHeight="1">
      <c r="A879" s="102"/>
      <c r="B879" s="103"/>
      <c r="C879" s="103"/>
      <c r="D879" s="104"/>
      <c r="E879" s="103"/>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ht="15.75" customHeight="1">
      <c r="A880" s="102"/>
      <c r="B880" s="103"/>
      <c r="C880" s="103"/>
      <c r="D880" s="104"/>
      <c r="E880" s="103"/>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ht="15.75" customHeight="1">
      <c r="A881" s="102"/>
      <c r="B881" s="103"/>
      <c r="C881" s="103"/>
      <c r="D881" s="104"/>
      <c r="E881" s="103"/>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ht="15.75" customHeight="1">
      <c r="A882" s="102"/>
      <c r="B882" s="103"/>
      <c r="C882" s="103"/>
      <c r="D882" s="104"/>
      <c r="E882" s="103"/>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ht="15.75" customHeight="1">
      <c r="A883" s="102"/>
      <c r="B883" s="103"/>
      <c r="C883" s="103"/>
      <c r="D883" s="104"/>
      <c r="E883" s="103"/>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ht="15.75" customHeight="1">
      <c r="A884" s="102"/>
      <c r="B884" s="103"/>
      <c r="C884" s="103"/>
      <c r="D884" s="104"/>
      <c r="E884" s="103"/>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ht="15.75" customHeight="1">
      <c r="A885" s="102"/>
      <c r="B885" s="103"/>
      <c r="C885" s="103"/>
      <c r="D885" s="104"/>
      <c r="E885" s="103"/>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ht="15.75" customHeight="1">
      <c r="A886" s="102"/>
      <c r="B886" s="103"/>
      <c r="C886" s="103"/>
      <c r="D886" s="104"/>
      <c r="E886" s="103"/>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ht="15.75" customHeight="1">
      <c r="A887" s="102"/>
      <c r="B887" s="103"/>
      <c r="C887" s="103"/>
      <c r="D887" s="104"/>
      <c r="E887" s="103"/>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ht="15.75" customHeight="1">
      <c r="A888" s="102"/>
      <c r="B888" s="103"/>
      <c r="C888" s="103"/>
      <c r="D888" s="104"/>
      <c r="E888" s="103"/>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ht="15.75" customHeight="1">
      <c r="A889" s="102"/>
      <c r="B889" s="103"/>
      <c r="C889" s="103"/>
      <c r="D889" s="104"/>
      <c r="E889" s="103"/>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ht="15.75" customHeight="1">
      <c r="A890" s="102"/>
      <c r="B890" s="103"/>
      <c r="C890" s="103"/>
      <c r="D890" s="104"/>
      <c r="E890" s="103"/>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ht="15.75" customHeight="1">
      <c r="A891" s="102"/>
      <c r="B891" s="103"/>
      <c r="C891" s="103"/>
      <c r="D891" s="104"/>
      <c r="E891" s="103"/>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ht="15.75" customHeight="1">
      <c r="A892" s="102"/>
      <c r="B892" s="103"/>
      <c r="C892" s="103"/>
      <c r="D892" s="104"/>
      <c r="E892" s="103"/>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ht="15.75" customHeight="1">
      <c r="A893" s="102"/>
      <c r="B893" s="103"/>
      <c r="C893" s="103"/>
      <c r="D893" s="104"/>
      <c r="E893" s="103"/>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ht="15.75" customHeight="1">
      <c r="A894" s="102"/>
      <c r="B894" s="103"/>
      <c r="C894" s="103"/>
      <c r="D894" s="104"/>
      <c r="E894" s="103"/>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ht="15.75" customHeight="1">
      <c r="A895" s="102"/>
      <c r="B895" s="103"/>
      <c r="C895" s="103"/>
      <c r="D895" s="104"/>
      <c r="E895" s="103"/>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ht="15.75" customHeight="1">
      <c r="A896" s="102"/>
      <c r="B896" s="103"/>
      <c r="C896" s="103"/>
      <c r="D896" s="104"/>
      <c r="E896" s="103"/>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ht="15.75" customHeight="1">
      <c r="A897" s="102"/>
      <c r="B897" s="103"/>
      <c r="C897" s="103"/>
      <c r="D897" s="104"/>
      <c r="E897" s="103"/>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ht="15.75" customHeight="1">
      <c r="A898" s="102"/>
      <c r="B898" s="103"/>
      <c r="C898" s="103"/>
      <c r="D898" s="104"/>
      <c r="E898" s="103"/>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ht="15.75" customHeight="1">
      <c r="A899" s="102"/>
      <c r="B899" s="103"/>
      <c r="C899" s="103"/>
      <c r="D899" s="104"/>
      <c r="E899" s="103"/>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ht="15.75" customHeight="1">
      <c r="A900" s="102"/>
      <c r="B900" s="103"/>
      <c r="C900" s="103"/>
      <c r="D900" s="104"/>
      <c r="E900" s="103"/>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ht="15.75" customHeight="1">
      <c r="A901" s="102"/>
      <c r="B901" s="103"/>
      <c r="C901" s="103"/>
      <c r="D901" s="104"/>
      <c r="E901" s="103"/>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ht="15.75" customHeight="1">
      <c r="A902" s="102"/>
      <c r="B902" s="103"/>
      <c r="C902" s="103"/>
      <c r="D902" s="104"/>
      <c r="E902" s="103"/>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ht="15.75" customHeight="1">
      <c r="A903" s="102"/>
      <c r="B903" s="103"/>
      <c r="C903" s="103"/>
      <c r="D903" s="104"/>
      <c r="E903" s="103"/>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ht="15.75" customHeight="1">
      <c r="A904" s="102"/>
      <c r="B904" s="103"/>
      <c r="C904" s="103"/>
      <c r="D904" s="104"/>
      <c r="E904" s="103"/>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ht="15.75" customHeight="1">
      <c r="A905" s="102"/>
      <c r="B905" s="103"/>
      <c r="C905" s="103"/>
      <c r="D905" s="104"/>
      <c r="E905" s="103"/>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ht="15.75" customHeight="1">
      <c r="A906" s="102"/>
      <c r="B906" s="103"/>
      <c r="C906" s="103"/>
      <c r="D906" s="104"/>
      <c r="E906" s="103"/>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ht="15.75" customHeight="1">
      <c r="A907" s="102"/>
      <c r="B907" s="103"/>
      <c r="C907" s="103"/>
      <c r="D907" s="104"/>
      <c r="E907" s="103"/>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ht="15.75" customHeight="1">
      <c r="A908" s="102"/>
      <c r="B908" s="103"/>
      <c r="C908" s="103"/>
      <c r="D908" s="104"/>
      <c r="E908" s="103"/>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ht="15.75" customHeight="1">
      <c r="A909" s="102"/>
      <c r="B909" s="103"/>
      <c r="C909" s="103"/>
      <c r="D909" s="104"/>
      <c r="E909" s="103"/>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ht="15.75" customHeight="1">
      <c r="A910" s="102"/>
      <c r="B910" s="103"/>
      <c r="C910" s="103"/>
      <c r="D910" s="104"/>
      <c r="E910" s="103"/>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ht="15.75" customHeight="1">
      <c r="A911" s="102"/>
      <c r="B911" s="103"/>
      <c r="C911" s="103"/>
      <c r="D911" s="104"/>
      <c r="E911" s="103"/>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ht="15.75" customHeight="1">
      <c r="A912" s="102"/>
      <c r="B912" s="103"/>
      <c r="C912" s="103"/>
      <c r="D912" s="104"/>
      <c r="E912" s="103"/>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ht="15.75" customHeight="1">
      <c r="A913" s="102"/>
      <c r="B913" s="103"/>
      <c r="C913" s="103"/>
      <c r="D913" s="104"/>
      <c r="E913" s="103"/>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ht="15.75" customHeight="1">
      <c r="A914" s="102"/>
      <c r="B914" s="103"/>
      <c r="C914" s="103"/>
      <c r="D914" s="104"/>
      <c r="E914" s="103"/>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ht="15.75" customHeight="1">
      <c r="A915" s="102"/>
      <c r="B915" s="103"/>
      <c r="C915" s="103"/>
      <c r="D915" s="104"/>
      <c r="E915" s="103"/>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ht="15.75" customHeight="1">
      <c r="A916" s="102"/>
      <c r="B916" s="103"/>
      <c r="C916" s="103"/>
      <c r="D916" s="104"/>
      <c r="E916" s="103"/>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ht="15.75" customHeight="1">
      <c r="A917" s="102"/>
      <c r="B917" s="103"/>
      <c r="C917" s="103"/>
      <c r="D917" s="104"/>
      <c r="E917" s="103"/>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ht="15.75" customHeight="1">
      <c r="A918" s="102"/>
      <c r="B918" s="103"/>
      <c r="C918" s="103"/>
      <c r="D918" s="104"/>
      <c r="E918" s="103"/>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ht="15.75" customHeight="1">
      <c r="A919" s="102"/>
      <c r="B919" s="103"/>
      <c r="C919" s="103"/>
      <c r="D919" s="104"/>
      <c r="E919" s="103"/>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ht="15.75" customHeight="1">
      <c r="A920" s="102"/>
      <c r="B920" s="103"/>
      <c r="C920" s="103"/>
      <c r="D920" s="104"/>
      <c r="E920" s="103"/>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ht="15.75" customHeight="1">
      <c r="A921" s="102"/>
      <c r="B921" s="103"/>
      <c r="C921" s="103"/>
      <c r="D921" s="104"/>
      <c r="E921" s="103"/>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ht="15.75" customHeight="1">
      <c r="A922" s="102"/>
      <c r="B922" s="103"/>
      <c r="C922" s="103"/>
      <c r="D922" s="104"/>
      <c r="E922" s="103"/>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ht="15.75" customHeight="1">
      <c r="A923" s="102"/>
      <c r="B923" s="103"/>
      <c r="C923" s="103"/>
      <c r="D923" s="104"/>
      <c r="E923" s="103"/>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ht="15.75" customHeight="1">
      <c r="A924" s="102"/>
      <c r="B924" s="103"/>
      <c r="C924" s="103"/>
      <c r="D924" s="104"/>
      <c r="E924" s="103"/>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ht="15.75" customHeight="1">
      <c r="A925" s="102"/>
      <c r="B925" s="103"/>
      <c r="C925" s="103"/>
      <c r="D925" s="104"/>
      <c r="E925" s="103"/>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ht="15.75" customHeight="1">
      <c r="A926" s="102"/>
      <c r="B926" s="103"/>
      <c r="C926" s="103"/>
      <c r="D926" s="104"/>
      <c r="E926" s="103"/>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ht="15.75" customHeight="1">
      <c r="A927" s="102"/>
      <c r="B927" s="103"/>
      <c r="C927" s="103"/>
      <c r="D927" s="104"/>
      <c r="E927" s="103"/>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ht="15.75" customHeight="1">
      <c r="A928" s="102"/>
      <c r="B928" s="103"/>
      <c r="C928" s="103"/>
      <c r="D928" s="104"/>
      <c r="E928" s="103"/>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ht="15.75" customHeight="1">
      <c r="A929" s="102"/>
      <c r="B929" s="103"/>
      <c r="C929" s="103"/>
      <c r="D929" s="104"/>
      <c r="E929" s="103"/>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ht="15.75" customHeight="1">
      <c r="A930" s="102"/>
      <c r="B930" s="103"/>
      <c r="C930" s="103"/>
      <c r="D930" s="104"/>
      <c r="E930" s="103"/>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ht="15.75" customHeight="1">
      <c r="A931" s="102"/>
      <c r="B931" s="103"/>
      <c r="C931" s="103"/>
      <c r="D931" s="104"/>
      <c r="E931" s="103"/>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ht="15.75" customHeight="1">
      <c r="A932" s="102"/>
      <c r="B932" s="103"/>
      <c r="C932" s="103"/>
      <c r="D932" s="104"/>
      <c r="E932" s="103"/>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ht="15.75" customHeight="1">
      <c r="A933" s="102"/>
      <c r="B933" s="103"/>
      <c r="C933" s="103"/>
      <c r="D933" s="104"/>
      <c r="E933" s="103"/>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ht="15.75" customHeight="1">
      <c r="A934" s="102"/>
      <c r="B934" s="103"/>
      <c r="C934" s="103"/>
      <c r="D934" s="104"/>
      <c r="E934" s="103"/>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ht="15.75" customHeight="1">
      <c r="A935" s="102"/>
      <c r="B935" s="103"/>
      <c r="C935" s="103"/>
      <c r="D935" s="104"/>
      <c r="E935" s="103"/>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ht="15.75" customHeight="1">
      <c r="A936" s="102"/>
      <c r="B936" s="103"/>
      <c r="C936" s="103"/>
      <c r="D936" s="104"/>
      <c r="E936" s="103"/>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ht="15.75" customHeight="1">
      <c r="A937" s="102"/>
      <c r="B937" s="103"/>
      <c r="C937" s="103"/>
      <c r="D937" s="104"/>
      <c r="E937" s="103"/>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ht="15.75" customHeight="1">
      <c r="A938" s="102"/>
      <c r="B938" s="103"/>
      <c r="C938" s="103"/>
      <c r="D938" s="104"/>
      <c r="E938" s="103"/>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ht="15.75" customHeight="1">
      <c r="A939" s="102"/>
      <c r="B939" s="103"/>
      <c r="C939" s="103"/>
      <c r="D939" s="104"/>
      <c r="E939" s="103"/>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ht="15.75" customHeight="1">
      <c r="A940" s="102"/>
      <c r="B940" s="103"/>
      <c r="C940" s="103"/>
      <c r="D940" s="104"/>
      <c r="E940" s="103"/>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ht="15.75" customHeight="1">
      <c r="A941" s="102"/>
      <c r="B941" s="103"/>
      <c r="C941" s="103"/>
      <c r="D941" s="104"/>
      <c r="E941" s="103"/>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ht="15.75" customHeight="1">
      <c r="A942" s="102"/>
      <c r="B942" s="103"/>
      <c r="C942" s="103"/>
      <c r="D942" s="104"/>
      <c r="E942" s="103"/>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ht="15.75" customHeight="1">
      <c r="A943" s="102"/>
      <c r="B943" s="103"/>
      <c r="C943" s="103"/>
      <c r="D943" s="104"/>
      <c r="E943" s="103"/>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ht="15.75" customHeight="1">
      <c r="A944" s="102"/>
      <c r="B944" s="103"/>
      <c r="C944" s="103"/>
      <c r="D944" s="104"/>
      <c r="E944" s="103"/>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ht="15.75" customHeight="1">
      <c r="A945" s="102"/>
      <c r="B945" s="103"/>
      <c r="C945" s="103"/>
      <c r="D945" s="104"/>
      <c r="E945" s="103"/>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ht="15.75" customHeight="1">
      <c r="A946" s="102"/>
      <c r="B946" s="103"/>
      <c r="C946" s="103"/>
      <c r="D946" s="104"/>
      <c r="E946" s="103"/>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ht="15.75" customHeight="1">
      <c r="A947" s="102"/>
      <c r="B947" s="103"/>
      <c r="C947" s="103"/>
      <c r="D947" s="104"/>
      <c r="E947" s="103"/>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ht="15.75" customHeight="1">
      <c r="A948" s="102"/>
      <c r="B948" s="103"/>
      <c r="C948" s="103"/>
      <c r="D948" s="104"/>
      <c r="E948" s="103"/>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ht="15.75" customHeight="1">
      <c r="A949" s="102"/>
      <c r="B949" s="103"/>
      <c r="C949" s="103"/>
      <c r="D949" s="104"/>
      <c r="E949" s="103"/>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ht="15.75" customHeight="1">
      <c r="A950" s="102"/>
      <c r="B950" s="103"/>
      <c r="C950" s="103"/>
      <c r="D950" s="104"/>
      <c r="E950" s="103"/>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ht="15.75" customHeight="1">
      <c r="A951" s="102"/>
      <c r="B951" s="103"/>
      <c r="C951" s="103"/>
      <c r="D951" s="104"/>
      <c r="E951" s="103"/>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ht="15.75" customHeight="1">
      <c r="A952" s="102"/>
      <c r="B952" s="103"/>
      <c r="C952" s="103"/>
      <c r="D952" s="104"/>
      <c r="E952" s="103"/>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ht="15.75" customHeight="1">
      <c r="A953" s="102"/>
      <c r="B953" s="103"/>
      <c r="C953" s="103"/>
      <c r="D953" s="104"/>
      <c r="E953" s="103"/>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ht="15.75" customHeight="1">
      <c r="A954" s="102"/>
      <c r="B954" s="103"/>
      <c r="C954" s="103"/>
      <c r="D954" s="104"/>
      <c r="E954" s="103"/>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ht="15.75" customHeight="1">
      <c r="A955" s="102"/>
      <c r="B955" s="103"/>
      <c r="C955" s="103"/>
      <c r="D955" s="104"/>
      <c r="E955" s="103"/>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ht="15.75" customHeight="1">
      <c r="A956" s="102"/>
      <c r="B956" s="103"/>
      <c r="C956" s="103"/>
      <c r="D956" s="104"/>
      <c r="E956" s="103"/>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ht="15.75" customHeight="1">
      <c r="A957" s="102"/>
      <c r="B957" s="103"/>
      <c r="C957" s="103"/>
      <c r="D957" s="104"/>
      <c r="E957" s="103"/>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ht="15.75" customHeight="1">
      <c r="A958" s="102"/>
      <c r="B958" s="103"/>
      <c r="C958" s="103"/>
      <c r="D958" s="104"/>
      <c r="E958" s="103"/>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ht="15.75" customHeight="1">
      <c r="A959" s="102"/>
      <c r="B959" s="103"/>
      <c r="C959" s="103"/>
      <c r="D959" s="104"/>
      <c r="E959" s="103"/>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ht="15.75" customHeight="1">
      <c r="A960" s="102"/>
      <c r="B960" s="103"/>
      <c r="C960" s="103"/>
      <c r="D960" s="104"/>
      <c r="E960" s="103"/>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ht="15.75" customHeight="1">
      <c r="A961" s="102"/>
      <c r="B961" s="103"/>
      <c r="C961" s="103"/>
      <c r="D961" s="104"/>
      <c r="E961" s="103"/>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ht="15.75" customHeight="1">
      <c r="A962" s="102"/>
      <c r="B962" s="103"/>
      <c r="C962" s="103"/>
      <c r="D962" s="104"/>
      <c r="E962" s="103"/>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ht="15.75" customHeight="1">
      <c r="A963" s="102"/>
      <c r="B963" s="103"/>
      <c r="C963" s="103"/>
      <c r="D963" s="104"/>
      <c r="E963" s="103"/>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ht="15.75" customHeight="1">
      <c r="A964" s="102"/>
      <c r="B964" s="103"/>
      <c r="C964" s="103"/>
      <c r="D964" s="104"/>
      <c r="E964" s="103"/>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ht="15.75" customHeight="1">
      <c r="A965" s="102"/>
      <c r="B965" s="103"/>
      <c r="C965" s="103"/>
      <c r="D965" s="104"/>
      <c r="E965" s="103"/>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ht="15.75" customHeight="1">
      <c r="A966" s="102"/>
      <c r="B966" s="103"/>
      <c r="C966" s="103"/>
      <c r="D966" s="104"/>
      <c r="E966" s="103"/>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ht="15.75" customHeight="1">
      <c r="A967" s="102"/>
      <c r="B967" s="103"/>
      <c r="C967" s="103"/>
      <c r="D967" s="104"/>
      <c r="E967" s="103"/>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ht="15.75" customHeight="1">
      <c r="A968" s="102"/>
      <c r="B968" s="103"/>
      <c r="C968" s="103"/>
      <c r="D968" s="104"/>
      <c r="E968" s="103"/>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ht="15.75" customHeight="1">
      <c r="A969" s="102"/>
      <c r="B969" s="103"/>
      <c r="C969" s="103"/>
      <c r="D969" s="104"/>
      <c r="E969" s="103"/>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ht="15.75" customHeight="1">
      <c r="A970" s="102"/>
      <c r="B970" s="103"/>
      <c r="C970" s="103"/>
      <c r="D970" s="104"/>
      <c r="E970" s="103"/>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ht="15.75" customHeight="1">
      <c r="A971" s="102"/>
      <c r="B971" s="103"/>
      <c r="C971" s="103"/>
      <c r="D971" s="104"/>
      <c r="E971" s="103"/>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ht="15.75" customHeight="1">
      <c r="A972" s="102"/>
      <c r="B972" s="103"/>
      <c r="C972" s="103"/>
      <c r="D972" s="104"/>
      <c r="E972" s="103"/>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ht="15.75" customHeight="1">
      <c r="A973" s="102"/>
      <c r="B973" s="103"/>
      <c r="C973" s="103"/>
      <c r="D973" s="104"/>
      <c r="E973" s="103"/>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ht="15.75" customHeight="1">
      <c r="A974" s="102"/>
      <c r="B974" s="103"/>
      <c r="C974" s="103"/>
      <c r="D974" s="104"/>
      <c r="E974" s="103"/>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ht="15.75" customHeight="1">
      <c r="A975" s="102"/>
      <c r="B975" s="103"/>
      <c r="C975" s="103"/>
      <c r="D975" s="104"/>
      <c r="E975" s="103"/>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ht="15.75" customHeight="1">
      <c r="A976" s="102"/>
      <c r="B976" s="103"/>
      <c r="C976" s="103"/>
      <c r="D976" s="104"/>
      <c r="E976" s="103"/>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ht="15.75" customHeight="1">
      <c r="A977" s="102"/>
      <c r="B977" s="103"/>
      <c r="C977" s="103"/>
      <c r="D977" s="104"/>
      <c r="E977" s="103"/>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ht="15.75" customHeight="1">
      <c r="A978" s="102"/>
      <c r="B978" s="103"/>
      <c r="C978" s="103"/>
      <c r="D978" s="104"/>
      <c r="E978" s="103"/>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ht="15.75" customHeight="1">
      <c r="A979" s="102"/>
      <c r="B979" s="103"/>
      <c r="C979" s="103"/>
      <c r="D979" s="104"/>
      <c r="E979" s="103"/>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ht="15.75" customHeight="1">
      <c r="A980" s="102"/>
      <c r="B980" s="103"/>
      <c r="C980" s="103"/>
      <c r="D980" s="104"/>
      <c r="E980" s="103"/>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ht="15.75" customHeight="1">
      <c r="A981" s="102"/>
      <c r="B981" s="103"/>
      <c r="C981" s="103"/>
      <c r="D981" s="104"/>
      <c r="E981" s="103"/>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ht="15.75" customHeight="1">
      <c r="A982" s="102"/>
      <c r="B982" s="103"/>
      <c r="C982" s="103"/>
      <c r="D982" s="104"/>
      <c r="E982" s="103"/>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ht="15.75" customHeight="1">
      <c r="A983" s="102"/>
      <c r="B983" s="103"/>
      <c r="C983" s="103"/>
      <c r="D983" s="104"/>
      <c r="E983" s="103"/>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ht="15.75" customHeight="1">
      <c r="A984" s="102"/>
      <c r="B984" s="103"/>
      <c r="C984" s="103"/>
      <c r="D984" s="104"/>
      <c r="E984" s="103"/>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ht="15.75" customHeight="1">
      <c r="A985" s="102"/>
      <c r="B985" s="103"/>
      <c r="C985" s="103"/>
      <c r="D985" s="104"/>
      <c r="E985" s="103"/>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ht="15.75" customHeight="1">
      <c r="A986" s="102"/>
      <c r="B986" s="103"/>
      <c r="C986" s="103"/>
      <c r="D986" s="104"/>
      <c r="E986" s="103"/>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ht="15.75" customHeight="1">
      <c r="A987" s="102"/>
      <c r="B987" s="103"/>
      <c r="C987" s="103"/>
      <c r="D987" s="104"/>
      <c r="E987" s="103"/>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ht="15.75" customHeight="1">
      <c r="A988" s="102"/>
      <c r="B988" s="103"/>
      <c r="C988" s="103"/>
      <c r="D988" s="104"/>
      <c r="E988" s="103"/>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ht="15.75" customHeight="1">
      <c r="A989" s="102"/>
      <c r="B989" s="103"/>
      <c r="C989" s="103"/>
      <c r="D989" s="104"/>
      <c r="E989" s="103"/>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ht="15.75" customHeight="1">
      <c r="A990" s="102"/>
      <c r="B990" s="103"/>
      <c r="C990" s="103"/>
      <c r="D990" s="104"/>
      <c r="E990" s="103"/>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ht="15.75" customHeight="1">
      <c r="A991" s="102"/>
      <c r="B991" s="103"/>
      <c r="C991" s="103"/>
      <c r="D991" s="104"/>
      <c r="E991" s="103"/>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ht="15.75" customHeight="1">
      <c r="A992" s="102"/>
      <c r="B992" s="103"/>
      <c r="C992" s="103"/>
      <c r="D992" s="104"/>
      <c r="E992" s="103"/>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ht="15.75" customHeight="1">
      <c r="A993" s="102"/>
      <c r="B993" s="103"/>
      <c r="C993" s="103"/>
      <c r="D993" s="104"/>
      <c r="E993" s="103"/>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ht="15.75" customHeight="1">
      <c r="A994" s="102"/>
      <c r="B994" s="103"/>
      <c r="C994" s="103"/>
      <c r="D994" s="104"/>
      <c r="E994" s="103"/>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ht="15.75" customHeight="1">
      <c r="A995" s="102"/>
      <c r="B995" s="103"/>
      <c r="C995" s="103"/>
      <c r="D995" s="104"/>
      <c r="E995" s="103"/>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ht="15.75" customHeight="1">
      <c r="A996" s="102"/>
      <c r="B996" s="103"/>
      <c r="C996" s="103"/>
      <c r="D996" s="104"/>
      <c r="E996" s="103"/>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ht="15.75" customHeight="1">
      <c r="A997" s="102"/>
      <c r="B997" s="103"/>
      <c r="C997" s="103"/>
      <c r="D997" s="104"/>
      <c r="E997" s="103"/>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ht="15.75" customHeight="1">
      <c r="A998" s="102"/>
      <c r="B998" s="103"/>
      <c r="C998" s="103"/>
      <c r="D998" s="104"/>
      <c r="E998" s="103"/>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ht="15.75" customHeight="1">
      <c r="A999" s="102"/>
      <c r="B999" s="103"/>
      <c r="C999" s="103"/>
      <c r="D999" s="104"/>
      <c r="E999" s="103"/>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ht="15.75" customHeight="1">
      <c r="A1000" s="102"/>
      <c r="B1000" s="103"/>
      <c r="C1000" s="103"/>
      <c r="D1000" s="104"/>
      <c r="E1000" s="103"/>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row r="1001" ht="15.75" customHeight="1">
      <c r="A1001" s="102"/>
      <c r="B1001" s="103"/>
      <c r="C1001" s="103"/>
      <c r="D1001" s="104"/>
      <c r="E1001" s="103"/>
      <c r="F1001" s="102"/>
      <c r="G1001" s="102"/>
      <c r="H1001" s="102"/>
      <c r="I1001" s="102"/>
      <c r="J1001" s="102"/>
      <c r="K1001" s="102"/>
      <c r="L1001" s="102"/>
      <c r="M1001" s="102"/>
      <c r="N1001" s="102"/>
      <c r="O1001" s="102"/>
      <c r="P1001" s="102"/>
      <c r="Q1001" s="102"/>
      <c r="R1001" s="102"/>
      <c r="S1001" s="102"/>
      <c r="T1001" s="102"/>
      <c r="U1001" s="102"/>
      <c r="V1001" s="102"/>
      <c r="W1001" s="102"/>
      <c r="X1001" s="102"/>
      <c r="Y1001" s="102"/>
      <c r="Z1001" s="102"/>
    </row>
    <row r="1002" ht="15.75" customHeight="1">
      <c r="A1002" s="102"/>
      <c r="B1002" s="103"/>
      <c r="C1002" s="103"/>
      <c r="D1002" s="104"/>
      <c r="E1002" s="103"/>
      <c r="F1002" s="102"/>
      <c r="G1002" s="102"/>
      <c r="H1002" s="102"/>
      <c r="I1002" s="102"/>
      <c r="J1002" s="102"/>
      <c r="K1002" s="102"/>
      <c r="L1002" s="102"/>
      <c r="M1002" s="102"/>
      <c r="N1002" s="102"/>
      <c r="O1002" s="102"/>
      <c r="P1002" s="102"/>
      <c r="Q1002" s="102"/>
      <c r="R1002" s="102"/>
      <c r="S1002" s="102"/>
      <c r="T1002" s="102"/>
      <c r="U1002" s="102"/>
      <c r="V1002" s="102"/>
      <c r="W1002" s="102"/>
      <c r="X1002" s="102"/>
      <c r="Y1002" s="102"/>
      <c r="Z1002" s="102"/>
    </row>
    <row r="1003" ht="15.75" customHeight="1">
      <c r="A1003" s="102"/>
      <c r="B1003" s="103"/>
      <c r="C1003" s="103"/>
      <c r="D1003" s="104"/>
      <c r="E1003" s="103"/>
      <c r="F1003" s="102"/>
      <c r="G1003" s="102"/>
      <c r="H1003" s="102"/>
      <c r="I1003" s="102"/>
      <c r="J1003" s="102"/>
      <c r="K1003" s="102"/>
      <c r="L1003" s="102"/>
      <c r="M1003" s="102"/>
      <c r="N1003" s="102"/>
      <c r="O1003" s="102"/>
      <c r="P1003" s="102"/>
      <c r="Q1003" s="102"/>
      <c r="R1003" s="102"/>
      <c r="S1003" s="102"/>
      <c r="T1003" s="102"/>
      <c r="U1003" s="102"/>
      <c r="V1003" s="102"/>
      <c r="W1003" s="102"/>
      <c r="X1003" s="102"/>
      <c r="Y1003" s="102"/>
      <c r="Z1003" s="102"/>
    </row>
    <row r="1004" ht="15.75" customHeight="1">
      <c r="A1004" s="102"/>
      <c r="B1004" s="103"/>
      <c r="C1004" s="103"/>
      <c r="D1004" s="104"/>
      <c r="E1004" s="103"/>
      <c r="F1004" s="102"/>
      <c r="G1004" s="102"/>
      <c r="H1004" s="102"/>
      <c r="I1004" s="102"/>
      <c r="J1004" s="102"/>
      <c r="K1004" s="102"/>
      <c r="L1004" s="102"/>
      <c r="M1004" s="102"/>
      <c r="N1004" s="102"/>
      <c r="O1004" s="102"/>
      <c r="P1004" s="102"/>
      <c r="Q1004" s="102"/>
      <c r="R1004" s="102"/>
      <c r="S1004" s="102"/>
      <c r="T1004" s="102"/>
      <c r="U1004" s="102"/>
      <c r="V1004" s="102"/>
      <c r="W1004" s="102"/>
      <c r="X1004" s="102"/>
      <c r="Y1004" s="102"/>
      <c r="Z1004" s="102"/>
    </row>
    <row r="1005" ht="15.75" customHeight="1">
      <c r="A1005" s="102"/>
      <c r="B1005" s="103"/>
      <c r="C1005" s="103"/>
      <c r="D1005" s="104"/>
      <c r="E1005" s="103"/>
      <c r="F1005" s="102"/>
      <c r="G1005" s="102"/>
      <c r="H1005" s="102"/>
      <c r="I1005" s="102"/>
      <c r="J1005" s="102"/>
      <c r="K1005" s="102"/>
      <c r="L1005" s="102"/>
      <c r="M1005" s="102"/>
      <c r="N1005" s="102"/>
      <c r="O1005" s="102"/>
      <c r="P1005" s="102"/>
      <c r="Q1005" s="102"/>
      <c r="R1005" s="102"/>
      <c r="S1005" s="102"/>
      <c r="T1005" s="102"/>
      <c r="U1005" s="102"/>
      <c r="V1005" s="102"/>
      <c r="W1005" s="102"/>
      <c r="X1005" s="102"/>
      <c r="Y1005" s="102"/>
      <c r="Z1005" s="102"/>
    </row>
    <row r="1006" ht="15.75" customHeight="1">
      <c r="A1006" s="102"/>
      <c r="B1006" s="103"/>
      <c r="C1006" s="103"/>
      <c r="D1006" s="104"/>
      <c r="E1006" s="103"/>
      <c r="F1006" s="102"/>
      <c r="G1006" s="102"/>
      <c r="H1006" s="102"/>
      <c r="I1006" s="102"/>
      <c r="J1006" s="102"/>
      <c r="K1006" s="102"/>
      <c r="L1006" s="102"/>
      <c r="M1006" s="102"/>
      <c r="N1006" s="102"/>
      <c r="O1006" s="102"/>
      <c r="P1006" s="102"/>
      <c r="Q1006" s="102"/>
      <c r="R1006" s="102"/>
      <c r="S1006" s="102"/>
      <c r="T1006" s="102"/>
      <c r="U1006" s="102"/>
      <c r="V1006" s="102"/>
      <c r="W1006" s="102"/>
      <c r="X1006" s="102"/>
      <c r="Y1006" s="102"/>
      <c r="Z1006" s="102"/>
    </row>
    <row r="1007" ht="15.75" customHeight="1">
      <c r="A1007" s="102"/>
      <c r="B1007" s="103"/>
      <c r="C1007" s="103"/>
      <c r="D1007" s="104"/>
      <c r="E1007" s="103"/>
      <c r="F1007" s="102"/>
      <c r="G1007" s="102"/>
      <c r="H1007" s="102"/>
      <c r="I1007" s="102"/>
      <c r="J1007" s="102"/>
      <c r="K1007" s="102"/>
      <c r="L1007" s="102"/>
      <c r="M1007" s="102"/>
      <c r="N1007" s="102"/>
      <c r="O1007" s="102"/>
      <c r="P1007" s="102"/>
      <c r="Q1007" s="102"/>
      <c r="R1007" s="102"/>
      <c r="S1007" s="102"/>
      <c r="T1007" s="102"/>
      <c r="U1007" s="102"/>
      <c r="V1007" s="102"/>
      <c r="W1007" s="102"/>
      <c r="X1007" s="102"/>
      <c r="Y1007" s="102"/>
      <c r="Z1007" s="102"/>
    </row>
    <row r="1008" ht="15.75" customHeight="1">
      <c r="A1008" s="102"/>
      <c r="B1008" s="103"/>
      <c r="C1008" s="103"/>
      <c r="D1008" s="104"/>
      <c r="E1008" s="103"/>
      <c r="F1008" s="102"/>
      <c r="G1008" s="102"/>
      <c r="H1008" s="102"/>
      <c r="I1008" s="102"/>
      <c r="J1008" s="102"/>
      <c r="K1008" s="102"/>
      <c r="L1008" s="102"/>
      <c r="M1008" s="102"/>
      <c r="N1008" s="102"/>
      <c r="O1008" s="102"/>
      <c r="P1008" s="102"/>
      <c r="Q1008" s="102"/>
      <c r="R1008" s="102"/>
      <c r="S1008" s="102"/>
      <c r="T1008" s="102"/>
      <c r="U1008" s="102"/>
      <c r="V1008" s="102"/>
      <c r="W1008" s="102"/>
      <c r="X1008" s="102"/>
      <c r="Y1008" s="102"/>
      <c r="Z1008" s="102"/>
    </row>
    <row r="1009" ht="15.75" customHeight="1">
      <c r="A1009" s="102"/>
      <c r="B1009" s="103"/>
      <c r="C1009" s="103"/>
      <c r="D1009" s="104"/>
      <c r="E1009" s="103"/>
      <c r="F1009" s="102"/>
      <c r="G1009" s="102"/>
      <c r="H1009" s="102"/>
      <c r="I1009" s="102"/>
      <c r="J1009" s="102"/>
      <c r="K1009" s="102"/>
      <c r="L1009" s="102"/>
      <c r="M1009" s="102"/>
      <c r="N1009" s="102"/>
      <c r="O1009" s="102"/>
      <c r="P1009" s="102"/>
      <c r="Q1009" s="102"/>
      <c r="R1009" s="102"/>
      <c r="S1009" s="102"/>
      <c r="T1009" s="102"/>
      <c r="U1009" s="102"/>
      <c r="V1009" s="102"/>
      <c r="W1009" s="102"/>
      <c r="X1009" s="102"/>
      <c r="Y1009" s="102"/>
      <c r="Z1009" s="102"/>
    </row>
    <row r="1010" ht="15.75" customHeight="1">
      <c r="A1010" s="102"/>
      <c r="B1010" s="103"/>
      <c r="C1010" s="103"/>
      <c r="D1010" s="104"/>
      <c r="E1010" s="103"/>
      <c r="F1010" s="102"/>
      <c r="G1010" s="102"/>
      <c r="H1010" s="102"/>
      <c r="I1010" s="102"/>
      <c r="J1010" s="102"/>
      <c r="K1010" s="102"/>
      <c r="L1010" s="102"/>
      <c r="M1010" s="102"/>
      <c r="N1010" s="102"/>
      <c r="O1010" s="102"/>
      <c r="P1010" s="102"/>
      <c r="Q1010" s="102"/>
      <c r="R1010" s="102"/>
      <c r="S1010" s="102"/>
      <c r="T1010" s="102"/>
      <c r="U1010" s="102"/>
      <c r="V1010" s="102"/>
      <c r="W1010" s="102"/>
      <c r="X1010" s="102"/>
      <c r="Y1010" s="102"/>
      <c r="Z1010" s="102"/>
    </row>
    <row r="1011" ht="15.75" customHeight="1">
      <c r="A1011" s="102"/>
      <c r="B1011" s="103"/>
      <c r="C1011" s="103"/>
      <c r="D1011" s="104"/>
      <c r="E1011" s="103"/>
      <c r="F1011" s="102"/>
      <c r="G1011" s="102"/>
      <c r="H1011" s="102"/>
      <c r="I1011" s="102"/>
      <c r="J1011" s="102"/>
      <c r="K1011" s="102"/>
      <c r="L1011" s="102"/>
      <c r="M1011" s="102"/>
      <c r="N1011" s="102"/>
      <c r="O1011" s="102"/>
      <c r="P1011" s="102"/>
      <c r="Q1011" s="102"/>
      <c r="R1011" s="102"/>
      <c r="S1011" s="102"/>
      <c r="T1011" s="102"/>
      <c r="U1011" s="102"/>
      <c r="V1011" s="102"/>
      <c r="W1011" s="102"/>
      <c r="X1011" s="102"/>
      <c r="Y1011" s="102"/>
      <c r="Z1011" s="102"/>
    </row>
    <row r="1012" ht="15.75" customHeight="1">
      <c r="A1012" s="102"/>
      <c r="B1012" s="103"/>
      <c r="C1012" s="103"/>
      <c r="D1012" s="104"/>
      <c r="E1012" s="103"/>
      <c r="F1012" s="102"/>
      <c r="G1012" s="102"/>
      <c r="H1012" s="102"/>
      <c r="I1012" s="102"/>
      <c r="J1012" s="102"/>
      <c r="K1012" s="102"/>
      <c r="L1012" s="102"/>
      <c r="M1012" s="102"/>
      <c r="N1012" s="102"/>
      <c r="O1012" s="102"/>
      <c r="P1012" s="102"/>
      <c r="Q1012" s="102"/>
      <c r="R1012" s="102"/>
      <c r="S1012" s="102"/>
      <c r="T1012" s="102"/>
      <c r="U1012" s="102"/>
      <c r="V1012" s="102"/>
      <c r="W1012" s="102"/>
      <c r="X1012" s="102"/>
      <c r="Y1012" s="102"/>
      <c r="Z1012" s="102"/>
    </row>
    <row r="1013" ht="15.75" customHeight="1">
      <c r="A1013" s="102"/>
      <c r="B1013" s="103"/>
      <c r="C1013" s="103"/>
      <c r="D1013" s="104"/>
      <c r="E1013" s="103"/>
      <c r="F1013" s="102"/>
      <c r="G1013" s="102"/>
      <c r="H1013" s="102"/>
      <c r="I1013" s="102"/>
      <c r="J1013" s="102"/>
      <c r="K1013" s="102"/>
      <c r="L1013" s="102"/>
      <c r="M1013" s="102"/>
      <c r="N1013" s="102"/>
      <c r="O1013" s="102"/>
      <c r="P1013" s="102"/>
      <c r="Q1013" s="102"/>
      <c r="R1013" s="102"/>
      <c r="S1013" s="102"/>
      <c r="T1013" s="102"/>
      <c r="U1013" s="102"/>
      <c r="V1013" s="102"/>
      <c r="W1013" s="102"/>
      <c r="X1013" s="102"/>
      <c r="Y1013" s="102"/>
      <c r="Z1013" s="102"/>
    </row>
    <row r="1014" ht="15.75" customHeight="1">
      <c r="A1014" s="102"/>
      <c r="B1014" s="103"/>
      <c r="C1014" s="103"/>
      <c r="D1014" s="104"/>
      <c r="E1014" s="103"/>
      <c r="F1014" s="102"/>
      <c r="G1014" s="102"/>
      <c r="H1014" s="102"/>
      <c r="I1014" s="102"/>
      <c r="J1014" s="102"/>
      <c r="K1014" s="102"/>
      <c r="L1014" s="102"/>
      <c r="M1014" s="102"/>
      <c r="N1014" s="102"/>
      <c r="O1014" s="102"/>
      <c r="P1014" s="102"/>
      <c r="Q1014" s="102"/>
      <c r="R1014" s="102"/>
      <c r="S1014" s="102"/>
      <c r="T1014" s="102"/>
      <c r="U1014" s="102"/>
      <c r="V1014" s="102"/>
      <c r="W1014" s="102"/>
      <c r="X1014" s="102"/>
      <c r="Y1014" s="102"/>
      <c r="Z1014" s="102"/>
    </row>
    <row r="1015" ht="15.75" customHeight="1">
      <c r="A1015" s="102"/>
      <c r="B1015" s="103"/>
      <c r="C1015" s="103"/>
      <c r="D1015" s="104"/>
      <c r="E1015" s="103"/>
      <c r="F1015" s="102"/>
      <c r="G1015" s="102"/>
      <c r="H1015" s="102"/>
      <c r="I1015" s="102"/>
      <c r="J1015" s="102"/>
      <c r="K1015" s="102"/>
      <c r="L1015" s="102"/>
      <c r="M1015" s="102"/>
      <c r="N1015" s="102"/>
      <c r="O1015" s="102"/>
      <c r="P1015" s="102"/>
      <c r="Q1015" s="102"/>
      <c r="R1015" s="102"/>
      <c r="S1015" s="102"/>
      <c r="T1015" s="102"/>
      <c r="U1015" s="102"/>
      <c r="V1015" s="102"/>
      <c r="W1015" s="102"/>
      <c r="X1015" s="102"/>
      <c r="Y1015" s="102"/>
      <c r="Z1015" s="102"/>
    </row>
    <row r="1016" ht="15.75" customHeight="1">
      <c r="A1016" s="102"/>
      <c r="B1016" s="103"/>
      <c r="C1016" s="103"/>
      <c r="D1016" s="104"/>
      <c r="E1016" s="103"/>
      <c r="F1016" s="102"/>
      <c r="G1016" s="102"/>
      <c r="H1016" s="102"/>
      <c r="I1016" s="102"/>
      <c r="J1016" s="102"/>
      <c r="K1016" s="102"/>
      <c r="L1016" s="102"/>
      <c r="M1016" s="102"/>
      <c r="N1016" s="102"/>
      <c r="O1016" s="102"/>
      <c r="P1016" s="102"/>
      <c r="Q1016" s="102"/>
      <c r="R1016" s="102"/>
      <c r="S1016" s="102"/>
      <c r="T1016" s="102"/>
      <c r="U1016" s="102"/>
      <c r="V1016" s="102"/>
      <c r="W1016" s="102"/>
      <c r="X1016" s="102"/>
      <c r="Y1016" s="102"/>
      <c r="Z1016" s="102"/>
    </row>
    <row r="1017" ht="15.75" customHeight="1">
      <c r="A1017" s="102"/>
      <c r="B1017" s="103"/>
      <c r="C1017" s="103"/>
      <c r="D1017" s="104"/>
      <c r="E1017" s="103"/>
      <c r="F1017" s="102"/>
      <c r="G1017" s="102"/>
      <c r="H1017" s="102"/>
      <c r="I1017" s="102"/>
      <c r="J1017" s="102"/>
      <c r="K1017" s="102"/>
      <c r="L1017" s="102"/>
      <c r="M1017" s="102"/>
      <c r="N1017" s="102"/>
      <c r="O1017" s="102"/>
      <c r="P1017" s="102"/>
      <c r="Q1017" s="102"/>
      <c r="R1017" s="102"/>
      <c r="S1017" s="102"/>
      <c r="T1017" s="102"/>
      <c r="U1017" s="102"/>
      <c r="V1017" s="102"/>
      <c r="W1017" s="102"/>
      <c r="X1017" s="102"/>
      <c r="Y1017" s="102"/>
      <c r="Z1017" s="102"/>
    </row>
    <row r="1018" ht="15.75" customHeight="1">
      <c r="A1018" s="102"/>
      <c r="B1018" s="103"/>
      <c r="C1018" s="103"/>
      <c r="D1018" s="104"/>
      <c r="E1018" s="103"/>
      <c r="F1018" s="102"/>
      <c r="G1018" s="102"/>
      <c r="H1018" s="102"/>
      <c r="I1018" s="102"/>
      <c r="J1018" s="102"/>
      <c r="K1018" s="102"/>
      <c r="L1018" s="102"/>
      <c r="M1018" s="102"/>
      <c r="N1018" s="102"/>
      <c r="O1018" s="102"/>
      <c r="P1018" s="102"/>
      <c r="Q1018" s="102"/>
      <c r="R1018" s="102"/>
      <c r="S1018" s="102"/>
      <c r="T1018" s="102"/>
      <c r="U1018" s="102"/>
      <c r="V1018" s="102"/>
      <c r="W1018" s="102"/>
      <c r="X1018" s="102"/>
      <c r="Y1018" s="102"/>
      <c r="Z1018" s="102"/>
    </row>
    <row r="1019" ht="15.75" customHeight="1">
      <c r="A1019" s="102"/>
      <c r="B1019" s="103"/>
      <c r="C1019" s="103"/>
      <c r="D1019" s="104"/>
      <c r="E1019" s="103"/>
      <c r="F1019" s="102"/>
      <c r="G1019" s="102"/>
      <c r="H1019" s="102"/>
      <c r="I1019" s="102"/>
      <c r="J1019" s="102"/>
      <c r="K1019" s="102"/>
      <c r="L1019" s="102"/>
      <c r="M1019" s="102"/>
      <c r="N1019" s="102"/>
      <c r="O1019" s="102"/>
      <c r="P1019" s="102"/>
      <c r="Q1019" s="102"/>
      <c r="R1019" s="102"/>
      <c r="S1019" s="102"/>
      <c r="T1019" s="102"/>
      <c r="U1019" s="102"/>
      <c r="V1019" s="102"/>
      <c r="W1019" s="102"/>
      <c r="X1019" s="102"/>
      <c r="Y1019" s="102"/>
      <c r="Z1019" s="102"/>
    </row>
    <row r="1020" ht="15.75" customHeight="1">
      <c r="A1020" s="102"/>
      <c r="B1020" s="103"/>
      <c r="C1020" s="103"/>
      <c r="D1020" s="104"/>
      <c r="E1020" s="103"/>
      <c r="F1020" s="102"/>
      <c r="G1020" s="102"/>
      <c r="H1020" s="102"/>
      <c r="I1020" s="102"/>
      <c r="J1020" s="102"/>
      <c r="K1020" s="102"/>
      <c r="L1020" s="102"/>
      <c r="M1020" s="102"/>
      <c r="N1020" s="102"/>
      <c r="O1020" s="102"/>
      <c r="P1020" s="102"/>
      <c r="Q1020" s="102"/>
      <c r="R1020" s="102"/>
      <c r="S1020" s="102"/>
      <c r="T1020" s="102"/>
      <c r="U1020" s="102"/>
      <c r="V1020" s="102"/>
      <c r="W1020" s="102"/>
      <c r="X1020" s="102"/>
      <c r="Y1020" s="102"/>
      <c r="Z1020" s="102"/>
    </row>
    <row r="1021" ht="15.75" customHeight="1">
      <c r="A1021" s="102"/>
      <c r="B1021" s="103"/>
      <c r="C1021" s="103"/>
      <c r="D1021" s="104"/>
      <c r="E1021" s="103"/>
      <c r="F1021" s="102"/>
      <c r="G1021" s="102"/>
      <c r="H1021" s="102"/>
      <c r="I1021" s="102"/>
      <c r="J1021" s="102"/>
      <c r="K1021" s="102"/>
      <c r="L1021" s="102"/>
      <c r="M1021" s="102"/>
      <c r="N1021" s="102"/>
      <c r="O1021" s="102"/>
      <c r="P1021" s="102"/>
      <c r="Q1021" s="102"/>
      <c r="R1021" s="102"/>
      <c r="S1021" s="102"/>
      <c r="T1021" s="102"/>
      <c r="U1021" s="102"/>
      <c r="V1021" s="102"/>
      <c r="W1021" s="102"/>
      <c r="X1021" s="102"/>
      <c r="Y1021" s="102"/>
      <c r="Z1021" s="102"/>
    </row>
    <row r="1022" ht="15.75" customHeight="1">
      <c r="A1022" s="102"/>
      <c r="B1022" s="103"/>
      <c r="C1022" s="103"/>
      <c r="D1022" s="104"/>
      <c r="E1022" s="103"/>
      <c r="F1022" s="102"/>
      <c r="G1022" s="102"/>
      <c r="H1022" s="102"/>
      <c r="I1022" s="102"/>
      <c r="J1022" s="102"/>
      <c r="K1022" s="102"/>
      <c r="L1022" s="102"/>
      <c r="M1022" s="102"/>
      <c r="N1022" s="102"/>
      <c r="O1022" s="102"/>
      <c r="P1022" s="102"/>
      <c r="Q1022" s="102"/>
      <c r="R1022" s="102"/>
      <c r="S1022" s="102"/>
      <c r="T1022" s="102"/>
      <c r="U1022" s="102"/>
      <c r="V1022" s="102"/>
      <c r="W1022" s="102"/>
      <c r="X1022" s="102"/>
      <c r="Y1022" s="102"/>
      <c r="Z1022" s="102"/>
    </row>
    <row r="1023" ht="15.75" customHeight="1">
      <c r="A1023" s="102"/>
      <c r="B1023" s="103"/>
      <c r="C1023" s="103"/>
      <c r="D1023" s="104"/>
      <c r="E1023" s="103"/>
      <c r="F1023" s="102"/>
      <c r="G1023" s="102"/>
      <c r="H1023" s="102"/>
      <c r="I1023" s="102"/>
      <c r="J1023" s="102"/>
      <c r="K1023" s="102"/>
      <c r="L1023" s="102"/>
      <c r="M1023" s="102"/>
      <c r="N1023" s="102"/>
      <c r="O1023" s="102"/>
      <c r="P1023" s="102"/>
      <c r="Q1023" s="102"/>
      <c r="R1023" s="102"/>
      <c r="S1023" s="102"/>
      <c r="T1023" s="102"/>
      <c r="U1023" s="102"/>
      <c r="V1023" s="102"/>
      <c r="W1023" s="102"/>
      <c r="X1023" s="102"/>
      <c r="Y1023" s="102"/>
      <c r="Z1023" s="102"/>
    </row>
    <row r="1024" ht="15.75" customHeight="1">
      <c r="A1024" s="102"/>
      <c r="B1024" s="103"/>
      <c r="C1024" s="103"/>
      <c r="D1024" s="104"/>
      <c r="E1024" s="103"/>
      <c r="F1024" s="102"/>
      <c r="G1024" s="102"/>
      <c r="H1024" s="102"/>
      <c r="I1024" s="102"/>
      <c r="J1024" s="102"/>
      <c r="K1024" s="102"/>
      <c r="L1024" s="102"/>
      <c r="M1024" s="102"/>
      <c r="N1024" s="102"/>
      <c r="O1024" s="102"/>
      <c r="P1024" s="102"/>
      <c r="Q1024" s="102"/>
      <c r="R1024" s="102"/>
      <c r="S1024" s="102"/>
      <c r="T1024" s="102"/>
      <c r="U1024" s="102"/>
      <c r="V1024" s="102"/>
      <c r="W1024" s="102"/>
      <c r="X1024" s="102"/>
      <c r="Y1024" s="102"/>
      <c r="Z1024" s="102"/>
    </row>
    <row r="1025" ht="15.75" customHeight="1">
      <c r="A1025" s="102"/>
      <c r="B1025" s="103"/>
      <c r="C1025" s="103"/>
      <c r="D1025" s="104"/>
      <c r="E1025" s="103"/>
      <c r="F1025" s="102"/>
      <c r="G1025" s="102"/>
      <c r="H1025" s="102"/>
      <c r="I1025" s="102"/>
      <c r="J1025" s="102"/>
      <c r="K1025" s="102"/>
      <c r="L1025" s="102"/>
      <c r="M1025" s="102"/>
      <c r="N1025" s="102"/>
      <c r="O1025" s="102"/>
      <c r="P1025" s="102"/>
      <c r="Q1025" s="102"/>
      <c r="R1025" s="102"/>
      <c r="S1025" s="102"/>
      <c r="T1025" s="102"/>
      <c r="U1025" s="102"/>
      <c r="V1025" s="102"/>
      <c r="W1025" s="102"/>
      <c r="X1025" s="102"/>
      <c r="Y1025" s="102"/>
      <c r="Z1025" s="102"/>
    </row>
    <row r="1026" ht="15.75" customHeight="1">
      <c r="A1026" s="102"/>
      <c r="B1026" s="103"/>
      <c r="C1026" s="103"/>
      <c r="D1026" s="104"/>
      <c r="E1026" s="103"/>
      <c r="F1026" s="102"/>
      <c r="G1026" s="102"/>
      <c r="H1026" s="102"/>
      <c r="I1026" s="102"/>
      <c r="J1026" s="102"/>
      <c r="K1026" s="102"/>
      <c r="L1026" s="102"/>
      <c r="M1026" s="102"/>
      <c r="N1026" s="102"/>
      <c r="O1026" s="102"/>
      <c r="P1026" s="102"/>
      <c r="Q1026" s="102"/>
      <c r="R1026" s="102"/>
      <c r="S1026" s="102"/>
      <c r="T1026" s="102"/>
      <c r="U1026" s="102"/>
      <c r="V1026" s="102"/>
      <c r="W1026" s="102"/>
      <c r="X1026" s="102"/>
      <c r="Y1026" s="102"/>
      <c r="Z1026" s="102"/>
    </row>
  </sheetData>
  <mergeCells count="2">
    <mergeCell ref="A8:A12"/>
    <mergeCell ref="A35:A4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6.5"/>
  </cols>
  <sheetData>
    <row r="3">
      <c r="B3" s="105" t="s">
        <v>3253</v>
      </c>
      <c r="C3" s="106" t="s">
        <v>3254</v>
      </c>
      <c r="D3" s="106" t="s">
        <v>3255</v>
      </c>
    </row>
    <row r="4">
      <c r="B4" s="106" t="s">
        <v>87</v>
      </c>
      <c r="C4" s="107">
        <f>COUNTIF('Ações'!$D:$D,"Agronegócio")</f>
        <v>368</v>
      </c>
      <c r="D4" s="108">
        <f>C4/C7</f>
        <v>0.5287356322</v>
      </c>
    </row>
    <row r="5">
      <c r="B5" s="106" t="s">
        <v>3256</v>
      </c>
      <c r="C5" s="107">
        <f>COUNTIF('Ações'!$D:$D,"Alimentos e Bebidas")</f>
        <v>183</v>
      </c>
      <c r="D5" s="108">
        <f>C5/C7</f>
        <v>0.2629310345</v>
      </c>
    </row>
    <row r="6">
      <c r="B6" s="109" t="s">
        <v>2490</v>
      </c>
      <c r="C6" s="107">
        <f>COUNTIF('Ações'!$D:$D,"Comércio varejista")</f>
        <v>145</v>
      </c>
      <c r="D6" s="108">
        <f>C6/C7</f>
        <v>0.2083333333</v>
      </c>
    </row>
    <row r="7">
      <c r="B7" s="109" t="s">
        <v>3257</v>
      </c>
      <c r="C7" s="107">
        <f t="shared" ref="C7:D7" si="1">SUM(C4:C6)</f>
        <v>696</v>
      </c>
      <c r="D7" s="108">
        <f t="shared" si="1"/>
        <v>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23.63"/>
    <col customWidth="1" min="7" max="7" width="74.25"/>
  </cols>
  <sheetData>
    <row r="1">
      <c r="E1" s="110"/>
    </row>
    <row r="2">
      <c r="E2" s="110"/>
      <c r="G2" s="107" t="s">
        <v>2589</v>
      </c>
    </row>
    <row r="3">
      <c r="C3" s="107" t="s">
        <v>314</v>
      </c>
      <c r="E3" s="110"/>
      <c r="G3" s="107" t="s">
        <v>123</v>
      </c>
    </row>
    <row r="4">
      <c r="E4" s="110"/>
      <c r="G4" s="111" t="s">
        <v>645</v>
      </c>
      <c r="H4" s="112" t="s">
        <v>3258</v>
      </c>
    </row>
    <row r="5">
      <c r="E5" s="110"/>
      <c r="G5" s="107" t="s">
        <v>1055</v>
      </c>
    </row>
    <row r="6">
      <c r="C6" s="107" t="s">
        <v>149</v>
      </c>
      <c r="E6" s="110"/>
      <c r="G6" s="107" t="s">
        <v>101</v>
      </c>
    </row>
    <row r="7">
      <c r="E7" s="110"/>
      <c r="G7" s="107" t="s">
        <v>2088</v>
      </c>
    </row>
    <row r="8">
      <c r="E8" s="110"/>
      <c r="G8" s="107" t="s">
        <v>2486</v>
      </c>
    </row>
    <row r="9">
      <c r="E9" s="110"/>
      <c r="G9" s="107" t="s">
        <v>1850</v>
      </c>
    </row>
    <row r="10">
      <c r="C10" s="107" t="s">
        <v>1286</v>
      </c>
      <c r="E10" s="110"/>
      <c r="G10" s="107" t="s">
        <v>258</v>
      </c>
    </row>
    <row r="11">
      <c r="E11" s="110"/>
      <c r="G11" s="107" t="s">
        <v>2545</v>
      </c>
    </row>
    <row r="12">
      <c r="E12" s="110"/>
      <c r="G12" s="107" t="s">
        <v>1197</v>
      </c>
    </row>
    <row r="13">
      <c r="E13" s="110"/>
      <c r="G13" s="107" t="s">
        <v>2213</v>
      </c>
    </row>
    <row r="14">
      <c r="E14" s="110"/>
      <c r="G14" s="107" t="s">
        <v>1444</v>
      </c>
    </row>
    <row r="15">
      <c r="E15" s="110"/>
      <c r="G15" s="107" t="s">
        <v>1999</v>
      </c>
    </row>
    <row r="16">
      <c r="E16" s="110"/>
      <c r="G16" s="107" t="s">
        <v>2503</v>
      </c>
    </row>
    <row r="17">
      <c r="E17" s="110"/>
      <c r="G17" s="107" t="s">
        <v>2796</v>
      </c>
    </row>
    <row r="18">
      <c r="E18" s="110"/>
      <c r="G18" s="107" t="s">
        <v>2425</v>
      </c>
    </row>
    <row r="19">
      <c r="C19" s="107" t="s">
        <v>3100</v>
      </c>
      <c r="E19" s="110"/>
      <c r="G19" s="107" t="s">
        <v>592</v>
      </c>
    </row>
    <row r="20">
      <c r="E20" s="110"/>
      <c r="G20" s="107" t="s">
        <v>787</v>
      </c>
    </row>
    <row r="21">
      <c r="C21" s="107" t="s">
        <v>1975</v>
      </c>
      <c r="E21" s="110"/>
      <c r="G21" s="113" t="s">
        <v>3259</v>
      </c>
      <c r="H21" s="112" t="s">
        <v>3258</v>
      </c>
    </row>
    <row r="22">
      <c r="E22" s="110"/>
      <c r="G22" s="113" t="s">
        <v>386</v>
      </c>
      <c r="H22" s="112" t="s">
        <v>3258</v>
      </c>
    </row>
    <row r="23">
      <c r="E23" s="110"/>
      <c r="G23" s="111" t="s">
        <v>1710</v>
      </c>
      <c r="H23" s="112" t="s">
        <v>3258</v>
      </c>
    </row>
    <row r="24">
      <c r="E24" s="110"/>
      <c r="G24" s="111" t="s">
        <v>1780</v>
      </c>
      <c r="H24" s="112" t="s">
        <v>3258</v>
      </c>
    </row>
    <row r="25">
      <c r="C25" s="107" t="s">
        <v>2030</v>
      </c>
      <c r="E25" s="110"/>
      <c r="G25" s="107" t="s">
        <v>400</v>
      </c>
    </row>
    <row r="26">
      <c r="E26" s="110"/>
      <c r="G26" s="107" t="s">
        <v>1050</v>
      </c>
    </row>
    <row r="27">
      <c r="E27" s="110"/>
      <c r="G27" s="107" t="s">
        <v>3152</v>
      </c>
    </row>
    <row r="28">
      <c r="E28" s="110"/>
      <c r="G28" s="107" t="s">
        <v>872</v>
      </c>
    </row>
    <row r="29">
      <c r="C29" s="112" t="s">
        <v>3260</v>
      </c>
      <c r="E29" s="110"/>
      <c r="G29" s="113" t="s">
        <v>1900</v>
      </c>
      <c r="H29" s="112" t="s">
        <v>3261</v>
      </c>
    </row>
    <row r="30">
      <c r="C30" s="112" t="s">
        <v>3262</v>
      </c>
      <c r="E30" s="110"/>
      <c r="G30" s="113" t="s">
        <v>3263</v>
      </c>
      <c r="H30" s="112" t="s">
        <v>3261</v>
      </c>
    </row>
    <row r="31">
      <c r="E31" s="110"/>
      <c r="G31" s="107" t="s">
        <v>929</v>
      </c>
    </row>
    <row r="32">
      <c r="E32" s="110"/>
      <c r="G32" s="107" t="s">
        <v>2446</v>
      </c>
    </row>
    <row r="33">
      <c r="E33" s="110"/>
      <c r="G33" s="107" t="s">
        <v>2747</v>
      </c>
    </row>
    <row r="34">
      <c r="E34" s="110"/>
      <c r="G34" s="107" t="s">
        <v>2371</v>
      </c>
    </row>
    <row r="35">
      <c r="E35" s="110"/>
      <c r="G35" s="107" t="s">
        <v>1905</v>
      </c>
    </row>
    <row r="36">
      <c r="C36" s="107" t="s">
        <v>415</v>
      </c>
      <c r="E36" s="110"/>
      <c r="G36" s="107" t="s">
        <v>263</v>
      </c>
    </row>
    <row r="37">
      <c r="E37" s="110"/>
      <c r="G37" s="107" t="s">
        <v>2754</v>
      </c>
    </row>
    <row r="38">
      <c r="E38" s="110"/>
      <c r="G38" s="107" t="s">
        <v>1744</v>
      </c>
    </row>
    <row r="39">
      <c r="E39" s="110"/>
      <c r="G39" s="113" t="s">
        <v>342</v>
      </c>
      <c r="H39" s="112" t="s">
        <v>3258</v>
      </c>
    </row>
    <row r="40">
      <c r="E40" s="110"/>
      <c r="G40" s="113" t="s">
        <v>2116</v>
      </c>
      <c r="H40" s="112" t="s">
        <v>3258</v>
      </c>
    </row>
    <row r="41">
      <c r="E41" s="110"/>
      <c r="G41" s="107" t="s">
        <v>1233</v>
      </c>
    </row>
    <row r="42">
      <c r="E42" s="110"/>
      <c r="G42" s="107" t="s">
        <v>2329</v>
      </c>
    </row>
    <row r="43">
      <c r="E43" s="110"/>
      <c r="G43" s="107" t="s">
        <v>2262</v>
      </c>
    </row>
    <row r="44">
      <c r="E44" s="110"/>
      <c r="G44" s="107" t="s">
        <v>2436</v>
      </c>
    </row>
    <row r="45">
      <c r="E45" s="110"/>
      <c r="G45" s="107" t="s">
        <v>2458</v>
      </c>
    </row>
    <row r="46">
      <c r="E46" s="110"/>
      <c r="G46" s="111" t="s">
        <v>2464</v>
      </c>
      <c r="H46" s="112" t="s">
        <v>3258</v>
      </c>
    </row>
    <row r="47">
      <c r="E47" s="110"/>
      <c r="G47" s="107" t="s">
        <v>2468</v>
      </c>
    </row>
    <row r="48">
      <c r="E48" s="110"/>
      <c r="G48" s="111" t="s">
        <v>2439</v>
      </c>
      <c r="H48" s="112" t="s">
        <v>3258</v>
      </c>
    </row>
    <row r="49">
      <c r="E49" s="110"/>
      <c r="G49" s="107" t="s">
        <v>2751</v>
      </c>
    </row>
    <row r="50">
      <c r="E50" s="110"/>
      <c r="G50" s="107" t="s">
        <v>2442</v>
      </c>
    </row>
    <row r="51">
      <c r="E51" s="110"/>
      <c r="G51" s="107" t="s">
        <v>3013</v>
      </c>
    </row>
    <row r="52">
      <c r="E52" s="110"/>
      <c r="G52" s="107" t="s">
        <v>982</v>
      </c>
    </row>
    <row r="53">
      <c r="E53" s="110"/>
      <c r="G53" s="107" t="s">
        <v>896</v>
      </c>
    </row>
    <row r="54">
      <c r="C54" s="107" t="s">
        <v>2318</v>
      </c>
      <c r="E54" s="110"/>
      <c r="G54" s="107" t="s">
        <v>468</v>
      </c>
    </row>
    <row r="55">
      <c r="C55" s="107" t="s">
        <v>2488</v>
      </c>
      <c r="E55" s="110"/>
      <c r="G55" s="107" t="s">
        <v>3264</v>
      </c>
    </row>
    <row r="56">
      <c r="C56" s="107" t="s">
        <v>2552</v>
      </c>
      <c r="E56" s="110"/>
      <c r="G56" s="107" t="s">
        <v>471</v>
      </c>
    </row>
    <row r="57">
      <c r="C57" s="107" t="s">
        <v>2494</v>
      </c>
      <c r="E57" s="110"/>
      <c r="G57" s="107" t="s">
        <v>3265</v>
      </c>
    </row>
    <row r="58">
      <c r="E58" s="110"/>
      <c r="G58" s="107" t="s">
        <v>916</v>
      </c>
    </row>
    <row r="59">
      <c r="E59" s="110"/>
      <c r="G59" s="107" t="s">
        <v>1142</v>
      </c>
    </row>
    <row r="60">
      <c r="E60" s="110"/>
      <c r="G60" s="107" t="s">
        <v>3115</v>
      </c>
    </row>
    <row r="61">
      <c r="E61" s="110"/>
      <c r="G61" s="107" t="s">
        <v>1089</v>
      </c>
    </row>
    <row r="62">
      <c r="E62" s="110"/>
      <c r="G62" s="111" t="s">
        <v>2942</v>
      </c>
      <c r="H62" s="112" t="s">
        <v>3258</v>
      </c>
    </row>
    <row r="63">
      <c r="E63" s="110"/>
      <c r="G63" s="111" t="s">
        <v>2851</v>
      </c>
      <c r="H63" s="112" t="s">
        <v>3258</v>
      </c>
    </row>
    <row r="64">
      <c r="E64" s="110"/>
      <c r="G64" s="107" t="s">
        <v>997</v>
      </c>
    </row>
    <row r="65">
      <c r="E65" s="110"/>
      <c r="G65" s="107" t="s">
        <v>1369</v>
      </c>
    </row>
    <row r="66">
      <c r="E66" s="110"/>
      <c r="G66" s="107" t="s">
        <v>2616</v>
      </c>
    </row>
    <row r="67">
      <c r="E67" s="110"/>
      <c r="G67" s="107" t="s">
        <v>1734</v>
      </c>
    </row>
    <row r="68">
      <c r="E68" s="110"/>
      <c r="G68" s="107" t="s">
        <v>1488</v>
      </c>
    </row>
    <row r="69">
      <c r="E69" s="110"/>
      <c r="G69" s="107" t="s">
        <v>2925</v>
      </c>
    </row>
    <row r="70">
      <c r="E70" s="110"/>
      <c r="G70" s="113" t="s">
        <v>2025</v>
      </c>
      <c r="H70" s="112" t="s">
        <v>3258</v>
      </c>
    </row>
    <row r="71">
      <c r="E71" s="110"/>
      <c r="G71" s="113" t="s">
        <v>1101</v>
      </c>
      <c r="H71" s="112" t="s">
        <v>3258</v>
      </c>
    </row>
    <row r="72">
      <c r="E72" s="110"/>
      <c r="G72" s="107" t="s">
        <v>1229</v>
      </c>
    </row>
    <row r="73">
      <c r="E73" s="110"/>
      <c r="G73" s="111" t="s">
        <v>676</v>
      </c>
      <c r="H73" s="112" t="s">
        <v>3258</v>
      </c>
    </row>
    <row r="74">
      <c r="E74" s="110"/>
      <c r="G74" s="111" t="s">
        <v>2381</v>
      </c>
      <c r="H74" s="112" t="s">
        <v>3258</v>
      </c>
    </row>
    <row r="75">
      <c r="C75" s="107" t="s">
        <v>721</v>
      </c>
      <c r="E75" s="110"/>
      <c r="G75" s="113" t="s">
        <v>172</v>
      </c>
      <c r="H75" s="112" t="s">
        <v>3258</v>
      </c>
    </row>
    <row r="76">
      <c r="E76" s="110"/>
      <c r="G76" s="113" t="s">
        <v>3266</v>
      </c>
      <c r="H76" s="112" t="s">
        <v>3258</v>
      </c>
    </row>
    <row r="77">
      <c r="E77" s="110"/>
      <c r="G77" s="107" t="s">
        <v>2243</v>
      </c>
    </row>
    <row r="78">
      <c r="E78" s="110"/>
      <c r="G78" s="107" t="s">
        <v>3018</v>
      </c>
    </row>
    <row r="79">
      <c r="E79" s="110"/>
      <c r="G79" s="107" t="s">
        <v>2006</v>
      </c>
      <c r="H79" s="112" t="s">
        <v>3258</v>
      </c>
    </row>
    <row r="80">
      <c r="E80" s="110"/>
      <c r="G80" s="107" t="s">
        <v>697</v>
      </c>
      <c r="H80" s="112" t="s">
        <v>3258</v>
      </c>
    </row>
    <row r="81">
      <c r="E81" s="110"/>
      <c r="G81" s="107" t="s">
        <v>613</v>
      </c>
    </row>
    <row r="82">
      <c r="C82" s="107" t="s">
        <v>737</v>
      </c>
      <c r="E82" s="110"/>
      <c r="G82" s="107" t="s">
        <v>182</v>
      </c>
    </row>
    <row r="83">
      <c r="E83" s="110"/>
      <c r="G83" s="107" t="s">
        <v>2511</v>
      </c>
    </row>
    <row r="84">
      <c r="E84" s="110"/>
      <c r="G84" s="107" t="s">
        <v>2779</v>
      </c>
    </row>
    <row r="85">
      <c r="E85" s="110"/>
      <c r="G85" s="107" t="s">
        <v>1263</v>
      </c>
    </row>
    <row r="86">
      <c r="E86" s="110"/>
      <c r="G86" s="107" t="s">
        <v>628</v>
      </c>
    </row>
    <row r="87">
      <c r="E87" s="110"/>
      <c r="G87" s="107" t="s">
        <v>3024</v>
      </c>
    </row>
    <row r="88">
      <c r="E88" s="110"/>
      <c r="G88" s="111" t="s">
        <v>3267</v>
      </c>
      <c r="H88" s="112" t="s">
        <v>3258</v>
      </c>
    </row>
    <row r="89">
      <c r="E89" s="110"/>
      <c r="G89" s="111" t="s">
        <v>1680</v>
      </c>
      <c r="H89" s="112" t="s">
        <v>3258</v>
      </c>
    </row>
    <row r="90">
      <c r="C90" s="107" t="s">
        <v>1359</v>
      </c>
      <c r="E90" s="110"/>
      <c r="G90" s="107" t="s">
        <v>271</v>
      </c>
    </row>
    <row r="91">
      <c r="E91" s="110"/>
      <c r="G91" s="107" t="s">
        <v>3087</v>
      </c>
    </row>
    <row r="92">
      <c r="E92" s="110"/>
      <c r="G92" s="114" t="s">
        <v>3268</v>
      </c>
      <c r="H92" s="112" t="s">
        <v>3269</v>
      </c>
    </row>
    <row r="93">
      <c r="E93" s="110"/>
      <c r="G93" s="107" t="s">
        <v>3112</v>
      </c>
    </row>
    <row r="94">
      <c r="E94" s="110"/>
      <c r="G94" s="107" t="s">
        <v>3092</v>
      </c>
    </row>
    <row r="95">
      <c r="E95" s="110"/>
      <c r="G95" s="107" t="s">
        <v>2375</v>
      </c>
    </row>
    <row r="96">
      <c r="E96" s="110"/>
      <c r="G96" s="107" t="s">
        <v>2337</v>
      </c>
    </row>
    <row r="97">
      <c r="E97" s="110"/>
      <c r="G97" s="113" t="s">
        <v>2576</v>
      </c>
      <c r="H97" s="112" t="s">
        <v>3270</v>
      </c>
    </row>
    <row r="98">
      <c r="E98" s="110"/>
      <c r="G98" s="113" t="s">
        <v>768</v>
      </c>
      <c r="H98" s="112" t="s">
        <v>3258</v>
      </c>
    </row>
    <row r="99">
      <c r="E99" s="110"/>
      <c r="G99" s="113" t="s">
        <v>2839</v>
      </c>
      <c r="H99" s="112" t="s">
        <v>3271</v>
      </c>
    </row>
    <row r="100">
      <c r="E100" s="110"/>
      <c r="G100" s="107" t="s">
        <v>2814</v>
      </c>
    </row>
    <row r="101">
      <c r="E101" s="110"/>
      <c r="G101" s="114" t="s">
        <v>3272</v>
      </c>
      <c r="H101" s="112" t="s">
        <v>3269</v>
      </c>
    </row>
    <row r="102">
      <c r="E102" s="110"/>
      <c r="G102" s="107" t="s">
        <v>2707</v>
      </c>
    </row>
    <row r="103">
      <c r="E103" s="110"/>
      <c r="G103" s="107" t="s">
        <v>2712</v>
      </c>
    </row>
    <row r="104">
      <c r="E104" s="110"/>
      <c r="G104" s="107" t="s">
        <v>2141</v>
      </c>
    </row>
    <row r="105">
      <c r="E105" s="110"/>
      <c r="G105" s="107" t="s">
        <v>2657</v>
      </c>
    </row>
    <row r="106">
      <c r="E106" s="110"/>
      <c r="G106" s="113" t="s">
        <v>1795</v>
      </c>
      <c r="H106" s="112" t="s">
        <v>3258</v>
      </c>
    </row>
    <row r="107">
      <c r="E107" s="110"/>
      <c r="G107" s="107" t="s">
        <v>1297</v>
      </c>
    </row>
    <row r="108">
      <c r="C108" s="107" t="s">
        <v>2971</v>
      </c>
      <c r="E108" s="110"/>
      <c r="G108" s="107" t="s">
        <v>555</v>
      </c>
    </row>
    <row r="109">
      <c r="E109" s="110"/>
      <c r="G109" s="107" t="s">
        <v>2472</v>
      </c>
    </row>
    <row r="110">
      <c r="E110" s="110"/>
      <c r="G110" s="107" t="s">
        <v>2763</v>
      </c>
    </row>
    <row r="111">
      <c r="E111" s="110"/>
      <c r="G111" s="107" t="s">
        <v>1650</v>
      </c>
    </row>
    <row r="112">
      <c r="E112" s="110"/>
      <c r="G112" s="113" t="s">
        <v>1072</v>
      </c>
      <c r="H112" s="112" t="s">
        <v>3258</v>
      </c>
    </row>
    <row r="113">
      <c r="E113" s="110"/>
      <c r="G113" s="107" t="s">
        <v>2534</v>
      </c>
    </row>
    <row r="114">
      <c r="E114" s="110"/>
      <c r="G114" s="107" t="s">
        <v>2843</v>
      </c>
    </row>
    <row r="115">
      <c r="E115" s="110"/>
      <c r="G115" s="111" t="s">
        <v>1318</v>
      </c>
      <c r="H115" s="112" t="s">
        <v>3273</v>
      </c>
    </row>
    <row r="116">
      <c r="C116" s="107" t="s">
        <v>3077</v>
      </c>
      <c r="E116" s="110"/>
      <c r="G116" s="111" t="s">
        <v>583</v>
      </c>
      <c r="H116" s="112" t="s">
        <v>3273</v>
      </c>
    </row>
    <row r="117">
      <c r="E117" s="110"/>
      <c r="G117" s="107" t="s">
        <v>2858</v>
      </c>
    </row>
    <row r="118">
      <c r="E118" s="110"/>
      <c r="G118" s="107" t="s">
        <v>1225</v>
      </c>
    </row>
    <row r="119">
      <c r="E119" s="110"/>
      <c r="G119" s="107" t="s">
        <v>865</v>
      </c>
    </row>
    <row r="120">
      <c r="E120" s="110"/>
      <c r="G120" s="107" t="s">
        <v>2293</v>
      </c>
    </row>
    <row r="121">
      <c r="E121" s="110"/>
      <c r="G121" s="107" t="s">
        <v>1433</v>
      </c>
    </row>
    <row r="122">
      <c r="E122" s="110"/>
      <c r="G122" s="107" t="s">
        <v>1068</v>
      </c>
    </row>
    <row r="123">
      <c r="E123" s="110"/>
      <c r="G123" s="114" t="s">
        <v>1106</v>
      </c>
      <c r="H123" s="112" t="s">
        <v>3273</v>
      </c>
    </row>
    <row r="124">
      <c r="E124" s="110"/>
      <c r="G124" s="114" t="s">
        <v>3006</v>
      </c>
      <c r="H124" s="112" t="s">
        <v>3273</v>
      </c>
    </row>
    <row r="125">
      <c r="E125" s="110"/>
      <c r="G125" s="114" t="s">
        <v>1256</v>
      </c>
      <c r="H125" s="112" t="s">
        <v>3273</v>
      </c>
    </row>
    <row r="126">
      <c r="E126" s="110"/>
      <c r="G126" s="107" t="s">
        <v>749</v>
      </c>
    </row>
    <row r="127">
      <c r="E127" s="110"/>
      <c r="G127" s="107" t="s">
        <v>2742</v>
      </c>
    </row>
    <row r="128">
      <c r="E128" s="110"/>
      <c r="G128" s="107" t="s">
        <v>1309</v>
      </c>
    </row>
    <row r="129">
      <c r="C129" s="107" t="s">
        <v>1822</v>
      </c>
      <c r="E129" s="110"/>
      <c r="G129" s="107" t="s">
        <v>356</v>
      </c>
    </row>
    <row r="130">
      <c r="E130" s="110"/>
      <c r="G130" s="107" t="s">
        <v>1661</v>
      </c>
    </row>
    <row r="131">
      <c r="E131" s="110"/>
      <c r="G131" s="107" t="s">
        <v>1653</v>
      </c>
    </row>
    <row r="132">
      <c r="E132" s="110"/>
      <c r="G132" s="107" t="s">
        <v>2782</v>
      </c>
    </row>
    <row r="133">
      <c r="E133" s="110"/>
      <c r="G133" s="107" t="s">
        <v>1042</v>
      </c>
    </row>
    <row r="134">
      <c r="C134" s="107" t="s">
        <v>2580</v>
      </c>
      <c r="E134" s="110"/>
      <c r="G134" s="107" t="s">
        <v>493</v>
      </c>
    </row>
    <row r="135">
      <c r="E135" s="110"/>
      <c r="G135" s="107" t="s">
        <v>1832</v>
      </c>
    </row>
    <row r="136">
      <c r="E136" s="110"/>
      <c r="G136" s="112" t="s">
        <v>3274</v>
      </c>
    </row>
    <row r="137">
      <c r="E137" s="110"/>
      <c r="G137" s="107" t="s">
        <v>2769</v>
      </c>
    </row>
    <row r="138">
      <c r="E138" s="110"/>
      <c r="G138" s="107" t="s">
        <v>967</v>
      </c>
    </row>
    <row r="139">
      <c r="E139" s="110"/>
      <c r="G139" s="107" t="s">
        <v>977</v>
      </c>
    </row>
    <row r="140">
      <c r="E140" s="110"/>
      <c r="G140" s="107" t="s">
        <v>2506</v>
      </c>
    </row>
    <row r="141">
      <c r="E141" s="110"/>
      <c r="G141" s="107" t="s">
        <v>955</v>
      </c>
    </row>
    <row r="142">
      <c r="E142" s="110"/>
      <c r="G142" s="107" t="s">
        <v>2862</v>
      </c>
    </row>
    <row r="143">
      <c r="E143" s="110"/>
      <c r="G143" s="107" t="s">
        <v>2112</v>
      </c>
    </row>
    <row r="144">
      <c r="E144" s="110"/>
      <c r="G144" s="107" t="s">
        <v>2954</v>
      </c>
    </row>
    <row r="145">
      <c r="E145" s="110"/>
      <c r="G145" s="107" t="s">
        <v>667</v>
      </c>
    </row>
    <row r="146">
      <c r="E146" s="110"/>
      <c r="G146" s="113" t="s">
        <v>1530</v>
      </c>
      <c r="H146" s="112" t="s">
        <v>3275</v>
      </c>
    </row>
    <row r="147">
      <c r="E147" s="110"/>
      <c r="G147" s="113" t="s">
        <v>1403</v>
      </c>
      <c r="H147" s="112" t="s">
        <v>3275</v>
      </c>
    </row>
    <row r="148">
      <c r="C148" s="107" t="s">
        <v>1491</v>
      </c>
      <c r="E148" s="110"/>
      <c r="G148" s="107" t="s">
        <v>291</v>
      </c>
    </row>
    <row r="149">
      <c r="E149" s="110"/>
      <c r="G149" s="107" t="s">
        <v>985</v>
      </c>
    </row>
    <row r="150">
      <c r="E150" s="110"/>
      <c r="G150" s="107" t="s">
        <v>610</v>
      </c>
    </row>
    <row r="151">
      <c r="E151" s="110"/>
      <c r="G151" s="107" t="s">
        <v>2691</v>
      </c>
    </row>
    <row r="152">
      <c r="E152" s="110"/>
      <c r="G152" s="107" t="s">
        <v>2897</v>
      </c>
    </row>
    <row r="153">
      <c r="C153" s="107" t="s">
        <v>1157</v>
      </c>
      <c r="E153" s="110"/>
      <c r="G153" s="107" t="s">
        <v>243</v>
      </c>
    </row>
    <row r="154">
      <c r="E154" s="110"/>
      <c r="G154" s="107" t="s">
        <v>3126</v>
      </c>
    </row>
    <row r="155">
      <c r="E155" s="110"/>
      <c r="G155" s="107" t="s">
        <v>2144</v>
      </c>
    </row>
    <row r="156">
      <c r="E156" s="110"/>
      <c r="G156" s="107" t="s">
        <v>2528</v>
      </c>
    </row>
    <row r="157">
      <c r="E157" s="110"/>
      <c r="G157" s="107" t="s">
        <v>1236</v>
      </c>
    </row>
    <row r="158">
      <c r="C158" s="107" t="s">
        <v>2359</v>
      </c>
      <c r="E158" s="110"/>
      <c r="G158" s="111" t="s">
        <v>3276</v>
      </c>
    </row>
    <row r="159">
      <c r="C159" s="107" t="s">
        <v>759</v>
      </c>
      <c r="E159" s="110"/>
      <c r="G159" s="111" t="s">
        <v>3277</v>
      </c>
    </row>
    <row r="160">
      <c r="E160" s="110"/>
      <c r="G160" s="107" t="s">
        <v>3080</v>
      </c>
    </row>
    <row r="161">
      <c r="E161" s="110"/>
      <c r="G161" s="111" t="s">
        <v>188</v>
      </c>
    </row>
    <row r="162">
      <c r="E162" s="110"/>
      <c r="G162" s="111" t="s">
        <v>3278</v>
      </c>
    </row>
    <row r="163">
      <c r="E163" s="110"/>
      <c r="G163" s="111" t="s">
        <v>3279</v>
      </c>
    </row>
    <row r="164">
      <c r="E164" s="110"/>
      <c r="G164" s="111" t="s">
        <v>3280</v>
      </c>
    </row>
    <row r="165">
      <c r="E165" s="110"/>
      <c r="G165" s="111" t="s">
        <v>3281</v>
      </c>
    </row>
    <row r="166">
      <c r="E166" s="110"/>
      <c r="G166" s="107" t="s">
        <v>962</v>
      </c>
    </row>
    <row r="167">
      <c r="C167" s="107" t="s">
        <v>2622</v>
      </c>
      <c r="E167" s="110"/>
      <c r="G167" s="111" t="s">
        <v>506</v>
      </c>
    </row>
    <row r="168">
      <c r="E168" s="110"/>
      <c r="G168" s="107" t="s">
        <v>2701</v>
      </c>
    </row>
    <row r="169">
      <c r="E169" s="110"/>
      <c r="G169" s="107" t="s">
        <v>793</v>
      </c>
    </row>
    <row r="170">
      <c r="E170" s="110"/>
      <c r="G170" s="107" t="s">
        <v>1013</v>
      </c>
    </row>
    <row r="171">
      <c r="E171" s="110"/>
      <c r="G171" s="107" t="s">
        <v>1366</v>
      </c>
    </row>
    <row r="172">
      <c r="E172" s="110"/>
      <c r="G172" s="107" t="s">
        <v>2190</v>
      </c>
    </row>
    <row r="173">
      <c r="E173" s="110"/>
      <c r="G173" s="107" t="s">
        <v>774</v>
      </c>
    </row>
    <row r="174">
      <c r="E174" s="110"/>
      <c r="G174" s="107" t="s">
        <v>1955</v>
      </c>
    </row>
    <row r="175">
      <c r="E175" s="110"/>
      <c r="G175" s="107" t="s">
        <v>2185</v>
      </c>
    </row>
    <row r="176">
      <c r="E176" s="110"/>
      <c r="G176" s="107" t="s">
        <v>2199</v>
      </c>
      <c r="H176" s="112" t="s">
        <v>3258</v>
      </c>
    </row>
    <row r="177">
      <c r="E177" s="110"/>
      <c r="G177" s="113" t="s">
        <v>2177</v>
      </c>
      <c r="H177" s="112" t="s">
        <v>3282</v>
      </c>
    </row>
    <row r="178">
      <c r="E178" s="110"/>
      <c r="G178" s="107" t="s">
        <v>2918</v>
      </c>
    </row>
    <row r="179">
      <c r="E179" s="110"/>
      <c r="G179" s="107" t="s">
        <v>1724</v>
      </c>
    </row>
    <row r="180">
      <c r="C180" s="107" t="s">
        <v>2870</v>
      </c>
      <c r="E180" s="110"/>
      <c r="G180" s="113" t="s">
        <v>94</v>
      </c>
      <c r="H180" s="112" t="s">
        <v>3258</v>
      </c>
    </row>
    <row r="181">
      <c r="E181" s="110"/>
      <c r="G181" s="113" t="s">
        <v>1378</v>
      </c>
      <c r="H181" s="112" t="s">
        <v>3258</v>
      </c>
    </row>
    <row r="182">
      <c r="E182" s="110"/>
      <c r="G182" s="113" t="s">
        <v>2555</v>
      </c>
      <c r="H182" s="112" t="s">
        <v>3258</v>
      </c>
    </row>
    <row r="183">
      <c r="E183" s="110"/>
      <c r="G183" s="113" t="s">
        <v>360</v>
      </c>
      <c r="H183" s="112" t="s">
        <v>3258</v>
      </c>
    </row>
    <row r="184">
      <c r="E184" s="110"/>
      <c r="G184" s="113" t="s">
        <v>1765</v>
      </c>
      <c r="H184" s="112" t="s">
        <v>3258</v>
      </c>
    </row>
    <row r="185">
      <c r="E185" s="110"/>
      <c r="G185" s="113" t="s">
        <v>2341</v>
      </c>
      <c r="H185" s="112" t="s">
        <v>3258</v>
      </c>
    </row>
    <row r="186">
      <c r="E186" s="110"/>
      <c r="G186" s="113" t="s">
        <v>1414</v>
      </c>
      <c r="H186" s="112" t="s">
        <v>3258</v>
      </c>
    </row>
    <row r="187">
      <c r="E187" s="110"/>
      <c r="G187" s="113" t="s">
        <v>3138</v>
      </c>
      <c r="H187" s="112" t="s">
        <v>3258</v>
      </c>
    </row>
    <row r="188">
      <c r="E188" s="110"/>
      <c r="G188" s="113" t="s">
        <v>2347</v>
      </c>
      <c r="H188" s="112" t="s">
        <v>3258</v>
      </c>
    </row>
    <row r="189">
      <c r="E189" s="110"/>
      <c r="G189" s="113" t="s">
        <v>2933</v>
      </c>
      <c r="H189" s="112" t="s">
        <v>3258</v>
      </c>
    </row>
    <row r="190">
      <c r="C190" s="107" t="s">
        <v>2877</v>
      </c>
      <c r="E190" s="110"/>
      <c r="G190" s="113" t="s">
        <v>525</v>
      </c>
      <c r="H190" s="112" t="s">
        <v>3258</v>
      </c>
    </row>
    <row r="191">
      <c r="A191" s="107" t="str">
        <f>IFERROR(__xludf.DUMMYFUNCTION("UNIQUE('Ações'!B2:B1001)"),"3tentos")</f>
        <v>3tentos</v>
      </c>
      <c r="C191" s="107" t="s">
        <v>85</v>
      </c>
      <c r="E191" s="110" t="str">
        <f>IFERROR(__xludf.DUMMYFUNCTION("UNIQUE('Ações'!G2:G1001)"),"Doação de alimentos não perecíveis para a unidade de tratamento a pacientes da Covid-19")</f>
        <v>Doação de alimentos não perecíveis para a unidade de tratamento a pacientes da Covid-19</v>
      </c>
      <c r="G191" s="113" t="s">
        <v>89</v>
      </c>
      <c r="H191" s="112" t="s">
        <v>3258</v>
      </c>
    </row>
    <row r="192">
      <c r="A192" s="107" t="str">
        <f>IFERROR(__xludf.DUMMYFUNCTION("""COMPUTED_VALUE"""),"Agrária ")</f>
        <v>Agrária </v>
      </c>
      <c r="E192" s="110" t="str">
        <f>IFERROR(__xludf.DUMMYFUNCTION("""COMPUTED_VALUE"""),"Academia do campo")</f>
        <v>Academia do campo</v>
      </c>
      <c r="G192" s="113" t="s">
        <v>2352</v>
      </c>
      <c r="H192" s="112" t="s">
        <v>3258</v>
      </c>
    </row>
    <row r="193">
      <c r="A193" s="107" t="str">
        <f>IFERROR(__xludf.DUMMYFUNCTION("""COMPUTED_VALUE"""),"Agrogalaxy")</f>
        <v>Agrogalaxy</v>
      </c>
      <c r="E193" s="110" t="str">
        <f>IFERROR(__xludf.DUMMYFUNCTION("""COMPUTED_VALUE"""),"Produzir+")</f>
        <v>Produzir+</v>
      </c>
      <c r="G193" s="113" t="s">
        <v>3283</v>
      </c>
      <c r="H193" s="112" t="s">
        <v>3258</v>
      </c>
    </row>
    <row r="194">
      <c r="A194" s="107" t="str">
        <f>IFERROR(__xludf.DUMMYFUNCTION("""COMPUTED_VALUE"""),"Amaggi ")</f>
        <v>Amaggi </v>
      </c>
      <c r="C194" s="107" t="s">
        <v>503</v>
      </c>
      <c r="E194" s="110" t="str">
        <f>IFERROR(__xludf.DUMMYFUNCTION("""COMPUTED_VALUE"""),"Primeiro as Damas")</f>
        <v>Primeiro as Damas</v>
      </c>
      <c r="G194" s="113" t="s">
        <v>1362</v>
      </c>
      <c r="H194" s="112" t="s">
        <v>3258</v>
      </c>
    </row>
    <row r="195">
      <c r="A195" s="107" t="str">
        <f>IFERROR(__xludf.DUMMYFUNCTION("""COMPUTED_VALUE"""),"Belagrícola")</f>
        <v>Belagrícola</v>
      </c>
      <c r="E195" s="110" t="str">
        <f>IFERROR(__xludf.DUMMYFUNCTION("""COMPUTED_VALUE"""),"1° Semana dos Biológicos")</f>
        <v>1° Semana dos Biológicos</v>
      </c>
      <c r="G195" s="113" t="s">
        <v>3284</v>
      </c>
      <c r="H195" s="112" t="s">
        <v>3258</v>
      </c>
    </row>
    <row r="196">
      <c r="A196" s="107" t="str">
        <f>IFERROR(__xludf.DUMMYFUNCTION("""COMPUTED_VALUE"""),"Brasilagro")</f>
        <v>Brasilagro</v>
      </c>
      <c r="E196" s="110" t="str">
        <f>IFERROR(__xludf.DUMMYFUNCTION("""COMPUTED_VALUE"""),"Selo Carbono 3tentos")</f>
        <v>Selo Carbono 3tentos</v>
      </c>
      <c r="G196" s="113" t="s">
        <v>3285</v>
      </c>
      <c r="H196" s="112" t="s">
        <v>3258</v>
      </c>
    </row>
    <row r="197">
      <c r="A197" s="107" t="str">
        <f>IFERROR(__xludf.DUMMYFUNCTION("""COMPUTED_VALUE"""),"Bunge")</f>
        <v>Bunge</v>
      </c>
      <c r="C197" s="107" t="s">
        <v>435</v>
      </c>
      <c r="E197" s="110" t="str">
        <f>IFERROR(__xludf.DUMMYFUNCTION("""COMPUTED_VALUE"""),"Elas no Agro")</f>
        <v>Elas no Agro</v>
      </c>
      <c r="G197" s="113" t="s">
        <v>140</v>
      </c>
      <c r="H197" s="112" t="s">
        <v>3258</v>
      </c>
    </row>
    <row r="198">
      <c r="A198" s="107" t="str">
        <f>IFERROR(__xludf.DUMMYFUNCTION("""COMPUTED_VALUE"""),"C.Vale")</f>
        <v>C.Vale</v>
      </c>
      <c r="E198" s="110" t="str">
        <f>IFERROR(__xludf.DUMMYFUNCTION("""COMPUTED_VALUE"""),"Energia Limpa ")</f>
        <v>Energia Limpa </v>
      </c>
      <c r="G198" s="113" t="s">
        <v>756</v>
      </c>
      <c r="H198" s="112" t="s">
        <v>3258</v>
      </c>
    </row>
    <row r="199">
      <c r="A199" s="107" t="str">
        <f>IFERROR(__xludf.DUMMYFUNCTION("""COMPUTED_VALUE"""),"Capal")</f>
        <v>Capal</v>
      </c>
      <c r="E199" s="110" t="str">
        <f>IFERROR(__xludf.DUMMYFUNCTION("""COMPUTED_VALUE"""),"Doação de cestas básicas para APAE")</f>
        <v>Doação de cestas básicas para APAE</v>
      </c>
      <c r="G199" s="107" t="s">
        <v>2083</v>
      </c>
    </row>
    <row r="200">
      <c r="A200" s="107" t="str">
        <f>IFERROR(__xludf.DUMMYFUNCTION("""COMPUTED_VALUE"""),"Caramuru Alimentos")</f>
        <v>Caramuru Alimentos</v>
      </c>
      <c r="E200" s="110" t="str">
        <f>IFERROR(__xludf.DUMMYFUNCTION("""COMPUTED_VALUE"""),"Doação de kits de alimentos para Associação de Combate ao Câncer de Santa Bárbara")</f>
        <v>Doação de kits de alimentos para Associação de Combate ao Câncer de Santa Bárbara</v>
      </c>
      <c r="G200" s="107" t="s">
        <v>1713</v>
      </c>
    </row>
    <row r="201">
      <c r="A201" s="107" t="str">
        <f>IFERROR(__xludf.DUMMYFUNCTION("""COMPUTED_VALUE"""),"Cooperalfa")</f>
        <v>Cooperalfa</v>
      </c>
      <c r="C201" s="107" t="s">
        <v>490</v>
      </c>
      <c r="E201" s="110" t="str">
        <f>IFERROR(__xludf.DUMMYFUNCTION("""COMPUTED_VALUE"""),"Doação de cestas básicas ")</f>
        <v>Doação de cestas básicas </v>
      </c>
      <c r="G201" s="107" t="s">
        <v>146</v>
      </c>
    </row>
    <row r="202">
      <c r="A202" s="107" t="str">
        <f>IFERROR(__xludf.DUMMYFUNCTION("""COMPUTED_VALUE"""),"Cargill")</f>
        <v>Cargill</v>
      </c>
      <c r="E202" s="110" t="str">
        <f>IFERROR(__xludf.DUMMYFUNCTION("""COMPUTED_VALUE"""),"Matriz Energética")</f>
        <v>Matriz Energética</v>
      </c>
      <c r="G202" s="107" t="s">
        <v>1552</v>
      </c>
    </row>
    <row r="203">
      <c r="A203" s="107" t="str">
        <f>IFERROR(__xludf.DUMMYFUNCTION("""COMPUTED_VALUE"""),"Castrolanda")</f>
        <v>Castrolanda</v>
      </c>
      <c r="E203" s="110" t="str">
        <f>IFERROR(__xludf.DUMMYFUNCTION("""COMPUTED_VALUE"""),"Doação farinha ")</f>
        <v>Doação farinha </v>
      </c>
      <c r="G203" s="107" t="s">
        <v>1718</v>
      </c>
    </row>
    <row r="204">
      <c r="A204" s="107" t="str">
        <f>IFERROR(__xludf.DUMMYFUNCTION("""COMPUTED_VALUE"""),"Citrosuco")</f>
        <v>Citrosuco</v>
      </c>
      <c r="E204" s="110" t="str">
        <f>IFERROR(__xludf.DUMMYFUNCTION("""COMPUTED_VALUE"""),"Programa Agrária de Gestão Rural - PAGR")</f>
        <v>Programa Agrária de Gestão Rural - PAGR</v>
      </c>
      <c r="G204" s="107" t="s">
        <v>1672</v>
      </c>
    </row>
    <row r="205">
      <c r="A205" s="107" t="str">
        <f>IFERROR(__xludf.DUMMYFUNCTION("""COMPUTED_VALUE"""),"CJ Selecta")</f>
        <v>CJ Selecta</v>
      </c>
      <c r="C205" s="107" t="s">
        <v>1944</v>
      </c>
      <c r="E205" s="110" t="str">
        <f>IFERROR(__xludf.DUMMYFUNCTION("""COMPUTED_VALUE"""),"Bioinsumos")</f>
        <v>Bioinsumos</v>
      </c>
      <c r="G205" s="107" t="s">
        <v>381</v>
      </c>
    </row>
    <row r="206">
      <c r="A206" s="107" t="str">
        <f>IFERROR(__xludf.DUMMYFUNCTION("""COMPUTED_VALUE"""),"Coagril")</f>
        <v>Coagril</v>
      </c>
      <c r="E206" s="110" t="str">
        <f>IFERROR(__xludf.DUMMYFUNCTION("""COMPUTED_VALUE"""),"Programa Agraria de Integraçao Solidária")</f>
        <v>Programa Agraria de Integraçao Solidária</v>
      </c>
      <c r="G206" s="107" t="s">
        <v>1567</v>
      </c>
    </row>
    <row r="207">
      <c r="A207" s="107" t="str">
        <f>IFERROR(__xludf.DUMMYFUNCTION("""COMPUTED_VALUE"""),"Coasul")</f>
        <v>Coasul</v>
      </c>
      <c r="E207" s="110" t="str">
        <f>IFERROR(__xludf.DUMMYFUNCTION("""COMPUTED_VALUE"""),"Brasil sem Frestas")</f>
        <v>Brasil sem Frestas</v>
      </c>
      <c r="G207" s="107" t="s">
        <v>2321</v>
      </c>
    </row>
    <row r="208">
      <c r="A208" s="107" t="str">
        <f>IFERROR(__xludf.DUMMYFUNCTION("""COMPUTED_VALUE"""),"Cocamar")</f>
        <v>Cocamar</v>
      </c>
      <c r="E208" s="110" t="str">
        <f>IFERROR(__xludf.DUMMYFUNCTION("""COMPUTED_VALUE"""),"Dia de Cooperar")</f>
        <v>Dia de Cooperar</v>
      </c>
      <c r="G208" s="107" t="s">
        <v>2259</v>
      </c>
    </row>
    <row r="209">
      <c r="A209" s="107" t="str">
        <f>IFERROR(__xludf.DUMMYFUNCTION("""COMPUTED_VALUE"""),"Cocari ")</f>
        <v>Cocari </v>
      </c>
      <c r="C209" s="107" t="s">
        <v>994</v>
      </c>
      <c r="E209" s="110" t="str">
        <f>IFERROR(__xludf.DUMMYFUNCTION("""COMPUTED_VALUE"""),"Prosolo")</f>
        <v>Prosolo</v>
      </c>
      <c r="G209" s="107" t="s">
        <v>216</v>
      </c>
    </row>
    <row r="210">
      <c r="A210" s="107" t="str">
        <f>IFERROR(__xludf.DUMMYFUNCTION("""COMPUTED_VALUE"""),"COFCO Internacional ")</f>
        <v>COFCO Internacional </v>
      </c>
      <c r="E210" s="110" t="str">
        <f>IFERROR(__xludf.DUMMYFUNCTION("""COMPUTED_VALUE"""),"Projeto Fundiário da Agrária")</f>
        <v>Projeto Fundiário da Agrária</v>
      </c>
      <c r="G210" s="107" t="s">
        <v>1579</v>
      </c>
    </row>
    <row r="211">
      <c r="A211" s="107" t="str">
        <f>IFERROR(__xludf.DUMMYFUNCTION("""COMPUTED_VALUE"""),"Comigo")</f>
        <v>Comigo</v>
      </c>
      <c r="E211" s="110" t="str">
        <f>IFERROR(__xludf.DUMMYFUNCTION("""COMPUTED_VALUE"""),"Reflorestamento para energia - Agrária")</f>
        <v>Reflorestamento para energia - Agrária</v>
      </c>
      <c r="G211" s="107" t="s">
        <v>881</v>
      </c>
    </row>
    <row r="212">
      <c r="A212" s="107" t="str">
        <f>IFERROR(__xludf.DUMMYFUNCTION("""COMPUTED_VALUE"""),"Coopavel ")</f>
        <v>Coopavel </v>
      </c>
      <c r="C212" s="107" t="s">
        <v>487</v>
      </c>
      <c r="E212" s="110" t="str">
        <f>IFERROR(__xludf.DUMMYFUNCTION("""COMPUTED_VALUE"""),"Programa de nutrição social")</f>
        <v>Programa de nutrição social</v>
      </c>
      <c r="G212" s="107" t="s">
        <v>165</v>
      </c>
    </row>
    <row r="213">
      <c r="A213" s="107" t="str">
        <f>IFERROR(__xludf.DUMMYFUNCTION("""COMPUTED_VALUE"""),"Coopercitrus")</f>
        <v>Coopercitrus</v>
      </c>
      <c r="E213" s="110" t="str">
        <f>IFERROR(__xludf.DUMMYFUNCTION("""COMPUTED_VALUE"""),"Energia de fontes renováveis no mercado livre")</f>
        <v>Energia de fontes renováveis no mercado livre</v>
      </c>
      <c r="G213" s="107" t="s">
        <v>2203</v>
      </c>
    </row>
    <row r="214">
      <c r="A214" s="107" t="str">
        <f>IFERROR(__xludf.DUMMYFUNCTION("""COMPUTED_VALUE"""),"Cooxupé")</f>
        <v>Cooxupé</v>
      </c>
      <c r="E214" s="110" t="str">
        <f>IFERROR(__xludf.DUMMYFUNCTION("""COMPUTED_VALUE"""),"Doação de sementes")</f>
        <v>Doação de sementes</v>
      </c>
      <c r="G214" s="111" t="s">
        <v>2174</v>
      </c>
      <c r="H214" s="112" t="s">
        <v>3258</v>
      </c>
    </row>
    <row r="215">
      <c r="A215" s="107" t="str">
        <f>IFERROR(__xludf.DUMMYFUNCTION("""COMPUTED_VALUE"""),"Copasul")</f>
        <v>Copasul</v>
      </c>
      <c r="E215" s="110" t="str">
        <f>IFERROR(__xludf.DUMMYFUNCTION("""COMPUTED_VALUE"""),"Política de Crédito")</f>
        <v>Política de Crédito</v>
      </c>
      <c r="G215" s="107" t="s">
        <v>2366</v>
      </c>
    </row>
    <row r="216">
      <c r="A216" s="107" t="str">
        <f>IFERROR(__xludf.DUMMYFUNCTION("""COMPUTED_VALUE"""),"Copercampos")</f>
        <v>Copercampos</v>
      </c>
      <c r="E216" s="110" t="str">
        <f>IFERROR(__xludf.DUMMYFUNCTION("""COMPUTED_VALUE"""),"Ourotec (Grão de Ouro)")</f>
        <v>Ourotec (Grão de Ouro)</v>
      </c>
      <c r="G216" s="107" t="s">
        <v>2181</v>
      </c>
    </row>
    <row r="217">
      <c r="A217" s="107" t="str">
        <f>IFERROR(__xludf.DUMMYFUNCTION("""COMPUTED_VALUE"""),"Copercana ")</f>
        <v>Copercana </v>
      </c>
      <c r="E217" s="110" t="str">
        <f>IFERROR(__xludf.DUMMYFUNCTION("""COMPUTED_VALUE"""),"PTAs verdes")</f>
        <v>PTAs verdes</v>
      </c>
      <c r="G217" s="107" t="s">
        <v>2170</v>
      </c>
    </row>
    <row r="218">
      <c r="A218" s="107" t="str">
        <f>IFERROR(__xludf.DUMMYFUNCTION("""COMPUTED_VALUE"""),"Coperdia")</f>
        <v>Coperdia</v>
      </c>
      <c r="C218" s="107" t="s">
        <v>2884</v>
      </c>
      <c r="E218" s="110" t="str">
        <f>IFERROR(__xludf.DUMMYFUNCTION("""COMPUTED_VALUE"""),"GreenGalaxy")</f>
        <v>GreenGalaxy</v>
      </c>
      <c r="G218" s="111" t="s">
        <v>529</v>
      </c>
      <c r="H218" s="112" t="s">
        <v>3258</v>
      </c>
    </row>
    <row r="219">
      <c r="A219" s="107" t="str">
        <f>IFERROR(__xludf.DUMMYFUNCTION("""COMPUTED_VALUE"""),"Cotrijal ")</f>
        <v>Cotrijal </v>
      </c>
      <c r="C219" s="107" t="s">
        <v>2913</v>
      </c>
      <c r="E219" s="110" t="str">
        <f>IFERROR(__xludf.DUMMYFUNCTION("""COMPUTED_VALUE"""),"Um Por Todos e Todos Contra a COVID-19")</f>
        <v>Um Por Todos e Todos Contra a COVID-19</v>
      </c>
      <c r="G219" s="107" t="s">
        <v>542</v>
      </c>
    </row>
    <row r="220">
      <c r="A220" s="107" t="str">
        <f>IFERROR(__xludf.DUMMYFUNCTION("""COMPUTED_VALUE"""),"Cotrisal")</f>
        <v>Cotrisal</v>
      </c>
      <c r="C220" s="107" t="s">
        <v>2894</v>
      </c>
      <c r="E220" s="110" t="str">
        <f>IFERROR(__xludf.DUMMYFUNCTION("""COMPUTED_VALUE"""),"Desenvolvimento PEAA")</f>
        <v>Desenvolvimento PEAA</v>
      </c>
      <c r="G220" s="107" t="s">
        <v>537</v>
      </c>
    </row>
    <row r="221">
      <c r="A221" s="107" t="str">
        <f>IFERROR(__xludf.DUMMYFUNCTION("""COMPUTED_VALUE"""),"DSM ")</f>
        <v>DSM </v>
      </c>
      <c r="E221" s="110" t="str">
        <f>IFERROR(__xludf.DUMMYFUNCTION("""COMPUTED_VALUE"""),"Earth Innovation Institute e Balikpapan Challenge")</f>
        <v>Earth Innovation Institute e Balikpapan Challenge</v>
      </c>
      <c r="G221" s="107" t="s">
        <v>2194</v>
      </c>
    </row>
    <row r="222">
      <c r="A222" s="107" t="str">
        <f>IFERROR(__xludf.DUMMYFUNCTION("""COMPUTED_VALUE"""),"EISA Interagrícola")</f>
        <v>EISA Interagrícola</v>
      </c>
      <c r="E222" s="110" t="str">
        <f>IFERROR(__xludf.DUMMYFUNCTION("""COMPUTED_VALUE"""),"Ação Emergencial")</f>
        <v>Ação Emergencial</v>
      </c>
      <c r="G222" s="107" t="s">
        <v>2227</v>
      </c>
    </row>
    <row r="223">
      <c r="A223" s="107" t="str">
        <f>IFERROR(__xludf.DUMMYFUNCTION("""COMPUTED_VALUE"""),"Embrapa")</f>
        <v>Embrapa</v>
      </c>
      <c r="C223" s="107" t="s">
        <v>2606</v>
      </c>
      <c r="E223" s="110" t="str">
        <f>IFERROR(__xludf.DUMMYFUNCTION("""COMPUTED_VALUE"""),"AMAGGI Regenera")</f>
        <v>AMAGGI Regenera</v>
      </c>
      <c r="G223" s="113" t="s">
        <v>2957</v>
      </c>
      <c r="H223" s="112" t="s">
        <v>3258</v>
      </c>
    </row>
    <row r="224">
      <c r="A224" s="107" t="str">
        <f>IFERROR(__xludf.DUMMYFUNCTION("""COMPUTED_VALUE"""),"Fiagril ")</f>
        <v>Fiagril </v>
      </c>
      <c r="E224" s="110" t="str">
        <f>IFERROR(__xludf.DUMMYFUNCTION("""COMPUTED_VALUE"""),"Caminhos da semente")</f>
        <v>Caminhos da semente</v>
      </c>
      <c r="G224" s="113" t="s">
        <v>1825</v>
      </c>
      <c r="H224" s="112" t="s">
        <v>3258</v>
      </c>
    </row>
    <row r="225">
      <c r="A225" s="107" t="str">
        <f>IFERROR(__xludf.DUMMYFUNCTION("""COMPUTED_VALUE"""),"Frísia")</f>
        <v>Frísia</v>
      </c>
      <c r="E225" s="110" t="str">
        <f>IFERROR(__xludf.DUMMYFUNCTION("""COMPUTED_VALUE"""),"Programa ORIGINS")</f>
        <v>Programa ORIGINS</v>
      </c>
      <c r="G225" s="107" t="s">
        <v>2397</v>
      </c>
    </row>
    <row r="226">
      <c r="A226" s="107" t="str">
        <f>IFERROR(__xludf.DUMMYFUNCTION("""COMPUTED_VALUE"""),"Granja Faria")</f>
        <v>Granja Faria</v>
      </c>
      <c r="E226" s="110" t="str">
        <f>IFERROR(__xludf.DUMMYFUNCTION("""COMPUTED_VALUE"""),"Projeto de Monitoramento de Biodiversidade")</f>
        <v>Projeto de Monitoramento de Biodiversidade</v>
      </c>
      <c r="G226" s="107" t="s">
        <v>2049</v>
      </c>
    </row>
    <row r="227">
      <c r="A227" s="107" t="str">
        <f>IFERROR(__xludf.DUMMYFUNCTION("""COMPUTED_VALUE"""),"Grupo Montesanto Tavares")</f>
        <v>Grupo Montesanto Tavares</v>
      </c>
      <c r="E227" s="110" t="str">
        <f>IFERROR(__xludf.DUMMYFUNCTION("""COMPUTED_VALUE"""),"Parceria com a The Nature Conservancy (TNC)")</f>
        <v>Parceria com a The Nature Conservancy (TNC)</v>
      </c>
      <c r="G227" s="107" t="s">
        <v>2062</v>
      </c>
    </row>
    <row r="228">
      <c r="A228" s="107" t="str">
        <f>IFERROR(__xludf.DUMMYFUNCTION("""COMPUTED_VALUE"""),"Integrada")</f>
        <v>Integrada</v>
      </c>
      <c r="E228" s="110" t="str">
        <f>IFERROR(__xludf.DUMMYFUNCTION("""COMPUTED_VALUE"""),"Cultivando o Futuro")</f>
        <v>Cultivando o Futuro</v>
      </c>
      <c r="G228" s="107" t="s">
        <v>2074</v>
      </c>
    </row>
    <row r="229">
      <c r="A229" s="107" t="str">
        <f>IFERROR(__xludf.DUMMYFUNCTION("""COMPUTED_VALUE"""),"Lar Cooperativa ")</f>
        <v>Lar Cooperativa </v>
      </c>
      <c r="E229" s="110" t="str">
        <f>IFERROR(__xludf.DUMMYFUNCTION("""COMPUTED_VALUE"""),"Originar 2.0 ")</f>
        <v>Originar 2.0 </v>
      </c>
      <c r="G229" s="107" t="s">
        <v>1848</v>
      </c>
      <c r="H229" s="112" t="s">
        <v>3286</v>
      </c>
    </row>
    <row r="230">
      <c r="A230" s="107" t="str">
        <f>IFERROR(__xludf.DUMMYFUNCTION("""COMPUTED_VALUE"""),"Lavoro")</f>
        <v>Lavoro</v>
      </c>
      <c r="E230" s="110" t="str">
        <f>IFERROR(__xludf.DUMMYFUNCTION("""COMPUTED_VALUE"""),"Energia")</f>
        <v>Energia</v>
      </c>
      <c r="G230" s="107" t="s">
        <v>1840</v>
      </c>
    </row>
    <row r="231">
      <c r="A231" s="107" t="str">
        <f>IFERROR(__xludf.DUMMYFUNCTION("""COMPUTED_VALUE"""),"Louis Dreyfus Company (LDC)")</f>
        <v>Louis Dreyfus Company (LDC)</v>
      </c>
      <c r="E231" s="110" t="str">
        <f>IFERROR(__xludf.DUMMYFUNCTION("""COMPUTED_VALUE"""),"Reflorestamento para energia")</f>
        <v>Reflorestamento para energia</v>
      </c>
      <c r="G231" s="113" t="s">
        <v>1858</v>
      </c>
      <c r="H231" s="112" t="s">
        <v>3282</v>
      </c>
    </row>
    <row r="232">
      <c r="A232" s="107" t="str">
        <f>IFERROR(__xludf.DUMMYFUNCTION("""COMPUTED_VALUE"""),"SLC AGRICOLA")</f>
        <v>SLC AGRICOLA</v>
      </c>
      <c r="E232" s="110" t="str">
        <f>IFERROR(__xludf.DUMMYFUNCTION("""COMPUTED_VALUE"""),"Estratégia MT - Produzir, Conservar e Incluir (PCI)")</f>
        <v>Estratégia MT - Produzir, Conservar e Incluir (PCI)</v>
      </c>
      <c r="G232" s="107" t="s">
        <v>1872</v>
      </c>
    </row>
    <row r="233">
      <c r="A233" s="107" t="str">
        <f>IFERROR(__xludf.DUMMYFUNCTION("""COMPUTED_VALUE"""),"Alvoar")</f>
        <v>Alvoar</v>
      </c>
      <c r="E233" s="110" t="str">
        <f>IFERROR(__xludf.DUMMYFUNCTION("""COMPUTED_VALUE"""),"Fazenda-Modelo de Agricultura Regenerativa")</f>
        <v>Fazenda-Modelo de Agricultura Regenerativa</v>
      </c>
      <c r="G233" s="107" t="s">
        <v>735</v>
      </c>
    </row>
    <row r="234">
      <c r="A234" s="107" t="str">
        <f>IFERROR(__xludf.DUMMYFUNCTION("""COMPUTED_VALUE"""),"Ambev")</f>
        <v>Ambev</v>
      </c>
      <c r="E234" s="110" t="str">
        <f>IFERROR(__xludf.DUMMYFUNCTION("""COMPUTED_VALUE"""),"Viva Mais ")</f>
        <v>Viva Mais </v>
      </c>
      <c r="G234" s="113" t="s">
        <v>2524</v>
      </c>
      <c r="H234" s="112" t="s">
        <v>3282</v>
      </c>
    </row>
    <row r="235">
      <c r="A235" s="107" t="str">
        <f>IFERROR(__xludf.DUMMYFUNCTION("""COMPUTED_VALUE"""),"Barra Mansa Alimentos")</f>
        <v>Barra Mansa Alimentos</v>
      </c>
      <c r="E235" s="110" t="str">
        <f>IFERROR(__xludf.DUMMYFUNCTION("""COMPUTED_VALUE"""),"Natal Solidário - Belagrícola")</f>
        <v>Natal Solidário - Belagrícola</v>
      </c>
      <c r="G235" s="107" t="s">
        <v>2854</v>
      </c>
    </row>
    <row r="236">
      <c r="A236" s="107" t="str">
        <f>IFERROR(__xludf.DUMMYFUNCTION("""COMPUTED_VALUE"""),"Bem Brasil Alimentos")</f>
        <v>Bem Brasil Alimentos</v>
      </c>
      <c r="E236" s="110" t="str">
        <f>IFERROR(__xludf.DUMMYFUNCTION("""COMPUTED_VALUE"""),"Energia Solar em Minas Gerais")</f>
        <v>Energia Solar em Minas Gerais</v>
      </c>
      <c r="G236" s="107" t="s">
        <v>3097</v>
      </c>
    </row>
    <row r="237">
      <c r="A237" s="107" t="str">
        <f>IFERROR(__xludf.DUMMYFUNCTION("""COMPUTED_VALUE"""),"Brasal")</f>
        <v>Brasal</v>
      </c>
      <c r="C237" s="107" t="s">
        <v>1829</v>
      </c>
      <c r="E237" s="110" t="str">
        <f>IFERROR(__xludf.DUMMYFUNCTION("""COMPUTED_VALUE"""),"Energias Renováveis ")</f>
        <v>Energias Renováveis </v>
      </c>
      <c r="G237" s="107" t="s">
        <v>3287</v>
      </c>
    </row>
    <row r="238">
      <c r="A238" s="107" t="str">
        <f>IFERROR(__xludf.DUMMYFUNCTION("""COMPUTED_VALUE"""),"BRF")</f>
        <v>BRF</v>
      </c>
      <c r="E238" s="110" t="str">
        <f>IFERROR(__xludf.DUMMYFUNCTION("""COMPUTED_VALUE"""),"Projeto Técnico Agrícola")</f>
        <v>Projeto Técnico Agrícola</v>
      </c>
      <c r="G238" s="113" t="s">
        <v>3288</v>
      </c>
      <c r="H238" s="112" t="s">
        <v>3258</v>
      </c>
    </row>
    <row r="239">
      <c r="A239" s="107" t="str">
        <f>IFERROR(__xludf.DUMMYFUNCTION("""COMPUTED_VALUE"""),"Cacique ")</f>
        <v>Cacique </v>
      </c>
      <c r="E239" s="110" t="str">
        <f>IFERROR(__xludf.DUMMYFUNCTION("""COMPUTED_VALUE"""),"Projeto Agricultura Regenerativa Solubio")</f>
        <v>Projeto Agricultura Regenerativa Solubio</v>
      </c>
      <c r="G239" s="113" t="s">
        <v>3289</v>
      </c>
      <c r="H239" s="112" t="s">
        <v>3258</v>
      </c>
    </row>
    <row r="240">
      <c r="A240" s="107" t="str">
        <f>IFERROR(__xludf.DUMMYFUNCTION("""COMPUTED_VALUE"""),"Camil")</f>
        <v>Camil</v>
      </c>
      <c r="E240" s="110" t="str">
        <f>IFERROR(__xludf.DUMMYFUNCTION("""COMPUTED_VALUE"""),"Projeto Agricultura Regenerativa Bunge-Orígeo")</f>
        <v>Projeto Agricultura Regenerativa Bunge-Orígeo</v>
      </c>
      <c r="G240" s="107" t="s">
        <v>2033</v>
      </c>
    </row>
    <row r="241">
      <c r="A241" s="107" t="str">
        <f>IFERROR(__xludf.DUMMYFUNCTION("""COMPUTED_VALUE"""),"Coca-Cola ANDINA Brasil")</f>
        <v>Coca-Cola ANDINA Brasil</v>
      </c>
      <c r="E241" s="110" t="str">
        <f>IFERROR(__xludf.DUMMYFUNCTION("""COMPUTED_VALUE"""),"Conscientização dos colaboradores")</f>
        <v>Conscientização dos colaboradores</v>
      </c>
      <c r="G241" s="113" t="s">
        <v>3290</v>
      </c>
      <c r="H241" s="112" t="s">
        <v>3291</v>
      </c>
    </row>
    <row r="242">
      <c r="A242" s="107" t="str">
        <f>IFERROR(__xludf.DUMMYFUNCTION("""COMPUTED_VALUE"""),"Coca-Cola FEMSA")</f>
        <v>Coca-Cola FEMSA</v>
      </c>
      <c r="E242" s="110" t="str">
        <f>IFERROR(__xludf.DUMMYFUNCTION("""COMPUTED_VALUE"""),"Doação de alimentos ")</f>
        <v>Doação de alimentos </v>
      </c>
      <c r="G242" s="113" t="s">
        <v>3292</v>
      </c>
      <c r="H242" s="112" t="s">
        <v>3291</v>
      </c>
    </row>
    <row r="243">
      <c r="A243" s="107" t="str">
        <f>IFERROR(__xludf.DUMMYFUNCTION("""COMPUTED_VALUE"""),"Copacol")</f>
        <v>Copacol</v>
      </c>
      <c r="E243" s="110" t="str">
        <f>IFERROR(__xludf.DUMMYFUNCTION("""COMPUTED_VALUE"""),"Projeto Cultivar")</f>
        <v>Projeto Cultivar</v>
      </c>
      <c r="G243" s="113" t="s">
        <v>3293</v>
      </c>
      <c r="H243" s="112" t="s">
        <v>3291</v>
      </c>
    </row>
    <row r="244">
      <c r="A244" s="107" t="str">
        <f>IFERROR(__xludf.DUMMYFUNCTION("""COMPUTED_VALUE"""),"Cotrisel")</f>
        <v>Cotrisel</v>
      </c>
      <c r="E244" s="110" t="str">
        <f>IFERROR(__xludf.DUMMYFUNCTION("""COMPUTED_VALUE"""),"Projeto Sexta Verde")</f>
        <v>Projeto Sexta Verde</v>
      </c>
      <c r="G244" s="107" t="s">
        <v>2415</v>
      </c>
    </row>
    <row r="245">
      <c r="A245" s="107" t="str">
        <f>IFERROR(__xludf.DUMMYFUNCTION("""COMPUTED_VALUE"""),"Dori")</f>
        <v>Dori</v>
      </c>
      <c r="E245" s="110" t="str">
        <f>IFERROR(__xludf.DUMMYFUNCTION("""COMPUTED_VALUE"""),"Projeto Expoente")</f>
        <v>Projeto Expoente</v>
      </c>
      <c r="G245" s="107" t="s">
        <v>2362</v>
      </c>
    </row>
    <row r="246">
      <c r="A246" s="115" t="str">
        <f>IFERROR(__xludf.DUMMYFUNCTION("""COMPUTED_VALUE"""),"Frigol")</f>
        <v>Frigol</v>
      </c>
      <c r="E246" s="110" t="str">
        <f>IFERROR(__xludf.DUMMYFUNCTION("""COMPUTED_VALUE"""),"Doação de produtos Bunge para combate à fome no Brasil")</f>
        <v>Doação de produtos Bunge para combate à fome no Brasil</v>
      </c>
      <c r="G246" s="107" t="s">
        <v>1425</v>
      </c>
    </row>
    <row r="247">
      <c r="A247" s="107" t="str">
        <f>IFERROR(__xludf.DUMMYFUNCTION("""COMPUTED_VALUE"""),"Frimesa")</f>
        <v>Frimesa</v>
      </c>
      <c r="E247" s="110" t="str">
        <f>IFERROR(__xludf.DUMMYFUNCTION("""COMPUTED_VALUE"""),"Agricultura Regenerativa")</f>
        <v>Agricultura Regenerativa</v>
      </c>
      <c r="G247" s="107" t="s">
        <v>2053</v>
      </c>
    </row>
    <row r="248">
      <c r="A248" s="107" t="str">
        <f>IFERROR(__xludf.DUMMYFUNCTION("""COMPUTED_VALUE"""),"Gomes da Costa")</f>
        <v>Gomes da Costa</v>
      </c>
      <c r="E248" s="110" t="str">
        <f>IFERROR(__xludf.DUMMYFUNCTION("""COMPUTED_VALUE"""),"Projeto Semêa")</f>
        <v>Projeto Semêa</v>
      </c>
      <c r="G248" s="107" t="s">
        <v>1843</v>
      </c>
    </row>
    <row r="249">
      <c r="A249" s="107" t="str">
        <f>IFERROR(__xludf.DUMMYFUNCTION("""COMPUTED_VALUE"""),"Grupo 3Corações")</f>
        <v>Grupo 3Corações</v>
      </c>
      <c r="E249" s="116" t="str">
        <f>IFERROR(__xludf.DUMMYFUNCTION("""COMPUTED_VALUE"""),"Programa Agroideal.org")</f>
        <v>Programa Agroideal.org</v>
      </c>
      <c r="G249" s="107" t="s">
        <v>1836</v>
      </c>
    </row>
    <row r="250">
      <c r="A250" s="107" t="str">
        <f>IFERROR(__xludf.DUMMYFUNCTION("""COMPUTED_VALUE"""),"GTFoods")</f>
        <v>GTFoods</v>
      </c>
      <c r="E250" s="110" t="str">
        <f>IFERROR(__xludf.DUMMYFUNCTION("""COMPUTED_VALUE"""),"Agroapp Bunge")</f>
        <v>Agroapp Bunge</v>
      </c>
      <c r="G250" s="107" t="s">
        <v>1165</v>
      </c>
    </row>
    <row r="251">
      <c r="A251" s="107" t="str">
        <f>IFERROR(__xludf.DUMMYFUNCTION("""COMPUTED_VALUE"""),"J. Macêdo")</f>
        <v>J. Macêdo</v>
      </c>
      <c r="E251" s="110" t="str">
        <f>IFERROR(__xludf.DUMMYFUNCTION("""COMPUTED_VALUE"""),"Financiamento de longo prazo")</f>
        <v>Financiamento de longo prazo</v>
      </c>
      <c r="G251" s="111" t="s">
        <v>1868</v>
      </c>
      <c r="H251" s="112" t="s">
        <v>3258</v>
      </c>
    </row>
    <row r="252">
      <c r="A252" s="107" t="str">
        <f>IFERROR(__xludf.DUMMYFUNCTION("""COMPUTED_VALUE"""),"JBS")</f>
        <v>JBS</v>
      </c>
      <c r="E252" s="110" t="str">
        <f>IFERROR(__xludf.DUMMYFUNCTION("""COMPUTED_VALUE"""),"Parceria Sustentável Bunge")</f>
        <v>Parceria Sustentável Bunge</v>
      </c>
      <c r="G252" s="113" t="s">
        <v>1790</v>
      </c>
      <c r="H252" s="112" t="s">
        <v>3258</v>
      </c>
    </row>
    <row r="253">
      <c r="A253" s="107" t="str">
        <f>IFERROR(__xludf.DUMMYFUNCTION("""COMPUTED_VALUE"""),"M. Dias Branco")</f>
        <v>M. Dias Branco</v>
      </c>
      <c r="E253" s="110" t="str">
        <f>IFERROR(__xludf.DUMMYFUNCTION("""COMPUTED_VALUE"""),"Programa Soja de Baixo Carbono")</f>
        <v>Programa Soja de Baixo Carbono</v>
      </c>
      <c r="G253" s="113" t="s">
        <v>1892</v>
      </c>
      <c r="H253" s="112" t="s">
        <v>3258</v>
      </c>
    </row>
    <row r="254">
      <c r="A254" s="107" t="str">
        <f>IFERROR(__xludf.DUMMYFUNCTION("""COMPUTED_VALUE"""),"Marfrig")</f>
        <v>Marfrig</v>
      </c>
      <c r="E254" s="110" t="str">
        <f>IFERROR(__xludf.DUMMYFUNCTION("""COMPUTED_VALUE"""),"Incentivo ao bom uso da água, solo e ar")</f>
        <v>Incentivo ao bom uso da água, solo e ar</v>
      </c>
      <c r="G254" s="113" t="s">
        <v>2991</v>
      </c>
      <c r="H254" s="112" t="s">
        <v>3258</v>
      </c>
    </row>
    <row r="255">
      <c r="A255" s="107" t="str">
        <f>IFERROR(__xludf.DUMMYFUNCTION("""COMPUTED_VALUE"""),"Minerva Foods")</f>
        <v>Minerva Foods</v>
      </c>
      <c r="E255" s="110" t="str">
        <f>IFERROR(__xludf.DUMMYFUNCTION("""COMPUTED_VALUE"""),"Economia de Energia")</f>
        <v>Economia de Energia</v>
      </c>
      <c r="G255" s="107" t="s">
        <v>1785</v>
      </c>
    </row>
    <row r="256">
      <c r="A256" s="107" t="str">
        <f>IFERROR(__xludf.DUMMYFUNCTION("""COMPUTED_VALUE"""),"Nestlé")</f>
        <v>Nestlé</v>
      </c>
      <c r="E256" s="110" t="str">
        <f>IFERROR(__xludf.DUMMYFUNCTION("""COMPUTED_VALUE"""),"Matas Ciliares")</f>
        <v>Matas Ciliares</v>
      </c>
      <c r="G256" s="107" t="s">
        <v>2549</v>
      </c>
    </row>
    <row r="257">
      <c r="A257" s="107" t="str">
        <f>IFERROR(__xludf.DUMMYFUNCTION("""COMPUTED_VALUE"""),"Pamplona")</f>
        <v>Pamplona</v>
      </c>
      <c r="E257" s="110" t="str">
        <f>IFERROR(__xludf.DUMMYFUNCTION("""COMPUTED_VALUE"""),"Reflorestamento ")</f>
        <v>Reflorestamento </v>
      </c>
      <c r="G257" s="107" t="s">
        <v>654</v>
      </c>
    </row>
    <row r="258">
      <c r="A258" s="107" t="str">
        <f>IFERROR(__xludf.DUMMYFUNCTION("""COMPUTED_VALUE"""),"Pastificio Selmi")</f>
        <v>Pastificio Selmi</v>
      </c>
      <c r="E258" s="110" t="str">
        <f>IFERROR(__xludf.DUMMYFUNCTION("""COMPUTED_VALUE"""),"Programa Capal de Gestão Rural (PCGR)")</f>
        <v>Programa Capal de Gestão Rural (PCGR)</v>
      </c>
      <c r="G258" s="107" t="s">
        <v>1749</v>
      </c>
    </row>
    <row r="259">
      <c r="A259" s="107" t="str">
        <f>IFERROR(__xludf.DUMMYFUNCTION("""COMPUTED_VALUE"""),"Piracanjuba")</f>
        <v>Piracanjuba</v>
      </c>
      <c r="E259" s="110" t="str">
        <f>IFERROR(__xludf.DUMMYFUNCTION("""COMPUTED_VALUE"""),"Horta para crianças")</f>
        <v>Horta para crianças</v>
      </c>
      <c r="G259" s="107" t="s">
        <v>2057</v>
      </c>
    </row>
    <row r="260">
      <c r="A260" s="107" t="str">
        <f>IFERROR(__xludf.DUMMYFUNCTION("""COMPUTED_VALUE"""),"São Salvador Alimentos")</f>
        <v>São Salvador Alimentos</v>
      </c>
      <c r="E260" s="110" t="str">
        <f>IFERROR(__xludf.DUMMYFUNCTION("""COMPUTED_VALUE"""),"Arrecadação de alimentos ")</f>
        <v>Arrecadação de alimentos </v>
      </c>
      <c r="G260" s="107" t="s">
        <v>2251</v>
      </c>
    </row>
    <row r="261">
      <c r="A261" s="107" t="str">
        <f>IFERROR(__xludf.DUMMYFUNCTION("""COMPUTED_VALUE"""),"Solar Bebidas")</f>
        <v>Solar Bebidas</v>
      </c>
      <c r="E261" s="110" t="str">
        <f>IFERROR(__xludf.DUMMYFUNCTION("""COMPUTED_VALUE"""),"Projeto Cooperar")</f>
        <v>Projeto Cooperar</v>
      </c>
      <c r="G261" s="107" t="s">
        <v>1160</v>
      </c>
    </row>
    <row r="262">
      <c r="A262" s="107" t="str">
        <f>IFERROR(__xludf.DUMMYFUNCTION("""COMPUTED_VALUE"""),"Assaí")</f>
        <v>Assaí</v>
      </c>
      <c r="E262" s="110" t="str">
        <f>IFERROR(__xludf.DUMMYFUNCTION("""COMPUTED_VALUE"""),"Programa de Boas Práticas Agrícolas do Café (PBPA)")</f>
        <v>Programa de Boas Práticas Agrícolas do Café (PBPA)</v>
      </c>
      <c r="G262" s="107" t="s">
        <v>1753</v>
      </c>
    </row>
    <row r="263">
      <c r="A263" s="107" t="str">
        <f>IFERROR(__xludf.DUMMYFUNCTION("""COMPUTED_VALUE"""),"GPA")</f>
        <v>GPA</v>
      </c>
      <c r="E263" s="110" t="str">
        <f>IFERROR(__xludf.DUMMYFUNCTION("""COMPUTED_VALUE"""),"Arrecadação de alimentos")</f>
        <v>Arrecadação de alimentos</v>
      </c>
      <c r="G263" s="107" t="s">
        <v>2725</v>
      </c>
    </row>
    <row r="264">
      <c r="A264" s="107" t="str">
        <f>IFERROR(__xludf.DUMMYFUNCTION("""COMPUTED_VALUE"""),"Bemol")</f>
        <v>Bemol</v>
      </c>
      <c r="E264" s="110" t="str">
        <f>IFERROR(__xludf.DUMMYFUNCTION("""COMPUTED_VALUE"""),"Arrecadação de leite")</f>
        <v>Arrecadação de leite</v>
      </c>
      <c r="G264" s="107" t="s">
        <v>1757</v>
      </c>
    </row>
    <row r="265">
      <c r="A265" s="107" t="str">
        <f>IFERROR(__xludf.DUMMYFUNCTION("""COMPUTED_VALUE"""),"Cencosud")</f>
        <v>Cencosud</v>
      </c>
      <c r="E265" s="110" t="str">
        <f>IFERROR(__xludf.DUMMYFUNCTION("""COMPUTED_VALUE"""),"Energik")</f>
        <v>Energik</v>
      </c>
      <c r="G265" s="107" t="s">
        <v>1862</v>
      </c>
    </row>
    <row r="266">
      <c r="A266" s="107" t="str">
        <f>IFERROR(__xludf.DUMMYFUNCTION("""COMPUTED_VALUE"""),"Condor Super Center")</f>
        <v>Condor Super Center</v>
      </c>
      <c r="E266" s="110" t="str">
        <f>IFERROR(__xludf.DUMMYFUNCTION("""COMPUTED_VALUE"""),"Arrecadação de leite ")</f>
        <v>Arrecadação de leite </v>
      </c>
      <c r="G266" s="107" t="s">
        <v>2625</v>
      </c>
    </row>
    <row r="267">
      <c r="A267" s="107" t="str">
        <f>IFERROR(__xludf.DUMMYFUNCTION("""COMPUTED_VALUE"""),"Dimed")</f>
        <v>Dimed</v>
      </c>
      <c r="E267" s="110" t="str">
        <f>IFERROR(__xludf.DUMMYFUNCTION("""COMPUTED_VALUE"""),"Programa Liderança Feminina no Agronegócio")</f>
        <v>Programa Liderança Feminina no Agronegócio</v>
      </c>
      <c r="G267" s="107" t="s">
        <v>1021</v>
      </c>
    </row>
    <row r="268">
      <c r="A268" s="107" t="str">
        <f>IFERROR(__xludf.DUMMYFUNCTION("""COMPUTED_VALUE"""),"DPaschoal")</f>
        <v>DPaschoal</v>
      </c>
      <c r="E268" s="110" t="str">
        <f>IFERROR(__xludf.DUMMYFUNCTION("""COMPUTED_VALUE"""),"Contribuição para Sociedade")</f>
        <v>Contribuição para Sociedade</v>
      </c>
      <c r="G268" s="107" t="s">
        <v>3120</v>
      </c>
    </row>
    <row r="269">
      <c r="A269" s="107" t="str">
        <f>IFERROR(__xludf.DUMMYFUNCTION("""COMPUTED_VALUE"""),"Drogarias DPSP")</f>
        <v>Drogarias DPSP</v>
      </c>
      <c r="C269" s="107" t="s">
        <v>1183</v>
      </c>
      <c r="E269" s="110" t="str">
        <f>IFERROR(__xludf.DUMMYFUNCTION("""COMPUTED_VALUE"""),"Energia ")</f>
        <v>Energia </v>
      </c>
      <c r="G269" s="107" t="s">
        <v>252</v>
      </c>
    </row>
    <row r="270">
      <c r="A270" s="107" t="str">
        <f>IFERROR(__xludf.DUMMYFUNCTION("""COMPUTED_VALUE"""),"Farmácias Pague Menos")</f>
        <v>Farmácias Pague Menos</v>
      </c>
      <c r="C270" s="107" t="s">
        <v>2160</v>
      </c>
      <c r="E270" s="110" t="str">
        <f>IFERROR(__xludf.DUMMYFUNCTION("""COMPUTED_VALUE"""),"Doações de alimentos - Caramuru ")</f>
        <v>Doações de alimentos - Caramuru </v>
      </c>
      <c r="G270" s="107" t="s">
        <v>424</v>
      </c>
    </row>
    <row r="271">
      <c r="A271" s="107" t="str">
        <f>IFERROR(__xludf.DUMMYFUNCTION("""COMPUTED_VALUE"""),"Gazin")</f>
        <v>Gazin</v>
      </c>
      <c r="E271" s="110" t="str">
        <f>IFERROR(__xludf.DUMMYFUNCTION("""COMPUTED_VALUE"""),"Dia Internacional do Cooperativismo, Dia “C”")</f>
        <v>Dia Internacional do Cooperativismo, Dia “C”</v>
      </c>
      <c r="G271" s="107" t="s">
        <v>2157</v>
      </c>
    </row>
    <row r="272">
      <c r="A272" s="107" t="str">
        <f>IFERROR(__xludf.DUMMYFUNCTION("""COMPUTED_VALUE"""),"Grupo Carrefour Brasil")</f>
        <v>Grupo Carrefour Brasil</v>
      </c>
      <c r="E272" s="110" t="str">
        <f>IFERROR(__xludf.DUMMYFUNCTION("""COMPUTED_VALUE"""),"Encadeamento Produtivo")</f>
        <v>Encadeamento Produtivo</v>
      </c>
      <c r="G272" s="107" t="s">
        <v>1276</v>
      </c>
    </row>
    <row r="273">
      <c r="A273" s="107" t="str">
        <f>IFERROR(__xludf.DUMMYFUNCTION("""COMPUTED_VALUE"""),"Grupo Dia ")</f>
        <v>Grupo Dia </v>
      </c>
      <c r="E273" s="110" t="str">
        <f>IFERROR(__xludf.DUMMYFUNCTION("""COMPUTED_VALUE"""),"Programa Sustentar")</f>
        <v>Programa Sustentar</v>
      </c>
      <c r="G273" s="107" t="s">
        <v>1201</v>
      </c>
    </row>
    <row r="274">
      <c r="A274" s="107" t="str">
        <f>IFERROR(__xludf.DUMMYFUNCTION("""COMPUTED_VALUE"""),"Grupo Koch")</f>
        <v>Grupo Koch</v>
      </c>
      <c r="E274" s="110" t="str">
        <f>IFERROR(__xludf.DUMMYFUNCTION("""COMPUTED_VALUE"""),"Doação de alimentos")</f>
        <v>Doação de alimentos</v>
      </c>
      <c r="G274" s="107" t="s">
        <v>724</v>
      </c>
    </row>
    <row r="275">
      <c r="A275" s="107" t="str">
        <f>IFERROR(__xludf.DUMMYFUNCTION("""COMPUTED_VALUE"""),"Grupo Líder")</f>
        <v>Grupo Líder</v>
      </c>
      <c r="C275" s="107" t="s">
        <v>378</v>
      </c>
      <c r="E275" s="110" t="str">
        <f>IFERROR(__xludf.DUMMYFUNCTION("""COMPUTED_VALUE"""),"Doação de alimentos Liza, Maria e Tarantella")</f>
        <v>Doação de alimentos Liza, Maria e Tarantella</v>
      </c>
      <c r="G275" s="107" t="s">
        <v>131</v>
      </c>
    </row>
    <row r="276">
      <c r="A276" s="107" t="str">
        <f>IFERROR(__xludf.DUMMYFUNCTION("""COMPUTED_VALUE"""),"Lojas Quero Quero")</f>
        <v>Lojas Quero Quero</v>
      </c>
      <c r="E276" s="110" t="str">
        <f>IFERROR(__xludf.DUMMYFUNCTION("""COMPUTED_VALUE"""),"Doação para o Mesa Brasil Sesc")</f>
        <v>Doação para o Mesa Brasil Sesc</v>
      </c>
      <c r="G276" s="107" t="s">
        <v>860</v>
      </c>
    </row>
    <row r="277">
      <c r="A277" s="107" t="str">
        <f>IFERROR(__xludf.DUMMYFUNCTION("""COMPUTED_VALUE"""),"Magazine Luiza")</f>
        <v>Magazine Luiza</v>
      </c>
      <c r="C277" s="107" t="s">
        <v>2636</v>
      </c>
      <c r="E277" s="110" t="str">
        <f>IFERROR(__xludf.DUMMYFUNCTION("""COMPUTED_VALUE"""),"Doação para São Paulo, Mairinque e Goiânia")</f>
        <v>Doação para São Paulo, Mairinque e Goiânia</v>
      </c>
      <c r="G277" s="107" t="s">
        <v>511</v>
      </c>
    </row>
    <row r="278">
      <c r="A278" s="107" t="str">
        <f>IFERROR(__xludf.DUMMYFUNCTION("""COMPUTED_VALUE"""),"McDonald's")</f>
        <v>McDonald's</v>
      </c>
      <c r="E278" s="110" t="str">
        <f>IFERROR(__xludf.DUMMYFUNCTION("""COMPUTED_VALUE"""),"Doação para PPA Solidariedade")</f>
        <v>Doação para PPA Solidariedade</v>
      </c>
      <c r="G278" s="107" t="s">
        <v>2620</v>
      </c>
    </row>
    <row r="279">
      <c r="A279" s="107" t="str">
        <f>IFERROR(__xludf.DUMMYFUNCTION("""COMPUTED_VALUE"""),"Mercado Livre ")</f>
        <v>Mercado Livre </v>
      </c>
      <c r="C279" s="107" t="s">
        <v>1545</v>
      </c>
      <c r="E279" s="110" t="str">
        <f>IFERROR(__xludf.DUMMYFUNCTION("""COMPUTED_VALUE"""),"Restauração de terra alterada")</f>
        <v>Restauração de terra alterada</v>
      </c>
      <c r="G279" s="113" t="s">
        <v>301</v>
      </c>
      <c r="H279" s="112" t="s">
        <v>3294</v>
      </c>
    </row>
    <row r="280">
      <c r="A280" s="107" t="str">
        <f>IFERROR(__xludf.DUMMYFUNCTION("""COMPUTED_VALUE"""),"Petz")</f>
        <v>Petz</v>
      </c>
      <c r="C280" s="107" t="s">
        <v>2591</v>
      </c>
      <c r="E280" s="110" t="str">
        <f>IFERROR(__xludf.DUMMYFUNCTION("""COMPUTED_VALUE"""),"Cargill Currents")</f>
        <v>Cargill Currents</v>
      </c>
      <c r="G280" s="113" t="s">
        <v>496</v>
      </c>
      <c r="H280" s="112" t="s">
        <v>3294</v>
      </c>
    </row>
    <row r="281">
      <c r="A281" s="107" t="str">
        <f>IFERROR(__xludf.DUMMYFUNCTION("""COMPUTED_VALUE"""),"Raia Drogasil")</f>
        <v>Raia Drogasil</v>
      </c>
      <c r="E281" s="110" t="str">
        <f>IFERROR(__xludf.DUMMYFUNCTION("""COMPUTED_VALUE"""),"Landscape Tomé-Açu")</f>
        <v>Landscape Tomé-Açu</v>
      </c>
      <c r="G281" s="107" t="s">
        <v>1939</v>
      </c>
      <c r="H281" s="112" t="s">
        <v>3258</v>
      </c>
    </row>
    <row r="282">
      <c r="A282" s="107" t="str">
        <f>IFERROR(__xludf.DUMMYFUNCTION("""COMPUTED_VALUE"""),"Rodobens")</f>
        <v>Rodobens</v>
      </c>
      <c r="C282" s="107" t="s">
        <v>939</v>
      </c>
      <c r="E282" s="110" t="str">
        <f>IFERROR(__xludf.DUMMYFUNCTION("""COMPUTED_VALUE"""),"Regenera Cerrado")</f>
        <v>Regenera Cerrado</v>
      </c>
      <c r="G282" s="107" t="s">
        <v>210</v>
      </c>
    </row>
    <row r="283">
      <c r="A283" s="107" t="str">
        <f>IFERROR(__xludf.DUMMYFUNCTION("""COMPUTED_VALUE"""),"Super Muffato")</f>
        <v>Super Muffato</v>
      </c>
      <c r="E283" s="110" t="str">
        <f>IFERROR(__xludf.DUMMYFUNCTION("""COMPUTED_VALUE"""),"SustentAgro")</f>
        <v>SustentAgro</v>
      </c>
      <c r="G283" s="107" t="s">
        <v>942</v>
      </c>
    </row>
    <row r="284">
      <c r="A284" s="107" t="str">
        <f>IFERROR(__xludf.DUMMYFUNCTION("""COMPUTED_VALUE"""),"Supermercados ABC ")</f>
        <v>Supermercados ABC </v>
      </c>
      <c r="E284" s="110" t="str">
        <f>IFERROR(__xludf.DUMMYFUNCTION("""COMPUTED_VALUE"""),"Climate-smart and sustainable landscapes in western Mato Grosso")</f>
        <v>Climate-smart and sustainable landscapes in western Mato Grosso</v>
      </c>
      <c r="G284" s="107" t="s">
        <v>1887</v>
      </c>
      <c r="H284" s="112" t="s">
        <v>3258</v>
      </c>
    </row>
    <row r="285">
      <c r="A285" s="107" t="str">
        <f>IFERROR(__xludf.DUMMYFUNCTION("""COMPUTED_VALUE"""),"Via/Grupo Casas Bahia ")</f>
        <v>Via/Grupo Casas Bahia </v>
      </c>
      <c r="E285" s="110" t="str">
        <f>IFERROR(__xludf.DUMMYFUNCTION("""COMPUTED_VALUE"""),"Forest Carbon Incentives
")</f>
        <v>Forest Carbon Incentives
</v>
      </c>
      <c r="G285" s="111" t="s">
        <v>1047</v>
      </c>
      <c r="H285" s="112" t="s">
        <v>3258</v>
      </c>
    </row>
    <row r="286">
      <c r="A286" s="107" t="str">
        <f>IFERROR(__xludf.DUMMYFUNCTION("""COMPUTED_VALUE"""),"Zaffari &amp; Bourbon")</f>
        <v>Zaffari &amp; Bourbon</v>
      </c>
      <c r="C286" s="107" t="s">
        <v>422</v>
      </c>
      <c r="E286" s="110" t="str">
        <f>IFERROR(__xludf.DUMMYFUNCTION("""COMPUTED_VALUE"""),"Aggregator Refinery Transformation (ART) action plan")</f>
        <v>Aggregator Refinery Transformation (ART) action plan</v>
      </c>
      <c r="G286" s="111" t="s">
        <v>135</v>
      </c>
      <c r="H286" s="112" t="s">
        <v>3258</v>
      </c>
    </row>
    <row r="287">
      <c r="A287" s="107" t="str">
        <f>IFERROR(__xludf.DUMMYFUNCTION("""COMPUTED_VALUE"""),"Zamp ")</f>
        <v>Zamp </v>
      </c>
      <c r="E287" s="110" t="str">
        <f>IFERROR(__xludf.DUMMYFUNCTION("""COMPUTED_VALUE"""),"Restoring degraded land in the Tijuco River watershed")</f>
        <v>Restoring degraded land in the Tijuco River watershed</v>
      </c>
      <c r="G287" s="111" t="s">
        <v>2207</v>
      </c>
      <c r="H287" s="112" t="s">
        <v>3258</v>
      </c>
    </row>
    <row r="288">
      <c r="A288" s="107" t="str">
        <f>IFERROR(__xludf.DUMMYFUNCTION("""COMPUTED_VALUE"""),"Zona Sul")</f>
        <v>Zona Sul</v>
      </c>
      <c r="E288" s="110" t="str">
        <f>IFERROR(__xludf.DUMMYFUNCTION("""COMPUTED_VALUE"""),"Expanding the market for sustainable cocoa in Mato Grasso")</f>
        <v>Expanding the market for sustainable cocoa in Mato Grasso</v>
      </c>
      <c r="G288" s="111" t="s">
        <v>1689</v>
      </c>
      <c r="H288" s="112" t="s">
        <v>3258</v>
      </c>
    </row>
    <row r="289">
      <c r="A289" s="107"/>
      <c r="E289" s="110" t="str">
        <f>IFERROR(__xludf.DUMMYFUNCTION("""COMPUTED_VALUE"""),"WASH initiative ")</f>
        <v>WASH initiative </v>
      </c>
      <c r="G289" s="113" t="s">
        <v>1693</v>
      </c>
      <c r="H289" s="112" t="s">
        <v>3258</v>
      </c>
    </row>
    <row r="290">
      <c r="E290" s="110" t="str">
        <f>IFERROR(__xludf.DUMMYFUNCTION("""COMPUTED_VALUE"""),"Helping farmers comply with the Forest Code
")</f>
        <v>Helping farmers comply with the Forest Code
</v>
      </c>
      <c r="G290" s="113" t="s">
        <v>1122</v>
      </c>
      <c r="H290" s="112" t="s">
        <v>3258</v>
      </c>
    </row>
    <row r="291">
      <c r="E291" s="110" t="str">
        <f>IFERROR(__xludf.DUMMYFUNCTION("""COMPUTED_VALUE"""),"Defining a protocol for low-carbon soy
")</f>
        <v>Defining a protocol for low-carbon soy
</v>
      </c>
      <c r="G291" s="113" t="s">
        <v>2028</v>
      </c>
      <c r="H291" s="112" t="s">
        <v>3258</v>
      </c>
    </row>
    <row r="292">
      <c r="E292" s="110" t="str">
        <f>IFERROR(__xludf.DUMMYFUNCTION("""COMPUTED_VALUE"""),"Blocked farms")</f>
        <v>Blocked farms</v>
      </c>
      <c r="G292" s="113" t="s">
        <v>328</v>
      </c>
      <c r="H292" s="112" t="s">
        <v>3258</v>
      </c>
    </row>
    <row r="293">
      <c r="C293" s="107" t="s">
        <v>1762</v>
      </c>
      <c r="E293" s="110" t="str">
        <f>IFERROR(__xludf.DUMMYFUNCTION("""COMPUTED_VALUE"""),"Programa de Produção Sustentável de Bezerros do Pantanal")</f>
        <v>Programa de Produção Sustentável de Bezerros do Pantanal</v>
      </c>
      <c r="G293" s="111" t="s">
        <v>335</v>
      </c>
      <c r="H293" s="112" t="s">
        <v>3258</v>
      </c>
    </row>
    <row r="294">
      <c r="E294" s="110" t="str">
        <f>IFERROR(__xludf.DUMMYFUNCTION("""COMPUTED_VALUE"""),"Nutron Bem + Leite")</f>
        <v>Nutron Bem + Leite</v>
      </c>
      <c r="G294" s="111" t="s">
        <v>701</v>
      </c>
      <c r="H294" s="112" t="s">
        <v>3258</v>
      </c>
    </row>
    <row r="295">
      <c r="C295" s="107" t="s">
        <v>2536</v>
      </c>
      <c r="E295" s="110" t="str">
        <f>IFERROR(__xludf.DUMMYFUNCTION("""COMPUTED_VALUE"""),"Projeto Farmforce")</f>
        <v>Projeto Farmforce</v>
      </c>
      <c r="G295" s="114" t="s">
        <v>475</v>
      </c>
      <c r="H295" s="112" t="s">
        <v>3295</v>
      </c>
    </row>
    <row r="296">
      <c r="E296" s="110" t="str">
        <f>IFERROR(__xludf.DUMMYFUNCTION("""COMPUTED_VALUE"""),"Cacau Fértil")</f>
        <v>Cacau Fértil</v>
      </c>
      <c r="G296" s="107" t="s">
        <v>1666</v>
      </c>
    </row>
    <row r="297">
      <c r="E297" s="110" t="str">
        <f>IFERROR(__xludf.DUMMYFUNCTION("""COMPUTED_VALUE"""),"Projeto Escola de empreendedorismo das Mulheres do Xingu")</f>
        <v>Projeto Escola de empreendedorismo das Mulheres do Xingu</v>
      </c>
      <c r="G297" s="107" t="s">
        <v>2122</v>
      </c>
    </row>
    <row r="298">
      <c r="E298" s="110" t="str">
        <f>IFERROR(__xludf.DUMMYFUNCTION("""COMPUTED_VALUE"""),"Programa 3S ")</f>
        <v>Programa 3S </v>
      </c>
      <c r="G298" s="107" t="s">
        <v>951</v>
      </c>
    </row>
    <row r="299">
      <c r="E299" s="110" t="str">
        <f>IFERROR(__xludf.DUMMYFUNCTION("""COMPUTED_VALUE"""),"Essencial Para Você")</f>
        <v>Essencial Para Você</v>
      </c>
      <c r="G299" s="107" t="s">
        <v>2969</v>
      </c>
    </row>
    <row r="300">
      <c r="E300" s="110" t="str">
        <f>IFERROR(__xludf.DUMMYFUNCTION("""COMPUTED_VALUE"""),"100% de energia renovável")</f>
        <v>100% de energia renovável</v>
      </c>
      <c r="G300" s="107" t="s">
        <v>641</v>
      </c>
    </row>
    <row r="301">
      <c r="C301" s="107" t="s">
        <v>1576</v>
      </c>
      <c r="E301" s="110" t="str">
        <f>IFERROR(__xludf.DUMMYFUNCTION("""COMPUTED_VALUE"""),"Reflorestamento para energia - Cargill")</f>
        <v>Reflorestamento para energia - Cargill</v>
      </c>
      <c r="G301" s="107" t="s">
        <v>307</v>
      </c>
    </row>
    <row r="302">
      <c r="C302" s="107" t="s">
        <v>3117</v>
      </c>
      <c r="E302" s="110" t="str">
        <f>IFERROR(__xludf.DUMMYFUNCTION("""COMPUTED_VALUE"""),"Doações para os órgãos públicos e famílias em vulnerabilidade social")</f>
        <v>Doações para os órgãos públicos e famílias em vulnerabilidade social</v>
      </c>
      <c r="G302" s="107" t="s">
        <v>598</v>
      </c>
    </row>
    <row r="303">
      <c r="E303" s="110" t="str">
        <f>IFERROR(__xludf.DUMMYFUNCTION("""COMPUTED_VALUE"""),"Planta modelo de energia solar")</f>
        <v>Planta modelo de energia solar</v>
      </c>
      <c r="G303" s="107" t="s">
        <v>1133</v>
      </c>
    </row>
    <row r="304">
      <c r="E304" s="110" t="str">
        <f>IFERROR(__xludf.DUMMYFUNCTION("""COMPUTED_VALUE"""),"Minicozinha Industrial")</f>
        <v>Minicozinha Industrial</v>
      </c>
      <c r="G304" s="107" t="s">
        <v>1294</v>
      </c>
    </row>
    <row r="305">
      <c r="E305" s="110" t="str">
        <f>IFERROR(__xludf.DUMMYFUNCTION("""COMPUTED_VALUE"""),"Cuidar, Envolver e Amar ")</f>
        <v>Cuidar, Envolver e Amar </v>
      </c>
      <c r="G305" s="107" t="s">
        <v>1300</v>
      </c>
    </row>
    <row r="306">
      <c r="E306" s="110" t="str">
        <f>IFERROR(__xludf.DUMMYFUNCTION("""COMPUTED_VALUE"""),"Programa de Doações")</f>
        <v>Programa de Doações</v>
      </c>
      <c r="G306" s="107" t="s">
        <v>1611</v>
      </c>
    </row>
    <row r="307">
      <c r="E307" s="110" t="str">
        <f>IFERROR(__xludf.DUMMYFUNCTION("""COMPUTED_VALUE"""),"Biogás")</f>
        <v>Biogás</v>
      </c>
      <c r="G307" s="107" t="s">
        <v>843</v>
      </c>
    </row>
    <row r="308">
      <c r="E308" s="110" t="str">
        <f>IFERROR(__xludf.DUMMYFUNCTION("""COMPUTED_VALUE"""),"Programa de eficiência na queima de biomassa")</f>
        <v>Programa de eficiência na queima de biomassa</v>
      </c>
      <c r="G308" s="107" t="s">
        <v>2604</v>
      </c>
    </row>
    <row r="309">
      <c r="E309" s="110" t="str">
        <f>IFERROR(__xludf.DUMMYFUNCTION("""COMPUTED_VALUE"""),"Oferta de vale-alimentação")</f>
        <v>Oferta de vale-alimentação</v>
      </c>
      <c r="G309" s="107" t="s">
        <v>921</v>
      </c>
    </row>
    <row r="310">
      <c r="E310" s="110" t="str">
        <f>IFERROR(__xludf.DUMMYFUNCTION("""COMPUTED_VALUE"""),"Viveiro de Mudas Nativas")</f>
        <v>Viveiro de Mudas Nativas</v>
      </c>
      <c r="G310" s="107" t="s">
        <v>2127</v>
      </c>
    </row>
    <row r="311">
      <c r="E311" s="110" t="str">
        <f>IFERROR(__xludf.DUMMYFUNCTION("""COMPUTED_VALUE"""),"Plano de Proteção e Conservação da Biodiversidade")</f>
        <v>Plano de Proteção e Conservação da Biodiversidade</v>
      </c>
      <c r="G311" s="107" t="s">
        <v>1440</v>
      </c>
    </row>
    <row r="312">
      <c r="C312" s="107" t="s">
        <v>1635</v>
      </c>
      <c r="E312" s="110" t="str">
        <f>IFERROR(__xludf.DUMMYFUNCTION("""COMPUTED_VALUE"""),"Biomassa de Laranjeira")</f>
        <v>Biomassa de Laranjeira</v>
      </c>
      <c r="G312" s="107" t="s">
        <v>311</v>
      </c>
    </row>
    <row r="313">
      <c r="E313" s="110" t="str">
        <f>IFERROR(__xludf.DUMMYFUNCTION("""COMPUTED_VALUE"""),"Energias renováveis ")</f>
        <v>Energias renováveis </v>
      </c>
      <c r="G313" s="107" t="s">
        <v>2105</v>
      </c>
    </row>
    <row r="314">
      <c r="E314" s="110" t="str">
        <f>IFERROR(__xludf.DUMMYFUNCTION("""COMPUTED_VALUE"""),"Reuso de Água ")</f>
        <v>Reuso de Água </v>
      </c>
      <c r="G314" s="107" t="s">
        <v>2687</v>
      </c>
    </row>
    <row r="315">
      <c r="C315" s="107" t="s">
        <v>2043</v>
      </c>
      <c r="E315" s="110" t="str">
        <f>IFERROR(__xludf.DUMMYFUNCTION("""COMPUTED_VALUE"""),"Sustainable Juice Covenant (SJC)")</f>
        <v>Sustainable Juice Covenant (SJC)</v>
      </c>
      <c r="G315" s="107" t="s">
        <v>404</v>
      </c>
    </row>
    <row r="316">
      <c r="E316" s="110" t="str">
        <f>IFERROR(__xludf.DUMMYFUNCTION("""COMPUTED_VALUE"""),"Programa Trilhar")</f>
        <v>Programa Trilhar</v>
      </c>
      <c r="G316" s="107" t="s">
        <v>796</v>
      </c>
    </row>
    <row r="317">
      <c r="E317" s="110" t="str">
        <f>IFERROR(__xludf.DUMMYFUNCTION("""COMPUTED_VALUE"""),"Suporte á Agricultura Familiar")</f>
        <v>Suporte á Agricultura Familiar</v>
      </c>
      <c r="G317" s="107" t="s">
        <v>1215</v>
      </c>
    </row>
    <row r="318">
      <c r="E318" s="110" t="str">
        <f>IFERROR(__xludf.DUMMYFUNCTION("""COMPUTED_VALUE"""),"Programa Citroapis")</f>
        <v>Programa Citroapis</v>
      </c>
      <c r="G318" s="107" t="s">
        <v>1266</v>
      </c>
    </row>
    <row r="319">
      <c r="E319" s="110" t="str">
        <f>IFERROR(__xludf.DUMMYFUNCTION("""COMPUTED_VALUE"""),"Efluentes")</f>
        <v>Efluentes</v>
      </c>
      <c r="G319" s="107" t="s">
        <v>2297</v>
      </c>
    </row>
    <row r="320">
      <c r="C320" s="107" t="s">
        <v>3084</v>
      </c>
      <c r="E320" s="110" t="str">
        <f>IFERROR(__xludf.DUMMYFUNCTION("""COMPUTED_VALUE"""),"Horta comunitária")</f>
        <v>Horta comunitária</v>
      </c>
      <c r="G320" s="107" t="s">
        <v>587</v>
      </c>
    </row>
    <row r="321">
      <c r="E321" s="110" t="str">
        <f>IFERROR(__xludf.DUMMYFUNCTION("""COMPUTED_VALUE"""),"Doações comercial do feijão")</f>
        <v>Doações comercial do feijão</v>
      </c>
      <c r="G321" s="107" t="s">
        <v>784</v>
      </c>
    </row>
    <row r="322">
      <c r="E322" s="110" t="str">
        <f>IFERROR(__xludf.DUMMYFUNCTION("""COMPUTED_VALUE"""),"Semana do Conhecimento ")</f>
        <v>Semana do Conhecimento </v>
      </c>
      <c r="G322" s="107" t="s">
        <v>1538</v>
      </c>
    </row>
    <row r="323">
      <c r="E323" s="110" t="str">
        <f>IFERROR(__xludf.DUMMYFUNCTION("""COMPUTED_VALUE"""),"Jantar da Solidariedade ")</f>
        <v>Jantar da Solidariedade </v>
      </c>
      <c r="G323" s="107" t="s">
        <v>1995</v>
      </c>
    </row>
    <row r="324">
      <c r="E324" s="110" t="str">
        <f>IFERROR(__xludf.DUMMYFUNCTION("""COMPUTED_VALUE"""),"Comunidade Terapêutica Betel")</f>
        <v>Comunidade Terapêutica Betel</v>
      </c>
      <c r="G324" s="107" t="s">
        <v>1436</v>
      </c>
    </row>
    <row r="325">
      <c r="E325" s="110" t="str">
        <f>IFERROR(__xludf.DUMMYFUNCTION("""COMPUTED_VALUE"""),"Doação de Cestas de Páscoa para Pastoral da Solidariedade em São João ")</f>
        <v>Doação de Cestas de Páscoa para Pastoral da Solidariedade em São João </v>
      </c>
      <c r="G325" s="107" t="s">
        <v>1590</v>
      </c>
    </row>
    <row r="326">
      <c r="E326" s="110" t="str">
        <f>IFERROR(__xludf.DUMMYFUNCTION("""COMPUTED_VALUE"""),"Solidariedade em Dobro ")</f>
        <v>Solidariedade em Dobro </v>
      </c>
      <c r="G326" s="107" t="s">
        <v>1204</v>
      </c>
    </row>
    <row r="327">
      <c r="E327" s="110" t="str">
        <f>IFERROR(__xludf.DUMMYFUNCTION("""COMPUTED_VALUE"""),"Campanha Solidária de Natal ")</f>
        <v>Campanha Solidária de Natal </v>
      </c>
      <c r="G327" s="107" t="s">
        <v>1329</v>
      </c>
    </row>
    <row r="328">
      <c r="E328" s="110" t="str">
        <f>IFERROR(__xludf.DUMMYFUNCTION("""COMPUTED_VALUE"""),"Projeto 04/2022 Lean Six Sigma - Projeto Água Limpa – Conservação de Nascentes")</f>
        <v>Projeto 04/2022 Lean Six Sigma - Projeto Água Limpa – Conservação de Nascentes</v>
      </c>
      <c r="G328" s="107" t="s">
        <v>1422</v>
      </c>
    </row>
    <row r="329">
      <c r="E329" s="110" t="str">
        <f>IFERROR(__xludf.DUMMYFUNCTION("""COMPUTED_VALUE"""),"Doação Alimentos ")</f>
        <v>Doação Alimentos </v>
      </c>
      <c r="G329" s="107" t="s">
        <v>1484</v>
      </c>
    </row>
    <row r="330">
      <c r="E330" s="110" t="str">
        <f>IFERROR(__xludf.DUMMYFUNCTION("""COMPUTED_VALUE"""),"Rastreabilidade da Cadeia de Suprimentos")</f>
        <v>Rastreabilidade da Cadeia de Suprimentos</v>
      </c>
      <c r="G330" s="107" t="s">
        <v>2694</v>
      </c>
    </row>
    <row r="331">
      <c r="C331" s="107" t="s">
        <v>1114</v>
      </c>
      <c r="E331" s="110" t="str">
        <f>IFERROR(__xludf.DUMMYFUNCTION("""COMPUTED_VALUE"""),"Fornecimento de calcário")</f>
        <v>Fornecimento de calcário</v>
      </c>
      <c r="G331" s="107" t="s">
        <v>229</v>
      </c>
    </row>
    <row r="332">
      <c r="E332" s="110" t="str">
        <f>IFERROR(__xludf.DUMMYFUNCTION("""COMPUTED_VALUE"""),"Agricultura de precisão")</f>
        <v>Agricultura de precisão</v>
      </c>
      <c r="G332" s="107" t="s">
        <v>1643</v>
      </c>
    </row>
    <row r="333">
      <c r="E333" s="110" t="str">
        <f>IFERROR(__xludf.DUMMYFUNCTION("""COMPUTED_VALUE"""),"Super parceiro")</f>
        <v>Super parceiro</v>
      </c>
      <c r="G333" s="107" t="s">
        <v>2137</v>
      </c>
    </row>
    <row r="334">
      <c r="E334" s="110" t="str">
        <f>IFERROR(__xludf.DUMMYFUNCTION("""COMPUTED_VALUE"""),"Dias de Campo de Inverno ")</f>
        <v>Dias de Campo de Inverno </v>
      </c>
      <c r="G334" s="107" t="s">
        <v>1705</v>
      </c>
    </row>
    <row r="335">
      <c r="E335" s="110" t="str">
        <f>IFERROR(__xludf.DUMMYFUNCTION("""COMPUTED_VALUE"""),"Florada Consciente")</f>
        <v>Florada Consciente</v>
      </c>
      <c r="G335" s="112" t="s">
        <v>3296</v>
      </c>
    </row>
    <row r="336">
      <c r="E336" s="110" t="str">
        <f>IFERROR(__xludf.DUMMYFUNCTION("""COMPUTED_VALUE"""),"Programa Cultivar")</f>
        <v>Programa Cultivar</v>
      </c>
      <c r="G336" s="111" t="s">
        <v>727</v>
      </c>
      <c r="H336" s="112" t="s">
        <v>3258</v>
      </c>
    </row>
    <row r="337">
      <c r="E337" s="110" t="str">
        <f>IFERROR(__xludf.DUMMYFUNCTION("""COMPUTED_VALUE"""),"Olho D’Água")</f>
        <v>Olho D’Água</v>
      </c>
      <c r="G337" s="111" t="s">
        <v>1960</v>
      </c>
      <c r="H337" s="112" t="s">
        <v>3258</v>
      </c>
    </row>
    <row r="338">
      <c r="E338" s="110" t="str">
        <f>IFERROR(__xludf.DUMMYFUNCTION("""COMPUTED_VALUE"""),"Programa de Identificação e Recuperação de Nascentes")</f>
        <v>Programa de Identificação e Recuperação de Nascentes</v>
      </c>
      <c r="G338" s="111" t="s">
        <v>2962</v>
      </c>
      <c r="H338" s="112" t="s">
        <v>3258</v>
      </c>
    </row>
    <row r="339">
      <c r="C339" s="107" t="s">
        <v>2312</v>
      </c>
      <c r="E339" s="110" t="str">
        <f>IFERROR(__xludf.DUMMYFUNCTION("""COMPUTED_VALUE"""),"Programa Mata Ciliar")</f>
        <v>Programa Mata Ciliar</v>
      </c>
      <c r="G339" s="111" t="s">
        <v>444</v>
      </c>
      <c r="H339" s="112" t="s">
        <v>3258</v>
      </c>
    </row>
    <row r="340">
      <c r="E340" s="110" t="str">
        <f>IFERROR(__xludf.DUMMYFUNCTION("""COMPUTED_VALUE"""),"ONG - Aliança ")</f>
        <v>ONG - Aliança </v>
      </c>
      <c r="G340" s="111" t="s">
        <v>2682</v>
      </c>
      <c r="H340" s="112" t="s">
        <v>3258</v>
      </c>
    </row>
    <row r="341">
      <c r="E341" s="110" t="str">
        <f>IFERROR(__xludf.DUMMYFUNCTION("""COMPUTED_VALUE"""),"Safeguarding water systems in the Cerrado")</f>
        <v>Safeguarding water systems in the Cerrado</v>
      </c>
      <c r="G341" s="107" t="s">
        <v>2674</v>
      </c>
    </row>
    <row r="342">
      <c r="E342" s="110" t="str">
        <f>IFERROR(__xludf.DUMMYFUNCTION("""COMPUTED_VALUE"""),"Viveiro de Atitude")</f>
        <v>Viveiro de Atitude</v>
      </c>
      <c r="G342" s="107" t="s">
        <v>2091</v>
      </c>
    </row>
    <row r="343">
      <c r="E343" s="110" t="str">
        <f>IFERROR(__xludf.DUMMYFUNCTION("""COMPUTED_VALUE"""),"Prioritising energy from renewable sources")</f>
        <v>Prioritising energy from renewable sources</v>
      </c>
      <c r="G343" s="107" t="s">
        <v>1303</v>
      </c>
    </row>
    <row r="344">
      <c r="E344" s="110" t="str">
        <f>IFERROR(__xludf.DUMMYFUNCTION("""COMPUTED_VALUE"""),"Fauna and Flora Monitoring Programme")</f>
        <v>Fauna and Flora Monitoring Programme</v>
      </c>
      <c r="G344" s="107" t="s">
        <v>1220</v>
      </c>
    </row>
    <row r="345">
      <c r="E345" s="110" t="str">
        <f>IFERROR(__xludf.DUMMYFUNCTION("""COMPUTED_VALUE"""),"Promover a eficiência e a qualidade da água")</f>
        <v>Promover a eficiência e a qualidade da água</v>
      </c>
      <c r="G345" s="107" t="s">
        <v>887</v>
      </c>
    </row>
    <row r="346">
      <c r="E346" s="110" t="str">
        <f>IFERROR(__xludf.DUMMYFUNCTION("""COMPUTED_VALUE"""),"Pollinate Programme")</f>
        <v>Pollinate Programme</v>
      </c>
      <c r="G346" s="107" t="s">
        <v>1036</v>
      </c>
    </row>
    <row r="347">
      <c r="C347" s="107" t="s">
        <v>2098</v>
      </c>
      <c r="E347" s="110" t="str">
        <f>IFERROR(__xludf.DUMMYFUNCTION("""COMPUTED_VALUE"""),"Open Doors’ programme")</f>
        <v>Open Doors’ programme</v>
      </c>
      <c r="G347" s="107" t="s">
        <v>420</v>
      </c>
    </row>
    <row r="348">
      <c r="E348" s="110" t="str">
        <f>IFERROR(__xludf.DUMMYFUNCTION("""COMPUTED_VALUE"""),"Protecting Nature to Promote Food Security        ")</f>
        <v>Protecting Nature to Promote Food Security        </v>
      </c>
      <c r="G348" s="107" t="s">
        <v>2147</v>
      </c>
    </row>
    <row r="349">
      <c r="E349" s="110" t="str">
        <f>IFERROR(__xludf.DUMMYFUNCTION("""COMPUTED_VALUE"""),"Empowering women farmers to lead on soy sustainability")</f>
        <v>Empowering women farmers to lead on soy sustainability</v>
      </c>
      <c r="G349" s="107" t="s">
        <v>1468</v>
      </c>
    </row>
    <row r="350">
      <c r="E350" s="110" t="str">
        <f>IFERROR(__xludf.DUMMYFUNCTION("""COMPUTED_VALUE"""),"Coffee Responsible Origin Programme (CROP)")</f>
        <v>Coffee Responsible Origin Programme (CROP)</v>
      </c>
      <c r="G350" s="107" t="s">
        <v>2887</v>
      </c>
    </row>
    <row r="351">
      <c r="E351" s="110" t="str">
        <f>IFERROR(__xludf.DUMMYFUNCTION("""COMPUTED_VALUE"""),"AgroValquírias")</f>
        <v>AgroValquírias</v>
      </c>
      <c r="G351" s="107" t="s">
        <v>2868</v>
      </c>
    </row>
    <row r="352">
      <c r="E352" s="110" t="str">
        <f>IFERROR(__xludf.DUMMYFUNCTION("""COMPUTED_VALUE"""),"Doação de suprimentos")</f>
        <v>Doação de suprimentos</v>
      </c>
      <c r="G352" s="107" t="s">
        <v>2274</v>
      </c>
    </row>
    <row r="353">
      <c r="E353" s="110" t="str">
        <f>IFERROR(__xludf.DUMMYFUNCTION("""COMPUTED_VALUE"""),"Impureza ")</f>
        <v>Impureza </v>
      </c>
      <c r="G353" s="107" t="s">
        <v>1026</v>
      </c>
    </row>
    <row r="354">
      <c r="E354" s="110" t="str">
        <f>IFERROR(__xludf.DUMMYFUNCTION("""COMPUTED_VALUE"""),"Arraiá do Bem")</f>
        <v>Arraiá do Bem</v>
      </c>
      <c r="G354" s="107" t="s">
        <v>2835</v>
      </c>
    </row>
    <row r="355">
      <c r="E355" s="110" t="str">
        <f>IFERROR(__xludf.DUMMYFUNCTION("""COMPUTED_VALUE"""),"Medida Certa ")</f>
        <v>Medida Certa </v>
      </c>
      <c r="G355" s="107" t="s">
        <v>2238</v>
      </c>
    </row>
    <row r="356">
      <c r="E356" s="110" t="str">
        <f>IFERROR(__xludf.DUMMYFUNCTION("""COMPUTED_VALUE"""),"Projeto Saúde Complementar/ Projeto Bem Viver")</f>
        <v>Projeto Saúde Complementar/ Projeto Bem Viver</v>
      </c>
      <c r="G356" s="107" t="s">
        <v>745</v>
      </c>
    </row>
    <row r="357">
      <c r="E357" s="110" t="str">
        <f>IFERROR(__xludf.DUMMYFUNCTION("""COMPUTED_VALUE"""),"Usina Solar ")</f>
        <v>Usina Solar </v>
      </c>
      <c r="G357" s="107" t="s">
        <v>1191</v>
      </c>
    </row>
    <row r="358">
      <c r="E358" s="110" t="str">
        <f>IFERROR(__xludf.DUMMYFUNCTION("""COMPUTED_VALUE"""),"Proteção e Conservação de Nascentes e Minas")</f>
        <v>Proteção e Conservação de Nascentes e Minas</v>
      </c>
      <c r="G358" s="107" t="s">
        <v>3149</v>
      </c>
    </row>
    <row r="359">
      <c r="E359" s="110" t="str">
        <f>IFERROR(__xludf.DUMMYFUNCTION("""COMPUTED_VALUE"""),"Assistência aos cooperados ")</f>
        <v>Assistência aos cooperados </v>
      </c>
      <c r="G359" s="107" t="s">
        <v>2150</v>
      </c>
    </row>
    <row r="360">
      <c r="C360" s="107" t="s">
        <v>3032</v>
      </c>
      <c r="E360" s="110" t="str">
        <f>IFERROR(__xludf.DUMMYFUNCTION("""COMPUTED_VALUE"""),"Fazenda Monte Alegre")</f>
        <v>Fazenda Monte Alegre</v>
      </c>
      <c r="G360" s="107" t="s">
        <v>563</v>
      </c>
    </row>
    <row r="361">
      <c r="E361" s="110" t="str">
        <f>IFERROR(__xludf.DUMMYFUNCTION("""COMPUTED_VALUE"""),"Água viva ")</f>
        <v>Água viva </v>
      </c>
      <c r="G361" s="107" t="s">
        <v>1033</v>
      </c>
    </row>
    <row r="362">
      <c r="E362" s="110" t="str">
        <f>IFERROR(__xludf.DUMMYFUNCTION("""COMPUTED_VALUE"""),"Energia Fotovoltaica")</f>
        <v>Energia Fotovoltaica</v>
      </c>
      <c r="G362" s="107" t="s">
        <v>1110</v>
      </c>
    </row>
    <row r="363">
      <c r="E363" s="110" t="str">
        <f>IFERROR(__xludf.DUMMYFUNCTION("""COMPUTED_VALUE"""),"Restauração florestal e de áreas degradadas")</f>
        <v>Restauração florestal e de áreas degradadas</v>
      </c>
      <c r="G363" s="113" t="s">
        <v>1077</v>
      </c>
      <c r="H363" s="112" t="s">
        <v>3258</v>
      </c>
    </row>
    <row r="364">
      <c r="E364" s="110" t="str">
        <f>IFERROR(__xludf.DUMMYFUNCTION("""COMPUTED_VALUE"""),"Espaço HF")</f>
        <v>Espaço HF</v>
      </c>
      <c r="G364" s="107" t="s">
        <v>2492</v>
      </c>
    </row>
    <row r="365">
      <c r="E365" s="110" t="str">
        <f>IFERROR(__xludf.DUMMYFUNCTION("""COMPUTED_VALUE"""),"Corrente do Bem do Agro")</f>
        <v>Corrente do Bem do Agro</v>
      </c>
      <c r="G365" s="107" t="s">
        <v>3156</v>
      </c>
    </row>
    <row r="366">
      <c r="E366" s="110" t="str">
        <f>IFERROR(__xludf.DUMMYFUNCTION("""COMPUTED_VALUE"""),"Dia do Campo Limpo")</f>
        <v>Dia do Campo Limpo</v>
      </c>
      <c r="G366" s="107" t="s">
        <v>1451</v>
      </c>
    </row>
    <row r="367">
      <c r="E367" s="110" t="str">
        <f>IFERROR(__xludf.DUMMYFUNCTION("""COMPUTED_VALUE"""),"Cooper Nascentes")</f>
        <v>Cooper Nascentes</v>
      </c>
      <c r="G367" s="107" t="s">
        <v>2230</v>
      </c>
    </row>
    <row r="368">
      <c r="C368" s="107" t="s">
        <v>2210</v>
      </c>
      <c r="E368" s="110" t="str">
        <f>IFERROR(__xludf.DUMMYFUNCTION("""COMPUTED_VALUE"""),"Nucoffee")</f>
        <v>Nucoffee</v>
      </c>
      <c r="G368" s="107" t="s">
        <v>429</v>
      </c>
    </row>
    <row r="369">
      <c r="E369" s="110" t="str">
        <f>IFERROR(__xludf.DUMMYFUNCTION("""COMPUTED_VALUE"""),"Cooperativa de Produtores Rurais de Agricultura Familiar")</f>
        <v>Cooperativa de Produtores Rurais de Agricultura Familiar</v>
      </c>
      <c r="G369" s="107" t="s">
        <v>3297</v>
      </c>
    </row>
    <row r="370">
      <c r="C370" s="107" t="s">
        <v>519</v>
      </c>
      <c r="E370" s="110" t="str">
        <f>IFERROR(__xludf.DUMMYFUNCTION("""COMPUTED_VALUE"""),"Armazenagem ")</f>
        <v>Armazenagem </v>
      </c>
      <c r="G370" s="107" t="s">
        <v>159</v>
      </c>
    </row>
    <row r="371">
      <c r="E371" s="110" t="str">
        <f>IFERROR(__xludf.DUMMYFUNCTION("""COMPUTED_VALUE"""),"Cursos de Qualificação Profissional ")</f>
        <v>Cursos de Qualificação Profissional </v>
      </c>
      <c r="G371" s="107" t="s">
        <v>900</v>
      </c>
    </row>
    <row r="372">
      <c r="E372" s="110" t="str">
        <f>IFERROR(__xludf.DUMMYFUNCTION("""COMPUTED_VALUE"""),"Mulheres do Campo - O agro é delas")</f>
        <v>Mulheres do Campo - O agro é delas</v>
      </c>
      <c r="G372" s="111" t="s">
        <v>2572</v>
      </c>
      <c r="H372" s="112" t="s">
        <v>3258</v>
      </c>
    </row>
    <row r="373">
      <c r="E373" s="110" t="str">
        <f>IFERROR(__xludf.DUMMYFUNCTION("""COMPUTED_VALUE"""),"Band Contra Fome ")</f>
        <v>Band Contra Fome </v>
      </c>
      <c r="G373" s="107" t="s">
        <v>1009</v>
      </c>
    </row>
    <row r="374">
      <c r="E374" s="110" t="str">
        <f>IFERROR(__xludf.DUMMYFUNCTION("""COMPUTED_VALUE"""),"Minas D'Água")</f>
        <v>Minas D'Água</v>
      </c>
      <c r="G374" s="107" t="s">
        <v>663</v>
      </c>
    </row>
    <row r="375">
      <c r="E375" s="110" t="str">
        <f>IFERROR(__xludf.DUMMYFUNCTION("""COMPUTED_VALUE"""),"Dias do Conhecimento")</f>
        <v>Dias do Conhecimento</v>
      </c>
      <c r="G375" s="107" t="s">
        <v>3035</v>
      </c>
    </row>
    <row r="376">
      <c r="E376" s="110" t="str">
        <f>IFERROR(__xludf.DUMMYFUNCTION("""COMPUTED_VALUE"""),"Nascentes da Mata do Sino (Bell Springs) ")</f>
        <v>Nascentes da Mata do Sino (Bell Springs) </v>
      </c>
      <c r="G376" s="107" t="s">
        <v>2818</v>
      </c>
    </row>
    <row r="377">
      <c r="E377" s="110" t="str">
        <f>IFERROR(__xludf.DUMMYFUNCTION("""COMPUTED_VALUE"""),"Donas do Cafe ")</f>
        <v>Donas do Cafe </v>
      </c>
      <c r="G377" s="107" t="s">
        <v>2678</v>
      </c>
    </row>
    <row r="378">
      <c r="E378" s="110" t="str">
        <f>IFERROR(__xludf.DUMMYFUNCTION("""COMPUTED_VALUE"""),"Investimento em sistema de aproveitamento de água da chuva ")</f>
        <v>Investimento em sistema de aproveitamento de água da chuva </v>
      </c>
      <c r="G378" s="107" t="s">
        <v>990</v>
      </c>
    </row>
    <row r="379">
      <c r="E379" s="110" t="str">
        <f>IFERROR(__xludf.DUMMYFUNCTION("""COMPUTED_VALUE"""),"Tratamento de efluentes líquidos e atmosféricos ")</f>
        <v>Tratamento de efluentes líquidos e atmosféricos </v>
      </c>
      <c r="G379" s="107" t="s">
        <v>1240</v>
      </c>
    </row>
    <row r="380">
      <c r="E380" s="110" t="str">
        <f>IFERROR(__xludf.DUMMYFUNCTION("""COMPUTED_VALUE"""),"Linhas de Crédito e Barter")</f>
        <v>Linhas de Crédito e Barter</v>
      </c>
      <c r="G380" s="107" t="s">
        <v>1947</v>
      </c>
    </row>
    <row r="381">
      <c r="E381" s="110" t="str">
        <f>IFERROR(__xludf.DUMMYFUNCTION("""COMPUTED_VALUE"""),"Inauguração usina fotovoltaica")</f>
        <v>Inauguração usina fotovoltaica</v>
      </c>
      <c r="G381" s="107" t="s">
        <v>1475</v>
      </c>
    </row>
    <row r="382">
      <c r="E382" s="110" t="str">
        <f>IFERROR(__xludf.DUMMYFUNCTION("""COMPUTED_VALUE"""),"Construindo Solos")</f>
        <v>Construindo Solos</v>
      </c>
      <c r="G382" s="107" t="s">
        <v>1017</v>
      </c>
    </row>
    <row r="383">
      <c r="E383" s="110" t="str">
        <f>IFERROR(__xludf.DUMMYFUNCTION("""COMPUTED_VALUE"""),"Energia Limpa")</f>
        <v>Energia Limpa</v>
      </c>
      <c r="G383" s="113" t="s">
        <v>2394</v>
      </c>
      <c r="H383" s="112" t="s">
        <v>3258</v>
      </c>
    </row>
    <row r="384">
      <c r="E384" s="110" t="str">
        <f>IFERROR(__xludf.DUMMYFUNCTION("""COMPUTED_VALUE"""),"AgroGestão")</f>
        <v>AgroGestão</v>
      </c>
      <c r="G384" s="113" t="s">
        <v>2518</v>
      </c>
      <c r="H384" s="112" t="s">
        <v>3258</v>
      </c>
    </row>
    <row r="385">
      <c r="E385" s="110" t="str">
        <f>IFERROR(__xludf.DUMMYFUNCTION("""COMPUTED_VALUE"""),"45 anos, 45 ações")</f>
        <v>45 anos, 45 ações</v>
      </c>
      <c r="G385" s="113" t="s">
        <v>2792</v>
      </c>
      <c r="H385" s="112" t="s">
        <v>3258</v>
      </c>
    </row>
    <row r="386">
      <c r="E386" s="110" t="str">
        <f>IFERROR(__xludf.DUMMYFUNCTION("""COMPUTED_VALUE"""),"Rastreabilidade")</f>
        <v>Rastreabilidade</v>
      </c>
      <c r="G386" s="111" t="s">
        <v>3298</v>
      </c>
      <c r="H386" s="112" t="s">
        <v>3299</v>
      </c>
    </row>
    <row r="387">
      <c r="E387" s="110" t="str">
        <f>IFERROR(__xludf.DUMMYFUNCTION("""COMPUTED_VALUE"""),"Comissão Interna de Prevenção de Acidentes – CIPA")</f>
        <v>Comissão Interna de Prevenção de Acidentes – CIPA</v>
      </c>
      <c r="G387" s="111" t="s">
        <v>3300</v>
      </c>
      <c r="H387" s="112" t="s">
        <v>3299</v>
      </c>
    </row>
    <row r="388">
      <c r="E388" s="110" t="str">
        <f>IFERROR(__xludf.DUMMYFUNCTION("""COMPUTED_VALUE"""),"Cestas Natalinas")</f>
        <v>Cestas Natalinas</v>
      </c>
      <c r="G388" s="111" t="s">
        <v>3301</v>
      </c>
      <c r="H388" s="112" t="s">
        <v>3299</v>
      </c>
    </row>
    <row r="389">
      <c r="E389" s="110" t="str">
        <f>IFERROR(__xludf.DUMMYFUNCTION("""COMPUTED_VALUE"""),"Magia do Natal")</f>
        <v>Magia do Natal</v>
      </c>
      <c r="G389" s="111" t="s">
        <v>3302</v>
      </c>
      <c r="H389" s="112" t="s">
        <v>3299</v>
      </c>
    </row>
    <row r="390">
      <c r="C390" s="107" t="s">
        <v>1686</v>
      </c>
      <c r="E390" s="110" t="str">
        <f>IFERROR(__xludf.DUMMYFUNCTION("""COMPUTED_VALUE"""),"Propriedades Sustentáveis")</f>
        <v>Propriedades Sustentáveis</v>
      </c>
      <c r="G390" s="113" t="s">
        <v>3303</v>
      </c>
      <c r="H390" s="112" t="s">
        <v>3258</v>
      </c>
    </row>
    <row r="391">
      <c r="E391" s="110" t="str">
        <f>IFERROR(__xludf.DUMMYFUNCTION("""COMPUTED_VALUE"""),"Programa Clube do Carbono")</f>
        <v>Programa Clube do Carbono</v>
      </c>
      <c r="G391" s="113" t="s">
        <v>3304</v>
      </c>
      <c r="H391" s="112" t="s">
        <v>3258</v>
      </c>
    </row>
    <row r="392">
      <c r="E392" s="110" t="str">
        <f>IFERROR(__xludf.DUMMYFUNCTION("""COMPUTED_VALUE"""),"Avaliações das áreas")</f>
        <v>Avaliações das áreas</v>
      </c>
      <c r="G392" s="113" t="s">
        <v>1410</v>
      </c>
      <c r="H392" s="112" t="s">
        <v>3258</v>
      </c>
    </row>
    <row r="393">
      <c r="E393" s="110" t="str">
        <f>IFERROR(__xludf.DUMMYFUNCTION("""COMPUTED_VALUE"""),"Controle de Resíduos Sólidos
")</f>
        <v>Controle de Resíduos Sólidos
</v>
      </c>
      <c r="G393" s="107" t="s">
        <v>2309</v>
      </c>
    </row>
    <row r="394">
      <c r="E394" s="110" t="str">
        <f>IFERROR(__xludf.DUMMYFUNCTION("""COMPUTED_VALUE"""),"Usina Fotovoltaica")</f>
        <v>Usina Fotovoltaica</v>
      </c>
      <c r="G394" s="107" t="s">
        <v>2284</v>
      </c>
    </row>
    <row r="395">
      <c r="E395" s="110" t="str">
        <f>IFERROR(__xludf.DUMMYFUNCTION("""COMPUTED_VALUE"""),"Tratamento de efluentes")</f>
        <v>Tratamento de efluentes</v>
      </c>
      <c r="G395" s="107" t="s">
        <v>2304</v>
      </c>
    </row>
    <row r="396">
      <c r="E396" s="110" t="str">
        <f>IFERROR(__xludf.DUMMYFUNCTION("""COMPUTED_VALUE"""),"Biodigestores")</f>
        <v>Biodigestores</v>
      </c>
      <c r="G396" s="107" t="s">
        <v>2019</v>
      </c>
    </row>
    <row r="397">
      <c r="E397" s="110" t="str">
        <f>IFERROR(__xludf.DUMMYFUNCTION("""COMPUTED_VALUE"""),"Composteira")</f>
        <v>Composteira</v>
      </c>
      <c r="G397" s="107" t="s">
        <v>3029</v>
      </c>
    </row>
    <row r="398">
      <c r="E398" s="110" t="str">
        <f>IFERROR(__xludf.DUMMYFUNCTION("""COMPUTED_VALUE"""),"Live Solidária – 17ª Agronegócios Copercana")</f>
        <v>Live Solidária – 17ª Agronegócios Copercana</v>
      </c>
      <c r="G398" s="107" t="s">
        <v>972</v>
      </c>
    </row>
    <row r="399">
      <c r="E399" s="110" t="str">
        <f>IFERROR(__xludf.DUMMYFUNCTION("""COMPUTED_VALUE"""),"Propriedade Rural Sustentável Aurora")</f>
        <v>Propriedade Rural Sustentável Aurora</v>
      </c>
      <c r="G399" s="107" t="s">
        <v>2163</v>
      </c>
    </row>
    <row r="400">
      <c r="E400" s="110" t="str">
        <f>IFERROR(__xludf.DUMMYFUNCTION("""COMPUTED_VALUE"""),"Energia Solar")</f>
        <v>Energia Solar</v>
      </c>
      <c r="G400" s="107" t="s">
        <v>1269</v>
      </c>
    </row>
    <row r="401">
      <c r="E401" s="110" t="str">
        <f>IFERROR(__xludf.DUMMYFUNCTION("""COMPUTED_VALUE"""),"Expodireto Cotrijal")</f>
        <v>Expodireto Cotrijal</v>
      </c>
      <c r="G401" s="107" t="s">
        <v>620</v>
      </c>
    </row>
    <row r="402">
      <c r="E402" s="110" t="str">
        <f>IFERROR(__xludf.DUMMYFUNCTION("""COMPUTED_VALUE"""),"Programa Mais Elas")</f>
        <v>Programa Mais Elas</v>
      </c>
      <c r="G402" s="107" t="s">
        <v>2433</v>
      </c>
    </row>
    <row r="403">
      <c r="E403" s="110" t="str">
        <f>IFERROR(__xludf.DUMMYFUNCTION("""COMPUTED_VALUE"""),"Assistência Técnica")</f>
        <v>Assistência Técnica</v>
      </c>
      <c r="G403" s="107" t="s">
        <v>2639</v>
      </c>
    </row>
    <row r="404">
      <c r="E404" s="110" t="str">
        <f>IFERROR(__xludf.DUMMYFUNCTION("""COMPUTED_VALUE"""),"Pedal Solidário")</f>
        <v>Pedal Solidário</v>
      </c>
      <c r="G404" s="107" t="s">
        <v>1355</v>
      </c>
    </row>
    <row r="405">
      <c r="E405" s="110" t="str">
        <f>IFERROR(__xludf.DUMMYFUNCTION("""COMPUTED_VALUE"""),"Programa Ciclus de Agricultura de Precisão")</f>
        <v>Programa Ciclus de Agricultura de Precisão</v>
      </c>
      <c r="G405" s="107" t="s">
        <v>684</v>
      </c>
    </row>
    <row r="406">
      <c r="E406" s="110" t="str">
        <f>IFERROR(__xludf.DUMMYFUNCTION("""COMPUTED_VALUE"""),"Programa Supernova ")</f>
        <v>Programa Supernova </v>
      </c>
      <c r="G406" s="107" t="s">
        <v>804</v>
      </c>
    </row>
    <row r="407">
      <c r="E407" s="110" t="str">
        <f>IFERROR(__xludf.DUMMYFUNCTION("""COMPUTED_VALUE"""),"Doações Projeto Ombro Amigo")</f>
        <v>Doações Projeto Ombro Amigo</v>
      </c>
      <c r="G407" s="107" t="s">
        <v>822</v>
      </c>
    </row>
    <row r="408">
      <c r="E408" s="110" t="str">
        <f>IFERROR(__xludf.DUMMYFUNCTION("""COMPUTED_VALUE"""),"Doações lares de idosos")</f>
        <v>Doações lares de idosos</v>
      </c>
      <c r="G408" s="107" t="s">
        <v>854</v>
      </c>
    </row>
    <row r="409">
      <c r="E409" s="110" t="str">
        <f>IFERROR(__xludf.DUMMYFUNCTION("""COMPUTED_VALUE"""),"Programa Mulheres Cooperativistas Cotrisal")</f>
        <v>Programa Mulheres Cooperativistas Cotrisal</v>
      </c>
      <c r="G409" s="107" t="s">
        <v>1965</v>
      </c>
    </row>
    <row r="410">
      <c r="C410" s="107" t="s">
        <v>1514</v>
      </c>
      <c r="E410" s="110" t="str">
        <f>IFERROR(__xludf.DUMMYFUNCTION("""COMPUTED_VALUE"""),"Supporting our stakeholders during COVID-19")</f>
        <v>Supporting our stakeholders during COVID-19</v>
      </c>
      <c r="G410" s="107" t="s">
        <v>297</v>
      </c>
    </row>
    <row r="411">
      <c r="C411" s="107" t="s">
        <v>1062</v>
      </c>
      <c r="E411" s="110" t="str">
        <f>IFERROR(__xludf.DUMMYFUNCTION("""COMPUTED_VALUE"""),"Joining Forces for Last-Mile Nutrition")</f>
        <v>Joining Forces for Last-Mile Nutrition</v>
      </c>
      <c r="G411" s="107" t="s">
        <v>222</v>
      </c>
    </row>
    <row r="412">
      <c r="E412" s="110" t="str">
        <f>IFERROR(__xludf.DUMMYFUNCTION("""COMPUTED_VALUE"""),"Accessibility of nutritious products")</f>
        <v>Accessibility of nutritious products</v>
      </c>
      <c r="G412" s="107" t="s">
        <v>3049</v>
      </c>
    </row>
    <row r="413">
      <c r="E413" s="110" t="str">
        <f>IFERROR(__xludf.DUMMYFUNCTION("""COMPUTED_VALUE"""),"Educational initiatives")</f>
        <v>Educational initiatives</v>
      </c>
      <c r="G413" s="113" t="s">
        <v>1472</v>
      </c>
      <c r="H413" s="112" t="s">
        <v>3258</v>
      </c>
    </row>
    <row r="414">
      <c r="E414" s="110" t="str">
        <f>IFERROR(__xludf.DUMMYFUNCTION("""COMPUTED_VALUE"""),"Renewable electricity in the rest of the world")</f>
        <v>Renewable electricity in the rest of the world</v>
      </c>
      <c r="G414" s="107" t="s">
        <v>3103</v>
      </c>
    </row>
    <row r="415">
      <c r="E415" s="110" t="str">
        <f>IFERROR(__xludf.DUMMYFUNCTION("""COMPUTED_VALUE"""),"Partnerships ")</f>
        <v>Partnerships </v>
      </c>
      <c r="G415" s="107" t="s">
        <v>3043</v>
      </c>
    </row>
    <row r="416">
      <c r="E416" s="110" t="str">
        <f>IFERROR(__xludf.DUMMYFUNCTION("""COMPUTED_VALUE"""),"Food &amp; Nature Program")</f>
        <v>Food &amp; Nature Program</v>
      </c>
      <c r="G416" s="113" t="s">
        <v>1808</v>
      </c>
      <c r="H416" s="112" t="s">
        <v>3258</v>
      </c>
    </row>
    <row r="417">
      <c r="E417" s="110" t="str">
        <f>IFERROR(__xludf.DUMMYFUNCTION("""COMPUTED_VALUE"""),"Improving Nutrition, Improving Lives")</f>
        <v>Improving Nutrition, Improving Lives</v>
      </c>
      <c r="G417" s="107" t="s">
        <v>3000</v>
      </c>
    </row>
    <row r="418">
      <c r="C418" s="107" t="s">
        <v>1461</v>
      </c>
      <c r="E418" s="110" t="str">
        <f>IFERROR(__xludf.DUMMYFUNCTION("""COMPUTED_VALUE"""),"CO2REDUCE ")</f>
        <v>CO2REDUCE </v>
      </c>
      <c r="G418" s="107" t="s">
        <v>285</v>
      </c>
    </row>
    <row r="419">
      <c r="E419" s="110" t="str">
        <f>IFERROR(__xludf.DUMMYFUNCTION("""COMPUTED_VALUE"""),"Biodiversity ")</f>
        <v>Biodiversity </v>
      </c>
      <c r="G419" s="107" t="s">
        <v>2732</v>
      </c>
      <c r="H419" s="112" t="s">
        <v>3258</v>
      </c>
    </row>
    <row r="420">
      <c r="E420" s="110" t="str">
        <f>IFERROR(__xludf.DUMMYFUNCTION("""COMPUTED_VALUE"""),"Animal Nutrition &amp; Health")</f>
        <v>Animal Nutrition &amp; Health</v>
      </c>
      <c r="G420" s="107" t="s">
        <v>2497</v>
      </c>
    </row>
    <row r="421">
      <c r="E421" s="110" t="str">
        <f>IFERROR(__xludf.DUMMYFUNCTION("""COMPUTED_VALUE"""),"Development of Sustainability Service and Precision Nutrition platform ")</f>
        <v>Development of Sustainability Service and Precision Nutrition platform </v>
      </c>
      <c r="G421" s="111" t="s">
        <v>3305</v>
      </c>
      <c r="H421" s="112" t="s">
        <v>3258</v>
      </c>
    </row>
    <row r="422">
      <c r="E422" s="110" t="str">
        <f>IFERROR(__xludf.DUMMYFUNCTION("""COMPUTED_VALUE"""),"Multiple micronutrient supplementation (MMS)")</f>
        <v>Multiple micronutrient supplementation (MMS)</v>
      </c>
      <c r="G422" s="111" t="s">
        <v>3306</v>
      </c>
      <c r="H422" s="112" t="s">
        <v>3258</v>
      </c>
    </row>
    <row r="423">
      <c r="E423" s="110" t="str">
        <f>IFERROR(__xludf.DUMMYFUNCTION("""COMPUTED_VALUE"""),"Supplier Code of Conduct (SCoC) ")</f>
        <v>Supplier Code of Conduct (SCoC) </v>
      </c>
      <c r="G423" s="113" t="s">
        <v>2804</v>
      </c>
      <c r="H423" s="112" t="s">
        <v>3258</v>
      </c>
    </row>
    <row r="424">
      <c r="E424" s="110" t="str">
        <f>IFERROR(__xludf.DUMMYFUNCTION("""COMPUTED_VALUE"""),"Together for Sustainability (TfS) ")</f>
        <v>Together for Sustainability (TfS) </v>
      </c>
      <c r="G424" s="113" t="s">
        <v>3307</v>
      </c>
      <c r="H424" s="112" t="s">
        <v>3258</v>
      </c>
    </row>
    <row r="425">
      <c r="C425" s="107" t="s">
        <v>2077</v>
      </c>
      <c r="E425" s="110" t="str">
        <f>IFERROR(__xludf.DUMMYFUNCTION("""COMPUTED_VALUE"""),"Composting of organic waste")</f>
        <v>Composting of organic waste</v>
      </c>
      <c r="G425" s="107" t="s">
        <v>408</v>
      </c>
    </row>
    <row r="426">
      <c r="E426" s="110" t="str">
        <f>IFERROR(__xludf.DUMMYFUNCTION("""COMPUTED_VALUE"""),"Rice")</f>
        <v>Rice</v>
      </c>
      <c r="G426" s="107" t="s">
        <v>2015</v>
      </c>
    </row>
    <row r="427">
      <c r="E427" s="110" t="str">
        <f>IFERROR(__xludf.DUMMYFUNCTION("""COMPUTED_VALUE"""),"Business measures supporting our climate approach")</f>
        <v>Business measures supporting our climate approach</v>
      </c>
      <c r="G427" s="107" t="s">
        <v>1814</v>
      </c>
    </row>
    <row r="428">
      <c r="E428" s="110" t="str">
        <f>IFERROR(__xludf.DUMMYFUNCTION("""COMPUTED_VALUE"""),"Food System Commitments")</f>
        <v>Food System Commitments</v>
      </c>
      <c r="G428" s="107" t="s">
        <v>1211</v>
      </c>
    </row>
    <row r="429">
      <c r="E429" s="110" t="str">
        <f>IFERROR(__xludf.DUMMYFUNCTION("""COMPUTED_VALUE"""),"Nutritional solutions")</f>
        <v>Nutritional solutions</v>
      </c>
      <c r="G429" s="107" t="s">
        <v>1394</v>
      </c>
    </row>
    <row r="430">
      <c r="E430" s="110" t="str">
        <f>IFERROR(__xludf.DUMMYFUNCTION("""COMPUTED_VALUE"""),"Solidarity Campaigns")</f>
        <v>Solidarity Campaigns</v>
      </c>
      <c r="G430" s="107" t="s">
        <v>2902</v>
      </c>
    </row>
    <row r="431">
      <c r="E431" s="110" t="str">
        <f>IFERROR(__xludf.DUMMYFUNCTION("""COMPUTED_VALUE"""),"EcoVadis ")</f>
        <v>EcoVadis </v>
      </c>
      <c r="G431" s="107" t="s">
        <v>1146</v>
      </c>
    </row>
    <row r="432">
      <c r="E432" s="110" t="str">
        <f>IFERROR(__xludf.DUMMYFUNCTION("""COMPUTED_VALUE"""),"TfS Academy")</f>
        <v>TfS Academy</v>
      </c>
      <c r="G432" s="107" t="s">
        <v>1978</v>
      </c>
    </row>
    <row r="433">
      <c r="E433" s="110" t="str">
        <f>IFERROR(__xludf.DUMMYFUNCTION("""COMPUTED_VALUE"""),"Project B.E.N.®")</f>
        <v>Project B.E.N.®</v>
      </c>
      <c r="G433" s="107" t="s">
        <v>2811</v>
      </c>
    </row>
    <row r="434">
      <c r="E434" s="110" t="str">
        <f>IFERROR(__xludf.DUMMYFUNCTION("""COMPUTED_VALUE"""),"Resilient and Social Impact ")</f>
        <v>Resilient and Social Impact </v>
      </c>
      <c r="G434" s="107" t="s">
        <v>2037</v>
      </c>
    </row>
    <row r="435">
      <c r="E435" s="110" t="str">
        <f>IFERROR(__xludf.DUMMYFUNCTION("""COMPUTED_VALUE"""),"Farm Produtivity ")</f>
        <v>Farm Produtivity </v>
      </c>
      <c r="G435" s="107" t="s">
        <v>2717</v>
      </c>
    </row>
    <row r="436">
      <c r="E436" s="110" t="str">
        <f>IFERROR(__xludf.DUMMYFUNCTION("""COMPUTED_VALUE"""),"Carbon Sponge")</f>
        <v>Carbon Sponge</v>
      </c>
      <c r="G436" s="107" t="s">
        <v>693</v>
      </c>
    </row>
    <row r="437">
      <c r="E437" s="110" t="str">
        <f>IFERROR(__xludf.DUMMYFUNCTION("""COMPUTED_VALUE"""),"Farmer Financial Inclusion ")</f>
        <v>Farmer Financial Inclusion </v>
      </c>
      <c r="G437" s="113" t="s">
        <v>658</v>
      </c>
      <c r="H437" s="112" t="s">
        <v>3258</v>
      </c>
    </row>
    <row r="438">
      <c r="E438" s="110" t="str">
        <f>IFERROR(__xludf.DUMMYFUNCTION("""COMPUTED_VALUE"""),"Improving Farmers Life")</f>
        <v>Improving Farmers Life</v>
      </c>
      <c r="G438" s="107" t="s">
        <v>1561</v>
      </c>
    </row>
    <row r="439">
      <c r="E439" s="110" t="str">
        <f>IFERROR(__xludf.DUMMYFUNCTION("""COMPUTED_VALUE"""),"Connecting farmers to markets")</f>
        <v>Connecting farmers to markets</v>
      </c>
      <c r="G439" s="107" t="s">
        <v>1607</v>
      </c>
    </row>
    <row r="440">
      <c r="E440" s="110" t="str">
        <f>IFERROR(__xludf.DUMMYFUNCTION("""COMPUTED_VALUE"""),"Security through diversification")</f>
        <v>Security through diversification</v>
      </c>
      <c r="G440" s="107" t="s">
        <v>1801</v>
      </c>
    </row>
    <row r="441">
      <c r="E441" s="110" t="str">
        <f>IFERROR(__xludf.DUMMYFUNCTION("""COMPUTED_VALUE"""),"Training on issues and sustainable production")</f>
        <v>Training on issues and sustainable production</v>
      </c>
      <c r="G441" s="107" t="s">
        <v>2401</v>
      </c>
    </row>
    <row r="442">
      <c r="E442" s="110" t="str">
        <f>IFERROR(__xludf.DUMMYFUNCTION("""COMPUTED_VALUE"""),"Climate-smart agriculture")</f>
        <v>Climate-smart agriculture</v>
      </c>
      <c r="G442" s="107" t="s">
        <v>1647</v>
      </c>
    </row>
    <row r="443">
      <c r="E443" s="110" t="str">
        <f>IFERROR(__xludf.DUMMYFUNCTION("""COMPUTED_VALUE"""),"Regenerative Agriculture - The Solo Verde Project")</f>
        <v>Regenerative Agriculture - The Solo Verde Project</v>
      </c>
      <c r="G443" s="107" t="s">
        <v>2826</v>
      </c>
    </row>
    <row r="444">
      <c r="E444" s="110" t="str">
        <f>IFERROR(__xludf.DUMMYFUNCTION("""COMPUTED_VALUE"""),"SMS Bee Project")</f>
        <v>SMS Bee Project</v>
      </c>
      <c r="G444" s="107" t="s">
        <v>1464</v>
      </c>
    </row>
    <row r="445">
      <c r="E445" s="110" t="str">
        <f>IFERROR(__xludf.DUMMYFUNCTION("""COMPUTED_VALUE"""),"Gender Empowerment")</f>
        <v>Gender Empowerment</v>
      </c>
      <c r="G445" s="107" t="s">
        <v>2101</v>
      </c>
    </row>
    <row r="446">
      <c r="C446" s="107" t="s">
        <v>1039</v>
      </c>
      <c r="E446" s="110" t="str">
        <f>IFERROR(__xludf.DUMMYFUNCTION("""COMPUTED_VALUE"""),"Programa Integrado da Amazônia (PIA)")</f>
        <v>Programa Integrado da Amazônia (PIA)</v>
      </c>
      <c r="G446" s="107" t="s">
        <v>219</v>
      </c>
    </row>
    <row r="447">
      <c r="E447" s="110" t="str">
        <f>IFERROR(__xludf.DUMMYFUNCTION("""COMPUTED_VALUE"""),"Programa InovaSocial")</f>
        <v>Programa InovaSocial</v>
      </c>
      <c r="G447" s="107" t="s">
        <v>1911</v>
      </c>
    </row>
    <row r="448">
      <c r="E448" s="110" t="str">
        <f>IFERROR(__xludf.DUMMYFUNCTION("""COMPUTED_VALUE"""),"Protocolo Carne Carbono Neutro")</f>
        <v>Protocolo Carne Carbono Neutro</v>
      </c>
      <c r="G448" s="107" t="s">
        <v>2946</v>
      </c>
    </row>
    <row r="449">
      <c r="E449" s="110" t="str">
        <f>IFERROR(__xludf.DUMMYFUNCTION("""COMPUTED_VALUE"""),"Projeto MRV Agro")</f>
        <v>Projeto MRV Agro</v>
      </c>
      <c r="G449" s="107" t="s">
        <v>851</v>
      </c>
    </row>
    <row r="450">
      <c r="E450" s="110" t="str">
        <f>IFERROR(__xludf.DUMMYFUNCTION("""COMPUTED_VALUE"""),"Observatório Mulheres Rurais do Brasil")</f>
        <v>Observatório Mulheres Rurais do Brasil</v>
      </c>
      <c r="G450" s="107" t="s">
        <v>1902</v>
      </c>
    </row>
    <row r="451">
      <c r="C451" s="107" t="s">
        <v>232</v>
      </c>
      <c r="E451" s="110" t="str">
        <f>IFERROR(__xludf.DUMMYFUNCTION("""COMPUTED_VALUE"""),"Doação de cestas básicas")</f>
        <v>Doação de cestas básicas</v>
      </c>
      <c r="G451" s="107" t="s">
        <v>119</v>
      </c>
    </row>
    <row r="452">
      <c r="E452" s="110" t="str">
        <f>IFERROR(__xludf.DUMMYFUNCTION("""COMPUTED_VALUE"""),"Distribuição de tecnologia ")</f>
        <v>Distribuição de tecnologia </v>
      </c>
      <c r="G452" s="107" t="s">
        <v>839</v>
      </c>
    </row>
    <row r="453">
      <c r="E453" s="110" t="str">
        <f>IFERROR(__xludf.DUMMYFUNCTION("""COMPUTED_VALUE"""),"Barter Ultra")</f>
        <v>Barter Ultra</v>
      </c>
      <c r="G453" s="107" t="s">
        <v>3132</v>
      </c>
    </row>
    <row r="454">
      <c r="E454" s="110" t="str">
        <f>IFERROR(__xludf.DUMMYFUNCTION("""COMPUTED_VALUE"""),"Rentabilidade da Região")</f>
        <v>Rentabilidade da Região</v>
      </c>
      <c r="G454" s="107" t="s">
        <v>1777</v>
      </c>
    </row>
    <row r="455">
      <c r="E455" s="110" t="str">
        <f>IFERROR(__xludf.DUMMYFUNCTION("""COMPUTED_VALUE"""),"Doação de Alimentos")</f>
        <v>Doação de Alimentos</v>
      </c>
      <c r="G455" s="107" t="s">
        <v>3146</v>
      </c>
    </row>
    <row r="456">
      <c r="E456" s="110" t="str">
        <f>IFERROR(__xludf.DUMMYFUNCTION("""COMPUTED_VALUE"""),"Semana Interna de Prevenção de Acidentes (Sipat)")</f>
        <v>Semana Interna de Prevenção de Acidentes (Sipat)</v>
      </c>
      <c r="G456" s="107" t="s">
        <v>3143</v>
      </c>
    </row>
    <row r="457">
      <c r="E457" s="110" t="str">
        <f>IFERROR(__xludf.DUMMYFUNCTION("""COMPUTED_VALUE"""),"Programa de Apoio ao Colaborador")</f>
        <v>Programa de Apoio ao Colaborador</v>
      </c>
      <c r="G457" s="107" t="s">
        <v>2758</v>
      </c>
    </row>
    <row r="458">
      <c r="C458" s="107" t="s">
        <v>203</v>
      </c>
      <c r="E458" s="110" t="str">
        <f>IFERROR(__xludf.DUMMYFUNCTION("""COMPUTED_VALUE"""),"Visita Técnica")</f>
        <v>Visita Técnica</v>
      </c>
      <c r="G458" s="107" t="s">
        <v>109</v>
      </c>
    </row>
    <row r="459">
      <c r="E459" s="110" t="str">
        <f>IFERROR(__xludf.DUMMYFUNCTION("""COMPUTED_VALUE"""),"Páscoa ")</f>
        <v>Páscoa </v>
      </c>
      <c r="G459" s="107" t="s">
        <v>1585</v>
      </c>
    </row>
    <row r="460">
      <c r="E460" s="110" t="str">
        <f>IFERROR(__xludf.DUMMYFUNCTION("""COMPUTED_VALUE"""),"Cuide-se + Alimentação Saudável")</f>
        <v>Cuide-se + Alimentação Saudável</v>
      </c>
      <c r="G460" s="107" t="s">
        <v>638</v>
      </c>
    </row>
    <row r="461">
      <c r="C461" s="107" t="s">
        <v>681</v>
      </c>
      <c r="E461" s="110" t="str">
        <f>IFERROR(__xludf.DUMMYFUNCTION("""COMPUTED_VALUE"""),"Programa Tarifas Rurais Noturnas (TRN) ")</f>
        <v>Programa Tarifas Rurais Noturnas (TRN) </v>
      </c>
      <c r="G461" s="113" t="s">
        <v>168</v>
      </c>
      <c r="H461" s="112" t="s">
        <v>3308</v>
      </c>
    </row>
    <row r="462">
      <c r="C462" s="107" t="s">
        <v>729</v>
      </c>
      <c r="E462" s="110" t="str">
        <f>IFERROR(__xludf.DUMMYFUNCTION("""COMPUTED_VALUE"""),"Natal Solidário Parque Histórico de Carambeí")</f>
        <v>Natal Solidário Parque Histórico de Carambeí</v>
      </c>
      <c r="G462" s="107" t="s">
        <v>175</v>
      </c>
    </row>
    <row r="463">
      <c r="C463" s="107" t="s">
        <v>2008</v>
      </c>
      <c r="E463" s="110" t="str">
        <f>IFERROR(__xludf.DUMMYFUNCTION("""COMPUTED_VALUE"""),"Doação de Alimentos e de Itens de Proteção")</f>
        <v>Doação de Alimentos e de Itens de Proteção</v>
      </c>
      <c r="G463" s="107" t="s">
        <v>394</v>
      </c>
    </row>
    <row r="464">
      <c r="E464" s="110" t="str">
        <f>IFERROR(__xludf.DUMMYFUNCTION("""COMPUTED_VALUE"""),"Projeto Amigos do Bem")</f>
        <v>Projeto Amigos do Bem</v>
      </c>
      <c r="G464" s="107" t="s">
        <v>1699</v>
      </c>
    </row>
    <row r="465">
      <c r="E465" s="110" t="str">
        <f>IFERROR(__xludf.DUMMYFUNCTION("""COMPUTED_VALUE"""),"Gincana InterCIPA")</f>
        <v>Gincana InterCIPA</v>
      </c>
      <c r="G465" s="107" t="s">
        <v>2233</v>
      </c>
    </row>
    <row r="466">
      <c r="E466" s="110" t="str">
        <f>IFERROR(__xludf.DUMMYFUNCTION("""COMPUTED_VALUE"""),"Doações e voluntariado ")</f>
        <v>Doações e voluntariado </v>
      </c>
      <c r="G466" s="107" t="s">
        <v>1454</v>
      </c>
    </row>
    <row r="467">
      <c r="C467" s="107" t="s">
        <v>2281</v>
      </c>
      <c r="E467" s="110" t="str">
        <f>IFERROR(__xludf.DUMMYFUNCTION("""COMPUTED_VALUE"""),"Programa Fundo Azul")</f>
        <v>Programa Fundo Azul</v>
      </c>
      <c r="G467" s="113" t="s">
        <v>438</v>
      </c>
      <c r="H467" s="112" t="s">
        <v>3308</v>
      </c>
    </row>
    <row r="468">
      <c r="E468" s="110" t="str">
        <f>IFERROR(__xludf.DUMMYFUNCTION("""COMPUTED_VALUE"""),"Combate à Fome ")</f>
        <v>Combate à Fome </v>
      </c>
      <c r="G468" s="107" t="s">
        <v>1149</v>
      </c>
    </row>
    <row r="469">
      <c r="E469" s="110" t="str">
        <f>IFERROR(__xludf.DUMMYFUNCTION("""COMPUTED_VALUE"""),"Frísia + saúde (APP)")</f>
        <v>Frísia + saúde (APP)</v>
      </c>
      <c r="G469" s="107" t="s">
        <v>719</v>
      </c>
    </row>
    <row r="470">
      <c r="E470" s="110" t="str">
        <f>IFERROR(__xludf.DUMMYFUNCTION("""COMPUTED_VALUE"""),"Fazenda Sustentável ")</f>
        <v>Fazenda Sustentável </v>
      </c>
      <c r="G470" s="107" t="s">
        <v>1085</v>
      </c>
    </row>
    <row r="471">
      <c r="E471" s="110" t="str">
        <f>IFERROR(__xludf.DUMMYFUNCTION("""COMPUTED_VALUE"""),"Ações de saúde")</f>
        <v>Ações de saúde</v>
      </c>
      <c r="G471" s="107" t="s">
        <v>1615</v>
      </c>
    </row>
    <row r="472">
      <c r="E472" s="110" t="str">
        <f>IFERROR(__xludf.DUMMYFUNCTION("""COMPUTED_VALUE"""),"Manual Ambiental")</f>
        <v>Manual Ambiental</v>
      </c>
      <c r="G472" s="107" t="s">
        <v>799</v>
      </c>
    </row>
    <row r="473">
      <c r="E473" s="110" t="str">
        <f>IFERROR(__xludf.DUMMYFUNCTION("""COMPUTED_VALUE"""),"Programa Cada Gota Conta")</f>
        <v>Programa Cada Gota Conta</v>
      </c>
      <c r="G473" s="107" t="s">
        <v>2653</v>
      </c>
    </row>
    <row r="474">
      <c r="E474" s="110" t="str">
        <f>IFERROR(__xludf.DUMMYFUNCTION("""COMPUTED_VALUE"""),"Doações - Granja Faria")</f>
        <v>Doações - Granja Faria</v>
      </c>
      <c r="G474" s="107" t="s">
        <v>1387</v>
      </c>
    </row>
    <row r="475">
      <c r="C475" s="107" t="s">
        <v>2412</v>
      </c>
      <c r="E475" s="110" t="str">
        <f>IFERROR(__xludf.DUMMYFUNCTION("""COMPUTED_VALUE"""),"Plataforma Global do Café (GCP)")</f>
        <v>Plataforma Global do Café (GCP)</v>
      </c>
      <c r="G475" s="107" t="s">
        <v>462</v>
      </c>
    </row>
    <row r="476">
      <c r="E476" s="110" t="str">
        <f>IFERROR(__xludf.DUMMYFUNCTION("""COMPUTED_VALUE"""),"Instituto Café Solidário")</f>
        <v>Instituto Café Solidário</v>
      </c>
      <c r="G476" s="113" t="s">
        <v>672</v>
      </c>
      <c r="H476" s="112" t="s">
        <v>3258</v>
      </c>
    </row>
    <row r="477">
      <c r="E477" s="110" t="str">
        <f>IFERROR(__xludf.DUMMYFUNCTION("""COMPUTED_VALUE"""),"Paineis solares")</f>
        <v>Paineis solares</v>
      </c>
      <c r="G477" s="107" t="s">
        <v>679</v>
      </c>
      <c r="H477" s="112" t="s">
        <v>3258</v>
      </c>
    </row>
    <row r="478">
      <c r="E478" s="110" t="str">
        <f>IFERROR(__xludf.DUMMYFUNCTION("""COMPUTED_VALUE"""),"Mútua Matas e Nascentes")</f>
        <v>Mútua Matas e Nascentes</v>
      </c>
      <c r="G478" s="107" t="s">
        <v>1774</v>
      </c>
    </row>
    <row r="479">
      <c r="E479" s="110" t="str">
        <f>IFERROR(__xludf.DUMMYFUNCTION("""COMPUTED_VALUE"""),"Workshops Starbucks")</f>
        <v>Workshops Starbucks</v>
      </c>
      <c r="G479" s="111" t="s">
        <v>810</v>
      </c>
      <c r="H479" s="112" t="s">
        <v>3258</v>
      </c>
    </row>
    <row r="480">
      <c r="C480" s="107" t="s">
        <v>923</v>
      </c>
      <c r="E480" s="110" t="str">
        <f>IFERROR(__xludf.DUMMYFUNCTION("""COMPUTED_VALUE"""),"GMT Green ")</f>
        <v>GMT Green </v>
      </c>
      <c r="G480" s="107" t="s">
        <v>206</v>
      </c>
    </row>
    <row r="481">
      <c r="E481" s="110" t="str">
        <f>IFERROR(__xludf.DUMMYFUNCTION("""COMPUTED_VALUE"""),"Big Trade")</f>
        <v>Big Trade</v>
      </c>
      <c r="G481" s="111" t="s">
        <v>2774</v>
      </c>
      <c r="H481" s="112" t="s">
        <v>3258</v>
      </c>
    </row>
    <row r="482">
      <c r="E482" s="110" t="str">
        <f>IFERROR(__xludf.DUMMYFUNCTION("""COMPUTED_VALUE"""),"Sistema Plantio Direto")</f>
        <v>Sistema Plantio Direto</v>
      </c>
      <c r="G482" s="111" t="s">
        <v>617</v>
      </c>
      <c r="H482" s="112" t="s">
        <v>3258</v>
      </c>
    </row>
    <row r="483">
      <c r="E483" s="110" t="str">
        <f>IFERROR(__xludf.DUMMYFUNCTION("""COMPUTED_VALUE"""),"Projeto Nossa Água")</f>
        <v>Projeto Nossa Água</v>
      </c>
      <c r="G483" s="113" t="s">
        <v>2799</v>
      </c>
      <c r="H483" s="112" t="s">
        <v>3309</v>
      </c>
    </row>
    <row r="484">
      <c r="E484" s="110" t="str">
        <f>IFERROR(__xludf.DUMMYFUNCTION("""COMPUTED_VALUE"""),"Solar")</f>
        <v>Solar</v>
      </c>
      <c r="G484" s="107" t="s">
        <v>2583</v>
      </c>
    </row>
    <row r="485">
      <c r="E485" s="110" t="str">
        <f>IFERROR(__xludf.DUMMYFUNCTION("""COMPUTED_VALUE"""),"Bioinsumos - Integrada")</f>
        <v>Bioinsumos - Integrada</v>
      </c>
      <c r="G485" s="107" t="s">
        <v>1429</v>
      </c>
    </row>
    <row r="486">
      <c r="E486" s="110" t="str">
        <f>IFERROR(__xludf.DUMMYFUNCTION("""COMPUTED_VALUE"""),"Projeto Cultivida")</f>
        <v>Projeto Cultivida</v>
      </c>
      <c r="G486" s="111" t="s">
        <v>3310</v>
      </c>
      <c r="H486" s="112" t="s">
        <v>3258</v>
      </c>
    </row>
    <row r="487">
      <c r="E487" s="110" t="str">
        <f>IFERROR(__xludf.DUMMYFUNCTION("""COMPUTED_VALUE"""),"Cuide-se +")</f>
        <v>Cuide-se +</v>
      </c>
      <c r="G487" s="107" t="s">
        <v>2387</v>
      </c>
    </row>
    <row r="488">
      <c r="E488" s="110" t="str">
        <f>IFERROR(__xludf.DUMMYFUNCTION("""COMPUTED_VALUE"""),"Programa Prioridade Ambiental")</f>
        <v>Programa Prioridade Ambiental</v>
      </c>
      <c r="G488" s="107" t="s">
        <v>1339</v>
      </c>
    </row>
    <row r="489">
      <c r="E489" s="110" t="str">
        <f>IFERROR(__xludf.DUMMYFUNCTION("""COMPUTED_VALUE"""),"Fórum da Soja
")</f>
        <v>Fórum da Soja
</v>
      </c>
      <c r="G489" s="107" t="s">
        <v>1333</v>
      </c>
    </row>
    <row r="490">
      <c r="E490" s="110" t="str">
        <f>IFERROR(__xludf.DUMMYFUNCTION("""COMPUTED_VALUE"""),"Recuperação de Nascentes")</f>
        <v>Recuperação de Nascentes</v>
      </c>
      <c r="G490" s="107" t="s">
        <v>484</v>
      </c>
    </row>
    <row r="491">
      <c r="E491" s="110" t="str">
        <f>IFERROR(__xludf.DUMMYFUNCTION("""COMPUTED_VALUE"""),"Doação de Marmitas")</f>
        <v>Doação de Marmitas</v>
      </c>
      <c r="G491" s="107" t="s">
        <v>1139</v>
      </c>
    </row>
    <row r="492">
      <c r="E492" s="110" t="str">
        <f>IFERROR(__xludf.DUMMYFUNCTION("""COMPUTED_VALUE"""),"Todos Contra o Coronavírus")</f>
        <v>Todos Contra o Coronavírus</v>
      </c>
      <c r="G492" s="107" t="s">
        <v>2222</v>
      </c>
    </row>
    <row r="493">
      <c r="E493" s="110" t="str">
        <f>IFERROR(__xludf.DUMMYFUNCTION("""COMPUTED_VALUE"""),"Plante Amor, Colha Esperança")</f>
        <v>Plante Amor, Colha Esperança</v>
      </c>
      <c r="G493" s="107" t="s">
        <v>816</v>
      </c>
    </row>
    <row r="494">
      <c r="E494" s="110" t="str">
        <f>IFERROR(__xludf.DUMMYFUNCTION("""COMPUTED_VALUE"""),"Doação de Recursos ")</f>
        <v>Doação de Recursos </v>
      </c>
      <c r="G494" s="107" t="s">
        <v>1181</v>
      </c>
    </row>
    <row r="495">
      <c r="C495" s="107" t="s">
        <v>3311</v>
      </c>
      <c r="E495" s="110" t="str">
        <f>IFERROR(__xludf.DUMMYFUNCTION("""COMPUTED_VALUE"""),"Selo Lavoro")</f>
        <v>Selo Lavoro</v>
      </c>
      <c r="G495" s="107" t="s">
        <v>276</v>
      </c>
    </row>
    <row r="496">
      <c r="E496" s="110" t="str">
        <f>IFERROR(__xludf.DUMMYFUNCTION("""COMPUTED_VALUE"""),"Doação de Suco")</f>
        <v>Doação de Suco</v>
      </c>
      <c r="G496" s="107" t="s">
        <v>2378</v>
      </c>
    </row>
    <row r="497">
      <c r="E497" s="110" t="str">
        <f>IFERROR(__xludf.DUMMYFUNCTION("""COMPUTED_VALUE"""),"Program for Sustainable Agriculture")</f>
        <v>Program for Sustainable Agriculture</v>
      </c>
      <c r="G497" s="107" t="s">
        <v>1535</v>
      </c>
    </row>
    <row r="498">
      <c r="E498" s="110" t="str">
        <f>IFERROR(__xludf.DUMMYFUNCTION("""COMPUTED_VALUE"""),"Future-Proofing the Next Generation of Brazilian Farmers")</f>
        <v>Future-Proofing the Next Generation of Brazilian Farmers</v>
      </c>
      <c r="G498" s="107" t="s">
        <v>2255</v>
      </c>
    </row>
    <row r="499">
      <c r="C499" s="107" t="s">
        <v>2094</v>
      </c>
      <c r="E499" s="110" t="str">
        <f>IFERROR(__xludf.DUMMYFUNCTION("""COMPUTED_VALUE"""),"Supporting Conservation ")</f>
        <v>Supporting Conservation </v>
      </c>
      <c r="G499" s="107" t="s">
        <v>413</v>
      </c>
    </row>
    <row r="500">
      <c r="E500" s="110" t="str">
        <f>IFERROR(__xludf.DUMMYFUNCTION("""COMPUTED_VALUE"""),"Supporting a More Sustainable Cerrado")</f>
        <v>Supporting a More Sustainable Cerrado</v>
      </c>
      <c r="G500" s="107" t="s">
        <v>2011</v>
      </c>
    </row>
    <row r="501">
      <c r="E501" s="110" t="str">
        <f>IFERROR(__xludf.DUMMYFUNCTION("""COMPUTED_VALUE"""),"Planting for Tomorrow")</f>
        <v>Planting for Tomorrow</v>
      </c>
      <c r="G501" s="107" t="s">
        <v>1152</v>
      </c>
    </row>
    <row r="502">
      <c r="C502" s="107" t="s">
        <v>2729</v>
      </c>
      <c r="E502" s="110" t="str">
        <f>IFERROR(__xludf.DUMMYFUNCTION("""COMPUTED_VALUE"""),"Farmer First Clusters ")</f>
        <v>Farmer First Clusters </v>
      </c>
      <c r="G502" s="107" t="s">
        <v>515</v>
      </c>
    </row>
    <row r="503">
      <c r="E503" s="110" t="str">
        <f>IFERROR(__xludf.DUMMYFUNCTION("""COMPUTED_VALUE"""),"Programa Compartilhar")</f>
        <v>Programa Compartilhar</v>
      </c>
      <c r="G503" s="107" t="s">
        <v>1407</v>
      </c>
    </row>
    <row r="504">
      <c r="E504" s="110" t="str">
        <f>IFERROR(__xludf.DUMMYFUNCTION("""COMPUTED_VALUE"""),"Sustainable Agriculture Initiative’s Farm Sustainability Assessment")</f>
        <v>Sustainable Agriculture Initiative’s Farm Sustainability Assessment</v>
      </c>
      <c r="G504" s="107" t="s">
        <v>712</v>
      </c>
    </row>
    <row r="505">
      <c r="E505" s="110" t="str">
        <f>IFERROR(__xludf.DUMMYFUNCTION("""COMPUTED_VALUE"""),"Stronger Coffee Initiative")</f>
        <v>Stronger Coffee Initiative</v>
      </c>
      <c r="G505" s="107" t="s">
        <v>2040</v>
      </c>
    </row>
    <row r="506">
      <c r="E506" s="110" t="str">
        <f>IFERROR(__xludf.DUMMYFUNCTION("""COMPUTED_VALUE"""),"Protecting Biodiversity")</f>
        <v>Protecting Biodiversity</v>
      </c>
      <c r="G506" s="113" t="s">
        <v>2830</v>
      </c>
      <c r="H506" s="112" t="s">
        <v>3258</v>
      </c>
    </row>
    <row r="507">
      <c r="E507" s="110" t="str">
        <f>IFERROR(__xludf.DUMMYFUNCTION("""COMPUTED_VALUE"""),"Renewable energy ")</f>
        <v>Renewable energy </v>
      </c>
      <c r="G507" s="107" t="s">
        <v>1283</v>
      </c>
    </row>
    <row r="508">
      <c r="E508" s="110" t="str">
        <f>IFERROR(__xludf.DUMMYFUNCTION("""COMPUTED_VALUE"""),"SLC VENTURES
")</f>
        <v>SLC VENTURES
</v>
      </c>
      <c r="G508" s="107" t="s">
        <v>771</v>
      </c>
    </row>
    <row r="509">
      <c r="C509" s="107" t="s">
        <v>1798</v>
      </c>
      <c r="E509" s="110" t="str">
        <f>IFERROR(__xludf.DUMMYFUNCTION("""COMPUTED_VALUE"""),"Grupo de Ação Socioambiental (GAS)")</f>
        <v>Grupo de Ação Socioambiental (GAS)</v>
      </c>
      <c r="G509" s="107" t="s">
        <v>351</v>
      </c>
    </row>
    <row r="510">
      <c r="C510" s="107" t="s">
        <v>1782</v>
      </c>
      <c r="E510" s="110" t="str">
        <f>IFERROR(__xludf.DUMMYFUNCTION("""COMPUTED_VALUE"""),"Plantio Direto")</f>
        <v>Plantio Direto</v>
      </c>
      <c r="G510" s="107" t="s">
        <v>345</v>
      </c>
    </row>
    <row r="511">
      <c r="E511" s="110" t="str">
        <f>IFERROR(__xludf.DUMMYFUNCTION("""COMPUTED_VALUE"""),"Certificados Recebíveis do Agronegócio")</f>
        <v>Certificados Recebíveis do Agronegócio</v>
      </c>
      <c r="G511" s="107" t="s">
        <v>1730</v>
      </c>
    </row>
    <row r="512">
      <c r="E512" s="110" t="str">
        <f>IFERROR(__xludf.DUMMYFUNCTION("""COMPUTED_VALUE"""),"Conservação do Solo e Adubação Verde")</f>
        <v>Conservação do Solo e Adubação Verde</v>
      </c>
      <c r="G512" s="113" t="s">
        <v>1418</v>
      </c>
      <c r="H512" s="112" t="s">
        <v>3258</v>
      </c>
    </row>
    <row r="513">
      <c r="E513" s="110" t="str">
        <f>IFERROR(__xludf.DUMMYFUNCTION("""COMPUTED_VALUE"""),"Projeto Horta Agroecologia Periférica")</f>
        <v>Projeto Horta Agroecologia Periférica</v>
      </c>
      <c r="G513" s="107" t="s">
        <v>1884</v>
      </c>
    </row>
    <row r="514">
      <c r="E514" s="110" t="str">
        <f>IFERROR(__xludf.DUMMYFUNCTION("""COMPUTED_VALUE"""),"CONSERV")</f>
        <v>CONSERV</v>
      </c>
      <c r="G514" s="107" t="s">
        <v>2277</v>
      </c>
    </row>
    <row r="515">
      <c r="C515" s="107" t="s">
        <v>2384</v>
      </c>
      <c r="E515" s="110" t="str">
        <f>IFERROR(__xludf.DUMMYFUNCTION("""COMPUTED_VALUE"""),"Enriquecimento Florestal")</f>
        <v>Enriquecimento Florestal</v>
      </c>
      <c r="G515" s="107" t="s">
        <v>458</v>
      </c>
    </row>
    <row r="516">
      <c r="C516" s="107" t="s">
        <v>1889</v>
      </c>
      <c r="E516" s="110" t="str">
        <f>IFERROR(__xludf.DUMMYFUNCTION("""COMPUTED_VALUE"""),"Doação de produtos")</f>
        <v>Doação de produtos</v>
      </c>
      <c r="G516" s="107" t="s">
        <v>364</v>
      </c>
    </row>
    <row r="517">
      <c r="E517" s="110" t="str">
        <f>IFERROR(__xludf.DUMMYFUNCTION("""COMPUTED_VALUE"""),"Natal Solidário - Alvoar")</f>
        <v>Natal Solidário - Alvoar</v>
      </c>
      <c r="G517" s="107" t="s">
        <v>1525</v>
      </c>
    </row>
    <row r="518">
      <c r="E518" s="110" t="str">
        <f>IFERROR(__xludf.DUMMYFUNCTION("""COMPUTED_VALUE"""),"Caldeiras de Biomassa")</f>
        <v>Caldeiras de Biomassa</v>
      </c>
      <c r="G518" s="107" t="s">
        <v>1738</v>
      </c>
    </row>
    <row r="519">
      <c r="C519" s="107" t="s">
        <v>1456</v>
      </c>
      <c r="E519" s="110" t="str">
        <f>IFERROR(__xludf.DUMMYFUNCTION("""COMPUTED_VALUE"""),"Reuso de água")</f>
        <v>Reuso de água</v>
      </c>
      <c r="G519" s="107" t="s">
        <v>280</v>
      </c>
    </row>
    <row r="520">
      <c r="E520" s="110" t="str">
        <f>IFERROR(__xludf.DUMMYFUNCTION("""COMPUTED_VALUE"""),"Energia renovável - Eólica")</f>
        <v>Energia renovável - Eólica</v>
      </c>
      <c r="G520" s="107" t="s">
        <v>633</v>
      </c>
    </row>
    <row r="521">
      <c r="C521" s="107" t="s">
        <v>1932</v>
      </c>
      <c r="E521" s="110" t="str">
        <f>IFERROR(__xludf.DUMMYFUNCTION("""COMPUTED_VALUE"""),"Energia renovável - Solar")</f>
        <v>Energia renovável - Solar</v>
      </c>
      <c r="G521" s="107" t="s">
        <v>374</v>
      </c>
    </row>
    <row r="522">
      <c r="E522" s="110" t="str">
        <f>IFERROR(__xludf.DUMMYFUNCTION("""COMPUTED_VALUE"""),"Programa Bacias &amp; Florestas")</f>
        <v>Programa Bacias &amp; Florestas</v>
      </c>
      <c r="G522" s="107" t="s">
        <v>624</v>
      </c>
    </row>
    <row r="523">
      <c r="E523" s="110" t="str">
        <f>IFERROR(__xludf.DUMMYFUNCTION("""COMPUTED_VALUE"""),"Guaraná Maués")</f>
        <v>Guaraná Maués</v>
      </c>
      <c r="G523" s="107" t="s">
        <v>2066</v>
      </c>
    </row>
    <row r="524">
      <c r="E524" s="110" t="str">
        <f>IFERROR(__xludf.DUMMYFUNCTION("""COMPUTED_VALUE"""),"Agricultura Sustentável")</f>
        <v>Agricultura Sustentável</v>
      </c>
      <c r="G524" s="107" t="s">
        <v>2267</v>
      </c>
    </row>
    <row r="525">
      <c r="C525" s="107" t="s">
        <v>828</v>
      </c>
      <c r="E525" s="110" t="str">
        <f>IFERROR(__xludf.DUMMYFUNCTION("""COMPUTED_VALUE"""),"Doação de goma de mandioca")</f>
        <v>Doação de goma de mandioca</v>
      </c>
      <c r="G525" s="107" t="s">
        <v>198</v>
      </c>
    </row>
    <row r="526">
      <c r="E526" s="110" t="str">
        <f>IFERROR(__xludf.DUMMYFUNCTION("""COMPUTED_VALUE"""),"Doação de pães")</f>
        <v>Doação de pães</v>
      </c>
      <c r="G526" s="111" t="s">
        <v>1656</v>
      </c>
      <c r="H526" s="112" t="s">
        <v>3258</v>
      </c>
    </row>
    <row r="527">
      <c r="E527" s="110" t="str">
        <f>IFERROR(__xludf.DUMMYFUNCTION("""COMPUTED_VALUE"""),"Doação de água AMA")</f>
        <v>Doação de água AMA</v>
      </c>
      <c r="G527" s="107" t="s">
        <v>2315</v>
      </c>
    </row>
    <row r="528">
      <c r="E528" s="110" t="str">
        <f>IFERROR(__xludf.DUMMYFUNCTION("""COMPUTED_VALUE"""),"Projeto AMA")</f>
        <v>Projeto AMA</v>
      </c>
      <c r="G528" s="107" t="s">
        <v>2645</v>
      </c>
    </row>
    <row r="529">
      <c r="E529" s="110" t="str">
        <f>IFERROR(__xludf.DUMMYFUNCTION("""COMPUTED_VALUE"""),"Berrió do Piauí")</f>
        <v>Berrió do Piauí</v>
      </c>
      <c r="G529" s="107" t="s">
        <v>1350</v>
      </c>
    </row>
    <row r="530">
      <c r="E530" s="110" t="str">
        <f>IFERROR(__xludf.DUMMYFUNCTION("""COMPUTED_VALUE"""),"Projeto de água potável com filtros de barro")</f>
        <v>Projeto de água potável com filtros de barro</v>
      </c>
      <c r="G530" s="107" t="s">
        <v>1503</v>
      </c>
    </row>
    <row r="531">
      <c r="E531" s="110" t="str">
        <f>IFERROR(__xludf.DUMMYFUNCTION("""COMPUTED_VALUE"""),"Ambev Contra Fome")</f>
        <v>Ambev Contra Fome</v>
      </c>
      <c r="G531" s="107" t="s">
        <v>905</v>
      </c>
    </row>
    <row r="532">
      <c r="C532" s="115" t="s">
        <v>1984</v>
      </c>
      <c r="E532" s="110" t="str">
        <f>IFERROR(__xludf.DUMMYFUNCTION("""COMPUTED_VALUE"""),"Doações Petrópolis")</f>
        <v>Doações Petrópolis</v>
      </c>
      <c r="G532" s="107" t="s">
        <v>390</v>
      </c>
    </row>
    <row r="533">
      <c r="C533" s="107" t="s">
        <v>1917</v>
      </c>
      <c r="E533" s="110" t="str">
        <f>IFERROR(__xludf.DUMMYFUNCTION("""COMPUTED_VALUE"""),"Doações Recife")</f>
        <v>Doações Recife</v>
      </c>
      <c r="G533" s="107" t="s">
        <v>370</v>
      </c>
    </row>
    <row r="534">
      <c r="E534" s="110" t="str">
        <f>IFERROR(__xludf.DUMMYFUNCTION("""COMPUTED_VALUE"""),"Doações Terras Yanomami")</f>
        <v>Doações Terras Yanomami</v>
      </c>
      <c r="G534" s="107" t="s">
        <v>1987</v>
      </c>
    </row>
    <row r="535">
      <c r="C535" s="107" t="s">
        <v>1768</v>
      </c>
      <c r="E535" s="110" t="str">
        <f>IFERROR(__xludf.DUMMYFUNCTION("""COMPUTED_VALUE"""),"Doação de alimentos a Creche ""Vicente Oranges""")</f>
        <v>Doação de alimentos a Creche "Vicente Oranges"</v>
      </c>
      <c r="G535" s="107" t="s">
        <v>340</v>
      </c>
    </row>
    <row r="536">
      <c r="E536" s="110" t="str">
        <f>IFERROR(__xludf.DUMMYFUNCTION("""COMPUTED_VALUE"""),"Parceria Mesa Brasil SESC - Bem Brasil Alimentos")</f>
        <v>Parceria Mesa Brasil SESC - Bem Brasil Alimentos</v>
      </c>
      <c r="G536" s="107" t="s">
        <v>2070</v>
      </c>
    </row>
    <row r="537">
      <c r="E537" s="110" t="str">
        <f>IFERROR(__xludf.DUMMYFUNCTION("""COMPUTED_VALUE"""),"Programa de Fomento")</f>
        <v>Programa de Fomento</v>
      </c>
      <c r="G537" s="107" t="s">
        <v>848</v>
      </c>
    </row>
    <row r="538">
      <c r="E538" s="110" t="str">
        <f>IFERROR(__xludf.DUMMYFUNCTION("""COMPUTED_VALUE"""),"Produção de florestas próprias")</f>
        <v>Produção de florestas próprias</v>
      </c>
      <c r="G538" s="107" t="s">
        <v>1117</v>
      </c>
    </row>
    <row r="539">
      <c r="E539" s="110" t="str">
        <f>IFERROR(__xludf.DUMMYFUNCTION("""COMPUTED_VALUE"""),"Agricultura sustentável")</f>
        <v>Agricultura sustentável</v>
      </c>
      <c r="G539" s="107" t="s">
        <v>1080</v>
      </c>
    </row>
    <row r="540">
      <c r="C540" s="107" t="s">
        <v>801</v>
      </c>
      <c r="E540" s="110" t="str">
        <f>IFERROR(__xludf.DUMMYFUNCTION("""COMPUTED_VALUE"""),"Doações para a sociedade")</f>
        <v>Doações para a sociedade</v>
      </c>
      <c r="G540" s="107" t="s">
        <v>193</v>
      </c>
    </row>
    <row r="541">
      <c r="E541" s="110" t="str">
        <f>IFERROR(__xludf.DUMMYFUNCTION("""COMPUTED_VALUE"""),"Doações na pandemia")</f>
        <v>Doações na pandemia</v>
      </c>
      <c r="G541" s="107" t="s">
        <v>913</v>
      </c>
    </row>
    <row r="542">
      <c r="E542" s="110" t="str">
        <f>IFERROR(__xludf.DUMMYFUNCTION("""COMPUTED_VALUE"""),"Caravana Iluminada de Natal Coca-Cola")</f>
        <v>Caravana Iluminada de Natal Coca-Cola</v>
      </c>
      <c r="G542" s="107" t="s">
        <v>1629</v>
      </c>
    </row>
    <row r="543">
      <c r="E543" s="110" t="str">
        <f>IFERROR(__xludf.DUMMYFUNCTION("""COMPUTED_VALUE"""),"Plantio de árvores em nascente de rio")</f>
        <v>Plantio de árvores em nascente de rio</v>
      </c>
      <c r="G543" s="107" t="s">
        <v>857</v>
      </c>
    </row>
    <row r="544">
      <c r="E544" s="110" t="str">
        <f>IFERROR(__xludf.DUMMYFUNCTION("""COMPUTED_VALUE"""),"Parceira com Banco do Brasil - Energia Solar")</f>
        <v>Parceira com Banco do Brasil - Energia Solar</v>
      </c>
      <c r="G544" s="107" t="s">
        <v>1344</v>
      </c>
    </row>
    <row r="545">
      <c r="E545" s="110" t="str">
        <f>IFERROR(__xludf.DUMMYFUNCTION("""COMPUTED_VALUE"""),"Parques de autogeração")</f>
        <v>Parques de autogeração</v>
      </c>
      <c r="G545" s="107" t="s">
        <v>3056</v>
      </c>
    </row>
    <row r="546">
      <c r="C546" s="107" t="s">
        <v>1103</v>
      </c>
      <c r="E546" s="110" t="str">
        <f>IFERROR(__xludf.DUMMYFUNCTION("""COMPUTED_VALUE"""),"Rastreabilidade e Compra Sustentável de Grãos")</f>
        <v>Rastreabilidade e Compra Sustentável de Grãos</v>
      </c>
      <c r="G546" s="107" t="s">
        <v>226</v>
      </c>
    </row>
    <row r="547">
      <c r="E547" s="110" t="str">
        <f>IFERROR(__xludf.DUMMYFUNCTION("""COMPUTED_VALUE"""),"Doações ")</f>
        <v>Doações </v>
      </c>
      <c r="G547" s="111" t="s">
        <v>3312</v>
      </c>
      <c r="H547" s="112" t="s">
        <v>3258</v>
      </c>
    </row>
    <row r="548">
      <c r="E548" s="110" t="str">
        <f>IFERROR(__xludf.DUMMYFUNCTION("""COMPUTED_VALUE"""),"Contribuições para a comunidade no enfrentamento à pandemia")</f>
        <v>Contribuições para a comunidade no enfrentamento à pandemia</v>
      </c>
      <c r="G548" s="107" t="s">
        <v>2671</v>
      </c>
    </row>
    <row r="549">
      <c r="E549" s="110" t="str">
        <f>IFERROR(__xludf.DUMMYFUNCTION("""COMPUTED_VALUE"""),"Doações Instituto Caça Fome")</f>
        <v>Doações Instituto Caça Fome</v>
      </c>
      <c r="G549" s="107" t="s">
        <v>2808</v>
      </c>
    </row>
    <row r="550">
      <c r="E550" s="110" t="str">
        <f>IFERROR(__xludf.DUMMYFUNCTION("""COMPUTED_VALUE"""),"Doações Cabo de Santo Agostinho")</f>
        <v>Doações Cabo de Santo Agostinho</v>
      </c>
      <c r="G550" s="113" t="s">
        <v>1058</v>
      </c>
      <c r="H550" s="112" t="s">
        <v>3309</v>
      </c>
    </row>
    <row r="551">
      <c r="E551" s="110" t="str">
        <f>IFERROR(__xludf.DUMMYFUNCTION("""COMPUTED_VALUE"""),"Doações Fundo Social - Apareciada de Goiânia ")</f>
        <v>Doações Fundo Social - Apareciada de Goiânia </v>
      </c>
      <c r="G551" s="113" t="s">
        <v>779</v>
      </c>
      <c r="H551" s="112" t="s">
        <v>3309</v>
      </c>
    </row>
    <row r="552">
      <c r="E552" s="110" t="str">
        <f>IFERROR(__xludf.DUMMYFUNCTION("""COMPUTED_VALUE"""),"Doações Brasil Sem Fome")</f>
        <v>Doações Brasil Sem Fome</v>
      </c>
      <c r="G552" s="113" t="s">
        <v>1819</v>
      </c>
      <c r="H552" s="112" t="s">
        <v>3309</v>
      </c>
    </row>
    <row r="553">
      <c r="E553" s="110" t="str">
        <f>IFERROR(__xludf.DUMMYFUNCTION("""COMPUTED_VALUE"""),"Natal Sem Fome - Ação da Cidadania")</f>
        <v>Natal Sem Fome - Ação da Cidadania</v>
      </c>
      <c r="G553" s="107" t="s">
        <v>2133</v>
      </c>
    </row>
    <row r="554">
      <c r="E554" s="110" t="str">
        <f>IFERROR(__xludf.DUMMYFUNCTION("""COMPUTED_VALUE"""),"Doações Central única das favelas (CUFA)")</f>
        <v>Doações Central única das favelas (CUFA)</v>
      </c>
      <c r="G554" s="111" t="s">
        <v>1543</v>
      </c>
      <c r="H554" s="112" t="s">
        <v>3258</v>
      </c>
    </row>
    <row r="555">
      <c r="E555" s="110" t="str">
        <f>IFERROR(__xludf.DUMMYFUNCTION("""COMPUTED_VALUE"""),"Doações Unicef")</f>
        <v>Doações Unicef</v>
      </c>
      <c r="G555" s="111" t="s">
        <v>2409</v>
      </c>
      <c r="H555" s="112" t="s">
        <v>3258</v>
      </c>
    </row>
    <row r="556">
      <c r="E556" s="110" t="str">
        <f>IFERROR(__xludf.DUMMYFUNCTION("""COMPUTED_VALUE"""),"Doações Mesa Brasil - SESC")</f>
        <v>Doações Mesa Brasil - SESC</v>
      </c>
      <c r="G556" s="107" t="s">
        <v>2846</v>
      </c>
    </row>
    <row r="557">
      <c r="C557" s="107" t="s">
        <v>2569</v>
      </c>
      <c r="E557" s="110" t="str">
        <f>IFERROR(__xludf.DUMMYFUNCTION("""COMPUTED_VALUE"""),"Doações Centro de Desenvolvimento Humano Atitude Social")</f>
        <v>Doações Centro de Desenvolvimento Humano Atitude Social</v>
      </c>
      <c r="G557" s="111" t="s">
        <v>3313</v>
      </c>
      <c r="H557" s="112" t="s">
        <v>3258</v>
      </c>
    </row>
    <row r="558">
      <c r="C558" s="107" t="s">
        <v>2246</v>
      </c>
      <c r="E558" s="110" t="str">
        <f>IFERROR(__xludf.DUMMYFUNCTION("""COMPUTED_VALUE"""),"Gastromotiva")</f>
        <v>Gastromotiva</v>
      </c>
      <c r="G558" s="111" t="s">
        <v>433</v>
      </c>
      <c r="H558" s="112" t="s">
        <v>3258</v>
      </c>
    </row>
    <row r="559">
      <c r="C559" s="107" t="s">
        <v>884</v>
      </c>
      <c r="E559" s="110" t="str">
        <f>IFERROR(__xludf.DUMMYFUNCTION("""COMPUTED_VALUE"""),"Ação da Cidadania")</f>
        <v>Ação da Cidadania</v>
      </c>
      <c r="G559" s="111" t="s">
        <v>304</v>
      </c>
      <c r="H559" s="112" t="s">
        <v>3258</v>
      </c>
    </row>
    <row r="560">
      <c r="E560" s="110" t="str">
        <f>IFERROR(__xludf.DUMMYFUNCTION("""COMPUTED_VALUE"""),"Projeto Arrastão")</f>
        <v>Projeto Arrastão</v>
      </c>
      <c r="G560" s="111" t="s">
        <v>3314</v>
      </c>
      <c r="H560" s="112" t="s">
        <v>3258</v>
      </c>
    </row>
    <row r="561">
      <c r="E561" s="110" t="str">
        <f>IFERROR(__xludf.DUMMYFUNCTION("""COMPUTED_VALUE"""),"Energia gerada a partir de biomassa")</f>
        <v>Energia gerada a partir de biomassa</v>
      </c>
      <c r="G561" s="107" t="s">
        <v>2995</v>
      </c>
    </row>
    <row r="562">
      <c r="C562" s="107" t="s">
        <v>3046</v>
      </c>
      <c r="E562" s="110" t="str">
        <f>IFERROR(__xludf.DUMMYFUNCTION("""COMPUTED_VALUE"""),"Doações na Pandemia")</f>
        <v>Doações na Pandemia</v>
      </c>
      <c r="G562" s="107" t="s">
        <v>570</v>
      </c>
    </row>
    <row r="563">
      <c r="E563" s="110" t="str">
        <f>IFERROR(__xludf.DUMMYFUNCTION("""COMPUTED_VALUE"""),"Água + Acesso ")</f>
        <v>Água + Acesso </v>
      </c>
      <c r="G563" s="107" t="s">
        <v>1321</v>
      </c>
    </row>
    <row r="564">
      <c r="E564" s="110" t="str">
        <f>IFERROR(__xludf.DUMMYFUNCTION("""COMPUTED_VALUE"""),"Por todas as mesas")</f>
        <v>Por todas as mesas</v>
      </c>
      <c r="G564" s="107" t="s">
        <v>1207</v>
      </c>
    </row>
    <row r="565">
      <c r="E565" s="110" t="str">
        <f>IFERROR(__xludf.DUMMYFUNCTION("""COMPUTED_VALUE"""),"Aliados por el Agua")</f>
        <v>Aliados por el Agua</v>
      </c>
      <c r="G565" s="107" t="s">
        <v>1632</v>
      </c>
    </row>
    <row r="566">
      <c r="E566" s="110" t="str">
        <f>IFERROR(__xludf.DUMMYFUNCTION("""COMPUTED_VALUE"""),"Política de doações de Pérdida y desperdicio de alimentos")</f>
        <v>Política de doações de Pérdida y desperdicio de alimentos</v>
      </c>
      <c r="G566" s="107" t="s">
        <v>1373</v>
      </c>
    </row>
    <row r="567">
      <c r="E567" s="110" t="str">
        <f>IFERROR(__xludf.DUMMYFUNCTION("""COMPUTED_VALUE"""),"Qualidade da água e reflorestamento - Coca Cola Andina")</f>
        <v>Qualidade da água e reflorestamento - Coca Cola Andina</v>
      </c>
      <c r="G567" s="107" t="s">
        <v>1289</v>
      </c>
    </row>
    <row r="568">
      <c r="C568" s="107" t="s">
        <v>2922</v>
      </c>
      <c r="E568" s="110" t="str">
        <f>IFERROR(__xludf.DUMMYFUNCTION("""COMPUTED_VALUE"""),"Natal sem Fome - CocaCola")</f>
        <v>Natal sem Fome - CocaCola</v>
      </c>
      <c r="G568" s="107" t="s">
        <v>549</v>
      </c>
    </row>
    <row r="569">
      <c r="E569" s="110" t="str">
        <f>IFERROR(__xludf.DUMMYFUNCTION("""COMPUTED_VALUE"""),"WASH initiative")</f>
        <v>WASH initiative</v>
      </c>
      <c r="G569" s="107" t="s">
        <v>947</v>
      </c>
    </row>
    <row r="570">
      <c r="E570" s="110" t="str">
        <f>IFERROR(__xludf.DUMMYFUNCTION("""COMPUTED_VALUE"""),"Energia a Biogás")</f>
        <v>Energia a Biogás</v>
      </c>
      <c r="G570" s="107" t="s">
        <v>2153</v>
      </c>
    </row>
    <row r="571">
      <c r="E571" s="110" t="str">
        <f>IFERROR(__xludf.DUMMYFUNCTION("""COMPUTED_VALUE"""),"Reflorestamento - Copacol")</f>
        <v>Reflorestamento - Copacol</v>
      </c>
      <c r="G571" s="107" t="s">
        <v>2453</v>
      </c>
    </row>
    <row r="572">
      <c r="C572" s="107" t="s">
        <v>3109</v>
      </c>
      <c r="E572" s="110" t="str">
        <f>IFERROR(__xludf.DUMMYFUNCTION("""COMPUTED_VALUE"""),"Mutirão da Solidariedade Vale do Taquari ")</f>
        <v>Mutirão da Solidariedade Vale do Taquari </v>
      </c>
      <c r="G572" s="107" t="s">
        <v>595</v>
      </c>
    </row>
    <row r="573">
      <c r="E573" s="110" t="str">
        <f>IFERROR(__xludf.DUMMYFUNCTION("""COMPUTED_VALUE"""),"Doação ao CRAS")</f>
        <v>Doação ao CRAS</v>
      </c>
      <c r="G573" s="111" t="s">
        <v>1684</v>
      </c>
      <c r="H573" s="112" t="s">
        <v>3258</v>
      </c>
    </row>
    <row r="574">
      <c r="E574" s="110" t="str">
        <f>IFERROR(__xludf.DUMMYFUNCTION("""COMPUTED_VALUE"""),"Horta Escolar ")</f>
        <v>Horta Escolar </v>
      </c>
      <c r="G574" s="111" t="s">
        <v>705</v>
      </c>
      <c r="H574" s="112" t="s">
        <v>3258</v>
      </c>
    </row>
    <row r="575">
      <c r="E575" s="110" t="str">
        <f>IFERROR(__xludf.DUMMYFUNCTION("""COMPUTED_VALUE"""),"Operação 365")</f>
        <v>Operação 365</v>
      </c>
      <c r="G575" s="107" t="s">
        <v>1259</v>
      </c>
    </row>
    <row r="576">
      <c r="E576" s="110" t="str">
        <f>IFERROR(__xludf.DUMMYFUNCTION("""COMPUTED_VALUE"""),"Seminário da Soja ")</f>
        <v>Seminário da Soja </v>
      </c>
      <c r="G576" s="107" t="s">
        <v>831</v>
      </c>
    </row>
    <row r="577">
      <c r="E577" s="110" t="str">
        <f>IFERROR(__xludf.DUMMYFUNCTION("""COMPUTED_VALUE"""),"Pequenos Agricultores")</f>
        <v>Pequenos Agricultores</v>
      </c>
      <c r="G577" s="107" t="s">
        <v>2003</v>
      </c>
    </row>
    <row r="578">
      <c r="E578" s="110" t="str">
        <f>IFERROR(__xludf.DUMMYFUNCTION("""COMPUTED_VALUE"""),"Doações - Dori")</f>
        <v>Doações - Dori</v>
      </c>
      <c r="G578" s="107" t="s">
        <v>2648</v>
      </c>
    </row>
    <row r="579">
      <c r="E579" s="110" t="str">
        <f>IFERROR(__xludf.DUMMYFUNCTION("""COMPUTED_VALUE"""),"Projeto Sistema de Restauração Florestal (Sirflor)")</f>
        <v>Projeto Sistema de Restauração Florestal (Sirflor)</v>
      </c>
      <c r="G579" s="107" t="s">
        <v>1312</v>
      </c>
    </row>
    <row r="580">
      <c r="C580" s="107" t="s">
        <v>337</v>
      </c>
      <c r="E580" s="110" t="str">
        <f>IFERROR(__xludf.DUMMYFUNCTION("""COMPUTED_VALUE"""),"Subprodutos Residuais ")</f>
        <v>Subprodutos Residuais </v>
      </c>
      <c r="G580" s="107" t="s">
        <v>126</v>
      </c>
    </row>
    <row r="581">
      <c r="E581" s="110" t="str">
        <f>IFERROR(__xludf.DUMMYFUNCTION("""COMPUTED_VALUE"""),"FriGol Farm")</f>
        <v>FriGol Farm</v>
      </c>
      <c r="G581" s="107" t="s">
        <v>1571</v>
      </c>
    </row>
    <row r="582">
      <c r="E582" s="110" t="str">
        <f>IFERROR(__xludf.DUMMYFUNCTION("""COMPUTED_VALUE"""),"Ações Pontuais ")</f>
        <v>Ações Pontuais </v>
      </c>
      <c r="G582" s="107" t="s">
        <v>740</v>
      </c>
    </row>
    <row r="583">
      <c r="E583" s="110" t="str">
        <f>IFERROR(__xludf.DUMMYFUNCTION("""COMPUTED_VALUE"""),"Saúde dos Colaboradores")</f>
        <v>Saúde dos Colaboradores</v>
      </c>
      <c r="G583" s="107" t="s">
        <v>1383</v>
      </c>
    </row>
    <row r="584">
      <c r="E584" s="110" t="str">
        <f>IFERROR(__xludf.DUMMYFUNCTION("""COMPUTED_VALUE"""),"Biomassa")</f>
        <v>Biomassa</v>
      </c>
      <c r="G584" s="107" t="s">
        <v>2735</v>
      </c>
    </row>
    <row r="585">
      <c r="E585" s="110" t="str">
        <f>IFERROR(__xludf.DUMMYFUNCTION("""COMPUTED_VALUE"""),"Programa Suíno Certificado")</f>
        <v>Programa Suíno Certificado</v>
      </c>
      <c r="G585" s="107" t="s">
        <v>1972</v>
      </c>
    </row>
    <row r="586">
      <c r="E586" s="110" t="str">
        <f>IFERROR(__xludf.DUMMYFUNCTION("""COMPUTED_VALUE"""),"Parque Ambiental Frimesa")</f>
        <v>Parque Ambiental Frimesa</v>
      </c>
      <c r="G586" s="107" t="s">
        <v>2633</v>
      </c>
    </row>
    <row r="587">
      <c r="E587" s="110" t="str">
        <f>IFERROR(__xludf.DUMMYFUNCTION("""COMPUTED_VALUE"""),"Nosso mel")</f>
        <v>Nosso mel</v>
      </c>
      <c r="G587" s="107" t="s">
        <v>2986</v>
      </c>
    </row>
    <row r="588">
      <c r="E588" s="110" t="str">
        <f>IFERROR(__xludf.DUMMYFUNCTION("""COMPUTED_VALUE"""),"Biodigestor")</f>
        <v>Biodigestor</v>
      </c>
      <c r="G588" s="107" t="s">
        <v>2270</v>
      </c>
    </row>
    <row r="589">
      <c r="E589" s="110" t="str">
        <f>IFERROR(__xludf.DUMMYFUNCTION("""COMPUTED_VALUE"""),"Energia solar")</f>
        <v>Energia solar</v>
      </c>
      <c r="G589" s="107" t="s">
        <v>1499</v>
      </c>
    </row>
    <row r="590">
      <c r="E590" s="110" t="str">
        <f>IFERROR(__xludf.DUMMYFUNCTION("""COMPUTED_VALUE"""),"Doações de produtos excedentes")</f>
        <v>Doações de produtos excedentes</v>
      </c>
      <c r="G590" s="107" t="s">
        <v>2539</v>
      </c>
    </row>
    <row r="591">
      <c r="E591" s="110" t="str">
        <f>IFERROR(__xludf.DUMMYFUNCTION("""COMPUTED_VALUE"""),"Pescadores artesanais ")</f>
        <v>Pescadores artesanais </v>
      </c>
      <c r="G591" s="107" t="s">
        <v>1638</v>
      </c>
    </row>
    <row r="592">
      <c r="E592" s="110" t="str">
        <f>IFERROR(__xludf.DUMMYFUNCTION("""COMPUTED_VALUE"""),"Programa Viva + Leve")</f>
        <v>Programa Viva + Leve</v>
      </c>
      <c r="G592" s="107" t="s">
        <v>1324</v>
      </c>
    </row>
    <row r="593">
      <c r="E593" s="110" t="str">
        <f>IFERROR(__xludf.DUMMYFUNCTION("""COMPUTED_VALUE"""),"Doações a ONGs")</f>
        <v>Doações a ONGs</v>
      </c>
      <c r="G593" s="107" t="s">
        <v>2429</v>
      </c>
    </row>
    <row r="594">
      <c r="E594" s="110" t="str">
        <f>IFERROR(__xludf.DUMMYFUNCTION("""COMPUTED_VALUE"""),"Doações FIEC/CE")</f>
        <v>Doações FIEC/CE</v>
      </c>
      <c r="G594" s="113" t="s">
        <v>1509</v>
      </c>
      <c r="H594" s="112" t="s">
        <v>3258</v>
      </c>
    </row>
    <row r="595">
      <c r="E595" s="110" t="str">
        <f>IFERROR(__xludf.DUMMYFUNCTION("""COMPUTED_VALUE"""),"Doações produtores indígenas de café")</f>
        <v>Doações produtores indígenas de café</v>
      </c>
      <c r="G595" s="111" t="s">
        <v>762</v>
      </c>
      <c r="H595" s="112" t="s">
        <v>3258</v>
      </c>
    </row>
    <row r="596">
      <c r="E596" s="110" t="str">
        <f>IFERROR(__xludf.DUMMYFUNCTION("""COMPUTED_VALUE"""),"Doações a populações atingidas por fortes chuvas em Minas Gerais")</f>
        <v>Doações a populações atingidas por fortes chuvas em Minas Gerais</v>
      </c>
      <c r="G596" s="107" t="s">
        <v>1273</v>
      </c>
    </row>
    <row r="597">
      <c r="E597" s="110" t="str">
        <f>IFERROR(__xludf.DUMMYFUNCTION("""COMPUTED_VALUE"""),"Projeto Florada")</f>
        <v>Projeto Florada</v>
      </c>
      <c r="G597" s="107" t="s">
        <v>2404</v>
      </c>
    </row>
    <row r="598">
      <c r="E598" s="110" t="str">
        <f>IFERROR(__xludf.DUMMYFUNCTION("""COMPUTED_VALUE"""),"Projeto Tribos")</f>
        <v>Projeto Tribos</v>
      </c>
      <c r="G598" s="107" t="s">
        <v>2911</v>
      </c>
    </row>
    <row r="599">
      <c r="E599" s="110" t="str">
        <f>IFERROR(__xludf.DUMMYFUNCTION("""COMPUTED_VALUE"""),"Doações à vítimas de desastres naturais")</f>
        <v>Doações à vítimas de desastres naturais</v>
      </c>
      <c r="G599" s="107" t="s">
        <v>2974</v>
      </c>
    </row>
    <row r="600">
      <c r="E600" s="110" t="str">
        <f>IFERROR(__xludf.DUMMYFUNCTION("""COMPUTED_VALUE"""),"Doação de Frango para Entidade de Caridade em Sarandi")</f>
        <v>Doação de Frango para Entidade de Caridade em Sarandi</v>
      </c>
      <c r="G600" s="107" t="s">
        <v>1624</v>
      </c>
    </row>
    <row r="601">
      <c r="E601" s="110" t="str">
        <f>IFERROR(__xludf.DUMMYFUNCTION("""COMPUTED_VALUE"""),"Academia Manejo")</f>
        <v>Academia Manejo</v>
      </c>
      <c r="G601" s="107" t="s">
        <v>1992</v>
      </c>
    </row>
    <row r="602">
      <c r="E602" s="110" t="str">
        <f>IFERROR(__xludf.DUMMYFUNCTION("""COMPUTED_VALUE"""),"Implementação de sistemas fotovoltaicos em aviários de criação de aves")</f>
        <v>Implementação de sistemas fotovoltaicos em aviários de criação de aves</v>
      </c>
      <c r="G602" s="107" t="s">
        <v>2823</v>
      </c>
    </row>
    <row r="603">
      <c r="E603" s="110" t="str">
        <f>IFERROR(__xludf.DUMMYFUNCTION("""COMPUTED_VALUE"""),"Plataforma Pecuária Transparente")</f>
        <v>Plataforma Pecuária Transparente</v>
      </c>
      <c r="G603" s="107" t="s">
        <v>790</v>
      </c>
    </row>
    <row r="604">
      <c r="E604" s="110" t="str">
        <f>IFERROR(__xludf.DUMMYFUNCTION("""COMPUTED_VALUE"""),"Fazer o bem faz bem ")</f>
        <v>Fazer o bem faz bem </v>
      </c>
      <c r="G604" s="107" t="s">
        <v>715</v>
      </c>
    </row>
    <row r="605">
      <c r="E605" s="110" t="str">
        <f>IFERROR(__xludf.DUMMYFUNCTION("""COMPUTED_VALUE"""),"Criação do Fundo JBS pela Amazônia")</f>
        <v>Criação do Fundo JBS pela Amazônia</v>
      </c>
      <c r="G605" s="107" t="s">
        <v>1244</v>
      </c>
    </row>
    <row r="606">
      <c r="E606" s="110" t="str">
        <f>IFERROR(__xludf.DUMMYFUNCTION("""COMPUTED_VALUE"""),"Amigos do Bem: Sertão NE 
")</f>
        <v>Amigos do Bem: Sertão NE 
</v>
      </c>
      <c r="G606" s="107" t="s">
        <v>1599</v>
      </c>
    </row>
    <row r="607">
      <c r="E607" s="110" t="str">
        <f>IFERROR(__xludf.DUMMYFUNCTION("""COMPUTED_VALUE"""),"Escritórios Verdes")</f>
        <v>Escritórios Verdes</v>
      </c>
      <c r="G607" s="107" t="s">
        <v>1596</v>
      </c>
    </row>
    <row r="608">
      <c r="E608" s="110" t="str">
        <f>IFERROR(__xludf.DUMMYFUNCTION("""COMPUTED_VALUE"""),"Fazenda Nota 10 ")</f>
        <v>Fazenda Nota 10 </v>
      </c>
      <c r="G608" s="107" t="s">
        <v>1186</v>
      </c>
    </row>
    <row r="609">
      <c r="E609" s="110" t="str">
        <f>IFERROR(__xludf.DUMMYFUNCTION("""COMPUTED_VALUE"""),"Rebanho Araguaia")</f>
        <v>Rebanho Araguaia</v>
      </c>
      <c r="G609" s="107" t="s">
        <v>1620</v>
      </c>
    </row>
    <row r="610">
      <c r="E610" s="110" t="str">
        <f>IFERROR(__xludf.DUMMYFUNCTION("""COMPUTED_VALUE"""),"Grupo de Trabalho da Pecuária Sustentável (GTPS) ")</f>
        <v>Grupo de Trabalho da Pecuária Sustentável (GTPS) </v>
      </c>
      <c r="G610" s="107" t="s">
        <v>708</v>
      </c>
    </row>
    <row r="611">
      <c r="C611" s="107" t="s">
        <v>3061</v>
      </c>
      <c r="E611" s="110" t="str">
        <f>IFERROR(__xludf.DUMMYFUNCTION("""COMPUTED_VALUE"""),"Campo Forte Fertilizantes")</f>
        <v>Campo Forte Fertilizantes</v>
      </c>
      <c r="G611" s="107" t="s">
        <v>577</v>
      </c>
    </row>
    <row r="612">
      <c r="E612" s="110" t="str">
        <f>IFERROR(__xludf.DUMMYFUNCTION("""COMPUTED_VALUE"""),"Desperdício de Alimentos ")</f>
        <v>Desperdício de Alimentos </v>
      </c>
      <c r="G612" s="107" t="s">
        <v>2520</v>
      </c>
    </row>
    <row r="613">
      <c r="E613" s="110" t="str">
        <f>IFERROR(__xludf.DUMMYFUNCTION("""COMPUTED_VALUE"""),"Iniciativa Bossa Nova")</f>
        <v>Iniciativa Bossa Nova</v>
      </c>
      <c r="G613" s="107" t="s">
        <v>3068</v>
      </c>
    </row>
    <row r="614">
      <c r="E614" s="110" t="str">
        <f>IFERROR(__xludf.DUMMYFUNCTION("""COMPUTED_VALUE"""),"JUNTOS: Pessoas + Florestas + Pecuária")</f>
        <v>JUNTOS: Pessoas + Florestas + Pecuária</v>
      </c>
      <c r="G614" s="113" t="s">
        <v>1279</v>
      </c>
      <c r="H614" s="112" t="s">
        <v>3315</v>
      </c>
    </row>
    <row r="615">
      <c r="E615" s="110" t="str">
        <f>IFERROR(__xludf.DUMMYFUNCTION("""COMPUTED_VALUE"""),"RestaurAmazônia")</f>
        <v>RestaurAmazônia</v>
      </c>
      <c r="G615" s="107" t="s">
        <v>1556</v>
      </c>
    </row>
    <row r="616">
      <c r="E616" s="110" t="str">
        <f>IFERROR(__xludf.DUMMYFUNCTION("""COMPUTED_VALUE"""),"Economias Comunitárias Inclusivas")</f>
        <v>Economias Comunitárias Inclusivas</v>
      </c>
      <c r="G616" s="113" t="s">
        <v>1249</v>
      </c>
      <c r="H616" s="112" t="s">
        <v>3315</v>
      </c>
    </row>
    <row r="617">
      <c r="E617" s="110" t="str">
        <f>IFERROR(__xludf.DUMMYFUNCTION("""COMPUTED_VALUE"""),"Nutrir o amanhã")</f>
        <v>Nutrir o amanhã</v>
      </c>
      <c r="G617" s="107" t="s">
        <v>2738</v>
      </c>
    </row>
    <row r="618">
      <c r="E618" s="110" t="str">
        <f>IFERROR(__xludf.DUMMYFUNCTION("""COMPUTED_VALUE"""),"Doação para Cruz vermelha Brasileira")</f>
        <v>Doação para Cruz vermelha Brasileira</v>
      </c>
      <c r="G618" s="107" t="s">
        <v>2787</v>
      </c>
    </row>
    <row r="619">
      <c r="E619" s="110" t="str">
        <f>IFERROR(__xludf.DUMMYFUNCTION("""COMPUTED_VALUE"""),"Doação Mesa Brasil SESC")</f>
        <v>Doação Mesa Brasil SESC</v>
      </c>
      <c r="G619" s="107" t="s">
        <v>1315</v>
      </c>
    </row>
    <row r="620">
      <c r="E620" s="110" t="str">
        <f>IFERROR(__xludf.DUMMYFUNCTION("""COMPUTED_VALUE"""),"Doação CUFA")</f>
        <v>Doação CUFA</v>
      </c>
      <c r="G620" s="107" t="s">
        <v>2892</v>
      </c>
    </row>
    <row r="621">
      <c r="E621" s="110" t="str">
        <f>IFERROR(__xludf.DUMMYFUNCTION("""COMPUTED_VALUE"""),"Doação Obras Sociais Irmã Dulce (Osid)")</f>
        <v>Doação Obras Sociais Irmã Dulce (Osid)</v>
      </c>
      <c r="G621" s="107" t="s">
        <v>1098</v>
      </c>
    </row>
    <row r="622">
      <c r="E622" s="110" t="str">
        <f>IFERROR(__xludf.DUMMYFUNCTION("""COMPUTED_VALUE"""),"Doação Associação Remar do Brasil")</f>
        <v>Doação Associação Remar do Brasil</v>
      </c>
      <c r="G622" s="107" t="s">
        <v>1030</v>
      </c>
    </row>
    <row r="623">
      <c r="E623" s="110" t="str">
        <f>IFERROR(__xludf.DUMMYFUNCTION("""COMPUTED_VALUE"""),"Doação Ação Social São Roque")</f>
        <v>Doação Ação Social São Roque</v>
      </c>
      <c r="G623" s="107" t="s">
        <v>2594</v>
      </c>
    </row>
    <row r="624">
      <c r="E624" s="110" t="str">
        <f>IFERROR(__xludf.DUMMYFUNCTION("""COMPUTED_VALUE"""),"Doação Transforma Brasil")</f>
        <v>Doação Transforma Brasil</v>
      </c>
      <c r="G624" s="107" t="s">
        <v>2561</v>
      </c>
    </row>
    <row r="625">
      <c r="C625" s="107" t="s">
        <v>1130</v>
      </c>
      <c r="E625" s="110" t="str">
        <f>IFERROR(__xludf.DUMMYFUNCTION("""COMPUTED_VALUE"""),"Doação Banco de Alimentos de São Caetano do Sul")</f>
        <v>Doação Banco de Alimentos de São Caetano do Sul</v>
      </c>
      <c r="G625" s="107" t="s">
        <v>235</v>
      </c>
    </row>
    <row r="626">
      <c r="E626" s="110" t="str">
        <f>IFERROR(__xludf.DUMMYFUNCTION("""COMPUTED_VALUE"""),"Doação Instituto da Primeira Infância (Iprede)")</f>
        <v>Doação Instituto da Primeira Infância (Iprede)</v>
      </c>
      <c r="G626" s="107" t="s">
        <v>1095</v>
      </c>
    </row>
    <row r="627">
      <c r="E627" s="110" t="str">
        <f>IFERROR(__xludf.DUMMYFUNCTION("""COMPUTED_VALUE"""),"Energia renovável")</f>
        <v>Energia renovável</v>
      </c>
      <c r="G627" s="113" t="s">
        <v>910</v>
      </c>
      <c r="H627" s="112" t="s">
        <v>3258</v>
      </c>
    </row>
    <row r="628">
      <c r="E628" s="110" t="str">
        <f>IFERROR(__xludf.DUMMYFUNCTION("""COMPUTED_VALUE"""),"Ações de restauração")</f>
        <v>Ações de restauração</v>
      </c>
      <c r="G628" s="113" t="s">
        <v>2481</v>
      </c>
      <c r="H628" s="112" t="s">
        <v>3258</v>
      </c>
    </row>
    <row r="629">
      <c r="E629" s="110" t="str">
        <f>IFERROR(__xludf.DUMMYFUNCTION("""COMPUTED_VALUE"""),"Programa Marfrig Verde+")</f>
        <v>Programa Marfrig Verde+</v>
      </c>
      <c r="G629" s="107" t="s">
        <v>3064</v>
      </c>
    </row>
    <row r="630">
      <c r="E630" s="110" t="str">
        <f>IFERROR(__xludf.DUMMYFUNCTION("""COMPUTED_VALUE"""),"Doaçõa de alimentos ao Hospital de Amor")</f>
        <v>Doaçõa de alimentos ao Hospital de Amor</v>
      </c>
      <c r="G630" s="107" t="s">
        <v>2966</v>
      </c>
    </row>
    <row r="631">
      <c r="E631" s="110" t="str">
        <f>IFERROR(__xludf.DUMMYFUNCTION("""COMPUTED_VALUE"""),"Marfrig Club")</f>
        <v>Marfrig Club</v>
      </c>
      <c r="G631" s="107" t="s">
        <v>1390</v>
      </c>
    </row>
    <row r="632">
      <c r="C632" s="107" t="s">
        <v>1668</v>
      </c>
      <c r="E632" s="110" t="str">
        <f>IFERROR(__xludf.DUMMYFUNCTION("""COMPUTED_VALUE"""),"Programa Bezerro Sustentável")</f>
        <v>Programa Bezerro Sustentável</v>
      </c>
      <c r="G632" s="107" t="s">
        <v>317</v>
      </c>
    </row>
    <row r="633">
      <c r="E633" s="110" t="str">
        <f>IFERROR(__xludf.DUMMYFUNCTION("""COMPUTED_VALUE"""),"Investimentos com fundo &amp;Green Fund        ")</f>
        <v>Investimentos com fundo &amp;Green Fund        </v>
      </c>
      <c r="G633" s="107" t="s">
        <v>835</v>
      </c>
    </row>
    <row r="634">
      <c r="E634" s="110" t="str">
        <f>IFERROR(__xludf.DUMMYFUNCTION("""COMPUTED_VALUE"""),"Biomas")</f>
        <v>Biomas</v>
      </c>
      <c r="G634" s="107" t="s">
        <v>688</v>
      </c>
    </row>
    <row r="635">
      <c r="E635" s="110" t="str">
        <f>IFERROR(__xludf.DUMMYFUNCTION("""COMPUTED_VALUE"""),"Doações Projeto Arrastão")</f>
        <v>Doações Projeto Arrastão</v>
      </c>
      <c r="G635" s="107" t="s">
        <v>3059</v>
      </c>
    </row>
    <row r="636">
      <c r="E636" s="110" t="str">
        <f>IFERROR(__xludf.DUMMYFUNCTION("""COMPUTED_VALUE"""),"Programa Renove")</f>
        <v>Programa Renove</v>
      </c>
      <c r="G636" s="113" t="s">
        <v>3316</v>
      </c>
      <c r="H636" s="112" t="s">
        <v>3315</v>
      </c>
    </row>
    <row r="637">
      <c r="C637" s="107" t="s">
        <v>3129</v>
      </c>
      <c r="E637" s="110" t="str">
        <f>IFERROR(__xludf.DUMMYFUNCTION("""COMPUTED_VALUE"""),"Doação de Rúmen")</f>
        <v>Doação de Rúmen</v>
      </c>
      <c r="G637" s="113" t="s">
        <v>1924</v>
      </c>
      <c r="H637" s="112" t="s">
        <v>3315</v>
      </c>
    </row>
    <row r="638">
      <c r="E638" s="110" t="str">
        <f>IFERROR(__xludf.DUMMYFUNCTION("""COMPUTED_VALUE"""),"Apoio a Bluebell")</f>
        <v>Apoio a Bluebell</v>
      </c>
      <c r="G638" s="107" t="s">
        <v>2937</v>
      </c>
    </row>
    <row r="639">
      <c r="E639" s="110" t="str">
        <f>IFERROR(__xludf.DUMMYFUNCTION("""COMPUTED_VALUE"""),"Projeto Floresta Viva")</f>
        <v>Projeto Floresta Viva</v>
      </c>
      <c r="G639" s="107" t="s">
        <v>1479</v>
      </c>
    </row>
    <row r="640">
      <c r="E640" s="110" t="str">
        <f>IFERROR(__xludf.DUMMYFUNCTION("""COMPUTED_VALUE"""),"Sistema de fertirrigação")</f>
        <v>Sistema de fertirrigação</v>
      </c>
      <c r="G640" s="107" t="s">
        <v>2720</v>
      </c>
    </row>
    <row r="641">
      <c r="E641" s="110" t="str">
        <f>IFERROR(__xludf.DUMMYFUNCTION("""COMPUTED_VALUE"""),"Integração Lavoura-Pecuária-Floresta (ILPF)")</f>
        <v>Integração Lavoura-Pecuária-Floresta (ILPF)</v>
      </c>
    </row>
    <row r="642">
      <c r="E642" s="110" t="str">
        <f>IFERROR(__xludf.DUMMYFUNCTION("""COMPUTED_VALUE"""),"Projeto Carbono")</f>
        <v>Projeto Carbono</v>
      </c>
    </row>
    <row r="643">
      <c r="E643" s="110" t="str">
        <f>IFERROR(__xludf.DUMMYFUNCTION("""COMPUTED_VALUE"""),"Nescafé Plan 2030")</f>
        <v>Nescafé Plan 2030</v>
      </c>
    </row>
    <row r="644">
      <c r="E644" s="110" t="str">
        <f>IFERROR(__xludf.DUMMYFUNCTION("""COMPUTED_VALUE"""),"Colmeia")</f>
        <v>Colmeia</v>
      </c>
    </row>
    <row r="645">
      <c r="E645" s="110" t="str">
        <f>IFERROR(__xludf.DUMMYFUNCTION("""COMPUTED_VALUE"""),"Força da Moça do Campo")</f>
        <v>Força da Moça do Campo</v>
      </c>
    </row>
    <row r="646">
      <c r="E646" s="110" t="str">
        <f>IFERROR(__xludf.DUMMYFUNCTION("""COMPUTED_VALUE"""),"Programa Global de Reflorestamento - Nestlé")</f>
        <v>Programa Global de Reflorestamento - Nestlé</v>
      </c>
    </row>
    <row r="647">
      <c r="E647" s="110" t="str">
        <f>IFERROR(__xludf.DUMMYFUNCTION("""COMPUTED_VALUE"""),"Nestlé Cocoa Plan")</f>
        <v>Nestlé Cocoa Plan</v>
      </c>
    </row>
    <row r="648">
      <c r="E648" s="110" t="str">
        <f>IFERROR(__xludf.DUMMYFUNCTION("""COMPUTED_VALUE"""),"Nature por NINHO")</f>
        <v>Nature por NINHO</v>
      </c>
    </row>
    <row r="649">
      <c r="E649" s="110" t="str">
        <f>IFERROR(__xludf.DUMMYFUNCTION("""COMPUTED_VALUE"""),"Projeto Mais Água")</f>
        <v>Projeto Mais Água</v>
      </c>
    </row>
    <row r="650">
      <c r="E650" s="110" t="str">
        <f>IFERROR(__xludf.DUMMYFUNCTION("""COMPUTED_VALUE"""),"Doação de retalhos de macarrão para entidades sem fins lucrativos")</f>
        <v>Doação de retalhos de macarrão para entidades sem fins lucrativos</v>
      </c>
    </row>
    <row r="651">
      <c r="E651" s="110" t="str">
        <f>IFERROR(__xludf.DUMMYFUNCTION("""COMPUTED_VALUE"""),"Apoio a ações sociais durante a pandemia")</f>
        <v>Apoio a ações sociais durante a pandemia</v>
      </c>
    </row>
    <row r="652">
      <c r="E652" s="110" t="str">
        <f>IFERROR(__xludf.DUMMYFUNCTION("""COMPUTED_VALUE"""),"Campanhas de solidariedade - Pastificio Selmi")</f>
        <v>Campanhas de solidariedade - Pastificio Selmi</v>
      </c>
    </row>
    <row r="653">
      <c r="E653" s="110" t="str">
        <f>IFERROR(__xludf.DUMMYFUNCTION("""COMPUTED_VALUE"""),"Campanha Marmitas do Bem")</f>
        <v>Campanha Marmitas do Bem</v>
      </c>
    </row>
    <row r="654">
      <c r="E654" s="110" t="str">
        <f>IFERROR(__xludf.DUMMYFUNCTION("""COMPUTED_VALUE"""),"Doação de alimentos Campinas")</f>
        <v>Doação de alimentos Campinas</v>
      </c>
    </row>
    <row r="655">
      <c r="E655" s="110" t="str">
        <f>IFERROR(__xludf.DUMMYFUNCTION("""COMPUTED_VALUE"""),"Doação de alimentos em parceria com Tórtima Advogados")</f>
        <v>Doação de alimentos em parceria com Tórtima Advogados</v>
      </c>
    </row>
    <row r="656">
      <c r="E656" s="110" t="str">
        <f>IFERROR(__xludf.DUMMYFUNCTION("""COMPUTED_VALUE"""),"Doação de alimentos parceria com Vôlei Renata")</f>
        <v>Doação de alimentos parceria com Vôlei Renata</v>
      </c>
    </row>
    <row r="657">
      <c r="E657" s="110" t="str">
        <f>IFERROR(__xludf.DUMMYFUNCTION("""COMPUTED_VALUE"""),"Caldeira de Biomassa")</f>
        <v>Caldeira de Biomassa</v>
      </c>
    </row>
    <row r="658">
      <c r="E658" s="110" t="str">
        <f>IFERROR(__xludf.DUMMYFUNCTION("""COMPUTED_VALUE"""),"Doações e assistência a creches e instituições de caridade")</f>
        <v>Doações e assistência a creches e instituições de caridade</v>
      </c>
    </row>
    <row r="659">
      <c r="E659" s="110" t="str">
        <f>IFERROR(__xludf.DUMMYFUNCTION("""COMPUTED_VALUE"""),"Doação no Dia Mundial do Leite")</f>
        <v>Doação no Dia Mundial do Leite</v>
      </c>
    </row>
    <row r="660">
      <c r="E660" s="110" t="str">
        <f>IFERROR(__xludf.DUMMYFUNCTION("""COMPUTED_VALUE"""),"Ajudantes do Papai Noel")</f>
        <v>Ajudantes do Papai Noel</v>
      </c>
    </row>
    <row r="661">
      <c r="E661" s="110" t="str">
        <f>IFERROR(__xludf.DUMMYFUNCTION("""COMPUTED_VALUE"""),"Campanha Mães que Nutrem ")</f>
        <v>Campanha Mães que Nutrem </v>
      </c>
    </row>
    <row r="662">
      <c r="E662" s="110" t="str">
        <f>IFERROR(__xludf.DUMMYFUNCTION("""COMPUTED_VALUE"""),"Programa Piracanjuba ProCampo")</f>
        <v>Programa Piracanjuba ProCampo</v>
      </c>
    </row>
    <row r="663">
      <c r="E663" s="110" t="str">
        <f>IFERROR(__xludf.DUMMYFUNCTION("""COMPUTED_VALUE"""),"Biogás ")</f>
        <v>Biogás </v>
      </c>
    </row>
    <row r="664">
      <c r="E664" s="110" t="str">
        <f>IFERROR(__xludf.DUMMYFUNCTION("""COMPUTED_VALUE"""),"Programa Indique um Amigo")</f>
        <v>Programa Indique um Amigo</v>
      </c>
    </row>
    <row r="665">
      <c r="E665" s="110" t="str">
        <f>IFERROR(__xludf.DUMMYFUNCTION("""COMPUTED_VALUE"""),"Natal da Cufa")</f>
        <v>Natal da Cufa</v>
      </c>
    </row>
    <row r="666">
      <c r="E666" s="110" t="str">
        <f>IFERROR(__xludf.DUMMYFUNCTION("""COMPUTED_VALUE"""),"Doações a De Mãos Dadas ")</f>
        <v>Doações a De Mãos Dadas </v>
      </c>
    </row>
    <row r="667">
      <c r="E667" s="110" t="str">
        <f>IFERROR(__xludf.DUMMYFUNCTION("""COMPUTED_VALUE"""),"Plantio de árvores nativas")</f>
        <v>Plantio de árvores nativas</v>
      </c>
    </row>
    <row r="668">
      <c r="E668" s="110" t="str">
        <f>IFERROR(__xludf.DUMMYFUNCTION("""COMPUTED_VALUE"""),"Sopa Solidária")</f>
        <v>Sopa Solidária</v>
      </c>
    </row>
    <row r="669">
      <c r="E669" s="110" t="str">
        <f>IFERROR(__xludf.DUMMYFUNCTION("""COMPUTED_VALUE"""),"Recuperação de nascentes")</f>
        <v>Recuperação de nascentes</v>
      </c>
    </row>
    <row r="670">
      <c r="E670" s="110" t="str">
        <f>IFERROR(__xludf.DUMMYFUNCTION("""COMPUTED_VALUE"""),"Doações durante a pandemia")</f>
        <v>Doações durante a pandemia</v>
      </c>
    </row>
    <row r="671">
      <c r="E671" s="110" t="str">
        <f>IFERROR(__xludf.DUMMYFUNCTION("""COMPUTED_VALUE"""),"Água + Acesso")</f>
        <v>Água + Acesso</v>
      </c>
    </row>
    <row r="672">
      <c r="E672" s="110" t="str">
        <f>IFERROR(__xludf.DUMMYFUNCTION("""COMPUTED_VALUE"""),"Adote uma marmita")</f>
        <v>Adote uma marmita</v>
      </c>
    </row>
    <row r="673">
      <c r="E673" s="110" t="str">
        <f>IFERROR(__xludf.DUMMYFUNCTION("""COMPUTED_VALUE"""),"Socorro a pessoas desabrigadas")</f>
        <v>Socorro a pessoas desabrigadas</v>
      </c>
    </row>
    <row r="674">
      <c r="E674" s="110" t="str">
        <f>IFERROR(__xludf.DUMMYFUNCTION("""COMPUTED_VALUE"""),"O Bom Velhinho")</f>
        <v>O Bom Velhinho</v>
      </c>
    </row>
    <row r="675">
      <c r="E675" s="110" t="str">
        <f>IFERROR(__xludf.DUMMYFUNCTION("""COMPUTED_VALUE"""),"Apoio a vítimas de chuvas na Bahia")</f>
        <v>Apoio a vítimas de chuvas na Bahia</v>
      </c>
    </row>
    <row r="676">
      <c r="E676" s="110" t="str">
        <f>IFERROR(__xludf.DUMMYFUNCTION("""COMPUTED_VALUE"""),"Apoio a vítimas de temporais no Maranhão")</f>
        <v>Apoio a vítimas de temporais no Maranhão</v>
      </c>
    </row>
    <row r="677">
      <c r="E677" s="110" t="str">
        <f>IFERROR(__xludf.DUMMYFUNCTION("""COMPUTED_VALUE"""),"Apoio as populações de Pernambuco e Alagoas")</f>
        <v>Apoio as populações de Pernambuco e Alagoas</v>
      </c>
    </row>
    <row r="678">
      <c r="E678" s="110" t="str">
        <f>IFERROR(__xludf.DUMMYFUNCTION("""COMPUTED_VALUE"""),"Águas pra Educar")</f>
        <v>Águas pra Educar</v>
      </c>
    </row>
    <row r="679">
      <c r="E679" s="110" t="str">
        <f>IFERROR(__xludf.DUMMYFUNCTION("""COMPUTED_VALUE"""),"Restaurantes Populares")</f>
        <v>Restaurantes Populares</v>
      </c>
    </row>
    <row r="680">
      <c r="E680" s="110" t="str">
        <f>IFERROR(__xludf.DUMMYFUNCTION("""COMPUTED_VALUE"""),"Apoio a vítimas de enchentes em Rio Branco (AC)")</f>
        <v>Apoio a vítimas de enchentes em Rio Branco (AC)</v>
      </c>
    </row>
    <row r="681">
      <c r="E681" s="110" t="str">
        <f>IFERROR(__xludf.DUMMYFUNCTION("""COMPUTED_VALUE"""),"Apoio a vítimas de enchentes no Maranhão")</f>
        <v>Apoio a vítimas de enchentes no Maranhão</v>
      </c>
    </row>
    <row r="682">
      <c r="E682" s="110" t="str">
        <f>IFERROR(__xludf.DUMMYFUNCTION("""COMPUTED_VALUE"""),"Apoio a vítimas de fortes chuvas no Alagoas")</f>
        <v>Apoio a vítimas de fortes chuvas no Alagoas</v>
      </c>
    </row>
    <row r="683">
      <c r="E683" s="110" t="str">
        <f>IFERROR(__xludf.DUMMYFUNCTION("""COMPUTED_VALUE"""),"Ceará sem Fome")</f>
        <v>Ceará sem Fome</v>
      </c>
    </row>
    <row r="684">
      <c r="E684" s="110" t="str">
        <f>IFERROR(__xludf.DUMMYFUNCTION("""COMPUTED_VALUE"""),"Parceria Mesa Brasil Sesc ")</f>
        <v>Parceria Mesa Brasil Sesc </v>
      </c>
    </row>
    <row r="685">
      <c r="E685" s="110" t="str">
        <f>IFERROR(__xludf.DUMMYFUNCTION("""COMPUTED_VALUE"""),"Usina solar à vista")</f>
        <v>Usina solar à vista</v>
      </c>
    </row>
    <row r="686">
      <c r="E686" s="110" t="str">
        <f>IFERROR(__xludf.DUMMYFUNCTION("""COMPUTED_VALUE"""),"Açai: mais energia e menos resíduo")</f>
        <v>Açai: mais energia e menos resíduo</v>
      </c>
    </row>
    <row r="687">
      <c r="E687" s="110" t="str">
        <f>IFERROR(__xludf.DUMMYFUNCTION("""COMPUTED_VALUE"""),"Mais Organicos no Assaí")</f>
        <v>Mais Organicos no Assaí</v>
      </c>
    </row>
    <row r="688">
      <c r="E688" s="110" t="str">
        <f>IFERROR(__xludf.DUMMYFUNCTION("""COMPUTED_VALUE"""),"Parceria Contra o Desperdício")</f>
        <v>Parceria Contra o Desperdício</v>
      </c>
    </row>
    <row r="689">
      <c r="E689" s="110" t="str">
        <f>IFERROR(__xludf.DUMMYFUNCTION("""COMPUTED_VALUE"""),"Acreditar e ajudar faz bem")</f>
        <v>Acreditar e ajudar faz bem</v>
      </c>
    </row>
    <row r="690">
      <c r="E690" s="110" t="str">
        <f>IFERROR(__xludf.DUMMYFUNCTION("""COMPUTED_VALUE"""),"Copa Nordeste")</f>
        <v>Copa Nordeste</v>
      </c>
    </row>
    <row r="691">
      <c r="E691" s="110" t="str">
        <f>IFERROR(__xludf.DUMMYFUNCTION("""COMPUTED_VALUE"""),"Brasileirão")</f>
        <v>Brasileirão</v>
      </c>
    </row>
    <row r="692">
      <c r="E692" s="110" t="str">
        <f>IFERROR(__xludf.DUMMYFUNCTION("""COMPUTED_VALUE"""),"Campanha da Solidariedade - Assaí ")</f>
        <v>Campanha da Solidariedade - Assaí </v>
      </c>
    </row>
    <row r="693">
      <c r="E693" s="110" t="str">
        <f>IFERROR(__xludf.DUMMYFUNCTION("""COMPUTED_VALUE"""),"Natal da Solidariedade")</f>
        <v>Natal da Solidariedade</v>
      </c>
    </row>
    <row r="694">
      <c r="E694" s="110" t="str">
        <f>IFERROR(__xludf.DUMMYFUNCTION("""COMPUTED_VALUE"""),"Tem Gente Com Fome")</f>
        <v>Tem Gente Com Fome</v>
      </c>
    </row>
    <row r="695">
      <c r="E695" s="110" t="str">
        <f>IFERROR(__xludf.DUMMYFUNCTION("""COMPUTED_VALUE"""),"Doações CUFA ")</f>
        <v>Doações CUFA </v>
      </c>
    </row>
    <row r="696">
      <c r="E696" s="110" t="str">
        <f>IFERROR(__xludf.DUMMYFUNCTION("""COMPUTED_VALUE"""),"Destino Certo")</f>
        <v>Destino Certo</v>
      </c>
    </row>
    <row r="697">
      <c r="E697" s="110" t="str">
        <f>IFERROR(__xludf.DUMMYFUNCTION("""COMPUTED_VALUE"""),"Chuvas")</f>
        <v>Chuvas</v>
      </c>
    </row>
    <row r="698">
      <c r="E698" s="110" t="str">
        <f>IFERROR(__xludf.DUMMYFUNCTION("""COMPUTED_VALUE"""),"Sítio PANC (Plantas Alimentícias Não Convencionais)")</f>
        <v>Sítio PANC (Plantas Alimentícias Não Convencionais)</v>
      </c>
    </row>
    <row r="699">
      <c r="E699" s="110" t="str">
        <f>IFERROR(__xludf.DUMMYFUNCTION("""COMPUTED_VALUE"""),"Ação Pandemia ")</f>
        <v>Ação Pandemia </v>
      </c>
    </row>
    <row r="700">
      <c r="E700" s="110" t="str">
        <f>IFERROR(__xludf.DUMMYFUNCTION("""COMPUTED_VALUE"""),"Doações para instituições")</f>
        <v>Doações para instituições</v>
      </c>
    </row>
    <row r="701">
      <c r="E701" s="110" t="str">
        <f>IFERROR(__xludf.DUMMYFUNCTION("""COMPUTED_VALUE"""),"Doação de Alimentos ")</f>
        <v>Doação de Alimentos </v>
      </c>
    </row>
    <row r="702">
      <c r="E702" s="110" t="str">
        <f>IFERROR(__xludf.DUMMYFUNCTION("""COMPUTED_VALUE"""),"Troco Solidário")</f>
        <v>Troco Solidário</v>
      </c>
    </row>
    <row r="703">
      <c r="E703" s="110" t="str">
        <f>IFERROR(__xludf.DUMMYFUNCTION("""COMPUTED_VALUE"""),"Mesa Brasil")</f>
        <v>Mesa Brasil</v>
      </c>
    </row>
    <row r="704">
      <c r="E704" s="110" t="str">
        <f>IFERROR(__xludf.DUMMYFUNCTION("""COMPUTED_VALUE"""),"Campanha Solidária")</f>
        <v>Campanha Solidária</v>
      </c>
    </row>
    <row r="705">
      <c r="E705" s="110" t="str">
        <f>IFERROR(__xludf.DUMMYFUNCTION("""COMPUTED_VALUE"""),"Programa de Saúde e Bem-Estar da Panvel ")</f>
        <v>Programa de Saúde e Bem-Estar da Panvel </v>
      </c>
    </row>
    <row r="706">
      <c r="E706" s="110" t="str">
        <f>IFERROR(__xludf.DUMMYFUNCTION("""COMPUTED_VALUE""")," SOS ilhas e SOS Vale do Taquari")</f>
        <v> SOS ilhas e SOS Vale do Taquari</v>
      </c>
    </row>
    <row r="707">
      <c r="E707" s="110" t="str">
        <f>IFERROR(__xludf.DUMMYFUNCTION("""COMPUTED_VALUE"""),"Tree-llion")</f>
        <v>Tree-llion</v>
      </c>
    </row>
    <row r="708">
      <c r="E708" s="110" t="str">
        <f>IFERROR(__xludf.DUMMYFUNCTION("""COMPUTED_VALUE"""),"Agricultura Regenerativa ")</f>
        <v>Agricultura Regenerativa </v>
      </c>
    </row>
    <row r="709">
      <c r="E709" s="110" t="str">
        <f>IFERROR(__xludf.DUMMYFUNCTION("""COMPUTED_VALUE"""),"Fazenda de Energia - Daterra")</f>
        <v>Fazenda de Energia - Daterra</v>
      </c>
    </row>
    <row r="710">
      <c r="E710" s="110" t="str">
        <f>IFERROR(__xludf.DUMMYFUNCTION("""COMPUTED_VALUE"""),"Natal Solidário - DPSP")</f>
        <v>Natal Solidário - DPSP</v>
      </c>
    </row>
    <row r="711">
      <c r="E711" s="110" t="str">
        <f>IFERROR(__xludf.DUMMYFUNCTION("""COMPUTED_VALUE"""),"Bem Viver nos Bairros")</f>
        <v>Bem Viver nos Bairros</v>
      </c>
    </row>
    <row r="712">
      <c r="E712" s="110" t="str">
        <f>IFERROR(__xludf.DUMMYFUNCTION("""COMPUTED_VALUE"""),"Enchentes Litoral Norte")</f>
        <v>Enchentes Litoral Norte</v>
      </c>
    </row>
    <row r="713">
      <c r="E713" s="110" t="str">
        <f>IFERROR(__xludf.DUMMYFUNCTION("""COMPUTED_VALUE"""),"Doar de Coração")</f>
        <v>Doar de Coração</v>
      </c>
    </row>
    <row r="714">
      <c r="E714" s="110" t="str">
        <f>IFERROR(__xludf.DUMMYFUNCTION("""COMPUTED_VALUE"""),"Natal Solidário - Farmácias Pague Menos")</f>
        <v>Natal Solidário - Farmácias Pague Menos</v>
      </c>
    </row>
    <row r="715">
      <c r="E715" s="110" t="str">
        <f>IFERROR(__xludf.DUMMYFUNCTION("""COMPUTED_VALUE"""),"Sempre Bem")</f>
        <v>Sempre Bem</v>
      </c>
    </row>
    <row r="716">
      <c r="E716" s="110" t="str">
        <f>IFERROR(__xludf.DUMMYFUNCTION("""COMPUTED_VALUE"""),"O rio tá pra peixe")</f>
        <v>O rio tá pra peixe</v>
      </c>
    </row>
    <row r="717">
      <c r="E717" s="110" t="str">
        <f>IFERROR(__xludf.DUMMYFUNCTION("""COMPUTED_VALUE"""),"Projeto Mão Amiga")</f>
        <v>Projeto Mão Amiga</v>
      </c>
    </row>
    <row r="718">
      <c r="E718" s="110" t="str">
        <f>IFERROR(__xludf.DUMMYFUNCTION("""COMPUTED_VALUE"""),"Saúde em primeiro lugar")</f>
        <v>Saúde em primeiro lugar</v>
      </c>
    </row>
    <row r="719">
      <c r="E719" s="110" t="str">
        <f>IFERROR(__xludf.DUMMYFUNCTION("""COMPUTED_VALUE"""),"Programa de alimentação alternativa")</f>
        <v>Programa de alimentação alternativa</v>
      </c>
    </row>
    <row r="720">
      <c r="E720" s="110" t="str">
        <f>IFERROR(__xludf.DUMMYFUNCTION("""COMPUTED_VALUE"""),"Caras do Brasil")</f>
        <v>Caras do Brasil</v>
      </c>
    </row>
    <row r="721">
      <c r="E721" s="110" t="str">
        <f>IFERROR(__xludf.DUMMYFUNCTION("""COMPUTED_VALUE"""),"Qualidade Desde a Origem (QDO)")</f>
        <v>Qualidade Desde a Origem (QDO)</v>
      </c>
    </row>
    <row r="722">
      <c r="E722" s="110" t="str">
        <f>IFERROR(__xludf.DUMMYFUNCTION("""COMPUTED_VALUE"""),"Hub de Desenvolvimento de Cadeias Livres de Desmatamento")</f>
        <v>Hub de Desenvolvimento de Cadeias Livres de Desmatamento</v>
      </c>
    </row>
    <row r="723">
      <c r="E723" s="110" t="str">
        <f>IFERROR(__xludf.DUMMYFUNCTION("""COMPUTED_VALUE"""),"Muda Meu Mundo")</f>
        <v>Muda Meu Mundo</v>
      </c>
    </row>
    <row r="724">
      <c r="E724" s="110" t="str">
        <f>IFERROR(__xludf.DUMMYFUNCTION("""COMPUTED_VALUE"""),"Horta Social Urbana
")</f>
        <v>Horta Social Urbana
</v>
      </c>
    </row>
    <row r="725">
      <c r="E725" s="110" t="str">
        <f>IFERROR(__xludf.DUMMYFUNCTION("""COMPUTED_VALUE"""),"Felicidade É Poder Ser")</f>
        <v>Felicidade É Poder Ser</v>
      </c>
    </row>
    <row r="726">
      <c r="E726" s="110" t="str">
        <f>IFERROR(__xludf.DUMMYFUNCTION("""COMPUTED_VALUE"""),"Derivados de Palma")</f>
        <v>Derivados de Palma</v>
      </c>
    </row>
    <row r="727">
      <c r="E727" s="110" t="str">
        <f>IFERROR(__xludf.DUMMYFUNCTION("""COMPUTED_VALUE"""),"Gosto da Amazônia ")</f>
        <v>Gosto da Amazônia </v>
      </c>
    </row>
    <row r="728">
      <c r="E728" s="110" t="str">
        <f>IFERROR(__xludf.DUMMYFUNCTION("""COMPUTED_VALUE"""),"Amigos do Bem ")</f>
        <v>Amigos do Bem </v>
      </c>
    </row>
    <row r="729">
      <c r="E729" s="110" t="str">
        <f>IFERROR(__xludf.DUMMYFUNCTION("""COMPUTED_VALUE"""),"Dia Mundial da Alimentação")</f>
        <v>Dia Mundial da Alimentação</v>
      </c>
    </row>
    <row r="730">
      <c r="E730" s="110" t="str">
        <f>IFERROR(__xludf.DUMMYFUNCTION("""COMPUTED_VALUE"""),"Campanhas emergenciais ")</f>
        <v>Campanhas emergenciais </v>
      </c>
    </row>
    <row r="731">
      <c r="E731" s="110" t="str">
        <f>IFERROR(__xludf.DUMMYFUNCTION("""COMPUTED_VALUE"""),"Campanhas Litoral Norte de SP")</f>
        <v>Campanhas Litoral Norte de SP</v>
      </c>
    </row>
    <row r="732">
      <c r="E732" s="110" t="str">
        <f>IFERROR(__xludf.DUMMYFUNCTION("""COMPUTED_VALUE"""),"PIX Solidário")</f>
        <v>PIX Solidário</v>
      </c>
    </row>
    <row r="733">
      <c r="E733" s="110" t="str">
        <f>IFERROR(__xludf.DUMMYFUNCTION("""COMPUTED_VALUE"""),"XEPA: Favela, comida e sustentabilidade")</f>
        <v>XEPA: Favela, comida e sustentabilidade</v>
      </c>
    </row>
    <row r="734">
      <c r="E734" s="110" t="str">
        <f>IFERROR(__xludf.DUMMYFUNCTION("""COMPUTED_VALUE"""),"Doações Stix ")</f>
        <v>Doações Stix </v>
      </c>
    </row>
    <row r="735">
      <c r="E735" s="110" t="str">
        <f>IFERROR(__xludf.DUMMYFUNCTION("""COMPUTED_VALUE"""),"Parceria com Amigos do Bem")</f>
        <v>Parceria com Amigos do Bem</v>
      </c>
    </row>
    <row r="736">
      <c r="E736" s="110" t="str">
        <f>IFERROR(__xludf.DUMMYFUNCTION("""COMPUTED_VALUE"""),"Semear")</f>
        <v>Semear</v>
      </c>
    </row>
    <row r="737">
      <c r="E737" s="110" t="str">
        <f>IFERROR(__xludf.DUMMYFUNCTION("""COMPUTED_VALUE"""),"Toolkits educacionais Gastromotiva")</f>
        <v>Toolkits educacionais Gastromotiva</v>
      </c>
    </row>
    <row r="738">
      <c r="E738" s="110" t="str">
        <f>IFERROR(__xludf.DUMMYFUNCTION("""COMPUTED_VALUE"""),"Conexão Escola com os Objetivos da ONU")</f>
        <v>Conexão Escola com os Objetivos da ONU</v>
      </c>
    </row>
    <row r="739">
      <c r="E739" s="110" t="str">
        <f>IFERROR(__xludf.DUMMYFUNCTION("""COMPUTED_VALUE"""),"Ajuda Emergencial ")</f>
        <v>Ajuda Emergencial </v>
      </c>
    </row>
    <row r="740">
      <c r="E740" s="110" t="str">
        <f>IFERROR(__xludf.DUMMYFUNCTION("""COMPUTED_VALUE"""),"Apoio ao Projeto Servir")</f>
        <v>Apoio ao Projeto Servir</v>
      </c>
    </row>
    <row r="741">
      <c r="E741" s="110" t="str">
        <f>IFERROR(__xludf.DUMMYFUNCTION("""COMPUTED_VALUE"""),"Amazônia Legal")</f>
        <v>Amazônia Legal</v>
      </c>
    </row>
    <row r="742">
      <c r="E742" s="110" t="str">
        <f>IFERROR(__xludf.DUMMYFUNCTION("""COMPUTED_VALUE"""),"Produtos do Sertão Nordestino        ")</f>
        <v>Produtos do Sertão Nordestino        </v>
      </c>
    </row>
    <row r="743">
      <c r="E743" s="110" t="str">
        <f>IFERROR(__xludf.DUMMYFUNCTION("""COMPUTED_VALUE"""),"Central do Cerrado")</f>
        <v>Central do Cerrado</v>
      </c>
    </row>
    <row r="744">
      <c r="E744" s="110" t="str">
        <f>IFERROR(__xludf.DUMMYFUNCTION("""COMPUTED_VALUE"""),"Conversão para orgânicos e acesso a mercado para agricultores familiares")</f>
        <v>Conversão para orgânicos e acesso a mercado para agricultores familiares</v>
      </c>
    </row>
    <row r="745">
      <c r="E745" s="110" t="str">
        <f>IFERROR(__xludf.DUMMYFUNCTION("""COMPUTED_VALUE"""),"Programa de Produção Sustentável de Bezerros")</f>
        <v>Programa de Produção Sustentável de Bezerros</v>
      </c>
    </row>
    <row r="746">
      <c r="E746" s="110" t="str">
        <f>IFERROR(__xludf.DUMMYFUNCTION("""COMPUTED_VALUE"""),"Brumadinho ")</f>
        <v>Brumadinho </v>
      </c>
    </row>
    <row r="747">
      <c r="E747" s="110" t="str">
        <f>IFERROR(__xludf.DUMMYFUNCTION("""COMPUTED_VALUE"""),"Construindo Novos Hábitos")</f>
        <v>Construindo Novos Hábitos</v>
      </c>
    </row>
    <row r="748">
      <c r="E748" s="110" t="str">
        <f>IFERROR(__xludf.DUMMYFUNCTION("""COMPUTED_VALUE"""),"Tour Virtual da Exposição PratodoMundo")</f>
        <v>Tour Virtual da Exposição PratodoMundo</v>
      </c>
    </row>
    <row r="749">
      <c r="E749" s="110" t="str">
        <f>IFERROR(__xludf.DUMMYFUNCTION("""COMPUTED_VALUE"""),"Natal do Bem")</f>
        <v>Natal do Bem</v>
      </c>
    </row>
    <row r="750">
      <c r="E750" s="110" t="str">
        <f>IFERROR(__xludf.DUMMYFUNCTION("""COMPUTED_VALUE"""),"Act for Food")</f>
        <v>Act for Food</v>
      </c>
    </row>
    <row r="751">
      <c r="E751" s="110" t="str">
        <f>IFERROR(__xludf.DUMMYFUNCTION("""COMPUTED_VALUE"""),"Programa de Rastreabilidade e Monitoramento de Alimentos (RAMA)")</f>
        <v>Programa de Rastreabilidade e Monitoramento de Alimentos (RAMA)</v>
      </c>
    </row>
    <row r="752">
      <c r="E752" s="110" t="str">
        <f>IFERROR(__xludf.DUMMYFUNCTION("""COMPUTED_VALUE"""),"Parceria que Alimenta")</f>
        <v>Parceria que Alimenta</v>
      </c>
    </row>
    <row r="753">
      <c r="E753" s="110" t="str">
        <f>IFERROR(__xludf.DUMMYFUNCTION("""COMPUTED_VALUE"""),"Ração animal")</f>
        <v>Ração animal</v>
      </c>
    </row>
    <row r="754">
      <c r="E754" s="110" t="str">
        <f>IFERROR(__xludf.DUMMYFUNCTION("""COMPUTED_VALUE"""),"Pesca Sustentável")</f>
        <v>Pesca Sustentável</v>
      </c>
    </row>
    <row r="755">
      <c r="E755" s="110" t="str">
        <f>IFERROR(__xludf.DUMMYFUNCTION("""COMPUTED_VALUE"""),"Campanhas de Mobilização")</f>
        <v>Campanhas de Mobilização</v>
      </c>
    </row>
    <row r="756">
      <c r="E756" s="110" t="str">
        <f>IFERROR(__xludf.DUMMYFUNCTION("""COMPUTED_VALUE"""),"Movimento Compra Solidária")</f>
        <v>Movimento Compra Solidária</v>
      </c>
    </row>
    <row r="757">
      <c r="E757" s="110" t="str">
        <f>IFERROR(__xludf.DUMMYFUNCTION("""COMPUTED_VALUE"""),"Super Chef Brasil")</f>
        <v>Super Chef Brasil</v>
      </c>
    </row>
    <row r="758">
      <c r="E758" s="110" t="str">
        <f>IFERROR(__xludf.DUMMYFUNCTION("""COMPUTED_VALUE"""),"Plataforma de Embarque de Pequenos Produtores")</f>
        <v>Plataforma de Embarque de Pequenos Produtores</v>
      </c>
    </row>
    <row r="759">
      <c r="E759" s="110" t="str">
        <f>IFERROR(__xludf.DUMMYFUNCTION("""COMPUTED_VALUE"""),"Programas de Doação")</f>
        <v>Programas de Doação</v>
      </c>
    </row>
    <row r="760">
      <c r="E760" s="110" t="str">
        <f>IFERROR(__xludf.DUMMYFUNCTION("""COMPUTED_VALUE"""),"Investimento Social ")</f>
        <v>Investimento Social </v>
      </c>
    </row>
    <row r="761">
      <c r="E761" s="110" t="str">
        <f>IFERROR(__xludf.DUMMYFUNCTION("""COMPUTED_VALUE"""),"Campanha Solidária na Pandemia")</f>
        <v>Campanha Solidária na Pandemia</v>
      </c>
    </row>
    <row r="762">
      <c r="E762" s="110" t="str">
        <f>IFERROR(__xludf.DUMMYFUNCTION("""COMPUTED_VALUE"""),"Cine Móvel")</f>
        <v>Cine Móvel</v>
      </c>
    </row>
    <row r="763">
      <c r="E763" s="110" t="str">
        <f>IFERROR(__xludf.DUMMYFUNCTION("""COMPUTED_VALUE"""),"Rede solidária")</f>
        <v>Rede solidária</v>
      </c>
    </row>
    <row r="764">
      <c r="E764" s="110" t="str">
        <f>IFERROR(__xludf.DUMMYFUNCTION("""COMPUTED_VALUE"""),"Bancos de Alimentos")</f>
        <v>Bancos de Alimentos</v>
      </c>
    </row>
    <row r="765">
      <c r="E765" s="110" t="str">
        <f>IFERROR(__xludf.DUMMYFUNCTION("""COMPUTED_VALUE"""),"Doações de Alimentos")</f>
        <v>Doações de Alimentos</v>
      </c>
    </row>
    <row r="766">
      <c r="E766" s="110" t="str">
        <f>IFERROR(__xludf.DUMMYFUNCTION("""COMPUTED_VALUE"""),"Clube do Produtor")</f>
        <v>Clube do Produtor</v>
      </c>
    </row>
    <row r="767">
      <c r="E767" s="110" t="str">
        <f>IFERROR(__xludf.DUMMYFUNCTION("""COMPUTED_VALUE"""),"Cozinhas e Infâncias")</f>
        <v>Cozinhas e Infâncias</v>
      </c>
    </row>
    <row r="768">
      <c r="E768" s="110" t="str">
        <f>IFERROR(__xludf.DUMMYFUNCTION("""COMPUTED_VALUE"""),"Integração à comunidade do entorno")</f>
        <v>Integração à comunidade do entorno</v>
      </c>
    </row>
    <row r="769">
      <c r="E769" s="110" t="str">
        <f>IFERROR(__xludf.DUMMYFUNCTION("""COMPUTED_VALUE"""),"Mesa Brasil - Grupo Dia")</f>
        <v>Mesa Brasil - Grupo Dia</v>
      </c>
    </row>
    <row r="770">
      <c r="E770" s="110" t="str">
        <f>IFERROR(__xludf.DUMMYFUNCTION("""COMPUTED_VALUE"""),"Campeões da Vida")</f>
        <v>Campeões da Vida</v>
      </c>
    </row>
    <row r="771">
      <c r="E771" s="110" t="str">
        <f>IFERROR(__xludf.DUMMYFUNCTION("""COMPUTED_VALUE"""),"Instituto de Ensino Neuza Rodrigues")</f>
        <v>Instituto de Ensino Neuza Rodrigues</v>
      </c>
    </row>
    <row r="772">
      <c r="E772" s="110" t="str">
        <f>IFERROR(__xludf.DUMMYFUNCTION("""COMPUTED_VALUE"""),"Transforma ")</f>
        <v>Transforma </v>
      </c>
    </row>
    <row r="773">
      <c r="E773" s="110" t="str">
        <f>IFERROR(__xludf.DUMMYFUNCTION("""COMPUTED_VALUE"""),"Desafio do Bem ")</f>
        <v>Desafio do Bem </v>
      </c>
    </row>
    <row r="774">
      <c r="E774" s="110" t="str">
        <f>IFERROR(__xludf.DUMMYFUNCTION("""COMPUTED_VALUE"""),"Páscoa da Esperança")</f>
        <v>Páscoa da Esperança</v>
      </c>
    </row>
    <row r="775">
      <c r="E775" s="110" t="str">
        <f>IFERROR(__xludf.DUMMYFUNCTION("""COMPUTED_VALUE"""),"Natal Solidário - Lojas Quero Quero")</f>
        <v>Natal Solidário - Lojas Quero Quero</v>
      </c>
    </row>
    <row r="776">
      <c r="E776" s="110" t="str">
        <f>IFERROR(__xludf.DUMMYFUNCTION("""COMPUTED_VALUE"""),"Cestas Natalinas ")</f>
        <v>Cestas Natalinas </v>
      </c>
    </row>
    <row r="777">
      <c r="E777" s="110" t="str">
        <f>IFERROR(__xludf.DUMMYFUNCTION("""COMPUTED_VALUE"""),"SOS Chuvas")</f>
        <v>SOS Chuvas</v>
      </c>
    </row>
    <row r="778">
      <c r="E778" s="110" t="str">
        <f>IFERROR(__xludf.DUMMYFUNCTION("""COMPUTED_VALUE"""),"Doação de 200 toneladas de alimentos ")</f>
        <v>Doação de 200 toneladas de alimentos </v>
      </c>
    </row>
    <row r="779">
      <c r="E779" s="110" t="str">
        <f>IFERROR(__xludf.DUMMYFUNCTION("""COMPUTED_VALUE"""),"BigGracias / McObrigado - Apoio aos profissionais da saúde")</f>
        <v>BigGracias / McObrigado - Apoio aos profissionais da saúde</v>
      </c>
    </row>
    <row r="780">
      <c r="E780" s="110" t="str">
        <f>IFERROR(__xludf.DUMMYFUNCTION("""COMPUTED_VALUE"""),"Doação de alimentos in natura")</f>
        <v>Doação de alimentos in natura</v>
      </c>
    </row>
    <row r="781">
      <c r="E781" s="110" t="str">
        <f>IFERROR(__xludf.DUMMYFUNCTION("""COMPUTED_VALUE"""),"Webconferências de Sustentabilidade")</f>
        <v>Webconferências de Sustentabilidade</v>
      </c>
    </row>
    <row r="782">
      <c r="E782" s="110" t="str">
        <f>IFERROR(__xludf.DUMMYFUNCTION("""COMPUTED_VALUE"""),"Banco de Alimentos")</f>
        <v>Banco de Alimentos</v>
      </c>
    </row>
    <row r="783">
      <c r="E783" s="110" t="str">
        <f>IFERROR(__xludf.DUMMYFUNCTION("""COMPUTED_VALUE"""),"Políticas para abastecimento de carne bovina livre de desmatamento")</f>
        <v>Políticas para abastecimento de carne bovina livre de desmatamento</v>
      </c>
    </row>
    <row r="784">
      <c r="E784" s="110" t="str">
        <f>IFERROR(__xludf.DUMMYFUNCTION("""COMPUTED_VALUE"""),"Cuidados com funcionários")</f>
        <v>Cuidados com funcionários</v>
      </c>
    </row>
    <row r="785">
      <c r="E785" s="110" t="str">
        <f>IFERROR(__xludf.DUMMYFUNCTION("""COMPUTED_VALUE"""),"Doações")</f>
        <v>Doações</v>
      </c>
    </row>
    <row r="786">
      <c r="E786" s="110" t="str">
        <f>IFERROR(__xludf.DUMMYFUNCTION("""COMPUTED_VALUE"""),"Horta McDonald's")</f>
        <v>Horta McDonald's</v>
      </c>
    </row>
    <row r="787">
      <c r="E787" s="110" t="str">
        <f>IFERROR(__xludf.DUMMYFUNCTION("""COMPUTED_VALUE"""),"Valorização de alimentos")</f>
        <v>Valorização de alimentos</v>
      </c>
    </row>
    <row r="788">
      <c r="E788" s="110" t="str">
        <f>IFERROR(__xludf.DUMMYFUNCTION("""COMPUTED_VALUE"""),"Espírito de equipe impactante")</f>
        <v>Espírito de equipe impactante</v>
      </c>
    </row>
    <row r="789">
      <c r="E789" s="110" t="str">
        <f>IFERROR(__xludf.DUMMYFUNCTION("""COMPUTED_VALUE"""),"SOS Sudeste")</f>
        <v>SOS Sudeste</v>
      </c>
    </row>
    <row r="790">
      <c r="E790" s="110" t="str">
        <f>IFERROR(__xludf.DUMMYFUNCTION("""COMPUTED_VALUE"""),"Natal Sem Fome - Ação da Cidadania ")</f>
        <v>Natal Sem Fome - Ação da Cidadania </v>
      </c>
    </row>
    <row r="791">
      <c r="E791" s="110" t="str">
        <f>IFERROR(__xludf.DUMMYFUNCTION("""COMPUTED_VALUE"""),"Shows Solidários")</f>
        <v>Shows Solidários</v>
      </c>
    </row>
    <row r="792">
      <c r="E792" s="110" t="str">
        <f>IFERROR(__xludf.DUMMYFUNCTION("""COMPUTED_VALUE"""),"Doações Pandemia - Banco de Alimentos ")</f>
        <v>Doações Pandemia - Banco de Alimentos </v>
      </c>
    </row>
    <row r="793">
      <c r="E793" s="110" t="str">
        <f>IFERROR(__xludf.DUMMYFUNCTION("""COMPUTED_VALUE"""),"Regatão do Bem")</f>
        <v>Regatão do Bem</v>
      </c>
    </row>
    <row r="794">
      <c r="E794" s="110" t="str">
        <f>IFERROR(__xludf.DUMMYFUNCTION("""COMPUTED_VALUE"""),"Parceiros pela Amazônia")</f>
        <v>Parceiros pela Amazônia</v>
      </c>
    </row>
    <row r="795">
      <c r="E795" s="110" t="str">
        <f>IFERROR(__xludf.DUMMYFUNCTION("""COMPUTED_VALUE"""),"Composteira industrial ")</f>
        <v>Composteira industrial </v>
      </c>
    </row>
    <row r="796">
      <c r="E796" s="110" t="str">
        <f>IFERROR(__xludf.DUMMYFUNCTION("""COMPUTED_VALUE"""),"Apoio Pandemia ")</f>
        <v>Apoio Pandemia </v>
      </c>
    </row>
    <row r="797">
      <c r="E797" s="110" t="str">
        <f>IFERROR(__xludf.DUMMYFUNCTION("""COMPUTED_VALUE"""),"Biomas a um Clique ")</f>
        <v>Biomas a um Clique </v>
      </c>
    </row>
    <row r="798">
      <c r="E798" s="110" t="str">
        <f>IFERROR(__xludf.DUMMYFUNCTION("""COMPUTED_VALUE"""),"Café Apuí  - Amazonas ")</f>
        <v>Café Apuí  - Amazonas </v>
      </c>
    </row>
    <row r="799">
      <c r="E799" s="110" t="str">
        <f>IFERROR(__xludf.DUMMYFUNCTION("""COMPUTED_VALUE"""),"Novas Florestas")</f>
        <v>Novas Florestas</v>
      </c>
    </row>
    <row r="800">
      <c r="E800" s="110" t="str">
        <f>IFERROR(__xludf.DUMMYFUNCTION("""COMPUTED_VALUE"""),"Moradores de Rua e Seus Cães")</f>
        <v>Moradores de Rua e Seus Cães</v>
      </c>
    </row>
    <row r="801">
      <c r="E801" s="110" t="str">
        <f>IFERROR(__xludf.DUMMYFUNCTION("""COMPUTED_VALUE"""),"Para os moradores do Rio Grande do Sul")</f>
        <v>Para os moradores do Rio Grande do Sul</v>
      </c>
    </row>
    <row r="802">
      <c r="E802" s="110" t="str">
        <f>IFERROR(__xludf.DUMMYFUNCTION("""COMPUTED_VALUE"""),"Pacto 15 por 15")</f>
        <v>Pacto 15 por 15</v>
      </c>
    </row>
    <row r="803">
      <c r="E803" s="110" t="str">
        <f>IFERROR(__xludf.DUMMYFUNCTION("""COMPUTED_VALUE"""),"Protocolo de Emergência")</f>
        <v>Protocolo de Emergência</v>
      </c>
    </row>
    <row r="804">
      <c r="E804" s="110" t="str">
        <f>IFERROR(__xludf.DUMMYFUNCTION("""COMPUTED_VALUE"""),"Voluntariado")</f>
        <v>Voluntariado</v>
      </c>
    </row>
    <row r="805">
      <c r="E805" s="110" t="str">
        <f>IFERROR(__xludf.DUMMYFUNCTION("""COMPUTED_VALUE"""),"Vacina do Bem")</f>
        <v>Vacina do Bem</v>
      </c>
    </row>
    <row r="806">
      <c r="E806" s="110" t="str">
        <f>IFERROR(__xludf.DUMMYFUNCTION("""COMPUTED_VALUE"""),"Test Drive Solidário")</f>
        <v>Test Drive Solidário</v>
      </c>
    </row>
    <row r="807">
      <c r="E807" s="110" t="str">
        <f>IFERROR(__xludf.DUMMYFUNCTION("""COMPUTED_VALUE"""),"Natal sem fome - Rodobens ")</f>
        <v>Natal sem fome - Rodobens </v>
      </c>
    </row>
    <row r="808">
      <c r="E808" s="110" t="str">
        <f>IFERROR(__xludf.DUMMYFUNCTION("""COMPUTED_VALUE"""),"Dia da Bondade")</f>
        <v>Dia da Bondade</v>
      </c>
    </row>
    <row r="809">
      <c r="E809" s="110" t="str">
        <f>IFERROR(__xludf.DUMMYFUNCTION("""COMPUTED_VALUE"""),"Campanha “Doação Super Essencial""")</f>
        <v>Campanha “Doação Super Essencial"</v>
      </c>
    </row>
    <row r="810">
      <c r="E810" s="110" t="str">
        <f>IFERROR(__xludf.DUMMYFUNCTION("""COMPUTED_VALUE"""),"Campanha Juntos Por Minas")</f>
        <v>Campanha Juntos Por Minas</v>
      </c>
    </row>
    <row r="811">
      <c r="E811" s="110" t="str">
        <f>IFERROR(__xludf.DUMMYFUNCTION("""COMPUTED_VALUE"""),"Doações de Alimentos a Grupos em Vulnerabilidade Social por Meio de Programas das Prefeituras")</f>
        <v>Doações de Alimentos a Grupos em Vulnerabilidade Social por Meio de Programas das Prefeituras</v>
      </c>
    </row>
    <row r="812">
      <c r="E812" s="110" t="str">
        <f>IFERROR(__xludf.DUMMYFUNCTION("""COMPUTED_VALUE"""),"Pangeia")</f>
        <v>Pangeia</v>
      </c>
    </row>
    <row r="813">
      <c r="E813" s="110" t="str">
        <f>IFERROR(__xludf.DUMMYFUNCTION("""COMPUTED_VALUE"""),"Campanha do Agasalho")</f>
        <v>Campanha do Agasalho</v>
      </c>
    </row>
    <row r="814">
      <c r="E814" s="110" t="str">
        <f>IFERROR(__xludf.DUMMYFUNCTION("""COMPUTED_VALUE"""),"Aulas Gratuitas ")</f>
        <v>Aulas Gratuitas </v>
      </c>
    </row>
    <row r="815">
      <c r="E815" s="110" t="str">
        <f>IFERROR(__xludf.DUMMYFUNCTION("""COMPUTED_VALUE"""),"Dr. Aron ")</f>
        <v>Dr. Aron </v>
      </c>
    </row>
    <row r="816">
      <c r="E816" s="110" t="str">
        <f>IFERROR(__xludf.DUMMYFUNCTION("""COMPUTED_VALUE"""),"Desmatamento zero")</f>
        <v>Desmatamento zero</v>
      </c>
    </row>
    <row r="817">
      <c r="E817" s="110" t="str">
        <f>IFERROR(__xludf.DUMMYFUNCTION("""COMPUTED_VALUE"""),"Produção de Cogumelo")</f>
        <v>Produção de Cogumelo</v>
      </c>
    </row>
    <row r="818">
      <c r="E818" s="110" t="str">
        <f>IFERROR(__xludf.DUMMYFUNCTION("""COMPUTED_VALUE"""),"Doação de Alimentos e Produtos de Limpeza")</f>
        <v>Doação de Alimentos e Produtos de Limpeza</v>
      </c>
    </row>
    <row r="819">
      <c r="E819" s="110" t="str">
        <f>IFERROR(__xludf.DUMMYFUNCTION("""COMPUTED_VALUE"""),"Produtores Orgânicos ")</f>
        <v>Produtores Orgânicos </v>
      </c>
    </row>
    <row r="820">
      <c r="E820" s="110" t="str">
        <f>IFERROR(__xludf.DUMMYFUNCTION("""COMPUTED_VALUE"""),"Produtores Locais")</f>
        <v>Produtores Locais</v>
      </c>
    </row>
    <row r="821">
      <c r="E821" s="110" t="str">
        <f>IFERROR(__xludf.DUMMYFUNCTION("""COMPUTED_VALUE"""),"Juçaí")</f>
        <v>Juçaí</v>
      </c>
    </row>
    <row r="822">
      <c r="E822" s="110" t="str">
        <f>IFERROR(__xludf.DUMMYFUNCTION("""COMPUTED_VALUE"""),"Agropecuária")</f>
        <v>Agropecuária</v>
      </c>
    </row>
    <row r="823">
      <c r="E823" s="110" t="str">
        <f>IFERROR(__xludf.DUMMYFUNCTION("""COMPUTED_VALUE"""),"Mamba Water")</f>
        <v>Mamba Water</v>
      </c>
    </row>
    <row r="824">
      <c r="E824" s="110"/>
    </row>
    <row r="825">
      <c r="E825" s="110"/>
    </row>
    <row r="826">
      <c r="E826" s="110"/>
    </row>
    <row r="827">
      <c r="E827" s="110"/>
    </row>
    <row r="828">
      <c r="E828" s="110"/>
    </row>
    <row r="829">
      <c r="E829" s="110"/>
    </row>
    <row r="830">
      <c r="E830" s="110"/>
    </row>
    <row r="831">
      <c r="E831" s="110"/>
    </row>
    <row r="832">
      <c r="E832" s="110"/>
    </row>
    <row r="833">
      <c r="E833" s="110"/>
    </row>
    <row r="834">
      <c r="E834" s="110"/>
    </row>
    <row r="835">
      <c r="E835" s="110"/>
    </row>
    <row r="836">
      <c r="E836" s="110"/>
    </row>
    <row r="837">
      <c r="E837" s="110"/>
    </row>
    <row r="838">
      <c r="E838" s="110"/>
    </row>
    <row r="839">
      <c r="E839" s="110"/>
    </row>
    <row r="840">
      <c r="E840" s="110"/>
    </row>
    <row r="841">
      <c r="E841" s="110"/>
    </row>
    <row r="842">
      <c r="E842" s="110"/>
    </row>
    <row r="843">
      <c r="E843" s="110"/>
    </row>
    <row r="844">
      <c r="E844" s="110"/>
    </row>
    <row r="845">
      <c r="E845" s="110"/>
    </row>
    <row r="846">
      <c r="E846" s="110"/>
    </row>
    <row r="847">
      <c r="E847" s="110"/>
    </row>
    <row r="848">
      <c r="E848" s="110"/>
    </row>
    <row r="849">
      <c r="E849" s="110"/>
    </row>
    <row r="850">
      <c r="E850" s="110"/>
    </row>
    <row r="851">
      <c r="E851" s="110"/>
    </row>
    <row r="852">
      <c r="E852" s="110"/>
    </row>
    <row r="853">
      <c r="E853" s="110"/>
    </row>
    <row r="854">
      <c r="E854" s="110"/>
    </row>
    <row r="855">
      <c r="E855" s="110"/>
    </row>
    <row r="856">
      <c r="E856" s="110"/>
    </row>
    <row r="857">
      <c r="E857" s="110"/>
    </row>
    <row r="858">
      <c r="E858" s="110"/>
    </row>
    <row r="859">
      <c r="E859" s="110"/>
    </row>
    <row r="860">
      <c r="E860" s="110"/>
    </row>
    <row r="861">
      <c r="E861" s="110"/>
    </row>
    <row r="862">
      <c r="E862" s="110"/>
    </row>
    <row r="863">
      <c r="E863" s="110"/>
    </row>
    <row r="864">
      <c r="E864" s="110"/>
    </row>
    <row r="865">
      <c r="E865" s="110"/>
    </row>
    <row r="866">
      <c r="E866" s="110"/>
    </row>
    <row r="867">
      <c r="E867" s="110"/>
    </row>
    <row r="868">
      <c r="E868" s="110"/>
    </row>
    <row r="869">
      <c r="E869" s="110"/>
    </row>
    <row r="870">
      <c r="E870" s="110"/>
    </row>
    <row r="871">
      <c r="E871" s="110"/>
    </row>
    <row r="872">
      <c r="E872" s="110"/>
    </row>
    <row r="873">
      <c r="E873" s="110"/>
    </row>
    <row r="874">
      <c r="E874" s="110"/>
    </row>
    <row r="875">
      <c r="E875" s="110"/>
    </row>
    <row r="876">
      <c r="E876" s="110"/>
    </row>
    <row r="877">
      <c r="E877" s="110"/>
    </row>
    <row r="878">
      <c r="E878" s="110"/>
    </row>
    <row r="879">
      <c r="E879" s="110"/>
    </row>
    <row r="880">
      <c r="E880" s="110"/>
    </row>
    <row r="881">
      <c r="E881" s="110"/>
    </row>
    <row r="882">
      <c r="E882" s="110"/>
    </row>
    <row r="883">
      <c r="E883" s="110"/>
    </row>
    <row r="884">
      <c r="E884" s="110"/>
    </row>
    <row r="885">
      <c r="E885" s="110"/>
    </row>
    <row r="886">
      <c r="E886" s="110"/>
    </row>
    <row r="887">
      <c r="E887" s="110"/>
    </row>
    <row r="888">
      <c r="E888" s="110"/>
    </row>
    <row r="889">
      <c r="E889" s="110"/>
    </row>
    <row r="890">
      <c r="E890" s="110"/>
    </row>
    <row r="891">
      <c r="E891" s="110"/>
    </row>
    <row r="892">
      <c r="E892" s="110"/>
    </row>
    <row r="893">
      <c r="E893" s="110"/>
    </row>
    <row r="894">
      <c r="E894" s="110"/>
    </row>
    <row r="895">
      <c r="E895" s="110"/>
    </row>
    <row r="896">
      <c r="E896" s="110"/>
    </row>
    <row r="897">
      <c r="E897" s="110"/>
    </row>
    <row r="898">
      <c r="E898" s="110"/>
    </row>
    <row r="899">
      <c r="E899" s="110"/>
    </row>
    <row r="900">
      <c r="E900" s="110"/>
    </row>
    <row r="901">
      <c r="E901" s="110"/>
    </row>
    <row r="902">
      <c r="E902" s="110"/>
    </row>
    <row r="903">
      <c r="E903" s="110"/>
    </row>
    <row r="904">
      <c r="E904" s="110"/>
    </row>
    <row r="905">
      <c r="E905" s="110"/>
    </row>
    <row r="906">
      <c r="E906" s="110"/>
    </row>
    <row r="907">
      <c r="E907" s="110"/>
    </row>
    <row r="908">
      <c r="E908" s="110"/>
    </row>
    <row r="909">
      <c r="E909" s="110"/>
    </row>
    <row r="910">
      <c r="E910" s="110"/>
    </row>
    <row r="911">
      <c r="E911" s="110"/>
    </row>
    <row r="912">
      <c r="E912" s="110"/>
    </row>
    <row r="913">
      <c r="E913" s="110"/>
    </row>
    <row r="914">
      <c r="E914" s="110"/>
    </row>
    <row r="915">
      <c r="E915" s="110"/>
    </row>
    <row r="916">
      <c r="E916" s="110"/>
    </row>
    <row r="917">
      <c r="E917" s="110"/>
    </row>
    <row r="918">
      <c r="E918" s="110"/>
    </row>
    <row r="919">
      <c r="E919" s="110"/>
    </row>
    <row r="920">
      <c r="E920" s="110"/>
    </row>
    <row r="921">
      <c r="E921" s="110"/>
    </row>
    <row r="922">
      <c r="E922" s="110"/>
    </row>
    <row r="923">
      <c r="E923" s="110"/>
    </row>
    <row r="924">
      <c r="E924" s="110"/>
    </row>
    <row r="925">
      <c r="E925" s="110"/>
    </row>
    <row r="926">
      <c r="E926" s="110"/>
    </row>
    <row r="927">
      <c r="E927" s="110"/>
    </row>
    <row r="928">
      <c r="E928" s="110"/>
    </row>
    <row r="929">
      <c r="E929" s="110"/>
    </row>
    <row r="930">
      <c r="E930" s="110"/>
    </row>
    <row r="931">
      <c r="E931" s="110"/>
    </row>
    <row r="932">
      <c r="E932" s="110"/>
    </row>
    <row r="933">
      <c r="E933" s="110"/>
    </row>
    <row r="934">
      <c r="E934" s="110"/>
    </row>
    <row r="935">
      <c r="E935" s="110"/>
    </row>
    <row r="936">
      <c r="E936" s="110"/>
    </row>
    <row r="937">
      <c r="E937" s="110"/>
    </row>
    <row r="938">
      <c r="E938" s="110"/>
    </row>
    <row r="939">
      <c r="E939" s="110"/>
    </row>
    <row r="940">
      <c r="E940" s="110"/>
    </row>
    <row r="941">
      <c r="E941" s="110"/>
    </row>
    <row r="942">
      <c r="E942" s="110"/>
    </row>
    <row r="943">
      <c r="E943" s="110"/>
    </row>
    <row r="944">
      <c r="E944" s="110"/>
    </row>
    <row r="945">
      <c r="E945" s="110"/>
    </row>
    <row r="946">
      <c r="E946" s="110"/>
    </row>
    <row r="947">
      <c r="E947" s="110"/>
    </row>
    <row r="948">
      <c r="E948" s="110"/>
    </row>
    <row r="949">
      <c r="E949" s="110"/>
    </row>
    <row r="950">
      <c r="E950" s="110"/>
    </row>
    <row r="951">
      <c r="E951" s="110"/>
    </row>
    <row r="952">
      <c r="E952" s="110"/>
    </row>
    <row r="953">
      <c r="E953" s="110"/>
    </row>
    <row r="954">
      <c r="E954" s="110"/>
    </row>
    <row r="955">
      <c r="E955" s="110"/>
    </row>
    <row r="956">
      <c r="E956" s="110"/>
    </row>
    <row r="957">
      <c r="E957" s="110"/>
    </row>
    <row r="958">
      <c r="E958" s="110"/>
    </row>
    <row r="959">
      <c r="E959" s="110"/>
    </row>
    <row r="960">
      <c r="E960" s="110"/>
    </row>
    <row r="961">
      <c r="E961" s="110"/>
    </row>
    <row r="962">
      <c r="E962" s="110"/>
    </row>
    <row r="963">
      <c r="E963" s="110"/>
    </row>
    <row r="964">
      <c r="E964" s="110"/>
    </row>
    <row r="965">
      <c r="E965" s="110"/>
    </row>
    <row r="966">
      <c r="E966" s="110"/>
    </row>
    <row r="967">
      <c r="E967" s="110"/>
    </row>
    <row r="968">
      <c r="E968" s="110"/>
    </row>
    <row r="969">
      <c r="E969" s="110"/>
    </row>
    <row r="970">
      <c r="E970" s="110"/>
    </row>
    <row r="971">
      <c r="E971" s="110"/>
    </row>
    <row r="972">
      <c r="E972" s="110"/>
    </row>
    <row r="973">
      <c r="E973" s="110"/>
    </row>
    <row r="974">
      <c r="E974" s="110"/>
    </row>
    <row r="975">
      <c r="E975" s="110"/>
    </row>
    <row r="976">
      <c r="E976" s="110"/>
    </row>
    <row r="977">
      <c r="E977" s="110"/>
    </row>
    <row r="978">
      <c r="E978" s="110"/>
    </row>
    <row r="979">
      <c r="E979" s="110"/>
    </row>
    <row r="980">
      <c r="E980" s="110"/>
    </row>
    <row r="981">
      <c r="E981" s="110"/>
    </row>
    <row r="982">
      <c r="E982" s="110"/>
    </row>
    <row r="983">
      <c r="E983" s="110"/>
    </row>
    <row r="984">
      <c r="E984" s="110"/>
    </row>
    <row r="985">
      <c r="E985" s="110"/>
    </row>
    <row r="986">
      <c r="E986" s="110"/>
    </row>
    <row r="987">
      <c r="E987" s="110"/>
    </row>
    <row r="988">
      <c r="E988" s="110"/>
    </row>
    <row r="989">
      <c r="E989" s="110"/>
    </row>
    <row r="990">
      <c r="E990" s="110"/>
    </row>
    <row r="991">
      <c r="E991" s="110"/>
    </row>
    <row r="992">
      <c r="E992" s="110"/>
    </row>
    <row r="993">
      <c r="E993" s="110"/>
    </row>
    <row r="994">
      <c r="E994" s="110"/>
    </row>
    <row r="995">
      <c r="E995" s="110"/>
    </row>
    <row r="996">
      <c r="E996" s="110"/>
    </row>
    <row r="997">
      <c r="E997" s="110"/>
    </row>
    <row r="998">
      <c r="E998" s="110"/>
    </row>
    <row r="999">
      <c r="E999" s="110"/>
    </row>
    <row r="1000">
      <c r="E1000" s="110"/>
    </row>
    <row r="1001">
      <c r="E1001" s="110"/>
    </row>
  </sheetData>
  <autoFilter ref="$A$1:$Y$1001"/>
  <hyperlinks>
    <hyperlink r:id="rId1" ref="E249"/>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2.25"/>
  </cols>
  <sheetData>
    <row r="1">
      <c r="A1" s="112" t="s">
        <v>6</v>
      </c>
    </row>
    <row r="2">
      <c r="B2" s="117" t="s">
        <v>3317</v>
      </c>
      <c r="C2" s="117" t="s">
        <v>3255</v>
      </c>
      <c r="D2" s="117" t="s">
        <v>3254</v>
      </c>
    </row>
    <row r="3">
      <c r="B3" s="118" t="s">
        <v>90</v>
      </c>
      <c r="C3" s="119">
        <f t="shared" ref="C3:C7" si="1">D3/$D$8</f>
        <v>0.7058823529</v>
      </c>
      <c r="D3" s="120">
        <f>COUNTIF('Ações'!$H:$H, "Projeto")</f>
        <v>480</v>
      </c>
    </row>
    <row r="4">
      <c r="B4" s="118" t="s">
        <v>110</v>
      </c>
      <c r="C4" s="119">
        <f t="shared" si="1"/>
        <v>0.1808823529</v>
      </c>
      <c r="D4" s="120">
        <f>COUNTIF('Ações'!$H:$H, "Programa")</f>
        <v>123</v>
      </c>
    </row>
    <row r="5">
      <c r="B5" s="118" t="s">
        <v>189</v>
      </c>
      <c r="C5" s="119">
        <f t="shared" si="1"/>
        <v>0.1102941176</v>
      </c>
      <c r="D5" s="120">
        <f>COUNTIF('Ações'!$H:$H, "Campanha")</f>
        <v>75</v>
      </c>
    </row>
    <row r="6">
      <c r="B6" s="121" t="s">
        <v>3318</v>
      </c>
      <c r="C6" s="122">
        <f t="shared" si="1"/>
        <v>0</v>
      </c>
      <c r="D6" s="120">
        <f>COUNTIF('Ações'!$H:$H, "Apoio institucional")</f>
        <v>0</v>
      </c>
    </row>
    <row r="7">
      <c r="B7" s="118" t="s">
        <v>709</v>
      </c>
      <c r="C7" s="119">
        <f t="shared" si="1"/>
        <v>0.002941176471</v>
      </c>
      <c r="D7" s="120">
        <f>COUNTIF('Ações'!$H:$H, "Articulação Multissetorial")</f>
        <v>2</v>
      </c>
    </row>
    <row r="8">
      <c r="B8" s="121" t="s">
        <v>3257</v>
      </c>
      <c r="C8" s="122">
        <f t="shared" ref="C8:D8" si="2">SUM(C3:C7)</f>
        <v>1</v>
      </c>
      <c r="D8" s="123">
        <f t="shared" si="2"/>
        <v>680</v>
      </c>
    </row>
    <row r="13">
      <c r="B13" s="112" t="s">
        <v>3319</v>
      </c>
    </row>
    <row r="14">
      <c r="B14" s="117" t="s">
        <v>3317</v>
      </c>
      <c r="C14" s="117" t="s">
        <v>3255</v>
      </c>
      <c r="D14" s="117" t="s">
        <v>3254</v>
      </c>
    </row>
    <row r="15">
      <c r="B15" s="118" t="s">
        <v>90</v>
      </c>
      <c r="C15" s="119">
        <f t="shared" ref="C15:C19" si="3">D15/$D$20</f>
        <v>0.6930983847</v>
      </c>
      <c r="D15" s="124">
        <v>472.0</v>
      </c>
    </row>
    <row r="16">
      <c r="B16" s="118" t="s">
        <v>110</v>
      </c>
      <c r="C16" s="119">
        <f t="shared" si="3"/>
        <v>0.1732745962</v>
      </c>
      <c r="D16" s="124">
        <v>118.0</v>
      </c>
    </row>
    <row r="17">
      <c r="B17" s="118" t="s">
        <v>189</v>
      </c>
      <c r="C17" s="119">
        <f t="shared" si="3"/>
        <v>0.107195301</v>
      </c>
      <c r="D17" s="124">
        <v>73.0</v>
      </c>
    </row>
    <row r="18">
      <c r="B18" s="121" t="s">
        <v>3318</v>
      </c>
      <c r="C18" s="119">
        <f t="shared" si="3"/>
        <v>0.0234948605</v>
      </c>
      <c r="D18" s="124">
        <v>16.0</v>
      </c>
    </row>
    <row r="19">
      <c r="B19" s="118" t="s">
        <v>709</v>
      </c>
      <c r="C19" s="119">
        <f t="shared" si="3"/>
        <v>0.002936857562</v>
      </c>
      <c r="D19" s="124">
        <v>2.0</v>
      </c>
    </row>
    <row r="20">
      <c r="B20" s="121" t="s">
        <v>3257</v>
      </c>
      <c r="C20" s="122">
        <f t="shared" ref="C20:D20" si="4">SUM(C15:C19)</f>
        <v>1</v>
      </c>
      <c r="D20" s="123">
        <f t="shared" si="4"/>
        <v>681</v>
      </c>
    </row>
    <row r="22">
      <c r="B22" s="112" t="s">
        <v>3320</v>
      </c>
    </row>
  </sheetData>
  <autoFilter ref="$B$2:$D$7">
    <sortState ref="B2:D7">
      <sortCondition descending="1" ref="C2:C7"/>
      <sortCondition descending="1" ref="D2:D7"/>
    </sortState>
  </autoFilter>
  <mergeCells count="1">
    <mergeCell ref="B13:D1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0" max="10" width="22.25"/>
  </cols>
  <sheetData>
    <row r="2">
      <c r="B2" s="125" t="s">
        <v>3321</v>
      </c>
      <c r="C2" s="126" t="s">
        <v>3254</v>
      </c>
      <c r="D2" s="126" t="s">
        <v>3255</v>
      </c>
      <c r="F2" s="125" t="s">
        <v>3322</v>
      </c>
      <c r="G2" s="126" t="s">
        <v>3254</v>
      </c>
      <c r="H2" s="126" t="s">
        <v>3255</v>
      </c>
      <c r="J2" s="125" t="s">
        <v>3323</v>
      </c>
      <c r="K2" s="126" t="s">
        <v>3254</v>
      </c>
      <c r="L2" s="126" t="s">
        <v>3255</v>
      </c>
      <c r="N2" s="125" t="s">
        <v>3324</v>
      </c>
      <c r="O2" s="126" t="s">
        <v>3254</v>
      </c>
      <c r="P2" s="126" t="s">
        <v>3255</v>
      </c>
      <c r="R2" s="3" t="s">
        <v>3325</v>
      </c>
      <c r="S2" s="126" t="s">
        <v>3254</v>
      </c>
      <c r="T2" s="126" t="s">
        <v>3255</v>
      </c>
    </row>
    <row r="3">
      <c r="B3" s="95" t="s">
        <v>93</v>
      </c>
      <c r="C3" s="107">
        <f>COUNTIF('Ações'!$J:$J,"Sim")</f>
        <v>114</v>
      </c>
      <c r="D3" s="108">
        <f>$C$3/$C$5</f>
        <v>0.1637931034</v>
      </c>
      <c r="F3" s="95" t="s">
        <v>93</v>
      </c>
      <c r="G3" s="107">
        <f>COUNTIF('Ações'!$K:$K,"Sim")</f>
        <v>55</v>
      </c>
      <c r="H3" s="108">
        <f>$G$3/$G$5</f>
        <v>0.07902298851</v>
      </c>
      <c r="J3" s="95" t="s">
        <v>93</v>
      </c>
      <c r="K3" s="107">
        <f>COUNTIF('Ações'!$L:$L,"Sim")</f>
        <v>223</v>
      </c>
      <c r="L3" s="108">
        <f>$K$3/$K$5</f>
        <v>0.3204022989</v>
      </c>
      <c r="N3" s="95" t="s">
        <v>93</v>
      </c>
      <c r="O3" s="107">
        <f>COUNTIF('Ações'!$M:$M,"Sim")</f>
        <v>214</v>
      </c>
      <c r="P3" s="108">
        <f>$O$3/$O$5</f>
        <v>0.3074712644</v>
      </c>
      <c r="R3" s="95" t="s">
        <v>93</v>
      </c>
      <c r="S3" s="107">
        <f>COUNTIF('Ações'!$N:$N,"Sim")</f>
        <v>34</v>
      </c>
      <c r="T3" s="108">
        <f t="shared" ref="T3:T7" si="1">S3/$S$7</f>
        <v>0.04885057471</v>
      </c>
    </row>
    <row r="4">
      <c r="B4" s="95" t="s">
        <v>92</v>
      </c>
      <c r="C4" s="107">
        <f>COUNTIF('Ações'!$J:$J,"Não")</f>
        <v>582</v>
      </c>
      <c r="D4" s="108">
        <f>$C$4/$C$5</f>
        <v>0.8362068966</v>
      </c>
      <c r="F4" s="95" t="s">
        <v>92</v>
      </c>
      <c r="G4" s="107">
        <f>COUNTIF('Ações'!$K:$K,"Não")</f>
        <v>641</v>
      </c>
      <c r="H4" s="108">
        <f>$G$4/$G$5</f>
        <v>0.9209770115</v>
      </c>
      <c r="J4" s="95" t="s">
        <v>92</v>
      </c>
      <c r="K4" s="107">
        <f>COUNTIF('Ações'!$L:$L,"Não")</f>
        <v>473</v>
      </c>
      <c r="L4" s="108">
        <f>$K$4/$K$5</f>
        <v>0.6795977011</v>
      </c>
      <c r="N4" s="95" t="s">
        <v>92</v>
      </c>
      <c r="O4" s="107">
        <f>COUNTIF('Ações'!$M:$M,"Não")</f>
        <v>482</v>
      </c>
      <c r="P4" s="108">
        <f>$O$4/$O$5</f>
        <v>0.6925287356</v>
      </c>
      <c r="R4" s="95" t="s">
        <v>92</v>
      </c>
      <c r="S4" s="107">
        <f>COUNTIF('Ações'!$N:$N,"Não")</f>
        <v>662</v>
      </c>
      <c r="T4" s="108">
        <f t="shared" si="1"/>
        <v>0.9511494253</v>
      </c>
    </row>
    <row r="5">
      <c r="B5" s="95" t="s">
        <v>3257</v>
      </c>
      <c r="C5" s="107">
        <f t="shared" ref="C5:D5" si="2">SUM(C3:C4)</f>
        <v>696</v>
      </c>
      <c r="D5" s="108">
        <f t="shared" si="2"/>
        <v>1</v>
      </c>
      <c r="F5" s="95" t="s">
        <v>3257</v>
      </c>
      <c r="G5" s="107">
        <f t="shared" ref="G5:H5" si="3">SUM(G3:G4)</f>
        <v>696</v>
      </c>
      <c r="H5" s="108">
        <f t="shared" si="3"/>
        <v>1</v>
      </c>
      <c r="J5" s="95" t="s">
        <v>3257</v>
      </c>
      <c r="K5" s="107">
        <f t="shared" ref="K5:L5" si="4">SUM(K3:K4)</f>
        <v>696</v>
      </c>
      <c r="L5" s="108">
        <f t="shared" si="4"/>
        <v>1</v>
      </c>
      <c r="N5" s="95" t="s">
        <v>3257</v>
      </c>
      <c r="O5" s="107">
        <f t="shared" ref="O5:P5" si="5">SUM(O3:O4)</f>
        <v>696</v>
      </c>
      <c r="P5" s="108">
        <f t="shared" si="5"/>
        <v>1</v>
      </c>
      <c r="R5" s="95" t="s">
        <v>3326</v>
      </c>
      <c r="S5" s="107">
        <f>COUNTIF('Ações'!$N:$N,"Ambos")</f>
        <v>0</v>
      </c>
      <c r="T5" s="108">
        <f t="shared" si="1"/>
        <v>0</v>
      </c>
    </row>
    <row r="6">
      <c r="R6" s="95" t="s">
        <v>3327</v>
      </c>
      <c r="S6" s="107">
        <f>COUNTIF('Ações'!$N:$N,"n/a")</f>
        <v>0</v>
      </c>
      <c r="T6" s="108">
        <f t="shared" si="1"/>
        <v>0</v>
      </c>
    </row>
    <row r="7">
      <c r="R7" s="95" t="s">
        <v>3257</v>
      </c>
      <c r="S7" s="107">
        <f>SUM(S3:S6)</f>
        <v>696</v>
      </c>
      <c r="T7" s="108">
        <f t="shared" si="1"/>
        <v>1</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B2" s="125" t="s">
        <v>3325</v>
      </c>
      <c r="C2" s="126" t="s">
        <v>3254</v>
      </c>
      <c r="D2" s="126" t="s">
        <v>3255</v>
      </c>
    </row>
    <row r="3">
      <c r="B3" s="95" t="s">
        <v>93</v>
      </c>
      <c r="C3" s="107">
        <f>COUNTIF('Ações'!$N:$N,"Sim")</f>
        <v>34</v>
      </c>
      <c r="D3" s="108">
        <f>$C$3/$C$7</f>
        <v>0.04885057471</v>
      </c>
    </row>
    <row r="4">
      <c r="B4" s="95" t="s">
        <v>92</v>
      </c>
      <c r="C4" s="107">
        <f>COUNTIF('Ações'!$N:$N,"Não")</f>
        <v>662</v>
      </c>
      <c r="D4" s="108">
        <f>$C$4/$C$7</f>
        <v>0.9511494253</v>
      </c>
    </row>
    <row r="5">
      <c r="B5" s="95" t="s">
        <v>3326</v>
      </c>
      <c r="C5" s="107">
        <f>COUNTIF('Ações'!$N:$N,"Ambos")</f>
        <v>0</v>
      </c>
      <c r="D5" s="108">
        <f>$C$5/$C$7</f>
        <v>0</v>
      </c>
    </row>
    <row r="6">
      <c r="B6" s="95" t="s">
        <v>95</v>
      </c>
      <c r="C6" s="107">
        <f>COUNTIF('Ações'!$N:$N,"n/a")</f>
        <v>0</v>
      </c>
      <c r="D6" s="108">
        <f>$C$6/$C$7</f>
        <v>0</v>
      </c>
    </row>
    <row r="7">
      <c r="B7" s="95" t="s">
        <v>3257</v>
      </c>
      <c r="C7" s="107">
        <f t="shared" ref="C7:D7" si="1">SUM(C3:C6)</f>
        <v>696</v>
      </c>
      <c r="D7" s="108">
        <f t="shared" si="1"/>
        <v>1</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3">
      <c r="B3" s="125" t="s">
        <v>3328</v>
      </c>
      <c r="C3" s="126" t="s">
        <v>3254</v>
      </c>
      <c r="D3" s="126" t="s">
        <v>3255</v>
      </c>
      <c r="F3" s="125" t="s">
        <v>3329</v>
      </c>
      <c r="G3" s="126" t="s">
        <v>3254</v>
      </c>
      <c r="H3" s="126" t="s">
        <v>3255</v>
      </c>
      <c r="J3" s="125" t="s">
        <v>3330</v>
      </c>
      <c r="K3" s="126" t="s">
        <v>3254</v>
      </c>
      <c r="L3" s="126" t="s">
        <v>3255</v>
      </c>
      <c r="N3" s="125" t="s">
        <v>3331</v>
      </c>
      <c r="O3" s="126" t="s">
        <v>3254</v>
      </c>
      <c r="P3" s="126" t="s">
        <v>3255</v>
      </c>
    </row>
    <row r="4">
      <c r="B4" s="95" t="s">
        <v>93</v>
      </c>
      <c r="C4" s="107">
        <f>COUNTIF('Ações'!$O:$O,"Sim")</f>
        <v>34</v>
      </c>
      <c r="D4" s="108">
        <f>$C$4/$C$6</f>
        <v>0.04885057471</v>
      </c>
      <c r="F4" s="95" t="s">
        <v>93</v>
      </c>
      <c r="G4" s="107">
        <f>COUNTIF('Ações'!$P:$P,"Sim")</f>
        <v>128</v>
      </c>
      <c r="H4" s="108">
        <f>$G$4/$G$6</f>
        <v>0.183908046</v>
      </c>
      <c r="J4" s="95" t="s">
        <v>93</v>
      </c>
      <c r="K4" s="107">
        <f>COUNTIF('Ações'!$Q:$Q,"Sim")</f>
        <v>149</v>
      </c>
      <c r="L4" s="108">
        <f>$K$4/$K$6</f>
        <v>0.2140804598</v>
      </c>
      <c r="N4" s="95" t="s">
        <v>93</v>
      </c>
      <c r="O4" s="107">
        <f>COUNTIF('Ações'!$R:$R,"Sim")</f>
        <v>66</v>
      </c>
      <c r="P4" s="108">
        <f>$O$4/$O$6</f>
        <v>0.09482758621</v>
      </c>
    </row>
    <row r="5">
      <c r="B5" s="95" t="s">
        <v>92</v>
      </c>
      <c r="C5" s="107">
        <f>COUNTIF('Ações'!$O:$O,"Não")</f>
        <v>662</v>
      </c>
      <c r="D5" s="108">
        <f>$C$5/$C$6</f>
        <v>0.9511494253</v>
      </c>
      <c r="F5" s="95" t="s">
        <v>92</v>
      </c>
      <c r="G5" s="107">
        <f>COUNTIF('Ações'!$P:$P,"Não")</f>
        <v>568</v>
      </c>
      <c r="H5" s="108">
        <f>$G$5/$G$6</f>
        <v>0.816091954</v>
      </c>
      <c r="J5" s="95" t="s">
        <v>92</v>
      </c>
      <c r="K5" s="107">
        <f>COUNTIF('Ações'!$Q:$Q,"Não")</f>
        <v>547</v>
      </c>
      <c r="L5" s="108">
        <f>$K$5/$K$6</f>
        <v>0.7859195402</v>
      </c>
      <c r="N5" s="95" t="s">
        <v>92</v>
      </c>
      <c r="O5" s="107">
        <f>COUNTIF('Ações'!$R:$R,"Não")</f>
        <v>630</v>
      </c>
      <c r="P5" s="108">
        <f>$O$5/$O$6</f>
        <v>0.9051724138</v>
      </c>
    </row>
    <row r="6">
      <c r="B6" s="95" t="s">
        <v>3257</v>
      </c>
      <c r="C6" s="107">
        <f t="shared" ref="C6:D6" si="1">SUM(C4:C5)</f>
        <v>696</v>
      </c>
      <c r="D6" s="108">
        <f t="shared" si="1"/>
        <v>1</v>
      </c>
      <c r="F6" s="95" t="s">
        <v>3257</v>
      </c>
      <c r="G6" s="107">
        <f t="shared" ref="G6:H6" si="2">SUM(G4:G5)</f>
        <v>696</v>
      </c>
      <c r="H6" s="108">
        <f t="shared" si="2"/>
        <v>1</v>
      </c>
      <c r="J6" s="95" t="s">
        <v>3257</v>
      </c>
      <c r="K6" s="107">
        <f t="shared" ref="K6:L6" si="3">SUM(K4:K5)</f>
        <v>696</v>
      </c>
      <c r="L6" s="108">
        <f t="shared" si="3"/>
        <v>1</v>
      </c>
      <c r="N6" s="95" t="s">
        <v>3257</v>
      </c>
      <c r="O6" s="107">
        <f t="shared" ref="O6:P6" si="4">SUM(O4:O5)</f>
        <v>696</v>
      </c>
      <c r="P6" s="108">
        <f t="shared" si="4"/>
        <v>1</v>
      </c>
    </row>
    <row r="11">
      <c r="B11" s="12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53.75"/>
  </cols>
  <sheetData>
    <row r="3">
      <c r="B3" s="125" t="s">
        <v>3328</v>
      </c>
      <c r="C3" s="126" t="s">
        <v>3254</v>
      </c>
      <c r="D3" s="126" t="s">
        <v>3255</v>
      </c>
      <c r="F3" s="125" t="s">
        <v>3329</v>
      </c>
      <c r="G3" s="126" t="s">
        <v>3254</v>
      </c>
      <c r="H3" s="126" t="s">
        <v>3255</v>
      </c>
      <c r="J3" s="125" t="s">
        <v>3330</v>
      </c>
      <c r="K3" s="126" t="s">
        <v>3254</v>
      </c>
      <c r="L3" s="126" t="s">
        <v>3255</v>
      </c>
      <c r="N3" s="125" t="s">
        <v>3331</v>
      </c>
      <c r="O3" s="126" t="s">
        <v>3254</v>
      </c>
      <c r="P3" s="126" t="s">
        <v>3255</v>
      </c>
    </row>
    <row r="4">
      <c r="B4" s="95" t="s">
        <v>93</v>
      </c>
      <c r="C4" s="107">
        <f>COUNTIF('Ações'!$O:$O,"Sim")</f>
        <v>34</v>
      </c>
      <c r="D4" s="108">
        <f>$C$4/$C$6</f>
        <v>0.04885057471</v>
      </c>
      <c r="F4" s="95" t="s">
        <v>93</v>
      </c>
      <c r="G4" s="107">
        <f>COUNTIF('Ações'!$P:$P,"Sim")</f>
        <v>128</v>
      </c>
      <c r="H4" s="108">
        <f>$G$4/$G$6</f>
        <v>0.183908046</v>
      </c>
      <c r="J4" s="95" t="s">
        <v>93</v>
      </c>
      <c r="K4" s="107">
        <f>COUNTIF('Ações'!$Q:$Q,"Sim")</f>
        <v>149</v>
      </c>
      <c r="L4" s="108">
        <f>$K$4/$K$6</f>
        <v>0.2140804598</v>
      </c>
      <c r="N4" s="95" t="s">
        <v>93</v>
      </c>
      <c r="O4" s="107">
        <f>COUNTIF('Ações'!$R:$R,"Sim")</f>
        <v>66</v>
      </c>
      <c r="P4" s="108">
        <f>$O$4/$O$6</f>
        <v>0.09482758621</v>
      </c>
    </row>
    <row r="5">
      <c r="B5" s="95" t="s">
        <v>92</v>
      </c>
      <c r="C5" s="107">
        <f>COUNTIF('Ações'!$O:$O,"Não")</f>
        <v>662</v>
      </c>
      <c r="D5" s="108">
        <f>$C$5/$C$6</f>
        <v>0.9511494253</v>
      </c>
      <c r="F5" s="95" t="s">
        <v>92</v>
      </c>
      <c r="G5" s="107">
        <f>COUNTIF('Ações'!$P:$P,"Não")</f>
        <v>568</v>
      </c>
      <c r="H5" s="108">
        <f>$G$5/$G$6</f>
        <v>0.816091954</v>
      </c>
      <c r="J5" s="95" t="s">
        <v>92</v>
      </c>
      <c r="K5" s="107">
        <f>COUNTIF('Ações'!$Q:$Q,"Não")</f>
        <v>547</v>
      </c>
      <c r="L5" s="108">
        <f>$K$5/$K$6</f>
        <v>0.7859195402</v>
      </c>
      <c r="N5" s="95" t="s">
        <v>92</v>
      </c>
      <c r="O5" s="107">
        <f>COUNTIF('Ações'!$R:$R,"Não")</f>
        <v>630</v>
      </c>
      <c r="P5" s="108">
        <f>$O$5/$O$6</f>
        <v>0.9051724138</v>
      </c>
    </row>
    <row r="6">
      <c r="B6" s="95" t="s">
        <v>3257</v>
      </c>
      <c r="C6" s="107">
        <f t="shared" ref="C6:D6" si="1">SUM(C4:C5)</f>
        <v>696</v>
      </c>
      <c r="D6" s="108">
        <f t="shared" si="1"/>
        <v>1</v>
      </c>
      <c r="F6" s="95" t="s">
        <v>3257</v>
      </c>
      <c r="G6" s="107">
        <f t="shared" ref="G6:H6" si="2">SUM(G4:G5)</f>
        <v>696</v>
      </c>
      <c r="H6" s="108">
        <f t="shared" si="2"/>
        <v>1</v>
      </c>
      <c r="J6" s="95" t="s">
        <v>3257</v>
      </c>
      <c r="K6" s="107">
        <f t="shared" ref="K6:L6" si="3">SUM(K4:K5)</f>
        <v>696</v>
      </c>
      <c r="L6" s="108">
        <f t="shared" si="3"/>
        <v>1</v>
      </c>
      <c r="N6" s="95" t="s">
        <v>3257</v>
      </c>
      <c r="O6" s="107">
        <f t="shared" ref="O6:P6" si="4">SUM(O4:O5)</f>
        <v>696</v>
      </c>
      <c r="P6" s="108">
        <f t="shared" si="4"/>
        <v>1</v>
      </c>
    </row>
    <row r="9">
      <c r="B9" s="128" t="s">
        <v>3332</v>
      </c>
      <c r="C9" s="128" t="s">
        <v>93</v>
      </c>
      <c r="D9" s="128" t="s">
        <v>3333</v>
      </c>
    </row>
    <row r="10">
      <c r="B10" s="129" t="s">
        <v>3321</v>
      </c>
      <c r="C10" s="130">
        <v>110.0</v>
      </c>
      <c r="D10" s="122">
        <f t="shared" ref="D10:D17" si="5">C10/681</f>
        <v>0.1615271659</v>
      </c>
    </row>
    <row r="11">
      <c r="B11" s="129" t="s">
        <v>3322</v>
      </c>
      <c r="C11" s="130">
        <v>55.0</v>
      </c>
      <c r="D11" s="122">
        <f t="shared" si="5"/>
        <v>0.08076358297</v>
      </c>
    </row>
    <row r="12">
      <c r="B12" s="129" t="s">
        <v>3323</v>
      </c>
      <c r="C12" s="130">
        <v>216.0</v>
      </c>
      <c r="D12" s="122">
        <f t="shared" si="5"/>
        <v>0.3171806167</v>
      </c>
    </row>
    <row r="13">
      <c r="B13" s="129" t="s">
        <v>3324</v>
      </c>
      <c r="C13" s="130">
        <v>211.0</v>
      </c>
      <c r="D13" s="122">
        <f t="shared" si="5"/>
        <v>0.3098384728</v>
      </c>
    </row>
    <row r="14">
      <c r="B14" s="129" t="s">
        <v>3328</v>
      </c>
      <c r="C14" s="130">
        <v>34.0</v>
      </c>
      <c r="D14" s="122">
        <f t="shared" si="5"/>
        <v>0.04992657856</v>
      </c>
    </row>
    <row r="15">
      <c r="B15" s="129" t="s">
        <v>3329</v>
      </c>
      <c r="C15" s="130">
        <v>126.0</v>
      </c>
      <c r="D15" s="122">
        <f t="shared" si="5"/>
        <v>0.1850220264</v>
      </c>
    </row>
    <row r="16">
      <c r="B16" s="129" t="s">
        <v>3330</v>
      </c>
      <c r="C16" s="130">
        <v>148.0</v>
      </c>
      <c r="D16" s="122">
        <f t="shared" si="5"/>
        <v>0.2173274596</v>
      </c>
    </row>
    <row r="17">
      <c r="B17" s="129" t="s">
        <v>3331</v>
      </c>
      <c r="C17" s="130">
        <v>65.0</v>
      </c>
      <c r="D17" s="122">
        <f t="shared" si="5"/>
        <v>0.09544787078</v>
      </c>
    </row>
    <row r="18">
      <c r="B18" s="131"/>
      <c r="C18" s="131"/>
      <c r="D18" s="132"/>
    </row>
  </sheetData>
  <autoFilter ref="$B$9:$D$17"/>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7.75"/>
    <col customWidth="1" min="26" max="26" width="15.63"/>
    <col customWidth="1" min="34" max="34" width="27.63"/>
  </cols>
  <sheetData>
    <row r="3">
      <c r="A3" s="2" t="s">
        <v>3334</v>
      </c>
      <c r="B3" s="126" t="s">
        <v>3254</v>
      </c>
      <c r="C3" s="126" t="s">
        <v>3255</v>
      </c>
      <c r="F3" s="133" t="s">
        <v>3335</v>
      </c>
      <c r="G3" s="126" t="s">
        <v>3254</v>
      </c>
      <c r="H3" s="126" t="s">
        <v>3255</v>
      </c>
      <c r="J3" s="133" t="s">
        <v>3336</v>
      </c>
      <c r="K3" s="126" t="s">
        <v>3254</v>
      </c>
      <c r="L3" s="126" t="s">
        <v>3255</v>
      </c>
      <c r="N3" s="133" t="s">
        <v>3337</v>
      </c>
      <c r="O3" s="126" t="s">
        <v>3254</v>
      </c>
      <c r="P3" s="126" t="s">
        <v>3255</v>
      </c>
      <c r="R3" s="133" t="s">
        <v>3338</v>
      </c>
      <c r="S3" s="126" t="s">
        <v>3254</v>
      </c>
      <c r="T3" s="126" t="s">
        <v>3255</v>
      </c>
      <c r="V3" s="133" t="s">
        <v>3339</v>
      </c>
      <c r="W3" s="126" t="s">
        <v>3254</v>
      </c>
      <c r="X3" s="126" t="s">
        <v>3255</v>
      </c>
      <c r="Z3" s="133" t="s">
        <v>3340</v>
      </c>
      <c r="AA3" s="126" t="s">
        <v>3254</v>
      </c>
      <c r="AB3" s="126" t="s">
        <v>3255</v>
      </c>
      <c r="AD3" s="2" t="s">
        <v>3341</v>
      </c>
      <c r="AE3" s="126" t="s">
        <v>3254</v>
      </c>
      <c r="AF3" s="126" t="s">
        <v>3255</v>
      </c>
      <c r="AG3" s="1"/>
      <c r="AH3" s="2" t="s">
        <v>3342</v>
      </c>
      <c r="AI3" s="126" t="s">
        <v>3254</v>
      </c>
      <c r="AJ3" s="126" t="s">
        <v>3255</v>
      </c>
      <c r="AK3" s="1"/>
      <c r="AL3" s="2" t="s">
        <v>3343</v>
      </c>
      <c r="AM3" s="126" t="s">
        <v>3254</v>
      </c>
      <c r="AN3" s="126" t="s">
        <v>3255</v>
      </c>
      <c r="AO3" s="1"/>
      <c r="AP3" s="1"/>
    </row>
    <row r="4">
      <c r="A4" s="134" t="s">
        <v>3344</v>
      </c>
      <c r="B4" s="107">
        <f>COUNTIF('Ações'!$S:$S,"Sim")</f>
        <v>206</v>
      </c>
      <c r="C4" s="108">
        <f>$G$4/$G$6</f>
        <v>0.2959770115</v>
      </c>
      <c r="F4" s="95" t="s">
        <v>93</v>
      </c>
      <c r="G4" s="107">
        <f>COUNTIF('Ações'!$S:$S,"Sim")</f>
        <v>206</v>
      </c>
      <c r="H4" s="108">
        <f>$G$4/$G$6</f>
        <v>0.2959770115</v>
      </c>
      <c r="J4" s="95" t="s">
        <v>93</v>
      </c>
      <c r="K4" s="107">
        <f>COUNTIF('Ações'!$T:$T,"Sim")</f>
        <v>94</v>
      </c>
      <c r="L4" s="108">
        <f>$K$4/$K$6</f>
        <v>0.1350574713</v>
      </c>
      <c r="N4" s="95" t="s">
        <v>93</v>
      </c>
      <c r="O4" s="107">
        <f>COUNTIF('Ações'!$U:$U,"Sim")</f>
        <v>279</v>
      </c>
      <c r="P4" s="108">
        <f>$O$4/$O$6</f>
        <v>0.400862069</v>
      </c>
      <c r="R4" s="95" t="s">
        <v>93</v>
      </c>
      <c r="S4" s="107">
        <f>COUNTIF('Ações'!$V:$V,"Sim")</f>
        <v>3</v>
      </c>
      <c r="T4" s="108">
        <f>$S$4/$S$6</f>
        <v>0.004310344828</v>
      </c>
      <c r="V4" s="95" t="s">
        <v>93</v>
      </c>
      <c r="W4" s="107">
        <f>COUNTIF('Ações'!$W:$W,"Sim")</f>
        <v>18</v>
      </c>
      <c r="X4" s="108">
        <f>$W$4/$W$6</f>
        <v>0.02586206897</v>
      </c>
      <c r="Z4" s="95" t="s">
        <v>93</v>
      </c>
      <c r="AA4" s="107">
        <f>COUNTIF('Ações'!$X:$X,"Sim")</f>
        <v>31</v>
      </c>
      <c r="AB4" s="108">
        <f>$AA$4/$AA$6</f>
        <v>0.04454022989</v>
      </c>
      <c r="AD4" s="95" t="s">
        <v>93</v>
      </c>
      <c r="AE4" s="107">
        <f>COUNTIF('Ações'!$Y:$Y,"Sim")</f>
        <v>45</v>
      </c>
      <c r="AF4" s="108">
        <f>$AE$4/$AE$6</f>
        <v>0.06465517241</v>
      </c>
      <c r="AH4" s="95" t="s">
        <v>93</v>
      </c>
      <c r="AI4" s="107">
        <f>COUNTIF('Ações'!$Z:$Z,"Sim")</f>
        <v>329</v>
      </c>
      <c r="AJ4" s="108">
        <f>$AI$4/$AI$6</f>
        <v>0.4727011494</v>
      </c>
      <c r="AL4" s="95" t="s">
        <v>93</v>
      </c>
      <c r="AM4" s="107">
        <f>COUNTIF('Ações'!$AA:$AA,"Sim")</f>
        <v>33</v>
      </c>
      <c r="AN4" s="108">
        <f>$AM$4/$AM$6</f>
        <v>0.0474137931</v>
      </c>
    </row>
    <row r="5">
      <c r="A5" s="135" t="s">
        <v>3345</v>
      </c>
      <c r="B5" s="107">
        <f>COUNTIF('Ações'!$T:$T,"Sim")</f>
        <v>94</v>
      </c>
      <c r="C5" s="108">
        <f>$K$4/$K$6</f>
        <v>0.1350574713</v>
      </c>
      <c r="F5" s="95" t="s">
        <v>92</v>
      </c>
      <c r="G5" s="107">
        <f>COUNTIF('Ações'!$S:$S,"Não")</f>
        <v>490</v>
      </c>
      <c r="H5" s="108">
        <f>$G$5/$G$6</f>
        <v>0.7040229885</v>
      </c>
      <c r="J5" s="95" t="s">
        <v>92</v>
      </c>
      <c r="K5" s="107">
        <f>COUNTIF('Ações'!$T:$T,"Não")</f>
        <v>602</v>
      </c>
      <c r="L5" s="108">
        <f>$K$5/$K$6</f>
        <v>0.8649425287</v>
      </c>
      <c r="N5" s="95" t="s">
        <v>92</v>
      </c>
      <c r="O5" s="107">
        <f>COUNTIF('Ações'!$U:$U,"Não")</f>
        <v>417</v>
      </c>
      <c r="P5" s="108">
        <f>$O$5/$O$6</f>
        <v>0.599137931</v>
      </c>
      <c r="R5" s="95" t="s">
        <v>92</v>
      </c>
      <c r="S5" s="107">
        <f>COUNTIF('Ações'!$V:$V,"Não")</f>
        <v>693</v>
      </c>
      <c r="T5" s="108">
        <f>$S$5/$S$6</f>
        <v>0.9956896552</v>
      </c>
      <c r="V5" s="95" t="s">
        <v>92</v>
      </c>
      <c r="W5" s="107">
        <f>COUNTIF('Ações'!$W:$W,"Não")</f>
        <v>678</v>
      </c>
      <c r="X5" s="108">
        <f>$W$5/$W$6</f>
        <v>0.974137931</v>
      </c>
      <c r="Z5" s="95" t="s">
        <v>92</v>
      </c>
      <c r="AA5" s="107">
        <f>COUNTIF('Ações'!$X:$X,"Não")</f>
        <v>665</v>
      </c>
      <c r="AB5" s="108">
        <f>$AA$5/$AA$6</f>
        <v>0.9554597701</v>
      </c>
      <c r="AD5" s="95" t="s">
        <v>92</v>
      </c>
      <c r="AE5" s="107">
        <f>COUNTIF('Ações'!$Y:$Y,"Não")</f>
        <v>651</v>
      </c>
      <c r="AF5" s="108">
        <f>$AE$5/$AE$6</f>
        <v>0.9353448276</v>
      </c>
      <c r="AH5" s="95" t="s">
        <v>92</v>
      </c>
      <c r="AI5" s="107">
        <f>COUNTIF('Ações'!$Z:$Z,"Não")</f>
        <v>367</v>
      </c>
      <c r="AJ5" s="108">
        <f>$AI$5/$AI$6</f>
        <v>0.5272988506</v>
      </c>
      <c r="AL5" s="95" t="s">
        <v>92</v>
      </c>
      <c r="AM5" s="107">
        <f>COUNTIF('Ações'!$AA:$AA,"Não")</f>
        <v>663</v>
      </c>
      <c r="AN5" s="108">
        <f>$AM$5/$AM$6</f>
        <v>0.9525862069</v>
      </c>
    </row>
    <row r="6">
      <c r="A6" s="135" t="s">
        <v>3346</v>
      </c>
      <c r="B6" s="107">
        <f>COUNTIF('Ações'!$U:$U,"Sim")</f>
        <v>279</v>
      </c>
      <c r="C6" s="108">
        <f>$O$4/$O$6</f>
        <v>0.400862069</v>
      </c>
      <c r="F6" s="95" t="s">
        <v>3257</v>
      </c>
      <c r="G6" s="107">
        <f t="shared" ref="G6:H6" si="1">SUM(G4:G5)</f>
        <v>696</v>
      </c>
      <c r="H6" s="108">
        <f t="shared" si="1"/>
        <v>1</v>
      </c>
      <c r="J6" s="95" t="s">
        <v>3257</v>
      </c>
      <c r="K6" s="107">
        <f t="shared" ref="K6:L6" si="2">SUM(K4:K5)</f>
        <v>696</v>
      </c>
      <c r="L6" s="108">
        <f t="shared" si="2"/>
        <v>1</v>
      </c>
      <c r="N6" s="95" t="s">
        <v>3257</v>
      </c>
      <c r="O6" s="107">
        <f t="shared" ref="O6:P6" si="3">SUM(O4:O5)</f>
        <v>696</v>
      </c>
      <c r="P6" s="108">
        <f t="shared" si="3"/>
        <v>1</v>
      </c>
      <c r="R6" s="95" t="s">
        <v>3257</v>
      </c>
      <c r="S6" s="107">
        <f t="shared" ref="S6:T6" si="4">SUM(S4:S5)</f>
        <v>696</v>
      </c>
      <c r="T6" s="108">
        <f t="shared" si="4"/>
        <v>1</v>
      </c>
      <c r="V6" s="95" t="s">
        <v>3257</v>
      </c>
      <c r="W6" s="107">
        <f t="shared" ref="W6:X6" si="5">SUM(W4:W5)</f>
        <v>696</v>
      </c>
      <c r="X6" s="108">
        <f t="shared" si="5"/>
        <v>1</v>
      </c>
      <c r="Z6" s="95" t="s">
        <v>3257</v>
      </c>
      <c r="AA6" s="107">
        <f t="shared" ref="AA6:AB6" si="6">SUM(AA4:AA5)</f>
        <v>696</v>
      </c>
      <c r="AB6" s="108">
        <f t="shared" si="6"/>
        <v>1</v>
      </c>
      <c r="AD6" s="95" t="s">
        <v>3257</v>
      </c>
      <c r="AE6" s="107">
        <f t="shared" ref="AE6:AF6" si="7">SUM(AE4:AE5)</f>
        <v>696</v>
      </c>
      <c r="AF6" s="108">
        <f t="shared" si="7"/>
        <v>1</v>
      </c>
      <c r="AH6" s="95" t="s">
        <v>3257</v>
      </c>
      <c r="AI6" s="107">
        <f t="shared" ref="AI6:AJ6" si="8">SUM(AI4:AI5)</f>
        <v>696</v>
      </c>
      <c r="AJ6" s="108">
        <f t="shared" si="8"/>
        <v>1</v>
      </c>
      <c r="AL6" s="95" t="s">
        <v>3257</v>
      </c>
      <c r="AM6" s="107">
        <f t="shared" ref="AM6:AN6" si="9">SUM(AM4:AM5)</f>
        <v>696</v>
      </c>
      <c r="AN6" s="108">
        <f t="shared" si="9"/>
        <v>1</v>
      </c>
    </row>
    <row r="7">
      <c r="A7" s="135" t="s">
        <v>3347</v>
      </c>
      <c r="B7" s="107">
        <f>COUNTIF('Ações'!$V:$V,"Sim")</f>
        <v>3</v>
      </c>
      <c r="C7" s="108">
        <f>$S$4/$S$6</f>
        <v>0.004310344828</v>
      </c>
    </row>
    <row r="8">
      <c r="A8" s="135" t="s">
        <v>3348</v>
      </c>
      <c r="B8" s="107">
        <f>COUNTIF('Ações'!$W:$W,"Sim")</f>
        <v>18</v>
      </c>
      <c r="C8" s="108">
        <f>$W$4/$W$6</f>
        <v>0.02586206897</v>
      </c>
    </row>
    <row r="9">
      <c r="A9" s="135" t="s">
        <v>3349</v>
      </c>
      <c r="B9" s="107">
        <f>COUNTIF('Ações'!$X:$X,"Sim")</f>
        <v>31</v>
      </c>
      <c r="C9" s="108">
        <f>$AA$4/$AA$6</f>
        <v>0.04454022989</v>
      </c>
    </row>
    <row r="10">
      <c r="A10" s="135" t="s">
        <v>3350</v>
      </c>
      <c r="B10" s="107">
        <f>COUNTIF('Ações'!$Y:$Y,"Sim")</f>
        <v>45</v>
      </c>
      <c r="C10" s="108">
        <f>$AE$4/$AE$6</f>
        <v>0.06465517241</v>
      </c>
    </row>
    <row r="11">
      <c r="A11" s="135" t="s">
        <v>3351</v>
      </c>
      <c r="B11" s="107">
        <f>COUNTIF('Ações'!$Z:$Z,"Sim")</f>
        <v>329</v>
      </c>
      <c r="C11" s="108">
        <f>$AI$4/$AI$6</f>
        <v>0.4727011494</v>
      </c>
    </row>
    <row r="12">
      <c r="A12" s="135" t="s">
        <v>3352</v>
      </c>
      <c r="B12" s="107">
        <f>COUNTIF('Ações'!$AA:$AA,"Sim")</f>
        <v>33</v>
      </c>
      <c r="C12" s="108">
        <f>$AM$4/$AM$6</f>
        <v>0.0474137931</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3">
      <c r="A3" s="95" t="s">
        <v>3353</v>
      </c>
      <c r="B3" s="126" t="s">
        <v>3254</v>
      </c>
      <c r="C3" s="126" t="s">
        <v>3255</v>
      </c>
      <c r="E3" s="125" t="s">
        <v>3354</v>
      </c>
      <c r="F3" s="126" t="s">
        <v>3254</v>
      </c>
      <c r="G3" s="126" t="s">
        <v>3255</v>
      </c>
      <c r="I3" s="125" t="s">
        <v>3355</v>
      </c>
      <c r="J3" s="126" t="s">
        <v>3254</v>
      </c>
      <c r="K3" s="126" t="s">
        <v>3255</v>
      </c>
      <c r="M3" s="125" t="s">
        <v>3356</v>
      </c>
      <c r="N3" s="126" t="s">
        <v>3254</v>
      </c>
      <c r="O3" s="126" t="s">
        <v>3255</v>
      </c>
    </row>
    <row r="4">
      <c r="A4" s="95" t="s">
        <v>3357</v>
      </c>
      <c r="B4" s="107">
        <f>COUNTIF('Ações'!$AB:$AB,"Sim")</f>
        <v>516</v>
      </c>
      <c r="C4" s="136" t="s">
        <v>3358</v>
      </c>
      <c r="E4" s="95" t="s">
        <v>93</v>
      </c>
      <c r="F4" s="107">
        <f>COUNTIF('Ações'!$AB:$AB,"Sim")</f>
        <v>516</v>
      </c>
      <c r="G4" s="108">
        <f>$F$4/$F$6</f>
        <v>0.7413793103</v>
      </c>
      <c r="I4" s="95" t="s">
        <v>93</v>
      </c>
      <c r="J4" s="107">
        <f>COUNTIF('Ações'!$AC:$AC,"Sim")</f>
        <v>331</v>
      </c>
      <c r="K4" s="108">
        <f>$J$4/$J$6</f>
        <v>0.4755747126</v>
      </c>
      <c r="M4" s="95" t="s">
        <v>93</v>
      </c>
      <c r="N4" s="107">
        <f>COUNTIF('Ações'!$AD:$AD,"Sim")</f>
        <v>44</v>
      </c>
      <c r="O4" s="108">
        <f>$N$4/$N$6</f>
        <v>0.0632183908</v>
      </c>
    </row>
    <row r="5">
      <c r="A5" s="95" t="s">
        <v>3359</v>
      </c>
      <c r="B5" s="107">
        <f>COUNTIF('Ações'!$AC:$AC,"Sim")</f>
        <v>331</v>
      </c>
      <c r="C5" s="136" t="s">
        <v>3360</v>
      </c>
      <c r="E5" s="95" t="s">
        <v>92</v>
      </c>
      <c r="F5" s="107">
        <f>COUNTIF('Ações'!$AB:$AB,"Não")</f>
        <v>180</v>
      </c>
      <c r="G5" s="108">
        <f>$F$5/$F$6</f>
        <v>0.2586206897</v>
      </c>
      <c r="I5" s="95" t="s">
        <v>92</v>
      </c>
      <c r="J5" s="107">
        <f>COUNTIF('Ações'!$AC:$AC,"Não")</f>
        <v>365</v>
      </c>
      <c r="K5" s="108">
        <f>$J$5/$J$6</f>
        <v>0.5244252874</v>
      </c>
      <c r="M5" s="95" t="s">
        <v>92</v>
      </c>
      <c r="N5" s="107">
        <f>COUNTIF('Ações'!$AD:$AD,"Não")</f>
        <v>652</v>
      </c>
      <c r="O5" s="108">
        <f>$N$5/$N$6</f>
        <v>0.9367816092</v>
      </c>
    </row>
    <row r="6">
      <c r="A6" s="95" t="s">
        <v>3361</v>
      </c>
      <c r="B6" s="107">
        <f>COUNTIF('Ações'!$AD:$AD,"Sim")</f>
        <v>44</v>
      </c>
      <c r="C6" s="136" t="s">
        <v>3362</v>
      </c>
      <c r="E6" s="95" t="s">
        <v>3257</v>
      </c>
      <c r="F6" s="107">
        <f t="shared" ref="F6:G6" si="1">SUM(F4:F5)</f>
        <v>696</v>
      </c>
      <c r="G6" s="108">
        <f t="shared" si="1"/>
        <v>1</v>
      </c>
      <c r="I6" s="95" t="s">
        <v>3257</v>
      </c>
      <c r="J6" s="107">
        <f t="shared" ref="J6:K6" si="2">SUM(J4:J5)</f>
        <v>696</v>
      </c>
      <c r="K6" s="108">
        <f t="shared" si="2"/>
        <v>1</v>
      </c>
      <c r="M6" s="95" t="s">
        <v>3257</v>
      </c>
      <c r="N6" s="107">
        <f t="shared" ref="N6:O6" si="3">SUM(N4:N5)</f>
        <v>696</v>
      </c>
      <c r="O6" s="108">
        <f t="shared" si="3"/>
        <v>1</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3" max="13" width="18.38"/>
    <col customWidth="1" min="14" max="14" width="23.5"/>
    <col customWidth="1" min="15" max="15" width="19.38"/>
    <col customWidth="1" min="16" max="16" width="22.88"/>
    <col customWidth="1" min="17" max="17" width="16.0"/>
    <col customWidth="1" min="18" max="18" width="18.25"/>
  </cols>
  <sheetData>
    <row r="1">
      <c r="A1" s="137" t="s">
        <v>3363</v>
      </c>
      <c r="B1" s="137" t="s">
        <v>3364</v>
      </c>
      <c r="C1" s="137" t="s">
        <v>3365</v>
      </c>
      <c r="D1" s="137" t="s">
        <v>3366</v>
      </c>
      <c r="E1" s="137" t="s">
        <v>3367</v>
      </c>
      <c r="F1" s="137" t="s">
        <v>3368</v>
      </c>
      <c r="G1" s="138" t="s">
        <v>3369</v>
      </c>
      <c r="H1" s="138" t="s">
        <v>3370</v>
      </c>
      <c r="I1" s="138" t="s">
        <v>3371</v>
      </c>
      <c r="J1" s="138" t="s">
        <v>3372</v>
      </c>
      <c r="K1" s="138" t="s">
        <v>3373</v>
      </c>
      <c r="L1" s="138" t="s">
        <v>3374</v>
      </c>
      <c r="M1" s="137" t="s">
        <v>3375</v>
      </c>
      <c r="N1" s="137" t="s">
        <v>3376</v>
      </c>
      <c r="O1" s="137" t="s">
        <v>3377</v>
      </c>
      <c r="P1" s="137" t="s">
        <v>3378</v>
      </c>
      <c r="Q1" s="137" t="s">
        <v>3379</v>
      </c>
      <c r="R1" s="137" t="s">
        <v>3380</v>
      </c>
    </row>
    <row r="2">
      <c r="A2" s="139">
        <f>IF(AND('Ações'!$AB3="SIM", 'Ações'!AS3="SIM"), 1,0)</f>
        <v>1</v>
      </c>
      <c r="B2" s="139">
        <f>IF(AND('Ações'!$AB3="SIM", 'Ações'!AT3="SIM"), 1,0)</f>
        <v>1</v>
      </c>
      <c r="C2" s="139">
        <f>IF(AND('Ações'!$AB3="SIM", 'Ações'!AU3="SIM"), 1,0)</f>
        <v>0</v>
      </c>
      <c r="D2" s="139">
        <f>IF(AND('Ações'!$AB3="SIM", 'Ações'!AV3="SIM"), 1,0)</f>
        <v>1</v>
      </c>
      <c r="E2" s="139">
        <f>IF(AND('Ações'!$AB3="SIM", 'Ações'!AW3="SIM"), 1,0)</f>
        <v>0</v>
      </c>
      <c r="F2" s="139">
        <f>IF(AND('Ações'!$AB3="SIM", 'Ações'!AX3="SIM"), 1,0)</f>
        <v>0</v>
      </c>
      <c r="G2" s="139">
        <f>IF(AND('Ações'!$AC3="SIM", 'Ações'!AS3="SIM"), 1,0)</f>
        <v>1</v>
      </c>
      <c r="H2" s="139">
        <f>IF(AND('Ações'!$AC3="SIM", 'Ações'!AT3="SIM"), 1,0)</f>
        <v>1</v>
      </c>
      <c r="I2" s="139">
        <f>IF(AND('Ações'!$AC3="SIM", 'Ações'!AU3="SIM"), 1,0)</f>
        <v>0</v>
      </c>
      <c r="J2" s="139">
        <f>IF(AND('Ações'!$AC3="SIM", 'Ações'!AV3="SIM"), 1,0)</f>
        <v>1</v>
      </c>
      <c r="K2" s="139">
        <f>IF(AND('Ações'!$AC3="SIM", 'Ações'!AW3="SIM"), 1,0)</f>
        <v>0</v>
      </c>
      <c r="L2" s="139">
        <f>IF(AND('Ações'!$AC3="SIM", 'Ações'!AX3="SIM"), 1,0)</f>
        <v>0</v>
      </c>
      <c r="M2" s="139">
        <f>IF(AND('Ações'!$AD3="SIM", 'Ações'!AS3="SIM"), 1,0)</f>
        <v>0</v>
      </c>
      <c r="N2" s="139">
        <f>IF(AND('Ações'!$AD3="SIM", 'Ações'!AT3="SIM"), 1,0)</f>
        <v>0</v>
      </c>
      <c r="O2" s="139">
        <f>IF(AND('Ações'!$AD3="SIM", 'Ações'!AU3="SIM"), 1,0)</f>
        <v>0</v>
      </c>
      <c r="P2" s="139">
        <f>IF(AND('Ações'!$AD3="SIM", 'Ações'!AV3="SIM"), 1,0)</f>
        <v>0</v>
      </c>
      <c r="Q2" s="139">
        <f>IF(AND('Ações'!$AD3="SIM", 'Ações'!AW3="SIM"), 1,0)</f>
        <v>0</v>
      </c>
      <c r="R2" s="139">
        <f>IF(AND('Ações'!$AD3="SIM", 'Ações'!AX3="SIM"), 1,0)</f>
        <v>0</v>
      </c>
    </row>
    <row r="3">
      <c r="A3" s="139">
        <f>IF(AND('Ações'!AB4="SIM", 'Ações'!AS4="SIM"), 1,0)</f>
        <v>0</v>
      </c>
      <c r="B3" s="139">
        <f>IF(AND('Ações'!$AB4="SIM", 'Ações'!AT4="SIM"), 1,0)</f>
        <v>0</v>
      </c>
      <c r="C3" s="139">
        <f>IF(AND('Ações'!$AB4="SIM", 'Ações'!AU4="SIM"), 1,0)</f>
        <v>0</v>
      </c>
      <c r="D3" s="139">
        <f>IF(AND('Ações'!$AB4="SIM", 'Ações'!AV4="SIM"), 1,0)</f>
        <v>0</v>
      </c>
      <c r="E3" s="139">
        <f>IF(AND('Ações'!$AB4="SIM", 'Ações'!AW4="SIM"), 1,0)</f>
        <v>0</v>
      </c>
      <c r="F3" s="139">
        <f>IF(AND('Ações'!$AB4="SIM", 'Ações'!AX4="SIM"), 1,0)</f>
        <v>0</v>
      </c>
      <c r="G3" s="139">
        <f>IF(AND('Ações'!$AC4="SIM", 'Ações'!AS4="SIM"), 1,0)</f>
        <v>1</v>
      </c>
      <c r="H3" s="139">
        <f>IF(AND('Ações'!$AC4="SIM", 'Ações'!AT4="SIM"), 1,0)</f>
        <v>1</v>
      </c>
      <c r="I3" s="139">
        <f>IF(AND('Ações'!$AC4="SIM", 'Ações'!AU4="SIM"), 1,0)</f>
        <v>0</v>
      </c>
      <c r="J3" s="139">
        <f>IF(AND('Ações'!$AC4="SIM", 'Ações'!AV4="SIM"), 1,0)</f>
        <v>1</v>
      </c>
      <c r="K3" s="139">
        <f>IF(AND('Ações'!$AC4="SIM", 'Ações'!AW4="SIM"), 1,0)</f>
        <v>0</v>
      </c>
      <c r="L3" s="139">
        <f>IF(AND('Ações'!$AC4="SIM", 'Ações'!AX4="SIM"), 1,0)</f>
        <v>0</v>
      </c>
      <c r="M3" s="139">
        <f>IF(AND('Ações'!$AD4="SIM", 'Ações'!AS4="SIM"), 1,0)</f>
        <v>0</v>
      </c>
      <c r="N3" s="139">
        <f>IF(AND('Ações'!$AD4="SIM", 'Ações'!AT4="SIM"), 1,0)</f>
        <v>0</v>
      </c>
      <c r="O3" s="139">
        <f>IF(AND('Ações'!$AD4="SIM", 'Ações'!AU4="SIM"), 1,0)</f>
        <v>0</v>
      </c>
      <c r="P3" s="139">
        <f>IF(AND('Ações'!$AD4="SIM", 'Ações'!AV4="SIM"), 1,0)</f>
        <v>0</v>
      </c>
      <c r="Q3" s="139">
        <f>IF(AND('Ações'!$AD4="SIM", 'Ações'!AW4="SIM"), 1,0)</f>
        <v>0</v>
      </c>
      <c r="R3" s="139">
        <f>IF(AND('Ações'!$AD4="SIM", 'Ações'!AX4="SIM"), 1,0)</f>
        <v>0</v>
      </c>
    </row>
    <row r="4">
      <c r="A4" s="139">
        <f>IF(AND('Ações'!AB5="SIM", 'Ações'!AS5="SIM"), 1,0)</f>
        <v>1</v>
      </c>
      <c r="B4" s="139">
        <f>IF(AND('Ações'!$AB5="SIM", 'Ações'!AT5="SIM"), 1,0)</f>
        <v>1</v>
      </c>
      <c r="C4" s="139">
        <f>IF(AND('Ações'!$AB5="SIM", 'Ações'!AU5="SIM"), 1,0)</f>
        <v>0</v>
      </c>
      <c r="D4" s="139">
        <f>IF(AND('Ações'!$AB5="SIM", 'Ações'!AV5="SIM"), 1,0)</f>
        <v>1</v>
      </c>
      <c r="E4" s="139">
        <f>IF(AND('Ações'!$AB5="SIM", 'Ações'!AW5="SIM"), 1,0)</f>
        <v>0</v>
      </c>
      <c r="F4" s="139">
        <f>IF(AND('Ações'!$AB5="SIM", 'Ações'!AX5="SIM"), 1,0)</f>
        <v>0</v>
      </c>
      <c r="G4" s="139">
        <f>IF(AND('Ações'!$AC5="SIM", 'Ações'!AS5="SIM"), 1,0)</f>
        <v>0</v>
      </c>
      <c r="H4" s="139">
        <f>IF(AND('Ações'!$AC5="SIM", 'Ações'!AT5="SIM"), 1,0)</f>
        <v>0</v>
      </c>
      <c r="I4" s="139">
        <f>IF(AND('Ações'!$AC5="SIM", 'Ações'!AU5="SIM"), 1,0)</f>
        <v>0</v>
      </c>
      <c r="J4" s="139">
        <f>IF(AND('Ações'!$AC5="SIM", 'Ações'!AV5="SIM"), 1,0)</f>
        <v>0</v>
      </c>
      <c r="K4" s="139">
        <f>IF(AND('Ações'!$AC5="SIM", 'Ações'!AW5="SIM"), 1,0)</f>
        <v>0</v>
      </c>
      <c r="L4" s="139">
        <f>IF(AND('Ações'!$AC5="SIM", 'Ações'!AX5="SIM"), 1,0)</f>
        <v>0</v>
      </c>
      <c r="M4" s="139">
        <f>IF(AND('Ações'!$AD5="SIM", 'Ações'!AS5="SIM"), 1,0)</f>
        <v>0</v>
      </c>
      <c r="N4" s="139">
        <f>IF(AND('Ações'!$AD5="SIM", 'Ações'!AT5="SIM"), 1,0)</f>
        <v>0</v>
      </c>
      <c r="O4" s="139">
        <f>IF(AND('Ações'!$AD5="SIM", 'Ações'!AU5="SIM"), 1,0)</f>
        <v>0</v>
      </c>
      <c r="P4" s="139">
        <f>IF(AND('Ações'!$AD5="SIM", 'Ações'!AV5="SIM"), 1,0)</f>
        <v>0</v>
      </c>
      <c r="Q4" s="139">
        <f>IF(AND('Ações'!$AD5="SIM", 'Ações'!AW5="SIM"), 1,0)</f>
        <v>0</v>
      </c>
      <c r="R4" s="139">
        <f>IF(AND('Ações'!$AD5="SIM", 'Ações'!AX5="SIM"), 1,0)</f>
        <v>0</v>
      </c>
    </row>
    <row r="5">
      <c r="A5" s="139">
        <f>IF(AND('Ações'!AB6="SIM", 'Ações'!AS6="SIM"), 1,0)</f>
        <v>0</v>
      </c>
      <c r="B5" s="139">
        <f>IF(AND('Ações'!$AB6="SIM", 'Ações'!AT6="SIM"), 1,0)</f>
        <v>0</v>
      </c>
      <c r="C5" s="139">
        <f>IF(AND('Ações'!$AB6="SIM", 'Ações'!AU6="SIM"), 1,0)</f>
        <v>0</v>
      </c>
      <c r="D5" s="139">
        <f>IF(AND('Ações'!$AB6="SIM", 'Ações'!AV6="SIM"), 1,0)</f>
        <v>0</v>
      </c>
      <c r="E5" s="139">
        <f>IF(AND('Ações'!$AB6="SIM", 'Ações'!AW6="SIM"), 1,0)</f>
        <v>0</v>
      </c>
      <c r="F5" s="139">
        <f>IF(AND('Ações'!$AB6="SIM", 'Ações'!AX6="SIM"), 1,0)</f>
        <v>0</v>
      </c>
      <c r="G5" s="139">
        <f>IF(AND('Ações'!$AC6="SIM", 'Ações'!AS6="SIM"), 1,0)</f>
        <v>1</v>
      </c>
      <c r="H5" s="139">
        <f>IF(AND('Ações'!$AC6="SIM", 'Ações'!AT6="SIM"), 1,0)</f>
        <v>1</v>
      </c>
      <c r="I5" s="139">
        <f>IF(AND('Ações'!$AC6="SIM", 'Ações'!AU6="SIM"), 1,0)</f>
        <v>0</v>
      </c>
      <c r="J5" s="139">
        <f>IF(AND('Ações'!$AC6="SIM", 'Ações'!AV6="SIM"), 1,0)</f>
        <v>1</v>
      </c>
      <c r="K5" s="139">
        <f>IF(AND('Ações'!$AC6="SIM", 'Ações'!AW6="SIM"), 1,0)</f>
        <v>0</v>
      </c>
      <c r="L5" s="139">
        <f>IF(AND('Ações'!$AC6="SIM", 'Ações'!AX6="SIM"), 1,0)</f>
        <v>0</v>
      </c>
      <c r="M5" s="139">
        <f>IF(AND('Ações'!$AD6="SIM", 'Ações'!AS6="SIM"), 1,0)</f>
        <v>0</v>
      </c>
      <c r="N5" s="139">
        <f>IF(AND('Ações'!$AD6="SIM", 'Ações'!AT6="SIM"), 1,0)</f>
        <v>0</v>
      </c>
      <c r="O5" s="139">
        <f>IF(AND('Ações'!$AD6="SIM", 'Ações'!AU6="SIM"), 1,0)</f>
        <v>0</v>
      </c>
      <c r="P5" s="139">
        <f>IF(AND('Ações'!$AD6="SIM", 'Ações'!AV6="SIM"), 1,0)</f>
        <v>0</v>
      </c>
      <c r="Q5" s="139">
        <f>IF(AND('Ações'!$AD6="SIM", 'Ações'!AW6="SIM"), 1,0)</f>
        <v>0</v>
      </c>
      <c r="R5" s="139">
        <f>IF(AND('Ações'!$AD6="SIM", 'Ações'!AX6="SIM"), 1,0)</f>
        <v>0</v>
      </c>
    </row>
    <row r="6">
      <c r="A6" s="139">
        <f>IF(AND('Ações'!AB7="SIM", 'Ações'!AS7="SIM"), 1,0)</f>
        <v>0</v>
      </c>
      <c r="B6" s="139">
        <f>IF(AND('Ações'!$AB7="SIM", 'Ações'!AT7="SIM"), 1,0)</f>
        <v>0</v>
      </c>
      <c r="C6" s="139">
        <f>IF(AND('Ações'!$AB7="SIM", 'Ações'!AU7="SIM"), 1,0)</f>
        <v>0</v>
      </c>
      <c r="D6" s="139">
        <f>IF(AND('Ações'!$AB7="SIM", 'Ações'!AV7="SIM"), 1,0)</f>
        <v>0</v>
      </c>
      <c r="E6" s="139">
        <f>IF(AND('Ações'!$AB7="SIM", 'Ações'!AW7="SIM"), 1,0)</f>
        <v>0</v>
      </c>
      <c r="F6" s="139">
        <f>IF(AND('Ações'!$AB7="SIM", 'Ações'!AX7="SIM"), 1,0)</f>
        <v>0</v>
      </c>
      <c r="G6" s="139">
        <f>IF(AND('Ações'!$AC7="SIM", 'Ações'!AS7="SIM"), 1,0)</f>
        <v>1</v>
      </c>
      <c r="H6" s="139">
        <f>IF(AND('Ações'!$AC7="SIM", 'Ações'!AT7="SIM"), 1,0)</f>
        <v>1</v>
      </c>
      <c r="I6" s="139">
        <f>IF(AND('Ações'!$AC7="SIM", 'Ações'!AU7="SIM"), 1,0)</f>
        <v>0</v>
      </c>
      <c r="J6" s="139">
        <f>IF(AND('Ações'!$AC7="SIM", 'Ações'!AV7="SIM"), 1,0)</f>
        <v>1</v>
      </c>
      <c r="K6" s="139">
        <f>IF(AND('Ações'!$AC7="SIM", 'Ações'!AW7="SIM"), 1,0)</f>
        <v>0</v>
      </c>
      <c r="L6" s="139">
        <f>IF(AND('Ações'!$AC7="SIM", 'Ações'!AX7="SIM"), 1,0)</f>
        <v>0</v>
      </c>
      <c r="M6" s="139">
        <f>IF(AND('Ações'!$AD7="SIM", 'Ações'!AS7="SIM"), 1,0)</f>
        <v>0</v>
      </c>
      <c r="N6" s="139">
        <f>IF(AND('Ações'!$AD7="SIM", 'Ações'!AT7="SIM"), 1,0)</f>
        <v>0</v>
      </c>
      <c r="O6" s="139">
        <f>IF(AND('Ações'!$AD7="SIM", 'Ações'!AU7="SIM"), 1,0)</f>
        <v>0</v>
      </c>
      <c r="P6" s="139">
        <f>IF(AND('Ações'!$AD7="SIM", 'Ações'!AV7="SIM"), 1,0)</f>
        <v>0</v>
      </c>
      <c r="Q6" s="139">
        <f>IF(AND('Ações'!$AD7="SIM", 'Ações'!AW7="SIM"), 1,0)</f>
        <v>0</v>
      </c>
      <c r="R6" s="139">
        <f>IF(AND('Ações'!$AD7="SIM", 'Ações'!AX7="SIM"), 1,0)</f>
        <v>0</v>
      </c>
    </row>
    <row r="7">
      <c r="A7" s="139">
        <f>IF(AND('Ações'!AB8="SIM", 'Ações'!AS8="SIM"), 1,0)</f>
        <v>1</v>
      </c>
      <c r="B7" s="139">
        <f>IF(AND('Ações'!$AB8="SIM", 'Ações'!AT8="SIM"), 1,0)</f>
        <v>1</v>
      </c>
      <c r="C7" s="139">
        <f>IF(AND('Ações'!$AB8="SIM", 'Ações'!AU8="SIM"), 1,0)</f>
        <v>0</v>
      </c>
      <c r="D7" s="139">
        <f>IF(AND('Ações'!$AB8="SIM", 'Ações'!AV8="SIM"), 1,0)</f>
        <v>1</v>
      </c>
      <c r="E7" s="139">
        <f>IF(AND('Ações'!$AB8="SIM", 'Ações'!AW8="SIM"), 1,0)</f>
        <v>0</v>
      </c>
      <c r="F7" s="139">
        <f>IF(AND('Ações'!$AB8="SIM", 'Ações'!AX8="SIM"), 1,0)</f>
        <v>0</v>
      </c>
      <c r="G7" s="139">
        <f>IF(AND('Ações'!$AC8="SIM", 'Ações'!AS8="SIM"), 1,0)</f>
        <v>0</v>
      </c>
      <c r="H7" s="139">
        <f>IF(AND('Ações'!$AC8="SIM", 'Ações'!AT8="SIM"), 1,0)</f>
        <v>0</v>
      </c>
      <c r="I7" s="139">
        <f>IF(AND('Ações'!$AC8="SIM", 'Ações'!AU8="SIM"), 1,0)</f>
        <v>0</v>
      </c>
      <c r="J7" s="139">
        <f>IF(AND('Ações'!$AC8="SIM", 'Ações'!AV8="SIM"), 1,0)</f>
        <v>0</v>
      </c>
      <c r="K7" s="139">
        <f>IF(AND('Ações'!$AC8="SIM", 'Ações'!AW8="SIM"), 1,0)</f>
        <v>0</v>
      </c>
      <c r="L7" s="139">
        <f>IF(AND('Ações'!$AC8="SIM", 'Ações'!AX8="SIM"), 1,0)</f>
        <v>0</v>
      </c>
      <c r="M7" s="139">
        <f>IF(AND('Ações'!$AD8="SIM", 'Ações'!AS8="SIM"), 1,0)</f>
        <v>0</v>
      </c>
      <c r="N7" s="139">
        <f>IF(AND('Ações'!$AD8="SIM", 'Ações'!AT8="SIM"), 1,0)</f>
        <v>0</v>
      </c>
      <c r="O7" s="139">
        <f>IF(AND('Ações'!$AD8="SIM", 'Ações'!AU8="SIM"), 1,0)</f>
        <v>0</v>
      </c>
      <c r="P7" s="139">
        <f>IF(AND('Ações'!$AD8="SIM", 'Ações'!AV8="SIM"), 1,0)</f>
        <v>0</v>
      </c>
      <c r="Q7" s="139">
        <f>IF(AND('Ações'!$AD8="SIM", 'Ações'!AW8="SIM"), 1,0)</f>
        <v>0</v>
      </c>
      <c r="R7" s="139">
        <f>IF(AND('Ações'!$AD8="SIM", 'Ações'!AX8="SIM"), 1,0)</f>
        <v>0</v>
      </c>
    </row>
    <row r="8">
      <c r="A8" s="139">
        <f>IF(AND('Ações'!AB9="SIM", 'Ações'!AS9="SIM"), 1,0)</f>
        <v>0</v>
      </c>
      <c r="B8" s="139">
        <f>IF(AND('Ações'!$AB9="SIM", 'Ações'!AT9="SIM"), 1,0)</f>
        <v>0</v>
      </c>
      <c r="C8" s="139">
        <f>IF(AND('Ações'!$AB9="SIM", 'Ações'!AU9="SIM"), 1,0)</f>
        <v>0</v>
      </c>
      <c r="D8" s="139">
        <f>IF(AND('Ações'!$AB9="SIM", 'Ações'!AV9="SIM"), 1,0)</f>
        <v>0</v>
      </c>
      <c r="E8" s="139">
        <f>IF(AND('Ações'!$AB9="SIM", 'Ações'!AW9="SIM"), 1,0)</f>
        <v>0</v>
      </c>
      <c r="F8" s="139">
        <f>IF(AND('Ações'!$AB9="SIM", 'Ações'!AX9="SIM"), 1,0)</f>
        <v>0</v>
      </c>
      <c r="G8" s="139">
        <f>IF(AND('Ações'!$AC9="SIM", 'Ações'!AS9="SIM"), 1,0)</f>
        <v>1</v>
      </c>
      <c r="H8" s="139">
        <f>IF(AND('Ações'!$AC9="SIM", 'Ações'!AT9="SIM"), 1,0)</f>
        <v>1</v>
      </c>
      <c r="I8" s="139">
        <f>IF(AND('Ações'!$AC9="SIM", 'Ações'!AU9="SIM"), 1,0)</f>
        <v>0</v>
      </c>
      <c r="J8" s="139">
        <f>IF(AND('Ações'!$AC9="SIM", 'Ações'!AV9="SIM"), 1,0)</f>
        <v>1</v>
      </c>
      <c r="K8" s="139">
        <f>IF(AND('Ações'!$AC9="SIM", 'Ações'!AW9="SIM"), 1,0)</f>
        <v>0</v>
      </c>
      <c r="L8" s="139">
        <f>IF(AND('Ações'!$AC9="SIM", 'Ações'!AX9="SIM"), 1,0)</f>
        <v>0</v>
      </c>
      <c r="M8" s="139">
        <f>IF(AND('Ações'!$AD9="SIM", 'Ações'!AS9="SIM"), 1,0)</f>
        <v>0</v>
      </c>
      <c r="N8" s="139">
        <f>IF(AND('Ações'!$AD9="SIM", 'Ações'!AT9="SIM"), 1,0)</f>
        <v>0</v>
      </c>
      <c r="O8" s="139">
        <f>IF(AND('Ações'!$AD9="SIM", 'Ações'!AU9="SIM"), 1,0)</f>
        <v>0</v>
      </c>
      <c r="P8" s="139">
        <f>IF(AND('Ações'!$AD9="SIM", 'Ações'!AV9="SIM"), 1,0)</f>
        <v>0</v>
      </c>
      <c r="Q8" s="139">
        <f>IF(AND('Ações'!$AD9="SIM", 'Ações'!AW9="SIM"), 1,0)</f>
        <v>0</v>
      </c>
      <c r="R8" s="139">
        <f>IF(AND('Ações'!$AD9="SIM", 'Ações'!AX9="SIM"), 1,0)</f>
        <v>0</v>
      </c>
    </row>
    <row r="9">
      <c r="A9" s="139">
        <f>IF(AND('Ações'!AB10="SIM", 'Ações'!AS10="SIM"), 1,0)</f>
        <v>1</v>
      </c>
      <c r="B9" s="139">
        <f>IF(AND('Ações'!$AB10="SIM", 'Ações'!AT10="SIM"), 1,0)</f>
        <v>1</v>
      </c>
      <c r="C9" s="139">
        <f>IF(AND('Ações'!$AB10="SIM", 'Ações'!AU10="SIM"), 1,0)</f>
        <v>0</v>
      </c>
      <c r="D9" s="139">
        <f>IF(AND('Ações'!$AB10="SIM", 'Ações'!AV10="SIM"), 1,0)</f>
        <v>1</v>
      </c>
      <c r="E9" s="139">
        <f>IF(AND('Ações'!$AB10="SIM", 'Ações'!AW10="SIM"), 1,0)</f>
        <v>0</v>
      </c>
      <c r="F9" s="139">
        <f>IF(AND('Ações'!$AB10="SIM", 'Ações'!AX10="SIM"), 1,0)</f>
        <v>0</v>
      </c>
      <c r="G9" s="139">
        <f>IF(AND('Ações'!$AC10="SIM", 'Ações'!AS10="SIM"), 1,0)</f>
        <v>0</v>
      </c>
      <c r="H9" s="139">
        <f>IF(AND('Ações'!$AC10="SIM", 'Ações'!AT10="SIM"), 1,0)</f>
        <v>0</v>
      </c>
      <c r="I9" s="139">
        <f>IF(AND('Ações'!$AC10="SIM", 'Ações'!AU10="SIM"), 1,0)</f>
        <v>0</v>
      </c>
      <c r="J9" s="139">
        <f>IF(AND('Ações'!$AC10="SIM", 'Ações'!AV10="SIM"), 1,0)</f>
        <v>0</v>
      </c>
      <c r="K9" s="139">
        <f>IF(AND('Ações'!$AC10="SIM", 'Ações'!AW10="SIM"), 1,0)</f>
        <v>0</v>
      </c>
      <c r="L9" s="139">
        <f>IF(AND('Ações'!$AC10="SIM", 'Ações'!AX10="SIM"), 1,0)</f>
        <v>0</v>
      </c>
      <c r="M9" s="139">
        <f>IF(AND('Ações'!$AD10="SIM", 'Ações'!AS10="SIM"), 1,0)</f>
        <v>0</v>
      </c>
      <c r="N9" s="139">
        <f>IF(AND('Ações'!$AD10="SIM", 'Ações'!AT10="SIM"), 1,0)</f>
        <v>0</v>
      </c>
      <c r="O9" s="139">
        <f>IF(AND('Ações'!$AD10="SIM", 'Ações'!AU10="SIM"), 1,0)</f>
        <v>0</v>
      </c>
      <c r="P9" s="139">
        <f>IF(AND('Ações'!$AD10="SIM", 'Ações'!AV10="SIM"), 1,0)</f>
        <v>0</v>
      </c>
      <c r="Q9" s="139">
        <f>IF(AND('Ações'!$AD10="SIM", 'Ações'!AW10="SIM"), 1,0)</f>
        <v>0</v>
      </c>
      <c r="R9" s="139">
        <f>IF(AND('Ações'!$AD10="SIM", 'Ações'!AX10="SIM"), 1,0)</f>
        <v>0</v>
      </c>
    </row>
    <row r="10">
      <c r="A10" s="139">
        <f>IF(AND('Ações'!AB11="SIM", 'Ações'!AS11="SIM"), 1,0)</f>
        <v>1</v>
      </c>
      <c r="B10" s="139">
        <f>IF(AND('Ações'!$AB11="SIM", 'Ações'!AT11="SIM"), 1,0)</f>
        <v>1</v>
      </c>
      <c r="C10" s="139">
        <f>IF(AND('Ações'!$AB11="SIM", 'Ações'!AU11="SIM"), 1,0)</f>
        <v>0</v>
      </c>
      <c r="D10" s="139">
        <f>IF(AND('Ações'!$AB11="SIM", 'Ações'!AV11="SIM"), 1,0)</f>
        <v>1</v>
      </c>
      <c r="E10" s="139">
        <f>IF(AND('Ações'!$AB11="SIM", 'Ações'!AW11="SIM"), 1,0)</f>
        <v>0</v>
      </c>
      <c r="F10" s="139">
        <f>IF(AND('Ações'!$AB11="SIM", 'Ações'!AX11="SIM"), 1,0)</f>
        <v>0</v>
      </c>
      <c r="G10" s="139">
        <f>IF(AND('Ações'!$AC11="SIM", 'Ações'!AS11="SIM"), 1,0)</f>
        <v>0</v>
      </c>
      <c r="H10" s="139">
        <f>IF(AND('Ações'!$AC11="SIM", 'Ações'!AT11="SIM"), 1,0)</f>
        <v>0</v>
      </c>
      <c r="I10" s="139">
        <f>IF(AND('Ações'!$AC11="SIM", 'Ações'!AU11="SIM"), 1,0)</f>
        <v>0</v>
      </c>
      <c r="J10" s="139">
        <f>IF(AND('Ações'!$AC11="SIM", 'Ações'!AV11="SIM"), 1,0)</f>
        <v>0</v>
      </c>
      <c r="K10" s="139">
        <f>IF(AND('Ações'!$AC11="SIM", 'Ações'!AW11="SIM"), 1,0)</f>
        <v>0</v>
      </c>
      <c r="L10" s="139">
        <f>IF(AND('Ações'!$AC11="SIM", 'Ações'!AX11="SIM"), 1,0)</f>
        <v>0</v>
      </c>
      <c r="M10" s="139">
        <f>IF(AND('Ações'!$AD11="SIM", 'Ações'!AS11="SIM"), 1,0)</f>
        <v>0</v>
      </c>
      <c r="N10" s="139">
        <f>IF(AND('Ações'!$AD11="SIM", 'Ações'!AT11="SIM"), 1,0)</f>
        <v>0</v>
      </c>
      <c r="O10" s="139">
        <f>IF(AND('Ações'!$AD11="SIM", 'Ações'!AU11="SIM"), 1,0)</f>
        <v>0</v>
      </c>
      <c r="P10" s="139">
        <f>IF(AND('Ações'!$AD11="SIM", 'Ações'!AV11="SIM"), 1,0)</f>
        <v>0</v>
      </c>
      <c r="Q10" s="139">
        <f>IF(AND('Ações'!$AD11="SIM", 'Ações'!AW11="SIM"), 1,0)</f>
        <v>0</v>
      </c>
      <c r="R10" s="139">
        <f>IF(AND('Ações'!$AD11="SIM", 'Ações'!AX11="SIM"), 1,0)</f>
        <v>0</v>
      </c>
    </row>
    <row r="11">
      <c r="A11" s="139">
        <f>IF(AND('Ações'!AB12="SIM", 'Ações'!AS12="SIM"), 1,0)</f>
        <v>1</v>
      </c>
      <c r="B11" s="139">
        <f>IF(AND('Ações'!$AB12="SIM", 'Ações'!AT12="SIM"), 1,0)</f>
        <v>1</v>
      </c>
      <c r="C11" s="139">
        <f>IF(AND('Ações'!$AB12="SIM", 'Ações'!AU12="SIM"), 1,0)</f>
        <v>1</v>
      </c>
      <c r="D11" s="139">
        <f>IF(AND('Ações'!$AB12="SIM", 'Ações'!AV12="SIM"), 1,0)</f>
        <v>1</v>
      </c>
      <c r="E11" s="139">
        <f>IF(AND('Ações'!$AB12="SIM", 'Ações'!AW12="SIM"), 1,0)</f>
        <v>1</v>
      </c>
      <c r="F11" s="139">
        <f>IF(AND('Ações'!$AB12="SIM", 'Ações'!AX12="SIM"), 1,0)</f>
        <v>0</v>
      </c>
      <c r="G11" s="139">
        <f>IF(AND('Ações'!$AC12="SIM", 'Ações'!AS12="SIM"), 1,0)</f>
        <v>0</v>
      </c>
      <c r="H11" s="139">
        <f>IF(AND('Ações'!$AC12="SIM", 'Ações'!AT12="SIM"), 1,0)</f>
        <v>0</v>
      </c>
      <c r="I11" s="139">
        <f>IF(AND('Ações'!$AC12="SIM", 'Ações'!AU12="SIM"), 1,0)</f>
        <v>0</v>
      </c>
      <c r="J11" s="139">
        <f>IF(AND('Ações'!$AC12="SIM", 'Ações'!AV12="SIM"), 1,0)</f>
        <v>0</v>
      </c>
      <c r="K11" s="139">
        <f>IF(AND('Ações'!$AC12="SIM", 'Ações'!AW12="SIM"), 1,0)</f>
        <v>0</v>
      </c>
      <c r="L11" s="139">
        <f>IF(AND('Ações'!$AC12="SIM", 'Ações'!AX12="SIM"), 1,0)</f>
        <v>0</v>
      </c>
      <c r="M11" s="139">
        <f>IF(AND('Ações'!$AD12="SIM", 'Ações'!AS12="SIM"), 1,0)</f>
        <v>0</v>
      </c>
      <c r="N11" s="139">
        <f>IF(AND('Ações'!$AD12="SIM", 'Ações'!AT12="SIM"), 1,0)</f>
        <v>0</v>
      </c>
      <c r="O11" s="139">
        <f>IF(AND('Ações'!$AD12="SIM", 'Ações'!AU12="SIM"), 1,0)</f>
        <v>0</v>
      </c>
      <c r="P11" s="139">
        <f>IF(AND('Ações'!$AD12="SIM", 'Ações'!AV12="SIM"), 1,0)</f>
        <v>0</v>
      </c>
      <c r="Q11" s="139">
        <f>IF(AND('Ações'!$AD12="SIM", 'Ações'!AW12="SIM"), 1,0)</f>
        <v>0</v>
      </c>
      <c r="R11" s="139">
        <f>IF(AND('Ações'!$AD12="SIM", 'Ações'!AX12="SIM"), 1,0)</f>
        <v>0</v>
      </c>
    </row>
    <row r="12">
      <c r="A12" s="139">
        <f>IF(AND('Ações'!AB13="SIM", 'Ações'!AS13="SIM"), 1,0)</f>
        <v>0</v>
      </c>
      <c r="B12" s="139">
        <f>IF(AND('Ações'!$AB13="SIM", 'Ações'!AT13="SIM"), 1,0)</f>
        <v>0</v>
      </c>
      <c r="C12" s="139">
        <f>IF(AND('Ações'!$AB13="SIM", 'Ações'!AU13="SIM"), 1,0)</f>
        <v>0</v>
      </c>
      <c r="D12" s="139">
        <f>IF(AND('Ações'!$AB13="SIM", 'Ações'!AV13="SIM"), 1,0)</f>
        <v>0</v>
      </c>
      <c r="E12" s="139">
        <f>IF(AND('Ações'!$AB13="SIM", 'Ações'!AW13="SIM"), 1,0)</f>
        <v>0</v>
      </c>
      <c r="F12" s="139">
        <f>IF(AND('Ações'!$AB13="SIM", 'Ações'!AX13="SIM"), 1,0)</f>
        <v>0</v>
      </c>
      <c r="G12" s="139">
        <f>IF(AND('Ações'!$AC13="SIM", 'Ações'!AS13="SIM"), 1,0)</f>
        <v>1</v>
      </c>
      <c r="H12" s="139">
        <f>IF(AND('Ações'!$AC13="SIM", 'Ações'!AT13="SIM"), 1,0)</f>
        <v>1</v>
      </c>
      <c r="I12" s="139">
        <f>IF(AND('Ações'!$AC13="SIM", 'Ações'!AU13="SIM"), 1,0)</f>
        <v>1</v>
      </c>
      <c r="J12" s="139">
        <f>IF(AND('Ações'!$AC13="SIM", 'Ações'!AV13="SIM"), 1,0)</f>
        <v>1</v>
      </c>
      <c r="K12" s="139">
        <f>IF(AND('Ações'!$AC13="SIM", 'Ações'!AW13="SIM"), 1,0)</f>
        <v>1</v>
      </c>
      <c r="L12" s="139">
        <f>IF(AND('Ações'!$AC13="SIM", 'Ações'!AX13="SIM"), 1,0)</f>
        <v>0</v>
      </c>
      <c r="M12" s="139">
        <f>IF(AND('Ações'!$AD13="SIM", 'Ações'!AS13="SIM"), 1,0)</f>
        <v>0</v>
      </c>
      <c r="N12" s="139">
        <f>IF(AND('Ações'!$AD13="SIM", 'Ações'!AT13="SIM"), 1,0)</f>
        <v>0</v>
      </c>
      <c r="O12" s="139">
        <f>IF(AND('Ações'!$AD13="SIM", 'Ações'!AU13="SIM"), 1,0)</f>
        <v>0</v>
      </c>
      <c r="P12" s="139">
        <f>IF(AND('Ações'!$AD13="SIM", 'Ações'!AV13="SIM"), 1,0)</f>
        <v>0</v>
      </c>
      <c r="Q12" s="139">
        <f>IF(AND('Ações'!$AD13="SIM", 'Ações'!AW13="SIM"), 1,0)</f>
        <v>0</v>
      </c>
      <c r="R12" s="139">
        <f>IF(AND('Ações'!$AD13="SIM", 'Ações'!AX13="SIM"), 1,0)</f>
        <v>0</v>
      </c>
    </row>
    <row r="13">
      <c r="A13" s="139">
        <f>IF(AND('Ações'!AB14="SIM", 'Ações'!AS14="SIM"), 1,0)</f>
        <v>1</v>
      </c>
      <c r="B13" s="139">
        <f>IF(AND('Ações'!$AB14="SIM", 'Ações'!AT14="SIM"), 1,0)</f>
        <v>1</v>
      </c>
      <c r="C13" s="139">
        <f>IF(AND('Ações'!$AB14="SIM", 'Ações'!AU14="SIM"), 1,0)</f>
        <v>1</v>
      </c>
      <c r="D13" s="139">
        <f>IF(AND('Ações'!$AB14="SIM", 'Ações'!AV14="SIM"), 1,0)</f>
        <v>1</v>
      </c>
      <c r="E13" s="139">
        <f>IF(AND('Ações'!$AB14="SIM", 'Ações'!AW14="SIM"), 1,0)</f>
        <v>1</v>
      </c>
      <c r="F13" s="139">
        <f>IF(AND('Ações'!$AB14="SIM", 'Ações'!AX14="SIM"), 1,0)</f>
        <v>0</v>
      </c>
      <c r="G13" s="139">
        <f>IF(AND('Ações'!$AC14="SIM", 'Ações'!AS14="SIM"), 1,0)</f>
        <v>0</v>
      </c>
      <c r="H13" s="139">
        <f>IF(AND('Ações'!$AC14="SIM", 'Ações'!AT14="SIM"), 1,0)</f>
        <v>0</v>
      </c>
      <c r="I13" s="139">
        <f>IF(AND('Ações'!$AC14="SIM", 'Ações'!AU14="SIM"), 1,0)</f>
        <v>0</v>
      </c>
      <c r="J13" s="139">
        <f>IF(AND('Ações'!$AC14="SIM", 'Ações'!AV14="SIM"), 1,0)</f>
        <v>0</v>
      </c>
      <c r="K13" s="139">
        <f>IF(AND('Ações'!$AC14="SIM", 'Ações'!AW14="SIM"), 1,0)</f>
        <v>0</v>
      </c>
      <c r="L13" s="139">
        <f>IF(AND('Ações'!$AC14="SIM", 'Ações'!AX14="SIM"), 1,0)</f>
        <v>0</v>
      </c>
      <c r="M13" s="139">
        <f>IF(AND('Ações'!$AD14="SIM", 'Ações'!AS14="SIM"), 1,0)</f>
        <v>0</v>
      </c>
      <c r="N13" s="139">
        <f>IF(AND('Ações'!$AD14="SIM", 'Ações'!AT14="SIM"), 1,0)</f>
        <v>0</v>
      </c>
      <c r="O13" s="139">
        <f>IF(AND('Ações'!$AD14="SIM", 'Ações'!AU14="SIM"), 1,0)</f>
        <v>0</v>
      </c>
      <c r="P13" s="139">
        <f>IF(AND('Ações'!$AD14="SIM", 'Ações'!AV14="SIM"), 1,0)</f>
        <v>0</v>
      </c>
      <c r="Q13" s="139">
        <f>IF(AND('Ações'!$AD14="SIM", 'Ações'!AW14="SIM"), 1,0)</f>
        <v>0</v>
      </c>
      <c r="R13" s="139">
        <f>IF(AND('Ações'!$AD14="SIM", 'Ações'!AX14="SIM"), 1,0)</f>
        <v>0</v>
      </c>
    </row>
    <row r="14">
      <c r="A14" s="139">
        <f>IF(AND('Ações'!AB15="SIM", 'Ações'!AS15="SIM"), 1,0)</f>
        <v>0</v>
      </c>
      <c r="B14" s="139">
        <f>IF(AND('Ações'!$AB15="SIM", 'Ações'!AT15="SIM"), 1,0)</f>
        <v>0</v>
      </c>
      <c r="C14" s="139">
        <f>IF(AND('Ações'!$AB15="SIM", 'Ações'!AU15="SIM"), 1,0)</f>
        <v>0</v>
      </c>
      <c r="D14" s="139">
        <f>IF(AND('Ações'!$AB15="SIM", 'Ações'!AV15="SIM"), 1,0)</f>
        <v>0</v>
      </c>
      <c r="E14" s="139">
        <f>IF(AND('Ações'!$AB15="SIM", 'Ações'!AW15="SIM"), 1,0)</f>
        <v>0</v>
      </c>
      <c r="F14" s="139">
        <f>IF(AND('Ações'!$AB15="SIM", 'Ações'!AX15="SIM"), 1,0)</f>
        <v>0</v>
      </c>
      <c r="G14" s="139">
        <f>IF(AND('Ações'!$AC15="SIM", 'Ações'!AS15="SIM"), 1,0)</f>
        <v>1</v>
      </c>
      <c r="H14" s="139">
        <f>IF(AND('Ações'!$AC15="SIM", 'Ações'!AT15="SIM"), 1,0)</f>
        <v>1</v>
      </c>
      <c r="I14" s="139">
        <f>IF(AND('Ações'!$AC15="SIM", 'Ações'!AU15="SIM"), 1,0)</f>
        <v>1</v>
      </c>
      <c r="J14" s="139">
        <f>IF(AND('Ações'!$AC15="SIM", 'Ações'!AV15="SIM"), 1,0)</f>
        <v>1</v>
      </c>
      <c r="K14" s="139">
        <f>IF(AND('Ações'!$AC15="SIM", 'Ações'!AW15="SIM"), 1,0)</f>
        <v>1</v>
      </c>
      <c r="L14" s="139">
        <f>IF(AND('Ações'!$AC15="SIM", 'Ações'!AX15="SIM"), 1,0)</f>
        <v>0</v>
      </c>
      <c r="M14" s="139">
        <f>IF(AND('Ações'!$AD15="SIM", 'Ações'!AS15="SIM"), 1,0)</f>
        <v>0</v>
      </c>
      <c r="N14" s="139">
        <f>IF(AND('Ações'!$AD15="SIM", 'Ações'!AT15="SIM"), 1,0)</f>
        <v>0</v>
      </c>
      <c r="O14" s="139">
        <f>IF(AND('Ações'!$AD15="SIM", 'Ações'!AU15="SIM"), 1,0)</f>
        <v>0</v>
      </c>
      <c r="P14" s="139">
        <f>IF(AND('Ações'!$AD15="SIM", 'Ações'!AV15="SIM"), 1,0)</f>
        <v>0</v>
      </c>
      <c r="Q14" s="139">
        <f>IF(AND('Ações'!$AD15="SIM", 'Ações'!AW15="SIM"), 1,0)</f>
        <v>0</v>
      </c>
      <c r="R14" s="139">
        <f>IF(AND('Ações'!$AD15="SIM", 'Ações'!AX15="SIM"), 1,0)</f>
        <v>0</v>
      </c>
    </row>
    <row r="15">
      <c r="A15" s="139">
        <f>IF(AND('Ações'!AB16="SIM", 'Ações'!AS16="SIM"), 1,0)</f>
        <v>0</v>
      </c>
      <c r="B15" s="139">
        <f>IF(AND('Ações'!$AB16="SIM", 'Ações'!AT16="SIM"), 1,0)</f>
        <v>0</v>
      </c>
      <c r="C15" s="139">
        <f>IF(AND('Ações'!$AB16="SIM", 'Ações'!AU16="SIM"), 1,0)</f>
        <v>0</v>
      </c>
      <c r="D15" s="139">
        <f>IF(AND('Ações'!$AB16="SIM", 'Ações'!AV16="SIM"), 1,0)</f>
        <v>0</v>
      </c>
      <c r="E15" s="139">
        <f>IF(AND('Ações'!$AB16="SIM", 'Ações'!AW16="SIM"), 1,0)</f>
        <v>0</v>
      </c>
      <c r="F15" s="139">
        <f>IF(AND('Ações'!$AB16="SIM", 'Ações'!AX16="SIM"), 1,0)</f>
        <v>0</v>
      </c>
      <c r="G15" s="139">
        <f>IF(AND('Ações'!$AC16="SIM", 'Ações'!AS16="SIM"), 1,0)</f>
        <v>1</v>
      </c>
      <c r="H15" s="139">
        <f>IF(AND('Ações'!$AC16="SIM", 'Ações'!AT16="SIM"), 1,0)</f>
        <v>1</v>
      </c>
      <c r="I15" s="139">
        <f>IF(AND('Ações'!$AC16="SIM", 'Ações'!AU16="SIM"), 1,0)</f>
        <v>1</v>
      </c>
      <c r="J15" s="139">
        <f>IF(AND('Ações'!$AC16="SIM", 'Ações'!AV16="SIM"), 1,0)</f>
        <v>1</v>
      </c>
      <c r="K15" s="139">
        <f>IF(AND('Ações'!$AC16="SIM", 'Ações'!AW16="SIM"), 1,0)</f>
        <v>1</v>
      </c>
      <c r="L15" s="139">
        <f>IF(AND('Ações'!$AC16="SIM", 'Ações'!AX16="SIM"), 1,0)</f>
        <v>0</v>
      </c>
      <c r="M15" s="139">
        <f>IF(AND('Ações'!$AD16="SIM", 'Ações'!AS16="SIM"), 1,0)</f>
        <v>0</v>
      </c>
      <c r="N15" s="139">
        <f>IF(AND('Ações'!$AD16="SIM", 'Ações'!AT16="SIM"), 1,0)</f>
        <v>0</v>
      </c>
      <c r="O15" s="139">
        <f>IF(AND('Ações'!$AD16="SIM", 'Ações'!AU16="SIM"), 1,0)</f>
        <v>0</v>
      </c>
      <c r="P15" s="139">
        <f>IF(AND('Ações'!$AD16="SIM", 'Ações'!AV16="SIM"), 1,0)</f>
        <v>0</v>
      </c>
      <c r="Q15" s="139">
        <f>IF(AND('Ações'!$AD16="SIM", 'Ações'!AW16="SIM"), 1,0)</f>
        <v>0</v>
      </c>
      <c r="R15" s="139">
        <f>IF(AND('Ações'!$AD16="SIM", 'Ações'!AX16="SIM"), 1,0)</f>
        <v>0</v>
      </c>
    </row>
    <row r="16">
      <c r="A16" s="139">
        <f>IF(AND('Ações'!AB17="SIM", 'Ações'!AS17="SIM"), 1,0)</f>
        <v>1</v>
      </c>
      <c r="B16" s="139">
        <f>IF(AND('Ações'!$AB17="SIM", 'Ações'!AT17="SIM"), 1,0)</f>
        <v>1</v>
      </c>
      <c r="C16" s="139">
        <f>IF(AND('Ações'!$AB17="SIM", 'Ações'!AU17="SIM"), 1,0)</f>
        <v>1</v>
      </c>
      <c r="D16" s="139">
        <f>IF(AND('Ações'!$AB17="SIM", 'Ações'!AV17="SIM"), 1,0)</f>
        <v>1</v>
      </c>
      <c r="E16" s="139">
        <f>IF(AND('Ações'!$AB17="SIM", 'Ações'!AW17="SIM"), 1,0)</f>
        <v>1</v>
      </c>
      <c r="F16" s="139">
        <f>IF(AND('Ações'!$AB17="SIM", 'Ações'!AX17="SIM"), 1,0)</f>
        <v>0</v>
      </c>
      <c r="G16" s="139">
        <f>IF(AND('Ações'!$AC17="SIM", 'Ações'!AS17="SIM"), 1,0)</f>
        <v>0</v>
      </c>
      <c r="H16" s="139">
        <f>IF(AND('Ações'!$AC17="SIM", 'Ações'!AT17="SIM"), 1,0)</f>
        <v>0</v>
      </c>
      <c r="I16" s="139">
        <f>IF(AND('Ações'!$AC17="SIM", 'Ações'!AU17="SIM"), 1,0)</f>
        <v>0</v>
      </c>
      <c r="J16" s="139">
        <f>IF(AND('Ações'!$AC17="SIM", 'Ações'!AV17="SIM"), 1,0)</f>
        <v>0</v>
      </c>
      <c r="K16" s="139">
        <f>IF(AND('Ações'!$AC17="SIM", 'Ações'!AW17="SIM"), 1,0)</f>
        <v>0</v>
      </c>
      <c r="L16" s="139">
        <f>IF(AND('Ações'!$AC17="SIM", 'Ações'!AX17="SIM"), 1,0)</f>
        <v>0</v>
      </c>
      <c r="M16" s="139">
        <f>IF(AND('Ações'!$AD17="SIM", 'Ações'!AS17="SIM"), 1,0)</f>
        <v>0</v>
      </c>
      <c r="N16" s="139">
        <f>IF(AND('Ações'!$AD17="SIM", 'Ações'!AT17="SIM"), 1,0)</f>
        <v>0</v>
      </c>
      <c r="O16" s="139">
        <f>IF(AND('Ações'!$AD17="SIM", 'Ações'!AU17="SIM"), 1,0)</f>
        <v>0</v>
      </c>
      <c r="P16" s="139">
        <f>IF(AND('Ações'!$AD17="SIM", 'Ações'!AV17="SIM"), 1,0)</f>
        <v>0</v>
      </c>
      <c r="Q16" s="139">
        <f>IF(AND('Ações'!$AD17="SIM", 'Ações'!AW17="SIM"), 1,0)</f>
        <v>0</v>
      </c>
      <c r="R16" s="139">
        <f>IF(AND('Ações'!$AD17="SIM", 'Ações'!AX17="SIM"), 1,0)</f>
        <v>0</v>
      </c>
    </row>
    <row r="17">
      <c r="A17" s="139">
        <f>IF(AND('Ações'!AB18="SIM", 'Ações'!AS18="SIM"), 1,0)</f>
        <v>1</v>
      </c>
      <c r="B17" s="139">
        <f>IF(AND('Ações'!$AB18="SIM", 'Ações'!AT18="SIM"), 1,0)</f>
        <v>1</v>
      </c>
      <c r="C17" s="139">
        <f>IF(AND('Ações'!$AB18="SIM", 'Ações'!AU18="SIM"), 1,0)</f>
        <v>1</v>
      </c>
      <c r="D17" s="139">
        <f>IF(AND('Ações'!$AB18="SIM", 'Ações'!AV18="SIM"), 1,0)</f>
        <v>1</v>
      </c>
      <c r="E17" s="139">
        <f>IF(AND('Ações'!$AB18="SIM", 'Ações'!AW18="SIM"), 1,0)</f>
        <v>1</v>
      </c>
      <c r="F17" s="139">
        <f>IF(AND('Ações'!$AB18="SIM", 'Ações'!AX18="SIM"), 1,0)</f>
        <v>0</v>
      </c>
      <c r="G17" s="139">
        <f>IF(AND('Ações'!$AC18="SIM", 'Ações'!AS18="SIM"), 1,0)</f>
        <v>0</v>
      </c>
      <c r="H17" s="139">
        <f>IF(AND('Ações'!$AC18="SIM", 'Ações'!AT18="SIM"), 1,0)</f>
        <v>0</v>
      </c>
      <c r="I17" s="139">
        <f>IF(AND('Ações'!$AC18="SIM", 'Ações'!AU18="SIM"), 1,0)</f>
        <v>0</v>
      </c>
      <c r="J17" s="139">
        <f>IF(AND('Ações'!$AC18="SIM", 'Ações'!AV18="SIM"), 1,0)</f>
        <v>0</v>
      </c>
      <c r="K17" s="139">
        <f>IF(AND('Ações'!$AC18="SIM", 'Ações'!AW18="SIM"), 1,0)</f>
        <v>0</v>
      </c>
      <c r="L17" s="139">
        <f>IF(AND('Ações'!$AC18="SIM", 'Ações'!AX18="SIM"), 1,0)</f>
        <v>0</v>
      </c>
      <c r="M17" s="139">
        <f>IF(AND('Ações'!$AD18="SIM", 'Ações'!AS18="SIM"), 1,0)</f>
        <v>0</v>
      </c>
      <c r="N17" s="139">
        <f>IF(AND('Ações'!$AD18="SIM", 'Ações'!AT18="SIM"), 1,0)</f>
        <v>0</v>
      </c>
      <c r="O17" s="139">
        <f>IF(AND('Ações'!$AD18="SIM", 'Ações'!AU18="SIM"), 1,0)</f>
        <v>0</v>
      </c>
      <c r="P17" s="139">
        <f>IF(AND('Ações'!$AD18="SIM", 'Ações'!AV18="SIM"), 1,0)</f>
        <v>0</v>
      </c>
      <c r="Q17" s="139">
        <f>IF(AND('Ações'!$AD18="SIM", 'Ações'!AW18="SIM"), 1,0)</f>
        <v>0</v>
      </c>
      <c r="R17" s="139">
        <f>IF(AND('Ações'!$AD18="SIM", 'Ações'!AX18="SIM"), 1,0)</f>
        <v>0</v>
      </c>
    </row>
    <row r="18">
      <c r="A18" s="139">
        <f>IF(AND('Ações'!AB19="SIM", 'Ações'!AS19="SIM"), 1,0)</f>
        <v>1</v>
      </c>
      <c r="B18" s="139">
        <f>IF(AND('Ações'!$AB19="SIM", 'Ações'!AT19="SIM"), 1,0)</f>
        <v>1</v>
      </c>
      <c r="C18" s="139">
        <f>IF(AND('Ações'!$AB19="SIM", 'Ações'!AU19="SIM"), 1,0)</f>
        <v>1</v>
      </c>
      <c r="D18" s="139">
        <f>IF(AND('Ações'!$AB19="SIM", 'Ações'!AV19="SIM"), 1,0)</f>
        <v>1</v>
      </c>
      <c r="E18" s="139">
        <f>IF(AND('Ações'!$AB19="SIM", 'Ações'!AW19="SIM"), 1,0)</f>
        <v>1</v>
      </c>
      <c r="F18" s="139">
        <f>IF(AND('Ações'!$AB19="SIM", 'Ações'!AX19="SIM"), 1,0)</f>
        <v>0</v>
      </c>
      <c r="G18" s="139">
        <f>IF(AND('Ações'!$AC19="SIM", 'Ações'!AS19="SIM"), 1,0)</f>
        <v>0</v>
      </c>
      <c r="H18" s="139">
        <f>IF(AND('Ações'!$AC19="SIM", 'Ações'!AT19="SIM"), 1,0)</f>
        <v>0</v>
      </c>
      <c r="I18" s="139">
        <f>IF(AND('Ações'!$AC19="SIM", 'Ações'!AU19="SIM"), 1,0)</f>
        <v>0</v>
      </c>
      <c r="J18" s="139">
        <f>IF(AND('Ações'!$AC19="SIM", 'Ações'!AV19="SIM"), 1,0)</f>
        <v>0</v>
      </c>
      <c r="K18" s="139">
        <f>IF(AND('Ações'!$AC19="SIM", 'Ações'!AW19="SIM"), 1,0)</f>
        <v>0</v>
      </c>
      <c r="L18" s="139">
        <f>IF(AND('Ações'!$AC19="SIM", 'Ações'!AX19="SIM"), 1,0)</f>
        <v>0</v>
      </c>
      <c r="M18" s="139">
        <f>IF(AND('Ações'!$AD19="SIM", 'Ações'!AS19="SIM"), 1,0)</f>
        <v>0</v>
      </c>
      <c r="N18" s="139">
        <f>IF(AND('Ações'!$AD19="SIM", 'Ações'!AT19="SIM"), 1,0)</f>
        <v>0</v>
      </c>
      <c r="O18" s="139">
        <f>IF(AND('Ações'!$AD19="SIM", 'Ações'!AU19="SIM"), 1,0)</f>
        <v>0</v>
      </c>
      <c r="P18" s="139">
        <f>IF(AND('Ações'!$AD19="SIM", 'Ações'!AV19="SIM"), 1,0)</f>
        <v>0</v>
      </c>
      <c r="Q18" s="139">
        <f>IF(AND('Ações'!$AD19="SIM", 'Ações'!AW19="SIM"), 1,0)</f>
        <v>0</v>
      </c>
      <c r="R18" s="139">
        <f>IF(AND('Ações'!$AD19="SIM", 'Ações'!AX19="SIM"), 1,0)</f>
        <v>0</v>
      </c>
    </row>
    <row r="19">
      <c r="A19" s="139">
        <f>IF(AND('Ações'!AB20="SIM", 'Ações'!AS20="SIM"), 1,0)</f>
        <v>0</v>
      </c>
      <c r="B19" s="139">
        <f>IF(AND('Ações'!$AB20="SIM", 'Ações'!AT20="SIM"), 1,0)</f>
        <v>0</v>
      </c>
      <c r="C19" s="139">
        <f>IF(AND('Ações'!$AB20="SIM", 'Ações'!AU20="SIM"), 1,0)</f>
        <v>0</v>
      </c>
      <c r="D19" s="139">
        <f>IF(AND('Ações'!$AB20="SIM", 'Ações'!AV20="SIM"), 1,0)</f>
        <v>0</v>
      </c>
      <c r="E19" s="139">
        <f>IF(AND('Ações'!$AB20="SIM", 'Ações'!AW20="SIM"), 1,0)</f>
        <v>0</v>
      </c>
      <c r="F19" s="139">
        <f>IF(AND('Ações'!$AB20="SIM", 'Ações'!AX20="SIM"), 1,0)</f>
        <v>0</v>
      </c>
      <c r="G19" s="139">
        <f>IF(AND('Ações'!$AC20="SIM", 'Ações'!AS20="SIM"), 1,0)</f>
        <v>1</v>
      </c>
      <c r="H19" s="139">
        <f>IF(AND('Ações'!$AC20="SIM", 'Ações'!AT20="SIM"), 1,0)</f>
        <v>1</v>
      </c>
      <c r="I19" s="139">
        <f>IF(AND('Ações'!$AC20="SIM", 'Ações'!AU20="SIM"), 1,0)</f>
        <v>1</v>
      </c>
      <c r="J19" s="139">
        <f>IF(AND('Ações'!$AC20="SIM", 'Ações'!AV20="SIM"), 1,0)</f>
        <v>1</v>
      </c>
      <c r="K19" s="139">
        <f>IF(AND('Ações'!$AC20="SIM", 'Ações'!AW20="SIM"), 1,0)</f>
        <v>1</v>
      </c>
      <c r="L19" s="139">
        <f>IF(AND('Ações'!$AC20="SIM", 'Ações'!AX20="SIM"), 1,0)</f>
        <v>0</v>
      </c>
      <c r="M19" s="139">
        <f>IF(AND('Ações'!$AD20="SIM", 'Ações'!AS20="SIM"), 1,0)</f>
        <v>0</v>
      </c>
      <c r="N19" s="139">
        <f>IF(AND('Ações'!$AD20="SIM", 'Ações'!AT20="SIM"), 1,0)</f>
        <v>0</v>
      </c>
      <c r="O19" s="139">
        <f>IF(AND('Ações'!$AD20="SIM", 'Ações'!AU20="SIM"), 1,0)</f>
        <v>0</v>
      </c>
      <c r="P19" s="139">
        <f>IF(AND('Ações'!$AD20="SIM", 'Ações'!AV20="SIM"), 1,0)</f>
        <v>0</v>
      </c>
      <c r="Q19" s="139">
        <f>IF(AND('Ações'!$AD20="SIM", 'Ações'!AW20="SIM"), 1,0)</f>
        <v>0</v>
      </c>
      <c r="R19" s="139">
        <f>IF(AND('Ações'!$AD20="SIM", 'Ações'!AX20="SIM"), 1,0)</f>
        <v>0</v>
      </c>
    </row>
    <row r="20">
      <c r="A20" s="139">
        <f>IF(AND('Ações'!AB21="SIM", 'Ações'!AS21="SIM"), 1,0)</f>
        <v>1</v>
      </c>
      <c r="B20" s="139">
        <f>IF(AND('Ações'!$AB21="SIM", 'Ações'!AT21="SIM"), 1,0)</f>
        <v>1</v>
      </c>
      <c r="C20" s="139">
        <f>IF(AND('Ações'!$AB21="SIM", 'Ações'!AU21="SIM"), 1,0)</f>
        <v>1</v>
      </c>
      <c r="D20" s="139">
        <f>IF(AND('Ações'!$AB21="SIM", 'Ações'!AV21="SIM"), 1,0)</f>
        <v>1</v>
      </c>
      <c r="E20" s="139">
        <f>IF(AND('Ações'!$AB21="SIM", 'Ações'!AW21="SIM"), 1,0)</f>
        <v>1</v>
      </c>
      <c r="F20" s="139">
        <f>IF(AND('Ações'!$AB21="SIM", 'Ações'!AX21="SIM"), 1,0)</f>
        <v>0</v>
      </c>
      <c r="G20" s="139">
        <f>IF(AND('Ações'!$AC21="SIM", 'Ações'!AS21="SIM"), 1,0)</f>
        <v>1</v>
      </c>
      <c r="H20" s="139">
        <f>IF(AND('Ações'!$AC21="SIM", 'Ações'!AT21="SIM"), 1,0)</f>
        <v>1</v>
      </c>
      <c r="I20" s="139">
        <f>IF(AND('Ações'!$AC21="SIM", 'Ações'!AU21="SIM"), 1,0)</f>
        <v>1</v>
      </c>
      <c r="J20" s="139">
        <f>IF(AND('Ações'!$AC21="SIM", 'Ações'!AV21="SIM"), 1,0)</f>
        <v>1</v>
      </c>
      <c r="K20" s="139">
        <f>IF(AND('Ações'!$AC21="SIM", 'Ações'!AW21="SIM"), 1,0)</f>
        <v>1</v>
      </c>
      <c r="L20" s="139">
        <f>IF(AND('Ações'!$AC21="SIM", 'Ações'!AX21="SIM"), 1,0)</f>
        <v>0</v>
      </c>
      <c r="M20" s="139">
        <f>IF(AND('Ações'!$AD21="SIM", 'Ações'!AS21="SIM"), 1,0)</f>
        <v>0</v>
      </c>
      <c r="N20" s="139">
        <f>IF(AND('Ações'!$AD21="SIM", 'Ações'!AT21="SIM"), 1,0)</f>
        <v>0</v>
      </c>
      <c r="O20" s="139">
        <f>IF(AND('Ações'!$AD21="SIM", 'Ações'!AU21="SIM"), 1,0)</f>
        <v>0</v>
      </c>
      <c r="P20" s="139">
        <f>IF(AND('Ações'!$AD21="SIM", 'Ações'!AV21="SIM"), 1,0)</f>
        <v>0</v>
      </c>
      <c r="Q20" s="139">
        <f>IF(AND('Ações'!$AD21="SIM", 'Ações'!AW21="SIM"), 1,0)</f>
        <v>0</v>
      </c>
      <c r="R20" s="139">
        <f>IF(AND('Ações'!$AD21="SIM", 'Ações'!AX21="SIM"), 1,0)</f>
        <v>0</v>
      </c>
    </row>
    <row r="21">
      <c r="A21" s="139">
        <f>IF(AND('Ações'!AB22="SIM", 'Ações'!AS22="SIM"), 1,0)</f>
        <v>0</v>
      </c>
      <c r="B21" s="139">
        <f>IF(AND('Ações'!$AB22="SIM", 'Ações'!AT22="SIM"), 1,0)</f>
        <v>0</v>
      </c>
      <c r="C21" s="139">
        <f>IF(AND('Ações'!$AB22="SIM", 'Ações'!AU22="SIM"), 1,0)</f>
        <v>0</v>
      </c>
      <c r="D21" s="139">
        <f>IF(AND('Ações'!$AB22="SIM", 'Ações'!AV22="SIM"), 1,0)</f>
        <v>0</v>
      </c>
      <c r="E21" s="139">
        <f>IF(AND('Ações'!$AB22="SIM", 'Ações'!AW22="SIM"), 1,0)</f>
        <v>0</v>
      </c>
      <c r="F21" s="139">
        <f>IF(AND('Ações'!$AB22="SIM", 'Ações'!AX22="SIM"), 1,0)</f>
        <v>0</v>
      </c>
      <c r="G21" s="139">
        <f>IF(AND('Ações'!$AC22="SIM", 'Ações'!AS22="SIM"), 1,0)</f>
        <v>1</v>
      </c>
      <c r="H21" s="139">
        <f>IF(AND('Ações'!$AC22="SIM", 'Ações'!AT22="SIM"), 1,0)</f>
        <v>1</v>
      </c>
      <c r="I21" s="139">
        <f>IF(AND('Ações'!$AC22="SIM", 'Ações'!AU22="SIM"), 1,0)</f>
        <v>1</v>
      </c>
      <c r="J21" s="139">
        <f>IF(AND('Ações'!$AC22="SIM", 'Ações'!AV22="SIM"), 1,0)</f>
        <v>1</v>
      </c>
      <c r="K21" s="139">
        <f>IF(AND('Ações'!$AC22="SIM", 'Ações'!AW22="SIM"), 1,0)</f>
        <v>1</v>
      </c>
      <c r="L21" s="139">
        <f>IF(AND('Ações'!$AC22="SIM", 'Ações'!AX22="SIM"), 1,0)</f>
        <v>0</v>
      </c>
      <c r="M21" s="139">
        <f>IF(AND('Ações'!$AD22="SIM", 'Ações'!AS22="SIM"), 1,0)</f>
        <v>0</v>
      </c>
      <c r="N21" s="139">
        <f>IF(AND('Ações'!$AD22="SIM", 'Ações'!AT22="SIM"), 1,0)</f>
        <v>0</v>
      </c>
      <c r="O21" s="139">
        <f>IF(AND('Ações'!$AD22="SIM", 'Ações'!AU22="SIM"), 1,0)</f>
        <v>0</v>
      </c>
      <c r="P21" s="139">
        <f>IF(AND('Ações'!$AD22="SIM", 'Ações'!AV22="SIM"), 1,0)</f>
        <v>0</v>
      </c>
      <c r="Q21" s="139">
        <f>IF(AND('Ações'!$AD22="SIM", 'Ações'!AW22="SIM"), 1,0)</f>
        <v>0</v>
      </c>
      <c r="R21" s="139">
        <f>IF(AND('Ações'!$AD22="SIM", 'Ações'!AX22="SIM"), 1,0)</f>
        <v>0</v>
      </c>
    </row>
    <row r="22">
      <c r="A22" s="139">
        <f>IF(AND('Ações'!AB23="SIM", 'Ações'!AS23="SIM"), 1,0)</f>
        <v>1</v>
      </c>
      <c r="B22" s="139">
        <f>IF(AND('Ações'!$AB23="SIM", 'Ações'!AT23="SIM"), 1,0)</f>
        <v>1</v>
      </c>
      <c r="C22" s="139">
        <f>IF(AND('Ações'!$AB23="SIM", 'Ações'!AU23="SIM"), 1,0)</f>
        <v>0</v>
      </c>
      <c r="D22" s="139">
        <f>IF(AND('Ações'!$AB23="SIM", 'Ações'!AV23="SIM"), 1,0)</f>
        <v>0</v>
      </c>
      <c r="E22" s="139">
        <f>IF(AND('Ações'!$AB23="SIM", 'Ações'!AW23="SIM"), 1,0)</f>
        <v>0</v>
      </c>
      <c r="F22" s="139">
        <f>IF(AND('Ações'!$AB23="SIM", 'Ações'!AX23="SIM"), 1,0)</f>
        <v>0</v>
      </c>
      <c r="G22" s="139">
        <f>IF(AND('Ações'!$AC23="SIM", 'Ações'!AS23="SIM"), 1,0)</f>
        <v>0</v>
      </c>
      <c r="H22" s="139">
        <f>IF(AND('Ações'!$AC23="SIM", 'Ações'!AT23="SIM"), 1,0)</f>
        <v>0</v>
      </c>
      <c r="I22" s="139">
        <f>IF(AND('Ações'!$AC23="SIM", 'Ações'!AU23="SIM"), 1,0)</f>
        <v>0</v>
      </c>
      <c r="J22" s="139">
        <f>IF(AND('Ações'!$AC23="SIM", 'Ações'!AV23="SIM"), 1,0)</f>
        <v>0</v>
      </c>
      <c r="K22" s="139">
        <f>IF(AND('Ações'!$AC23="SIM", 'Ações'!AW23="SIM"), 1,0)</f>
        <v>0</v>
      </c>
      <c r="L22" s="139">
        <f>IF(AND('Ações'!$AC23="SIM", 'Ações'!AX23="SIM"), 1,0)</f>
        <v>0</v>
      </c>
      <c r="M22" s="139">
        <f>IF(AND('Ações'!$AD23="SIM", 'Ações'!AS23="SIM"), 1,0)</f>
        <v>0</v>
      </c>
      <c r="N22" s="139">
        <f>IF(AND('Ações'!$AD23="SIM", 'Ações'!AT23="SIM"), 1,0)</f>
        <v>0</v>
      </c>
      <c r="O22" s="139">
        <f>IF(AND('Ações'!$AD23="SIM", 'Ações'!AU23="SIM"), 1,0)</f>
        <v>0</v>
      </c>
      <c r="P22" s="139">
        <f>IF(AND('Ações'!$AD23="SIM", 'Ações'!AV23="SIM"), 1,0)</f>
        <v>0</v>
      </c>
      <c r="Q22" s="139">
        <f>IF(AND('Ações'!$AD23="SIM", 'Ações'!AW23="SIM"), 1,0)</f>
        <v>0</v>
      </c>
      <c r="R22" s="139">
        <f>IF(AND('Ações'!$AD23="SIM", 'Ações'!AX23="SIM"), 1,0)</f>
        <v>0</v>
      </c>
    </row>
    <row r="23">
      <c r="A23" s="139">
        <f>IF(AND('Ações'!AB24="SIM", 'Ações'!AS24="SIM"), 1,0)</f>
        <v>0</v>
      </c>
      <c r="B23" s="139">
        <f>IF(AND('Ações'!$AB24="SIM", 'Ações'!AT24="SIM"), 1,0)</f>
        <v>0</v>
      </c>
      <c r="C23" s="139">
        <f>IF(AND('Ações'!$AB24="SIM", 'Ações'!AU24="SIM"), 1,0)</f>
        <v>0</v>
      </c>
      <c r="D23" s="139">
        <f>IF(AND('Ações'!$AB24="SIM", 'Ações'!AV24="SIM"), 1,0)</f>
        <v>0</v>
      </c>
      <c r="E23" s="139">
        <f>IF(AND('Ações'!$AB24="SIM", 'Ações'!AW24="SIM"), 1,0)</f>
        <v>0</v>
      </c>
      <c r="F23" s="139">
        <f>IF(AND('Ações'!$AB24="SIM", 'Ações'!AX24="SIM"), 1,0)</f>
        <v>0</v>
      </c>
      <c r="G23" s="139">
        <f>IF(AND('Ações'!$AC24="SIM", 'Ações'!AS24="SIM"), 1,0)</f>
        <v>1</v>
      </c>
      <c r="H23" s="139">
        <f>IF(AND('Ações'!$AC24="SIM", 'Ações'!AT24="SIM"), 1,0)</f>
        <v>1</v>
      </c>
      <c r="I23" s="139">
        <f>IF(AND('Ações'!$AC24="SIM", 'Ações'!AU24="SIM"), 1,0)</f>
        <v>0</v>
      </c>
      <c r="J23" s="139">
        <f>IF(AND('Ações'!$AC24="SIM", 'Ações'!AV24="SIM"), 1,0)</f>
        <v>0</v>
      </c>
      <c r="K23" s="139">
        <f>IF(AND('Ações'!$AC24="SIM", 'Ações'!AW24="SIM"), 1,0)</f>
        <v>0</v>
      </c>
      <c r="L23" s="139">
        <f>IF(AND('Ações'!$AC24="SIM", 'Ações'!AX24="SIM"), 1,0)</f>
        <v>0</v>
      </c>
      <c r="M23" s="139">
        <f>IF(AND('Ações'!$AD24="SIM", 'Ações'!AS24="SIM"), 1,0)</f>
        <v>0</v>
      </c>
      <c r="N23" s="139">
        <f>IF(AND('Ações'!$AD24="SIM", 'Ações'!AT24="SIM"), 1,0)</f>
        <v>0</v>
      </c>
      <c r="O23" s="139">
        <f>IF(AND('Ações'!$AD24="SIM", 'Ações'!AU24="SIM"), 1,0)</f>
        <v>0</v>
      </c>
      <c r="P23" s="139">
        <f>IF(AND('Ações'!$AD24="SIM", 'Ações'!AV24="SIM"), 1,0)</f>
        <v>0</v>
      </c>
      <c r="Q23" s="139">
        <f>IF(AND('Ações'!$AD24="SIM", 'Ações'!AW24="SIM"), 1,0)</f>
        <v>0</v>
      </c>
      <c r="R23" s="139">
        <f>IF(AND('Ações'!$AD24="SIM", 'Ações'!AX24="SIM"), 1,0)</f>
        <v>0</v>
      </c>
    </row>
    <row r="24">
      <c r="A24" s="139">
        <f>IF(AND('Ações'!AB25="SIM", 'Ações'!AS25="SIM"), 1,0)</f>
        <v>1</v>
      </c>
      <c r="B24" s="139">
        <f>IF(AND('Ações'!$AB25="SIM", 'Ações'!AT25="SIM"), 1,0)</f>
        <v>1</v>
      </c>
      <c r="C24" s="139">
        <f>IF(AND('Ações'!$AB25="SIM", 'Ações'!AU25="SIM"), 1,0)</f>
        <v>0</v>
      </c>
      <c r="D24" s="139">
        <f>IF(AND('Ações'!$AB25="SIM", 'Ações'!AV25="SIM"), 1,0)</f>
        <v>0</v>
      </c>
      <c r="E24" s="139">
        <f>IF(AND('Ações'!$AB25="SIM", 'Ações'!AW25="SIM"), 1,0)</f>
        <v>0</v>
      </c>
      <c r="F24" s="139">
        <f>IF(AND('Ações'!$AB25="SIM", 'Ações'!AX25="SIM"), 1,0)</f>
        <v>0</v>
      </c>
      <c r="G24" s="139">
        <f>IF(AND('Ações'!$AC25="SIM", 'Ações'!AS25="SIM"), 1,0)</f>
        <v>1</v>
      </c>
      <c r="H24" s="139">
        <f>IF(AND('Ações'!$AC25="SIM", 'Ações'!AT25="SIM"), 1,0)</f>
        <v>1</v>
      </c>
      <c r="I24" s="139">
        <f>IF(AND('Ações'!$AC25="SIM", 'Ações'!AU25="SIM"), 1,0)</f>
        <v>0</v>
      </c>
      <c r="J24" s="139">
        <f>IF(AND('Ações'!$AC25="SIM", 'Ações'!AV25="SIM"), 1,0)</f>
        <v>0</v>
      </c>
      <c r="K24" s="139">
        <f>IF(AND('Ações'!$AC25="SIM", 'Ações'!AW25="SIM"), 1,0)</f>
        <v>0</v>
      </c>
      <c r="L24" s="139">
        <f>IF(AND('Ações'!$AC25="SIM", 'Ações'!AX25="SIM"), 1,0)</f>
        <v>0</v>
      </c>
      <c r="M24" s="139">
        <f>IF(AND('Ações'!$AD25="SIM", 'Ações'!AS25="SIM"), 1,0)</f>
        <v>0</v>
      </c>
      <c r="N24" s="139">
        <f>IF(AND('Ações'!$AD25="SIM", 'Ações'!AT25="SIM"), 1,0)</f>
        <v>0</v>
      </c>
      <c r="O24" s="139">
        <f>IF(AND('Ações'!$AD25="SIM", 'Ações'!AU25="SIM"), 1,0)</f>
        <v>0</v>
      </c>
      <c r="P24" s="139">
        <f>IF(AND('Ações'!$AD25="SIM", 'Ações'!AV25="SIM"), 1,0)</f>
        <v>0</v>
      </c>
      <c r="Q24" s="139">
        <f>IF(AND('Ações'!$AD25="SIM", 'Ações'!AW25="SIM"), 1,0)</f>
        <v>0</v>
      </c>
      <c r="R24" s="139">
        <f>IF(AND('Ações'!$AD25="SIM", 'Ações'!AX25="SIM"), 1,0)</f>
        <v>0</v>
      </c>
    </row>
    <row r="25">
      <c r="A25" s="139">
        <f>IF(AND('Ações'!AB26="SIM", 'Ações'!AS26="SIM"), 1,0)</f>
        <v>1</v>
      </c>
      <c r="B25" s="139">
        <f>IF(AND('Ações'!$AB26="SIM", 'Ações'!AT26="SIM"), 1,0)</f>
        <v>1</v>
      </c>
      <c r="C25" s="139">
        <f>IF(AND('Ações'!$AB26="SIM", 'Ações'!AU26="SIM"), 1,0)</f>
        <v>0</v>
      </c>
      <c r="D25" s="139">
        <f>IF(AND('Ações'!$AB26="SIM", 'Ações'!AV26="SIM"), 1,0)</f>
        <v>0</v>
      </c>
      <c r="E25" s="139">
        <f>IF(AND('Ações'!$AB26="SIM", 'Ações'!AW26="SIM"), 1,0)</f>
        <v>0</v>
      </c>
      <c r="F25" s="139">
        <f>IF(AND('Ações'!$AB26="SIM", 'Ações'!AX26="SIM"), 1,0)</f>
        <v>0</v>
      </c>
      <c r="G25" s="139">
        <f>IF(AND('Ações'!$AC26="SIM", 'Ações'!AS26="SIM"), 1,0)</f>
        <v>1</v>
      </c>
      <c r="H25" s="139">
        <f>IF(AND('Ações'!$AC26="SIM", 'Ações'!AT26="SIM"), 1,0)</f>
        <v>1</v>
      </c>
      <c r="I25" s="139">
        <f>IF(AND('Ações'!$AC26="SIM", 'Ações'!AU26="SIM"), 1,0)</f>
        <v>0</v>
      </c>
      <c r="J25" s="139">
        <f>IF(AND('Ações'!$AC26="SIM", 'Ações'!AV26="SIM"), 1,0)</f>
        <v>0</v>
      </c>
      <c r="K25" s="139">
        <f>IF(AND('Ações'!$AC26="SIM", 'Ações'!AW26="SIM"), 1,0)</f>
        <v>0</v>
      </c>
      <c r="L25" s="139">
        <f>IF(AND('Ações'!$AC26="SIM", 'Ações'!AX26="SIM"), 1,0)</f>
        <v>0</v>
      </c>
      <c r="M25" s="139">
        <f>IF(AND('Ações'!$AD26="SIM", 'Ações'!AS26="SIM"), 1,0)</f>
        <v>1</v>
      </c>
      <c r="N25" s="139">
        <f>IF(AND('Ações'!$AD26="SIM", 'Ações'!AT26="SIM"), 1,0)</f>
        <v>1</v>
      </c>
      <c r="O25" s="139">
        <f>IF(AND('Ações'!$AD26="SIM", 'Ações'!AU26="SIM"), 1,0)</f>
        <v>0</v>
      </c>
      <c r="P25" s="139">
        <f>IF(AND('Ações'!$AD26="SIM", 'Ações'!AV26="SIM"), 1,0)</f>
        <v>0</v>
      </c>
      <c r="Q25" s="139">
        <f>IF(AND('Ações'!$AD26="SIM", 'Ações'!AW26="SIM"), 1,0)</f>
        <v>0</v>
      </c>
      <c r="R25" s="139">
        <f>IF(AND('Ações'!$AD26="SIM", 'Ações'!AX26="SIM"), 1,0)</f>
        <v>0</v>
      </c>
    </row>
    <row r="26">
      <c r="A26" s="139">
        <f>IF(AND('Ações'!AB27="SIM", 'Ações'!AS27="SIM"), 1,0)</f>
        <v>0</v>
      </c>
      <c r="B26" s="139">
        <f>IF(AND('Ações'!$AB27="SIM", 'Ações'!AT27="SIM"), 1,0)</f>
        <v>0</v>
      </c>
      <c r="C26" s="139">
        <f>IF(AND('Ações'!$AB27="SIM", 'Ações'!AU27="SIM"), 1,0)</f>
        <v>0</v>
      </c>
      <c r="D26" s="139">
        <f>IF(AND('Ações'!$AB27="SIM", 'Ações'!AV27="SIM"), 1,0)</f>
        <v>0</v>
      </c>
      <c r="E26" s="139">
        <f>IF(AND('Ações'!$AB27="SIM", 'Ações'!AW27="SIM"), 1,0)</f>
        <v>0</v>
      </c>
      <c r="F26" s="139">
        <f>IF(AND('Ações'!$AB27="SIM", 'Ações'!AX27="SIM"), 1,0)</f>
        <v>0</v>
      </c>
      <c r="G26" s="139">
        <f>IF(AND('Ações'!$AC27="SIM", 'Ações'!AS27="SIM"), 1,0)</f>
        <v>1</v>
      </c>
      <c r="H26" s="139">
        <f>IF(AND('Ações'!$AC27="SIM", 'Ações'!AT27="SIM"), 1,0)</f>
        <v>1</v>
      </c>
      <c r="I26" s="139">
        <f>IF(AND('Ações'!$AC27="SIM", 'Ações'!AU27="SIM"), 1,0)</f>
        <v>0</v>
      </c>
      <c r="J26" s="139">
        <f>IF(AND('Ações'!$AC27="SIM", 'Ações'!AV27="SIM"), 1,0)</f>
        <v>0</v>
      </c>
      <c r="K26" s="139">
        <f>IF(AND('Ações'!$AC27="SIM", 'Ações'!AW27="SIM"), 1,0)</f>
        <v>0</v>
      </c>
      <c r="L26" s="139">
        <f>IF(AND('Ações'!$AC27="SIM", 'Ações'!AX27="SIM"), 1,0)</f>
        <v>0</v>
      </c>
      <c r="M26" s="139">
        <f>IF(AND('Ações'!$AD27="SIM", 'Ações'!AS27="SIM"), 1,0)</f>
        <v>0</v>
      </c>
      <c r="N26" s="139">
        <f>IF(AND('Ações'!$AD27="SIM", 'Ações'!AT27="SIM"), 1,0)</f>
        <v>0</v>
      </c>
      <c r="O26" s="139">
        <f>IF(AND('Ações'!$AD27="SIM", 'Ações'!AU27="SIM"), 1,0)</f>
        <v>0</v>
      </c>
      <c r="P26" s="139">
        <f>IF(AND('Ações'!$AD27="SIM", 'Ações'!AV27="SIM"), 1,0)</f>
        <v>0</v>
      </c>
      <c r="Q26" s="139">
        <f>IF(AND('Ações'!$AD27="SIM", 'Ações'!AW27="SIM"), 1,0)</f>
        <v>0</v>
      </c>
      <c r="R26" s="139">
        <f>IF(AND('Ações'!$AD27="SIM", 'Ações'!AX27="SIM"), 1,0)</f>
        <v>0</v>
      </c>
    </row>
    <row r="27">
      <c r="A27" s="139">
        <f>IF(AND('Ações'!AB28="SIM", 'Ações'!AS28="SIM"), 1,0)</f>
        <v>0</v>
      </c>
      <c r="B27" s="139">
        <f>IF(AND('Ações'!$AB28="SIM", 'Ações'!AT28="SIM"), 1,0)</f>
        <v>0</v>
      </c>
      <c r="C27" s="139">
        <f>IF(AND('Ações'!$AB28="SIM", 'Ações'!AU28="SIM"), 1,0)</f>
        <v>0</v>
      </c>
      <c r="D27" s="139">
        <f>IF(AND('Ações'!$AB28="SIM", 'Ações'!AV28="SIM"), 1,0)</f>
        <v>0</v>
      </c>
      <c r="E27" s="139">
        <f>IF(AND('Ações'!$AB28="SIM", 'Ações'!AW28="SIM"), 1,0)</f>
        <v>0</v>
      </c>
      <c r="F27" s="139">
        <f>IF(AND('Ações'!$AB28="SIM", 'Ações'!AX28="SIM"), 1,0)</f>
        <v>0</v>
      </c>
      <c r="G27" s="139">
        <f>IF(AND('Ações'!$AC28="SIM", 'Ações'!AS28="SIM"), 1,0)</f>
        <v>1</v>
      </c>
      <c r="H27" s="139">
        <f>IF(AND('Ações'!$AC28="SIM", 'Ações'!AT28="SIM"), 1,0)</f>
        <v>1</v>
      </c>
      <c r="I27" s="139">
        <f>IF(AND('Ações'!$AC28="SIM", 'Ações'!AU28="SIM"), 1,0)</f>
        <v>0</v>
      </c>
      <c r="J27" s="139">
        <f>IF(AND('Ações'!$AC28="SIM", 'Ações'!AV28="SIM"), 1,0)</f>
        <v>0</v>
      </c>
      <c r="K27" s="139">
        <f>IF(AND('Ações'!$AC28="SIM", 'Ações'!AW28="SIM"), 1,0)</f>
        <v>0</v>
      </c>
      <c r="L27" s="139">
        <f>IF(AND('Ações'!$AC28="SIM", 'Ações'!AX28="SIM"), 1,0)</f>
        <v>0</v>
      </c>
      <c r="M27" s="139">
        <f>IF(AND('Ações'!$AD28="SIM", 'Ações'!AS28="SIM"), 1,0)</f>
        <v>0</v>
      </c>
      <c r="N27" s="139">
        <f>IF(AND('Ações'!$AD28="SIM", 'Ações'!AT28="SIM"), 1,0)</f>
        <v>0</v>
      </c>
      <c r="O27" s="139">
        <f>IF(AND('Ações'!$AD28="SIM", 'Ações'!AU28="SIM"), 1,0)</f>
        <v>0</v>
      </c>
      <c r="P27" s="139">
        <f>IF(AND('Ações'!$AD28="SIM", 'Ações'!AV28="SIM"), 1,0)</f>
        <v>0</v>
      </c>
      <c r="Q27" s="139">
        <f>IF(AND('Ações'!$AD28="SIM", 'Ações'!AW28="SIM"), 1,0)</f>
        <v>0</v>
      </c>
      <c r="R27" s="139">
        <f>IF(AND('Ações'!$AD28="SIM", 'Ações'!AX28="SIM"), 1,0)</f>
        <v>0</v>
      </c>
    </row>
    <row r="28">
      <c r="A28" s="139">
        <f>IF(AND('Ações'!AB29="SIM", 'Ações'!AS29="SIM"), 1,0)</f>
        <v>1</v>
      </c>
      <c r="B28" s="139">
        <f>IF(AND('Ações'!$AB29="SIM", 'Ações'!AT29="SIM"), 1,0)</f>
        <v>1</v>
      </c>
      <c r="C28" s="139">
        <f>IF(AND('Ações'!$AB29="SIM", 'Ações'!AU29="SIM"), 1,0)</f>
        <v>0</v>
      </c>
      <c r="D28" s="139">
        <f>IF(AND('Ações'!$AB29="SIM", 'Ações'!AV29="SIM"), 1,0)</f>
        <v>0</v>
      </c>
      <c r="E28" s="139">
        <f>IF(AND('Ações'!$AB29="SIM", 'Ações'!AW29="SIM"), 1,0)</f>
        <v>0</v>
      </c>
      <c r="F28" s="139">
        <f>IF(AND('Ações'!$AB29="SIM", 'Ações'!AX29="SIM"), 1,0)</f>
        <v>0</v>
      </c>
      <c r="G28" s="139">
        <f>IF(AND('Ações'!$AC29="SIM", 'Ações'!AS29="SIM"), 1,0)</f>
        <v>1</v>
      </c>
      <c r="H28" s="139">
        <f>IF(AND('Ações'!$AC29="SIM", 'Ações'!AT29="SIM"), 1,0)</f>
        <v>1</v>
      </c>
      <c r="I28" s="139">
        <f>IF(AND('Ações'!$AC29="SIM", 'Ações'!AU29="SIM"), 1,0)</f>
        <v>0</v>
      </c>
      <c r="J28" s="139">
        <f>IF(AND('Ações'!$AC29="SIM", 'Ações'!AV29="SIM"), 1,0)</f>
        <v>0</v>
      </c>
      <c r="K28" s="139">
        <f>IF(AND('Ações'!$AC29="SIM", 'Ações'!AW29="SIM"), 1,0)</f>
        <v>0</v>
      </c>
      <c r="L28" s="139">
        <f>IF(AND('Ações'!$AC29="SIM", 'Ações'!AX29="SIM"), 1,0)</f>
        <v>0</v>
      </c>
      <c r="M28" s="139">
        <f>IF(AND('Ações'!$AD29="SIM", 'Ações'!AS29="SIM"), 1,0)</f>
        <v>0</v>
      </c>
      <c r="N28" s="139">
        <f>IF(AND('Ações'!$AD29="SIM", 'Ações'!AT29="SIM"), 1,0)</f>
        <v>0</v>
      </c>
      <c r="O28" s="139">
        <f>IF(AND('Ações'!$AD29="SIM", 'Ações'!AU29="SIM"), 1,0)</f>
        <v>0</v>
      </c>
      <c r="P28" s="139">
        <f>IF(AND('Ações'!$AD29="SIM", 'Ações'!AV29="SIM"), 1,0)</f>
        <v>0</v>
      </c>
      <c r="Q28" s="139">
        <f>IF(AND('Ações'!$AD29="SIM", 'Ações'!AW29="SIM"), 1,0)</f>
        <v>0</v>
      </c>
      <c r="R28" s="139">
        <f>IF(AND('Ações'!$AD29="SIM", 'Ações'!AX29="SIM"), 1,0)</f>
        <v>0</v>
      </c>
    </row>
    <row r="29">
      <c r="A29" s="139">
        <f>IF(AND('Ações'!AB30="SIM", 'Ações'!AS30="SIM"), 1,0)</f>
        <v>1</v>
      </c>
      <c r="B29" s="139">
        <f>IF(AND('Ações'!$AB30="SIM", 'Ações'!AT30="SIM"), 1,0)</f>
        <v>1</v>
      </c>
      <c r="C29" s="139">
        <f>IF(AND('Ações'!$AB30="SIM", 'Ações'!AU30="SIM"), 1,0)</f>
        <v>1</v>
      </c>
      <c r="D29" s="139">
        <f>IF(AND('Ações'!$AB30="SIM", 'Ações'!AV30="SIM"), 1,0)</f>
        <v>1</v>
      </c>
      <c r="E29" s="139">
        <f>IF(AND('Ações'!$AB30="SIM", 'Ações'!AW30="SIM"), 1,0)</f>
        <v>0</v>
      </c>
      <c r="F29" s="139">
        <f>IF(AND('Ações'!$AB30="SIM", 'Ações'!AX30="SIM"), 1,0)</f>
        <v>0</v>
      </c>
      <c r="G29" s="139">
        <f>IF(AND('Ações'!$AC30="SIM", 'Ações'!AS30="SIM"), 1,0)</f>
        <v>0</v>
      </c>
      <c r="H29" s="139">
        <f>IF(AND('Ações'!$AC30="SIM", 'Ações'!AT30="SIM"), 1,0)</f>
        <v>0</v>
      </c>
      <c r="I29" s="139">
        <f>IF(AND('Ações'!$AC30="SIM", 'Ações'!AU30="SIM"), 1,0)</f>
        <v>0</v>
      </c>
      <c r="J29" s="139">
        <f>IF(AND('Ações'!$AC30="SIM", 'Ações'!AV30="SIM"), 1,0)</f>
        <v>0</v>
      </c>
      <c r="K29" s="139">
        <f>IF(AND('Ações'!$AC30="SIM", 'Ações'!AW30="SIM"), 1,0)</f>
        <v>0</v>
      </c>
      <c r="L29" s="139">
        <f>IF(AND('Ações'!$AC30="SIM", 'Ações'!AX30="SIM"), 1,0)</f>
        <v>0</v>
      </c>
      <c r="M29" s="139">
        <f>IF(AND('Ações'!$AD30="SIM", 'Ações'!AS30="SIM"), 1,0)</f>
        <v>0</v>
      </c>
      <c r="N29" s="139">
        <f>IF(AND('Ações'!$AD30="SIM", 'Ações'!AT30="SIM"), 1,0)</f>
        <v>0</v>
      </c>
      <c r="O29" s="139">
        <f>IF(AND('Ações'!$AD30="SIM", 'Ações'!AU30="SIM"), 1,0)</f>
        <v>0</v>
      </c>
      <c r="P29" s="139">
        <f>IF(AND('Ações'!$AD30="SIM", 'Ações'!AV30="SIM"), 1,0)</f>
        <v>0</v>
      </c>
      <c r="Q29" s="139">
        <f>IF(AND('Ações'!$AD30="SIM", 'Ações'!AW30="SIM"), 1,0)</f>
        <v>0</v>
      </c>
      <c r="R29" s="139">
        <f>IF(AND('Ações'!$AD30="SIM", 'Ações'!AX30="SIM"), 1,0)</f>
        <v>0</v>
      </c>
    </row>
    <row r="30">
      <c r="A30" s="139">
        <f>IF(AND('Ações'!AB31="SIM", 'Ações'!AS31="SIM"), 1,0)</f>
        <v>1</v>
      </c>
      <c r="B30" s="139">
        <f>IF(AND('Ações'!$AB31="SIM", 'Ações'!AT31="SIM"), 1,0)</f>
        <v>1</v>
      </c>
      <c r="C30" s="139">
        <f>IF(AND('Ações'!$AB31="SIM", 'Ações'!AU31="SIM"), 1,0)</f>
        <v>1</v>
      </c>
      <c r="D30" s="139">
        <f>IF(AND('Ações'!$AB31="SIM", 'Ações'!AV31="SIM"), 1,0)</f>
        <v>1</v>
      </c>
      <c r="E30" s="139">
        <f>IF(AND('Ações'!$AB31="SIM", 'Ações'!AW31="SIM"), 1,0)</f>
        <v>0</v>
      </c>
      <c r="F30" s="139">
        <f>IF(AND('Ações'!$AB31="SIM", 'Ações'!AX31="SIM"), 1,0)</f>
        <v>0</v>
      </c>
      <c r="G30" s="139">
        <f>IF(AND('Ações'!$AC31="SIM", 'Ações'!AS31="SIM"), 1,0)</f>
        <v>1</v>
      </c>
      <c r="H30" s="139">
        <f>IF(AND('Ações'!$AC31="SIM", 'Ações'!AT31="SIM"), 1,0)</f>
        <v>1</v>
      </c>
      <c r="I30" s="139">
        <f>IF(AND('Ações'!$AC31="SIM", 'Ações'!AU31="SIM"), 1,0)</f>
        <v>1</v>
      </c>
      <c r="J30" s="139">
        <f>IF(AND('Ações'!$AC31="SIM", 'Ações'!AV31="SIM"), 1,0)</f>
        <v>1</v>
      </c>
      <c r="K30" s="139">
        <f>IF(AND('Ações'!$AC31="SIM", 'Ações'!AW31="SIM"), 1,0)</f>
        <v>0</v>
      </c>
      <c r="L30" s="139">
        <f>IF(AND('Ações'!$AC31="SIM", 'Ações'!AX31="SIM"), 1,0)</f>
        <v>0</v>
      </c>
      <c r="M30" s="139">
        <f>IF(AND('Ações'!$AD31="SIM", 'Ações'!AS31="SIM"), 1,0)</f>
        <v>1</v>
      </c>
      <c r="N30" s="139">
        <f>IF(AND('Ações'!$AD31="SIM", 'Ações'!AT31="SIM"), 1,0)</f>
        <v>1</v>
      </c>
      <c r="O30" s="139">
        <f>IF(AND('Ações'!$AD31="SIM", 'Ações'!AU31="SIM"), 1,0)</f>
        <v>1</v>
      </c>
      <c r="P30" s="139">
        <f>IF(AND('Ações'!$AD31="SIM", 'Ações'!AV31="SIM"), 1,0)</f>
        <v>1</v>
      </c>
      <c r="Q30" s="139">
        <f>IF(AND('Ações'!$AD31="SIM", 'Ações'!AW31="SIM"), 1,0)</f>
        <v>0</v>
      </c>
      <c r="R30" s="139">
        <f>IF(AND('Ações'!$AD31="SIM", 'Ações'!AX31="SIM"), 1,0)</f>
        <v>0</v>
      </c>
    </row>
    <row r="31">
      <c r="A31" s="139">
        <f>IF(AND('Ações'!AB32="SIM", 'Ações'!AS32="SIM"), 1,0)</f>
        <v>1</v>
      </c>
      <c r="B31" s="139">
        <f>IF(AND('Ações'!$AB32="SIM", 'Ações'!AT32="SIM"), 1,0)</f>
        <v>1</v>
      </c>
      <c r="C31" s="139">
        <f>IF(AND('Ações'!$AB32="SIM", 'Ações'!AU32="SIM"), 1,0)</f>
        <v>1</v>
      </c>
      <c r="D31" s="139">
        <f>IF(AND('Ações'!$AB32="SIM", 'Ações'!AV32="SIM"), 1,0)</f>
        <v>1</v>
      </c>
      <c r="E31" s="139">
        <f>IF(AND('Ações'!$AB32="SIM", 'Ações'!AW32="SIM"), 1,0)</f>
        <v>0</v>
      </c>
      <c r="F31" s="139">
        <f>IF(AND('Ações'!$AB32="SIM", 'Ações'!AX32="SIM"), 1,0)</f>
        <v>0</v>
      </c>
      <c r="G31" s="139">
        <f>IF(AND('Ações'!$AC32="SIM", 'Ações'!AS32="SIM"), 1,0)</f>
        <v>1</v>
      </c>
      <c r="H31" s="139">
        <f>IF(AND('Ações'!$AC32="SIM", 'Ações'!AT32="SIM"), 1,0)</f>
        <v>1</v>
      </c>
      <c r="I31" s="139">
        <f>IF(AND('Ações'!$AC32="SIM", 'Ações'!AU32="SIM"), 1,0)</f>
        <v>1</v>
      </c>
      <c r="J31" s="139">
        <f>IF(AND('Ações'!$AC32="SIM", 'Ações'!AV32="SIM"), 1,0)</f>
        <v>1</v>
      </c>
      <c r="K31" s="139">
        <f>IF(AND('Ações'!$AC32="SIM", 'Ações'!AW32="SIM"), 1,0)</f>
        <v>0</v>
      </c>
      <c r="L31" s="139">
        <f>IF(AND('Ações'!$AC32="SIM", 'Ações'!AX32="SIM"), 1,0)</f>
        <v>0</v>
      </c>
      <c r="M31" s="139">
        <f>IF(AND('Ações'!$AD32="SIM", 'Ações'!AS32="SIM"), 1,0)</f>
        <v>0</v>
      </c>
      <c r="N31" s="139">
        <f>IF(AND('Ações'!$AD32="SIM", 'Ações'!AT32="SIM"), 1,0)</f>
        <v>0</v>
      </c>
      <c r="O31" s="139">
        <f>IF(AND('Ações'!$AD32="SIM", 'Ações'!AU32="SIM"), 1,0)</f>
        <v>0</v>
      </c>
      <c r="P31" s="139">
        <f>IF(AND('Ações'!$AD32="SIM", 'Ações'!AV32="SIM"), 1,0)</f>
        <v>0</v>
      </c>
      <c r="Q31" s="139">
        <f>IF(AND('Ações'!$AD32="SIM", 'Ações'!AW32="SIM"), 1,0)</f>
        <v>0</v>
      </c>
      <c r="R31" s="139">
        <f>IF(AND('Ações'!$AD32="SIM", 'Ações'!AX32="SIM"), 1,0)</f>
        <v>0</v>
      </c>
    </row>
    <row r="32">
      <c r="A32" s="139">
        <f>IF(AND('Ações'!AB33="SIM", 'Ações'!AS33="SIM"), 1,0)</f>
        <v>1</v>
      </c>
      <c r="B32" s="139">
        <f>IF(AND('Ações'!$AB33="SIM", 'Ações'!AT33="SIM"), 1,0)</f>
        <v>1</v>
      </c>
      <c r="C32" s="139">
        <f>IF(AND('Ações'!$AB33="SIM", 'Ações'!AU33="SIM"), 1,0)</f>
        <v>1</v>
      </c>
      <c r="D32" s="139">
        <f>IF(AND('Ações'!$AB33="SIM", 'Ações'!AV33="SIM"), 1,0)</f>
        <v>1</v>
      </c>
      <c r="E32" s="139">
        <f>IF(AND('Ações'!$AB33="SIM", 'Ações'!AW33="SIM"), 1,0)</f>
        <v>0</v>
      </c>
      <c r="F32" s="139">
        <f>IF(AND('Ações'!$AB33="SIM", 'Ações'!AX33="SIM"), 1,0)</f>
        <v>0</v>
      </c>
      <c r="G32" s="139">
        <f>IF(AND('Ações'!$AC33="SIM", 'Ações'!AS33="SIM"), 1,0)</f>
        <v>0</v>
      </c>
      <c r="H32" s="139">
        <f>IF(AND('Ações'!$AC33="SIM", 'Ações'!AT33="SIM"), 1,0)</f>
        <v>0</v>
      </c>
      <c r="I32" s="139">
        <f>IF(AND('Ações'!$AC33="SIM", 'Ações'!AU33="SIM"), 1,0)</f>
        <v>0</v>
      </c>
      <c r="J32" s="139">
        <f>IF(AND('Ações'!$AC33="SIM", 'Ações'!AV33="SIM"), 1,0)</f>
        <v>0</v>
      </c>
      <c r="K32" s="139">
        <f>IF(AND('Ações'!$AC33="SIM", 'Ações'!AW33="SIM"), 1,0)</f>
        <v>0</v>
      </c>
      <c r="L32" s="139">
        <f>IF(AND('Ações'!$AC33="SIM", 'Ações'!AX33="SIM"), 1,0)</f>
        <v>0</v>
      </c>
      <c r="M32" s="139">
        <f>IF(AND('Ações'!$AD33="SIM", 'Ações'!AS33="SIM"), 1,0)</f>
        <v>0</v>
      </c>
      <c r="N32" s="139">
        <f>IF(AND('Ações'!$AD33="SIM", 'Ações'!AT33="SIM"), 1,0)</f>
        <v>0</v>
      </c>
      <c r="O32" s="139">
        <f>IF(AND('Ações'!$AD33="SIM", 'Ações'!AU33="SIM"), 1,0)</f>
        <v>0</v>
      </c>
      <c r="P32" s="139">
        <f>IF(AND('Ações'!$AD33="SIM", 'Ações'!AV33="SIM"), 1,0)</f>
        <v>0</v>
      </c>
      <c r="Q32" s="139">
        <f>IF(AND('Ações'!$AD33="SIM", 'Ações'!AW33="SIM"), 1,0)</f>
        <v>0</v>
      </c>
      <c r="R32" s="139">
        <f>IF(AND('Ações'!$AD33="SIM", 'Ações'!AX33="SIM"), 1,0)</f>
        <v>0</v>
      </c>
    </row>
    <row r="33">
      <c r="A33" s="139">
        <f>IF(AND('Ações'!AB34="SIM", 'Ações'!AS34="SIM"), 1,0)</f>
        <v>0</v>
      </c>
      <c r="B33" s="139">
        <f>IF(AND('Ações'!$AB34="SIM", 'Ações'!AT34="SIM"), 1,0)</f>
        <v>0</v>
      </c>
      <c r="C33" s="139">
        <f>IF(AND('Ações'!$AB34="SIM", 'Ações'!AU34="SIM"), 1,0)</f>
        <v>0</v>
      </c>
      <c r="D33" s="139">
        <f>IF(AND('Ações'!$AB34="SIM", 'Ações'!AV34="SIM"), 1,0)</f>
        <v>0</v>
      </c>
      <c r="E33" s="139">
        <f>IF(AND('Ações'!$AB34="SIM", 'Ações'!AW34="SIM"), 1,0)</f>
        <v>0</v>
      </c>
      <c r="F33" s="139">
        <f>IF(AND('Ações'!$AB34="SIM", 'Ações'!AX34="SIM"), 1,0)</f>
        <v>0</v>
      </c>
      <c r="G33" s="139">
        <f>IF(AND('Ações'!$AC34="SIM", 'Ações'!AS34="SIM"), 1,0)</f>
        <v>1</v>
      </c>
      <c r="H33" s="139">
        <f>IF(AND('Ações'!$AC34="SIM", 'Ações'!AT34="SIM"), 1,0)</f>
        <v>1</v>
      </c>
      <c r="I33" s="139">
        <f>IF(AND('Ações'!$AC34="SIM", 'Ações'!AU34="SIM"), 1,0)</f>
        <v>1</v>
      </c>
      <c r="J33" s="139">
        <f>IF(AND('Ações'!$AC34="SIM", 'Ações'!AV34="SIM"), 1,0)</f>
        <v>1</v>
      </c>
      <c r="K33" s="139">
        <f>IF(AND('Ações'!$AC34="SIM", 'Ações'!AW34="SIM"), 1,0)</f>
        <v>0</v>
      </c>
      <c r="L33" s="139">
        <f>IF(AND('Ações'!$AC34="SIM", 'Ações'!AX34="SIM"), 1,0)</f>
        <v>0</v>
      </c>
      <c r="M33" s="139">
        <f>IF(AND('Ações'!$AD34="SIM", 'Ações'!AS34="SIM"), 1,0)</f>
        <v>0</v>
      </c>
      <c r="N33" s="139">
        <f>IF(AND('Ações'!$AD34="SIM", 'Ações'!AT34="SIM"), 1,0)</f>
        <v>0</v>
      </c>
      <c r="O33" s="139">
        <f>IF(AND('Ações'!$AD34="SIM", 'Ações'!AU34="SIM"), 1,0)</f>
        <v>0</v>
      </c>
      <c r="P33" s="139">
        <f>IF(AND('Ações'!$AD34="SIM", 'Ações'!AV34="SIM"), 1,0)</f>
        <v>0</v>
      </c>
      <c r="Q33" s="139">
        <f>IF(AND('Ações'!$AD34="SIM", 'Ações'!AW34="SIM"), 1,0)</f>
        <v>0</v>
      </c>
      <c r="R33" s="139">
        <f>IF(AND('Ações'!$AD34="SIM", 'Ações'!AX34="SIM"), 1,0)</f>
        <v>0</v>
      </c>
    </row>
    <row r="34">
      <c r="A34" s="139">
        <f>IF(AND('Ações'!AB35="SIM", 'Ações'!AS35="SIM"), 1,0)</f>
        <v>1</v>
      </c>
      <c r="B34" s="139">
        <f>IF(AND('Ações'!$AB35="SIM", 'Ações'!AT35="SIM"), 1,0)</f>
        <v>1</v>
      </c>
      <c r="C34" s="139">
        <f>IF(AND('Ações'!$AB35="SIM", 'Ações'!AU35="SIM"), 1,0)</f>
        <v>1</v>
      </c>
      <c r="D34" s="139">
        <f>IF(AND('Ações'!$AB35="SIM", 'Ações'!AV35="SIM"), 1,0)</f>
        <v>1</v>
      </c>
      <c r="E34" s="139">
        <f>IF(AND('Ações'!$AB35="SIM", 'Ações'!AW35="SIM"), 1,0)</f>
        <v>0</v>
      </c>
      <c r="F34" s="139">
        <f>IF(AND('Ações'!$AB35="SIM", 'Ações'!AX35="SIM"), 1,0)</f>
        <v>0</v>
      </c>
      <c r="G34" s="139">
        <f>IF(AND('Ações'!$AC35="SIM", 'Ações'!AS35="SIM"), 1,0)</f>
        <v>1</v>
      </c>
      <c r="H34" s="139">
        <f>IF(AND('Ações'!$AC35="SIM", 'Ações'!AT35="SIM"), 1,0)</f>
        <v>1</v>
      </c>
      <c r="I34" s="139">
        <f>IF(AND('Ações'!$AC35="SIM", 'Ações'!AU35="SIM"), 1,0)</f>
        <v>1</v>
      </c>
      <c r="J34" s="139">
        <f>IF(AND('Ações'!$AC35="SIM", 'Ações'!AV35="SIM"), 1,0)</f>
        <v>1</v>
      </c>
      <c r="K34" s="139">
        <f>IF(AND('Ações'!$AC35="SIM", 'Ações'!AW35="SIM"), 1,0)</f>
        <v>0</v>
      </c>
      <c r="L34" s="139">
        <f>IF(AND('Ações'!$AC35="SIM", 'Ações'!AX35="SIM"), 1,0)</f>
        <v>0</v>
      </c>
      <c r="M34" s="139">
        <f>IF(AND('Ações'!$AD35="SIM", 'Ações'!AS35="SIM"), 1,0)</f>
        <v>0</v>
      </c>
      <c r="N34" s="139">
        <f>IF(AND('Ações'!$AD35="SIM", 'Ações'!AT35="SIM"), 1,0)</f>
        <v>0</v>
      </c>
      <c r="O34" s="139">
        <f>IF(AND('Ações'!$AD35="SIM", 'Ações'!AU35="SIM"), 1,0)</f>
        <v>0</v>
      </c>
      <c r="P34" s="139">
        <f>IF(AND('Ações'!$AD35="SIM", 'Ações'!AV35="SIM"), 1,0)</f>
        <v>0</v>
      </c>
      <c r="Q34" s="139">
        <f>IF(AND('Ações'!$AD35="SIM", 'Ações'!AW35="SIM"), 1,0)</f>
        <v>0</v>
      </c>
      <c r="R34" s="139">
        <f>IF(AND('Ações'!$AD35="SIM", 'Ações'!AX35="SIM"), 1,0)</f>
        <v>0</v>
      </c>
    </row>
    <row r="35">
      <c r="A35" s="139">
        <f>IF(AND('Ações'!AB36="SIM", 'Ações'!AS36="SIM"), 1,0)</f>
        <v>0</v>
      </c>
      <c r="B35" s="139">
        <f>IF(AND('Ações'!$AB36="SIM", 'Ações'!AT36="SIM"), 1,0)</f>
        <v>0</v>
      </c>
      <c r="C35" s="139">
        <f>IF(AND('Ações'!$AB36="SIM", 'Ações'!AU36="SIM"), 1,0)</f>
        <v>0</v>
      </c>
      <c r="D35" s="139">
        <f>IF(AND('Ações'!$AB36="SIM", 'Ações'!AV36="SIM"), 1,0)</f>
        <v>0</v>
      </c>
      <c r="E35" s="139">
        <f>IF(AND('Ações'!$AB36="SIM", 'Ações'!AW36="SIM"), 1,0)</f>
        <v>0</v>
      </c>
      <c r="F35" s="139">
        <f>IF(AND('Ações'!$AB36="SIM", 'Ações'!AX36="SIM"), 1,0)</f>
        <v>0</v>
      </c>
      <c r="G35" s="139">
        <f>IF(AND('Ações'!$AC36="SIM", 'Ações'!AS36="SIM"), 1,0)</f>
        <v>1</v>
      </c>
      <c r="H35" s="139">
        <f>IF(AND('Ações'!$AC36="SIM", 'Ações'!AT36="SIM"), 1,0)</f>
        <v>1</v>
      </c>
      <c r="I35" s="139">
        <f>IF(AND('Ações'!$AC36="SIM", 'Ações'!AU36="SIM"), 1,0)</f>
        <v>1</v>
      </c>
      <c r="J35" s="139">
        <f>IF(AND('Ações'!$AC36="SIM", 'Ações'!AV36="SIM"), 1,0)</f>
        <v>1</v>
      </c>
      <c r="K35" s="139">
        <f>IF(AND('Ações'!$AC36="SIM", 'Ações'!AW36="SIM"), 1,0)</f>
        <v>0</v>
      </c>
      <c r="L35" s="139">
        <f>IF(AND('Ações'!$AC36="SIM", 'Ações'!AX36="SIM"), 1,0)</f>
        <v>0</v>
      </c>
      <c r="M35" s="139">
        <f>IF(AND('Ações'!$AD36="SIM", 'Ações'!AS36="SIM"), 1,0)</f>
        <v>0</v>
      </c>
      <c r="N35" s="139">
        <f>IF(AND('Ações'!$AD36="SIM", 'Ações'!AT36="SIM"), 1,0)</f>
        <v>0</v>
      </c>
      <c r="O35" s="139">
        <f>IF(AND('Ações'!$AD36="SIM", 'Ações'!AU36="SIM"), 1,0)</f>
        <v>0</v>
      </c>
      <c r="P35" s="139">
        <f>IF(AND('Ações'!$AD36="SIM", 'Ações'!AV36="SIM"), 1,0)</f>
        <v>0</v>
      </c>
      <c r="Q35" s="139">
        <f>IF(AND('Ações'!$AD36="SIM", 'Ações'!AW36="SIM"), 1,0)</f>
        <v>0</v>
      </c>
      <c r="R35" s="139">
        <f>IF(AND('Ações'!$AD36="SIM", 'Ações'!AX36="SIM"), 1,0)</f>
        <v>0</v>
      </c>
    </row>
    <row r="36">
      <c r="A36" s="139">
        <f>IF(AND('Ações'!AB37="SIM", 'Ações'!AS37="SIM"), 1,0)</f>
        <v>0</v>
      </c>
      <c r="B36" s="139">
        <f>IF(AND('Ações'!$AB37="SIM", 'Ações'!AT37="SIM"), 1,0)</f>
        <v>0</v>
      </c>
      <c r="C36" s="139">
        <f>IF(AND('Ações'!$AB37="SIM", 'Ações'!AU37="SIM"), 1,0)</f>
        <v>0</v>
      </c>
      <c r="D36" s="139">
        <f>IF(AND('Ações'!$AB37="SIM", 'Ações'!AV37="SIM"), 1,0)</f>
        <v>0</v>
      </c>
      <c r="E36" s="139">
        <f>IF(AND('Ações'!$AB37="SIM", 'Ações'!AW37="SIM"), 1,0)</f>
        <v>0</v>
      </c>
      <c r="F36" s="139">
        <f>IF(AND('Ações'!$AB37="SIM", 'Ações'!AX37="SIM"), 1,0)</f>
        <v>0</v>
      </c>
      <c r="G36" s="139">
        <f>IF(AND('Ações'!$AC37="SIM", 'Ações'!AS37="SIM"), 1,0)</f>
        <v>1</v>
      </c>
      <c r="H36" s="139">
        <f>IF(AND('Ações'!$AC37="SIM", 'Ações'!AT37="SIM"), 1,0)</f>
        <v>1</v>
      </c>
      <c r="I36" s="139">
        <f>IF(AND('Ações'!$AC37="SIM", 'Ações'!AU37="SIM"), 1,0)</f>
        <v>1</v>
      </c>
      <c r="J36" s="139">
        <f>IF(AND('Ações'!$AC37="SIM", 'Ações'!AV37="SIM"), 1,0)</f>
        <v>1</v>
      </c>
      <c r="K36" s="139">
        <f>IF(AND('Ações'!$AC37="SIM", 'Ações'!AW37="SIM"), 1,0)</f>
        <v>0</v>
      </c>
      <c r="L36" s="139">
        <f>IF(AND('Ações'!$AC37="SIM", 'Ações'!AX37="SIM"), 1,0)</f>
        <v>0</v>
      </c>
      <c r="M36" s="139">
        <f>IF(AND('Ações'!$AD37="SIM", 'Ações'!AS37="SIM"), 1,0)</f>
        <v>0</v>
      </c>
      <c r="N36" s="139">
        <f>IF(AND('Ações'!$AD37="SIM", 'Ações'!AT37="SIM"), 1,0)</f>
        <v>0</v>
      </c>
      <c r="O36" s="139">
        <f>IF(AND('Ações'!$AD37="SIM", 'Ações'!AU37="SIM"), 1,0)</f>
        <v>0</v>
      </c>
      <c r="P36" s="139">
        <f>IF(AND('Ações'!$AD37="SIM", 'Ações'!AV37="SIM"), 1,0)</f>
        <v>0</v>
      </c>
      <c r="Q36" s="139">
        <f>IF(AND('Ações'!$AD37="SIM", 'Ações'!AW37="SIM"), 1,0)</f>
        <v>0</v>
      </c>
      <c r="R36" s="139">
        <f>IF(AND('Ações'!$AD37="SIM", 'Ações'!AX37="SIM"), 1,0)</f>
        <v>0</v>
      </c>
    </row>
    <row r="37">
      <c r="A37" s="139">
        <f>IF(AND('Ações'!AB38="SIM", 'Ações'!AS38="SIM"), 1,0)</f>
        <v>0</v>
      </c>
      <c r="B37" s="139">
        <f>IF(AND('Ações'!$AB38="SIM", 'Ações'!AT38="SIM"), 1,0)</f>
        <v>0</v>
      </c>
      <c r="C37" s="139">
        <f>IF(AND('Ações'!$AB38="SIM", 'Ações'!AU38="SIM"), 1,0)</f>
        <v>0</v>
      </c>
      <c r="D37" s="139">
        <f>IF(AND('Ações'!$AB38="SIM", 'Ações'!AV38="SIM"), 1,0)</f>
        <v>0</v>
      </c>
      <c r="E37" s="139">
        <f>IF(AND('Ações'!$AB38="SIM", 'Ações'!AW38="SIM"), 1,0)</f>
        <v>0</v>
      </c>
      <c r="F37" s="139">
        <f>IF(AND('Ações'!$AB38="SIM", 'Ações'!AX38="SIM"), 1,0)</f>
        <v>0</v>
      </c>
      <c r="G37" s="139">
        <f>IF(AND('Ações'!$AC38="SIM", 'Ações'!AS38="SIM"), 1,0)</f>
        <v>1</v>
      </c>
      <c r="H37" s="139">
        <f>IF(AND('Ações'!$AC38="SIM", 'Ações'!AT38="SIM"), 1,0)</f>
        <v>1</v>
      </c>
      <c r="I37" s="139">
        <f>IF(AND('Ações'!$AC38="SIM", 'Ações'!AU38="SIM"), 1,0)</f>
        <v>1</v>
      </c>
      <c r="J37" s="139">
        <f>IF(AND('Ações'!$AC38="SIM", 'Ações'!AV38="SIM"), 1,0)</f>
        <v>1</v>
      </c>
      <c r="K37" s="139">
        <f>IF(AND('Ações'!$AC38="SIM", 'Ações'!AW38="SIM"), 1,0)</f>
        <v>0</v>
      </c>
      <c r="L37" s="139">
        <f>IF(AND('Ações'!$AC38="SIM", 'Ações'!AX38="SIM"), 1,0)</f>
        <v>0</v>
      </c>
      <c r="M37" s="139">
        <f>IF(AND('Ações'!$AD38="SIM", 'Ações'!AS38="SIM"), 1,0)</f>
        <v>0</v>
      </c>
      <c r="N37" s="139">
        <f>IF(AND('Ações'!$AD38="SIM", 'Ações'!AT38="SIM"), 1,0)</f>
        <v>0</v>
      </c>
      <c r="O37" s="139">
        <f>IF(AND('Ações'!$AD38="SIM", 'Ações'!AU38="SIM"), 1,0)</f>
        <v>0</v>
      </c>
      <c r="P37" s="139">
        <f>IF(AND('Ações'!$AD38="SIM", 'Ações'!AV38="SIM"), 1,0)</f>
        <v>0</v>
      </c>
      <c r="Q37" s="139">
        <f>IF(AND('Ações'!$AD38="SIM", 'Ações'!AW38="SIM"), 1,0)</f>
        <v>0</v>
      </c>
      <c r="R37" s="139">
        <f>IF(AND('Ações'!$AD38="SIM", 'Ações'!AX38="SIM"), 1,0)</f>
        <v>0</v>
      </c>
    </row>
    <row r="38">
      <c r="A38" s="139">
        <f>IF(AND('Ações'!AB39="SIM", 'Ações'!AS39="SIM"), 1,0)</f>
        <v>1</v>
      </c>
      <c r="B38" s="139">
        <f>IF(AND('Ações'!$AB39="SIM", 'Ações'!AT39="SIM"), 1,0)</f>
        <v>1</v>
      </c>
      <c r="C38" s="139">
        <f>IF(AND('Ações'!$AB39="SIM", 'Ações'!AU39="SIM"), 1,0)</f>
        <v>1</v>
      </c>
      <c r="D38" s="139">
        <f>IF(AND('Ações'!$AB39="SIM", 'Ações'!AV39="SIM"), 1,0)</f>
        <v>1</v>
      </c>
      <c r="E38" s="139">
        <f>IF(AND('Ações'!$AB39="SIM", 'Ações'!AW39="SIM"), 1,0)</f>
        <v>0</v>
      </c>
      <c r="F38" s="139">
        <f>IF(AND('Ações'!$AB39="SIM", 'Ações'!AX39="SIM"), 1,0)</f>
        <v>0</v>
      </c>
      <c r="G38" s="139">
        <f>IF(AND('Ações'!$AC39="SIM", 'Ações'!AS39="SIM"), 1,0)</f>
        <v>0</v>
      </c>
      <c r="H38" s="139">
        <f>IF(AND('Ações'!$AC39="SIM", 'Ações'!AT39="SIM"), 1,0)</f>
        <v>0</v>
      </c>
      <c r="I38" s="139">
        <f>IF(AND('Ações'!$AC39="SIM", 'Ações'!AU39="SIM"), 1,0)</f>
        <v>0</v>
      </c>
      <c r="J38" s="139">
        <f>IF(AND('Ações'!$AC39="SIM", 'Ações'!AV39="SIM"), 1,0)</f>
        <v>0</v>
      </c>
      <c r="K38" s="139">
        <f>IF(AND('Ações'!$AC39="SIM", 'Ações'!AW39="SIM"), 1,0)</f>
        <v>0</v>
      </c>
      <c r="L38" s="139">
        <f>IF(AND('Ações'!$AC39="SIM", 'Ações'!AX39="SIM"), 1,0)</f>
        <v>0</v>
      </c>
      <c r="M38" s="139">
        <f>IF(AND('Ações'!$AD39="SIM", 'Ações'!AS39="SIM"), 1,0)</f>
        <v>0</v>
      </c>
      <c r="N38" s="139">
        <f>IF(AND('Ações'!$AD39="SIM", 'Ações'!AT39="SIM"), 1,0)</f>
        <v>0</v>
      </c>
      <c r="O38" s="139">
        <f>IF(AND('Ações'!$AD39="SIM", 'Ações'!AU39="SIM"), 1,0)</f>
        <v>0</v>
      </c>
      <c r="P38" s="139">
        <f>IF(AND('Ações'!$AD39="SIM", 'Ações'!AV39="SIM"), 1,0)</f>
        <v>0</v>
      </c>
      <c r="Q38" s="139">
        <f>IF(AND('Ações'!$AD39="SIM", 'Ações'!AW39="SIM"), 1,0)</f>
        <v>0</v>
      </c>
      <c r="R38" s="139">
        <f>IF(AND('Ações'!$AD39="SIM", 'Ações'!AX39="SIM"), 1,0)</f>
        <v>0</v>
      </c>
    </row>
    <row r="39">
      <c r="A39" s="139">
        <f>IF(AND('Ações'!AB40="SIM", 'Ações'!AS40="SIM"), 1,0)</f>
        <v>1</v>
      </c>
      <c r="B39" s="139">
        <f>IF(AND('Ações'!$AB40="SIM", 'Ações'!AT40="SIM"), 1,0)</f>
        <v>1</v>
      </c>
      <c r="C39" s="139">
        <f>IF(AND('Ações'!$AB40="SIM", 'Ações'!AU40="SIM"), 1,0)</f>
        <v>1</v>
      </c>
      <c r="D39" s="139">
        <f>IF(AND('Ações'!$AB40="SIM", 'Ações'!AV40="SIM"), 1,0)</f>
        <v>1</v>
      </c>
      <c r="E39" s="139">
        <f>IF(AND('Ações'!$AB40="SIM", 'Ações'!AW40="SIM"), 1,0)</f>
        <v>0</v>
      </c>
      <c r="F39" s="139">
        <f>IF(AND('Ações'!$AB40="SIM", 'Ações'!AX40="SIM"), 1,0)</f>
        <v>0</v>
      </c>
      <c r="G39" s="139">
        <f>IF(AND('Ações'!$AC40="SIM", 'Ações'!AS40="SIM"), 1,0)</f>
        <v>1</v>
      </c>
      <c r="H39" s="139">
        <f>IF(AND('Ações'!$AC40="SIM", 'Ações'!AT40="SIM"), 1,0)</f>
        <v>1</v>
      </c>
      <c r="I39" s="139">
        <f>IF(AND('Ações'!$AC40="SIM", 'Ações'!AU40="SIM"), 1,0)</f>
        <v>1</v>
      </c>
      <c r="J39" s="139">
        <f>IF(AND('Ações'!$AC40="SIM", 'Ações'!AV40="SIM"), 1,0)</f>
        <v>1</v>
      </c>
      <c r="K39" s="139">
        <f>IF(AND('Ações'!$AC40="SIM", 'Ações'!AW40="SIM"), 1,0)</f>
        <v>0</v>
      </c>
      <c r="L39" s="139">
        <f>IF(AND('Ações'!$AC40="SIM", 'Ações'!AX40="SIM"), 1,0)</f>
        <v>0</v>
      </c>
      <c r="M39" s="139">
        <f>IF(AND('Ações'!$AD40="SIM", 'Ações'!AS40="SIM"), 1,0)</f>
        <v>0</v>
      </c>
      <c r="N39" s="139">
        <f>IF(AND('Ações'!$AD40="SIM", 'Ações'!AT40="SIM"), 1,0)</f>
        <v>0</v>
      </c>
      <c r="O39" s="139">
        <f>IF(AND('Ações'!$AD40="SIM", 'Ações'!AU40="SIM"), 1,0)</f>
        <v>0</v>
      </c>
      <c r="P39" s="139">
        <f>IF(AND('Ações'!$AD40="SIM", 'Ações'!AV40="SIM"), 1,0)</f>
        <v>0</v>
      </c>
      <c r="Q39" s="139">
        <f>IF(AND('Ações'!$AD40="SIM", 'Ações'!AW40="SIM"), 1,0)</f>
        <v>0</v>
      </c>
      <c r="R39" s="139">
        <f>IF(AND('Ações'!$AD40="SIM", 'Ações'!AX40="SIM"), 1,0)</f>
        <v>0</v>
      </c>
    </row>
    <row r="40">
      <c r="A40" s="139">
        <f>IF(AND('Ações'!AB41="SIM", 'Ações'!AS41="SIM"), 1,0)</f>
        <v>0</v>
      </c>
      <c r="B40" s="139">
        <f>IF(AND('Ações'!$AB41="SIM", 'Ações'!AT41="SIM"), 1,0)</f>
        <v>0</v>
      </c>
      <c r="C40" s="139">
        <f>IF(AND('Ações'!$AB41="SIM", 'Ações'!AU41="SIM"), 1,0)</f>
        <v>0</v>
      </c>
      <c r="D40" s="139">
        <f>IF(AND('Ações'!$AB41="SIM", 'Ações'!AV41="SIM"), 1,0)</f>
        <v>0</v>
      </c>
      <c r="E40" s="139">
        <f>IF(AND('Ações'!$AB41="SIM", 'Ações'!AW41="SIM"), 1,0)</f>
        <v>0</v>
      </c>
      <c r="F40" s="139">
        <f>IF(AND('Ações'!$AB41="SIM", 'Ações'!AX41="SIM"), 1,0)</f>
        <v>0</v>
      </c>
      <c r="G40" s="139">
        <f>IF(AND('Ações'!$AC41="SIM", 'Ações'!AS41="SIM"), 1,0)</f>
        <v>1</v>
      </c>
      <c r="H40" s="139">
        <f>IF(AND('Ações'!$AC41="SIM", 'Ações'!AT41="SIM"), 1,0)</f>
        <v>1</v>
      </c>
      <c r="I40" s="139">
        <f>IF(AND('Ações'!$AC41="SIM", 'Ações'!AU41="SIM"), 1,0)</f>
        <v>1</v>
      </c>
      <c r="J40" s="139">
        <f>IF(AND('Ações'!$AC41="SIM", 'Ações'!AV41="SIM"), 1,0)</f>
        <v>1</v>
      </c>
      <c r="K40" s="139">
        <f>IF(AND('Ações'!$AC41="SIM", 'Ações'!AW41="SIM"), 1,0)</f>
        <v>0</v>
      </c>
      <c r="L40" s="139">
        <f>IF(AND('Ações'!$AC41="SIM", 'Ações'!AX41="SIM"), 1,0)</f>
        <v>0</v>
      </c>
      <c r="M40" s="139">
        <f>IF(AND('Ações'!$AD41="SIM", 'Ações'!AS41="SIM"), 1,0)</f>
        <v>0</v>
      </c>
      <c r="N40" s="139">
        <f>IF(AND('Ações'!$AD41="SIM", 'Ações'!AT41="SIM"), 1,0)</f>
        <v>0</v>
      </c>
      <c r="O40" s="139">
        <f>IF(AND('Ações'!$AD41="SIM", 'Ações'!AU41="SIM"), 1,0)</f>
        <v>0</v>
      </c>
      <c r="P40" s="139">
        <f>IF(AND('Ações'!$AD41="SIM", 'Ações'!AV41="SIM"), 1,0)</f>
        <v>0</v>
      </c>
      <c r="Q40" s="139">
        <f>IF(AND('Ações'!$AD41="SIM", 'Ações'!AW41="SIM"), 1,0)</f>
        <v>0</v>
      </c>
      <c r="R40" s="139">
        <f>IF(AND('Ações'!$AD41="SIM", 'Ações'!AX41="SIM"), 1,0)</f>
        <v>0</v>
      </c>
    </row>
    <row r="41">
      <c r="A41" s="139">
        <f>IF(AND('Ações'!AB42="SIM", 'Ações'!AS42="SIM"), 1,0)</f>
        <v>0</v>
      </c>
      <c r="B41" s="139">
        <f>IF(AND('Ações'!$AB42="SIM", 'Ações'!AT42="SIM"), 1,0)</f>
        <v>0</v>
      </c>
      <c r="C41" s="139">
        <f>IF(AND('Ações'!$AB42="SIM", 'Ações'!AU42="SIM"), 1,0)</f>
        <v>0</v>
      </c>
      <c r="D41" s="139">
        <f>IF(AND('Ações'!$AB42="SIM", 'Ações'!AV42="SIM"), 1,0)</f>
        <v>0</v>
      </c>
      <c r="E41" s="139">
        <f>IF(AND('Ações'!$AB42="SIM", 'Ações'!AW42="SIM"), 1,0)</f>
        <v>0</v>
      </c>
      <c r="F41" s="139">
        <f>IF(AND('Ações'!$AB42="SIM", 'Ações'!AX42="SIM"), 1,0)</f>
        <v>0</v>
      </c>
      <c r="G41" s="139">
        <f>IF(AND('Ações'!$AC42="SIM", 'Ações'!AS42="SIM"), 1,0)</f>
        <v>1</v>
      </c>
      <c r="H41" s="139">
        <f>IF(AND('Ações'!$AC42="SIM", 'Ações'!AT42="SIM"), 1,0)</f>
        <v>1</v>
      </c>
      <c r="I41" s="139">
        <f>IF(AND('Ações'!$AC42="SIM", 'Ações'!AU42="SIM"), 1,0)</f>
        <v>1</v>
      </c>
      <c r="J41" s="139">
        <f>IF(AND('Ações'!$AC42="SIM", 'Ações'!AV42="SIM"), 1,0)</f>
        <v>1</v>
      </c>
      <c r="K41" s="139">
        <f>IF(AND('Ações'!$AC42="SIM", 'Ações'!AW42="SIM"), 1,0)</f>
        <v>0</v>
      </c>
      <c r="L41" s="139">
        <f>IF(AND('Ações'!$AC42="SIM", 'Ações'!AX42="SIM"), 1,0)</f>
        <v>0</v>
      </c>
      <c r="M41" s="139">
        <f>IF(AND('Ações'!$AD42="SIM", 'Ações'!AS42="SIM"), 1,0)</f>
        <v>0</v>
      </c>
      <c r="N41" s="139">
        <f>IF(AND('Ações'!$AD42="SIM", 'Ações'!AT42="SIM"), 1,0)</f>
        <v>0</v>
      </c>
      <c r="O41" s="139">
        <f>IF(AND('Ações'!$AD42="SIM", 'Ações'!AU42="SIM"), 1,0)</f>
        <v>0</v>
      </c>
      <c r="P41" s="139">
        <f>IF(AND('Ações'!$AD42="SIM", 'Ações'!AV42="SIM"), 1,0)</f>
        <v>0</v>
      </c>
      <c r="Q41" s="139">
        <f>IF(AND('Ações'!$AD42="SIM", 'Ações'!AW42="SIM"), 1,0)</f>
        <v>0</v>
      </c>
      <c r="R41" s="139">
        <f>IF(AND('Ações'!$AD42="SIM", 'Ações'!AX42="SIM"), 1,0)</f>
        <v>0</v>
      </c>
    </row>
    <row r="42">
      <c r="A42" s="139">
        <f>IF(AND('Ações'!AB43="SIM", 'Ações'!AS43="SIM"), 1,0)</f>
        <v>1</v>
      </c>
      <c r="B42" s="139">
        <f>IF(AND('Ações'!$AB43="SIM", 'Ações'!AT43="SIM"), 1,0)</f>
        <v>1</v>
      </c>
      <c r="C42" s="139">
        <f>IF(AND('Ações'!$AB43="SIM", 'Ações'!AU43="SIM"), 1,0)</f>
        <v>1</v>
      </c>
      <c r="D42" s="139">
        <f>IF(AND('Ações'!$AB43="SIM", 'Ações'!AV43="SIM"), 1,0)</f>
        <v>1</v>
      </c>
      <c r="E42" s="139">
        <f>IF(AND('Ações'!$AB43="SIM", 'Ações'!AW43="SIM"), 1,0)</f>
        <v>0</v>
      </c>
      <c r="F42" s="139">
        <f>IF(AND('Ações'!$AB43="SIM", 'Ações'!AX43="SIM"), 1,0)</f>
        <v>0</v>
      </c>
      <c r="G42" s="139">
        <f>IF(AND('Ações'!$AC43="SIM", 'Ações'!AS43="SIM"), 1,0)</f>
        <v>1</v>
      </c>
      <c r="H42" s="139">
        <f>IF(AND('Ações'!$AC43="SIM", 'Ações'!AT43="SIM"), 1,0)</f>
        <v>1</v>
      </c>
      <c r="I42" s="139">
        <f>IF(AND('Ações'!$AC43="SIM", 'Ações'!AU43="SIM"), 1,0)</f>
        <v>1</v>
      </c>
      <c r="J42" s="139">
        <f>IF(AND('Ações'!$AC43="SIM", 'Ações'!AV43="SIM"), 1,0)</f>
        <v>1</v>
      </c>
      <c r="K42" s="139">
        <f>IF(AND('Ações'!$AC43="SIM", 'Ações'!AW43="SIM"), 1,0)</f>
        <v>0</v>
      </c>
      <c r="L42" s="139">
        <f>IF(AND('Ações'!$AC43="SIM", 'Ações'!AX43="SIM"), 1,0)</f>
        <v>0</v>
      </c>
      <c r="M42" s="139">
        <f>IF(AND('Ações'!$AD43="SIM", 'Ações'!AS43="SIM"), 1,0)</f>
        <v>1</v>
      </c>
      <c r="N42" s="139">
        <f>IF(AND('Ações'!$AD43="SIM", 'Ações'!AT43="SIM"), 1,0)</f>
        <v>1</v>
      </c>
      <c r="O42" s="139">
        <f>IF(AND('Ações'!$AD43="SIM", 'Ações'!AU43="SIM"), 1,0)</f>
        <v>1</v>
      </c>
      <c r="P42" s="139">
        <f>IF(AND('Ações'!$AD43="SIM", 'Ações'!AV43="SIM"), 1,0)</f>
        <v>1</v>
      </c>
      <c r="Q42" s="139">
        <f>IF(AND('Ações'!$AD43="SIM", 'Ações'!AW43="SIM"), 1,0)</f>
        <v>0</v>
      </c>
      <c r="R42" s="139">
        <f>IF(AND('Ações'!$AD43="SIM", 'Ações'!AX43="SIM"), 1,0)</f>
        <v>0</v>
      </c>
    </row>
    <row r="43">
      <c r="A43" s="139">
        <f>IF(AND('Ações'!AB44="SIM", 'Ações'!AS44="SIM"), 1,0)</f>
        <v>0</v>
      </c>
      <c r="B43" s="139">
        <f>IF(AND('Ações'!$AB44="SIM", 'Ações'!AT44="SIM"), 1,0)</f>
        <v>0</v>
      </c>
      <c r="C43" s="139">
        <f>IF(AND('Ações'!$AB44="SIM", 'Ações'!AU44="SIM"), 1,0)</f>
        <v>0</v>
      </c>
      <c r="D43" s="139">
        <f>IF(AND('Ações'!$AB44="SIM", 'Ações'!AV44="SIM"), 1,0)</f>
        <v>0</v>
      </c>
      <c r="E43" s="139">
        <f>IF(AND('Ações'!$AB44="SIM", 'Ações'!AW44="SIM"), 1,0)</f>
        <v>0</v>
      </c>
      <c r="F43" s="139">
        <f>IF(AND('Ações'!$AB44="SIM", 'Ações'!AX44="SIM"), 1,0)</f>
        <v>0</v>
      </c>
      <c r="G43" s="139">
        <f>IF(AND('Ações'!$AC44="SIM", 'Ações'!AS44="SIM"), 1,0)</f>
        <v>1</v>
      </c>
      <c r="H43" s="139">
        <f>IF(AND('Ações'!$AC44="SIM", 'Ações'!AT44="SIM"), 1,0)</f>
        <v>1</v>
      </c>
      <c r="I43" s="139">
        <f>IF(AND('Ações'!$AC44="SIM", 'Ações'!AU44="SIM"), 1,0)</f>
        <v>1</v>
      </c>
      <c r="J43" s="139">
        <f>IF(AND('Ações'!$AC44="SIM", 'Ações'!AV44="SIM"), 1,0)</f>
        <v>1</v>
      </c>
      <c r="K43" s="139">
        <f>IF(AND('Ações'!$AC44="SIM", 'Ações'!AW44="SIM"), 1,0)</f>
        <v>0</v>
      </c>
      <c r="L43" s="139">
        <f>IF(AND('Ações'!$AC44="SIM", 'Ações'!AX44="SIM"), 1,0)</f>
        <v>0</v>
      </c>
      <c r="M43" s="139">
        <f>IF(AND('Ações'!$AD44="SIM", 'Ações'!AS44="SIM"), 1,0)</f>
        <v>0</v>
      </c>
      <c r="N43" s="139">
        <f>IF(AND('Ações'!$AD44="SIM", 'Ações'!AT44="SIM"), 1,0)</f>
        <v>0</v>
      </c>
      <c r="O43" s="139">
        <f>IF(AND('Ações'!$AD44="SIM", 'Ações'!AU44="SIM"), 1,0)</f>
        <v>0</v>
      </c>
      <c r="P43" s="139">
        <f>IF(AND('Ações'!$AD44="SIM", 'Ações'!AV44="SIM"), 1,0)</f>
        <v>0</v>
      </c>
      <c r="Q43" s="139">
        <f>IF(AND('Ações'!$AD44="SIM", 'Ações'!AW44="SIM"), 1,0)</f>
        <v>0</v>
      </c>
      <c r="R43" s="139">
        <f>IF(AND('Ações'!$AD44="SIM", 'Ações'!AX44="SIM"), 1,0)</f>
        <v>0</v>
      </c>
    </row>
    <row r="44">
      <c r="A44" s="139">
        <f>IF(AND('Ações'!AB45="SIM", 'Ações'!AS45="SIM"), 1,0)</f>
        <v>0</v>
      </c>
      <c r="B44" s="139">
        <f>IF(AND('Ações'!$AB45="SIM", 'Ações'!AT45="SIM"), 1,0)</f>
        <v>1</v>
      </c>
      <c r="C44" s="139">
        <f>IF(AND('Ações'!$AB45="SIM", 'Ações'!AU45="SIM"), 1,0)</f>
        <v>0</v>
      </c>
      <c r="D44" s="139">
        <f>IF(AND('Ações'!$AB45="SIM", 'Ações'!AV45="SIM"), 1,0)</f>
        <v>0</v>
      </c>
      <c r="E44" s="139">
        <f>IF(AND('Ações'!$AB45="SIM", 'Ações'!AW45="SIM"), 1,0)</f>
        <v>0</v>
      </c>
      <c r="F44" s="139">
        <f>IF(AND('Ações'!$AB45="SIM", 'Ações'!AX45="SIM"), 1,0)</f>
        <v>0</v>
      </c>
      <c r="G44" s="139">
        <f>IF(AND('Ações'!$AC45="SIM", 'Ações'!AS45="SIM"), 1,0)</f>
        <v>0</v>
      </c>
      <c r="H44" s="139">
        <f>IF(AND('Ações'!$AC45="SIM", 'Ações'!AT45="SIM"), 1,0)</f>
        <v>0</v>
      </c>
      <c r="I44" s="139">
        <f>IF(AND('Ações'!$AC45="SIM", 'Ações'!AU45="SIM"), 1,0)</f>
        <v>0</v>
      </c>
      <c r="J44" s="139">
        <f>IF(AND('Ações'!$AC45="SIM", 'Ações'!AV45="SIM"), 1,0)</f>
        <v>0</v>
      </c>
      <c r="K44" s="139">
        <f>IF(AND('Ações'!$AC45="SIM", 'Ações'!AW45="SIM"), 1,0)</f>
        <v>0</v>
      </c>
      <c r="L44" s="139">
        <f>IF(AND('Ações'!$AC45="SIM", 'Ações'!AX45="SIM"), 1,0)</f>
        <v>0</v>
      </c>
      <c r="M44" s="139">
        <f>IF(AND('Ações'!$AD45="SIM", 'Ações'!AS45="SIM"), 1,0)</f>
        <v>0</v>
      </c>
      <c r="N44" s="139">
        <f>IF(AND('Ações'!$AD45="SIM", 'Ações'!AT45="SIM"), 1,0)</f>
        <v>0</v>
      </c>
      <c r="O44" s="139">
        <f>IF(AND('Ações'!$AD45="SIM", 'Ações'!AU45="SIM"), 1,0)</f>
        <v>0</v>
      </c>
      <c r="P44" s="139">
        <f>IF(AND('Ações'!$AD45="SIM", 'Ações'!AV45="SIM"), 1,0)</f>
        <v>0</v>
      </c>
      <c r="Q44" s="139">
        <f>IF(AND('Ações'!$AD45="SIM", 'Ações'!AW45="SIM"), 1,0)</f>
        <v>0</v>
      </c>
      <c r="R44" s="139">
        <f>IF(AND('Ações'!$AD45="SIM", 'Ações'!AX45="SIM"), 1,0)</f>
        <v>0</v>
      </c>
    </row>
    <row r="45">
      <c r="A45" s="139">
        <f>IF(AND('Ações'!AB46="SIM", 'Ações'!AS46="SIM"), 1,0)</f>
        <v>0</v>
      </c>
      <c r="B45" s="139">
        <f>IF(AND('Ações'!$AB46="SIM", 'Ações'!AT46="SIM"), 1,0)</f>
        <v>1</v>
      </c>
      <c r="C45" s="139">
        <f>IF(AND('Ações'!$AB46="SIM", 'Ações'!AU46="SIM"), 1,0)</f>
        <v>0</v>
      </c>
      <c r="D45" s="139">
        <f>IF(AND('Ações'!$AB46="SIM", 'Ações'!AV46="SIM"), 1,0)</f>
        <v>0</v>
      </c>
      <c r="E45" s="139">
        <f>IF(AND('Ações'!$AB46="SIM", 'Ações'!AW46="SIM"), 1,0)</f>
        <v>0</v>
      </c>
      <c r="F45" s="139">
        <f>IF(AND('Ações'!$AB46="SIM", 'Ações'!AX46="SIM"), 1,0)</f>
        <v>0</v>
      </c>
      <c r="G45" s="139">
        <f>IF(AND('Ações'!$AC46="SIM", 'Ações'!AS46="SIM"), 1,0)</f>
        <v>0</v>
      </c>
      <c r="H45" s="139">
        <f>IF(AND('Ações'!$AC46="SIM", 'Ações'!AT46="SIM"), 1,0)</f>
        <v>0</v>
      </c>
      <c r="I45" s="139">
        <f>IF(AND('Ações'!$AC46="SIM", 'Ações'!AU46="SIM"), 1,0)</f>
        <v>0</v>
      </c>
      <c r="J45" s="139">
        <f>IF(AND('Ações'!$AC46="SIM", 'Ações'!AV46="SIM"), 1,0)</f>
        <v>0</v>
      </c>
      <c r="K45" s="139">
        <f>IF(AND('Ações'!$AC46="SIM", 'Ações'!AW46="SIM"), 1,0)</f>
        <v>0</v>
      </c>
      <c r="L45" s="139">
        <f>IF(AND('Ações'!$AC46="SIM", 'Ações'!AX46="SIM"), 1,0)</f>
        <v>0</v>
      </c>
      <c r="M45" s="139">
        <f>IF(AND('Ações'!$AD46="SIM", 'Ações'!AS46="SIM"), 1,0)</f>
        <v>0</v>
      </c>
      <c r="N45" s="139">
        <f>IF(AND('Ações'!$AD46="SIM", 'Ações'!AT46="SIM"), 1,0)</f>
        <v>0</v>
      </c>
      <c r="O45" s="139">
        <f>IF(AND('Ações'!$AD46="SIM", 'Ações'!AU46="SIM"), 1,0)</f>
        <v>0</v>
      </c>
      <c r="P45" s="139">
        <f>IF(AND('Ações'!$AD46="SIM", 'Ações'!AV46="SIM"), 1,0)</f>
        <v>0</v>
      </c>
      <c r="Q45" s="139">
        <f>IF(AND('Ações'!$AD46="SIM", 'Ações'!AW46="SIM"), 1,0)</f>
        <v>0</v>
      </c>
      <c r="R45" s="139">
        <f>IF(AND('Ações'!$AD46="SIM", 'Ações'!AX46="SIM"), 1,0)</f>
        <v>0</v>
      </c>
    </row>
    <row r="46">
      <c r="A46" s="139">
        <f>IF(AND('Ações'!AB48="SIM", 'Ações'!AS48="SIM"), 1,0)</f>
        <v>0</v>
      </c>
      <c r="B46" s="139">
        <f>IF(AND('Ações'!$AB48="SIM", 'Ações'!AT48="SIM"), 1,0)</f>
        <v>0</v>
      </c>
      <c r="C46" s="139">
        <f>IF(AND('Ações'!$AB48="SIM", 'Ações'!AU48="SIM"), 1,0)</f>
        <v>0</v>
      </c>
      <c r="D46" s="139">
        <f>IF(AND('Ações'!$AB48="SIM", 'Ações'!AV48="SIM"), 1,0)</f>
        <v>0</v>
      </c>
      <c r="E46" s="139">
        <f>IF(AND('Ações'!$AB48="SIM", 'Ações'!AW48="SIM"), 1,0)</f>
        <v>0</v>
      </c>
      <c r="F46" s="139">
        <f>IF(AND('Ações'!$AB48="SIM", 'Ações'!AX48="SIM"), 1,0)</f>
        <v>0</v>
      </c>
      <c r="G46" s="139">
        <f>IF(AND('Ações'!$AC48="SIM", 'Ações'!AS48="SIM"), 1,0)</f>
        <v>0</v>
      </c>
      <c r="H46" s="139">
        <f>IF(AND('Ações'!$AC48="SIM", 'Ações'!AT48="SIM"), 1,0)</f>
        <v>1</v>
      </c>
      <c r="I46" s="139">
        <f>IF(AND('Ações'!$AC48="SIM", 'Ações'!AU48="SIM"), 1,0)</f>
        <v>0</v>
      </c>
      <c r="J46" s="139">
        <f>IF(AND('Ações'!$AC48="SIM", 'Ações'!AV48="SIM"), 1,0)</f>
        <v>0</v>
      </c>
      <c r="K46" s="139">
        <f>IF(AND('Ações'!$AC48="SIM", 'Ações'!AW48="SIM"), 1,0)</f>
        <v>0</v>
      </c>
      <c r="L46" s="139">
        <f>IF(AND('Ações'!$AC48="SIM", 'Ações'!AX48="SIM"), 1,0)</f>
        <v>0</v>
      </c>
      <c r="M46" s="139">
        <f>IF(AND('Ações'!$AD48="SIM", 'Ações'!AS48="SIM"), 1,0)</f>
        <v>0</v>
      </c>
      <c r="N46" s="139">
        <f>IF(AND('Ações'!$AD48="SIM", 'Ações'!AT48="SIM"), 1,0)</f>
        <v>0</v>
      </c>
      <c r="O46" s="139">
        <f>IF(AND('Ações'!$AD48="SIM", 'Ações'!AU48="SIM"), 1,0)</f>
        <v>0</v>
      </c>
      <c r="P46" s="139">
        <f>IF(AND('Ações'!$AD48="SIM", 'Ações'!AV48="SIM"), 1,0)</f>
        <v>0</v>
      </c>
      <c r="Q46" s="139">
        <f>IF(AND('Ações'!$AD48="SIM", 'Ações'!AW48="SIM"), 1,0)</f>
        <v>0</v>
      </c>
      <c r="R46" s="139">
        <f>IF(AND('Ações'!$AD48="SIM", 'Ações'!AX48="SIM"), 1,0)</f>
        <v>0</v>
      </c>
    </row>
    <row r="47">
      <c r="A47" s="139">
        <f>IF(AND('Ações'!AB49="SIM", 'Ações'!AS49="SIM"), 1,0)</f>
        <v>1</v>
      </c>
      <c r="B47" s="139">
        <f>IF(AND('Ações'!$AB49="SIM", 'Ações'!AT49="SIM"), 1,0)</f>
        <v>0</v>
      </c>
      <c r="C47" s="139">
        <f>IF(AND('Ações'!$AB49="SIM", 'Ações'!AU49="SIM"), 1,0)</f>
        <v>0</v>
      </c>
      <c r="D47" s="139">
        <f>IF(AND('Ações'!$AB49="SIM", 'Ações'!AV49="SIM"), 1,0)</f>
        <v>0</v>
      </c>
      <c r="E47" s="139">
        <f>IF(AND('Ações'!$AB49="SIM", 'Ações'!AW49="SIM"), 1,0)</f>
        <v>0</v>
      </c>
      <c r="F47" s="139">
        <f>IF(AND('Ações'!$AB49="SIM", 'Ações'!AX49="SIM"), 1,0)</f>
        <v>0</v>
      </c>
      <c r="G47" s="139">
        <f>IF(AND('Ações'!$AC49="SIM", 'Ações'!AS49="SIM"), 1,0)</f>
        <v>1</v>
      </c>
      <c r="H47" s="139">
        <f>IF(AND('Ações'!$AC49="SIM", 'Ações'!AT49="SIM"), 1,0)</f>
        <v>0</v>
      </c>
      <c r="I47" s="139">
        <f>IF(AND('Ações'!$AC49="SIM", 'Ações'!AU49="SIM"), 1,0)</f>
        <v>0</v>
      </c>
      <c r="J47" s="139">
        <f>IF(AND('Ações'!$AC49="SIM", 'Ações'!AV49="SIM"), 1,0)</f>
        <v>0</v>
      </c>
      <c r="K47" s="139">
        <f>IF(AND('Ações'!$AC49="SIM", 'Ações'!AW49="SIM"), 1,0)</f>
        <v>0</v>
      </c>
      <c r="L47" s="139">
        <f>IF(AND('Ações'!$AC49="SIM", 'Ações'!AX49="SIM"), 1,0)</f>
        <v>0</v>
      </c>
      <c r="M47" s="139">
        <f>IF(AND('Ações'!$AD49="SIM", 'Ações'!AS49="SIM"), 1,0)</f>
        <v>0</v>
      </c>
      <c r="N47" s="139">
        <f>IF(AND('Ações'!$AD49="SIM", 'Ações'!AT49="SIM"), 1,0)</f>
        <v>0</v>
      </c>
      <c r="O47" s="139">
        <f>IF(AND('Ações'!$AD49="SIM", 'Ações'!AU49="SIM"), 1,0)</f>
        <v>0</v>
      </c>
      <c r="P47" s="139">
        <f>IF(AND('Ações'!$AD49="SIM", 'Ações'!AV49="SIM"), 1,0)</f>
        <v>0</v>
      </c>
      <c r="Q47" s="139">
        <f>IF(AND('Ações'!$AD49="SIM", 'Ações'!AW49="SIM"), 1,0)</f>
        <v>0</v>
      </c>
      <c r="R47" s="139">
        <f>IF(AND('Ações'!$AD49="SIM", 'Ações'!AX49="SIM"), 1,0)</f>
        <v>0</v>
      </c>
    </row>
    <row r="48">
      <c r="A48" s="139">
        <f>IF(AND('Ações'!AB50="SIM", 'Ações'!AS50="SIM"), 1,0)</f>
        <v>0</v>
      </c>
      <c r="B48" s="139">
        <f>IF(AND('Ações'!$AB50="SIM", 'Ações'!AT50="SIM"), 1,0)</f>
        <v>0</v>
      </c>
      <c r="C48" s="139">
        <f>IF(AND('Ações'!$AB50="SIM", 'Ações'!AU50="SIM"), 1,0)</f>
        <v>0</v>
      </c>
      <c r="D48" s="139">
        <f>IF(AND('Ações'!$AB50="SIM", 'Ações'!AV50="SIM"), 1,0)</f>
        <v>0</v>
      </c>
      <c r="E48" s="139">
        <f>IF(AND('Ações'!$AB50="SIM", 'Ações'!AW50="SIM"), 1,0)</f>
        <v>0</v>
      </c>
      <c r="F48" s="139">
        <f>IF(AND('Ações'!$AB50="SIM", 'Ações'!AX50="SIM"), 1,0)</f>
        <v>0</v>
      </c>
      <c r="G48" s="139">
        <f>IF(AND('Ações'!$AC50="SIM", 'Ações'!AS50="SIM"), 1,0)</f>
        <v>1</v>
      </c>
      <c r="H48" s="139">
        <f>IF(AND('Ações'!$AC50="SIM", 'Ações'!AT50="SIM"), 1,0)</f>
        <v>0</v>
      </c>
      <c r="I48" s="139">
        <f>IF(AND('Ações'!$AC50="SIM", 'Ações'!AU50="SIM"), 1,0)</f>
        <v>0</v>
      </c>
      <c r="J48" s="139">
        <f>IF(AND('Ações'!$AC50="SIM", 'Ações'!AV50="SIM"), 1,0)</f>
        <v>0</v>
      </c>
      <c r="K48" s="139">
        <f>IF(AND('Ações'!$AC50="SIM", 'Ações'!AW50="SIM"), 1,0)</f>
        <v>0</v>
      </c>
      <c r="L48" s="139">
        <f>IF(AND('Ações'!$AC50="SIM", 'Ações'!AX50="SIM"), 1,0)</f>
        <v>0</v>
      </c>
      <c r="M48" s="139">
        <f>IF(AND('Ações'!$AD50="SIM", 'Ações'!AS50="SIM"), 1,0)</f>
        <v>0</v>
      </c>
      <c r="N48" s="139">
        <f>IF(AND('Ações'!$AD50="SIM", 'Ações'!AT50="SIM"), 1,0)</f>
        <v>0</v>
      </c>
      <c r="O48" s="139">
        <f>IF(AND('Ações'!$AD50="SIM", 'Ações'!AU50="SIM"), 1,0)</f>
        <v>0</v>
      </c>
      <c r="P48" s="139">
        <f>IF(AND('Ações'!$AD50="SIM", 'Ações'!AV50="SIM"), 1,0)</f>
        <v>0</v>
      </c>
      <c r="Q48" s="139">
        <f>IF(AND('Ações'!$AD50="SIM", 'Ações'!AW50="SIM"), 1,0)</f>
        <v>0</v>
      </c>
      <c r="R48" s="139">
        <f>IF(AND('Ações'!$AD50="SIM", 'Ações'!AX50="SIM"), 1,0)</f>
        <v>0</v>
      </c>
    </row>
    <row r="49">
      <c r="A49" s="139">
        <f>IF(AND('Ações'!AB51="SIM", 'Ações'!AS51="SIM"), 1,0)</f>
        <v>0</v>
      </c>
      <c r="B49" s="139">
        <f>IF(AND('Ações'!$AB51="SIM", 'Ações'!AT51="SIM"), 1,0)</f>
        <v>0</v>
      </c>
      <c r="C49" s="139">
        <f>IF(AND('Ações'!$AB51="SIM", 'Ações'!AU51="SIM"), 1,0)</f>
        <v>0</v>
      </c>
      <c r="D49" s="139">
        <f>IF(AND('Ações'!$AB51="SIM", 'Ações'!AV51="SIM"), 1,0)</f>
        <v>0</v>
      </c>
      <c r="E49" s="139">
        <f>IF(AND('Ações'!$AB51="SIM", 'Ações'!AW51="SIM"), 1,0)</f>
        <v>0</v>
      </c>
      <c r="F49" s="139">
        <f>IF(AND('Ações'!$AB51="SIM", 'Ações'!AX51="SIM"), 1,0)</f>
        <v>0</v>
      </c>
      <c r="G49" s="139">
        <f>IF(AND('Ações'!$AC51="SIM", 'Ações'!AS51="SIM"), 1,0)</f>
        <v>1</v>
      </c>
      <c r="H49" s="139">
        <f>IF(AND('Ações'!$AC51="SIM", 'Ações'!AT51="SIM"), 1,0)</f>
        <v>0</v>
      </c>
      <c r="I49" s="139">
        <f>IF(AND('Ações'!$AC51="SIM", 'Ações'!AU51="SIM"), 1,0)</f>
        <v>0</v>
      </c>
      <c r="J49" s="139">
        <f>IF(AND('Ações'!$AC51="SIM", 'Ações'!AV51="SIM"), 1,0)</f>
        <v>0</v>
      </c>
      <c r="K49" s="139">
        <f>IF(AND('Ações'!$AC51="SIM", 'Ações'!AW51="SIM"), 1,0)</f>
        <v>0</v>
      </c>
      <c r="L49" s="139">
        <f>IF(AND('Ações'!$AC51="SIM", 'Ações'!AX51="SIM"), 1,0)</f>
        <v>0</v>
      </c>
      <c r="M49" s="139">
        <f>IF(AND('Ações'!$AD51="SIM", 'Ações'!AS51="SIM"), 1,0)</f>
        <v>0</v>
      </c>
      <c r="N49" s="139">
        <f>IF(AND('Ações'!$AD51="SIM", 'Ações'!AT51="SIM"), 1,0)</f>
        <v>0</v>
      </c>
      <c r="O49" s="139">
        <f>IF(AND('Ações'!$AD51="SIM", 'Ações'!AU51="SIM"), 1,0)</f>
        <v>0</v>
      </c>
      <c r="P49" s="139">
        <f>IF(AND('Ações'!$AD51="SIM", 'Ações'!AV51="SIM"), 1,0)</f>
        <v>0</v>
      </c>
      <c r="Q49" s="139">
        <f>IF(AND('Ações'!$AD51="SIM", 'Ações'!AW51="SIM"), 1,0)</f>
        <v>0</v>
      </c>
      <c r="R49" s="139">
        <f>IF(AND('Ações'!$AD51="SIM", 'Ações'!AX51="SIM"), 1,0)</f>
        <v>0</v>
      </c>
    </row>
    <row r="50">
      <c r="A50" s="139">
        <f>IF(AND('Ações'!AB52="SIM", 'Ações'!AS52="SIM"), 1,0)</f>
        <v>1</v>
      </c>
      <c r="B50" s="139">
        <f>IF(AND('Ações'!$AB52="SIM", 'Ações'!AT52="SIM"), 1,0)</f>
        <v>0</v>
      </c>
      <c r="C50" s="139">
        <f>IF(AND('Ações'!$AB52="SIM", 'Ações'!AU52="SIM"), 1,0)</f>
        <v>0</v>
      </c>
      <c r="D50" s="139">
        <f>IF(AND('Ações'!$AB52="SIM", 'Ações'!AV52="SIM"), 1,0)</f>
        <v>0</v>
      </c>
      <c r="E50" s="139">
        <f>IF(AND('Ações'!$AB52="SIM", 'Ações'!AW52="SIM"), 1,0)</f>
        <v>0</v>
      </c>
      <c r="F50" s="139">
        <f>IF(AND('Ações'!$AB52="SIM", 'Ações'!AX52="SIM"), 1,0)</f>
        <v>0</v>
      </c>
      <c r="G50" s="139">
        <f>IF(AND('Ações'!$AC52="SIM", 'Ações'!AS52="SIM"), 1,0)</f>
        <v>0</v>
      </c>
      <c r="H50" s="139">
        <f>IF(AND('Ações'!$AC52="SIM", 'Ações'!AT52="SIM"), 1,0)</f>
        <v>0</v>
      </c>
      <c r="I50" s="139">
        <f>IF(AND('Ações'!$AC52="SIM", 'Ações'!AU52="SIM"), 1,0)</f>
        <v>0</v>
      </c>
      <c r="J50" s="139">
        <f>IF(AND('Ações'!$AC52="SIM", 'Ações'!AV52="SIM"), 1,0)</f>
        <v>0</v>
      </c>
      <c r="K50" s="139">
        <f>IF(AND('Ações'!$AC52="SIM", 'Ações'!AW52="SIM"), 1,0)</f>
        <v>0</v>
      </c>
      <c r="L50" s="139">
        <f>IF(AND('Ações'!$AC52="SIM", 'Ações'!AX52="SIM"), 1,0)</f>
        <v>0</v>
      </c>
      <c r="M50" s="139">
        <f>IF(AND('Ações'!$AD52="SIM", 'Ações'!AS52="SIM"), 1,0)</f>
        <v>0</v>
      </c>
      <c r="N50" s="139">
        <f>IF(AND('Ações'!$AD52="SIM", 'Ações'!AT52="SIM"), 1,0)</f>
        <v>0</v>
      </c>
      <c r="O50" s="139">
        <f>IF(AND('Ações'!$AD52="SIM", 'Ações'!AU52="SIM"), 1,0)</f>
        <v>0</v>
      </c>
      <c r="P50" s="139">
        <f>IF(AND('Ações'!$AD52="SIM", 'Ações'!AV52="SIM"), 1,0)</f>
        <v>0</v>
      </c>
      <c r="Q50" s="139">
        <f>IF(AND('Ações'!$AD52="SIM", 'Ações'!AW52="SIM"), 1,0)</f>
        <v>0</v>
      </c>
      <c r="R50" s="139">
        <f>IF(AND('Ações'!$AD52="SIM", 'Ações'!AX52="SIM"), 1,0)</f>
        <v>0</v>
      </c>
    </row>
    <row r="51">
      <c r="A51" s="139">
        <f>IF(AND('Ações'!AB53="SIM", 'Ações'!AS53="SIM"), 1,0)</f>
        <v>1</v>
      </c>
      <c r="B51" s="139">
        <f>IF(AND('Ações'!$AB53="SIM", 'Ações'!AT53="SIM"), 1,0)</f>
        <v>0</v>
      </c>
      <c r="C51" s="139">
        <f>IF(AND('Ações'!$AB53="SIM", 'Ações'!AU53="SIM"), 1,0)</f>
        <v>0</v>
      </c>
      <c r="D51" s="139">
        <f>IF(AND('Ações'!$AB53="SIM", 'Ações'!AV53="SIM"), 1,0)</f>
        <v>0</v>
      </c>
      <c r="E51" s="139">
        <f>IF(AND('Ações'!$AB53="SIM", 'Ações'!AW53="SIM"), 1,0)</f>
        <v>0</v>
      </c>
      <c r="F51" s="139">
        <f>IF(AND('Ações'!$AB53="SIM", 'Ações'!AX53="SIM"), 1,0)</f>
        <v>0</v>
      </c>
      <c r="G51" s="139">
        <f>IF(AND('Ações'!$AC53="SIM", 'Ações'!AS53="SIM"), 1,0)</f>
        <v>0</v>
      </c>
      <c r="H51" s="139">
        <f>IF(AND('Ações'!$AC53="SIM", 'Ações'!AT53="SIM"), 1,0)</f>
        <v>0</v>
      </c>
      <c r="I51" s="139">
        <f>IF(AND('Ações'!$AC53="SIM", 'Ações'!AU53="SIM"), 1,0)</f>
        <v>0</v>
      </c>
      <c r="J51" s="139">
        <f>IF(AND('Ações'!$AC53="SIM", 'Ações'!AV53="SIM"), 1,0)</f>
        <v>0</v>
      </c>
      <c r="K51" s="139">
        <f>IF(AND('Ações'!$AC53="SIM", 'Ações'!AW53="SIM"), 1,0)</f>
        <v>0</v>
      </c>
      <c r="L51" s="139">
        <f>IF(AND('Ações'!$AC53="SIM", 'Ações'!AX53="SIM"), 1,0)</f>
        <v>0</v>
      </c>
      <c r="M51" s="139">
        <f>IF(AND('Ações'!$AD53="SIM", 'Ações'!AS53="SIM"), 1,0)</f>
        <v>0</v>
      </c>
      <c r="N51" s="139">
        <f>IF(AND('Ações'!$AD53="SIM", 'Ações'!AT53="SIM"), 1,0)</f>
        <v>0</v>
      </c>
      <c r="O51" s="139">
        <f>IF(AND('Ações'!$AD53="SIM", 'Ações'!AU53="SIM"), 1,0)</f>
        <v>0</v>
      </c>
      <c r="P51" s="139">
        <f>IF(AND('Ações'!$AD53="SIM", 'Ações'!AV53="SIM"), 1,0)</f>
        <v>0</v>
      </c>
      <c r="Q51" s="139">
        <f>IF(AND('Ações'!$AD53="SIM", 'Ações'!AW53="SIM"), 1,0)</f>
        <v>0</v>
      </c>
      <c r="R51" s="139">
        <f>IF(AND('Ações'!$AD53="SIM", 'Ações'!AX53="SIM"), 1,0)</f>
        <v>0</v>
      </c>
    </row>
    <row r="52">
      <c r="A52" s="139">
        <f>IF(AND('Ações'!AB54="SIM", 'Ações'!AS54="SIM"), 1,0)</f>
        <v>1</v>
      </c>
      <c r="B52" s="139">
        <f>IF(AND('Ações'!$AB54="SIM", 'Ações'!AT54="SIM"), 1,0)</f>
        <v>0</v>
      </c>
      <c r="C52" s="139">
        <f>IF(AND('Ações'!$AB54="SIM", 'Ações'!AU54="SIM"), 1,0)</f>
        <v>0</v>
      </c>
      <c r="D52" s="139">
        <f>IF(AND('Ações'!$AB54="SIM", 'Ações'!AV54="SIM"), 1,0)</f>
        <v>0</v>
      </c>
      <c r="E52" s="139">
        <f>IF(AND('Ações'!$AB54="SIM", 'Ações'!AW54="SIM"), 1,0)</f>
        <v>0</v>
      </c>
      <c r="F52" s="139">
        <f>IF(AND('Ações'!$AB54="SIM", 'Ações'!AX54="SIM"), 1,0)</f>
        <v>0</v>
      </c>
      <c r="G52" s="139">
        <f>IF(AND('Ações'!$AC54="SIM", 'Ações'!AS54="SIM"), 1,0)</f>
        <v>0</v>
      </c>
      <c r="H52" s="139">
        <f>IF(AND('Ações'!$AC54="SIM", 'Ações'!AT54="SIM"), 1,0)</f>
        <v>0</v>
      </c>
      <c r="I52" s="139">
        <f>IF(AND('Ações'!$AC54="SIM", 'Ações'!AU54="SIM"), 1,0)</f>
        <v>0</v>
      </c>
      <c r="J52" s="139">
        <f>IF(AND('Ações'!$AC54="SIM", 'Ações'!AV54="SIM"), 1,0)</f>
        <v>0</v>
      </c>
      <c r="K52" s="139">
        <f>IF(AND('Ações'!$AC54="SIM", 'Ações'!AW54="SIM"), 1,0)</f>
        <v>0</v>
      </c>
      <c r="L52" s="139">
        <f>IF(AND('Ações'!$AC54="SIM", 'Ações'!AX54="SIM"), 1,0)</f>
        <v>0</v>
      </c>
      <c r="M52" s="139">
        <f>IF(AND('Ações'!$AD54="SIM", 'Ações'!AS54="SIM"), 1,0)</f>
        <v>0</v>
      </c>
      <c r="N52" s="139">
        <f>IF(AND('Ações'!$AD54="SIM", 'Ações'!AT54="SIM"), 1,0)</f>
        <v>0</v>
      </c>
      <c r="O52" s="139">
        <f>IF(AND('Ações'!$AD54="SIM", 'Ações'!AU54="SIM"), 1,0)</f>
        <v>0</v>
      </c>
      <c r="P52" s="139">
        <f>IF(AND('Ações'!$AD54="SIM", 'Ações'!AV54="SIM"), 1,0)</f>
        <v>0</v>
      </c>
      <c r="Q52" s="139">
        <f>IF(AND('Ações'!$AD54="SIM", 'Ações'!AW54="SIM"), 1,0)</f>
        <v>0</v>
      </c>
      <c r="R52" s="139">
        <f>IF(AND('Ações'!$AD54="SIM", 'Ações'!AX54="SIM"), 1,0)</f>
        <v>0</v>
      </c>
    </row>
    <row r="53">
      <c r="A53" s="139">
        <f>IF(AND('Ações'!AB55="SIM", 'Ações'!AS55="SIM"), 1,0)</f>
        <v>1</v>
      </c>
      <c r="B53" s="139">
        <f>IF(AND('Ações'!$AB55="SIM", 'Ações'!AT55="SIM"), 1,0)</f>
        <v>0</v>
      </c>
      <c r="C53" s="139">
        <f>IF(AND('Ações'!$AB55="SIM", 'Ações'!AU55="SIM"), 1,0)</f>
        <v>0</v>
      </c>
      <c r="D53" s="139">
        <f>IF(AND('Ações'!$AB55="SIM", 'Ações'!AV55="SIM"), 1,0)</f>
        <v>0</v>
      </c>
      <c r="E53" s="139">
        <f>IF(AND('Ações'!$AB55="SIM", 'Ações'!AW55="SIM"), 1,0)</f>
        <v>0</v>
      </c>
      <c r="F53" s="139">
        <f>IF(AND('Ações'!$AB55="SIM", 'Ações'!AX55="SIM"), 1,0)</f>
        <v>0</v>
      </c>
      <c r="G53" s="139">
        <f>IF(AND('Ações'!$AC55="SIM", 'Ações'!AS55="SIM"), 1,0)</f>
        <v>1</v>
      </c>
      <c r="H53" s="139">
        <f>IF(AND('Ações'!$AC55="SIM", 'Ações'!AT55="SIM"), 1,0)</f>
        <v>0</v>
      </c>
      <c r="I53" s="139">
        <f>IF(AND('Ações'!$AC55="SIM", 'Ações'!AU55="SIM"), 1,0)</f>
        <v>0</v>
      </c>
      <c r="J53" s="139">
        <f>IF(AND('Ações'!$AC55="SIM", 'Ações'!AV55="SIM"), 1,0)</f>
        <v>0</v>
      </c>
      <c r="K53" s="139">
        <f>IF(AND('Ações'!$AC55="SIM", 'Ações'!AW55="SIM"), 1,0)</f>
        <v>0</v>
      </c>
      <c r="L53" s="139">
        <f>IF(AND('Ações'!$AC55="SIM", 'Ações'!AX55="SIM"), 1,0)</f>
        <v>0</v>
      </c>
      <c r="M53" s="139">
        <f>IF(AND('Ações'!$AD55="SIM", 'Ações'!AS55="SIM"), 1,0)</f>
        <v>0</v>
      </c>
      <c r="N53" s="139">
        <f>IF(AND('Ações'!$AD55="SIM", 'Ações'!AT55="SIM"), 1,0)</f>
        <v>0</v>
      </c>
      <c r="O53" s="139">
        <f>IF(AND('Ações'!$AD55="SIM", 'Ações'!AU55="SIM"), 1,0)</f>
        <v>0</v>
      </c>
      <c r="P53" s="139">
        <f>IF(AND('Ações'!$AD55="SIM", 'Ações'!AV55="SIM"), 1,0)</f>
        <v>0</v>
      </c>
      <c r="Q53" s="139">
        <f>IF(AND('Ações'!$AD55="SIM", 'Ações'!AW55="SIM"), 1,0)</f>
        <v>0</v>
      </c>
      <c r="R53" s="139">
        <f>IF(AND('Ações'!$AD55="SIM", 'Ações'!AX55="SIM"), 1,0)</f>
        <v>0</v>
      </c>
    </row>
    <row r="54">
      <c r="A54" s="139">
        <f>IF(AND('Ações'!AB56="SIM", 'Ações'!AS56="SIM"), 1,0)</f>
        <v>1</v>
      </c>
      <c r="B54" s="139">
        <f>IF(AND('Ações'!$AB56="SIM", 'Ações'!AT56="SIM"), 1,0)</f>
        <v>0</v>
      </c>
      <c r="C54" s="139">
        <f>IF(AND('Ações'!$AB56="SIM", 'Ações'!AU56="SIM"), 1,0)</f>
        <v>0</v>
      </c>
      <c r="D54" s="139">
        <f>IF(AND('Ações'!$AB56="SIM", 'Ações'!AV56="SIM"), 1,0)</f>
        <v>0</v>
      </c>
      <c r="E54" s="139">
        <f>IF(AND('Ações'!$AB56="SIM", 'Ações'!AW56="SIM"), 1,0)</f>
        <v>0</v>
      </c>
      <c r="F54" s="139">
        <f>IF(AND('Ações'!$AB56="SIM", 'Ações'!AX56="SIM"), 1,0)</f>
        <v>0</v>
      </c>
      <c r="G54" s="139">
        <f>IF(AND('Ações'!$AC56="SIM", 'Ações'!AS56="SIM"), 1,0)</f>
        <v>0</v>
      </c>
      <c r="H54" s="139">
        <f>IF(AND('Ações'!$AC56="SIM", 'Ações'!AT56="SIM"), 1,0)</f>
        <v>0</v>
      </c>
      <c r="I54" s="139">
        <f>IF(AND('Ações'!$AC56="SIM", 'Ações'!AU56="SIM"), 1,0)</f>
        <v>0</v>
      </c>
      <c r="J54" s="139">
        <f>IF(AND('Ações'!$AC56="SIM", 'Ações'!AV56="SIM"), 1,0)</f>
        <v>0</v>
      </c>
      <c r="K54" s="139">
        <f>IF(AND('Ações'!$AC56="SIM", 'Ações'!AW56="SIM"), 1,0)</f>
        <v>0</v>
      </c>
      <c r="L54" s="139">
        <f>IF(AND('Ações'!$AC56="SIM", 'Ações'!AX56="SIM"), 1,0)</f>
        <v>0</v>
      </c>
      <c r="M54" s="139">
        <f>IF(AND('Ações'!$AD56="SIM", 'Ações'!AS56="SIM"), 1,0)</f>
        <v>0</v>
      </c>
      <c r="N54" s="139">
        <f>IF(AND('Ações'!$AD56="SIM", 'Ações'!AT56="SIM"), 1,0)</f>
        <v>0</v>
      </c>
      <c r="O54" s="139">
        <f>IF(AND('Ações'!$AD56="SIM", 'Ações'!AU56="SIM"), 1,0)</f>
        <v>0</v>
      </c>
      <c r="P54" s="139">
        <f>IF(AND('Ações'!$AD56="SIM", 'Ações'!AV56="SIM"), 1,0)</f>
        <v>0</v>
      </c>
      <c r="Q54" s="139">
        <f>IF(AND('Ações'!$AD56="SIM", 'Ações'!AW56="SIM"), 1,0)</f>
        <v>0</v>
      </c>
      <c r="R54" s="139">
        <f>IF(AND('Ações'!$AD56="SIM", 'Ações'!AX56="SIM"), 1,0)</f>
        <v>0</v>
      </c>
    </row>
    <row r="55">
      <c r="A55" s="139">
        <f>IF(AND('Ações'!AB57="SIM", 'Ações'!AS57="SIM"), 1,0)</f>
        <v>1</v>
      </c>
      <c r="B55" s="139">
        <f>IF(AND('Ações'!$AB57="SIM", 'Ações'!AT57="SIM"), 1,0)</f>
        <v>1</v>
      </c>
      <c r="C55" s="139">
        <f>IF(AND('Ações'!$AB57="SIM", 'Ações'!AU57="SIM"), 1,0)</f>
        <v>1</v>
      </c>
      <c r="D55" s="139">
        <f>IF(AND('Ações'!$AB57="SIM", 'Ações'!AV57="SIM"), 1,0)</f>
        <v>1</v>
      </c>
      <c r="E55" s="139">
        <f>IF(AND('Ações'!$AB57="SIM", 'Ações'!AW57="SIM"), 1,0)</f>
        <v>1</v>
      </c>
      <c r="F55" s="139">
        <f>IF(AND('Ações'!$AB57="SIM", 'Ações'!AX57="SIM"), 1,0)</f>
        <v>0</v>
      </c>
      <c r="G55" s="139">
        <f>IF(AND('Ações'!$AC57="SIM", 'Ações'!AS57="SIM"), 1,0)</f>
        <v>0</v>
      </c>
      <c r="H55" s="139">
        <f>IF(AND('Ações'!$AC57="SIM", 'Ações'!AT57="SIM"), 1,0)</f>
        <v>0</v>
      </c>
      <c r="I55" s="139">
        <f>IF(AND('Ações'!$AC57="SIM", 'Ações'!AU57="SIM"), 1,0)</f>
        <v>0</v>
      </c>
      <c r="J55" s="139">
        <f>IF(AND('Ações'!$AC57="SIM", 'Ações'!AV57="SIM"), 1,0)</f>
        <v>0</v>
      </c>
      <c r="K55" s="139">
        <f>IF(AND('Ações'!$AC57="SIM", 'Ações'!AW57="SIM"), 1,0)</f>
        <v>0</v>
      </c>
      <c r="L55" s="139">
        <f>IF(AND('Ações'!$AC57="SIM", 'Ações'!AX57="SIM"), 1,0)</f>
        <v>0</v>
      </c>
      <c r="M55" s="139">
        <f>IF(AND('Ações'!$AD57="SIM", 'Ações'!AS57="SIM"), 1,0)</f>
        <v>0</v>
      </c>
      <c r="N55" s="139">
        <f>IF(AND('Ações'!$AD57="SIM", 'Ações'!AT57="SIM"), 1,0)</f>
        <v>0</v>
      </c>
      <c r="O55" s="139">
        <f>IF(AND('Ações'!$AD57="SIM", 'Ações'!AU57="SIM"), 1,0)</f>
        <v>0</v>
      </c>
      <c r="P55" s="139">
        <f>IF(AND('Ações'!$AD57="SIM", 'Ações'!AV57="SIM"), 1,0)</f>
        <v>0</v>
      </c>
      <c r="Q55" s="139">
        <f>IF(AND('Ações'!$AD57="SIM", 'Ações'!AW57="SIM"), 1,0)</f>
        <v>0</v>
      </c>
      <c r="R55" s="139">
        <f>IF(AND('Ações'!$AD57="SIM", 'Ações'!AX57="SIM"), 1,0)</f>
        <v>0</v>
      </c>
    </row>
    <row r="56">
      <c r="A56" s="139">
        <f>IF(AND('Ações'!AB58="SIM", 'Ações'!AS58="SIM"), 1,0)</f>
        <v>1</v>
      </c>
      <c r="B56" s="139">
        <f>IF(AND('Ações'!$AB58="SIM", 'Ações'!AT58="SIM"), 1,0)</f>
        <v>1</v>
      </c>
      <c r="C56" s="139">
        <f>IF(AND('Ações'!$AB58="SIM", 'Ações'!AU58="SIM"), 1,0)</f>
        <v>1</v>
      </c>
      <c r="D56" s="139">
        <f>IF(AND('Ações'!$AB58="SIM", 'Ações'!AV58="SIM"), 1,0)</f>
        <v>1</v>
      </c>
      <c r="E56" s="139">
        <f>IF(AND('Ações'!$AB58="SIM", 'Ações'!AW58="SIM"), 1,0)</f>
        <v>1</v>
      </c>
      <c r="F56" s="139">
        <f>IF(AND('Ações'!$AB58="SIM", 'Ações'!AX58="SIM"), 1,0)</f>
        <v>0</v>
      </c>
      <c r="G56" s="139">
        <f>IF(AND('Ações'!$AC58="SIM", 'Ações'!AS58="SIM"), 1,0)</f>
        <v>1</v>
      </c>
      <c r="H56" s="139">
        <f>IF(AND('Ações'!$AC58="SIM", 'Ações'!AT58="SIM"), 1,0)</f>
        <v>1</v>
      </c>
      <c r="I56" s="139">
        <f>IF(AND('Ações'!$AC58="SIM", 'Ações'!AU58="SIM"), 1,0)</f>
        <v>1</v>
      </c>
      <c r="J56" s="139">
        <f>IF(AND('Ações'!$AC58="SIM", 'Ações'!AV58="SIM"), 1,0)</f>
        <v>1</v>
      </c>
      <c r="K56" s="139">
        <f>IF(AND('Ações'!$AC58="SIM", 'Ações'!AW58="SIM"), 1,0)</f>
        <v>1</v>
      </c>
      <c r="L56" s="139">
        <f>IF(AND('Ações'!$AC58="SIM", 'Ações'!AX58="SIM"), 1,0)</f>
        <v>0</v>
      </c>
      <c r="M56" s="139">
        <f>IF(AND('Ações'!$AD58="SIM", 'Ações'!AS58="SIM"), 1,0)</f>
        <v>0</v>
      </c>
      <c r="N56" s="139">
        <f>IF(AND('Ações'!$AD58="SIM", 'Ações'!AT58="SIM"), 1,0)</f>
        <v>0</v>
      </c>
      <c r="O56" s="139">
        <f>IF(AND('Ações'!$AD58="SIM", 'Ações'!AU58="SIM"), 1,0)</f>
        <v>0</v>
      </c>
      <c r="P56" s="139">
        <f>IF(AND('Ações'!$AD58="SIM", 'Ações'!AV58="SIM"), 1,0)</f>
        <v>0</v>
      </c>
      <c r="Q56" s="139">
        <f>IF(AND('Ações'!$AD58="SIM", 'Ações'!AW58="SIM"), 1,0)</f>
        <v>0</v>
      </c>
      <c r="R56" s="139">
        <f>IF(AND('Ações'!$AD58="SIM", 'Ações'!AX58="SIM"), 1,0)</f>
        <v>0</v>
      </c>
    </row>
    <row r="57">
      <c r="A57" s="139">
        <f>IF(AND('Ações'!AB59="SIM", 'Ações'!AS59="SIM"), 1,0)</f>
        <v>1</v>
      </c>
      <c r="B57" s="139">
        <f>IF(AND('Ações'!$AB59="SIM", 'Ações'!AT59="SIM"), 1,0)</f>
        <v>1</v>
      </c>
      <c r="C57" s="139">
        <f>IF(AND('Ações'!$AB59="SIM", 'Ações'!AU59="SIM"), 1,0)</f>
        <v>1</v>
      </c>
      <c r="D57" s="139">
        <f>IF(AND('Ações'!$AB59="SIM", 'Ações'!AV59="SIM"), 1,0)</f>
        <v>1</v>
      </c>
      <c r="E57" s="139">
        <f>IF(AND('Ações'!$AB59="SIM", 'Ações'!AW59="SIM"), 1,0)</f>
        <v>1</v>
      </c>
      <c r="F57" s="139">
        <f>IF(AND('Ações'!$AB59="SIM", 'Ações'!AX59="SIM"), 1,0)</f>
        <v>0</v>
      </c>
      <c r="G57" s="139">
        <f>IF(AND('Ações'!$AC59="SIM", 'Ações'!AS59="SIM"), 1,0)</f>
        <v>1</v>
      </c>
      <c r="H57" s="139">
        <f>IF(AND('Ações'!$AC59="SIM", 'Ações'!AT59="SIM"), 1,0)</f>
        <v>1</v>
      </c>
      <c r="I57" s="139">
        <f>IF(AND('Ações'!$AC59="SIM", 'Ações'!AU59="SIM"), 1,0)</f>
        <v>1</v>
      </c>
      <c r="J57" s="139">
        <f>IF(AND('Ações'!$AC59="SIM", 'Ações'!AV59="SIM"), 1,0)</f>
        <v>1</v>
      </c>
      <c r="K57" s="139">
        <f>IF(AND('Ações'!$AC59="SIM", 'Ações'!AW59="SIM"), 1,0)</f>
        <v>1</v>
      </c>
      <c r="L57" s="139">
        <f>IF(AND('Ações'!$AC59="SIM", 'Ações'!AX59="SIM"), 1,0)</f>
        <v>0</v>
      </c>
      <c r="M57" s="139">
        <f>IF(AND('Ações'!$AD59="SIM", 'Ações'!AS59="SIM"), 1,0)</f>
        <v>0</v>
      </c>
      <c r="N57" s="139">
        <f>IF(AND('Ações'!$AD59="SIM", 'Ações'!AT59="SIM"), 1,0)</f>
        <v>0</v>
      </c>
      <c r="O57" s="139">
        <f>IF(AND('Ações'!$AD59="SIM", 'Ações'!AU59="SIM"), 1,0)</f>
        <v>0</v>
      </c>
      <c r="P57" s="139">
        <f>IF(AND('Ações'!$AD59="SIM", 'Ações'!AV59="SIM"), 1,0)</f>
        <v>0</v>
      </c>
      <c r="Q57" s="139">
        <f>IF(AND('Ações'!$AD59="SIM", 'Ações'!AW59="SIM"), 1,0)</f>
        <v>0</v>
      </c>
      <c r="R57" s="139">
        <f>IF(AND('Ações'!$AD59="SIM", 'Ações'!AX59="SIM"), 1,0)</f>
        <v>0</v>
      </c>
    </row>
    <row r="58">
      <c r="A58" s="139">
        <f>IF(AND('Ações'!AB60="SIM", 'Ações'!AS60="SIM"), 1,0)</f>
        <v>0</v>
      </c>
      <c r="B58" s="139">
        <f>IF(AND('Ações'!$AB60="SIM", 'Ações'!AT60="SIM"), 1,0)</f>
        <v>0</v>
      </c>
      <c r="C58" s="139">
        <f>IF(AND('Ações'!$AB60="SIM", 'Ações'!AU60="SIM"), 1,0)</f>
        <v>0</v>
      </c>
      <c r="D58" s="139">
        <f>IF(AND('Ações'!$AB60="SIM", 'Ações'!AV60="SIM"), 1,0)</f>
        <v>0</v>
      </c>
      <c r="E58" s="139">
        <f>IF(AND('Ações'!$AB60="SIM", 'Ações'!AW60="SIM"), 1,0)</f>
        <v>0</v>
      </c>
      <c r="F58" s="139">
        <f>IF(AND('Ações'!$AB60="SIM", 'Ações'!AX60="SIM"), 1,0)</f>
        <v>0</v>
      </c>
      <c r="G58" s="139">
        <f>IF(AND('Ações'!$AC60="SIM", 'Ações'!AS60="SIM"), 1,0)</f>
        <v>1</v>
      </c>
      <c r="H58" s="139">
        <f>IF(AND('Ações'!$AC60="SIM", 'Ações'!AT60="SIM"), 1,0)</f>
        <v>1</v>
      </c>
      <c r="I58" s="139">
        <f>IF(AND('Ações'!$AC60="SIM", 'Ações'!AU60="SIM"), 1,0)</f>
        <v>1</v>
      </c>
      <c r="J58" s="139">
        <f>IF(AND('Ações'!$AC60="SIM", 'Ações'!AV60="SIM"), 1,0)</f>
        <v>1</v>
      </c>
      <c r="K58" s="139">
        <f>IF(AND('Ações'!$AC60="SIM", 'Ações'!AW60="SIM"), 1,0)</f>
        <v>1</v>
      </c>
      <c r="L58" s="139">
        <f>IF(AND('Ações'!$AC60="SIM", 'Ações'!AX60="SIM"), 1,0)</f>
        <v>0</v>
      </c>
      <c r="M58" s="139">
        <f>IF(AND('Ações'!$AD60="SIM", 'Ações'!AS60="SIM"), 1,0)</f>
        <v>0</v>
      </c>
      <c r="N58" s="139">
        <f>IF(AND('Ações'!$AD60="SIM", 'Ações'!AT60="SIM"), 1,0)</f>
        <v>0</v>
      </c>
      <c r="O58" s="139">
        <f>IF(AND('Ações'!$AD60="SIM", 'Ações'!AU60="SIM"), 1,0)</f>
        <v>0</v>
      </c>
      <c r="P58" s="139">
        <f>IF(AND('Ações'!$AD60="SIM", 'Ações'!AV60="SIM"), 1,0)</f>
        <v>0</v>
      </c>
      <c r="Q58" s="139">
        <f>IF(AND('Ações'!$AD60="SIM", 'Ações'!AW60="SIM"), 1,0)</f>
        <v>0</v>
      </c>
      <c r="R58" s="139">
        <f>IF(AND('Ações'!$AD60="SIM", 'Ações'!AX60="SIM"), 1,0)</f>
        <v>0</v>
      </c>
    </row>
    <row r="59">
      <c r="A59" s="139">
        <f>IF(AND('Ações'!AB61="SIM", 'Ações'!AS61="SIM"), 1,0)</f>
        <v>1</v>
      </c>
      <c r="B59" s="139">
        <f>IF(AND('Ações'!$AB61="SIM", 'Ações'!AT61="SIM"), 1,0)</f>
        <v>1</v>
      </c>
      <c r="C59" s="139">
        <f>IF(AND('Ações'!$AB61="SIM", 'Ações'!AU61="SIM"), 1,0)</f>
        <v>1</v>
      </c>
      <c r="D59" s="139">
        <f>IF(AND('Ações'!$AB61="SIM", 'Ações'!AV61="SIM"), 1,0)</f>
        <v>1</v>
      </c>
      <c r="E59" s="139">
        <f>IF(AND('Ações'!$AB61="SIM", 'Ações'!AW61="SIM"), 1,0)</f>
        <v>1</v>
      </c>
      <c r="F59" s="139">
        <f>IF(AND('Ações'!$AB61="SIM", 'Ações'!AX61="SIM"), 1,0)</f>
        <v>0</v>
      </c>
      <c r="G59" s="139">
        <f>IF(AND('Ações'!$AC61="SIM", 'Ações'!AS61="SIM"), 1,0)</f>
        <v>1</v>
      </c>
      <c r="H59" s="139">
        <f>IF(AND('Ações'!$AC61="SIM", 'Ações'!AT61="SIM"), 1,0)</f>
        <v>1</v>
      </c>
      <c r="I59" s="139">
        <f>IF(AND('Ações'!$AC61="SIM", 'Ações'!AU61="SIM"), 1,0)</f>
        <v>1</v>
      </c>
      <c r="J59" s="139">
        <f>IF(AND('Ações'!$AC61="SIM", 'Ações'!AV61="SIM"), 1,0)</f>
        <v>1</v>
      </c>
      <c r="K59" s="139">
        <f>IF(AND('Ações'!$AC61="SIM", 'Ações'!AW61="SIM"), 1,0)</f>
        <v>1</v>
      </c>
      <c r="L59" s="139">
        <f>IF(AND('Ações'!$AC61="SIM", 'Ações'!AX61="SIM"), 1,0)</f>
        <v>0</v>
      </c>
      <c r="M59" s="139">
        <f>IF(AND('Ações'!$AD61="SIM", 'Ações'!AS61="SIM"), 1,0)</f>
        <v>0</v>
      </c>
      <c r="N59" s="139">
        <f>IF(AND('Ações'!$AD61="SIM", 'Ações'!AT61="SIM"), 1,0)</f>
        <v>0</v>
      </c>
      <c r="O59" s="139">
        <f>IF(AND('Ações'!$AD61="SIM", 'Ações'!AU61="SIM"), 1,0)</f>
        <v>0</v>
      </c>
      <c r="P59" s="139">
        <f>IF(AND('Ações'!$AD61="SIM", 'Ações'!AV61="SIM"), 1,0)</f>
        <v>0</v>
      </c>
      <c r="Q59" s="139">
        <f>IF(AND('Ações'!$AD61="SIM", 'Ações'!AW61="SIM"), 1,0)</f>
        <v>0</v>
      </c>
      <c r="R59" s="139">
        <f>IF(AND('Ações'!$AD61="SIM", 'Ações'!AX61="SIM"), 1,0)</f>
        <v>0</v>
      </c>
    </row>
    <row r="60">
      <c r="A60" s="139">
        <f>IF(AND('Ações'!AB62="SIM", 'Ações'!AS62="SIM"), 1,0)</f>
        <v>1</v>
      </c>
      <c r="B60" s="139">
        <f>IF(AND('Ações'!$AB62="SIM", 'Ações'!AT62="SIM"), 1,0)</f>
        <v>1</v>
      </c>
      <c r="C60" s="139">
        <f>IF(AND('Ações'!$AB62="SIM", 'Ações'!AU62="SIM"), 1,0)</f>
        <v>1</v>
      </c>
      <c r="D60" s="139">
        <f>IF(AND('Ações'!$AB62="SIM", 'Ações'!AV62="SIM"), 1,0)</f>
        <v>1</v>
      </c>
      <c r="E60" s="139">
        <f>IF(AND('Ações'!$AB62="SIM", 'Ações'!AW62="SIM"), 1,0)</f>
        <v>1</v>
      </c>
      <c r="F60" s="139">
        <f>IF(AND('Ações'!$AB62="SIM", 'Ações'!AX62="SIM"), 1,0)</f>
        <v>0</v>
      </c>
      <c r="G60" s="139">
        <f>IF(AND('Ações'!$AC62="SIM", 'Ações'!AS62="SIM"), 1,0)</f>
        <v>1</v>
      </c>
      <c r="H60" s="139">
        <f>IF(AND('Ações'!$AC62="SIM", 'Ações'!AT62="SIM"), 1,0)</f>
        <v>1</v>
      </c>
      <c r="I60" s="139">
        <f>IF(AND('Ações'!$AC62="SIM", 'Ações'!AU62="SIM"), 1,0)</f>
        <v>1</v>
      </c>
      <c r="J60" s="139">
        <f>IF(AND('Ações'!$AC62="SIM", 'Ações'!AV62="SIM"), 1,0)</f>
        <v>1</v>
      </c>
      <c r="K60" s="139">
        <f>IF(AND('Ações'!$AC62="SIM", 'Ações'!AW62="SIM"), 1,0)</f>
        <v>1</v>
      </c>
      <c r="L60" s="139">
        <f>IF(AND('Ações'!$AC62="SIM", 'Ações'!AX62="SIM"), 1,0)</f>
        <v>0</v>
      </c>
      <c r="M60" s="139">
        <f>IF(AND('Ações'!$AD62="SIM", 'Ações'!AS62="SIM"), 1,0)</f>
        <v>0</v>
      </c>
      <c r="N60" s="139">
        <f>IF(AND('Ações'!$AD62="SIM", 'Ações'!AT62="SIM"), 1,0)</f>
        <v>0</v>
      </c>
      <c r="O60" s="139">
        <f>IF(AND('Ações'!$AD62="SIM", 'Ações'!AU62="SIM"), 1,0)</f>
        <v>0</v>
      </c>
      <c r="P60" s="139">
        <f>IF(AND('Ações'!$AD62="SIM", 'Ações'!AV62="SIM"), 1,0)</f>
        <v>0</v>
      </c>
      <c r="Q60" s="139">
        <f>IF(AND('Ações'!$AD62="SIM", 'Ações'!AW62="SIM"), 1,0)</f>
        <v>0</v>
      </c>
      <c r="R60" s="139">
        <f>IF(AND('Ações'!$AD62="SIM", 'Ações'!AX62="SIM"), 1,0)</f>
        <v>0</v>
      </c>
    </row>
    <row r="61">
      <c r="A61" s="139">
        <f>IF(AND('Ações'!AB63="SIM", 'Ações'!AS63="SIM"), 1,0)</f>
        <v>0</v>
      </c>
      <c r="B61" s="139">
        <f>IF(AND('Ações'!$AB63="SIM", 'Ações'!AT63="SIM"), 1,0)</f>
        <v>0</v>
      </c>
      <c r="C61" s="139">
        <f>IF(AND('Ações'!$AB63="SIM", 'Ações'!AU63="SIM"), 1,0)</f>
        <v>0</v>
      </c>
      <c r="D61" s="139">
        <f>IF(AND('Ações'!$AB63="SIM", 'Ações'!AV63="SIM"), 1,0)</f>
        <v>0</v>
      </c>
      <c r="E61" s="139">
        <f>IF(AND('Ações'!$AB63="SIM", 'Ações'!AW63="SIM"), 1,0)</f>
        <v>0</v>
      </c>
      <c r="F61" s="139">
        <f>IF(AND('Ações'!$AB63="SIM", 'Ações'!AX63="SIM"), 1,0)</f>
        <v>0</v>
      </c>
      <c r="G61" s="139">
        <f>IF(AND('Ações'!$AC63="SIM", 'Ações'!AS63="SIM"), 1,0)</f>
        <v>1</v>
      </c>
      <c r="H61" s="139">
        <f>IF(AND('Ações'!$AC63="SIM", 'Ações'!AT63="SIM"), 1,0)</f>
        <v>1</v>
      </c>
      <c r="I61" s="139">
        <f>IF(AND('Ações'!$AC63="SIM", 'Ações'!AU63="SIM"), 1,0)</f>
        <v>1</v>
      </c>
      <c r="J61" s="139">
        <f>IF(AND('Ações'!$AC63="SIM", 'Ações'!AV63="SIM"), 1,0)</f>
        <v>1</v>
      </c>
      <c r="K61" s="139">
        <f>IF(AND('Ações'!$AC63="SIM", 'Ações'!AW63="SIM"), 1,0)</f>
        <v>1</v>
      </c>
      <c r="L61" s="139">
        <f>IF(AND('Ações'!$AC63="SIM", 'Ações'!AX63="SIM"), 1,0)</f>
        <v>0</v>
      </c>
      <c r="M61" s="139">
        <f>IF(AND('Ações'!$AD63="SIM", 'Ações'!AS63="SIM"), 1,0)</f>
        <v>0</v>
      </c>
      <c r="N61" s="139">
        <f>IF(AND('Ações'!$AD63="SIM", 'Ações'!AT63="SIM"), 1,0)</f>
        <v>0</v>
      </c>
      <c r="O61" s="139">
        <f>IF(AND('Ações'!$AD63="SIM", 'Ações'!AU63="SIM"), 1,0)</f>
        <v>0</v>
      </c>
      <c r="P61" s="139">
        <f>IF(AND('Ações'!$AD63="SIM", 'Ações'!AV63="SIM"), 1,0)</f>
        <v>0</v>
      </c>
      <c r="Q61" s="139">
        <f>IF(AND('Ações'!$AD63="SIM", 'Ações'!AW63="SIM"), 1,0)</f>
        <v>0</v>
      </c>
      <c r="R61" s="139">
        <f>IF(AND('Ações'!$AD63="SIM", 'Ações'!AX63="SIM"), 1,0)</f>
        <v>0</v>
      </c>
    </row>
    <row r="62">
      <c r="A62" s="139">
        <f>IF(AND('Ações'!AB65="SIM", 'Ações'!AS65="SIM"), 1,0)</f>
        <v>0</v>
      </c>
      <c r="B62" s="139">
        <f>IF(AND('Ações'!$AB65="SIM", 'Ações'!AT65="SIM"), 1,0)</f>
        <v>0</v>
      </c>
      <c r="C62" s="139">
        <f>IF(AND('Ações'!$AB65="SIM", 'Ações'!AU65="SIM"), 1,0)</f>
        <v>0</v>
      </c>
      <c r="D62" s="139">
        <f>IF(AND('Ações'!$AB65="SIM", 'Ações'!AV65="SIM"), 1,0)</f>
        <v>0</v>
      </c>
      <c r="E62" s="139">
        <f>IF(AND('Ações'!$AB65="SIM", 'Ações'!AW65="SIM"), 1,0)</f>
        <v>0</v>
      </c>
      <c r="F62" s="139">
        <f>IF(AND('Ações'!$AB65="SIM", 'Ações'!AX65="SIM"), 1,0)</f>
        <v>0</v>
      </c>
      <c r="G62" s="139">
        <f>IF(AND('Ações'!$AC65="SIM", 'Ações'!AS65="SIM"), 1,0)</f>
        <v>1</v>
      </c>
      <c r="H62" s="139">
        <f>IF(AND('Ações'!$AC65="SIM", 'Ações'!AT65="SIM"), 1,0)</f>
        <v>1</v>
      </c>
      <c r="I62" s="139">
        <f>IF(AND('Ações'!$AC65="SIM", 'Ações'!AU65="SIM"), 1,0)</f>
        <v>1</v>
      </c>
      <c r="J62" s="139">
        <f>IF(AND('Ações'!$AC65="SIM", 'Ações'!AV65="SIM"), 1,0)</f>
        <v>1</v>
      </c>
      <c r="K62" s="139">
        <f>IF(AND('Ações'!$AC65="SIM", 'Ações'!AW65="SIM"), 1,0)</f>
        <v>1</v>
      </c>
      <c r="L62" s="139">
        <f>IF(AND('Ações'!$AC65="SIM", 'Ações'!AX65="SIM"), 1,0)</f>
        <v>0</v>
      </c>
      <c r="M62" s="139">
        <f>IF(AND('Ações'!$AD65="SIM", 'Ações'!AS65="SIM"), 1,0)</f>
        <v>0</v>
      </c>
      <c r="N62" s="139">
        <f>IF(AND('Ações'!$AD65="SIM", 'Ações'!AT65="SIM"), 1,0)</f>
        <v>0</v>
      </c>
      <c r="O62" s="139">
        <f>IF(AND('Ações'!$AD65="SIM", 'Ações'!AU65="SIM"), 1,0)</f>
        <v>0</v>
      </c>
      <c r="P62" s="139">
        <f>IF(AND('Ações'!$AD65="SIM", 'Ações'!AV65="SIM"), 1,0)</f>
        <v>0</v>
      </c>
      <c r="Q62" s="139">
        <f>IF(AND('Ações'!$AD65="SIM", 'Ações'!AW65="SIM"), 1,0)</f>
        <v>0</v>
      </c>
      <c r="R62" s="139">
        <f>IF(AND('Ações'!$AD65="SIM", 'Ações'!AX65="SIM"), 1,0)</f>
        <v>0</v>
      </c>
    </row>
    <row r="63">
      <c r="A63" s="139">
        <f>IF(AND('Ações'!AB66="SIM", 'Ações'!AS66="SIM"), 1,0)</f>
        <v>0</v>
      </c>
      <c r="B63" s="139">
        <f>IF(AND('Ações'!$AB66="SIM", 'Ações'!AT66="SIM"), 1,0)</f>
        <v>0</v>
      </c>
      <c r="C63" s="139">
        <f>IF(AND('Ações'!$AB66="SIM", 'Ações'!AU66="SIM"), 1,0)</f>
        <v>0</v>
      </c>
      <c r="D63" s="139">
        <f>IF(AND('Ações'!$AB66="SIM", 'Ações'!AV66="SIM"), 1,0)</f>
        <v>0</v>
      </c>
      <c r="E63" s="139">
        <f>IF(AND('Ações'!$AB66="SIM", 'Ações'!AW66="SIM"), 1,0)</f>
        <v>0</v>
      </c>
      <c r="F63" s="139">
        <f>IF(AND('Ações'!$AB66="SIM", 'Ações'!AX66="SIM"), 1,0)</f>
        <v>0</v>
      </c>
      <c r="G63" s="139">
        <f>IF(AND('Ações'!$AC66="SIM", 'Ações'!AS66="SIM"), 1,0)</f>
        <v>1</v>
      </c>
      <c r="H63" s="139">
        <f>IF(AND('Ações'!$AC66="SIM", 'Ações'!AT66="SIM"), 1,0)</f>
        <v>1</v>
      </c>
      <c r="I63" s="139">
        <f>IF(AND('Ações'!$AC66="SIM", 'Ações'!AU66="SIM"), 1,0)</f>
        <v>1</v>
      </c>
      <c r="J63" s="139">
        <f>IF(AND('Ações'!$AC66="SIM", 'Ações'!AV66="SIM"), 1,0)</f>
        <v>1</v>
      </c>
      <c r="K63" s="139">
        <f>IF(AND('Ações'!$AC66="SIM", 'Ações'!AW66="SIM"), 1,0)</f>
        <v>1</v>
      </c>
      <c r="L63" s="139">
        <f>IF(AND('Ações'!$AC66="SIM", 'Ações'!AX66="SIM"), 1,0)</f>
        <v>0</v>
      </c>
      <c r="M63" s="139">
        <f>IF(AND('Ações'!$AD66="SIM", 'Ações'!AS66="SIM"), 1,0)</f>
        <v>0</v>
      </c>
      <c r="N63" s="139">
        <f>IF(AND('Ações'!$AD66="SIM", 'Ações'!AT66="SIM"), 1,0)</f>
        <v>0</v>
      </c>
      <c r="O63" s="139">
        <f>IF(AND('Ações'!$AD66="SIM", 'Ações'!AU66="SIM"), 1,0)</f>
        <v>0</v>
      </c>
      <c r="P63" s="139">
        <f>IF(AND('Ações'!$AD66="SIM", 'Ações'!AV66="SIM"), 1,0)</f>
        <v>0</v>
      </c>
      <c r="Q63" s="139">
        <f>IF(AND('Ações'!$AD66="SIM", 'Ações'!AW66="SIM"), 1,0)</f>
        <v>0</v>
      </c>
      <c r="R63" s="139">
        <f>IF(AND('Ações'!$AD66="SIM", 'Ações'!AX66="SIM"), 1,0)</f>
        <v>0</v>
      </c>
    </row>
    <row r="64">
      <c r="A64" s="139">
        <f>IF(AND('Ações'!AB67="SIM", 'Ações'!AS67="SIM"), 1,0)</f>
        <v>0</v>
      </c>
      <c r="B64" s="139">
        <f>IF(AND('Ações'!$AB67="SIM", 'Ações'!AT67="SIM"), 1,0)</f>
        <v>0</v>
      </c>
      <c r="C64" s="139">
        <f>IF(AND('Ações'!$AB67="SIM", 'Ações'!AU67="SIM"), 1,0)</f>
        <v>0</v>
      </c>
      <c r="D64" s="139">
        <f>IF(AND('Ações'!$AB67="SIM", 'Ações'!AV67="SIM"), 1,0)</f>
        <v>0</v>
      </c>
      <c r="E64" s="139">
        <f>IF(AND('Ações'!$AB67="SIM", 'Ações'!AW67="SIM"), 1,0)</f>
        <v>0</v>
      </c>
      <c r="F64" s="139">
        <f>IF(AND('Ações'!$AB67="SIM", 'Ações'!AX67="SIM"), 1,0)</f>
        <v>0</v>
      </c>
      <c r="G64" s="139">
        <f>IF(AND('Ações'!$AC67="SIM", 'Ações'!AS67="SIM"), 1,0)</f>
        <v>1</v>
      </c>
      <c r="H64" s="139">
        <f>IF(AND('Ações'!$AC67="SIM", 'Ações'!AT67="SIM"), 1,0)</f>
        <v>1</v>
      </c>
      <c r="I64" s="139">
        <f>IF(AND('Ações'!$AC67="SIM", 'Ações'!AU67="SIM"), 1,0)</f>
        <v>1</v>
      </c>
      <c r="J64" s="139">
        <f>IF(AND('Ações'!$AC67="SIM", 'Ações'!AV67="SIM"), 1,0)</f>
        <v>1</v>
      </c>
      <c r="K64" s="139">
        <f>IF(AND('Ações'!$AC67="SIM", 'Ações'!AW67="SIM"), 1,0)</f>
        <v>1</v>
      </c>
      <c r="L64" s="139">
        <f>IF(AND('Ações'!$AC67="SIM", 'Ações'!AX67="SIM"), 1,0)</f>
        <v>0</v>
      </c>
      <c r="M64" s="139">
        <f>IF(AND('Ações'!$AD67="SIM", 'Ações'!AS67="SIM"), 1,0)</f>
        <v>0</v>
      </c>
      <c r="N64" s="139">
        <f>IF(AND('Ações'!$AD67="SIM", 'Ações'!AT67="SIM"), 1,0)</f>
        <v>0</v>
      </c>
      <c r="O64" s="139">
        <f>IF(AND('Ações'!$AD67="SIM", 'Ações'!AU67="SIM"), 1,0)</f>
        <v>0</v>
      </c>
      <c r="P64" s="139">
        <f>IF(AND('Ações'!$AD67="SIM", 'Ações'!AV67="SIM"), 1,0)</f>
        <v>0</v>
      </c>
      <c r="Q64" s="139">
        <f>IF(AND('Ações'!$AD67="SIM", 'Ações'!AW67="SIM"), 1,0)</f>
        <v>0</v>
      </c>
      <c r="R64" s="139">
        <f>IF(AND('Ações'!$AD67="SIM", 'Ações'!AX67="SIM"), 1,0)</f>
        <v>0</v>
      </c>
    </row>
    <row r="65">
      <c r="A65" s="139">
        <f>IF(AND('Ações'!AB68="SIM", 'Ações'!AS68="SIM"), 1,0)</f>
        <v>1</v>
      </c>
      <c r="B65" s="139">
        <f>IF(AND('Ações'!$AB68="SIM", 'Ações'!AT68="SIM"), 1,0)</f>
        <v>1</v>
      </c>
      <c r="C65" s="139">
        <f>IF(AND('Ações'!$AB68="SIM", 'Ações'!AU68="SIM"), 1,0)</f>
        <v>1</v>
      </c>
      <c r="D65" s="139">
        <f>IF(AND('Ações'!$AB68="SIM", 'Ações'!AV68="SIM"), 1,0)</f>
        <v>1</v>
      </c>
      <c r="E65" s="139">
        <f>IF(AND('Ações'!$AB68="SIM", 'Ações'!AW68="SIM"), 1,0)</f>
        <v>1</v>
      </c>
      <c r="F65" s="139">
        <f>IF(AND('Ações'!$AB68="SIM", 'Ações'!AX68="SIM"), 1,0)</f>
        <v>0</v>
      </c>
      <c r="G65" s="139">
        <f>IF(AND('Ações'!$AC68="SIM", 'Ações'!AS68="SIM"), 1,0)</f>
        <v>1</v>
      </c>
      <c r="H65" s="139">
        <f>IF(AND('Ações'!$AC68="SIM", 'Ações'!AT68="SIM"), 1,0)</f>
        <v>1</v>
      </c>
      <c r="I65" s="139">
        <f>IF(AND('Ações'!$AC68="SIM", 'Ações'!AU68="SIM"), 1,0)</f>
        <v>1</v>
      </c>
      <c r="J65" s="139">
        <f>IF(AND('Ações'!$AC68="SIM", 'Ações'!AV68="SIM"), 1,0)</f>
        <v>1</v>
      </c>
      <c r="K65" s="139">
        <f>IF(AND('Ações'!$AC68="SIM", 'Ações'!AW68="SIM"), 1,0)</f>
        <v>1</v>
      </c>
      <c r="L65" s="139">
        <f>IF(AND('Ações'!$AC68="SIM", 'Ações'!AX68="SIM"), 1,0)</f>
        <v>0</v>
      </c>
      <c r="M65" s="139">
        <f>IF(AND('Ações'!$AD68="SIM", 'Ações'!AS68="SIM"), 1,0)</f>
        <v>0</v>
      </c>
      <c r="N65" s="139">
        <f>IF(AND('Ações'!$AD68="SIM", 'Ações'!AT68="SIM"), 1,0)</f>
        <v>0</v>
      </c>
      <c r="O65" s="139">
        <f>IF(AND('Ações'!$AD68="SIM", 'Ações'!AU68="SIM"), 1,0)</f>
        <v>0</v>
      </c>
      <c r="P65" s="139">
        <f>IF(AND('Ações'!$AD68="SIM", 'Ações'!AV68="SIM"), 1,0)</f>
        <v>0</v>
      </c>
      <c r="Q65" s="139">
        <f>IF(AND('Ações'!$AD68="SIM", 'Ações'!AW68="SIM"), 1,0)</f>
        <v>0</v>
      </c>
      <c r="R65" s="139">
        <f>IF(AND('Ações'!$AD68="SIM", 'Ações'!AX68="SIM"), 1,0)</f>
        <v>0</v>
      </c>
    </row>
    <row r="66">
      <c r="A66" s="139">
        <f>IF(AND('Ações'!AB69="SIM", 'Ações'!AS69="SIM"), 1,0)</f>
        <v>0</v>
      </c>
      <c r="B66" s="139">
        <f>IF(AND('Ações'!$AB69="SIM", 'Ações'!AT69="SIM"), 1,0)</f>
        <v>0</v>
      </c>
      <c r="C66" s="139">
        <f>IF(AND('Ações'!$AB69="SIM", 'Ações'!AU69="SIM"), 1,0)</f>
        <v>0</v>
      </c>
      <c r="D66" s="139">
        <f>IF(AND('Ações'!$AB69="SIM", 'Ações'!AV69="SIM"), 1,0)</f>
        <v>0</v>
      </c>
      <c r="E66" s="139">
        <f>IF(AND('Ações'!$AB69="SIM", 'Ações'!AW69="SIM"), 1,0)</f>
        <v>0</v>
      </c>
      <c r="F66" s="139">
        <f>IF(AND('Ações'!$AB69="SIM", 'Ações'!AX69="SIM"), 1,0)</f>
        <v>0</v>
      </c>
      <c r="G66" s="139">
        <f>IF(AND('Ações'!$AC69="SIM", 'Ações'!AS69="SIM"), 1,0)</f>
        <v>1</v>
      </c>
      <c r="H66" s="139">
        <f>IF(AND('Ações'!$AC69="SIM", 'Ações'!AT69="SIM"), 1,0)</f>
        <v>1</v>
      </c>
      <c r="I66" s="139">
        <f>IF(AND('Ações'!$AC69="SIM", 'Ações'!AU69="SIM"), 1,0)</f>
        <v>1</v>
      </c>
      <c r="J66" s="139">
        <f>IF(AND('Ações'!$AC69="SIM", 'Ações'!AV69="SIM"), 1,0)</f>
        <v>1</v>
      </c>
      <c r="K66" s="139">
        <f>IF(AND('Ações'!$AC69="SIM", 'Ações'!AW69="SIM"), 1,0)</f>
        <v>1</v>
      </c>
      <c r="L66" s="139">
        <f>IF(AND('Ações'!$AC69="SIM", 'Ações'!AX69="SIM"), 1,0)</f>
        <v>0</v>
      </c>
      <c r="M66" s="139">
        <f>IF(AND('Ações'!$AD69="SIM", 'Ações'!AS69="SIM"), 1,0)</f>
        <v>0</v>
      </c>
      <c r="N66" s="139">
        <f>IF(AND('Ações'!$AD69="SIM", 'Ações'!AT69="SIM"), 1,0)</f>
        <v>0</v>
      </c>
      <c r="O66" s="139">
        <f>IF(AND('Ações'!$AD69="SIM", 'Ações'!AU69="SIM"), 1,0)</f>
        <v>0</v>
      </c>
      <c r="P66" s="139">
        <f>IF(AND('Ações'!$AD69="SIM", 'Ações'!AV69="SIM"), 1,0)</f>
        <v>0</v>
      </c>
      <c r="Q66" s="139">
        <f>IF(AND('Ações'!$AD69="SIM", 'Ações'!AW69="SIM"), 1,0)</f>
        <v>0</v>
      </c>
      <c r="R66" s="139">
        <f>IF(AND('Ações'!$AD69="SIM", 'Ações'!AX69="SIM"), 1,0)</f>
        <v>0</v>
      </c>
    </row>
    <row r="67">
      <c r="A67" s="139">
        <f>IF(AND('Ações'!AB70="SIM", 'Ações'!AS70="SIM"), 1,0)</f>
        <v>0</v>
      </c>
      <c r="B67" s="139">
        <f>IF(AND('Ações'!$AB70="SIM", 'Ações'!AT70="SIM"), 1,0)</f>
        <v>1</v>
      </c>
      <c r="C67" s="139">
        <f>IF(AND('Ações'!$AB70="SIM", 'Ações'!AU70="SIM"), 1,0)</f>
        <v>1</v>
      </c>
      <c r="D67" s="139">
        <f>IF(AND('Ações'!$AB70="SIM", 'Ações'!AV70="SIM"), 1,0)</f>
        <v>1</v>
      </c>
      <c r="E67" s="139">
        <f>IF(AND('Ações'!$AB70="SIM", 'Ações'!AW70="SIM"), 1,0)</f>
        <v>1</v>
      </c>
      <c r="F67" s="139">
        <f>IF(AND('Ações'!$AB70="SIM", 'Ações'!AX70="SIM"), 1,0)</f>
        <v>0</v>
      </c>
      <c r="G67" s="139">
        <f>IF(AND('Ações'!$AC70="SIM", 'Ações'!AS70="SIM"), 1,0)</f>
        <v>0</v>
      </c>
      <c r="H67" s="139">
        <f>IF(AND('Ações'!$AC70="SIM", 'Ações'!AT70="SIM"), 1,0)</f>
        <v>1</v>
      </c>
      <c r="I67" s="139">
        <f>IF(AND('Ações'!$AC70="SIM", 'Ações'!AU70="SIM"), 1,0)</f>
        <v>1</v>
      </c>
      <c r="J67" s="139">
        <f>IF(AND('Ações'!$AC70="SIM", 'Ações'!AV70="SIM"), 1,0)</f>
        <v>1</v>
      </c>
      <c r="K67" s="139">
        <f>IF(AND('Ações'!$AC70="SIM", 'Ações'!AW70="SIM"), 1,0)</f>
        <v>1</v>
      </c>
      <c r="L67" s="139">
        <f>IF(AND('Ações'!$AC70="SIM", 'Ações'!AX70="SIM"), 1,0)</f>
        <v>0</v>
      </c>
      <c r="M67" s="139">
        <f>IF(AND('Ações'!$AD70="SIM", 'Ações'!AS70="SIM"), 1,0)</f>
        <v>0</v>
      </c>
      <c r="N67" s="139">
        <f>IF(AND('Ações'!$AD70="SIM", 'Ações'!AT70="SIM"), 1,0)</f>
        <v>1</v>
      </c>
      <c r="O67" s="139">
        <f>IF(AND('Ações'!$AD70="SIM", 'Ações'!AU70="SIM"), 1,0)</f>
        <v>1</v>
      </c>
      <c r="P67" s="139">
        <f>IF(AND('Ações'!$AD70="SIM", 'Ações'!AV70="SIM"), 1,0)</f>
        <v>1</v>
      </c>
      <c r="Q67" s="139">
        <f>IF(AND('Ações'!$AD70="SIM", 'Ações'!AW70="SIM"), 1,0)</f>
        <v>1</v>
      </c>
      <c r="R67" s="139">
        <f>IF(AND('Ações'!$AD70="SIM", 'Ações'!AX70="SIM"), 1,0)</f>
        <v>0</v>
      </c>
    </row>
    <row r="68">
      <c r="A68" s="139">
        <f>IF(AND('Ações'!AB71="SIM", 'Ações'!AS71="SIM"), 1,0)</f>
        <v>0</v>
      </c>
      <c r="B68" s="139">
        <f>IF(AND('Ações'!$AB71="SIM", 'Ações'!AT71="SIM"), 1,0)</f>
        <v>1</v>
      </c>
      <c r="C68" s="139">
        <f>IF(AND('Ações'!$AB71="SIM", 'Ações'!AU71="SIM"), 1,0)</f>
        <v>1</v>
      </c>
      <c r="D68" s="139">
        <f>IF(AND('Ações'!$AB71="SIM", 'Ações'!AV71="SIM"), 1,0)</f>
        <v>1</v>
      </c>
      <c r="E68" s="139">
        <f>IF(AND('Ações'!$AB71="SIM", 'Ações'!AW71="SIM"), 1,0)</f>
        <v>1</v>
      </c>
      <c r="F68" s="139">
        <f>IF(AND('Ações'!$AB71="SIM", 'Ações'!AX71="SIM"), 1,0)</f>
        <v>0</v>
      </c>
      <c r="G68" s="139">
        <f>IF(AND('Ações'!$AC71="SIM", 'Ações'!AS71="SIM"), 1,0)</f>
        <v>0</v>
      </c>
      <c r="H68" s="139">
        <f>IF(AND('Ações'!$AC71="SIM", 'Ações'!AT71="SIM"), 1,0)</f>
        <v>0</v>
      </c>
      <c r="I68" s="139">
        <f>IF(AND('Ações'!$AC71="SIM", 'Ações'!AU71="SIM"), 1,0)</f>
        <v>0</v>
      </c>
      <c r="J68" s="139">
        <f>IF(AND('Ações'!$AC71="SIM", 'Ações'!AV71="SIM"), 1,0)</f>
        <v>0</v>
      </c>
      <c r="K68" s="139">
        <f>IF(AND('Ações'!$AC71="SIM", 'Ações'!AW71="SIM"), 1,0)</f>
        <v>0</v>
      </c>
      <c r="L68" s="139">
        <f>IF(AND('Ações'!$AC71="SIM", 'Ações'!AX71="SIM"), 1,0)</f>
        <v>0</v>
      </c>
      <c r="M68" s="139">
        <f>IF(AND('Ações'!$AD71="SIM", 'Ações'!AS71="SIM"), 1,0)</f>
        <v>0</v>
      </c>
      <c r="N68" s="139">
        <f>IF(AND('Ações'!$AD71="SIM", 'Ações'!AT71="SIM"), 1,0)</f>
        <v>0</v>
      </c>
      <c r="O68" s="139">
        <f>IF(AND('Ações'!$AD71="SIM", 'Ações'!AU71="SIM"), 1,0)</f>
        <v>0</v>
      </c>
      <c r="P68" s="139">
        <f>IF(AND('Ações'!$AD71="SIM", 'Ações'!AV71="SIM"), 1,0)</f>
        <v>0</v>
      </c>
      <c r="Q68" s="139">
        <f>IF(AND('Ações'!$AD71="SIM", 'Ações'!AW71="SIM"), 1,0)</f>
        <v>0</v>
      </c>
      <c r="R68" s="139">
        <f>IF(AND('Ações'!$AD71="SIM", 'Ações'!AX71="SIM"), 1,0)</f>
        <v>0</v>
      </c>
    </row>
    <row r="69">
      <c r="A69" s="139">
        <f>IF(AND('Ações'!AB72="SIM", 'Ações'!AS72="SIM"), 1,0)</f>
        <v>0</v>
      </c>
      <c r="B69" s="139">
        <f>IF(AND('Ações'!$AB72="SIM", 'Ações'!AT72="SIM"), 1,0)</f>
        <v>1</v>
      </c>
      <c r="C69" s="139">
        <f>IF(AND('Ações'!$AB72="SIM", 'Ações'!AU72="SIM"), 1,0)</f>
        <v>1</v>
      </c>
      <c r="D69" s="139">
        <f>IF(AND('Ações'!$AB72="SIM", 'Ações'!AV72="SIM"), 1,0)</f>
        <v>1</v>
      </c>
      <c r="E69" s="139">
        <f>IF(AND('Ações'!$AB72="SIM", 'Ações'!AW72="SIM"), 1,0)</f>
        <v>1</v>
      </c>
      <c r="F69" s="139">
        <f>IF(AND('Ações'!$AB72="SIM", 'Ações'!AX72="SIM"), 1,0)</f>
        <v>0</v>
      </c>
      <c r="G69" s="139">
        <f>IF(AND('Ações'!$AC72="SIM", 'Ações'!AS72="SIM"), 1,0)</f>
        <v>0</v>
      </c>
      <c r="H69" s="139">
        <f>IF(AND('Ações'!$AC72="SIM", 'Ações'!AT72="SIM"), 1,0)</f>
        <v>0</v>
      </c>
      <c r="I69" s="139">
        <f>IF(AND('Ações'!$AC72="SIM", 'Ações'!AU72="SIM"), 1,0)</f>
        <v>0</v>
      </c>
      <c r="J69" s="139">
        <f>IF(AND('Ações'!$AC72="SIM", 'Ações'!AV72="SIM"), 1,0)</f>
        <v>0</v>
      </c>
      <c r="K69" s="139">
        <f>IF(AND('Ações'!$AC72="SIM", 'Ações'!AW72="SIM"), 1,0)</f>
        <v>0</v>
      </c>
      <c r="L69" s="139">
        <f>IF(AND('Ações'!$AC72="SIM", 'Ações'!AX72="SIM"), 1,0)</f>
        <v>0</v>
      </c>
      <c r="M69" s="139">
        <f>IF(AND('Ações'!$AD72="SIM", 'Ações'!AS72="SIM"), 1,0)</f>
        <v>0</v>
      </c>
      <c r="N69" s="139">
        <f>IF(AND('Ações'!$AD72="SIM", 'Ações'!AT72="SIM"), 1,0)</f>
        <v>0</v>
      </c>
      <c r="O69" s="139">
        <f>IF(AND('Ações'!$AD72="SIM", 'Ações'!AU72="SIM"), 1,0)</f>
        <v>0</v>
      </c>
      <c r="P69" s="139">
        <f>IF(AND('Ações'!$AD72="SIM", 'Ações'!AV72="SIM"), 1,0)</f>
        <v>0</v>
      </c>
      <c r="Q69" s="139">
        <f>IF(AND('Ações'!$AD72="SIM", 'Ações'!AW72="SIM"), 1,0)</f>
        <v>0</v>
      </c>
      <c r="R69" s="139">
        <f>IF(AND('Ações'!$AD72="SIM", 'Ações'!AX72="SIM"), 1,0)</f>
        <v>0</v>
      </c>
    </row>
    <row r="70">
      <c r="A70" s="139">
        <f>IF(AND('Ações'!AB73="SIM", 'Ações'!AS73="SIM"), 1,0)</f>
        <v>0</v>
      </c>
      <c r="B70" s="139">
        <f>IF(AND('Ações'!$AB73="SIM", 'Ações'!AT73="SIM"), 1,0)</f>
        <v>1</v>
      </c>
      <c r="C70" s="139">
        <f>IF(AND('Ações'!$AB73="SIM", 'Ações'!AU73="SIM"), 1,0)</f>
        <v>1</v>
      </c>
      <c r="D70" s="139">
        <f>IF(AND('Ações'!$AB73="SIM", 'Ações'!AV73="SIM"), 1,0)</f>
        <v>1</v>
      </c>
      <c r="E70" s="139">
        <f>IF(AND('Ações'!$AB73="SIM", 'Ações'!AW73="SIM"), 1,0)</f>
        <v>1</v>
      </c>
      <c r="F70" s="139">
        <f>IF(AND('Ações'!$AB73="SIM", 'Ações'!AX73="SIM"), 1,0)</f>
        <v>0</v>
      </c>
      <c r="G70" s="139">
        <f>IF(AND('Ações'!$AC73="SIM", 'Ações'!AS73="SIM"), 1,0)</f>
        <v>0</v>
      </c>
      <c r="H70" s="139">
        <f>IF(AND('Ações'!$AC73="SIM", 'Ações'!AT73="SIM"), 1,0)</f>
        <v>0</v>
      </c>
      <c r="I70" s="139">
        <f>IF(AND('Ações'!$AC73="SIM", 'Ações'!AU73="SIM"), 1,0)</f>
        <v>0</v>
      </c>
      <c r="J70" s="139">
        <f>IF(AND('Ações'!$AC73="SIM", 'Ações'!AV73="SIM"), 1,0)</f>
        <v>0</v>
      </c>
      <c r="K70" s="139">
        <f>IF(AND('Ações'!$AC73="SIM", 'Ações'!AW73="SIM"), 1,0)</f>
        <v>0</v>
      </c>
      <c r="L70" s="139">
        <f>IF(AND('Ações'!$AC73="SIM", 'Ações'!AX73="SIM"), 1,0)</f>
        <v>0</v>
      </c>
      <c r="M70" s="139">
        <f>IF(AND('Ações'!$AD73="SIM", 'Ações'!AS73="SIM"), 1,0)</f>
        <v>0</v>
      </c>
      <c r="N70" s="139">
        <f>IF(AND('Ações'!$AD73="SIM", 'Ações'!AT73="SIM"), 1,0)</f>
        <v>0</v>
      </c>
      <c r="O70" s="139">
        <f>IF(AND('Ações'!$AD73="SIM", 'Ações'!AU73="SIM"), 1,0)</f>
        <v>0</v>
      </c>
      <c r="P70" s="139">
        <f>IF(AND('Ações'!$AD73="SIM", 'Ações'!AV73="SIM"), 1,0)</f>
        <v>0</v>
      </c>
      <c r="Q70" s="139">
        <f>IF(AND('Ações'!$AD73="SIM", 'Ações'!AW73="SIM"), 1,0)</f>
        <v>0</v>
      </c>
      <c r="R70" s="139">
        <f>IF(AND('Ações'!$AD73="SIM", 'Ações'!AX73="SIM"), 1,0)</f>
        <v>0</v>
      </c>
    </row>
    <row r="71">
      <c r="A71" s="139">
        <f>IF(AND('Ações'!AB74="SIM", 'Ações'!AS74="SIM"), 1,0)</f>
        <v>0</v>
      </c>
      <c r="B71" s="139">
        <f>IF(AND('Ações'!$AB74="SIM", 'Ações'!AT74="SIM"), 1,0)</f>
        <v>1</v>
      </c>
      <c r="C71" s="139">
        <f>IF(AND('Ações'!$AB74="SIM", 'Ações'!AU74="SIM"), 1,0)</f>
        <v>1</v>
      </c>
      <c r="D71" s="139">
        <f>IF(AND('Ações'!$AB74="SIM", 'Ações'!AV74="SIM"), 1,0)</f>
        <v>1</v>
      </c>
      <c r="E71" s="139">
        <f>IF(AND('Ações'!$AB74="SIM", 'Ações'!AW74="SIM"), 1,0)</f>
        <v>1</v>
      </c>
      <c r="F71" s="139">
        <f>IF(AND('Ações'!$AB74="SIM", 'Ações'!AX74="SIM"), 1,0)</f>
        <v>0</v>
      </c>
      <c r="G71" s="139">
        <f>IF(AND('Ações'!$AC74="SIM", 'Ações'!AS74="SIM"), 1,0)</f>
        <v>0</v>
      </c>
      <c r="H71" s="139">
        <f>IF(AND('Ações'!$AC74="SIM", 'Ações'!AT74="SIM"), 1,0)</f>
        <v>0</v>
      </c>
      <c r="I71" s="139">
        <f>IF(AND('Ações'!$AC74="SIM", 'Ações'!AU74="SIM"), 1,0)</f>
        <v>0</v>
      </c>
      <c r="J71" s="139">
        <f>IF(AND('Ações'!$AC74="SIM", 'Ações'!AV74="SIM"), 1,0)</f>
        <v>0</v>
      </c>
      <c r="K71" s="139">
        <f>IF(AND('Ações'!$AC74="SIM", 'Ações'!AW74="SIM"), 1,0)</f>
        <v>0</v>
      </c>
      <c r="L71" s="139">
        <f>IF(AND('Ações'!$AC74="SIM", 'Ações'!AX74="SIM"), 1,0)</f>
        <v>0</v>
      </c>
      <c r="M71" s="139">
        <f>IF(AND('Ações'!$AD74="SIM", 'Ações'!AS74="SIM"), 1,0)</f>
        <v>0</v>
      </c>
      <c r="N71" s="139">
        <f>IF(AND('Ações'!$AD74="SIM", 'Ações'!AT74="SIM"), 1,0)</f>
        <v>0</v>
      </c>
      <c r="O71" s="139">
        <f>IF(AND('Ações'!$AD74="SIM", 'Ações'!AU74="SIM"), 1,0)</f>
        <v>0</v>
      </c>
      <c r="P71" s="139">
        <f>IF(AND('Ações'!$AD74="SIM", 'Ações'!AV74="SIM"), 1,0)</f>
        <v>0</v>
      </c>
      <c r="Q71" s="139">
        <f>IF(AND('Ações'!$AD74="SIM", 'Ações'!AW74="SIM"), 1,0)</f>
        <v>0</v>
      </c>
      <c r="R71" s="139">
        <f>IF(AND('Ações'!$AD74="SIM", 'Ações'!AX74="SIM"), 1,0)</f>
        <v>0</v>
      </c>
    </row>
    <row r="72">
      <c r="A72" s="139">
        <f>IF(AND('Ações'!AB75="SIM", 'Ações'!AS75="SIM"), 1,0)</f>
        <v>0</v>
      </c>
      <c r="B72" s="139">
        <f>IF(AND('Ações'!$AB75="SIM", 'Ações'!AT75="SIM"), 1,0)</f>
        <v>0</v>
      </c>
      <c r="C72" s="139">
        <f>IF(AND('Ações'!$AB75="SIM", 'Ações'!AU75="SIM"), 1,0)</f>
        <v>0</v>
      </c>
      <c r="D72" s="139">
        <f>IF(AND('Ações'!$AB75="SIM", 'Ações'!AV75="SIM"), 1,0)</f>
        <v>0</v>
      </c>
      <c r="E72" s="139">
        <f>IF(AND('Ações'!$AB75="SIM", 'Ações'!AW75="SIM"), 1,0)</f>
        <v>0</v>
      </c>
      <c r="F72" s="139">
        <f>IF(AND('Ações'!$AB75="SIM", 'Ações'!AX75="SIM"), 1,0)</f>
        <v>0</v>
      </c>
      <c r="G72" s="139">
        <f>IF(AND('Ações'!$AC75="SIM", 'Ações'!AS75="SIM"), 1,0)</f>
        <v>0</v>
      </c>
      <c r="H72" s="139">
        <f>IF(AND('Ações'!$AC75="SIM", 'Ações'!AT75="SIM"), 1,0)</f>
        <v>1</v>
      </c>
      <c r="I72" s="139">
        <f>IF(AND('Ações'!$AC75="SIM", 'Ações'!AU75="SIM"), 1,0)</f>
        <v>1</v>
      </c>
      <c r="J72" s="139">
        <f>IF(AND('Ações'!$AC75="SIM", 'Ações'!AV75="SIM"), 1,0)</f>
        <v>1</v>
      </c>
      <c r="K72" s="139">
        <f>IF(AND('Ações'!$AC75="SIM", 'Ações'!AW75="SIM"), 1,0)</f>
        <v>1</v>
      </c>
      <c r="L72" s="139">
        <f>IF(AND('Ações'!$AC75="SIM", 'Ações'!AX75="SIM"), 1,0)</f>
        <v>0</v>
      </c>
      <c r="M72" s="139">
        <f>IF(AND('Ações'!$AD75="SIM", 'Ações'!AS75="SIM"), 1,0)</f>
        <v>0</v>
      </c>
      <c r="N72" s="139">
        <f>IF(AND('Ações'!$AD75="SIM", 'Ações'!AT75="SIM"), 1,0)</f>
        <v>0</v>
      </c>
      <c r="O72" s="139">
        <f>IF(AND('Ações'!$AD75="SIM", 'Ações'!AU75="SIM"), 1,0)</f>
        <v>0</v>
      </c>
      <c r="P72" s="139">
        <f>IF(AND('Ações'!$AD75="SIM", 'Ações'!AV75="SIM"), 1,0)</f>
        <v>0</v>
      </c>
      <c r="Q72" s="139">
        <f>IF(AND('Ações'!$AD75="SIM", 'Ações'!AW75="SIM"), 1,0)</f>
        <v>0</v>
      </c>
      <c r="R72" s="139">
        <f>IF(AND('Ações'!$AD75="SIM", 'Ações'!AX75="SIM"), 1,0)</f>
        <v>0</v>
      </c>
    </row>
    <row r="73">
      <c r="A73" s="139">
        <f>IF(AND('Ações'!AB76="SIM", 'Ações'!AS76="SIM"), 1,0)</f>
        <v>0</v>
      </c>
      <c r="B73" s="139">
        <f>IF(AND('Ações'!$AB76="SIM", 'Ações'!AT76="SIM"), 1,0)</f>
        <v>1</v>
      </c>
      <c r="C73" s="139">
        <f>IF(AND('Ações'!$AB76="SIM", 'Ações'!AU76="SIM"), 1,0)</f>
        <v>1</v>
      </c>
      <c r="D73" s="139">
        <f>IF(AND('Ações'!$AB76="SIM", 'Ações'!AV76="SIM"), 1,0)</f>
        <v>1</v>
      </c>
      <c r="E73" s="139">
        <f>IF(AND('Ações'!$AB76="SIM", 'Ações'!AW76="SIM"), 1,0)</f>
        <v>1</v>
      </c>
      <c r="F73" s="139">
        <f>IF(AND('Ações'!$AB76="SIM", 'Ações'!AX76="SIM"), 1,0)</f>
        <v>0</v>
      </c>
      <c r="G73" s="139">
        <f>IF(AND('Ações'!$AC76="SIM", 'Ações'!AS76="SIM"), 1,0)</f>
        <v>0</v>
      </c>
      <c r="H73" s="139">
        <f>IF(AND('Ações'!$AC76="SIM", 'Ações'!AT76="SIM"), 1,0)</f>
        <v>0</v>
      </c>
      <c r="I73" s="139">
        <f>IF(AND('Ações'!$AC76="SIM", 'Ações'!AU76="SIM"), 1,0)</f>
        <v>0</v>
      </c>
      <c r="J73" s="139">
        <f>IF(AND('Ações'!$AC76="SIM", 'Ações'!AV76="SIM"), 1,0)</f>
        <v>0</v>
      </c>
      <c r="K73" s="139">
        <f>IF(AND('Ações'!$AC76="SIM", 'Ações'!AW76="SIM"), 1,0)</f>
        <v>0</v>
      </c>
      <c r="L73" s="139">
        <f>IF(AND('Ações'!$AC76="SIM", 'Ações'!AX76="SIM"), 1,0)</f>
        <v>0</v>
      </c>
      <c r="M73" s="139">
        <f>IF(AND('Ações'!$AD76="SIM", 'Ações'!AS76="SIM"), 1,0)</f>
        <v>0</v>
      </c>
      <c r="N73" s="139">
        <f>IF(AND('Ações'!$AD76="SIM", 'Ações'!AT76="SIM"), 1,0)</f>
        <v>0</v>
      </c>
      <c r="O73" s="139">
        <f>IF(AND('Ações'!$AD76="SIM", 'Ações'!AU76="SIM"), 1,0)</f>
        <v>0</v>
      </c>
      <c r="P73" s="139">
        <f>IF(AND('Ações'!$AD76="SIM", 'Ações'!AV76="SIM"), 1,0)</f>
        <v>0</v>
      </c>
      <c r="Q73" s="139">
        <f>IF(AND('Ações'!$AD76="SIM", 'Ações'!AW76="SIM"), 1,0)</f>
        <v>0</v>
      </c>
      <c r="R73" s="139">
        <f>IF(AND('Ações'!$AD76="SIM", 'Ações'!AX76="SIM"), 1,0)</f>
        <v>0</v>
      </c>
    </row>
    <row r="74">
      <c r="A74" s="139">
        <f>IF(AND('Ações'!AB77="SIM", 'Ações'!AS77="SIM"), 1,0)</f>
        <v>0</v>
      </c>
      <c r="B74" s="139">
        <f>IF(AND('Ações'!$AB77="SIM", 'Ações'!AT77="SIM"), 1,0)</f>
        <v>1</v>
      </c>
      <c r="C74" s="139">
        <f>IF(AND('Ações'!$AB77="SIM", 'Ações'!AU77="SIM"), 1,0)</f>
        <v>1</v>
      </c>
      <c r="D74" s="139">
        <f>IF(AND('Ações'!$AB77="SIM", 'Ações'!AV77="SIM"), 1,0)</f>
        <v>1</v>
      </c>
      <c r="E74" s="139">
        <f>IF(AND('Ações'!$AB77="SIM", 'Ações'!AW77="SIM"), 1,0)</f>
        <v>1</v>
      </c>
      <c r="F74" s="139">
        <f>IF(AND('Ações'!$AB77="SIM", 'Ações'!AX77="SIM"), 1,0)</f>
        <v>0</v>
      </c>
      <c r="G74" s="139">
        <f>IF(AND('Ações'!$AC77="SIM", 'Ações'!AS77="SIM"), 1,0)</f>
        <v>0</v>
      </c>
      <c r="H74" s="139">
        <f>IF(AND('Ações'!$AC77="SIM", 'Ações'!AT77="SIM"), 1,0)</f>
        <v>0</v>
      </c>
      <c r="I74" s="139">
        <f>IF(AND('Ações'!$AC77="SIM", 'Ações'!AU77="SIM"), 1,0)</f>
        <v>0</v>
      </c>
      <c r="J74" s="139">
        <f>IF(AND('Ações'!$AC77="SIM", 'Ações'!AV77="SIM"), 1,0)</f>
        <v>0</v>
      </c>
      <c r="K74" s="139">
        <f>IF(AND('Ações'!$AC77="SIM", 'Ações'!AW77="SIM"), 1,0)</f>
        <v>0</v>
      </c>
      <c r="L74" s="139">
        <f>IF(AND('Ações'!$AC77="SIM", 'Ações'!AX77="SIM"), 1,0)</f>
        <v>0</v>
      </c>
      <c r="M74" s="139">
        <f>IF(AND('Ações'!$AD77="SIM", 'Ações'!AS77="SIM"), 1,0)</f>
        <v>0</v>
      </c>
      <c r="N74" s="139">
        <f>IF(AND('Ações'!$AD77="SIM", 'Ações'!AT77="SIM"), 1,0)</f>
        <v>0</v>
      </c>
      <c r="O74" s="139">
        <f>IF(AND('Ações'!$AD77="SIM", 'Ações'!AU77="SIM"), 1,0)</f>
        <v>0</v>
      </c>
      <c r="P74" s="139">
        <f>IF(AND('Ações'!$AD77="SIM", 'Ações'!AV77="SIM"), 1,0)</f>
        <v>0</v>
      </c>
      <c r="Q74" s="139">
        <f>IF(AND('Ações'!$AD77="SIM", 'Ações'!AW77="SIM"), 1,0)</f>
        <v>0</v>
      </c>
      <c r="R74" s="139">
        <f>IF(AND('Ações'!$AD77="SIM", 'Ações'!AX77="SIM"), 1,0)</f>
        <v>0</v>
      </c>
    </row>
    <row r="75">
      <c r="A75" s="139">
        <f>IF(AND('Ações'!AB78="SIM", 'Ações'!AS78="SIM"), 1,0)</f>
        <v>0</v>
      </c>
      <c r="B75" s="139">
        <f>IF(AND('Ações'!$AB78="SIM", 'Ações'!AT78="SIM"), 1,0)</f>
        <v>1</v>
      </c>
      <c r="C75" s="139">
        <f>IF(AND('Ações'!$AB78="SIM", 'Ações'!AU78="SIM"), 1,0)</f>
        <v>1</v>
      </c>
      <c r="D75" s="139">
        <f>IF(AND('Ações'!$AB78="SIM", 'Ações'!AV78="SIM"), 1,0)</f>
        <v>1</v>
      </c>
      <c r="E75" s="139">
        <f>IF(AND('Ações'!$AB78="SIM", 'Ações'!AW78="SIM"), 1,0)</f>
        <v>1</v>
      </c>
      <c r="F75" s="139">
        <f>IF(AND('Ações'!$AB78="SIM", 'Ações'!AX78="SIM"), 1,0)</f>
        <v>0</v>
      </c>
      <c r="G75" s="139">
        <f>IF(AND('Ações'!$AC78="SIM", 'Ações'!AS78="SIM"), 1,0)</f>
        <v>0</v>
      </c>
      <c r="H75" s="139">
        <f>IF(AND('Ações'!$AC78="SIM", 'Ações'!AT78="SIM"), 1,0)</f>
        <v>0</v>
      </c>
      <c r="I75" s="139">
        <f>IF(AND('Ações'!$AC78="SIM", 'Ações'!AU78="SIM"), 1,0)</f>
        <v>0</v>
      </c>
      <c r="J75" s="139">
        <f>IF(AND('Ações'!$AC78="SIM", 'Ações'!AV78="SIM"), 1,0)</f>
        <v>0</v>
      </c>
      <c r="K75" s="139">
        <f>IF(AND('Ações'!$AC78="SIM", 'Ações'!AW78="SIM"), 1,0)</f>
        <v>0</v>
      </c>
      <c r="L75" s="139">
        <f>IF(AND('Ações'!$AC78="SIM", 'Ações'!AX78="SIM"), 1,0)</f>
        <v>0</v>
      </c>
      <c r="M75" s="139">
        <f>IF(AND('Ações'!$AD78="SIM", 'Ações'!AS78="SIM"), 1,0)</f>
        <v>0</v>
      </c>
      <c r="N75" s="139">
        <f>IF(AND('Ações'!$AD78="SIM", 'Ações'!AT78="SIM"), 1,0)</f>
        <v>0</v>
      </c>
      <c r="O75" s="139">
        <f>IF(AND('Ações'!$AD78="SIM", 'Ações'!AU78="SIM"), 1,0)</f>
        <v>0</v>
      </c>
      <c r="P75" s="139">
        <f>IF(AND('Ações'!$AD78="SIM", 'Ações'!AV78="SIM"), 1,0)</f>
        <v>0</v>
      </c>
      <c r="Q75" s="139">
        <f>IF(AND('Ações'!$AD78="SIM", 'Ações'!AW78="SIM"), 1,0)</f>
        <v>0</v>
      </c>
      <c r="R75" s="139">
        <f>IF(AND('Ações'!$AD78="SIM", 'Ações'!AX78="SIM"), 1,0)</f>
        <v>0</v>
      </c>
    </row>
    <row r="76">
      <c r="A76" s="139">
        <f>IF(AND('Ações'!AB79="SIM", 'Ações'!AS79="SIM"), 1,0)</f>
        <v>0</v>
      </c>
      <c r="B76" s="139">
        <f>IF(AND('Ações'!$AB79="SIM", 'Ações'!AT79="SIM"), 1,0)</f>
        <v>0</v>
      </c>
      <c r="C76" s="139">
        <f>IF(AND('Ações'!$AB79="SIM", 'Ações'!AU79="SIM"), 1,0)</f>
        <v>0</v>
      </c>
      <c r="D76" s="139">
        <f>IF(AND('Ações'!$AB79="SIM", 'Ações'!AV79="SIM"), 1,0)</f>
        <v>0</v>
      </c>
      <c r="E76" s="139">
        <f>IF(AND('Ações'!$AB79="SIM", 'Ações'!AW79="SIM"), 1,0)</f>
        <v>0</v>
      </c>
      <c r="F76" s="139">
        <f>IF(AND('Ações'!$AB79="SIM", 'Ações'!AX79="SIM"), 1,0)</f>
        <v>0</v>
      </c>
      <c r="G76" s="139">
        <f>IF(AND('Ações'!$AC79="SIM", 'Ações'!AS79="SIM"), 1,0)</f>
        <v>0</v>
      </c>
      <c r="H76" s="139">
        <f>IF(AND('Ações'!$AC79="SIM", 'Ações'!AT79="SIM"), 1,0)</f>
        <v>1</v>
      </c>
      <c r="I76" s="139">
        <f>IF(AND('Ações'!$AC79="SIM", 'Ações'!AU79="SIM"), 1,0)</f>
        <v>1</v>
      </c>
      <c r="J76" s="139">
        <f>IF(AND('Ações'!$AC79="SIM", 'Ações'!AV79="SIM"), 1,0)</f>
        <v>1</v>
      </c>
      <c r="K76" s="139">
        <f>IF(AND('Ações'!$AC79="SIM", 'Ações'!AW79="SIM"), 1,0)</f>
        <v>1</v>
      </c>
      <c r="L76" s="139">
        <f>IF(AND('Ações'!$AC79="SIM", 'Ações'!AX79="SIM"), 1,0)</f>
        <v>0</v>
      </c>
      <c r="M76" s="139">
        <f>IF(AND('Ações'!$AD79="SIM", 'Ações'!AS79="SIM"), 1,0)</f>
        <v>0</v>
      </c>
      <c r="N76" s="139">
        <f>IF(AND('Ações'!$AD79="SIM", 'Ações'!AT79="SIM"), 1,0)</f>
        <v>0</v>
      </c>
      <c r="O76" s="139">
        <f>IF(AND('Ações'!$AD79="SIM", 'Ações'!AU79="SIM"), 1,0)</f>
        <v>0</v>
      </c>
      <c r="P76" s="139">
        <f>IF(AND('Ações'!$AD79="SIM", 'Ações'!AV79="SIM"), 1,0)</f>
        <v>0</v>
      </c>
      <c r="Q76" s="139">
        <f>IF(AND('Ações'!$AD79="SIM", 'Ações'!AW79="SIM"), 1,0)</f>
        <v>0</v>
      </c>
      <c r="R76" s="139">
        <f>IF(AND('Ações'!$AD79="SIM", 'Ações'!AX79="SIM"), 1,0)</f>
        <v>0</v>
      </c>
    </row>
    <row r="77">
      <c r="A77" s="139">
        <f>IF(AND('Ações'!AB80="SIM", 'Ações'!AS80="SIM"), 1,0)</f>
        <v>0</v>
      </c>
      <c r="B77" s="139">
        <f>IF(AND('Ações'!$AB80="SIM", 'Ações'!AT80="SIM"), 1,0)</f>
        <v>1</v>
      </c>
      <c r="C77" s="139">
        <f>IF(AND('Ações'!$AB80="SIM", 'Ações'!AU80="SIM"), 1,0)</f>
        <v>1</v>
      </c>
      <c r="D77" s="139">
        <f>IF(AND('Ações'!$AB80="SIM", 'Ações'!AV80="SIM"), 1,0)</f>
        <v>1</v>
      </c>
      <c r="E77" s="139">
        <f>IF(AND('Ações'!$AB80="SIM", 'Ações'!AW80="SIM"), 1,0)</f>
        <v>1</v>
      </c>
      <c r="F77" s="139">
        <f>IF(AND('Ações'!$AB80="SIM", 'Ações'!AX80="SIM"), 1,0)</f>
        <v>0</v>
      </c>
      <c r="G77" s="139">
        <f>IF(AND('Ações'!$AC80="SIM", 'Ações'!AS80="SIM"), 1,0)</f>
        <v>0</v>
      </c>
      <c r="H77" s="139">
        <f>IF(AND('Ações'!$AC80="SIM", 'Ações'!AT80="SIM"), 1,0)</f>
        <v>0</v>
      </c>
      <c r="I77" s="139">
        <f>IF(AND('Ações'!$AC80="SIM", 'Ações'!AU80="SIM"), 1,0)</f>
        <v>0</v>
      </c>
      <c r="J77" s="139">
        <f>IF(AND('Ações'!$AC80="SIM", 'Ações'!AV80="SIM"), 1,0)</f>
        <v>0</v>
      </c>
      <c r="K77" s="139">
        <f>IF(AND('Ações'!$AC80="SIM", 'Ações'!AW80="SIM"), 1,0)</f>
        <v>0</v>
      </c>
      <c r="L77" s="139">
        <f>IF(AND('Ações'!$AC80="SIM", 'Ações'!AX80="SIM"), 1,0)</f>
        <v>0</v>
      </c>
      <c r="M77" s="139">
        <f>IF(AND('Ações'!$AD80="SIM", 'Ações'!AS80="SIM"), 1,0)</f>
        <v>0</v>
      </c>
      <c r="N77" s="139">
        <f>IF(AND('Ações'!$AD80="SIM", 'Ações'!AT80="SIM"), 1,0)</f>
        <v>0</v>
      </c>
      <c r="O77" s="139">
        <f>IF(AND('Ações'!$AD80="SIM", 'Ações'!AU80="SIM"), 1,0)</f>
        <v>0</v>
      </c>
      <c r="P77" s="139">
        <f>IF(AND('Ações'!$AD80="SIM", 'Ações'!AV80="SIM"), 1,0)</f>
        <v>0</v>
      </c>
      <c r="Q77" s="139">
        <f>IF(AND('Ações'!$AD80="SIM", 'Ações'!AW80="SIM"), 1,0)</f>
        <v>0</v>
      </c>
      <c r="R77" s="139">
        <f>IF(AND('Ações'!$AD80="SIM", 'Ações'!AX80="SIM"), 1,0)</f>
        <v>0</v>
      </c>
    </row>
    <row r="78">
      <c r="A78" s="139">
        <f>IF(AND('Ações'!AB82="SIM", 'Ações'!AS82="SIM"), 1,0)</f>
        <v>0</v>
      </c>
      <c r="B78" s="139">
        <f>IF(AND('Ações'!$AB82="SIM", 'Ações'!AT82="SIM"), 1,0)</f>
        <v>0</v>
      </c>
      <c r="C78" s="139">
        <f>IF(AND('Ações'!$AB82="SIM", 'Ações'!AU82="SIM"), 1,0)</f>
        <v>0</v>
      </c>
      <c r="D78" s="139">
        <f>IF(AND('Ações'!$AB82="SIM", 'Ações'!AV82="SIM"), 1,0)</f>
        <v>0</v>
      </c>
      <c r="E78" s="139">
        <f>IF(AND('Ações'!$AB82="SIM", 'Ações'!AW82="SIM"), 1,0)</f>
        <v>0</v>
      </c>
      <c r="F78" s="139">
        <f>IF(AND('Ações'!$AB82="SIM", 'Ações'!AX82="SIM"), 1,0)</f>
        <v>0</v>
      </c>
      <c r="G78" s="139">
        <f>IF(AND('Ações'!$AC82="SIM", 'Ações'!AS82="SIM"), 1,0)</f>
        <v>0</v>
      </c>
      <c r="H78" s="139">
        <f>IF(AND('Ações'!$AC82="SIM", 'Ações'!AT82="SIM"), 1,0)</f>
        <v>1</v>
      </c>
      <c r="I78" s="139">
        <f>IF(AND('Ações'!$AC82="SIM", 'Ações'!AU82="SIM"), 1,0)</f>
        <v>1</v>
      </c>
      <c r="J78" s="139">
        <f>IF(AND('Ações'!$AC82="SIM", 'Ações'!AV82="SIM"), 1,0)</f>
        <v>1</v>
      </c>
      <c r="K78" s="139">
        <f>IF(AND('Ações'!$AC82="SIM", 'Ações'!AW82="SIM"), 1,0)</f>
        <v>1</v>
      </c>
      <c r="L78" s="139">
        <f>IF(AND('Ações'!$AC82="SIM", 'Ações'!AX82="SIM"), 1,0)</f>
        <v>0</v>
      </c>
      <c r="M78" s="139">
        <f>IF(AND('Ações'!$AD82="SIM", 'Ações'!AS82="SIM"), 1,0)</f>
        <v>0</v>
      </c>
      <c r="N78" s="139">
        <f>IF(AND('Ações'!$AD82="SIM", 'Ações'!AT82="SIM"), 1,0)</f>
        <v>0</v>
      </c>
      <c r="O78" s="139">
        <f>IF(AND('Ações'!$AD82="SIM", 'Ações'!AU82="SIM"), 1,0)</f>
        <v>0</v>
      </c>
      <c r="P78" s="139">
        <f>IF(AND('Ações'!$AD82="SIM", 'Ações'!AV82="SIM"), 1,0)</f>
        <v>0</v>
      </c>
      <c r="Q78" s="139">
        <f>IF(AND('Ações'!$AD82="SIM", 'Ações'!AW82="SIM"), 1,0)</f>
        <v>0</v>
      </c>
      <c r="R78" s="139">
        <f>IF(AND('Ações'!$AD82="SIM", 'Ações'!AX82="SIM"), 1,0)</f>
        <v>0</v>
      </c>
    </row>
    <row r="79">
      <c r="A79" s="139">
        <f>IF(AND('Ações'!AB83="SIM", 'Ações'!AS83="SIM"), 1,0)</f>
        <v>0</v>
      </c>
      <c r="B79" s="139">
        <f>IF(AND('Ações'!$AB83="SIM", 'Ações'!AT83="SIM"), 1,0)</f>
        <v>1</v>
      </c>
      <c r="C79" s="139">
        <f>IF(AND('Ações'!$AB83="SIM", 'Ações'!AU83="SIM"), 1,0)</f>
        <v>1</v>
      </c>
      <c r="D79" s="139">
        <f>IF(AND('Ações'!$AB83="SIM", 'Ações'!AV83="SIM"), 1,0)</f>
        <v>1</v>
      </c>
      <c r="E79" s="139">
        <f>IF(AND('Ações'!$AB83="SIM", 'Ações'!AW83="SIM"), 1,0)</f>
        <v>1</v>
      </c>
      <c r="F79" s="139">
        <f>IF(AND('Ações'!$AB83="SIM", 'Ações'!AX83="SIM"), 1,0)</f>
        <v>0</v>
      </c>
      <c r="G79" s="139">
        <f>IF(AND('Ações'!$AC83="SIM", 'Ações'!AS83="SIM"), 1,0)</f>
        <v>0</v>
      </c>
      <c r="H79" s="139">
        <f>IF(AND('Ações'!$AC83="SIM", 'Ações'!AT83="SIM"), 1,0)</f>
        <v>0</v>
      </c>
      <c r="I79" s="139">
        <f>IF(AND('Ações'!$AC83="SIM", 'Ações'!AU83="SIM"), 1,0)</f>
        <v>0</v>
      </c>
      <c r="J79" s="139">
        <f>IF(AND('Ações'!$AC83="SIM", 'Ações'!AV83="SIM"), 1,0)</f>
        <v>0</v>
      </c>
      <c r="K79" s="139">
        <f>IF(AND('Ações'!$AC83="SIM", 'Ações'!AW83="SIM"), 1,0)</f>
        <v>0</v>
      </c>
      <c r="L79" s="139">
        <f>IF(AND('Ações'!$AC83="SIM", 'Ações'!AX83="SIM"), 1,0)</f>
        <v>0</v>
      </c>
      <c r="M79" s="139">
        <f>IF(AND('Ações'!$AD83="SIM", 'Ações'!AS83="SIM"), 1,0)</f>
        <v>0</v>
      </c>
      <c r="N79" s="139">
        <f>IF(AND('Ações'!$AD83="SIM", 'Ações'!AT83="SIM"), 1,0)</f>
        <v>0</v>
      </c>
      <c r="O79" s="139">
        <f>IF(AND('Ações'!$AD83="SIM", 'Ações'!AU83="SIM"), 1,0)</f>
        <v>0</v>
      </c>
      <c r="P79" s="139">
        <f>IF(AND('Ações'!$AD83="SIM", 'Ações'!AV83="SIM"), 1,0)</f>
        <v>0</v>
      </c>
      <c r="Q79" s="139">
        <f>IF(AND('Ações'!$AD83="SIM", 'Ações'!AW83="SIM"), 1,0)</f>
        <v>0</v>
      </c>
      <c r="R79" s="139">
        <f>IF(AND('Ações'!$AD83="SIM", 'Ações'!AX83="SIM"), 1,0)</f>
        <v>0</v>
      </c>
    </row>
    <row r="80">
      <c r="A80" s="139">
        <f>IF(AND('Ações'!AB84="SIM", 'Ações'!AS84="SIM"), 1,0)</f>
        <v>0</v>
      </c>
      <c r="B80" s="139">
        <f>IF(AND('Ações'!$AB84="SIM", 'Ações'!AT84="SIM"), 1,0)</f>
        <v>1</v>
      </c>
      <c r="C80" s="139">
        <f>IF(AND('Ações'!$AB84="SIM", 'Ações'!AU84="SIM"), 1,0)</f>
        <v>1</v>
      </c>
      <c r="D80" s="139">
        <f>IF(AND('Ações'!$AB84="SIM", 'Ações'!AV84="SIM"), 1,0)</f>
        <v>1</v>
      </c>
      <c r="E80" s="139">
        <f>IF(AND('Ações'!$AB84="SIM", 'Ações'!AW84="SIM"), 1,0)</f>
        <v>1</v>
      </c>
      <c r="F80" s="139">
        <f>IF(AND('Ações'!$AB84="SIM", 'Ações'!AX84="SIM"), 1,0)</f>
        <v>0</v>
      </c>
      <c r="G80" s="139">
        <f>IF(AND('Ações'!$AC84="SIM", 'Ações'!AS84="SIM"), 1,0)</f>
        <v>0</v>
      </c>
      <c r="H80" s="139">
        <f>IF(AND('Ações'!$AC84="SIM", 'Ações'!AT84="SIM"), 1,0)</f>
        <v>1</v>
      </c>
      <c r="I80" s="139">
        <f>IF(AND('Ações'!$AC84="SIM", 'Ações'!AU84="SIM"), 1,0)</f>
        <v>1</v>
      </c>
      <c r="J80" s="139">
        <f>IF(AND('Ações'!$AC84="SIM", 'Ações'!AV84="SIM"), 1,0)</f>
        <v>1</v>
      </c>
      <c r="K80" s="139">
        <f>IF(AND('Ações'!$AC84="SIM", 'Ações'!AW84="SIM"), 1,0)</f>
        <v>1</v>
      </c>
      <c r="L80" s="139">
        <f>IF(AND('Ações'!$AC84="SIM", 'Ações'!AX84="SIM"), 1,0)</f>
        <v>0</v>
      </c>
      <c r="M80" s="139">
        <f>IF(AND('Ações'!$AD84="SIM", 'Ações'!AS84="SIM"), 1,0)</f>
        <v>0</v>
      </c>
      <c r="N80" s="139">
        <f>IF(AND('Ações'!$AD84="SIM", 'Ações'!AT84="SIM"), 1,0)</f>
        <v>0</v>
      </c>
      <c r="O80" s="139">
        <f>IF(AND('Ações'!$AD84="SIM", 'Ações'!AU84="SIM"), 1,0)</f>
        <v>0</v>
      </c>
      <c r="P80" s="139">
        <f>IF(AND('Ações'!$AD84="SIM", 'Ações'!AV84="SIM"), 1,0)</f>
        <v>0</v>
      </c>
      <c r="Q80" s="139">
        <f>IF(AND('Ações'!$AD84="SIM", 'Ações'!AW84="SIM"), 1,0)</f>
        <v>0</v>
      </c>
      <c r="R80" s="139">
        <f>IF(AND('Ações'!$AD84="SIM", 'Ações'!AX84="SIM"), 1,0)</f>
        <v>0</v>
      </c>
    </row>
    <row r="81">
      <c r="A81" s="139">
        <f>IF(AND('Ações'!AB85="SIM", 'Ações'!AS85="SIM"), 1,0)</f>
        <v>0</v>
      </c>
      <c r="B81" s="139">
        <f>IF(AND('Ações'!$AB85="SIM", 'Ações'!AT85="SIM"), 1,0)</f>
        <v>1</v>
      </c>
      <c r="C81" s="139">
        <f>IF(AND('Ações'!$AB85="SIM", 'Ações'!AU85="SIM"), 1,0)</f>
        <v>1</v>
      </c>
      <c r="D81" s="139">
        <f>IF(AND('Ações'!$AB85="SIM", 'Ações'!AV85="SIM"), 1,0)</f>
        <v>1</v>
      </c>
      <c r="E81" s="139">
        <f>IF(AND('Ações'!$AB85="SIM", 'Ações'!AW85="SIM"), 1,0)</f>
        <v>1</v>
      </c>
      <c r="F81" s="139">
        <f>IF(AND('Ações'!$AB85="SIM", 'Ações'!AX85="SIM"), 1,0)</f>
        <v>0</v>
      </c>
      <c r="G81" s="139">
        <f>IF(AND('Ações'!$AC85="SIM", 'Ações'!AS85="SIM"), 1,0)</f>
        <v>0</v>
      </c>
      <c r="H81" s="139">
        <f>IF(AND('Ações'!$AC85="SIM", 'Ações'!AT85="SIM"), 1,0)</f>
        <v>0</v>
      </c>
      <c r="I81" s="139">
        <f>IF(AND('Ações'!$AC85="SIM", 'Ações'!AU85="SIM"), 1,0)</f>
        <v>0</v>
      </c>
      <c r="J81" s="139">
        <f>IF(AND('Ações'!$AC85="SIM", 'Ações'!AV85="SIM"), 1,0)</f>
        <v>0</v>
      </c>
      <c r="K81" s="139">
        <f>IF(AND('Ações'!$AC85="SIM", 'Ações'!AW85="SIM"), 1,0)</f>
        <v>0</v>
      </c>
      <c r="L81" s="139">
        <f>IF(AND('Ações'!$AC85="SIM", 'Ações'!AX85="SIM"), 1,0)</f>
        <v>0</v>
      </c>
      <c r="M81" s="139">
        <f>IF(AND('Ações'!$AD85="SIM", 'Ações'!AS85="SIM"), 1,0)</f>
        <v>0</v>
      </c>
      <c r="N81" s="139">
        <f>IF(AND('Ações'!$AD85="SIM", 'Ações'!AT85="SIM"), 1,0)</f>
        <v>0</v>
      </c>
      <c r="O81" s="139">
        <f>IF(AND('Ações'!$AD85="SIM", 'Ações'!AU85="SIM"), 1,0)</f>
        <v>0</v>
      </c>
      <c r="P81" s="139">
        <f>IF(AND('Ações'!$AD85="SIM", 'Ações'!AV85="SIM"), 1,0)</f>
        <v>0</v>
      </c>
      <c r="Q81" s="139">
        <f>IF(AND('Ações'!$AD85="SIM", 'Ações'!AW85="SIM"), 1,0)</f>
        <v>0</v>
      </c>
      <c r="R81" s="139">
        <f>IF(AND('Ações'!$AD85="SIM", 'Ações'!AX85="SIM"), 1,0)</f>
        <v>0</v>
      </c>
    </row>
    <row r="82">
      <c r="A82" s="139">
        <f>IF(AND('Ações'!AB86="SIM", 'Ações'!AS86="SIM"), 1,0)</f>
        <v>0</v>
      </c>
      <c r="B82" s="139">
        <f>IF(AND('Ações'!$AB86="SIM", 'Ações'!AT86="SIM"), 1,0)</f>
        <v>1</v>
      </c>
      <c r="C82" s="139">
        <f>IF(AND('Ações'!$AB86="SIM", 'Ações'!AU86="SIM"), 1,0)</f>
        <v>1</v>
      </c>
      <c r="D82" s="139">
        <f>IF(AND('Ações'!$AB86="SIM", 'Ações'!AV86="SIM"), 1,0)</f>
        <v>1</v>
      </c>
      <c r="E82" s="139">
        <f>IF(AND('Ações'!$AB86="SIM", 'Ações'!AW86="SIM"), 1,0)</f>
        <v>1</v>
      </c>
      <c r="F82" s="139">
        <f>IF(AND('Ações'!$AB86="SIM", 'Ações'!AX86="SIM"), 1,0)</f>
        <v>0</v>
      </c>
      <c r="G82" s="139">
        <f>IF(AND('Ações'!$AC86="SIM", 'Ações'!AS86="SIM"), 1,0)</f>
        <v>0</v>
      </c>
      <c r="H82" s="139">
        <f>IF(AND('Ações'!$AC86="SIM", 'Ações'!AT86="SIM"), 1,0)</f>
        <v>0</v>
      </c>
      <c r="I82" s="139">
        <f>IF(AND('Ações'!$AC86="SIM", 'Ações'!AU86="SIM"), 1,0)</f>
        <v>0</v>
      </c>
      <c r="J82" s="139">
        <f>IF(AND('Ações'!$AC86="SIM", 'Ações'!AV86="SIM"), 1,0)</f>
        <v>0</v>
      </c>
      <c r="K82" s="139">
        <f>IF(AND('Ações'!$AC86="SIM", 'Ações'!AW86="SIM"), 1,0)</f>
        <v>0</v>
      </c>
      <c r="L82" s="139">
        <f>IF(AND('Ações'!$AC86="SIM", 'Ações'!AX86="SIM"), 1,0)</f>
        <v>0</v>
      </c>
      <c r="M82" s="139">
        <f>IF(AND('Ações'!$AD86="SIM", 'Ações'!AS86="SIM"), 1,0)</f>
        <v>0</v>
      </c>
      <c r="N82" s="139">
        <f>IF(AND('Ações'!$AD86="SIM", 'Ações'!AT86="SIM"), 1,0)</f>
        <v>0</v>
      </c>
      <c r="O82" s="139">
        <f>IF(AND('Ações'!$AD86="SIM", 'Ações'!AU86="SIM"), 1,0)</f>
        <v>0</v>
      </c>
      <c r="P82" s="139">
        <f>IF(AND('Ações'!$AD86="SIM", 'Ações'!AV86="SIM"), 1,0)</f>
        <v>0</v>
      </c>
      <c r="Q82" s="139">
        <f>IF(AND('Ações'!$AD86="SIM", 'Ações'!AW86="SIM"), 1,0)</f>
        <v>0</v>
      </c>
      <c r="R82" s="139">
        <f>IF(AND('Ações'!$AD86="SIM", 'Ações'!AX86="SIM"), 1,0)</f>
        <v>0</v>
      </c>
    </row>
    <row r="83">
      <c r="A83" s="139">
        <f>IF(AND('Ações'!AB87="SIM", 'Ações'!AS87="SIM"), 1,0)</f>
        <v>0</v>
      </c>
      <c r="B83" s="139">
        <f>IF(AND('Ações'!$AB87="SIM", 'Ações'!AT87="SIM"), 1,0)</f>
        <v>1</v>
      </c>
      <c r="C83" s="139">
        <f>IF(AND('Ações'!$AB87="SIM", 'Ações'!AU87="SIM"), 1,0)</f>
        <v>1</v>
      </c>
      <c r="D83" s="139">
        <f>IF(AND('Ações'!$AB87="SIM", 'Ações'!AV87="SIM"), 1,0)</f>
        <v>1</v>
      </c>
      <c r="E83" s="139">
        <f>IF(AND('Ações'!$AB87="SIM", 'Ações'!AW87="SIM"), 1,0)</f>
        <v>1</v>
      </c>
      <c r="F83" s="139">
        <f>IF(AND('Ações'!$AB87="SIM", 'Ações'!AX87="SIM"), 1,0)</f>
        <v>0</v>
      </c>
      <c r="G83" s="139">
        <f>IF(AND('Ações'!$AC87="SIM", 'Ações'!AS87="SIM"), 1,0)</f>
        <v>0</v>
      </c>
      <c r="H83" s="139">
        <f>IF(AND('Ações'!$AC87="SIM", 'Ações'!AT87="SIM"), 1,0)</f>
        <v>0</v>
      </c>
      <c r="I83" s="139">
        <f>IF(AND('Ações'!$AC87="SIM", 'Ações'!AU87="SIM"), 1,0)</f>
        <v>0</v>
      </c>
      <c r="J83" s="139">
        <f>IF(AND('Ações'!$AC87="SIM", 'Ações'!AV87="SIM"), 1,0)</f>
        <v>0</v>
      </c>
      <c r="K83" s="139">
        <f>IF(AND('Ações'!$AC87="SIM", 'Ações'!AW87="SIM"), 1,0)</f>
        <v>0</v>
      </c>
      <c r="L83" s="139">
        <f>IF(AND('Ações'!$AC87="SIM", 'Ações'!AX87="SIM"), 1,0)</f>
        <v>0</v>
      </c>
      <c r="M83" s="139">
        <f>IF(AND('Ações'!$AD87="SIM", 'Ações'!AS87="SIM"), 1,0)</f>
        <v>0</v>
      </c>
      <c r="N83" s="139">
        <f>IF(AND('Ações'!$AD87="SIM", 'Ações'!AT87="SIM"), 1,0)</f>
        <v>0</v>
      </c>
      <c r="O83" s="139">
        <f>IF(AND('Ações'!$AD87="SIM", 'Ações'!AU87="SIM"), 1,0)</f>
        <v>0</v>
      </c>
      <c r="P83" s="139">
        <f>IF(AND('Ações'!$AD87="SIM", 'Ações'!AV87="SIM"), 1,0)</f>
        <v>0</v>
      </c>
      <c r="Q83" s="139">
        <f>IF(AND('Ações'!$AD87="SIM", 'Ações'!AW87="SIM"), 1,0)</f>
        <v>0</v>
      </c>
      <c r="R83" s="139">
        <f>IF(AND('Ações'!$AD87="SIM", 'Ações'!AX87="SIM"), 1,0)</f>
        <v>0</v>
      </c>
    </row>
    <row r="84">
      <c r="A84" s="139">
        <f>IF(AND('Ações'!AB88="SIM", 'Ações'!AS88="SIM"), 1,0)</f>
        <v>0</v>
      </c>
      <c r="B84" s="139">
        <f>IF(AND('Ações'!$AB88="SIM", 'Ações'!AT88="SIM"), 1,0)</f>
        <v>0</v>
      </c>
      <c r="C84" s="139">
        <f>IF(AND('Ações'!$AB88="SIM", 'Ações'!AU88="SIM"), 1,0)</f>
        <v>0</v>
      </c>
      <c r="D84" s="139">
        <f>IF(AND('Ações'!$AB88="SIM", 'Ações'!AV88="SIM"), 1,0)</f>
        <v>0</v>
      </c>
      <c r="E84" s="139">
        <f>IF(AND('Ações'!$AB88="SIM", 'Ações'!AW88="SIM"), 1,0)</f>
        <v>0</v>
      </c>
      <c r="F84" s="139">
        <f>IF(AND('Ações'!$AB88="SIM", 'Ações'!AX88="SIM"), 1,0)</f>
        <v>0</v>
      </c>
      <c r="G84" s="139">
        <f>IF(AND('Ações'!$AC88="SIM", 'Ações'!AS88="SIM"), 1,0)</f>
        <v>0</v>
      </c>
      <c r="H84" s="139">
        <f>IF(AND('Ações'!$AC88="SIM", 'Ações'!AT88="SIM"), 1,0)</f>
        <v>1</v>
      </c>
      <c r="I84" s="139">
        <f>IF(AND('Ações'!$AC88="SIM", 'Ações'!AU88="SIM"), 1,0)</f>
        <v>1</v>
      </c>
      <c r="J84" s="139">
        <f>IF(AND('Ações'!$AC88="SIM", 'Ações'!AV88="SIM"), 1,0)</f>
        <v>1</v>
      </c>
      <c r="K84" s="139">
        <f>IF(AND('Ações'!$AC88="SIM", 'Ações'!AW88="SIM"), 1,0)</f>
        <v>1</v>
      </c>
      <c r="L84" s="139">
        <f>IF(AND('Ações'!$AC88="SIM", 'Ações'!AX88="SIM"), 1,0)</f>
        <v>0</v>
      </c>
      <c r="M84" s="139">
        <f>IF(AND('Ações'!$AD88="SIM", 'Ações'!AS88="SIM"), 1,0)</f>
        <v>0</v>
      </c>
      <c r="N84" s="139">
        <f>IF(AND('Ações'!$AD88="SIM", 'Ações'!AT88="SIM"), 1,0)</f>
        <v>0</v>
      </c>
      <c r="O84" s="139">
        <f>IF(AND('Ações'!$AD88="SIM", 'Ações'!AU88="SIM"), 1,0)</f>
        <v>0</v>
      </c>
      <c r="P84" s="139">
        <f>IF(AND('Ações'!$AD88="SIM", 'Ações'!AV88="SIM"), 1,0)</f>
        <v>0</v>
      </c>
      <c r="Q84" s="139">
        <f>IF(AND('Ações'!$AD88="SIM", 'Ações'!AW88="SIM"), 1,0)</f>
        <v>0</v>
      </c>
      <c r="R84" s="139">
        <f>IF(AND('Ações'!$AD88="SIM", 'Ações'!AX88="SIM"), 1,0)</f>
        <v>0</v>
      </c>
    </row>
    <row r="85">
      <c r="A85" s="139">
        <f>IF(AND('Ações'!AB89="SIM", 'Ações'!AS89="SIM"), 1,0)</f>
        <v>0</v>
      </c>
      <c r="B85" s="139">
        <f>IF(AND('Ações'!$AB89="SIM", 'Ações'!AT89="SIM"), 1,0)</f>
        <v>1</v>
      </c>
      <c r="C85" s="139">
        <f>IF(AND('Ações'!$AB89="SIM", 'Ações'!AU89="SIM"), 1,0)</f>
        <v>1</v>
      </c>
      <c r="D85" s="139">
        <f>IF(AND('Ações'!$AB89="SIM", 'Ações'!AV89="SIM"), 1,0)</f>
        <v>1</v>
      </c>
      <c r="E85" s="139">
        <f>IF(AND('Ações'!$AB89="SIM", 'Ações'!AW89="SIM"), 1,0)</f>
        <v>1</v>
      </c>
      <c r="F85" s="139">
        <f>IF(AND('Ações'!$AB89="SIM", 'Ações'!AX89="SIM"), 1,0)</f>
        <v>0</v>
      </c>
      <c r="G85" s="139">
        <f>IF(AND('Ações'!$AC89="SIM", 'Ações'!AS89="SIM"), 1,0)</f>
        <v>0</v>
      </c>
      <c r="H85" s="139">
        <f>IF(AND('Ações'!$AC89="SIM", 'Ações'!AT89="SIM"), 1,0)</f>
        <v>0</v>
      </c>
      <c r="I85" s="139">
        <f>IF(AND('Ações'!$AC89="SIM", 'Ações'!AU89="SIM"), 1,0)</f>
        <v>0</v>
      </c>
      <c r="J85" s="139">
        <f>IF(AND('Ações'!$AC89="SIM", 'Ações'!AV89="SIM"), 1,0)</f>
        <v>0</v>
      </c>
      <c r="K85" s="139">
        <f>IF(AND('Ações'!$AC89="SIM", 'Ações'!AW89="SIM"), 1,0)</f>
        <v>0</v>
      </c>
      <c r="L85" s="139">
        <f>IF(AND('Ações'!$AC89="SIM", 'Ações'!AX89="SIM"), 1,0)</f>
        <v>0</v>
      </c>
      <c r="M85" s="139">
        <f>IF(AND('Ações'!$AD89="SIM", 'Ações'!AS89="SIM"), 1,0)</f>
        <v>0</v>
      </c>
      <c r="N85" s="139">
        <f>IF(AND('Ações'!$AD89="SIM", 'Ações'!AT89="SIM"), 1,0)</f>
        <v>0</v>
      </c>
      <c r="O85" s="139">
        <f>IF(AND('Ações'!$AD89="SIM", 'Ações'!AU89="SIM"), 1,0)</f>
        <v>0</v>
      </c>
      <c r="P85" s="139">
        <f>IF(AND('Ações'!$AD89="SIM", 'Ações'!AV89="SIM"), 1,0)</f>
        <v>0</v>
      </c>
      <c r="Q85" s="139">
        <f>IF(AND('Ações'!$AD89="SIM", 'Ações'!AW89="SIM"), 1,0)</f>
        <v>0</v>
      </c>
      <c r="R85" s="139">
        <f>IF(AND('Ações'!$AD89="SIM", 'Ações'!AX89="SIM"), 1,0)</f>
        <v>0</v>
      </c>
    </row>
    <row r="86">
      <c r="A86" s="139">
        <f>IF(AND('Ações'!AB90="SIM", 'Ações'!AS90="SIM"), 1,0)</f>
        <v>1</v>
      </c>
      <c r="B86" s="139">
        <f>IF(AND('Ações'!$AB90="SIM", 'Ações'!AT90="SIM"), 1,0)</f>
        <v>1</v>
      </c>
      <c r="C86" s="139">
        <f>IF(AND('Ações'!$AB90="SIM", 'Ações'!AU90="SIM"), 1,0)</f>
        <v>1</v>
      </c>
      <c r="D86" s="139">
        <f>IF(AND('Ações'!$AB90="SIM", 'Ações'!AV90="SIM"), 1,0)</f>
        <v>1</v>
      </c>
      <c r="E86" s="139">
        <f>IF(AND('Ações'!$AB90="SIM", 'Ações'!AW90="SIM"), 1,0)</f>
        <v>1</v>
      </c>
      <c r="F86" s="139">
        <f>IF(AND('Ações'!$AB90="SIM", 'Ações'!AX90="SIM"), 1,0)</f>
        <v>1</v>
      </c>
      <c r="G86" s="139">
        <f>IF(AND('Ações'!$AC90="SIM", 'Ações'!AS90="SIM"), 1,0)</f>
        <v>0</v>
      </c>
      <c r="H86" s="139">
        <f>IF(AND('Ações'!$AC90="SIM", 'Ações'!AT90="SIM"), 1,0)</f>
        <v>0</v>
      </c>
      <c r="I86" s="139">
        <f>IF(AND('Ações'!$AC90="SIM", 'Ações'!AU90="SIM"), 1,0)</f>
        <v>0</v>
      </c>
      <c r="J86" s="139">
        <f>IF(AND('Ações'!$AC90="SIM", 'Ações'!AV90="SIM"), 1,0)</f>
        <v>0</v>
      </c>
      <c r="K86" s="139">
        <f>IF(AND('Ações'!$AC90="SIM", 'Ações'!AW90="SIM"), 1,0)</f>
        <v>0</v>
      </c>
      <c r="L86" s="139">
        <f>IF(AND('Ações'!$AC90="SIM", 'Ações'!AX90="SIM"), 1,0)</f>
        <v>0</v>
      </c>
      <c r="M86" s="139">
        <f>IF(AND('Ações'!$AD90="SIM", 'Ações'!AS90="SIM"), 1,0)</f>
        <v>0</v>
      </c>
      <c r="N86" s="139">
        <f>IF(AND('Ações'!$AD90="SIM", 'Ações'!AT90="SIM"), 1,0)</f>
        <v>0</v>
      </c>
      <c r="O86" s="139">
        <f>IF(AND('Ações'!$AD90="SIM", 'Ações'!AU90="SIM"), 1,0)</f>
        <v>0</v>
      </c>
      <c r="P86" s="139">
        <f>IF(AND('Ações'!$AD90="SIM", 'Ações'!AV90="SIM"), 1,0)</f>
        <v>0</v>
      </c>
      <c r="Q86" s="139">
        <f>IF(AND('Ações'!$AD90="SIM", 'Ações'!AW90="SIM"), 1,0)</f>
        <v>0</v>
      </c>
      <c r="R86" s="139">
        <f>IF(AND('Ações'!$AD90="SIM", 'Ações'!AX90="SIM"), 1,0)</f>
        <v>0</v>
      </c>
    </row>
    <row r="87">
      <c r="A87" s="139">
        <f>IF(AND('Ações'!AB91="SIM", 'Ações'!AS91="SIM"), 1,0)</f>
        <v>1</v>
      </c>
      <c r="B87" s="139">
        <f>IF(AND('Ações'!$AB91="SIM", 'Ações'!AT91="SIM"), 1,0)</f>
        <v>1</v>
      </c>
      <c r="C87" s="139">
        <f>IF(AND('Ações'!$AB91="SIM", 'Ações'!AU91="SIM"), 1,0)</f>
        <v>1</v>
      </c>
      <c r="D87" s="139">
        <f>IF(AND('Ações'!$AB91="SIM", 'Ações'!AV91="SIM"), 1,0)</f>
        <v>1</v>
      </c>
      <c r="E87" s="139">
        <f>IF(AND('Ações'!$AB91="SIM", 'Ações'!AW91="SIM"), 1,0)</f>
        <v>1</v>
      </c>
      <c r="F87" s="139">
        <f>IF(AND('Ações'!$AB91="SIM", 'Ações'!AX91="SIM"), 1,0)</f>
        <v>1</v>
      </c>
      <c r="G87" s="139">
        <f>IF(AND('Ações'!$AC91="SIM", 'Ações'!AS91="SIM"), 1,0)</f>
        <v>0</v>
      </c>
      <c r="H87" s="139">
        <f>IF(AND('Ações'!$AC91="SIM", 'Ações'!AT91="SIM"), 1,0)</f>
        <v>0</v>
      </c>
      <c r="I87" s="139">
        <f>IF(AND('Ações'!$AC91="SIM", 'Ações'!AU91="SIM"), 1,0)</f>
        <v>0</v>
      </c>
      <c r="J87" s="139">
        <f>IF(AND('Ações'!$AC91="SIM", 'Ações'!AV91="SIM"), 1,0)</f>
        <v>0</v>
      </c>
      <c r="K87" s="139">
        <f>IF(AND('Ações'!$AC91="SIM", 'Ações'!AW91="SIM"), 1,0)</f>
        <v>0</v>
      </c>
      <c r="L87" s="139">
        <f>IF(AND('Ações'!$AC91="SIM", 'Ações'!AX91="SIM"), 1,0)</f>
        <v>0</v>
      </c>
      <c r="M87" s="139">
        <f>IF(AND('Ações'!$AD91="SIM", 'Ações'!AS91="SIM"), 1,0)</f>
        <v>0</v>
      </c>
      <c r="N87" s="139">
        <f>IF(AND('Ações'!$AD91="SIM", 'Ações'!AT91="SIM"), 1,0)</f>
        <v>0</v>
      </c>
      <c r="O87" s="139">
        <f>IF(AND('Ações'!$AD91="SIM", 'Ações'!AU91="SIM"), 1,0)</f>
        <v>0</v>
      </c>
      <c r="P87" s="139">
        <f>IF(AND('Ações'!$AD91="SIM", 'Ações'!AV91="SIM"), 1,0)</f>
        <v>0</v>
      </c>
      <c r="Q87" s="139">
        <f>IF(AND('Ações'!$AD91="SIM", 'Ações'!AW91="SIM"), 1,0)</f>
        <v>0</v>
      </c>
      <c r="R87" s="139">
        <f>IF(AND('Ações'!$AD91="SIM", 'Ações'!AX91="SIM"), 1,0)</f>
        <v>0</v>
      </c>
    </row>
    <row r="88">
      <c r="A88" s="139">
        <f>IF(AND('Ações'!AB92="SIM", 'Ações'!AS92="SIM"), 1,0)</f>
        <v>1</v>
      </c>
      <c r="B88" s="139">
        <f>IF(AND('Ações'!$AB92="SIM", 'Ações'!AT92="SIM"), 1,0)</f>
        <v>1</v>
      </c>
      <c r="C88" s="139">
        <f>IF(AND('Ações'!$AB92="SIM", 'Ações'!AU92="SIM"), 1,0)</f>
        <v>1</v>
      </c>
      <c r="D88" s="139">
        <f>IF(AND('Ações'!$AB92="SIM", 'Ações'!AV92="SIM"), 1,0)</f>
        <v>1</v>
      </c>
      <c r="E88" s="139">
        <f>IF(AND('Ações'!$AB92="SIM", 'Ações'!AW92="SIM"), 1,0)</f>
        <v>1</v>
      </c>
      <c r="F88" s="139">
        <f>IF(AND('Ações'!$AB92="SIM", 'Ações'!AX92="SIM"), 1,0)</f>
        <v>1</v>
      </c>
      <c r="G88" s="139">
        <f>IF(AND('Ações'!$AC92="SIM", 'Ações'!AS92="SIM"), 1,0)</f>
        <v>1</v>
      </c>
      <c r="H88" s="139">
        <f>IF(AND('Ações'!$AC92="SIM", 'Ações'!AT92="SIM"), 1,0)</f>
        <v>1</v>
      </c>
      <c r="I88" s="139">
        <f>IF(AND('Ações'!$AC92="SIM", 'Ações'!AU92="SIM"), 1,0)</f>
        <v>1</v>
      </c>
      <c r="J88" s="139">
        <f>IF(AND('Ações'!$AC92="SIM", 'Ações'!AV92="SIM"), 1,0)</f>
        <v>1</v>
      </c>
      <c r="K88" s="139">
        <f>IF(AND('Ações'!$AC92="SIM", 'Ações'!AW92="SIM"), 1,0)</f>
        <v>1</v>
      </c>
      <c r="L88" s="139">
        <f>IF(AND('Ações'!$AC92="SIM", 'Ações'!AX92="SIM"), 1,0)</f>
        <v>1</v>
      </c>
      <c r="M88" s="139">
        <f>IF(AND('Ações'!$AD92="SIM", 'Ações'!AS92="SIM"), 1,0)</f>
        <v>0</v>
      </c>
      <c r="N88" s="139">
        <f>IF(AND('Ações'!$AD92="SIM", 'Ações'!AT92="SIM"), 1,0)</f>
        <v>0</v>
      </c>
      <c r="O88" s="139">
        <f>IF(AND('Ações'!$AD92="SIM", 'Ações'!AU92="SIM"), 1,0)</f>
        <v>0</v>
      </c>
      <c r="P88" s="139">
        <f>IF(AND('Ações'!$AD92="SIM", 'Ações'!AV92="SIM"), 1,0)</f>
        <v>0</v>
      </c>
      <c r="Q88" s="139">
        <f>IF(AND('Ações'!$AD92="SIM", 'Ações'!AW92="SIM"), 1,0)</f>
        <v>0</v>
      </c>
      <c r="R88" s="139">
        <f>IF(AND('Ações'!$AD92="SIM", 'Ações'!AX92="SIM"), 1,0)</f>
        <v>0</v>
      </c>
    </row>
    <row r="89">
      <c r="A89" s="139">
        <f>IF(AND('Ações'!AB93="SIM", 'Ações'!AS93="SIM"), 1,0)</f>
        <v>1</v>
      </c>
      <c r="B89" s="139">
        <f>IF(AND('Ações'!$AB93="SIM", 'Ações'!AT93="SIM"), 1,0)</f>
        <v>1</v>
      </c>
      <c r="C89" s="139">
        <f>IF(AND('Ações'!$AB93="SIM", 'Ações'!AU93="SIM"), 1,0)</f>
        <v>1</v>
      </c>
      <c r="D89" s="139">
        <f>IF(AND('Ações'!$AB93="SIM", 'Ações'!AV93="SIM"), 1,0)</f>
        <v>1</v>
      </c>
      <c r="E89" s="139">
        <f>IF(AND('Ações'!$AB93="SIM", 'Ações'!AW93="SIM"), 1,0)</f>
        <v>1</v>
      </c>
      <c r="F89" s="139">
        <f>IF(AND('Ações'!$AB93="SIM", 'Ações'!AX93="SIM"), 1,0)</f>
        <v>1</v>
      </c>
      <c r="G89" s="139">
        <f>IF(AND('Ações'!$AC93="SIM", 'Ações'!AS93="SIM"), 1,0)</f>
        <v>0</v>
      </c>
      <c r="H89" s="139">
        <f>IF(AND('Ações'!$AC93="SIM", 'Ações'!AT93="SIM"), 1,0)</f>
        <v>0</v>
      </c>
      <c r="I89" s="139">
        <f>IF(AND('Ações'!$AC93="SIM", 'Ações'!AU93="SIM"), 1,0)</f>
        <v>0</v>
      </c>
      <c r="J89" s="139">
        <f>IF(AND('Ações'!$AC93="SIM", 'Ações'!AV93="SIM"), 1,0)</f>
        <v>0</v>
      </c>
      <c r="K89" s="139">
        <f>IF(AND('Ações'!$AC93="SIM", 'Ações'!AW93="SIM"), 1,0)</f>
        <v>0</v>
      </c>
      <c r="L89" s="139">
        <f>IF(AND('Ações'!$AC93="SIM", 'Ações'!AX93="SIM"), 1,0)</f>
        <v>0</v>
      </c>
      <c r="M89" s="139">
        <f>IF(AND('Ações'!$AD93="SIM", 'Ações'!AS93="SIM"), 1,0)</f>
        <v>0</v>
      </c>
      <c r="N89" s="139">
        <f>IF(AND('Ações'!$AD93="SIM", 'Ações'!AT93="SIM"), 1,0)</f>
        <v>0</v>
      </c>
      <c r="O89" s="139">
        <f>IF(AND('Ações'!$AD93="SIM", 'Ações'!AU93="SIM"), 1,0)</f>
        <v>0</v>
      </c>
      <c r="P89" s="139">
        <f>IF(AND('Ações'!$AD93="SIM", 'Ações'!AV93="SIM"), 1,0)</f>
        <v>0</v>
      </c>
      <c r="Q89" s="139">
        <f>IF(AND('Ações'!$AD93="SIM", 'Ações'!AW93="SIM"), 1,0)</f>
        <v>0</v>
      </c>
      <c r="R89" s="139">
        <f>IF(AND('Ações'!$AD93="SIM", 'Ações'!AX93="SIM"), 1,0)</f>
        <v>0</v>
      </c>
    </row>
    <row r="90">
      <c r="A90" s="139">
        <f>IF(AND('Ações'!AB94="SIM", 'Ações'!AS94="SIM"), 1,0)</f>
        <v>1</v>
      </c>
      <c r="B90" s="139">
        <f>IF(AND('Ações'!$AB94="SIM", 'Ações'!AT94="SIM"), 1,0)</f>
        <v>1</v>
      </c>
      <c r="C90" s="139">
        <f>IF(AND('Ações'!$AB94="SIM", 'Ações'!AU94="SIM"), 1,0)</f>
        <v>1</v>
      </c>
      <c r="D90" s="139">
        <f>IF(AND('Ações'!$AB94="SIM", 'Ações'!AV94="SIM"), 1,0)</f>
        <v>1</v>
      </c>
      <c r="E90" s="139">
        <f>IF(AND('Ações'!$AB94="SIM", 'Ações'!AW94="SIM"), 1,0)</f>
        <v>1</v>
      </c>
      <c r="F90" s="139">
        <f>IF(AND('Ações'!$AB94="SIM", 'Ações'!AX94="SIM"), 1,0)</f>
        <v>1</v>
      </c>
      <c r="G90" s="139">
        <f>IF(AND('Ações'!$AC94="SIM", 'Ações'!AS94="SIM"), 1,0)</f>
        <v>0</v>
      </c>
      <c r="H90" s="139">
        <f>IF(AND('Ações'!$AC94="SIM", 'Ações'!AT94="SIM"), 1,0)</f>
        <v>0</v>
      </c>
      <c r="I90" s="139">
        <f>IF(AND('Ações'!$AC94="SIM", 'Ações'!AU94="SIM"), 1,0)</f>
        <v>0</v>
      </c>
      <c r="J90" s="139">
        <f>IF(AND('Ações'!$AC94="SIM", 'Ações'!AV94="SIM"), 1,0)</f>
        <v>0</v>
      </c>
      <c r="K90" s="139">
        <f>IF(AND('Ações'!$AC94="SIM", 'Ações'!AW94="SIM"), 1,0)</f>
        <v>0</v>
      </c>
      <c r="L90" s="139">
        <f>IF(AND('Ações'!$AC94="SIM", 'Ações'!AX94="SIM"), 1,0)</f>
        <v>0</v>
      </c>
      <c r="M90" s="139">
        <f>IF(AND('Ações'!$AD94="SIM", 'Ações'!AS94="SIM"), 1,0)</f>
        <v>0</v>
      </c>
      <c r="N90" s="139">
        <f>IF(AND('Ações'!$AD94="SIM", 'Ações'!AT94="SIM"), 1,0)</f>
        <v>0</v>
      </c>
      <c r="O90" s="139">
        <f>IF(AND('Ações'!$AD94="SIM", 'Ações'!AU94="SIM"), 1,0)</f>
        <v>0</v>
      </c>
      <c r="P90" s="139">
        <f>IF(AND('Ações'!$AD94="SIM", 'Ações'!AV94="SIM"), 1,0)</f>
        <v>0</v>
      </c>
      <c r="Q90" s="139">
        <f>IF(AND('Ações'!$AD94="SIM", 'Ações'!AW94="SIM"), 1,0)</f>
        <v>0</v>
      </c>
      <c r="R90" s="139">
        <f>IF(AND('Ações'!$AD94="SIM", 'Ações'!AX94="SIM"), 1,0)</f>
        <v>0</v>
      </c>
    </row>
    <row r="91">
      <c r="A91" s="139">
        <f>IF(AND('Ações'!AB95="SIM", 'Ações'!AS95="SIM"), 1,0)</f>
        <v>1</v>
      </c>
      <c r="B91" s="139">
        <f>IF(AND('Ações'!$AB95="SIM", 'Ações'!AT95="SIM"), 1,0)</f>
        <v>1</v>
      </c>
      <c r="C91" s="139">
        <f>IF(AND('Ações'!$AB95="SIM", 'Ações'!AU95="SIM"), 1,0)</f>
        <v>1</v>
      </c>
      <c r="D91" s="139">
        <f>IF(AND('Ações'!$AB95="SIM", 'Ações'!AV95="SIM"), 1,0)</f>
        <v>1</v>
      </c>
      <c r="E91" s="139">
        <f>IF(AND('Ações'!$AB95="SIM", 'Ações'!AW95="SIM"), 1,0)</f>
        <v>1</v>
      </c>
      <c r="F91" s="139">
        <f>IF(AND('Ações'!$AB95="SIM", 'Ações'!AX95="SIM"), 1,0)</f>
        <v>1</v>
      </c>
      <c r="G91" s="139">
        <f>IF(AND('Ações'!$AC95="SIM", 'Ações'!AS95="SIM"), 1,0)</f>
        <v>1</v>
      </c>
      <c r="H91" s="139">
        <f>IF(AND('Ações'!$AC95="SIM", 'Ações'!AT95="SIM"), 1,0)</f>
        <v>1</v>
      </c>
      <c r="I91" s="139">
        <f>IF(AND('Ações'!$AC95="SIM", 'Ações'!AU95="SIM"), 1,0)</f>
        <v>1</v>
      </c>
      <c r="J91" s="139">
        <f>IF(AND('Ações'!$AC95="SIM", 'Ações'!AV95="SIM"), 1,0)</f>
        <v>1</v>
      </c>
      <c r="K91" s="139">
        <f>IF(AND('Ações'!$AC95="SIM", 'Ações'!AW95="SIM"), 1,0)</f>
        <v>1</v>
      </c>
      <c r="L91" s="139">
        <f>IF(AND('Ações'!$AC95="SIM", 'Ações'!AX95="SIM"), 1,0)</f>
        <v>1</v>
      </c>
      <c r="M91" s="139">
        <f>IF(AND('Ações'!$AD95="SIM", 'Ações'!AS95="SIM"), 1,0)</f>
        <v>0</v>
      </c>
      <c r="N91" s="139">
        <f>IF(AND('Ações'!$AD95="SIM", 'Ações'!AT95="SIM"), 1,0)</f>
        <v>0</v>
      </c>
      <c r="O91" s="139">
        <f>IF(AND('Ações'!$AD95="SIM", 'Ações'!AU95="SIM"), 1,0)</f>
        <v>0</v>
      </c>
      <c r="P91" s="139">
        <f>IF(AND('Ações'!$AD95="SIM", 'Ações'!AV95="SIM"), 1,0)</f>
        <v>0</v>
      </c>
      <c r="Q91" s="139">
        <f>IF(AND('Ações'!$AD95="SIM", 'Ações'!AW95="SIM"), 1,0)</f>
        <v>0</v>
      </c>
      <c r="R91" s="139">
        <f>IF(AND('Ações'!$AD95="SIM", 'Ações'!AX95="SIM"), 1,0)</f>
        <v>0</v>
      </c>
    </row>
    <row r="92">
      <c r="A92" s="139">
        <f>IF(AND('Ações'!AB96="SIM", 'Ações'!AS96="SIM"), 1,0)</f>
        <v>1</v>
      </c>
      <c r="B92" s="139">
        <f>IF(AND('Ações'!$AB96="SIM", 'Ações'!AT96="SIM"), 1,0)</f>
        <v>1</v>
      </c>
      <c r="C92" s="139">
        <f>IF(AND('Ações'!$AB96="SIM", 'Ações'!AU96="SIM"), 1,0)</f>
        <v>1</v>
      </c>
      <c r="D92" s="139">
        <f>IF(AND('Ações'!$AB96="SIM", 'Ações'!AV96="SIM"), 1,0)</f>
        <v>1</v>
      </c>
      <c r="E92" s="139">
        <f>IF(AND('Ações'!$AB96="SIM", 'Ações'!AW96="SIM"), 1,0)</f>
        <v>1</v>
      </c>
      <c r="F92" s="139">
        <f>IF(AND('Ações'!$AB96="SIM", 'Ações'!AX96="SIM"), 1,0)</f>
        <v>1</v>
      </c>
      <c r="G92" s="139">
        <f>IF(AND('Ações'!$AC96="SIM", 'Ações'!AS96="SIM"), 1,0)</f>
        <v>1</v>
      </c>
      <c r="H92" s="139">
        <f>IF(AND('Ações'!$AC96="SIM", 'Ações'!AT96="SIM"), 1,0)</f>
        <v>1</v>
      </c>
      <c r="I92" s="139">
        <f>IF(AND('Ações'!$AC96="SIM", 'Ações'!AU96="SIM"), 1,0)</f>
        <v>1</v>
      </c>
      <c r="J92" s="139">
        <f>IF(AND('Ações'!$AC96="SIM", 'Ações'!AV96="SIM"), 1,0)</f>
        <v>1</v>
      </c>
      <c r="K92" s="139">
        <f>IF(AND('Ações'!$AC96="SIM", 'Ações'!AW96="SIM"), 1,0)</f>
        <v>1</v>
      </c>
      <c r="L92" s="139">
        <f>IF(AND('Ações'!$AC96="SIM", 'Ações'!AX96="SIM"), 1,0)</f>
        <v>1</v>
      </c>
      <c r="M92" s="139">
        <f>IF(AND('Ações'!$AD96="SIM", 'Ações'!AS96="SIM"), 1,0)</f>
        <v>0</v>
      </c>
      <c r="N92" s="139">
        <f>IF(AND('Ações'!$AD96="SIM", 'Ações'!AT96="SIM"), 1,0)</f>
        <v>0</v>
      </c>
      <c r="O92" s="139">
        <f>IF(AND('Ações'!$AD96="SIM", 'Ações'!AU96="SIM"), 1,0)</f>
        <v>0</v>
      </c>
      <c r="P92" s="139">
        <f>IF(AND('Ações'!$AD96="SIM", 'Ações'!AV96="SIM"), 1,0)</f>
        <v>0</v>
      </c>
      <c r="Q92" s="139">
        <f>IF(AND('Ações'!$AD96="SIM", 'Ações'!AW96="SIM"), 1,0)</f>
        <v>0</v>
      </c>
      <c r="R92" s="139">
        <f>IF(AND('Ações'!$AD96="SIM", 'Ações'!AX96="SIM"), 1,0)</f>
        <v>0</v>
      </c>
    </row>
    <row r="93">
      <c r="A93" s="139">
        <f>IF(AND('Ações'!AB97="SIM", 'Ações'!AS97="SIM"), 1,0)</f>
        <v>1</v>
      </c>
      <c r="B93" s="139">
        <f>IF(AND('Ações'!$AB97="SIM", 'Ações'!AT97="SIM"), 1,0)</f>
        <v>1</v>
      </c>
      <c r="C93" s="139">
        <f>IF(AND('Ações'!$AB97="SIM", 'Ações'!AU97="SIM"), 1,0)</f>
        <v>1</v>
      </c>
      <c r="D93" s="139">
        <f>IF(AND('Ações'!$AB97="SIM", 'Ações'!AV97="SIM"), 1,0)</f>
        <v>1</v>
      </c>
      <c r="E93" s="139">
        <f>IF(AND('Ações'!$AB97="SIM", 'Ações'!AW97="SIM"), 1,0)</f>
        <v>1</v>
      </c>
      <c r="F93" s="139">
        <f>IF(AND('Ações'!$AB97="SIM", 'Ações'!AX97="SIM"), 1,0)</f>
        <v>1</v>
      </c>
      <c r="G93" s="139">
        <f>IF(AND('Ações'!$AC97="SIM", 'Ações'!AS97="SIM"), 1,0)</f>
        <v>1</v>
      </c>
      <c r="H93" s="139">
        <f>IF(AND('Ações'!$AC97="SIM", 'Ações'!AT97="SIM"), 1,0)</f>
        <v>1</v>
      </c>
      <c r="I93" s="139">
        <f>IF(AND('Ações'!$AC97="SIM", 'Ações'!AU97="SIM"), 1,0)</f>
        <v>1</v>
      </c>
      <c r="J93" s="139">
        <f>IF(AND('Ações'!$AC97="SIM", 'Ações'!AV97="SIM"), 1,0)</f>
        <v>1</v>
      </c>
      <c r="K93" s="139">
        <f>IF(AND('Ações'!$AC97="SIM", 'Ações'!AW97="SIM"), 1,0)</f>
        <v>1</v>
      </c>
      <c r="L93" s="139">
        <f>IF(AND('Ações'!$AC97="SIM", 'Ações'!AX97="SIM"), 1,0)</f>
        <v>1</v>
      </c>
      <c r="M93" s="139">
        <f>IF(AND('Ações'!$AD97="SIM", 'Ações'!AS97="SIM"), 1,0)</f>
        <v>0</v>
      </c>
      <c r="N93" s="139">
        <f>IF(AND('Ações'!$AD97="SIM", 'Ações'!AT97="SIM"), 1,0)</f>
        <v>0</v>
      </c>
      <c r="O93" s="139">
        <f>IF(AND('Ações'!$AD97="SIM", 'Ações'!AU97="SIM"), 1,0)</f>
        <v>0</v>
      </c>
      <c r="P93" s="139">
        <f>IF(AND('Ações'!$AD97="SIM", 'Ações'!AV97="SIM"), 1,0)</f>
        <v>0</v>
      </c>
      <c r="Q93" s="139">
        <f>IF(AND('Ações'!$AD97="SIM", 'Ações'!AW97="SIM"), 1,0)</f>
        <v>0</v>
      </c>
      <c r="R93" s="139">
        <f>IF(AND('Ações'!$AD97="SIM", 'Ações'!AX97="SIM"), 1,0)</f>
        <v>0</v>
      </c>
    </row>
    <row r="94">
      <c r="A94" s="139">
        <f>IF(AND('Ações'!AB98="SIM", 'Ações'!AS98="SIM"), 1,0)</f>
        <v>1</v>
      </c>
      <c r="B94" s="139">
        <f>IF(AND('Ações'!$AB98="SIM", 'Ações'!AT98="SIM"), 1,0)</f>
        <v>1</v>
      </c>
      <c r="C94" s="139">
        <f>IF(AND('Ações'!$AB98="SIM", 'Ações'!AU98="SIM"), 1,0)</f>
        <v>1</v>
      </c>
      <c r="D94" s="139">
        <f>IF(AND('Ações'!$AB98="SIM", 'Ações'!AV98="SIM"), 1,0)</f>
        <v>1</v>
      </c>
      <c r="E94" s="139">
        <f>IF(AND('Ações'!$AB98="SIM", 'Ações'!AW98="SIM"), 1,0)</f>
        <v>1</v>
      </c>
      <c r="F94" s="139">
        <f>IF(AND('Ações'!$AB98="SIM", 'Ações'!AX98="SIM"), 1,0)</f>
        <v>1</v>
      </c>
      <c r="G94" s="139">
        <f>IF(AND('Ações'!$AC98="SIM", 'Ações'!AS98="SIM"), 1,0)</f>
        <v>1</v>
      </c>
      <c r="H94" s="139">
        <f>IF(AND('Ações'!$AC98="SIM", 'Ações'!AT98="SIM"), 1,0)</f>
        <v>1</v>
      </c>
      <c r="I94" s="139">
        <f>IF(AND('Ações'!$AC98="SIM", 'Ações'!AU98="SIM"), 1,0)</f>
        <v>1</v>
      </c>
      <c r="J94" s="139">
        <f>IF(AND('Ações'!$AC98="SIM", 'Ações'!AV98="SIM"), 1,0)</f>
        <v>1</v>
      </c>
      <c r="K94" s="139">
        <f>IF(AND('Ações'!$AC98="SIM", 'Ações'!AW98="SIM"), 1,0)</f>
        <v>1</v>
      </c>
      <c r="L94" s="139">
        <f>IF(AND('Ações'!$AC98="SIM", 'Ações'!AX98="SIM"), 1,0)</f>
        <v>1</v>
      </c>
      <c r="M94" s="139">
        <f>IF(AND('Ações'!$AD98="SIM", 'Ações'!AS98="SIM"), 1,0)</f>
        <v>0</v>
      </c>
      <c r="N94" s="139">
        <f>IF(AND('Ações'!$AD98="SIM", 'Ações'!AT98="SIM"), 1,0)</f>
        <v>0</v>
      </c>
      <c r="O94" s="139">
        <f>IF(AND('Ações'!$AD98="SIM", 'Ações'!AU98="SIM"), 1,0)</f>
        <v>0</v>
      </c>
      <c r="P94" s="139">
        <f>IF(AND('Ações'!$AD98="SIM", 'Ações'!AV98="SIM"), 1,0)</f>
        <v>0</v>
      </c>
      <c r="Q94" s="139">
        <f>IF(AND('Ações'!$AD98="SIM", 'Ações'!AW98="SIM"), 1,0)</f>
        <v>0</v>
      </c>
      <c r="R94" s="139">
        <f>IF(AND('Ações'!$AD98="SIM", 'Ações'!AX98="SIM"), 1,0)</f>
        <v>0</v>
      </c>
    </row>
    <row r="95">
      <c r="A95" s="139">
        <f>IF(AND('Ações'!AB99="SIM", 'Ações'!AS99="SIM"), 1,0)</f>
        <v>1</v>
      </c>
      <c r="B95" s="139">
        <f>IF(AND('Ações'!$AB99="SIM", 'Ações'!AT99="SIM"), 1,0)</f>
        <v>1</v>
      </c>
      <c r="C95" s="139">
        <f>IF(AND('Ações'!$AB99="SIM", 'Ações'!AU99="SIM"), 1,0)</f>
        <v>1</v>
      </c>
      <c r="D95" s="139">
        <f>IF(AND('Ações'!$AB99="SIM", 'Ações'!AV99="SIM"), 1,0)</f>
        <v>1</v>
      </c>
      <c r="E95" s="139">
        <f>IF(AND('Ações'!$AB99="SIM", 'Ações'!AW99="SIM"), 1,0)</f>
        <v>1</v>
      </c>
      <c r="F95" s="139">
        <f>IF(AND('Ações'!$AB99="SIM", 'Ações'!AX99="SIM"), 1,0)</f>
        <v>1</v>
      </c>
      <c r="G95" s="139">
        <f>IF(AND('Ações'!$AC99="SIM", 'Ações'!AS99="SIM"), 1,0)</f>
        <v>1</v>
      </c>
      <c r="H95" s="139">
        <f>IF(AND('Ações'!$AC99="SIM", 'Ações'!AT99="SIM"), 1,0)</f>
        <v>1</v>
      </c>
      <c r="I95" s="139">
        <f>IF(AND('Ações'!$AC99="SIM", 'Ações'!AU99="SIM"), 1,0)</f>
        <v>1</v>
      </c>
      <c r="J95" s="139">
        <f>IF(AND('Ações'!$AC99="SIM", 'Ações'!AV99="SIM"), 1,0)</f>
        <v>1</v>
      </c>
      <c r="K95" s="139">
        <f>IF(AND('Ações'!$AC99="SIM", 'Ações'!AW99="SIM"), 1,0)</f>
        <v>1</v>
      </c>
      <c r="L95" s="139">
        <f>IF(AND('Ações'!$AC99="SIM", 'Ações'!AX99="SIM"), 1,0)</f>
        <v>1</v>
      </c>
      <c r="M95" s="139">
        <f>IF(AND('Ações'!$AD99="SIM", 'Ações'!AS99="SIM"), 1,0)</f>
        <v>0</v>
      </c>
      <c r="N95" s="139">
        <f>IF(AND('Ações'!$AD99="SIM", 'Ações'!AT99="SIM"), 1,0)</f>
        <v>0</v>
      </c>
      <c r="O95" s="139">
        <f>IF(AND('Ações'!$AD99="SIM", 'Ações'!AU99="SIM"), 1,0)</f>
        <v>0</v>
      </c>
      <c r="P95" s="139">
        <f>IF(AND('Ações'!$AD99="SIM", 'Ações'!AV99="SIM"), 1,0)</f>
        <v>0</v>
      </c>
      <c r="Q95" s="139">
        <f>IF(AND('Ações'!$AD99="SIM", 'Ações'!AW99="SIM"), 1,0)</f>
        <v>0</v>
      </c>
      <c r="R95" s="139">
        <f>IF(AND('Ações'!$AD99="SIM", 'Ações'!AX99="SIM"), 1,0)</f>
        <v>0</v>
      </c>
    </row>
    <row r="96">
      <c r="A96" s="139">
        <f>IF(AND('Ações'!AB100="SIM", 'Ações'!AS100="SIM"), 1,0)</f>
        <v>0</v>
      </c>
      <c r="B96" s="139">
        <f>IF(AND('Ações'!$AB100="SIM", 'Ações'!AT100="SIM"), 1,0)</f>
        <v>0</v>
      </c>
      <c r="C96" s="139">
        <f>IF(AND('Ações'!$AB100="SIM", 'Ações'!AU100="SIM"), 1,0)</f>
        <v>0</v>
      </c>
      <c r="D96" s="139">
        <f>IF(AND('Ações'!$AB100="SIM", 'Ações'!AV100="SIM"), 1,0)</f>
        <v>0</v>
      </c>
      <c r="E96" s="139">
        <f>IF(AND('Ações'!$AB100="SIM", 'Ações'!AW100="SIM"), 1,0)</f>
        <v>0</v>
      </c>
      <c r="F96" s="139">
        <f>IF(AND('Ações'!$AB100="SIM", 'Ações'!AX100="SIM"), 1,0)</f>
        <v>0</v>
      </c>
      <c r="G96" s="139">
        <f>IF(AND('Ações'!$AC100="SIM", 'Ações'!AS100="SIM"), 1,0)</f>
        <v>1</v>
      </c>
      <c r="H96" s="139">
        <f>IF(AND('Ações'!$AC100="SIM", 'Ações'!AT100="SIM"), 1,0)</f>
        <v>1</v>
      </c>
      <c r="I96" s="139">
        <f>IF(AND('Ações'!$AC100="SIM", 'Ações'!AU100="SIM"), 1,0)</f>
        <v>1</v>
      </c>
      <c r="J96" s="139">
        <f>IF(AND('Ações'!$AC100="SIM", 'Ações'!AV100="SIM"), 1,0)</f>
        <v>1</v>
      </c>
      <c r="K96" s="139">
        <f>IF(AND('Ações'!$AC100="SIM", 'Ações'!AW100="SIM"), 1,0)</f>
        <v>1</v>
      </c>
      <c r="L96" s="139">
        <f>IF(AND('Ações'!$AC100="SIM", 'Ações'!AX100="SIM"), 1,0)</f>
        <v>1</v>
      </c>
      <c r="M96" s="139">
        <f>IF(AND('Ações'!$AD100="SIM", 'Ações'!AS100="SIM"), 1,0)</f>
        <v>0</v>
      </c>
      <c r="N96" s="139">
        <f>IF(AND('Ações'!$AD100="SIM", 'Ações'!AT100="SIM"), 1,0)</f>
        <v>0</v>
      </c>
      <c r="O96" s="139">
        <f>IF(AND('Ações'!$AD100="SIM", 'Ações'!AU100="SIM"), 1,0)</f>
        <v>0</v>
      </c>
      <c r="P96" s="139">
        <f>IF(AND('Ações'!$AD100="SIM", 'Ações'!AV100="SIM"), 1,0)</f>
        <v>0</v>
      </c>
      <c r="Q96" s="139">
        <f>IF(AND('Ações'!$AD100="SIM", 'Ações'!AW100="SIM"), 1,0)</f>
        <v>0</v>
      </c>
      <c r="R96" s="139">
        <f>IF(AND('Ações'!$AD100="SIM", 'Ações'!AX100="SIM"), 1,0)</f>
        <v>0</v>
      </c>
    </row>
    <row r="97">
      <c r="A97" s="139">
        <f>IF(AND('Ações'!AB101="SIM", 'Ações'!AS101="SIM"), 1,0)</f>
        <v>1</v>
      </c>
      <c r="B97" s="139">
        <f>IF(AND('Ações'!$AB101="SIM", 'Ações'!AT101="SIM"), 1,0)</f>
        <v>1</v>
      </c>
      <c r="C97" s="139">
        <f>IF(AND('Ações'!$AB101="SIM", 'Ações'!AU101="SIM"), 1,0)</f>
        <v>1</v>
      </c>
      <c r="D97" s="139">
        <f>IF(AND('Ações'!$AB101="SIM", 'Ações'!AV101="SIM"), 1,0)</f>
        <v>1</v>
      </c>
      <c r="E97" s="139">
        <f>IF(AND('Ações'!$AB101="SIM", 'Ações'!AW101="SIM"), 1,0)</f>
        <v>1</v>
      </c>
      <c r="F97" s="139">
        <f>IF(AND('Ações'!$AB101="SIM", 'Ações'!AX101="SIM"), 1,0)</f>
        <v>1</v>
      </c>
      <c r="G97" s="139">
        <f>IF(AND('Ações'!$AC101="SIM", 'Ações'!AS101="SIM"), 1,0)</f>
        <v>1</v>
      </c>
      <c r="H97" s="139">
        <f>IF(AND('Ações'!$AC101="SIM", 'Ações'!AT101="SIM"), 1,0)</f>
        <v>1</v>
      </c>
      <c r="I97" s="139">
        <f>IF(AND('Ações'!$AC101="SIM", 'Ações'!AU101="SIM"), 1,0)</f>
        <v>1</v>
      </c>
      <c r="J97" s="139">
        <f>IF(AND('Ações'!$AC101="SIM", 'Ações'!AV101="SIM"), 1,0)</f>
        <v>1</v>
      </c>
      <c r="K97" s="139">
        <f>IF(AND('Ações'!$AC101="SIM", 'Ações'!AW101="SIM"), 1,0)</f>
        <v>1</v>
      </c>
      <c r="L97" s="139">
        <f>IF(AND('Ações'!$AC101="SIM", 'Ações'!AX101="SIM"), 1,0)</f>
        <v>1</v>
      </c>
      <c r="M97" s="139">
        <f>IF(AND('Ações'!$AD101="SIM", 'Ações'!AS101="SIM"), 1,0)</f>
        <v>0</v>
      </c>
      <c r="N97" s="139">
        <f>IF(AND('Ações'!$AD101="SIM", 'Ações'!AT101="SIM"), 1,0)</f>
        <v>0</v>
      </c>
      <c r="O97" s="139">
        <f>IF(AND('Ações'!$AD101="SIM", 'Ações'!AU101="SIM"), 1,0)</f>
        <v>0</v>
      </c>
      <c r="P97" s="139">
        <f>IF(AND('Ações'!$AD101="SIM", 'Ações'!AV101="SIM"), 1,0)</f>
        <v>0</v>
      </c>
      <c r="Q97" s="139">
        <f>IF(AND('Ações'!$AD101="SIM", 'Ações'!AW101="SIM"), 1,0)</f>
        <v>0</v>
      </c>
      <c r="R97" s="139">
        <f>IF(AND('Ações'!$AD101="SIM", 'Ações'!AX101="SIM"), 1,0)</f>
        <v>0</v>
      </c>
    </row>
    <row r="98">
      <c r="A98" s="139">
        <f>IF(AND('Ações'!AB102="SIM", 'Ações'!AS102="SIM"), 1,0)</f>
        <v>1</v>
      </c>
      <c r="B98" s="139">
        <f>IF(AND('Ações'!$AB102="SIM", 'Ações'!AT102="SIM"), 1,0)</f>
        <v>1</v>
      </c>
      <c r="C98" s="139">
        <f>IF(AND('Ações'!$AB102="SIM", 'Ações'!AU102="SIM"), 1,0)</f>
        <v>1</v>
      </c>
      <c r="D98" s="139">
        <f>IF(AND('Ações'!$AB102="SIM", 'Ações'!AV102="SIM"), 1,0)</f>
        <v>1</v>
      </c>
      <c r="E98" s="139">
        <f>IF(AND('Ações'!$AB102="SIM", 'Ações'!AW102="SIM"), 1,0)</f>
        <v>1</v>
      </c>
      <c r="F98" s="139">
        <f>IF(AND('Ações'!$AB102="SIM", 'Ações'!AX102="SIM"), 1,0)</f>
        <v>1</v>
      </c>
      <c r="G98" s="139">
        <f>IF(AND('Ações'!$AC102="SIM", 'Ações'!AS102="SIM"), 1,0)</f>
        <v>1</v>
      </c>
      <c r="H98" s="139">
        <f>IF(AND('Ações'!$AC102="SIM", 'Ações'!AT102="SIM"), 1,0)</f>
        <v>1</v>
      </c>
      <c r="I98" s="139">
        <f>IF(AND('Ações'!$AC102="SIM", 'Ações'!AU102="SIM"), 1,0)</f>
        <v>1</v>
      </c>
      <c r="J98" s="139">
        <f>IF(AND('Ações'!$AC102="SIM", 'Ações'!AV102="SIM"), 1,0)</f>
        <v>1</v>
      </c>
      <c r="K98" s="139">
        <f>IF(AND('Ações'!$AC102="SIM", 'Ações'!AW102="SIM"), 1,0)</f>
        <v>1</v>
      </c>
      <c r="L98" s="139">
        <f>IF(AND('Ações'!$AC102="SIM", 'Ações'!AX102="SIM"), 1,0)</f>
        <v>1</v>
      </c>
      <c r="M98" s="139">
        <f>IF(AND('Ações'!$AD102="SIM", 'Ações'!AS102="SIM"), 1,0)</f>
        <v>0</v>
      </c>
      <c r="N98" s="139">
        <f>IF(AND('Ações'!$AD102="SIM", 'Ações'!AT102="SIM"), 1,0)</f>
        <v>0</v>
      </c>
      <c r="O98" s="139">
        <f>IF(AND('Ações'!$AD102="SIM", 'Ações'!AU102="SIM"), 1,0)</f>
        <v>0</v>
      </c>
      <c r="P98" s="139">
        <f>IF(AND('Ações'!$AD102="SIM", 'Ações'!AV102="SIM"), 1,0)</f>
        <v>0</v>
      </c>
      <c r="Q98" s="139">
        <f>IF(AND('Ações'!$AD102="SIM", 'Ações'!AW102="SIM"), 1,0)</f>
        <v>0</v>
      </c>
      <c r="R98" s="139">
        <f>IF(AND('Ações'!$AD102="SIM", 'Ações'!AX102="SIM"), 1,0)</f>
        <v>0</v>
      </c>
    </row>
    <row r="99">
      <c r="A99" s="139" t="str">
        <f t="shared" ref="A99:R99" si="1">IF(AND(#REF!="SIM", #REF!="SIM"), 1,0)</f>
        <v>#REF!</v>
      </c>
      <c r="B99" s="139" t="str">
        <f t="shared" si="1"/>
        <v>#REF!</v>
      </c>
      <c r="C99" s="139" t="str">
        <f t="shared" si="1"/>
        <v>#REF!</v>
      </c>
      <c r="D99" s="139" t="str">
        <f t="shared" si="1"/>
        <v>#REF!</v>
      </c>
      <c r="E99" s="139" t="str">
        <f t="shared" si="1"/>
        <v>#REF!</v>
      </c>
      <c r="F99" s="139" t="str">
        <f t="shared" si="1"/>
        <v>#REF!</v>
      </c>
      <c r="G99" s="139" t="str">
        <f t="shared" si="1"/>
        <v>#REF!</v>
      </c>
      <c r="H99" s="139" t="str">
        <f t="shared" si="1"/>
        <v>#REF!</v>
      </c>
      <c r="I99" s="139" t="str">
        <f t="shared" si="1"/>
        <v>#REF!</v>
      </c>
      <c r="J99" s="139" t="str">
        <f t="shared" si="1"/>
        <v>#REF!</v>
      </c>
      <c r="K99" s="139" t="str">
        <f t="shared" si="1"/>
        <v>#REF!</v>
      </c>
      <c r="L99" s="139" t="str">
        <f t="shared" si="1"/>
        <v>#REF!</v>
      </c>
      <c r="M99" s="139" t="str">
        <f t="shared" si="1"/>
        <v>#REF!</v>
      </c>
      <c r="N99" s="139" t="str">
        <f t="shared" si="1"/>
        <v>#REF!</v>
      </c>
      <c r="O99" s="139" t="str">
        <f t="shared" si="1"/>
        <v>#REF!</v>
      </c>
      <c r="P99" s="139" t="str">
        <f t="shared" si="1"/>
        <v>#REF!</v>
      </c>
      <c r="Q99" s="139" t="str">
        <f t="shared" si="1"/>
        <v>#REF!</v>
      </c>
      <c r="R99" s="139" t="str">
        <f t="shared" si="1"/>
        <v>#REF!</v>
      </c>
    </row>
    <row r="100">
      <c r="A100" s="139">
        <f>IF(AND('Ações'!AB103="SIM", 'Ações'!AS103="SIM"), 1,0)</f>
        <v>1</v>
      </c>
      <c r="B100" s="139">
        <f>IF(AND('Ações'!$AB103="SIM", 'Ações'!AT103="SIM"), 1,0)</f>
        <v>1</v>
      </c>
      <c r="C100" s="139">
        <f>IF(AND('Ações'!$AB103="SIM", 'Ações'!AU103="SIM"), 1,0)</f>
        <v>1</v>
      </c>
      <c r="D100" s="139">
        <f>IF(AND('Ações'!$AB103="SIM", 'Ações'!AV103="SIM"), 1,0)</f>
        <v>1</v>
      </c>
      <c r="E100" s="139">
        <f>IF(AND('Ações'!$AB103="SIM", 'Ações'!AW103="SIM"), 1,0)</f>
        <v>1</v>
      </c>
      <c r="F100" s="139">
        <f>IF(AND('Ações'!$AB103="SIM", 'Ações'!AX103="SIM"), 1,0)</f>
        <v>1</v>
      </c>
      <c r="G100" s="139">
        <f>IF(AND('Ações'!$AC103="SIM", 'Ações'!AS103="SIM"), 1,0)</f>
        <v>1</v>
      </c>
      <c r="H100" s="139">
        <f>IF(AND('Ações'!$AC103="SIM", 'Ações'!AT103="SIM"), 1,0)</f>
        <v>1</v>
      </c>
      <c r="I100" s="139">
        <f>IF(AND('Ações'!$AC103="SIM", 'Ações'!AU103="SIM"), 1,0)</f>
        <v>1</v>
      </c>
      <c r="J100" s="139">
        <f>IF(AND('Ações'!$AC103="SIM", 'Ações'!AV103="SIM"), 1,0)</f>
        <v>1</v>
      </c>
      <c r="K100" s="139">
        <f>IF(AND('Ações'!$AC103="SIM", 'Ações'!AW103="SIM"), 1,0)</f>
        <v>1</v>
      </c>
      <c r="L100" s="139">
        <f>IF(AND('Ações'!$AC103="SIM", 'Ações'!AX103="SIM"), 1,0)</f>
        <v>1</v>
      </c>
      <c r="M100" s="139">
        <f>IF(AND('Ações'!$AD103="SIM", 'Ações'!AS103="SIM"), 1,0)</f>
        <v>0</v>
      </c>
      <c r="N100" s="139">
        <f>IF(AND('Ações'!$AD103="SIM", 'Ações'!AT103="SIM"), 1,0)</f>
        <v>0</v>
      </c>
      <c r="O100" s="139">
        <f>IF(AND('Ações'!$AD103="SIM", 'Ações'!AU103="SIM"), 1,0)</f>
        <v>0</v>
      </c>
      <c r="P100" s="139">
        <f>IF(AND('Ações'!$AD103="SIM", 'Ações'!AV103="SIM"), 1,0)</f>
        <v>0</v>
      </c>
      <c r="Q100" s="139">
        <f>IF(AND('Ações'!$AD103="SIM", 'Ações'!AW103="SIM"), 1,0)</f>
        <v>0</v>
      </c>
      <c r="R100" s="139">
        <f>IF(AND('Ações'!$AD103="SIM", 'Ações'!AX103="SIM"), 1,0)</f>
        <v>0</v>
      </c>
    </row>
    <row r="101">
      <c r="A101" s="139">
        <f>IF(AND('Ações'!AB104="SIM", 'Ações'!AS104="SIM"), 1,0)</f>
        <v>1</v>
      </c>
      <c r="B101" s="139">
        <f>IF(AND('Ações'!$AB104="SIM", 'Ações'!AT104="SIM"), 1,0)</f>
        <v>1</v>
      </c>
      <c r="C101" s="139">
        <f>IF(AND('Ações'!$AB104="SIM", 'Ações'!AU104="SIM"), 1,0)</f>
        <v>1</v>
      </c>
      <c r="D101" s="139">
        <f>IF(AND('Ações'!$AB104="SIM", 'Ações'!AV104="SIM"), 1,0)</f>
        <v>1</v>
      </c>
      <c r="E101" s="139">
        <f>IF(AND('Ações'!$AB104="SIM", 'Ações'!AW104="SIM"), 1,0)</f>
        <v>1</v>
      </c>
      <c r="F101" s="139">
        <f>IF(AND('Ações'!$AB104="SIM", 'Ações'!AX104="SIM"), 1,0)</f>
        <v>1</v>
      </c>
      <c r="G101" s="139">
        <f>IF(AND('Ações'!$AC104="SIM", 'Ações'!AS104="SIM"), 1,0)</f>
        <v>1</v>
      </c>
      <c r="H101" s="139">
        <f>IF(AND('Ações'!$AC104="SIM", 'Ações'!AT104="SIM"), 1,0)</f>
        <v>1</v>
      </c>
      <c r="I101" s="139">
        <f>IF(AND('Ações'!$AC104="SIM", 'Ações'!AU104="SIM"), 1,0)</f>
        <v>1</v>
      </c>
      <c r="J101" s="139">
        <f>IF(AND('Ações'!$AC104="SIM", 'Ações'!AV104="SIM"), 1,0)</f>
        <v>1</v>
      </c>
      <c r="K101" s="139">
        <f>IF(AND('Ações'!$AC104="SIM", 'Ações'!AW104="SIM"), 1,0)</f>
        <v>1</v>
      </c>
      <c r="L101" s="139">
        <f>IF(AND('Ações'!$AC104="SIM", 'Ações'!AX104="SIM"), 1,0)</f>
        <v>1</v>
      </c>
      <c r="M101" s="139">
        <f>IF(AND('Ações'!$AD104="SIM", 'Ações'!AS104="SIM"), 1,0)</f>
        <v>0</v>
      </c>
      <c r="N101" s="139">
        <f>IF(AND('Ações'!$AD104="SIM", 'Ações'!AT104="SIM"), 1,0)</f>
        <v>0</v>
      </c>
      <c r="O101" s="139">
        <f>IF(AND('Ações'!$AD104="SIM", 'Ações'!AU104="SIM"), 1,0)</f>
        <v>0</v>
      </c>
      <c r="P101" s="139">
        <f>IF(AND('Ações'!$AD104="SIM", 'Ações'!AV104="SIM"), 1,0)</f>
        <v>0</v>
      </c>
      <c r="Q101" s="139">
        <f>IF(AND('Ações'!$AD104="SIM", 'Ações'!AW104="SIM"), 1,0)</f>
        <v>0</v>
      </c>
      <c r="R101" s="139">
        <f>IF(AND('Ações'!$AD104="SIM", 'Ações'!AX104="SIM"), 1,0)</f>
        <v>0</v>
      </c>
    </row>
    <row r="102">
      <c r="A102" s="139">
        <f>IF(AND('Ações'!AB105="SIM", 'Ações'!AS105="SIM"), 1,0)</f>
        <v>1</v>
      </c>
      <c r="B102" s="139">
        <f>IF(AND('Ações'!$AB105="SIM", 'Ações'!AT105="SIM"), 1,0)</f>
        <v>1</v>
      </c>
      <c r="C102" s="139">
        <f>IF(AND('Ações'!$AB105="SIM", 'Ações'!AU105="SIM"), 1,0)</f>
        <v>1</v>
      </c>
      <c r="D102" s="139">
        <f>IF(AND('Ações'!$AB105="SIM", 'Ações'!AV105="SIM"), 1,0)</f>
        <v>1</v>
      </c>
      <c r="E102" s="139">
        <f>IF(AND('Ações'!$AB105="SIM", 'Ações'!AW105="SIM"), 1,0)</f>
        <v>1</v>
      </c>
      <c r="F102" s="139">
        <f>IF(AND('Ações'!$AB105="SIM", 'Ações'!AX105="SIM"), 1,0)</f>
        <v>1</v>
      </c>
      <c r="G102" s="139">
        <f>IF(AND('Ações'!$AC105="SIM", 'Ações'!AS105="SIM"), 1,0)</f>
        <v>1</v>
      </c>
      <c r="H102" s="139">
        <f>IF(AND('Ações'!$AC105="SIM", 'Ações'!AT105="SIM"), 1,0)</f>
        <v>1</v>
      </c>
      <c r="I102" s="139">
        <f>IF(AND('Ações'!$AC105="SIM", 'Ações'!AU105="SIM"), 1,0)</f>
        <v>1</v>
      </c>
      <c r="J102" s="139">
        <f>IF(AND('Ações'!$AC105="SIM", 'Ações'!AV105="SIM"), 1,0)</f>
        <v>1</v>
      </c>
      <c r="K102" s="139">
        <f>IF(AND('Ações'!$AC105="SIM", 'Ações'!AW105="SIM"), 1,0)</f>
        <v>1</v>
      </c>
      <c r="L102" s="139">
        <f>IF(AND('Ações'!$AC105="SIM", 'Ações'!AX105="SIM"), 1,0)</f>
        <v>1</v>
      </c>
      <c r="M102" s="139">
        <f>IF(AND('Ações'!$AD105="SIM", 'Ações'!AS105="SIM"), 1,0)</f>
        <v>0</v>
      </c>
      <c r="N102" s="139">
        <f>IF(AND('Ações'!$AD105="SIM", 'Ações'!AT105="SIM"), 1,0)</f>
        <v>0</v>
      </c>
      <c r="O102" s="139">
        <f>IF(AND('Ações'!$AD105="SIM", 'Ações'!AU105="SIM"), 1,0)</f>
        <v>0</v>
      </c>
      <c r="P102" s="139">
        <f>IF(AND('Ações'!$AD105="SIM", 'Ações'!AV105="SIM"), 1,0)</f>
        <v>0</v>
      </c>
      <c r="Q102" s="139">
        <f>IF(AND('Ações'!$AD105="SIM", 'Ações'!AW105="SIM"), 1,0)</f>
        <v>0</v>
      </c>
      <c r="R102" s="139">
        <f>IF(AND('Ações'!$AD105="SIM", 'Ações'!AX105="SIM"), 1,0)</f>
        <v>0</v>
      </c>
    </row>
    <row r="103">
      <c r="A103" s="139">
        <f>IF(AND('Ações'!AB106="SIM", 'Ações'!AS106="SIM"), 1,0)</f>
        <v>1</v>
      </c>
      <c r="B103" s="139">
        <f>IF(AND('Ações'!$AB106="SIM", 'Ações'!AT106="SIM"), 1,0)</f>
        <v>1</v>
      </c>
      <c r="C103" s="139">
        <f>IF(AND('Ações'!$AB106="SIM", 'Ações'!AU106="SIM"), 1,0)</f>
        <v>1</v>
      </c>
      <c r="D103" s="139">
        <f>IF(AND('Ações'!$AB106="SIM", 'Ações'!AV106="SIM"), 1,0)</f>
        <v>1</v>
      </c>
      <c r="E103" s="139">
        <f>IF(AND('Ações'!$AB106="SIM", 'Ações'!AW106="SIM"), 1,0)</f>
        <v>1</v>
      </c>
      <c r="F103" s="139">
        <f>IF(AND('Ações'!$AB106="SIM", 'Ações'!AX106="SIM"), 1,0)</f>
        <v>1</v>
      </c>
      <c r="G103" s="139">
        <f>IF(AND('Ações'!$AC106="SIM", 'Ações'!AS106="SIM"), 1,0)</f>
        <v>1</v>
      </c>
      <c r="H103" s="139">
        <f>IF(AND('Ações'!$AC106="SIM", 'Ações'!AT106="SIM"), 1,0)</f>
        <v>1</v>
      </c>
      <c r="I103" s="139">
        <f>IF(AND('Ações'!$AC106="SIM", 'Ações'!AU106="SIM"), 1,0)</f>
        <v>1</v>
      </c>
      <c r="J103" s="139">
        <f>IF(AND('Ações'!$AC106="SIM", 'Ações'!AV106="SIM"), 1,0)</f>
        <v>1</v>
      </c>
      <c r="K103" s="139">
        <f>IF(AND('Ações'!$AC106="SIM", 'Ações'!AW106="SIM"), 1,0)</f>
        <v>1</v>
      </c>
      <c r="L103" s="139">
        <f>IF(AND('Ações'!$AC106="SIM", 'Ações'!AX106="SIM"), 1,0)</f>
        <v>1</v>
      </c>
      <c r="M103" s="139">
        <f>IF(AND('Ações'!$AD106="SIM", 'Ações'!AS106="SIM"), 1,0)</f>
        <v>0</v>
      </c>
      <c r="N103" s="139">
        <f>IF(AND('Ações'!$AD106="SIM", 'Ações'!AT106="SIM"), 1,0)</f>
        <v>0</v>
      </c>
      <c r="O103" s="139">
        <f>IF(AND('Ações'!$AD106="SIM", 'Ações'!AU106="SIM"), 1,0)</f>
        <v>0</v>
      </c>
      <c r="P103" s="139">
        <f>IF(AND('Ações'!$AD106="SIM", 'Ações'!AV106="SIM"), 1,0)</f>
        <v>0</v>
      </c>
      <c r="Q103" s="139">
        <f>IF(AND('Ações'!$AD106="SIM", 'Ações'!AW106="SIM"), 1,0)</f>
        <v>0</v>
      </c>
      <c r="R103" s="139">
        <f>IF(AND('Ações'!$AD106="SIM", 'Ações'!AX106="SIM"), 1,0)</f>
        <v>0</v>
      </c>
    </row>
    <row r="104">
      <c r="A104" s="139">
        <f>IF(AND('Ações'!AB107="SIM", 'Ações'!AS107="SIM"), 1,0)</f>
        <v>0</v>
      </c>
      <c r="B104" s="139">
        <f>IF(AND('Ações'!$AB107="SIM", 'Ações'!AT107="SIM"), 1,0)</f>
        <v>0</v>
      </c>
      <c r="C104" s="139">
        <f>IF(AND('Ações'!$AB107="SIM", 'Ações'!AU107="SIM"), 1,0)</f>
        <v>0</v>
      </c>
      <c r="D104" s="139">
        <f>IF(AND('Ações'!$AB107="SIM", 'Ações'!AV107="SIM"), 1,0)</f>
        <v>0</v>
      </c>
      <c r="E104" s="139">
        <f>IF(AND('Ações'!$AB107="SIM", 'Ações'!AW107="SIM"), 1,0)</f>
        <v>0</v>
      </c>
      <c r="F104" s="139">
        <f>IF(AND('Ações'!$AB107="SIM", 'Ações'!AX107="SIM"), 1,0)</f>
        <v>0</v>
      </c>
      <c r="G104" s="139">
        <f>IF(AND('Ações'!$AC107="SIM", 'Ações'!AS107="SIM"), 1,0)</f>
        <v>1</v>
      </c>
      <c r="H104" s="139">
        <f>IF(AND('Ações'!$AC107="SIM", 'Ações'!AT107="SIM"), 1,0)</f>
        <v>1</v>
      </c>
      <c r="I104" s="139">
        <f>IF(AND('Ações'!$AC107="SIM", 'Ações'!AU107="SIM"), 1,0)</f>
        <v>1</v>
      </c>
      <c r="J104" s="139">
        <f>IF(AND('Ações'!$AC107="SIM", 'Ações'!AV107="SIM"), 1,0)</f>
        <v>1</v>
      </c>
      <c r="K104" s="139">
        <f>IF(AND('Ações'!$AC107="SIM", 'Ações'!AW107="SIM"), 1,0)</f>
        <v>1</v>
      </c>
      <c r="L104" s="139">
        <f>IF(AND('Ações'!$AC107="SIM", 'Ações'!AX107="SIM"), 1,0)</f>
        <v>1</v>
      </c>
      <c r="M104" s="139">
        <f>IF(AND('Ações'!$AD107="SIM", 'Ações'!AS107="SIM"), 1,0)</f>
        <v>0</v>
      </c>
      <c r="N104" s="139">
        <f>IF(AND('Ações'!$AD107="SIM", 'Ações'!AT107="SIM"), 1,0)</f>
        <v>0</v>
      </c>
      <c r="O104" s="139">
        <f>IF(AND('Ações'!$AD107="SIM", 'Ações'!AU107="SIM"), 1,0)</f>
        <v>0</v>
      </c>
      <c r="P104" s="139">
        <f>IF(AND('Ações'!$AD107="SIM", 'Ações'!AV107="SIM"), 1,0)</f>
        <v>0</v>
      </c>
      <c r="Q104" s="139">
        <f>IF(AND('Ações'!$AD107="SIM", 'Ações'!AW107="SIM"), 1,0)</f>
        <v>0</v>
      </c>
      <c r="R104" s="139">
        <f>IF(AND('Ações'!$AD107="SIM", 'Ações'!AX107="SIM"), 1,0)</f>
        <v>0</v>
      </c>
    </row>
    <row r="105">
      <c r="A105" s="139">
        <f>IF(AND('Ações'!AB108="SIM", 'Ações'!AS108="SIM"), 1,0)</f>
        <v>0</v>
      </c>
      <c r="B105" s="139">
        <f>IF(AND('Ações'!$AB108="SIM", 'Ações'!AT108="SIM"), 1,0)</f>
        <v>0</v>
      </c>
      <c r="C105" s="139">
        <f>IF(AND('Ações'!$AB108="SIM", 'Ações'!AU108="SIM"), 1,0)</f>
        <v>0</v>
      </c>
      <c r="D105" s="139">
        <f>IF(AND('Ações'!$AB108="SIM", 'Ações'!AV108="SIM"), 1,0)</f>
        <v>0</v>
      </c>
      <c r="E105" s="139">
        <f>IF(AND('Ações'!$AB108="SIM", 'Ações'!AW108="SIM"), 1,0)</f>
        <v>0</v>
      </c>
      <c r="F105" s="139">
        <f>IF(AND('Ações'!$AB108="SIM", 'Ações'!AX108="SIM"), 1,0)</f>
        <v>0</v>
      </c>
      <c r="G105" s="139">
        <f>IF(AND('Ações'!$AC108="SIM", 'Ações'!AS108="SIM"), 1,0)</f>
        <v>1</v>
      </c>
      <c r="H105" s="139">
        <f>IF(AND('Ações'!$AC108="SIM", 'Ações'!AT108="SIM"), 1,0)</f>
        <v>1</v>
      </c>
      <c r="I105" s="139">
        <f>IF(AND('Ações'!$AC108="SIM", 'Ações'!AU108="SIM"), 1,0)</f>
        <v>1</v>
      </c>
      <c r="J105" s="139">
        <f>IF(AND('Ações'!$AC108="SIM", 'Ações'!AV108="SIM"), 1,0)</f>
        <v>1</v>
      </c>
      <c r="K105" s="139">
        <f>IF(AND('Ações'!$AC108="SIM", 'Ações'!AW108="SIM"), 1,0)</f>
        <v>1</v>
      </c>
      <c r="L105" s="139">
        <f>IF(AND('Ações'!$AC108="SIM", 'Ações'!AX108="SIM"), 1,0)</f>
        <v>1</v>
      </c>
      <c r="M105" s="139">
        <f>IF(AND('Ações'!$AD108="SIM", 'Ações'!AS108="SIM"), 1,0)</f>
        <v>1</v>
      </c>
      <c r="N105" s="139">
        <f>IF(AND('Ações'!$AD108="SIM", 'Ações'!AT108="SIM"), 1,0)</f>
        <v>1</v>
      </c>
      <c r="O105" s="139">
        <f>IF(AND('Ações'!$AD108="SIM", 'Ações'!AU108="SIM"), 1,0)</f>
        <v>1</v>
      </c>
      <c r="P105" s="139">
        <f>IF(AND('Ações'!$AD108="SIM", 'Ações'!AV108="SIM"), 1,0)</f>
        <v>1</v>
      </c>
      <c r="Q105" s="139">
        <f>IF(AND('Ações'!$AD108="SIM", 'Ações'!AW108="SIM"), 1,0)</f>
        <v>1</v>
      </c>
      <c r="R105" s="139">
        <f>IF(AND('Ações'!$AD108="SIM", 'Ações'!AX108="SIM"), 1,0)</f>
        <v>1</v>
      </c>
    </row>
    <row r="106">
      <c r="A106" s="139">
        <f>IF(AND('Ações'!AB109="SIM", 'Ações'!AS109="SIM"), 1,0)</f>
        <v>0</v>
      </c>
      <c r="B106" s="139">
        <f>IF(AND('Ações'!$AB109="SIM", 'Ações'!AT109="SIM"), 1,0)</f>
        <v>0</v>
      </c>
      <c r="C106" s="139">
        <f>IF(AND('Ações'!$AB109="SIM", 'Ações'!AU109="SIM"), 1,0)</f>
        <v>0</v>
      </c>
      <c r="D106" s="139">
        <f>IF(AND('Ações'!$AB109="SIM", 'Ações'!AV109="SIM"), 1,0)</f>
        <v>0</v>
      </c>
      <c r="E106" s="139">
        <f>IF(AND('Ações'!$AB109="SIM", 'Ações'!AW109="SIM"), 1,0)</f>
        <v>0</v>
      </c>
      <c r="F106" s="139">
        <f>IF(AND('Ações'!$AB109="SIM", 'Ações'!AX109="SIM"), 1,0)</f>
        <v>0</v>
      </c>
      <c r="G106" s="139">
        <f>IF(AND('Ações'!$AC109="SIM", 'Ações'!AS109="SIM"), 1,0)</f>
        <v>1</v>
      </c>
      <c r="H106" s="139">
        <f>IF(AND('Ações'!$AC109="SIM", 'Ações'!AT109="SIM"), 1,0)</f>
        <v>1</v>
      </c>
      <c r="I106" s="139">
        <f>IF(AND('Ações'!$AC109="SIM", 'Ações'!AU109="SIM"), 1,0)</f>
        <v>1</v>
      </c>
      <c r="J106" s="139">
        <f>IF(AND('Ações'!$AC109="SIM", 'Ações'!AV109="SIM"), 1,0)</f>
        <v>1</v>
      </c>
      <c r="K106" s="139">
        <f>IF(AND('Ações'!$AC109="SIM", 'Ações'!AW109="SIM"), 1,0)</f>
        <v>1</v>
      </c>
      <c r="L106" s="139">
        <f>IF(AND('Ações'!$AC109="SIM", 'Ações'!AX109="SIM"), 1,0)</f>
        <v>1</v>
      </c>
      <c r="M106" s="139">
        <f>IF(AND('Ações'!$AD109="SIM", 'Ações'!AS109="SIM"), 1,0)</f>
        <v>0</v>
      </c>
      <c r="N106" s="139">
        <f>IF(AND('Ações'!$AD109="SIM", 'Ações'!AT109="SIM"), 1,0)</f>
        <v>0</v>
      </c>
      <c r="O106" s="139">
        <f>IF(AND('Ações'!$AD109="SIM", 'Ações'!AU109="SIM"), 1,0)</f>
        <v>0</v>
      </c>
      <c r="P106" s="139">
        <f>IF(AND('Ações'!$AD109="SIM", 'Ações'!AV109="SIM"), 1,0)</f>
        <v>0</v>
      </c>
      <c r="Q106" s="139">
        <f>IF(AND('Ações'!$AD109="SIM", 'Ações'!AW109="SIM"), 1,0)</f>
        <v>0</v>
      </c>
      <c r="R106" s="139">
        <f>IF(AND('Ações'!$AD109="SIM", 'Ações'!AX109="SIM"), 1,0)</f>
        <v>0</v>
      </c>
    </row>
    <row r="107">
      <c r="A107" s="139">
        <f>IF(AND('Ações'!AB110="SIM", 'Ações'!AS110="SIM"), 1,0)</f>
        <v>0</v>
      </c>
      <c r="B107" s="139">
        <f>IF(AND('Ações'!$AB110="SIM", 'Ações'!AT110="SIM"), 1,0)</f>
        <v>0</v>
      </c>
      <c r="C107" s="139">
        <f>IF(AND('Ações'!$AB110="SIM", 'Ações'!AU110="SIM"), 1,0)</f>
        <v>0</v>
      </c>
      <c r="D107" s="139">
        <f>IF(AND('Ações'!$AB110="SIM", 'Ações'!AV110="SIM"), 1,0)</f>
        <v>0</v>
      </c>
      <c r="E107" s="139">
        <f>IF(AND('Ações'!$AB110="SIM", 'Ações'!AW110="SIM"), 1,0)</f>
        <v>0</v>
      </c>
      <c r="F107" s="139">
        <f>IF(AND('Ações'!$AB110="SIM", 'Ações'!AX110="SIM"), 1,0)</f>
        <v>0</v>
      </c>
      <c r="G107" s="139">
        <f>IF(AND('Ações'!$AC110="SIM", 'Ações'!AS110="SIM"), 1,0)</f>
        <v>1</v>
      </c>
      <c r="H107" s="139">
        <f>IF(AND('Ações'!$AC110="SIM", 'Ações'!AT110="SIM"), 1,0)</f>
        <v>1</v>
      </c>
      <c r="I107" s="139">
        <f>IF(AND('Ações'!$AC110="SIM", 'Ações'!AU110="SIM"), 1,0)</f>
        <v>1</v>
      </c>
      <c r="J107" s="139">
        <f>IF(AND('Ações'!$AC110="SIM", 'Ações'!AV110="SIM"), 1,0)</f>
        <v>1</v>
      </c>
      <c r="K107" s="139">
        <f>IF(AND('Ações'!$AC110="SIM", 'Ações'!AW110="SIM"), 1,0)</f>
        <v>1</v>
      </c>
      <c r="L107" s="139">
        <f>IF(AND('Ações'!$AC110="SIM", 'Ações'!AX110="SIM"), 1,0)</f>
        <v>1</v>
      </c>
      <c r="M107" s="139">
        <f>IF(AND('Ações'!$AD110="SIM", 'Ações'!AS110="SIM"), 1,0)</f>
        <v>1</v>
      </c>
      <c r="N107" s="139">
        <f>IF(AND('Ações'!$AD110="SIM", 'Ações'!AT110="SIM"), 1,0)</f>
        <v>1</v>
      </c>
      <c r="O107" s="139">
        <f>IF(AND('Ações'!$AD110="SIM", 'Ações'!AU110="SIM"), 1,0)</f>
        <v>1</v>
      </c>
      <c r="P107" s="139">
        <f>IF(AND('Ações'!$AD110="SIM", 'Ações'!AV110="SIM"), 1,0)</f>
        <v>1</v>
      </c>
      <c r="Q107" s="139">
        <f>IF(AND('Ações'!$AD110="SIM", 'Ações'!AW110="SIM"), 1,0)</f>
        <v>1</v>
      </c>
      <c r="R107" s="139">
        <f>IF(AND('Ações'!$AD110="SIM", 'Ações'!AX110="SIM"), 1,0)</f>
        <v>1</v>
      </c>
    </row>
    <row r="108">
      <c r="A108" s="139">
        <f>IF(AND('Ações'!AB111="SIM", 'Ações'!AS111="SIM"), 1,0)</f>
        <v>0</v>
      </c>
      <c r="B108" s="139">
        <f>IF(AND('Ações'!$AB111="SIM", 'Ações'!AT111="SIM"), 1,0)</f>
        <v>0</v>
      </c>
      <c r="C108" s="139">
        <f>IF(AND('Ações'!$AB111="SIM", 'Ações'!AU111="SIM"), 1,0)</f>
        <v>0</v>
      </c>
      <c r="D108" s="139">
        <f>IF(AND('Ações'!$AB111="SIM", 'Ações'!AV111="SIM"), 1,0)</f>
        <v>0</v>
      </c>
      <c r="E108" s="139">
        <f>IF(AND('Ações'!$AB111="SIM", 'Ações'!AW111="SIM"), 1,0)</f>
        <v>0</v>
      </c>
      <c r="F108" s="139">
        <f>IF(AND('Ações'!$AB111="SIM", 'Ações'!AX111="SIM"), 1,0)</f>
        <v>0</v>
      </c>
      <c r="G108" s="139">
        <f>IF(AND('Ações'!$AC111="SIM", 'Ações'!AS111="SIM"), 1,0)</f>
        <v>1</v>
      </c>
      <c r="H108" s="139">
        <f>IF(AND('Ações'!$AC111="SIM", 'Ações'!AT111="SIM"), 1,0)</f>
        <v>1</v>
      </c>
      <c r="I108" s="139">
        <f>IF(AND('Ações'!$AC111="SIM", 'Ações'!AU111="SIM"), 1,0)</f>
        <v>1</v>
      </c>
      <c r="J108" s="139">
        <f>IF(AND('Ações'!$AC111="SIM", 'Ações'!AV111="SIM"), 1,0)</f>
        <v>1</v>
      </c>
      <c r="K108" s="139">
        <f>IF(AND('Ações'!$AC111="SIM", 'Ações'!AW111="SIM"), 1,0)</f>
        <v>1</v>
      </c>
      <c r="L108" s="139">
        <f>IF(AND('Ações'!$AC111="SIM", 'Ações'!AX111="SIM"), 1,0)</f>
        <v>1</v>
      </c>
      <c r="M108" s="139">
        <f>IF(AND('Ações'!$AD111="SIM", 'Ações'!AS111="SIM"), 1,0)</f>
        <v>1</v>
      </c>
      <c r="N108" s="139">
        <f>IF(AND('Ações'!$AD111="SIM", 'Ações'!AT111="SIM"), 1,0)</f>
        <v>1</v>
      </c>
      <c r="O108" s="139">
        <f>IF(AND('Ações'!$AD111="SIM", 'Ações'!AU111="SIM"), 1,0)</f>
        <v>1</v>
      </c>
      <c r="P108" s="139">
        <f>IF(AND('Ações'!$AD111="SIM", 'Ações'!AV111="SIM"), 1,0)</f>
        <v>1</v>
      </c>
      <c r="Q108" s="139">
        <f>IF(AND('Ações'!$AD111="SIM", 'Ações'!AW111="SIM"), 1,0)</f>
        <v>1</v>
      </c>
      <c r="R108" s="139">
        <f>IF(AND('Ações'!$AD111="SIM", 'Ações'!AX111="SIM"), 1,0)</f>
        <v>1</v>
      </c>
    </row>
    <row r="109">
      <c r="A109" s="139">
        <f>IF(AND('Ações'!AB112="SIM", 'Ações'!AS112="SIM"), 1,0)</f>
        <v>1</v>
      </c>
      <c r="B109" s="139">
        <f>IF(AND('Ações'!$AB112="SIM", 'Ações'!AT112="SIM"), 1,0)</f>
        <v>1</v>
      </c>
      <c r="C109" s="139">
        <f>IF(AND('Ações'!$AB112="SIM", 'Ações'!AU112="SIM"), 1,0)</f>
        <v>1</v>
      </c>
      <c r="D109" s="139">
        <f>IF(AND('Ações'!$AB112="SIM", 'Ações'!AV112="SIM"), 1,0)</f>
        <v>1</v>
      </c>
      <c r="E109" s="139">
        <f>IF(AND('Ações'!$AB112="SIM", 'Ações'!AW112="SIM"), 1,0)</f>
        <v>1</v>
      </c>
      <c r="F109" s="139">
        <f>IF(AND('Ações'!$AB112="SIM", 'Ações'!AX112="SIM"), 1,0)</f>
        <v>1</v>
      </c>
      <c r="G109" s="139">
        <f>IF(AND('Ações'!$AC112="SIM", 'Ações'!AS112="SIM"), 1,0)</f>
        <v>1</v>
      </c>
      <c r="H109" s="139">
        <f>IF(AND('Ações'!$AC112="SIM", 'Ações'!AT112="SIM"), 1,0)</f>
        <v>1</v>
      </c>
      <c r="I109" s="139">
        <f>IF(AND('Ações'!$AC112="SIM", 'Ações'!AU112="SIM"), 1,0)</f>
        <v>1</v>
      </c>
      <c r="J109" s="139">
        <f>IF(AND('Ações'!$AC112="SIM", 'Ações'!AV112="SIM"), 1,0)</f>
        <v>1</v>
      </c>
      <c r="K109" s="139">
        <f>IF(AND('Ações'!$AC112="SIM", 'Ações'!AW112="SIM"), 1,0)</f>
        <v>1</v>
      </c>
      <c r="L109" s="139">
        <f>IF(AND('Ações'!$AC112="SIM", 'Ações'!AX112="SIM"), 1,0)</f>
        <v>1</v>
      </c>
      <c r="M109" s="139">
        <f>IF(AND('Ações'!$AD112="SIM", 'Ações'!AS112="SIM"), 1,0)</f>
        <v>0</v>
      </c>
      <c r="N109" s="139">
        <f>IF(AND('Ações'!$AD112="SIM", 'Ações'!AT112="SIM"), 1,0)</f>
        <v>0</v>
      </c>
      <c r="O109" s="139">
        <f>IF(AND('Ações'!$AD112="SIM", 'Ações'!AU112="SIM"), 1,0)</f>
        <v>0</v>
      </c>
      <c r="P109" s="139">
        <f>IF(AND('Ações'!$AD112="SIM", 'Ações'!AV112="SIM"), 1,0)</f>
        <v>0</v>
      </c>
      <c r="Q109" s="139">
        <f>IF(AND('Ações'!$AD112="SIM", 'Ações'!AW112="SIM"), 1,0)</f>
        <v>0</v>
      </c>
      <c r="R109" s="139">
        <f>IF(AND('Ações'!$AD112="SIM", 'Ações'!AX112="SIM"), 1,0)</f>
        <v>0</v>
      </c>
    </row>
    <row r="110">
      <c r="A110" s="139">
        <f>IF(AND('Ações'!AB113="SIM", 'Ações'!AS113="SIM"), 1,0)</f>
        <v>1</v>
      </c>
      <c r="B110" s="139">
        <f>IF(AND('Ações'!$AB113="SIM", 'Ações'!AT113="SIM"), 1,0)</f>
        <v>1</v>
      </c>
      <c r="C110" s="139">
        <f>IF(AND('Ações'!$AB113="SIM", 'Ações'!AU113="SIM"), 1,0)</f>
        <v>1</v>
      </c>
      <c r="D110" s="139">
        <f>IF(AND('Ações'!$AB113="SIM", 'Ações'!AV113="SIM"), 1,0)</f>
        <v>1</v>
      </c>
      <c r="E110" s="139">
        <f>IF(AND('Ações'!$AB113="SIM", 'Ações'!AW113="SIM"), 1,0)</f>
        <v>1</v>
      </c>
      <c r="F110" s="139">
        <f>IF(AND('Ações'!$AB113="SIM", 'Ações'!AX113="SIM"), 1,0)</f>
        <v>1</v>
      </c>
      <c r="G110" s="139">
        <f>IF(AND('Ações'!$AC113="SIM", 'Ações'!AS113="SIM"), 1,0)</f>
        <v>1</v>
      </c>
      <c r="H110" s="139">
        <f>IF(AND('Ações'!$AC113="SIM", 'Ações'!AT113="SIM"), 1,0)</f>
        <v>1</v>
      </c>
      <c r="I110" s="139">
        <f>IF(AND('Ações'!$AC113="SIM", 'Ações'!AU113="SIM"), 1,0)</f>
        <v>1</v>
      </c>
      <c r="J110" s="139">
        <f>IF(AND('Ações'!$AC113="SIM", 'Ações'!AV113="SIM"), 1,0)</f>
        <v>1</v>
      </c>
      <c r="K110" s="139">
        <f>IF(AND('Ações'!$AC113="SIM", 'Ações'!AW113="SIM"), 1,0)</f>
        <v>1</v>
      </c>
      <c r="L110" s="139">
        <f>IF(AND('Ações'!$AC113="SIM", 'Ações'!AX113="SIM"), 1,0)</f>
        <v>1</v>
      </c>
      <c r="M110" s="139">
        <f>IF(AND('Ações'!$AD113="SIM", 'Ações'!AS113="SIM"), 1,0)</f>
        <v>0</v>
      </c>
      <c r="N110" s="139">
        <f>IF(AND('Ações'!$AD113="SIM", 'Ações'!AT113="SIM"), 1,0)</f>
        <v>0</v>
      </c>
      <c r="O110" s="139">
        <f>IF(AND('Ações'!$AD113="SIM", 'Ações'!AU113="SIM"), 1,0)</f>
        <v>0</v>
      </c>
      <c r="P110" s="139">
        <f>IF(AND('Ações'!$AD113="SIM", 'Ações'!AV113="SIM"), 1,0)</f>
        <v>0</v>
      </c>
      <c r="Q110" s="139">
        <f>IF(AND('Ações'!$AD113="SIM", 'Ações'!AW113="SIM"), 1,0)</f>
        <v>0</v>
      </c>
      <c r="R110" s="139">
        <f>IF(AND('Ações'!$AD113="SIM", 'Ações'!AX113="SIM"), 1,0)</f>
        <v>0</v>
      </c>
    </row>
    <row r="111">
      <c r="A111" s="139">
        <f>IF(AND('Ações'!AB114="SIM", 'Ações'!AS114="SIM"), 1,0)</f>
        <v>0</v>
      </c>
      <c r="B111" s="139">
        <f>IF(AND('Ações'!$AB114="SIM", 'Ações'!AT114="SIM"), 1,0)</f>
        <v>0</v>
      </c>
      <c r="C111" s="139">
        <f>IF(AND('Ações'!$AB114="SIM", 'Ações'!AU114="SIM"), 1,0)</f>
        <v>0</v>
      </c>
      <c r="D111" s="139">
        <f>IF(AND('Ações'!$AB114="SIM", 'Ações'!AV114="SIM"), 1,0)</f>
        <v>0</v>
      </c>
      <c r="E111" s="139">
        <f>IF(AND('Ações'!$AB114="SIM", 'Ações'!AW114="SIM"), 1,0)</f>
        <v>0</v>
      </c>
      <c r="F111" s="139">
        <f>IF(AND('Ações'!$AB114="SIM", 'Ações'!AX114="SIM"), 1,0)</f>
        <v>0</v>
      </c>
      <c r="G111" s="139">
        <f>IF(AND('Ações'!$AC114="SIM", 'Ações'!AS114="SIM"), 1,0)</f>
        <v>1</v>
      </c>
      <c r="H111" s="139">
        <f>IF(AND('Ações'!$AC114="SIM", 'Ações'!AT114="SIM"), 1,0)</f>
        <v>1</v>
      </c>
      <c r="I111" s="139">
        <f>IF(AND('Ações'!$AC114="SIM", 'Ações'!AU114="SIM"), 1,0)</f>
        <v>1</v>
      </c>
      <c r="J111" s="139">
        <f>IF(AND('Ações'!$AC114="SIM", 'Ações'!AV114="SIM"), 1,0)</f>
        <v>1</v>
      </c>
      <c r="K111" s="139">
        <f>IF(AND('Ações'!$AC114="SIM", 'Ações'!AW114="SIM"), 1,0)</f>
        <v>1</v>
      </c>
      <c r="L111" s="139">
        <f>IF(AND('Ações'!$AC114="SIM", 'Ações'!AX114="SIM"), 1,0)</f>
        <v>1</v>
      </c>
      <c r="M111" s="139">
        <f>IF(AND('Ações'!$AD114="SIM", 'Ações'!AS114="SIM"), 1,0)</f>
        <v>1</v>
      </c>
      <c r="N111" s="139">
        <f>IF(AND('Ações'!$AD114="SIM", 'Ações'!AT114="SIM"), 1,0)</f>
        <v>1</v>
      </c>
      <c r="O111" s="139">
        <f>IF(AND('Ações'!$AD114="SIM", 'Ações'!AU114="SIM"), 1,0)</f>
        <v>1</v>
      </c>
      <c r="P111" s="139">
        <f>IF(AND('Ações'!$AD114="SIM", 'Ações'!AV114="SIM"), 1,0)</f>
        <v>1</v>
      </c>
      <c r="Q111" s="139">
        <f>IF(AND('Ações'!$AD114="SIM", 'Ações'!AW114="SIM"), 1,0)</f>
        <v>1</v>
      </c>
      <c r="R111" s="139">
        <f>IF(AND('Ações'!$AD114="SIM", 'Ações'!AX114="SIM"), 1,0)</f>
        <v>1</v>
      </c>
    </row>
    <row r="112">
      <c r="A112" s="139">
        <f>IF(AND('Ações'!AB115="SIM", 'Ações'!AS115="SIM"), 1,0)</f>
        <v>1</v>
      </c>
      <c r="B112" s="139">
        <f>IF(AND('Ações'!$AB115="SIM", 'Ações'!AT115="SIM"), 1,0)</f>
        <v>1</v>
      </c>
      <c r="C112" s="139">
        <f>IF(AND('Ações'!$AB115="SIM", 'Ações'!AU115="SIM"), 1,0)</f>
        <v>1</v>
      </c>
      <c r="D112" s="139">
        <f>IF(AND('Ações'!$AB115="SIM", 'Ações'!AV115="SIM"), 1,0)</f>
        <v>1</v>
      </c>
      <c r="E112" s="139">
        <f>IF(AND('Ações'!$AB115="SIM", 'Ações'!AW115="SIM"), 1,0)</f>
        <v>1</v>
      </c>
      <c r="F112" s="139">
        <f>IF(AND('Ações'!$AB115="SIM", 'Ações'!AX115="SIM"), 1,0)</f>
        <v>1</v>
      </c>
      <c r="G112" s="139">
        <f>IF(AND('Ações'!$AC115="SIM", 'Ações'!AS115="SIM"), 1,0)</f>
        <v>0</v>
      </c>
      <c r="H112" s="139">
        <f>IF(AND('Ações'!$AC115="SIM", 'Ações'!AT115="SIM"), 1,0)</f>
        <v>0</v>
      </c>
      <c r="I112" s="139">
        <f>IF(AND('Ações'!$AC115="SIM", 'Ações'!AU115="SIM"), 1,0)</f>
        <v>0</v>
      </c>
      <c r="J112" s="139">
        <f>IF(AND('Ações'!$AC115="SIM", 'Ações'!AV115="SIM"), 1,0)</f>
        <v>0</v>
      </c>
      <c r="K112" s="139">
        <f>IF(AND('Ações'!$AC115="SIM", 'Ações'!AW115="SIM"), 1,0)</f>
        <v>0</v>
      </c>
      <c r="L112" s="139">
        <f>IF(AND('Ações'!$AC115="SIM", 'Ações'!AX115="SIM"), 1,0)</f>
        <v>0</v>
      </c>
      <c r="M112" s="139">
        <f>IF(AND('Ações'!$AD115="SIM", 'Ações'!AS115="SIM"), 1,0)</f>
        <v>0</v>
      </c>
      <c r="N112" s="139">
        <f>IF(AND('Ações'!$AD115="SIM", 'Ações'!AT115="SIM"), 1,0)</f>
        <v>0</v>
      </c>
      <c r="O112" s="139">
        <f>IF(AND('Ações'!$AD115="SIM", 'Ações'!AU115="SIM"), 1,0)</f>
        <v>0</v>
      </c>
      <c r="P112" s="139">
        <f>IF(AND('Ações'!$AD115="SIM", 'Ações'!AV115="SIM"), 1,0)</f>
        <v>0</v>
      </c>
      <c r="Q112" s="139">
        <f>IF(AND('Ações'!$AD115="SIM", 'Ações'!AW115="SIM"), 1,0)</f>
        <v>0</v>
      </c>
      <c r="R112" s="139">
        <f>IF(AND('Ações'!$AD115="SIM", 'Ações'!AX115="SIM"), 1,0)</f>
        <v>0</v>
      </c>
    </row>
    <row r="113">
      <c r="A113" s="139">
        <f>IF(AND('Ações'!AB116="SIM", 'Ações'!AS116="SIM"), 1,0)</f>
        <v>0</v>
      </c>
      <c r="B113" s="139">
        <f>IF(AND('Ações'!$AB116="SIM", 'Ações'!AT116="SIM"), 1,0)</f>
        <v>0</v>
      </c>
      <c r="C113" s="139">
        <f>IF(AND('Ações'!$AB116="SIM", 'Ações'!AU116="SIM"), 1,0)</f>
        <v>0</v>
      </c>
      <c r="D113" s="139">
        <f>IF(AND('Ações'!$AB116="SIM", 'Ações'!AV116="SIM"), 1,0)</f>
        <v>0</v>
      </c>
      <c r="E113" s="139">
        <f>IF(AND('Ações'!$AB116="SIM", 'Ações'!AW116="SIM"), 1,0)</f>
        <v>0</v>
      </c>
      <c r="F113" s="139">
        <f>IF(AND('Ações'!$AB116="SIM", 'Ações'!AX116="SIM"), 1,0)</f>
        <v>0</v>
      </c>
      <c r="G113" s="139">
        <f>IF(AND('Ações'!$AC116="SIM", 'Ações'!AS116="SIM"), 1,0)</f>
        <v>1</v>
      </c>
      <c r="H113" s="139">
        <f>IF(AND('Ações'!$AC116="SIM", 'Ações'!AT116="SIM"), 1,0)</f>
        <v>1</v>
      </c>
      <c r="I113" s="139">
        <f>IF(AND('Ações'!$AC116="SIM", 'Ações'!AU116="SIM"), 1,0)</f>
        <v>1</v>
      </c>
      <c r="J113" s="139">
        <f>IF(AND('Ações'!$AC116="SIM", 'Ações'!AV116="SIM"), 1,0)</f>
        <v>1</v>
      </c>
      <c r="K113" s="139">
        <f>IF(AND('Ações'!$AC116="SIM", 'Ações'!AW116="SIM"), 1,0)</f>
        <v>1</v>
      </c>
      <c r="L113" s="139">
        <f>IF(AND('Ações'!$AC116="SIM", 'Ações'!AX116="SIM"), 1,0)</f>
        <v>1</v>
      </c>
      <c r="M113" s="139">
        <f>IF(AND('Ações'!$AD116="SIM", 'Ações'!AS116="SIM"), 1,0)</f>
        <v>0</v>
      </c>
      <c r="N113" s="139">
        <f>IF(AND('Ações'!$AD116="SIM", 'Ações'!AT116="SIM"), 1,0)</f>
        <v>0</v>
      </c>
      <c r="O113" s="139">
        <f>IF(AND('Ações'!$AD116="SIM", 'Ações'!AU116="SIM"), 1,0)</f>
        <v>0</v>
      </c>
      <c r="P113" s="139">
        <f>IF(AND('Ações'!$AD116="SIM", 'Ações'!AV116="SIM"), 1,0)</f>
        <v>0</v>
      </c>
      <c r="Q113" s="139">
        <f>IF(AND('Ações'!$AD116="SIM", 'Ações'!AW116="SIM"), 1,0)</f>
        <v>0</v>
      </c>
      <c r="R113" s="139">
        <f>IF(AND('Ações'!$AD116="SIM", 'Ações'!AX116="SIM"), 1,0)</f>
        <v>0</v>
      </c>
    </row>
    <row r="114">
      <c r="A114" s="139">
        <f>IF(AND('Ações'!AB117="SIM", 'Ações'!AS117="SIM"), 1,0)</f>
        <v>0</v>
      </c>
      <c r="B114" s="139">
        <f>IF(AND('Ações'!$AB117="SIM", 'Ações'!AT117="SIM"), 1,0)</f>
        <v>0</v>
      </c>
      <c r="C114" s="139">
        <f>IF(AND('Ações'!$AB117="SIM", 'Ações'!AU117="SIM"), 1,0)</f>
        <v>0</v>
      </c>
      <c r="D114" s="139">
        <f>IF(AND('Ações'!$AB117="SIM", 'Ações'!AV117="SIM"), 1,0)</f>
        <v>0</v>
      </c>
      <c r="E114" s="139">
        <f>IF(AND('Ações'!$AB117="SIM", 'Ações'!AW117="SIM"), 1,0)</f>
        <v>0</v>
      </c>
      <c r="F114" s="139">
        <f>IF(AND('Ações'!$AB117="SIM", 'Ações'!AX117="SIM"), 1,0)</f>
        <v>0</v>
      </c>
      <c r="G114" s="139">
        <f>IF(AND('Ações'!$AC117="SIM", 'Ações'!AS117="SIM"), 1,0)</f>
        <v>1</v>
      </c>
      <c r="H114" s="139">
        <f>IF(AND('Ações'!$AC117="SIM", 'Ações'!AT117="SIM"), 1,0)</f>
        <v>1</v>
      </c>
      <c r="I114" s="139">
        <f>IF(AND('Ações'!$AC117="SIM", 'Ações'!AU117="SIM"), 1,0)</f>
        <v>1</v>
      </c>
      <c r="J114" s="139">
        <f>IF(AND('Ações'!$AC117="SIM", 'Ações'!AV117="SIM"), 1,0)</f>
        <v>1</v>
      </c>
      <c r="K114" s="139">
        <f>IF(AND('Ações'!$AC117="SIM", 'Ações'!AW117="SIM"), 1,0)</f>
        <v>1</v>
      </c>
      <c r="L114" s="139">
        <f>IF(AND('Ações'!$AC117="SIM", 'Ações'!AX117="SIM"), 1,0)</f>
        <v>1</v>
      </c>
      <c r="M114" s="139">
        <f>IF(AND('Ações'!$AD117="SIM", 'Ações'!AS117="SIM"), 1,0)</f>
        <v>0</v>
      </c>
      <c r="N114" s="139">
        <f>IF(AND('Ações'!$AD117="SIM", 'Ações'!AT117="SIM"), 1,0)</f>
        <v>0</v>
      </c>
      <c r="O114" s="139">
        <f>IF(AND('Ações'!$AD117="SIM", 'Ações'!AU117="SIM"), 1,0)</f>
        <v>0</v>
      </c>
      <c r="P114" s="139">
        <f>IF(AND('Ações'!$AD117="SIM", 'Ações'!AV117="SIM"), 1,0)</f>
        <v>0</v>
      </c>
      <c r="Q114" s="139">
        <f>IF(AND('Ações'!$AD117="SIM", 'Ações'!AW117="SIM"), 1,0)</f>
        <v>0</v>
      </c>
      <c r="R114" s="139">
        <f>IF(AND('Ações'!$AD117="SIM", 'Ações'!AX117="SIM"), 1,0)</f>
        <v>0</v>
      </c>
    </row>
    <row r="115">
      <c r="A115" s="139">
        <f>IF(AND('Ações'!AB118="SIM", 'Ações'!AS118="SIM"), 1,0)</f>
        <v>1</v>
      </c>
      <c r="B115" s="139">
        <f>IF(AND('Ações'!$AB118="SIM", 'Ações'!AT118="SIM"), 1,0)</f>
        <v>1</v>
      </c>
      <c r="C115" s="139">
        <f>IF(AND('Ações'!$AB118="SIM", 'Ações'!AU118="SIM"), 1,0)</f>
        <v>0</v>
      </c>
      <c r="D115" s="139">
        <f>IF(AND('Ações'!$AB118="SIM", 'Ações'!AV118="SIM"), 1,0)</f>
        <v>1</v>
      </c>
      <c r="E115" s="139">
        <f>IF(AND('Ações'!$AB118="SIM", 'Ações'!AW118="SIM"), 1,0)</f>
        <v>1</v>
      </c>
      <c r="F115" s="139">
        <f>IF(AND('Ações'!$AB118="SIM", 'Ações'!AX118="SIM"), 1,0)</f>
        <v>0</v>
      </c>
      <c r="G115" s="139">
        <f>IF(AND('Ações'!$AC118="SIM", 'Ações'!AS118="SIM"), 1,0)</f>
        <v>0</v>
      </c>
      <c r="H115" s="139">
        <f>IF(AND('Ações'!$AC118="SIM", 'Ações'!AT118="SIM"), 1,0)</f>
        <v>0</v>
      </c>
      <c r="I115" s="139">
        <f>IF(AND('Ações'!$AC118="SIM", 'Ações'!AU118="SIM"), 1,0)</f>
        <v>0</v>
      </c>
      <c r="J115" s="139">
        <f>IF(AND('Ações'!$AC118="SIM", 'Ações'!AV118="SIM"), 1,0)</f>
        <v>0</v>
      </c>
      <c r="K115" s="139">
        <f>IF(AND('Ações'!$AC118="SIM", 'Ações'!AW118="SIM"), 1,0)</f>
        <v>0</v>
      </c>
      <c r="L115" s="139">
        <f>IF(AND('Ações'!$AC118="SIM", 'Ações'!AX118="SIM"), 1,0)</f>
        <v>0</v>
      </c>
      <c r="M115" s="139">
        <f>IF(AND('Ações'!$AD118="SIM", 'Ações'!AS118="SIM"), 1,0)</f>
        <v>0</v>
      </c>
      <c r="N115" s="139">
        <f>IF(AND('Ações'!$AD118="SIM", 'Ações'!AT118="SIM"), 1,0)</f>
        <v>0</v>
      </c>
      <c r="O115" s="139">
        <f>IF(AND('Ações'!$AD118="SIM", 'Ações'!AU118="SIM"), 1,0)</f>
        <v>0</v>
      </c>
      <c r="P115" s="139">
        <f>IF(AND('Ações'!$AD118="SIM", 'Ações'!AV118="SIM"), 1,0)</f>
        <v>0</v>
      </c>
      <c r="Q115" s="139">
        <f>IF(AND('Ações'!$AD118="SIM", 'Ações'!AW118="SIM"), 1,0)</f>
        <v>0</v>
      </c>
      <c r="R115" s="139">
        <f>IF(AND('Ações'!$AD118="SIM", 'Ações'!AX118="SIM"), 1,0)</f>
        <v>0</v>
      </c>
    </row>
    <row r="116">
      <c r="A116" s="139">
        <f>IF(AND('Ações'!AB119="SIM", 'Ações'!AS119="SIM"), 1,0)</f>
        <v>0</v>
      </c>
      <c r="B116" s="139">
        <f>IF(AND('Ações'!$AB119="SIM", 'Ações'!AT119="SIM"), 1,0)</f>
        <v>0</v>
      </c>
      <c r="C116" s="139">
        <f>IF(AND('Ações'!$AB119="SIM", 'Ações'!AU119="SIM"), 1,0)</f>
        <v>0</v>
      </c>
      <c r="D116" s="139">
        <f>IF(AND('Ações'!$AB119="SIM", 'Ações'!AV119="SIM"), 1,0)</f>
        <v>0</v>
      </c>
      <c r="E116" s="139">
        <f>IF(AND('Ações'!$AB119="SIM", 'Ações'!AW119="SIM"), 1,0)</f>
        <v>0</v>
      </c>
      <c r="F116" s="139">
        <f>IF(AND('Ações'!$AB119="SIM", 'Ações'!AX119="SIM"), 1,0)</f>
        <v>0</v>
      </c>
      <c r="G116" s="139">
        <f>IF(AND('Ações'!$AC119="SIM", 'Ações'!AS119="SIM"), 1,0)</f>
        <v>1</v>
      </c>
      <c r="H116" s="139">
        <f>IF(AND('Ações'!$AC119="SIM", 'Ações'!AT119="SIM"), 1,0)</f>
        <v>1</v>
      </c>
      <c r="I116" s="139">
        <f>IF(AND('Ações'!$AC119="SIM", 'Ações'!AU119="SIM"), 1,0)</f>
        <v>0</v>
      </c>
      <c r="J116" s="139">
        <f>IF(AND('Ações'!$AC119="SIM", 'Ações'!AV119="SIM"), 1,0)</f>
        <v>1</v>
      </c>
      <c r="K116" s="139">
        <f>IF(AND('Ações'!$AC119="SIM", 'Ações'!AW119="SIM"), 1,0)</f>
        <v>1</v>
      </c>
      <c r="L116" s="139">
        <f>IF(AND('Ações'!$AC119="SIM", 'Ações'!AX119="SIM"), 1,0)</f>
        <v>0</v>
      </c>
      <c r="M116" s="139">
        <f>IF(AND('Ações'!$AD119="SIM", 'Ações'!AS119="SIM"), 1,0)</f>
        <v>0</v>
      </c>
      <c r="N116" s="139">
        <f>IF(AND('Ações'!$AD119="SIM", 'Ações'!AT119="SIM"), 1,0)</f>
        <v>0</v>
      </c>
      <c r="O116" s="139">
        <f>IF(AND('Ações'!$AD119="SIM", 'Ações'!AU119="SIM"), 1,0)</f>
        <v>0</v>
      </c>
      <c r="P116" s="139">
        <f>IF(AND('Ações'!$AD119="SIM", 'Ações'!AV119="SIM"), 1,0)</f>
        <v>0</v>
      </c>
      <c r="Q116" s="139">
        <f>IF(AND('Ações'!$AD119="SIM", 'Ações'!AW119="SIM"), 1,0)</f>
        <v>0</v>
      </c>
      <c r="R116" s="139">
        <f>IF(AND('Ações'!$AD119="SIM", 'Ações'!AX119="SIM"), 1,0)</f>
        <v>0</v>
      </c>
    </row>
    <row r="117">
      <c r="A117" s="139">
        <f>IF(AND('Ações'!AB120="SIM", 'Ações'!AS120="SIM"), 1,0)</f>
        <v>0</v>
      </c>
      <c r="B117" s="139">
        <f>IF(AND('Ações'!$AB120="SIM", 'Ações'!AT120="SIM"), 1,0)</f>
        <v>0</v>
      </c>
      <c r="C117" s="139">
        <f>IF(AND('Ações'!$AB120="SIM", 'Ações'!AU120="SIM"), 1,0)</f>
        <v>0</v>
      </c>
      <c r="D117" s="139">
        <f>IF(AND('Ações'!$AB120="SIM", 'Ações'!AV120="SIM"), 1,0)</f>
        <v>0</v>
      </c>
      <c r="E117" s="139">
        <f>IF(AND('Ações'!$AB120="SIM", 'Ações'!AW120="SIM"), 1,0)</f>
        <v>0</v>
      </c>
      <c r="F117" s="139">
        <f>IF(AND('Ações'!$AB120="SIM", 'Ações'!AX120="SIM"), 1,0)</f>
        <v>0</v>
      </c>
      <c r="G117" s="139">
        <f>IF(AND('Ações'!$AC120="SIM", 'Ações'!AS120="SIM"), 1,0)</f>
        <v>1</v>
      </c>
      <c r="H117" s="139">
        <f>IF(AND('Ações'!$AC120="SIM", 'Ações'!AT120="SIM"), 1,0)</f>
        <v>1</v>
      </c>
      <c r="I117" s="139">
        <f>IF(AND('Ações'!$AC120="SIM", 'Ações'!AU120="SIM"), 1,0)</f>
        <v>0</v>
      </c>
      <c r="J117" s="139">
        <f>IF(AND('Ações'!$AC120="SIM", 'Ações'!AV120="SIM"), 1,0)</f>
        <v>1</v>
      </c>
      <c r="K117" s="139">
        <f>IF(AND('Ações'!$AC120="SIM", 'Ações'!AW120="SIM"), 1,0)</f>
        <v>1</v>
      </c>
      <c r="L117" s="139">
        <f>IF(AND('Ações'!$AC120="SIM", 'Ações'!AX120="SIM"), 1,0)</f>
        <v>0</v>
      </c>
      <c r="M117" s="139">
        <f>IF(AND('Ações'!$AD120="SIM", 'Ações'!AS120="SIM"), 1,0)</f>
        <v>0</v>
      </c>
      <c r="N117" s="139">
        <f>IF(AND('Ações'!$AD120="SIM", 'Ações'!AT120="SIM"), 1,0)</f>
        <v>0</v>
      </c>
      <c r="O117" s="139">
        <f>IF(AND('Ações'!$AD120="SIM", 'Ações'!AU120="SIM"), 1,0)</f>
        <v>0</v>
      </c>
      <c r="P117" s="139">
        <f>IF(AND('Ações'!$AD120="SIM", 'Ações'!AV120="SIM"), 1,0)</f>
        <v>0</v>
      </c>
      <c r="Q117" s="139">
        <f>IF(AND('Ações'!$AD120="SIM", 'Ações'!AW120="SIM"), 1,0)</f>
        <v>0</v>
      </c>
      <c r="R117" s="139">
        <f>IF(AND('Ações'!$AD120="SIM", 'Ações'!AX120="SIM"), 1,0)</f>
        <v>0</v>
      </c>
    </row>
    <row r="118">
      <c r="A118" s="139">
        <f>IF(AND('Ações'!AB121="SIM", 'Ações'!AS121="SIM"), 1,0)</f>
        <v>1</v>
      </c>
      <c r="B118" s="139">
        <f>IF(AND('Ações'!$AB121="SIM", 'Ações'!AT121="SIM"), 1,0)</f>
        <v>1</v>
      </c>
      <c r="C118" s="139">
        <f>IF(AND('Ações'!$AB121="SIM", 'Ações'!AU121="SIM"), 1,0)</f>
        <v>0</v>
      </c>
      <c r="D118" s="139">
        <f>IF(AND('Ações'!$AB121="SIM", 'Ações'!AV121="SIM"), 1,0)</f>
        <v>1</v>
      </c>
      <c r="E118" s="139">
        <f>IF(AND('Ações'!$AB121="SIM", 'Ações'!AW121="SIM"), 1,0)</f>
        <v>1</v>
      </c>
      <c r="F118" s="139">
        <f>IF(AND('Ações'!$AB121="SIM", 'Ações'!AX121="SIM"), 1,0)</f>
        <v>0</v>
      </c>
      <c r="G118" s="139">
        <f>IF(AND('Ações'!$AC121="SIM", 'Ações'!AS121="SIM"), 1,0)</f>
        <v>0</v>
      </c>
      <c r="H118" s="139">
        <f>IF(AND('Ações'!$AC121="SIM", 'Ações'!AT121="SIM"), 1,0)</f>
        <v>0</v>
      </c>
      <c r="I118" s="139">
        <f>IF(AND('Ações'!$AC121="SIM", 'Ações'!AU121="SIM"), 1,0)</f>
        <v>0</v>
      </c>
      <c r="J118" s="139">
        <f>IF(AND('Ações'!$AC121="SIM", 'Ações'!AV121="SIM"), 1,0)</f>
        <v>0</v>
      </c>
      <c r="K118" s="139">
        <f>IF(AND('Ações'!$AC121="SIM", 'Ações'!AW121="SIM"), 1,0)</f>
        <v>0</v>
      </c>
      <c r="L118" s="139">
        <f>IF(AND('Ações'!$AC121="SIM", 'Ações'!AX121="SIM"), 1,0)</f>
        <v>0</v>
      </c>
      <c r="M118" s="139">
        <f>IF(AND('Ações'!$AD121="SIM", 'Ações'!AS121="SIM"), 1,0)</f>
        <v>0</v>
      </c>
      <c r="N118" s="139">
        <f>IF(AND('Ações'!$AD121="SIM", 'Ações'!AT121="SIM"), 1,0)</f>
        <v>0</v>
      </c>
      <c r="O118" s="139">
        <f>IF(AND('Ações'!$AD121="SIM", 'Ações'!AU121="SIM"), 1,0)</f>
        <v>0</v>
      </c>
      <c r="P118" s="139">
        <f>IF(AND('Ações'!$AD121="SIM", 'Ações'!AV121="SIM"), 1,0)</f>
        <v>0</v>
      </c>
      <c r="Q118" s="139">
        <f>IF(AND('Ações'!$AD121="SIM", 'Ações'!AW121="SIM"), 1,0)</f>
        <v>0</v>
      </c>
      <c r="R118" s="139">
        <f>IF(AND('Ações'!$AD121="SIM", 'Ações'!AX121="SIM"), 1,0)</f>
        <v>0</v>
      </c>
    </row>
    <row r="119">
      <c r="A119" s="139">
        <f>IF(AND('Ações'!AB122="SIM", 'Ações'!AS122="SIM"), 1,0)</f>
        <v>1</v>
      </c>
      <c r="B119" s="139">
        <f>IF(AND('Ações'!$AB122="SIM", 'Ações'!AT122="SIM"), 1,0)</f>
        <v>1</v>
      </c>
      <c r="C119" s="139">
        <f>IF(AND('Ações'!$AB122="SIM", 'Ações'!AU122="SIM"), 1,0)</f>
        <v>0</v>
      </c>
      <c r="D119" s="139">
        <f>IF(AND('Ações'!$AB122="SIM", 'Ações'!AV122="SIM"), 1,0)</f>
        <v>1</v>
      </c>
      <c r="E119" s="139">
        <f>IF(AND('Ações'!$AB122="SIM", 'Ações'!AW122="SIM"), 1,0)</f>
        <v>1</v>
      </c>
      <c r="F119" s="139">
        <f>IF(AND('Ações'!$AB122="SIM", 'Ações'!AX122="SIM"), 1,0)</f>
        <v>0</v>
      </c>
      <c r="G119" s="139">
        <f>IF(AND('Ações'!$AC122="SIM", 'Ações'!AS122="SIM"), 1,0)</f>
        <v>0</v>
      </c>
      <c r="H119" s="139">
        <f>IF(AND('Ações'!$AC122="SIM", 'Ações'!AT122="SIM"), 1,0)</f>
        <v>0</v>
      </c>
      <c r="I119" s="139">
        <f>IF(AND('Ações'!$AC122="SIM", 'Ações'!AU122="SIM"), 1,0)</f>
        <v>0</v>
      </c>
      <c r="J119" s="139">
        <f>IF(AND('Ações'!$AC122="SIM", 'Ações'!AV122="SIM"), 1,0)</f>
        <v>0</v>
      </c>
      <c r="K119" s="139">
        <f>IF(AND('Ações'!$AC122="SIM", 'Ações'!AW122="SIM"), 1,0)</f>
        <v>0</v>
      </c>
      <c r="L119" s="139">
        <f>IF(AND('Ações'!$AC122="SIM", 'Ações'!AX122="SIM"), 1,0)</f>
        <v>0</v>
      </c>
      <c r="M119" s="139">
        <f>IF(AND('Ações'!$AD122="SIM", 'Ações'!AS122="SIM"), 1,0)</f>
        <v>0</v>
      </c>
      <c r="N119" s="139">
        <f>IF(AND('Ações'!$AD122="SIM", 'Ações'!AT122="SIM"), 1,0)</f>
        <v>0</v>
      </c>
      <c r="O119" s="139">
        <f>IF(AND('Ações'!$AD122="SIM", 'Ações'!AU122="SIM"), 1,0)</f>
        <v>0</v>
      </c>
      <c r="P119" s="139">
        <f>IF(AND('Ações'!$AD122="SIM", 'Ações'!AV122="SIM"), 1,0)</f>
        <v>0</v>
      </c>
      <c r="Q119" s="139">
        <f>IF(AND('Ações'!$AD122="SIM", 'Ações'!AW122="SIM"), 1,0)</f>
        <v>0</v>
      </c>
      <c r="R119" s="139">
        <f>IF(AND('Ações'!$AD122="SIM", 'Ações'!AX122="SIM"), 1,0)</f>
        <v>0</v>
      </c>
    </row>
    <row r="120">
      <c r="A120" s="139">
        <f>IF(AND('Ações'!AB123="SIM", 'Ações'!AS123="SIM"), 1,0)</f>
        <v>1</v>
      </c>
      <c r="B120" s="139">
        <f>IF(AND('Ações'!$AB123="SIM", 'Ações'!AT123="SIM"), 1,0)</f>
        <v>1</v>
      </c>
      <c r="C120" s="139">
        <f>IF(AND('Ações'!$AB123="SIM", 'Ações'!AU123="SIM"), 1,0)</f>
        <v>0</v>
      </c>
      <c r="D120" s="139">
        <f>IF(AND('Ações'!$AB123="SIM", 'Ações'!AV123="SIM"), 1,0)</f>
        <v>1</v>
      </c>
      <c r="E120" s="139">
        <f>IF(AND('Ações'!$AB123="SIM", 'Ações'!AW123="SIM"), 1,0)</f>
        <v>1</v>
      </c>
      <c r="F120" s="139">
        <f>IF(AND('Ações'!$AB123="SIM", 'Ações'!AX123="SIM"), 1,0)</f>
        <v>0</v>
      </c>
      <c r="G120" s="139">
        <f>IF(AND('Ações'!$AC123="SIM", 'Ações'!AS123="SIM"), 1,0)</f>
        <v>0</v>
      </c>
      <c r="H120" s="139">
        <f>IF(AND('Ações'!$AC123="SIM", 'Ações'!AT123="SIM"), 1,0)</f>
        <v>0</v>
      </c>
      <c r="I120" s="139">
        <f>IF(AND('Ações'!$AC123="SIM", 'Ações'!AU123="SIM"), 1,0)</f>
        <v>0</v>
      </c>
      <c r="J120" s="139">
        <f>IF(AND('Ações'!$AC123="SIM", 'Ações'!AV123="SIM"), 1,0)</f>
        <v>0</v>
      </c>
      <c r="K120" s="139">
        <f>IF(AND('Ações'!$AC123="SIM", 'Ações'!AW123="SIM"), 1,0)</f>
        <v>0</v>
      </c>
      <c r="L120" s="139">
        <f>IF(AND('Ações'!$AC123="SIM", 'Ações'!AX123="SIM"), 1,0)</f>
        <v>0</v>
      </c>
      <c r="M120" s="139">
        <f>IF(AND('Ações'!$AD123="SIM", 'Ações'!AS123="SIM"), 1,0)</f>
        <v>0</v>
      </c>
      <c r="N120" s="139">
        <f>IF(AND('Ações'!$AD123="SIM", 'Ações'!AT123="SIM"), 1,0)</f>
        <v>0</v>
      </c>
      <c r="O120" s="139">
        <f>IF(AND('Ações'!$AD123="SIM", 'Ações'!AU123="SIM"), 1,0)</f>
        <v>0</v>
      </c>
      <c r="P120" s="139">
        <f>IF(AND('Ações'!$AD123="SIM", 'Ações'!AV123="SIM"), 1,0)</f>
        <v>0</v>
      </c>
      <c r="Q120" s="139">
        <f>IF(AND('Ações'!$AD123="SIM", 'Ações'!AW123="SIM"), 1,0)</f>
        <v>0</v>
      </c>
      <c r="R120" s="139">
        <f>IF(AND('Ações'!$AD123="SIM", 'Ações'!AX123="SIM"), 1,0)</f>
        <v>0</v>
      </c>
    </row>
    <row r="121">
      <c r="A121" s="139">
        <f>IF(AND('Ações'!AB124="SIM", 'Ações'!AS124="SIM"), 1,0)</f>
        <v>0</v>
      </c>
      <c r="B121" s="139">
        <f>IF(AND('Ações'!$AB124="SIM", 'Ações'!AT124="SIM"), 1,0)</f>
        <v>0</v>
      </c>
      <c r="C121" s="139">
        <f>IF(AND('Ações'!$AB124="SIM", 'Ações'!AU124="SIM"), 1,0)</f>
        <v>0</v>
      </c>
      <c r="D121" s="139">
        <f>IF(AND('Ações'!$AB124="SIM", 'Ações'!AV124="SIM"), 1,0)</f>
        <v>0</v>
      </c>
      <c r="E121" s="139">
        <f>IF(AND('Ações'!$AB124="SIM", 'Ações'!AW124="SIM"), 1,0)</f>
        <v>0</v>
      </c>
      <c r="F121" s="139">
        <f>IF(AND('Ações'!$AB124="SIM", 'Ações'!AX124="SIM"), 1,0)</f>
        <v>0</v>
      </c>
      <c r="G121" s="139">
        <f>IF(AND('Ações'!$AC124="SIM", 'Ações'!AS124="SIM"), 1,0)</f>
        <v>1</v>
      </c>
      <c r="H121" s="139">
        <f>IF(AND('Ações'!$AC124="SIM", 'Ações'!AT124="SIM"), 1,0)</f>
        <v>1</v>
      </c>
      <c r="I121" s="139">
        <f>IF(AND('Ações'!$AC124="SIM", 'Ações'!AU124="SIM"), 1,0)</f>
        <v>0</v>
      </c>
      <c r="J121" s="139">
        <f>IF(AND('Ações'!$AC124="SIM", 'Ações'!AV124="SIM"), 1,0)</f>
        <v>1</v>
      </c>
      <c r="K121" s="139">
        <f>IF(AND('Ações'!$AC124="SIM", 'Ações'!AW124="SIM"), 1,0)</f>
        <v>1</v>
      </c>
      <c r="L121" s="139">
        <f>IF(AND('Ações'!$AC124="SIM", 'Ações'!AX124="SIM"), 1,0)</f>
        <v>0</v>
      </c>
      <c r="M121" s="139">
        <f>IF(AND('Ações'!$AD124="SIM", 'Ações'!AS124="SIM"), 1,0)</f>
        <v>0</v>
      </c>
      <c r="N121" s="139">
        <f>IF(AND('Ações'!$AD124="SIM", 'Ações'!AT124="SIM"), 1,0)</f>
        <v>0</v>
      </c>
      <c r="O121" s="139">
        <f>IF(AND('Ações'!$AD124="SIM", 'Ações'!AU124="SIM"), 1,0)</f>
        <v>0</v>
      </c>
      <c r="P121" s="139">
        <f>IF(AND('Ações'!$AD124="SIM", 'Ações'!AV124="SIM"), 1,0)</f>
        <v>0</v>
      </c>
      <c r="Q121" s="139">
        <f>IF(AND('Ações'!$AD124="SIM", 'Ações'!AW124="SIM"), 1,0)</f>
        <v>0</v>
      </c>
      <c r="R121" s="139">
        <f>IF(AND('Ações'!$AD124="SIM", 'Ações'!AX124="SIM"), 1,0)</f>
        <v>0</v>
      </c>
    </row>
    <row r="122">
      <c r="A122" s="139">
        <f>IF(AND('Ações'!AB125="SIM", 'Ações'!AS125="SIM"), 1,0)</f>
        <v>1</v>
      </c>
      <c r="B122" s="139">
        <f>IF(AND('Ações'!$AB125="SIM", 'Ações'!AT125="SIM"), 1,0)</f>
        <v>1</v>
      </c>
      <c r="C122" s="139">
        <f>IF(AND('Ações'!$AB125="SIM", 'Ações'!AU125="SIM"), 1,0)</f>
        <v>0</v>
      </c>
      <c r="D122" s="139">
        <f>IF(AND('Ações'!$AB125="SIM", 'Ações'!AV125="SIM"), 1,0)</f>
        <v>1</v>
      </c>
      <c r="E122" s="139">
        <f>IF(AND('Ações'!$AB125="SIM", 'Ações'!AW125="SIM"), 1,0)</f>
        <v>1</v>
      </c>
      <c r="F122" s="139">
        <f>IF(AND('Ações'!$AB125="SIM", 'Ações'!AX125="SIM"), 1,0)</f>
        <v>0</v>
      </c>
      <c r="G122" s="139">
        <f>IF(AND('Ações'!$AC125="SIM", 'Ações'!AS125="SIM"), 1,0)</f>
        <v>0</v>
      </c>
      <c r="H122" s="139">
        <f>IF(AND('Ações'!$AC125="SIM", 'Ações'!AT125="SIM"), 1,0)</f>
        <v>0</v>
      </c>
      <c r="I122" s="139">
        <f>IF(AND('Ações'!$AC125="SIM", 'Ações'!AU125="SIM"), 1,0)</f>
        <v>0</v>
      </c>
      <c r="J122" s="139">
        <f>IF(AND('Ações'!$AC125="SIM", 'Ações'!AV125="SIM"), 1,0)</f>
        <v>0</v>
      </c>
      <c r="K122" s="139">
        <f>IF(AND('Ações'!$AC125="SIM", 'Ações'!AW125="SIM"), 1,0)</f>
        <v>0</v>
      </c>
      <c r="L122" s="139">
        <f>IF(AND('Ações'!$AC125="SIM", 'Ações'!AX125="SIM"), 1,0)</f>
        <v>0</v>
      </c>
      <c r="M122" s="139">
        <f>IF(AND('Ações'!$AD125="SIM", 'Ações'!AS125="SIM"), 1,0)</f>
        <v>0</v>
      </c>
      <c r="N122" s="139">
        <f>IF(AND('Ações'!$AD125="SIM", 'Ações'!AT125="SIM"), 1,0)</f>
        <v>0</v>
      </c>
      <c r="O122" s="139">
        <f>IF(AND('Ações'!$AD125="SIM", 'Ações'!AU125="SIM"), 1,0)</f>
        <v>0</v>
      </c>
      <c r="P122" s="139">
        <f>IF(AND('Ações'!$AD125="SIM", 'Ações'!AV125="SIM"), 1,0)</f>
        <v>0</v>
      </c>
      <c r="Q122" s="139">
        <f>IF(AND('Ações'!$AD125="SIM", 'Ações'!AW125="SIM"), 1,0)</f>
        <v>0</v>
      </c>
      <c r="R122" s="139">
        <f>IF(AND('Ações'!$AD125="SIM", 'Ações'!AX125="SIM"), 1,0)</f>
        <v>0</v>
      </c>
    </row>
    <row r="123">
      <c r="A123" s="139" t="str">
        <f t="shared" ref="A123:R123" si="2">IF(AND(#REF!="SIM", #REF!="SIM"), 1,0)</f>
        <v>#REF!</v>
      </c>
      <c r="B123" s="139" t="str">
        <f t="shared" si="2"/>
        <v>#REF!</v>
      </c>
      <c r="C123" s="139" t="str">
        <f t="shared" si="2"/>
        <v>#REF!</v>
      </c>
      <c r="D123" s="139" t="str">
        <f t="shared" si="2"/>
        <v>#REF!</v>
      </c>
      <c r="E123" s="139" t="str">
        <f t="shared" si="2"/>
        <v>#REF!</v>
      </c>
      <c r="F123" s="139" t="str">
        <f t="shared" si="2"/>
        <v>#REF!</v>
      </c>
      <c r="G123" s="139" t="str">
        <f t="shared" si="2"/>
        <v>#REF!</v>
      </c>
      <c r="H123" s="139" t="str">
        <f t="shared" si="2"/>
        <v>#REF!</v>
      </c>
      <c r="I123" s="139" t="str">
        <f t="shared" si="2"/>
        <v>#REF!</v>
      </c>
      <c r="J123" s="139" t="str">
        <f t="shared" si="2"/>
        <v>#REF!</v>
      </c>
      <c r="K123" s="139" t="str">
        <f t="shared" si="2"/>
        <v>#REF!</v>
      </c>
      <c r="L123" s="139" t="str">
        <f t="shared" si="2"/>
        <v>#REF!</v>
      </c>
      <c r="M123" s="139" t="str">
        <f t="shared" si="2"/>
        <v>#REF!</v>
      </c>
      <c r="N123" s="139" t="str">
        <f t="shared" si="2"/>
        <v>#REF!</v>
      </c>
      <c r="O123" s="139" t="str">
        <f t="shared" si="2"/>
        <v>#REF!</v>
      </c>
      <c r="P123" s="139" t="str">
        <f t="shared" si="2"/>
        <v>#REF!</v>
      </c>
      <c r="Q123" s="139" t="str">
        <f t="shared" si="2"/>
        <v>#REF!</v>
      </c>
      <c r="R123" s="139" t="str">
        <f t="shared" si="2"/>
        <v>#REF!</v>
      </c>
    </row>
    <row r="124">
      <c r="A124" s="139">
        <f>IF(AND('Ações'!AB126="SIM", 'Ações'!AS126="SIM"), 1,0)</f>
        <v>0</v>
      </c>
      <c r="B124" s="139">
        <f>IF(AND('Ações'!$AB126="SIM", 'Ações'!AT126="SIM"), 1,0)</f>
        <v>0</v>
      </c>
      <c r="C124" s="139">
        <f>IF(AND('Ações'!$AB126="SIM", 'Ações'!AU126="SIM"), 1,0)</f>
        <v>0</v>
      </c>
      <c r="D124" s="139">
        <f>IF(AND('Ações'!$AB126="SIM", 'Ações'!AV126="SIM"), 1,0)</f>
        <v>0</v>
      </c>
      <c r="E124" s="139">
        <f>IF(AND('Ações'!$AB126="SIM", 'Ações'!AW126="SIM"), 1,0)</f>
        <v>0</v>
      </c>
      <c r="F124" s="139">
        <f>IF(AND('Ações'!$AB126="SIM", 'Ações'!AX126="SIM"), 1,0)</f>
        <v>0</v>
      </c>
      <c r="G124" s="139">
        <f>IF(AND('Ações'!$AC126="SIM", 'Ações'!AS126="SIM"), 1,0)</f>
        <v>1</v>
      </c>
      <c r="H124" s="139">
        <f>IF(AND('Ações'!$AC126="SIM", 'Ações'!AT126="SIM"), 1,0)</f>
        <v>1</v>
      </c>
      <c r="I124" s="139">
        <f>IF(AND('Ações'!$AC126="SIM", 'Ações'!AU126="SIM"), 1,0)</f>
        <v>0</v>
      </c>
      <c r="J124" s="139">
        <f>IF(AND('Ações'!$AC126="SIM", 'Ações'!AV126="SIM"), 1,0)</f>
        <v>1</v>
      </c>
      <c r="K124" s="139">
        <f>IF(AND('Ações'!$AC126="SIM", 'Ações'!AW126="SIM"), 1,0)</f>
        <v>1</v>
      </c>
      <c r="L124" s="139">
        <f>IF(AND('Ações'!$AC126="SIM", 'Ações'!AX126="SIM"), 1,0)</f>
        <v>0</v>
      </c>
      <c r="M124" s="139">
        <f>IF(AND('Ações'!$AD126="SIM", 'Ações'!AS126="SIM"), 1,0)</f>
        <v>0</v>
      </c>
      <c r="N124" s="139">
        <f>IF(AND('Ações'!$AD126="SIM", 'Ações'!AT126="SIM"), 1,0)</f>
        <v>0</v>
      </c>
      <c r="O124" s="139">
        <f>IF(AND('Ações'!$AD126="SIM", 'Ações'!AU126="SIM"), 1,0)</f>
        <v>0</v>
      </c>
      <c r="P124" s="139">
        <f>IF(AND('Ações'!$AD126="SIM", 'Ações'!AV126="SIM"), 1,0)</f>
        <v>0</v>
      </c>
      <c r="Q124" s="139">
        <f>IF(AND('Ações'!$AD126="SIM", 'Ações'!AW126="SIM"), 1,0)</f>
        <v>0</v>
      </c>
      <c r="R124" s="139">
        <f>IF(AND('Ações'!$AD126="SIM", 'Ações'!AX126="SIM"), 1,0)</f>
        <v>0</v>
      </c>
    </row>
    <row r="125">
      <c r="A125" s="139">
        <f>IF(AND('Ações'!AB127="SIM", 'Ações'!AS127="SIM"), 1,0)</f>
        <v>1</v>
      </c>
      <c r="B125" s="139">
        <f>IF(AND('Ações'!$AB127="SIM", 'Ações'!AT127="SIM"), 1,0)</f>
        <v>1</v>
      </c>
      <c r="C125" s="139">
        <f>IF(AND('Ações'!$AB127="SIM", 'Ações'!AU127="SIM"), 1,0)</f>
        <v>1</v>
      </c>
      <c r="D125" s="139">
        <f>IF(AND('Ações'!$AB127="SIM", 'Ações'!AV127="SIM"), 1,0)</f>
        <v>1</v>
      </c>
      <c r="E125" s="139">
        <f>IF(AND('Ações'!$AB127="SIM", 'Ações'!AW127="SIM"), 1,0)</f>
        <v>1</v>
      </c>
      <c r="F125" s="139">
        <f>IF(AND('Ações'!$AB127="SIM", 'Ações'!AX127="SIM"), 1,0)</f>
        <v>0</v>
      </c>
      <c r="G125" s="139">
        <f>IF(AND('Ações'!$AC127="SIM", 'Ações'!AS127="SIM"), 1,0)</f>
        <v>0</v>
      </c>
      <c r="H125" s="139">
        <f>IF(AND('Ações'!$AC127="SIM", 'Ações'!AT127="SIM"), 1,0)</f>
        <v>0</v>
      </c>
      <c r="I125" s="139">
        <f>IF(AND('Ações'!$AC127="SIM", 'Ações'!AU127="SIM"), 1,0)</f>
        <v>0</v>
      </c>
      <c r="J125" s="139">
        <f>IF(AND('Ações'!$AC127="SIM", 'Ações'!AV127="SIM"), 1,0)</f>
        <v>0</v>
      </c>
      <c r="K125" s="139">
        <f>IF(AND('Ações'!$AC127="SIM", 'Ações'!AW127="SIM"), 1,0)</f>
        <v>0</v>
      </c>
      <c r="L125" s="139">
        <f>IF(AND('Ações'!$AC127="SIM", 'Ações'!AX127="SIM"), 1,0)</f>
        <v>0</v>
      </c>
      <c r="M125" s="139">
        <f>IF(AND('Ações'!$AD127="SIM", 'Ações'!AS127="SIM"), 1,0)</f>
        <v>0</v>
      </c>
      <c r="N125" s="139">
        <f>IF(AND('Ações'!$AD127="SIM", 'Ações'!AT127="SIM"), 1,0)</f>
        <v>0</v>
      </c>
      <c r="O125" s="139">
        <f>IF(AND('Ações'!$AD127="SIM", 'Ações'!AU127="SIM"), 1,0)</f>
        <v>0</v>
      </c>
      <c r="P125" s="139">
        <f>IF(AND('Ações'!$AD127="SIM", 'Ações'!AV127="SIM"), 1,0)</f>
        <v>0</v>
      </c>
      <c r="Q125" s="139">
        <f>IF(AND('Ações'!$AD127="SIM", 'Ações'!AW127="SIM"), 1,0)</f>
        <v>0</v>
      </c>
      <c r="R125" s="139">
        <f>IF(AND('Ações'!$AD127="SIM", 'Ações'!AX127="SIM"), 1,0)</f>
        <v>0</v>
      </c>
    </row>
    <row r="126">
      <c r="A126" s="139">
        <f>IF(AND('Ações'!AB128="SIM", 'Ações'!AS128="SIM"), 1,0)</f>
        <v>0</v>
      </c>
      <c r="B126" s="139">
        <f>IF(AND('Ações'!$AB128="SIM", 'Ações'!AT128="SIM"), 1,0)</f>
        <v>0</v>
      </c>
      <c r="C126" s="139">
        <f>IF(AND('Ações'!$AB128="SIM", 'Ações'!AU128="SIM"), 1,0)</f>
        <v>0</v>
      </c>
      <c r="D126" s="139">
        <f>IF(AND('Ações'!$AB128="SIM", 'Ações'!AV128="SIM"), 1,0)</f>
        <v>0</v>
      </c>
      <c r="E126" s="139">
        <f>IF(AND('Ações'!$AB128="SIM", 'Ações'!AW128="SIM"), 1,0)</f>
        <v>0</v>
      </c>
      <c r="F126" s="139">
        <f>IF(AND('Ações'!$AB128="SIM", 'Ações'!AX128="SIM"), 1,0)</f>
        <v>0</v>
      </c>
      <c r="G126" s="139">
        <f>IF(AND('Ações'!$AC128="SIM", 'Ações'!AS128="SIM"), 1,0)</f>
        <v>1</v>
      </c>
      <c r="H126" s="139">
        <f>IF(AND('Ações'!$AC128="SIM", 'Ações'!AT128="SIM"), 1,0)</f>
        <v>1</v>
      </c>
      <c r="I126" s="139">
        <f>IF(AND('Ações'!$AC128="SIM", 'Ações'!AU128="SIM"), 1,0)</f>
        <v>1</v>
      </c>
      <c r="J126" s="139">
        <f>IF(AND('Ações'!$AC128="SIM", 'Ações'!AV128="SIM"), 1,0)</f>
        <v>1</v>
      </c>
      <c r="K126" s="139">
        <f>IF(AND('Ações'!$AC128="SIM", 'Ações'!AW128="SIM"), 1,0)</f>
        <v>1</v>
      </c>
      <c r="L126" s="139">
        <f>IF(AND('Ações'!$AC128="SIM", 'Ações'!AX128="SIM"), 1,0)</f>
        <v>0</v>
      </c>
      <c r="M126" s="139">
        <f>IF(AND('Ações'!$AD128="SIM", 'Ações'!AS128="SIM"), 1,0)</f>
        <v>0</v>
      </c>
      <c r="N126" s="139">
        <f>IF(AND('Ações'!$AD128="SIM", 'Ações'!AT128="SIM"), 1,0)</f>
        <v>0</v>
      </c>
      <c r="O126" s="139">
        <f>IF(AND('Ações'!$AD128="SIM", 'Ações'!AU128="SIM"), 1,0)</f>
        <v>0</v>
      </c>
      <c r="P126" s="139">
        <f>IF(AND('Ações'!$AD128="SIM", 'Ações'!AV128="SIM"), 1,0)</f>
        <v>0</v>
      </c>
      <c r="Q126" s="139">
        <f>IF(AND('Ações'!$AD128="SIM", 'Ações'!AW128="SIM"), 1,0)</f>
        <v>0</v>
      </c>
      <c r="R126" s="139">
        <f>IF(AND('Ações'!$AD128="SIM", 'Ações'!AX128="SIM"), 1,0)</f>
        <v>0</v>
      </c>
    </row>
    <row r="127">
      <c r="A127" s="139">
        <f>IF(AND('Ações'!AB129="SIM", 'Ações'!AS129="SIM"), 1,0)</f>
        <v>0</v>
      </c>
      <c r="B127" s="139">
        <f>IF(AND('Ações'!$AB129="SIM", 'Ações'!AT129="SIM"), 1,0)</f>
        <v>0</v>
      </c>
      <c r="C127" s="139">
        <f>IF(AND('Ações'!$AB129="SIM", 'Ações'!AU129="SIM"), 1,0)</f>
        <v>0</v>
      </c>
      <c r="D127" s="139">
        <f>IF(AND('Ações'!$AB129="SIM", 'Ações'!AV129="SIM"), 1,0)</f>
        <v>0</v>
      </c>
      <c r="E127" s="139">
        <f>IF(AND('Ações'!$AB129="SIM", 'Ações'!AW129="SIM"), 1,0)</f>
        <v>0</v>
      </c>
      <c r="F127" s="139">
        <f>IF(AND('Ações'!$AB129="SIM", 'Ações'!AX129="SIM"), 1,0)</f>
        <v>0</v>
      </c>
      <c r="G127" s="139">
        <f>IF(AND('Ações'!$AC129="SIM", 'Ações'!AS129="SIM"), 1,0)</f>
        <v>1</v>
      </c>
      <c r="H127" s="139">
        <f>IF(AND('Ações'!$AC129="SIM", 'Ações'!AT129="SIM"), 1,0)</f>
        <v>1</v>
      </c>
      <c r="I127" s="139">
        <f>IF(AND('Ações'!$AC129="SIM", 'Ações'!AU129="SIM"), 1,0)</f>
        <v>1</v>
      </c>
      <c r="J127" s="139">
        <f>IF(AND('Ações'!$AC129="SIM", 'Ações'!AV129="SIM"), 1,0)</f>
        <v>1</v>
      </c>
      <c r="K127" s="139">
        <f>IF(AND('Ações'!$AC129="SIM", 'Ações'!AW129="SIM"), 1,0)</f>
        <v>1</v>
      </c>
      <c r="L127" s="139">
        <f>IF(AND('Ações'!$AC129="SIM", 'Ações'!AX129="SIM"), 1,0)</f>
        <v>0</v>
      </c>
      <c r="M127" s="139">
        <f>IF(AND('Ações'!$AD129="SIM", 'Ações'!AS129="SIM"), 1,0)</f>
        <v>0</v>
      </c>
      <c r="N127" s="139">
        <f>IF(AND('Ações'!$AD129="SIM", 'Ações'!AT129="SIM"), 1,0)</f>
        <v>0</v>
      </c>
      <c r="O127" s="139">
        <f>IF(AND('Ações'!$AD129="SIM", 'Ações'!AU129="SIM"), 1,0)</f>
        <v>0</v>
      </c>
      <c r="P127" s="139">
        <f>IF(AND('Ações'!$AD129="SIM", 'Ações'!AV129="SIM"), 1,0)</f>
        <v>0</v>
      </c>
      <c r="Q127" s="139">
        <f>IF(AND('Ações'!$AD129="SIM", 'Ações'!AW129="SIM"), 1,0)</f>
        <v>0</v>
      </c>
      <c r="R127" s="139">
        <f>IF(AND('Ações'!$AD129="SIM", 'Ações'!AX129="SIM"), 1,0)</f>
        <v>0</v>
      </c>
    </row>
    <row r="128">
      <c r="A128" s="139">
        <f>IF(AND('Ações'!AB130="SIM", 'Ações'!AS130="SIM"), 1,0)</f>
        <v>0</v>
      </c>
      <c r="B128" s="139">
        <f>IF(AND('Ações'!$AB130="SIM", 'Ações'!AT130="SIM"), 1,0)</f>
        <v>0</v>
      </c>
      <c r="C128" s="139">
        <f>IF(AND('Ações'!$AB130="SIM", 'Ações'!AU130="SIM"), 1,0)</f>
        <v>0</v>
      </c>
      <c r="D128" s="139">
        <f>IF(AND('Ações'!$AB130="SIM", 'Ações'!AV130="SIM"), 1,0)</f>
        <v>0</v>
      </c>
      <c r="E128" s="139">
        <f>IF(AND('Ações'!$AB130="SIM", 'Ações'!AW130="SIM"), 1,0)</f>
        <v>0</v>
      </c>
      <c r="F128" s="139">
        <f>IF(AND('Ações'!$AB130="SIM", 'Ações'!AX130="SIM"), 1,0)</f>
        <v>0</v>
      </c>
      <c r="G128" s="139">
        <f>IF(AND('Ações'!$AC130="SIM", 'Ações'!AS130="SIM"), 1,0)</f>
        <v>1</v>
      </c>
      <c r="H128" s="139">
        <f>IF(AND('Ações'!$AC130="SIM", 'Ações'!AT130="SIM"), 1,0)</f>
        <v>1</v>
      </c>
      <c r="I128" s="139">
        <f>IF(AND('Ações'!$AC130="SIM", 'Ações'!AU130="SIM"), 1,0)</f>
        <v>1</v>
      </c>
      <c r="J128" s="139">
        <f>IF(AND('Ações'!$AC130="SIM", 'Ações'!AV130="SIM"), 1,0)</f>
        <v>1</v>
      </c>
      <c r="K128" s="139">
        <f>IF(AND('Ações'!$AC130="SIM", 'Ações'!AW130="SIM"), 1,0)</f>
        <v>1</v>
      </c>
      <c r="L128" s="139">
        <f>IF(AND('Ações'!$AC130="SIM", 'Ações'!AX130="SIM"), 1,0)</f>
        <v>0</v>
      </c>
      <c r="M128" s="139">
        <f>IF(AND('Ações'!$AD130="SIM", 'Ações'!AS130="SIM"), 1,0)</f>
        <v>0</v>
      </c>
      <c r="N128" s="139">
        <f>IF(AND('Ações'!$AD130="SIM", 'Ações'!AT130="SIM"), 1,0)</f>
        <v>0</v>
      </c>
      <c r="O128" s="139">
        <f>IF(AND('Ações'!$AD130="SIM", 'Ações'!AU130="SIM"), 1,0)</f>
        <v>0</v>
      </c>
      <c r="P128" s="139">
        <f>IF(AND('Ações'!$AD130="SIM", 'Ações'!AV130="SIM"), 1,0)</f>
        <v>0</v>
      </c>
      <c r="Q128" s="139">
        <f>IF(AND('Ações'!$AD130="SIM", 'Ações'!AW130="SIM"), 1,0)</f>
        <v>0</v>
      </c>
      <c r="R128" s="139">
        <f>IF(AND('Ações'!$AD130="SIM", 'Ações'!AX130="SIM"), 1,0)</f>
        <v>0</v>
      </c>
    </row>
    <row r="129">
      <c r="A129" s="139">
        <f>IF(AND('Ações'!AB131="SIM", 'Ações'!AS131="SIM"), 1,0)</f>
        <v>0</v>
      </c>
      <c r="B129" s="139">
        <f>IF(AND('Ações'!$AB131="SIM", 'Ações'!AT131="SIM"), 1,0)</f>
        <v>0</v>
      </c>
      <c r="C129" s="139">
        <f>IF(AND('Ações'!$AB131="SIM", 'Ações'!AU131="SIM"), 1,0)</f>
        <v>0</v>
      </c>
      <c r="D129" s="139">
        <f>IF(AND('Ações'!$AB131="SIM", 'Ações'!AV131="SIM"), 1,0)</f>
        <v>0</v>
      </c>
      <c r="E129" s="139">
        <f>IF(AND('Ações'!$AB131="SIM", 'Ações'!AW131="SIM"), 1,0)</f>
        <v>0</v>
      </c>
      <c r="F129" s="139">
        <f>IF(AND('Ações'!$AB131="SIM", 'Ações'!AX131="SIM"), 1,0)</f>
        <v>0</v>
      </c>
      <c r="G129" s="139">
        <f>IF(AND('Ações'!$AC131="SIM", 'Ações'!AS131="SIM"), 1,0)</f>
        <v>1</v>
      </c>
      <c r="H129" s="139">
        <f>IF(AND('Ações'!$AC131="SIM", 'Ações'!AT131="SIM"), 1,0)</f>
        <v>1</v>
      </c>
      <c r="I129" s="139">
        <f>IF(AND('Ações'!$AC131="SIM", 'Ações'!AU131="SIM"), 1,0)</f>
        <v>1</v>
      </c>
      <c r="J129" s="139">
        <f>IF(AND('Ações'!$AC131="SIM", 'Ações'!AV131="SIM"), 1,0)</f>
        <v>1</v>
      </c>
      <c r="K129" s="139">
        <f>IF(AND('Ações'!$AC131="SIM", 'Ações'!AW131="SIM"), 1,0)</f>
        <v>1</v>
      </c>
      <c r="L129" s="139">
        <f>IF(AND('Ações'!$AC131="SIM", 'Ações'!AX131="SIM"), 1,0)</f>
        <v>0</v>
      </c>
      <c r="M129" s="139">
        <f>IF(AND('Ações'!$AD131="SIM", 'Ações'!AS131="SIM"), 1,0)</f>
        <v>0</v>
      </c>
      <c r="N129" s="139">
        <f>IF(AND('Ações'!$AD131="SIM", 'Ações'!AT131="SIM"), 1,0)</f>
        <v>0</v>
      </c>
      <c r="O129" s="139">
        <f>IF(AND('Ações'!$AD131="SIM", 'Ações'!AU131="SIM"), 1,0)</f>
        <v>0</v>
      </c>
      <c r="P129" s="139">
        <f>IF(AND('Ações'!$AD131="SIM", 'Ações'!AV131="SIM"), 1,0)</f>
        <v>0</v>
      </c>
      <c r="Q129" s="139">
        <f>IF(AND('Ações'!$AD131="SIM", 'Ações'!AW131="SIM"), 1,0)</f>
        <v>0</v>
      </c>
      <c r="R129" s="139">
        <f>IF(AND('Ações'!$AD131="SIM", 'Ações'!AX131="SIM"), 1,0)</f>
        <v>0</v>
      </c>
    </row>
    <row r="130">
      <c r="A130" s="139">
        <f>IF(AND('Ações'!AB132="SIM", 'Ações'!AS132="SIM"), 1,0)</f>
        <v>0</v>
      </c>
      <c r="B130" s="139">
        <f>IF(AND('Ações'!$AB132="SIM", 'Ações'!AT132="SIM"), 1,0)</f>
        <v>0</v>
      </c>
      <c r="C130" s="139">
        <f>IF(AND('Ações'!$AB132="SIM", 'Ações'!AU132="SIM"), 1,0)</f>
        <v>0</v>
      </c>
      <c r="D130" s="139">
        <f>IF(AND('Ações'!$AB132="SIM", 'Ações'!AV132="SIM"), 1,0)</f>
        <v>0</v>
      </c>
      <c r="E130" s="139">
        <f>IF(AND('Ações'!$AB132="SIM", 'Ações'!AW132="SIM"), 1,0)</f>
        <v>0</v>
      </c>
      <c r="F130" s="139">
        <f>IF(AND('Ações'!$AB132="SIM", 'Ações'!AX132="SIM"), 1,0)</f>
        <v>0</v>
      </c>
      <c r="G130" s="139">
        <f>IF(AND('Ações'!$AC132="SIM", 'Ações'!AS132="SIM"), 1,0)</f>
        <v>1</v>
      </c>
      <c r="H130" s="139">
        <f>IF(AND('Ações'!$AC132="SIM", 'Ações'!AT132="SIM"), 1,0)</f>
        <v>1</v>
      </c>
      <c r="I130" s="139">
        <f>IF(AND('Ações'!$AC132="SIM", 'Ações'!AU132="SIM"), 1,0)</f>
        <v>1</v>
      </c>
      <c r="J130" s="139">
        <f>IF(AND('Ações'!$AC132="SIM", 'Ações'!AV132="SIM"), 1,0)</f>
        <v>1</v>
      </c>
      <c r="K130" s="139">
        <f>IF(AND('Ações'!$AC132="SIM", 'Ações'!AW132="SIM"), 1,0)</f>
        <v>1</v>
      </c>
      <c r="L130" s="139">
        <f>IF(AND('Ações'!$AC132="SIM", 'Ações'!AX132="SIM"), 1,0)</f>
        <v>0</v>
      </c>
      <c r="M130" s="139">
        <f>IF(AND('Ações'!$AD132="SIM", 'Ações'!AS132="SIM"), 1,0)</f>
        <v>0</v>
      </c>
      <c r="N130" s="139">
        <f>IF(AND('Ações'!$AD132="SIM", 'Ações'!AT132="SIM"), 1,0)</f>
        <v>0</v>
      </c>
      <c r="O130" s="139">
        <f>IF(AND('Ações'!$AD132="SIM", 'Ações'!AU132="SIM"), 1,0)</f>
        <v>0</v>
      </c>
      <c r="P130" s="139">
        <f>IF(AND('Ações'!$AD132="SIM", 'Ações'!AV132="SIM"), 1,0)</f>
        <v>0</v>
      </c>
      <c r="Q130" s="139">
        <f>IF(AND('Ações'!$AD132="SIM", 'Ações'!AW132="SIM"), 1,0)</f>
        <v>0</v>
      </c>
      <c r="R130" s="139">
        <f>IF(AND('Ações'!$AD132="SIM", 'Ações'!AX132="SIM"), 1,0)</f>
        <v>0</v>
      </c>
    </row>
    <row r="131">
      <c r="A131" s="139">
        <f>IF(AND('Ações'!AB133="SIM", 'Ações'!AS133="SIM"), 1,0)</f>
        <v>1</v>
      </c>
      <c r="B131" s="139">
        <f>IF(AND('Ações'!$AB133="SIM", 'Ações'!AT133="SIM"), 1,0)</f>
        <v>1</v>
      </c>
      <c r="C131" s="139">
        <f>IF(AND('Ações'!$AB133="SIM", 'Ações'!AU133="SIM"), 1,0)</f>
        <v>1</v>
      </c>
      <c r="D131" s="139">
        <f>IF(AND('Ações'!$AB133="SIM", 'Ações'!AV133="SIM"), 1,0)</f>
        <v>1</v>
      </c>
      <c r="E131" s="139">
        <f>IF(AND('Ações'!$AB133="SIM", 'Ações'!AW133="SIM"), 1,0)</f>
        <v>1</v>
      </c>
      <c r="F131" s="139">
        <f>IF(AND('Ações'!$AB133="SIM", 'Ações'!AX133="SIM"), 1,0)</f>
        <v>0</v>
      </c>
      <c r="G131" s="139">
        <f>IF(AND('Ações'!$AC133="SIM", 'Ações'!AS133="SIM"), 1,0)</f>
        <v>1</v>
      </c>
      <c r="H131" s="139">
        <f>IF(AND('Ações'!$AC133="SIM", 'Ações'!AT133="SIM"), 1,0)</f>
        <v>1</v>
      </c>
      <c r="I131" s="139">
        <f>IF(AND('Ações'!$AC133="SIM", 'Ações'!AU133="SIM"), 1,0)</f>
        <v>1</v>
      </c>
      <c r="J131" s="139">
        <f>IF(AND('Ações'!$AC133="SIM", 'Ações'!AV133="SIM"), 1,0)</f>
        <v>1</v>
      </c>
      <c r="K131" s="139">
        <f>IF(AND('Ações'!$AC133="SIM", 'Ações'!AW133="SIM"), 1,0)</f>
        <v>1</v>
      </c>
      <c r="L131" s="139">
        <f>IF(AND('Ações'!$AC133="SIM", 'Ações'!AX133="SIM"), 1,0)</f>
        <v>0</v>
      </c>
      <c r="M131" s="139">
        <f>IF(AND('Ações'!$AD133="SIM", 'Ações'!AS133="SIM"), 1,0)</f>
        <v>0</v>
      </c>
      <c r="N131" s="139">
        <f>IF(AND('Ações'!$AD133="SIM", 'Ações'!AT133="SIM"), 1,0)</f>
        <v>0</v>
      </c>
      <c r="O131" s="139">
        <f>IF(AND('Ações'!$AD133="SIM", 'Ações'!AU133="SIM"), 1,0)</f>
        <v>0</v>
      </c>
      <c r="P131" s="139">
        <f>IF(AND('Ações'!$AD133="SIM", 'Ações'!AV133="SIM"), 1,0)</f>
        <v>0</v>
      </c>
      <c r="Q131" s="139">
        <f>IF(AND('Ações'!$AD133="SIM", 'Ações'!AW133="SIM"), 1,0)</f>
        <v>0</v>
      </c>
      <c r="R131" s="139">
        <f>IF(AND('Ações'!$AD133="SIM", 'Ações'!AX133="SIM"), 1,0)</f>
        <v>0</v>
      </c>
    </row>
    <row r="132">
      <c r="A132" s="139">
        <f>IF(AND('Ações'!AB134="SIM", 'Ações'!AS134="SIM"), 1,0)</f>
        <v>0</v>
      </c>
      <c r="B132" s="139">
        <f>IF(AND('Ações'!$AB134="SIM", 'Ações'!AT134="SIM"), 1,0)</f>
        <v>0</v>
      </c>
      <c r="C132" s="139">
        <f>IF(AND('Ações'!$AB134="SIM", 'Ações'!AU134="SIM"), 1,0)</f>
        <v>0</v>
      </c>
      <c r="D132" s="139">
        <f>IF(AND('Ações'!$AB134="SIM", 'Ações'!AV134="SIM"), 1,0)</f>
        <v>0</v>
      </c>
      <c r="E132" s="139">
        <f>IF(AND('Ações'!$AB134="SIM", 'Ações'!AW134="SIM"), 1,0)</f>
        <v>0</v>
      </c>
      <c r="F132" s="139">
        <f>IF(AND('Ações'!$AB134="SIM", 'Ações'!AX134="SIM"), 1,0)</f>
        <v>0</v>
      </c>
      <c r="G132" s="139">
        <f>IF(AND('Ações'!$AC134="SIM", 'Ações'!AS134="SIM"), 1,0)</f>
        <v>1</v>
      </c>
      <c r="H132" s="139">
        <f>IF(AND('Ações'!$AC134="SIM", 'Ações'!AT134="SIM"), 1,0)</f>
        <v>1</v>
      </c>
      <c r="I132" s="139">
        <f>IF(AND('Ações'!$AC134="SIM", 'Ações'!AU134="SIM"), 1,0)</f>
        <v>1</v>
      </c>
      <c r="J132" s="139">
        <f>IF(AND('Ações'!$AC134="SIM", 'Ações'!AV134="SIM"), 1,0)</f>
        <v>1</v>
      </c>
      <c r="K132" s="139">
        <f>IF(AND('Ações'!$AC134="SIM", 'Ações'!AW134="SIM"), 1,0)</f>
        <v>1</v>
      </c>
      <c r="L132" s="139">
        <f>IF(AND('Ações'!$AC134="SIM", 'Ações'!AX134="SIM"), 1,0)</f>
        <v>0</v>
      </c>
      <c r="M132" s="139">
        <f>IF(AND('Ações'!$AD134="SIM", 'Ações'!AS134="SIM"), 1,0)</f>
        <v>0</v>
      </c>
      <c r="N132" s="139">
        <f>IF(AND('Ações'!$AD134="SIM", 'Ações'!AT134="SIM"), 1,0)</f>
        <v>0</v>
      </c>
      <c r="O132" s="139">
        <f>IF(AND('Ações'!$AD134="SIM", 'Ações'!AU134="SIM"), 1,0)</f>
        <v>0</v>
      </c>
      <c r="P132" s="139">
        <f>IF(AND('Ações'!$AD134="SIM", 'Ações'!AV134="SIM"), 1,0)</f>
        <v>0</v>
      </c>
      <c r="Q132" s="139">
        <f>IF(AND('Ações'!$AD134="SIM", 'Ações'!AW134="SIM"), 1,0)</f>
        <v>0</v>
      </c>
      <c r="R132" s="139">
        <f>IF(AND('Ações'!$AD134="SIM", 'Ações'!AX134="SIM"), 1,0)</f>
        <v>0</v>
      </c>
    </row>
    <row r="133">
      <c r="A133" s="139">
        <f>IF(AND('Ações'!AB135="SIM", 'Ações'!AS135="SIM"), 1,0)</f>
        <v>1</v>
      </c>
      <c r="B133" s="139">
        <f>IF(AND('Ações'!$AB135="SIM", 'Ações'!AT135="SIM"), 1,0)</f>
        <v>1</v>
      </c>
      <c r="C133" s="139">
        <f>IF(AND('Ações'!$AB135="SIM", 'Ações'!AU135="SIM"), 1,0)</f>
        <v>1</v>
      </c>
      <c r="D133" s="139">
        <f>IF(AND('Ações'!$AB135="SIM", 'Ações'!AV135="SIM"), 1,0)</f>
        <v>1</v>
      </c>
      <c r="E133" s="139">
        <f>IF(AND('Ações'!$AB135="SIM", 'Ações'!AW135="SIM"), 1,0)</f>
        <v>1</v>
      </c>
      <c r="F133" s="139">
        <f>IF(AND('Ações'!$AB135="SIM", 'Ações'!AX135="SIM"), 1,0)</f>
        <v>0</v>
      </c>
      <c r="G133" s="139">
        <f>IF(AND('Ações'!$AC135="SIM", 'Ações'!AS135="SIM"), 1,0)</f>
        <v>0</v>
      </c>
      <c r="H133" s="139">
        <f>IF(AND('Ações'!$AC135="SIM", 'Ações'!AT135="SIM"), 1,0)</f>
        <v>0</v>
      </c>
      <c r="I133" s="139">
        <f>IF(AND('Ações'!$AC135="SIM", 'Ações'!AU135="SIM"), 1,0)</f>
        <v>0</v>
      </c>
      <c r="J133" s="139">
        <f>IF(AND('Ações'!$AC135="SIM", 'Ações'!AV135="SIM"), 1,0)</f>
        <v>0</v>
      </c>
      <c r="K133" s="139">
        <f>IF(AND('Ações'!$AC135="SIM", 'Ações'!AW135="SIM"), 1,0)</f>
        <v>0</v>
      </c>
      <c r="L133" s="139">
        <f>IF(AND('Ações'!$AC135="SIM", 'Ações'!AX135="SIM"), 1,0)</f>
        <v>0</v>
      </c>
      <c r="M133" s="139">
        <f>IF(AND('Ações'!$AD135="SIM", 'Ações'!AS135="SIM"), 1,0)</f>
        <v>0</v>
      </c>
      <c r="N133" s="139">
        <f>IF(AND('Ações'!$AD135="SIM", 'Ações'!AT135="SIM"), 1,0)</f>
        <v>0</v>
      </c>
      <c r="O133" s="139">
        <f>IF(AND('Ações'!$AD135="SIM", 'Ações'!AU135="SIM"), 1,0)</f>
        <v>0</v>
      </c>
      <c r="P133" s="139">
        <f>IF(AND('Ações'!$AD135="SIM", 'Ações'!AV135="SIM"), 1,0)</f>
        <v>0</v>
      </c>
      <c r="Q133" s="139">
        <f>IF(AND('Ações'!$AD135="SIM", 'Ações'!AW135="SIM"), 1,0)</f>
        <v>0</v>
      </c>
      <c r="R133" s="139">
        <f>IF(AND('Ações'!$AD135="SIM", 'Ações'!AX135="SIM"), 1,0)</f>
        <v>0</v>
      </c>
    </row>
    <row r="134">
      <c r="A134" s="139">
        <f>IF(AND('Ações'!AB136="SIM", 'Ações'!AS136="SIM"), 1,0)</f>
        <v>1</v>
      </c>
      <c r="B134" s="139">
        <f>IF(AND('Ações'!$AB136="SIM", 'Ações'!AT136="SIM"), 1,0)</f>
        <v>1</v>
      </c>
      <c r="C134" s="139">
        <f>IF(AND('Ações'!$AB136="SIM", 'Ações'!AU136="SIM"), 1,0)</f>
        <v>1</v>
      </c>
      <c r="D134" s="139">
        <f>IF(AND('Ações'!$AB136="SIM", 'Ações'!AV136="SIM"), 1,0)</f>
        <v>1</v>
      </c>
      <c r="E134" s="139">
        <f>IF(AND('Ações'!$AB136="SIM", 'Ações'!AW136="SIM"), 1,0)</f>
        <v>1</v>
      </c>
      <c r="F134" s="139">
        <f>IF(AND('Ações'!$AB136="SIM", 'Ações'!AX136="SIM"), 1,0)</f>
        <v>0</v>
      </c>
      <c r="G134" s="139">
        <f>IF(AND('Ações'!$AC136="SIM", 'Ações'!AS136="SIM"), 1,0)</f>
        <v>1</v>
      </c>
      <c r="H134" s="139">
        <f>IF(AND('Ações'!$AC136="SIM", 'Ações'!AT136="SIM"), 1,0)</f>
        <v>1</v>
      </c>
      <c r="I134" s="139">
        <f>IF(AND('Ações'!$AC136="SIM", 'Ações'!AU136="SIM"), 1,0)</f>
        <v>1</v>
      </c>
      <c r="J134" s="139">
        <f>IF(AND('Ações'!$AC136="SIM", 'Ações'!AV136="SIM"), 1,0)</f>
        <v>1</v>
      </c>
      <c r="K134" s="139">
        <f>IF(AND('Ações'!$AC136="SIM", 'Ações'!AW136="SIM"), 1,0)</f>
        <v>1</v>
      </c>
      <c r="L134" s="139">
        <f>IF(AND('Ações'!$AC136="SIM", 'Ações'!AX136="SIM"), 1,0)</f>
        <v>0</v>
      </c>
      <c r="M134" s="139">
        <f>IF(AND('Ações'!$AD136="SIM", 'Ações'!AS136="SIM"), 1,0)</f>
        <v>0</v>
      </c>
      <c r="N134" s="139">
        <f>IF(AND('Ações'!$AD136="SIM", 'Ações'!AT136="SIM"), 1,0)</f>
        <v>0</v>
      </c>
      <c r="O134" s="139">
        <f>IF(AND('Ações'!$AD136="SIM", 'Ações'!AU136="SIM"), 1,0)</f>
        <v>0</v>
      </c>
      <c r="P134" s="139">
        <f>IF(AND('Ações'!$AD136="SIM", 'Ações'!AV136="SIM"), 1,0)</f>
        <v>0</v>
      </c>
      <c r="Q134" s="139">
        <f>IF(AND('Ações'!$AD136="SIM", 'Ações'!AW136="SIM"), 1,0)</f>
        <v>0</v>
      </c>
      <c r="R134" s="139">
        <f>IF(AND('Ações'!$AD136="SIM", 'Ações'!AX136="SIM"), 1,0)</f>
        <v>0</v>
      </c>
    </row>
    <row r="135">
      <c r="A135" s="139">
        <f>IF(AND('Ações'!AB137="SIM", 'Ações'!AS137="SIM"), 1,0)</f>
        <v>0</v>
      </c>
      <c r="B135" s="139">
        <f>IF(AND('Ações'!$AB137="SIM", 'Ações'!AT137="SIM"), 1,0)</f>
        <v>0</v>
      </c>
      <c r="C135" s="139">
        <f>IF(AND('Ações'!$AB137="SIM", 'Ações'!AU137="SIM"), 1,0)</f>
        <v>0</v>
      </c>
      <c r="D135" s="139">
        <f>IF(AND('Ações'!$AB137="SIM", 'Ações'!AV137="SIM"), 1,0)</f>
        <v>0</v>
      </c>
      <c r="E135" s="139">
        <f>IF(AND('Ações'!$AB137="SIM", 'Ações'!AW137="SIM"), 1,0)</f>
        <v>0</v>
      </c>
      <c r="F135" s="139">
        <f>IF(AND('Ações'!$AB137="SIM", 'Ações'!AX137="SIM"), 1,0)</f>
        <v>0</v>
      </c>
      <c r="G135" s="139">
        <f>IF(AND('Ações'!$AC137="SIM", 'Ações'!AS137="SIM"), 1,0)</f>
        <v>0</v>
      </c>
      <c r="H135" s="139">
        <f>IF(AND('Ações'!$AC137="SIM", 'Ações'!AT137="SIM"), 1,0)</f>
        <v>1</v>
      </c>
      <c r="I135" s="139">
        <f>IF(AND('Ações'!$AC137="SIM", 'Ações'!AU137="SIM"), 1,0)</f>
        <v>1</v>
      </c>
      <c r="J135" s="139">
        <f>IF(AND('Ações'!$AC137="SIM", 'Ações'!AV137="SIM"), 1,0)</f>
        <v>1</v>
      </c>
      <c r="K135" s="139">
        <f>IF(AND('Ações'!$AC137="SIM", 'Ações'!AW137="SIM"), 1,0)</f>
        <v>1</v>
      </c>
      <c r="L135" s="139">
        <f>IF(AND('Ações'!$AC137="SIM", 'Ações'!AX137="SIM"), 1,0)</f>
        <v>0</v>
      </c>
      <c r="M135" s="139">
        <f>IF(AND('Ações'!$AD137="SIM", 'Ações'!AS137="SIM"), 1,0)</f>
        <v>0</v>
      </c>
      <c r="N135" s="139">
        <f>IF(AND('Ações'!$AD137="SIM", 'Ações'!AT137="SIM"), 1,0)</f>
        <v>0</v>
      </c>
      <c r="O135" s="139">
        <f>IF(AND('Ações'!$AD137="SIM", 'Ações'!AU137="SIM"), 1,0)</f>
        <v>0</v>
      </c>
      <c r="P135" s="139">
        <f>IF(AND('Ações'!$AD137="SIM", 'Ações'!AV137="SIM"), 1,0)</f>
        <v>0</v>
      </c>
      <c r="Q135" s="139">
        <f>IF(AND('Ações'!$AD137="SIM", 'Ações'!AW137="SIM"), 1,0)</f>
        <v>0</v>
      </c>
      <c r="R135" s="139">
        <f>IF(AND('Ações'!$AD137="SIM", 'Ações'!AX137="SIM"), 1,0)</f>
        <v>0</v>
      </c>
    </row>
    <row r="136">
      <c r="A136" s="139">
        <f>IF(AND('Ações'!AB138="SIM", 'Ações'!AS138="SIM"), 1,0)</f>
        <v>0</v>
      </c>
      <c r="B136" s="139">
        <f>IF(AND('Ações'!$AB138="SIM", 'Ações'!AT138="SIM"), 1,0)</f>
        <v>1</v>
      </c>
      <c r="C136" s="139">
        <f>IF(AND('Ações'!$AB138="SIM", 'Ações'!AU138="SIM"), 1,0)</f>
        <v>1</v>
      </c>
      <c r="D136" s="139">
        <f>IF(AND('Ações'!$AB138="SIM", 'Ações'!AV138="SIM"), 1,0)</f>
        <v>1</v>
      </c>
      <c r="E136" s="139">
        <f>IF(AND('Ações'!$AB138="SIM", 'Ações'!AW138="SIM"), 1,0)</f>
        <v>1</v>
      </c>
      <c r="F136" s="139">
        <f>IF(AND('Ações'!$AB138="SIM", 'Ações'!AX138="SIM"), 1,0)</f>
        <v>0</v>
      </c>
      <c r="G136" s="139">
        <f>IF(AND('Ações'!$AC138="SIM", 'Ações'!AS138="SIM"), 1,0)</f>
        <v>0</v>
      </c>
      <c r="H136" s="139">
        <f>IF(AND('Ações'!$AC138="SIM", 'Ações'!AT138="SIM"), 1,0)</f>
        <v>0</v>
      </c>
      <c r="I136" s="139">
        <f>IF(AND('Ações'!$AC138="SIM", 'Ações'!AU138="SIM"), 1,0)</f>
        <v>0</v>
      </c>
      <c r="J136" s="139">
        <f>IF(AND('Ações'!$AC138="SIM", 'Ações'!AV138="SIM"), 1,0)</f>
        <v>0</v>
      </c>
      <c r="K136" s="139">
        <f>IF(AND('Ações'!$AC138="SIM", 'Ações'!AW138="SIM"), 1,0)</f>
        <v>0</v>
      </c>
      <c r="L136" s="139">
        <f>IF(AND('Ações'!$AC138="SIM", 'Ações'!AX138="SIM"), 1,0)</f>
        <v>0</v>
      </c>
      <c r="M136" s="139">
        <f>IF(AND('Ações'!$AD138="SIM", 'Ações'!AS138="SIM"), 1,0)</f>
        <v>0</v>
      </c>
      <c r="N136" s="139">
        <f>IF(AND('Ações'!$AD138="SIM", 'Ações'!AT138="SIM"), 1,0)</f>
        <v>0</v>
      </c>
      <c r="O136" s="139">
        <f>IF(AND('Ações'!$AD138="SIM", 'Ações'!AU138="SIM"), 1,0)</f>
        <v>0</v>
      </c>
      <c r="P136" s="139">
        <f>IF(AND('Ações'!$AD138="SIM", 'Ações'!AV138="SIM"), 1,0)</f>
        <v>0</v>
      </c>
      <c r="Q136" s="139">
        <f>IF(AND('Ações'!$AD138="SIM", 'Ações'!AW138="SIM"), 1,0)</f>
        <v>0</v>
      </c>
      <c r="R136" s="139">
        <f>IF(AND('Ações'!$AD138="SIM", 'Ações'!AX138="SIM"), 1,0)</f>
        <v>0</v>
      </c>
    </row>
    <row r="137">
      <c r="A137" s="139">
        <f>IF(AND('Ações'!AB139="SIM", 'Ações'!AS139="SIM"), 1,0)</f>
        <v>1</v>
      </c>
      <c r="B137" s="139">
        <f>IF(AND('Ações'!$AB139="SIM", 'Ações'!AT139="SIM"), 1,0)</f>
        <v>1</v>
      </c>
      <c r="C137" s="139">
        <f>IF(AND('Ações'!$AB139="SIM", 'Ações'!AU139="SIM"), 1,0)</f>
        <v>1</v>
      </c>
      <c r="D137" s="139">
        <f>IF(AND('Ações'!$AB139="SIM", 'Ações'!AV139="SIM"), 1,0)</f>
        <v>1</v>
      </c>
      <c r="E137" s="139">
        <f>IF(AND('Ações'!$AB139="SIM", 'Ações'!AW139="SIM"), 1,0)</f>
        <v>0</v>
      </c>
      <c r="F137" s="139">
        <f>IF(AND('Ações'!$AB139="SIM", 'Ações'!AX139="SIM"), 1,0)</f>
        <v>0</v>
      </c>
      <c r="G137" s="139">
        <f>IF(AND('Ações'!$AC139="SIM", 'Ações'!AS139="SIM"), 1,0)</f>
        <v>0</v>
      </c>
      <c r="H137" s="139">
        <f>IF(AND('Ações'!$AC139="SIM", 'Ações'!AT139="SIM"), 1,0)</f>
        <v>0</v>
      </c>
      <c r="I137" s="139">
        <f>IF(AND('Ações'!$AC139="SIM", 'Ações'!AU139="SIM"), 1,0)</f>
        <v>0</v>
      </c>
      <c r="J137" s="139">
        <f>IF(AND('Ações'!$AC139="SIM", 'Ações'!AV139="SIM"), 1,0)</f>
        <v>0</v>
      </c>
      <c r="K137" s="139">
        <f>IF(AND('Ações'!$AC139="SIM", 'Ações'!AW139="SIM"), 1,0)</f>
        <v>0</v>
      </c>
      <c r="L137" s="139">
        <f>IF(AND('Ações'!$AC139="SIM", 'Ações'!AX139="SIM"), 1,0)</f>
        <v>0</v>
      </c>
      <c r="M137" s="139">
        <f>IF(AND('Ações'!$AD139="SIM", 'Ações'!AS139="SIM"), 1,0)</f>
        <v>0</v>
      </c>
      <c r="N137" s="139">
        <f>IF(AND('Ações'!$AD139="SIM", 'Ações'!AT139="SIM"), 1,0)</f>
        <v>0</v>
      </c>
      <c r="O137" s="139">
        <f>IF(AND('Ações'!$AD139="SIM", 'Ações'!AU139="SIM"), 1,0)</f>
        <v>0</v>
      </c>
      <c r="P137" s="139">
        <f>IF(AND('Ações'!$AD139="SIM", 'Ações'!AV139="SIM"), 1,0)</f>
        <v>0</v>
      </c>
      <c r="Q137" s="139">
        <f>IF(AND('Ações'!$AD139="SIM", 'Ações'!AW139="SIM"), 1,0)</f>
        <v>0</v>
      </c>
      <c r="R137" s="139">
        <f>IF(AND('Ações'!$AD139="SIM", 'Ações'!AX139="SIM"), 1,0)</f>
        <v>0</v>
      </c>
    </row>
    <row r="138">
      <c r="A138" s="139">
        <f>IF(AND('Ações'!AB140="SIM", 'Ações'!AS140="SIM"), 1,0)</f>
        <v>1</v>
      </c>
      <c r="B138" s="139">
        <f>IF(AND('Ações'!$AB140="SIM", 'Ações'!AT140="SIM"), 1,0)</f>
        <v>1</v>
      </c>
      <c r="C138" s="139">
        <f>IF(AND('Ações'!$AB140="SIM", 'Ações'!AU140="SIM"), 1,0)</f>
        <v>1</v>
      </c>
      <c r="D138" s="139">
        <f>IF(AND('Ações'!$AB140="SIM", 'Ações'!AV140="SIM"), 1,0)</f>
        <v>1</v>
      </c>
      <c r="E138" s="139">
        <f>IF(AND('Ações'!$AB140="SIM", 'Ações'!AW140="SIM"), 1,0)</f>
        <v>0</v>
      </c>
      <c r="F138" s="139">
        <f>IF(AND('Ações'!$AB140="SIM", 'Ações'!AX140="SIM"), 1,0)</f>
        <v>0</v>
      </c>
      <c r="G138" s="139">
        <f>IF(AND('Ações'!$AC140="SIM", 'Ações'!AS140="SIM"), 1,0)</f>
        <v>0</v>
      </c>
      <c r="H138" s="139">
        <f>IF(AND('Ações'!$AC140="SIM", 'Ações'!AT140="SIM"), 1,0)</f>
        <v>0</v>
      </c>
      <c r="I138" s="139">
        <f>IF(AND('Ações'!$AC140="SIM", 'Ações'!AU140="SIM"), 1,0)</f>
        <v>0</v>
      </c>
      <c r="J138" s="139">
        <f>IF(AND('Ações'!$AC140="SIM", 'Ações'!AV140="SIM"), 1,0)</f>
        <v>0</v>
      </c>
      <c r="K138" s="139">
        <f>IF(AND('Ações'!$AC140="SIM", 'Ações'!AW140="SIM"), 1,0)</f>
        <v>0</v>
      </c>
      <c r="L138" s="139">
        <f>IF(AND('Ações'!$AC140="SIM", 'Ações'!AX140="SIM"), 1,0)</f>
        <v>0</v>
      </c>
      <c r="M138" s="139">
        <f>IF(AND('Ações'!$AD140="SIM", 'Ações'!AS140="SIM"), 1,0)</f>
        <v>0</v>
      </c>
      <c r="N138" s="139">
        <f>IF(AND('Ações'!$AD140="SIM", 'Ações'!AT140="SIM"), 1,0)</f>
        <v>0</v>
      </c>
      <c r="O138" s="139">
        <f>IF(AND('Ações'!$AD140="SIM", 'Ações'!AU140="SIM"), 1,0)</f>
        <v>0</v>
      </c>
      <c r="P138" s="139">
        <f>IF(AND('Ações'!$AD140="SIM", 'Ações'!AV140="SIM"), 1,0)</f>
        <v>0</v>
      </c>
      <c r="Q138" s="139">
        <f>IF(AND('Ações'!$AD140="SIM", 'Ações'!AW140="SIM"), 1,0)</f>
        <v>0</v>
      </c>
      <c r="R138" s="139">
        <f>IF(AND('Ações'!$AD140="SIM", 'Ações'!AX140="SIM"), 1,0)</f>
        <v>0</v>
      </c>
    </row>
    <row r="139">
      <c r="A139" s="139">
        <f>IF(AND('Ações'!AB141="SIM", 'Ações'!AS141="SIM"), 1,0)</f>
        <v>1</v>
      </c>
      <c r="B139" s="139">
        <f>IF(AND('Ações'!$AB141="SIM", 'Ações'!AT141="SIM"), 1,0)</f>
        <v>1</v>
      </c>
      <c r="C139" s="139">
        <f>IF(AND('Ações'!$AB141="SIM", 'Ações'!AU141="SIM"), 1,0)</f>
        <v>1</v>
      </c>
      <c r="D139" s="139">
        <f>IF(AND('Ações'!$AB141="SIM", 'Ações'!AV141="SIM"), 1,0)</f>
        <v>1</v>
      </c>
      <c r="E139" s="139">
        <f>IF(AND('Ações'!$AB141="SIM", 'Ações'!AW141="SIM"), 1,0)</f>
        <v>1</v>
      </c>
      <c r="F139" s="139">
        <f>IF(AND('Ações'!$AB141="SIM", 'Ações'!AX141="SIM"), 1,0)</f>
        <v>0</v>
      </c>
      <c r="G139" s="139">
        <f>IF(AND('Ações'!$AC141="SIM", 'Ações'!AS141="SIM"), 1,0)</f>
        <v>0</v>
      </c>
      <c r="H139" s="139">
        <f>IF(AND('Ações'!$AC141="SIM", 'Ações'!AT141="SIM"), 1,0)</f>
        <v>0</v>
      </c>
      <c r="I139" s="139">
        <f>IF(AND('Ações'!$AC141="SIM", 'Ações'!AU141="SIM"), 1,0)</f>
        <v>0</v>
      </c>
      <c r="J139" s="139">
        <f>IF(AND('Ações'!$AC141="SIM", 'Ações'!AV141="SIM"), 1,0)</f>
        <v>0</v>
      </c>
      <c r="K139" s="139">
        <f>IF(AND('Ações'!$AC141="SIM", 'Ações'!AW141="SIM"), 1,0)</f>
        <v>0</v>
      </c>
      <c r="L139" s="139">
        <f>IF(AND('Ações'!$AC141="SIM", 'Ações'!AX141="SIM"), 1,0)</f>
        <v>0</v>
      </c>
      <c r="M139" s="139">
        <f>IF(AND('Ações'!$AD141="SIM", 'Ações'!AS141="SIM"), 1,0)</f>
        <v>0</v>
      </c>
      <c r="N139" s="139">
        <f>IF(AND('Ações'!$AD141="SIM", 'Ações'!AT141="SIM"), 1,0)</f>
        <v>0</v>
      </c>
      <c r="O139" s="139">
        <f>IF(AND('Ações'!$AD141="SIM", 'Ações'!AU141="SIM"), 1,0)</f>
        <v>0</v>
      </c>
      <c r="P139" s="139">
        <f>IF(AND('Ações'!$AD141="SIM", 'Ações'!AV141="SIM"), 1,0)</f>
        <v>0</v>
      </c>
      <c r="Q139" s="139">
        <f>IF(AND('Ações'!$AD141="SIM", 'Ações'!AW141="SIM"), 1,0)</f>
        <v>0</v>
      </c>
      <c r="R139" s="139">
        <f>IF(AND('Ações'!$AD141="SIM", 'Ações'!AX141="SIM"), 1,0)</f>
        <v>0</v>
      </c>
    </row>
    <row r="140">
      <c r="A140" s="139">
        <f>IF(AND('Ações'!AB142="SIM", 'Ações'!AS142="SIM"), 1,0)</f>
        <v>1</v>
      </c>
      <c r="B140" s="139">
        <f>IF(AND('Ações'!$AB142="SIM", 'Ações'!AT142="SIM"), 1,0)</f>
        <v>1</v>
      </c>
      <c r="C140" s="139">
        <f>IF(AND('Ações'!$AB142="SIM", 'Ações'!AU142="SIM"), 1,0)</f>
        <v>1</v>
      </c>
      <c r="D140" s="139">
        <f>IF(AND('Ações'!$AB142="SIM", 'Ações'!AV142="SIM"), 1,0)</f>
        <v>1</v>
      </c>
      <c r="E140" s="139">
        <f>IF(AND('Ações'!$AB142="SIM", 'Ações'!AW142="SIM"), 1,0)</f>
        <v>1</v>
      </c>
      <c r="F140" s="139">
        <f>IF(AND('Ações'!$AB142="SIM", 'Ações'!AX142="SIM"), 1,0)</f>
        <v>0</v>
      </c>
      <c r="G140" s="139">
        <f>IF(AND('Ações'!$AC142="SIM", 'Ações'!AS142="SIM"), 1,0)</f>
        <v>0</v>
      </c>
      <c r="H140" s="139">
        <f>IF(AND('Ações'!$AC142="SIM", 'Ações'!AT142="SIM"), 1,0)</f>
        <v>0</v>
      </c>
      <c r="I140" s="139">
        <f>IF(AND('Ações'!$AC142="SIM", 'Ações'!AU142="SIM"), 1,0)</f>
        <v>0</v>
      </c>
      <c r="J140" s="139">
        <f>IF(AND('Ações'!$AC142="SIM", 'Ações'!AV142="SIM"), 1,0)</f>
        <v>0</v>
      </c>
      <c r="K140" s="139">
        <f>IF(AND('Ações'!$AC142="SIM", 'Ações'!AW142="SIM"), 1,0)</f>
        <v>0</v>
      </c>
      <c r="L140" s="139">
        <f>IF(AND('Ações'!$AC142="SIM", 'Ações'!AX142="SIM"), 1,0)</f>
        <v>0</v>
      </c>
      <c r="M140" s="139">
        <f>IF(AND('Ações'!$AD142="SIM", 'Ações'!AS142="SIM"), 1,0)</f>
        <v>0</v>
      </c>
      <c r="N140" s="139">
        <f>IF(AND('Ações'!$AD142="SIM", 'Ações'!AT142="SIM"), 1,0)</f>
        <v>0</v>
      </c>
      <c r="O140" s="139">
        <f>IF(AND('Ações'!$AD142="SIM", 'Ações'!AU142="SIM"), 1,0)</f>
        <v>0</v>
      </c>
      <c r="P140" s="139">
        <f>IF(AND('Ações'!$AD142="SIM", 'Ações'!AV142="SIM"), 1,0)</f>
        <v>0</v>
      </c>
      <c r="Q140" s="139">
        <f>IF(AND('Ações'!$AD142="SIM", 'Ações'!AW142="SIM"), 1,0)</f>
        <v>0</v>
      </c>
      <c r="R140" s="139">
        <f>IF(AND('Ações'!$AD142="SIM", 'Ações'!AX142="SIM"), 1,0)</f>
        <v>0</v>
      </c>
    </row>
    <row r="141">
      <c r="A141" s="139">
        <f>IF(AND('Ações'!AB143="SIM", 'Ações'!AS143="SIM"), 1,0)</f>
        <v>1</v>
      </c>
      <c r="B141" s="139">
        <f>IF(AND('Ações'!$AB143="SIM", 'Ações'!AT143="SIM"), 1,0)</f>
        <v>1</v>
      </c>
      <c r="C141" s="139">
        <f>IF(AND('Ações'!$AB143="SIM", 'Ações'!AU143="SIM"), 1,0)</f>
        <v>1</v>
      </c>
      <c r="D141" s="139">
        <f>IF(AND('Ações'!$AB143="SIM", 'Ações'!AV143="SIM"), 1,0)</f>
        <v>1</v>
      </c>
      <c r="E141" s="139">
        <f>IF(AND('Ações'!$AB143="SIM", 'Ações'!AW143="SIM"), 1,0)</f>
        <v>1</v>
      </c>
      <c r="F141" s="139">
        <f>IF(AND('Ações'!$AB143="SIM", 'Ações'!AX143="SIM"), 1,0)</f>
        <v>0</v>
      </c>
      <c r="G141" s="139">
        <f>IF(AND('Ações'!$AC143="SIM", 'Ações'!AS143="SIM"), 1,0)</f>
        <v>0</v>
      </c>
      <c r="H141" s="139">
        <f>IF(AND('Ações'!$AC143="SIM", 'Ações'!AT143="SIM"), 1,0)</f>
        <v>0</v>
      </c>
      <c r="I141" s="139">
        <f>IF(AND('Ações'!$AC143="SIM", 'Ações'!AU143="SIM"), 1,0)</f>
        <v>0</v>
      </c>
      <c r="J141" s="139">
        <f>IF(AND('Ações'!$AC143="SIM", 'Ações'!AV143="SIM"), 1,0)</f>
        <v>0</v>
      </c>
      <c r="K141" s="139">
        <f>IF(AND('Ações'!$AC143="SIM", 'Ações'!AW143="SIM"), 1,0)</f>
        <v>0</v>
      </c>
      <c r="L141" s="139">
        <f>IF(AND('Ações'!$AC143="SIM", 'Ações'!AX143="SIM"), 1,0)</f>
        <v>0</v>
      </c>
      <c r="M141" s="139">
        <f>IF(AND('Ações'!$AD143="SIM", 'Ações'!AS143="SIM"), 1,0)</f>
        <v>0</v>
      </c>
      <c r="N141" s="139">
        <f>IF(AND('Ações'!$AD143="SIM", 'Ações'!AT143="SIM"), 1,0)</f>
        <v>0</v>
      </c>
      <c r="O141" s="139">
        <f>IF(AND('Ações'!$AD143="SIM", 'Ações'!AU143="SIM"), 1,0)</f>
        <v>0</v>
      </c>
      <c r="P141" s="139">
        <f>IF(AND('Ações'!$AD143="SIM", 'Ações'!AV143="SIM"), 1,0)</f>
        <v>0</v>
      </c>
      <c r="Q141" s="139">
        <f>IF(AND('Ações'!$AD143="SIM", 'Ações'!AW143="SIM"), 1,0)</f>
        <v>0</v>
      </c>
      <c r="R141" s="139">
        <f>IF(AND('Ações'!$AD143="SIM", 'Ações'!AX143="SIM"), 1,0)</f>
        <v>0</v>
      </c>
    </row>
    <row r="142">
      <c r="A142" s="139">
        <f>IF(AND('Ações'!AB144="SIM", 'Ações'!AS144="SIM"), 1,0)</f>
        <v>1</v>
      </c>
      <c r="B142" s="139">
        <f>IF(AND('Ações'!$AB144="SIM", 'Ações'!AT144="SIM"), 1,0)</f>
        <v>1</v>
      </c>
      <c r="C142" s="139">
        <f>IF(AND('Ações'!$AB144="SIM", 'Ações'!AU144="SIM"), 1,0)</f>
        <v>1</v>
      </c>
      <c r="D142" s="139">
        <f>IF(AND('Ações'!$AB144="SIM", 'Ações'!AV144="SIM"), 1,0)</f>
        <v>1</v>
      </c>
      <c r="E142" s="139">
        <f>IF(AND('Ações'!$AB144="SIM", 'Ações'!AW144="SIM"), 1,0)</f>
        <v>1</v>
      </c>
      <c r="F142" s="139">
        <f>IF(AND('Ações'!$AB144="SIM", 'Ações'!AX144="SIM"), 1,0)</f>
        <v>0</v>
      </c>
      <c r="G142" s="139">
        <f>IF(AND('Ações'!$AC144="SIM", 'Ações'!AS144="SIM"), 1,0)</f>
        <v>0</v>
      </c>
      <c r="H142" s="139">
        <f>IF(AND('Ações'!$AC144="SIM", 'Ações'!AT144="SIM"), 1,0)</f>
        <v>0</v>
      </c>
      <c r="I142" s="139">
        <f>IF(AND('Ações'!$AC144="SIM", 'Ações'!AU144="SIM"), 1,0)</f>
        <v>0</v>
      </c>
      <c r="J142" s="139">
        <f>IF(AND('Ações'!$AC144="SIM", 'Ações'!AV144="SIM"), 1,0)</f>
        <v>0</v>
      </c>
      <c r="K142" s="139">
        <f>IF(AND('Ações'!$AC144="SIM", 'Ações'!AW144="SIM"), 1,0)</f>
        <v>0</v>
      </c>
      <c r="L142" s="139">
        <f>IF(AND('Ações'!$AC144="SIM", 'Ações'!AX144="SIM"), 1,0)</f>
        <v>0</v>
      </c>
      <c r="M142" s="139">
        <f>IF(AND('Ações'!$AD144="SIM", 'Ações'!AS144="SIM"), 1,0)</f>
        <v>0</v>
      </c>
      <c r="N142" s="139">
        <f>IF(AND('Ações'!$AD144="SIM", 'Ações'!AT144="SIM"), 1,0)</f>
        <v>0</v>
      </c>
      <c r="O142" s="139">
        <f>IF(AND('Ações'!$AD144="SIM", 'Ações'!AU144="SIM"), 1,0)</f>
        <v>0</v>
      </c>
      <c r="P142" s="139">
        <f>IF(AND('Ações'!$AD144="SIM", 'Ações'!AV144="SIM"), 1,0)</f>
        <v>0</v>
      </c>
      <c r="Q142" s="139">
        <f>IF(AND('Ações'!$AD144="SIM", 'Ações'!AW144="SIM"), 1,0)</f>
        <v>0</v>
      </c>
      <c r="R142" s="139">
        <f>IF(AND('Ações'!$AD144="SIM", 'Ações'!AX144="SIM"), 1,0)</f>
        <v>0</v>
      </c>
    </row>
    <row r="143">
      <c r="A143" s="139">
        <f>IF(AND('Ações'!AB145="SIM", 'Ações'!AS145="SIM"), 1,0)</f>
        <v>1</v>
      </c>
      <c r="B143" s="139">
        <f>IF(AND('Ações'!$AB145="SIM", 'Ações'!AT145="SIM"), 1,0)</f>
        <v>1</v>
      </c>
      <c r="C143" s="139">
        <f>IF(AND('Ações'!$AB145="SIM", 'Ações'!AU145="SIM"), 1,0)</f>
        <v>1</v>
      </c>
      <c r="D143" s="139">
        <f>IF(AND('Ações'!$AB145="SIM", 'Ações'!AV145="SIM"), 1,0)</f>
        <v>1</v>
      </c>
      <c r="E143" s="139">
        <f>IF(AND('Ações'!$AB145="SIM", 'Ações'!AW145="SIM"), 1,0)</f>
        <v>1</v>
      </c>
      <c r="F143" s="139">
        <f>IF(AND('Ações'!$AB145="SIM", 'Ações'!AX145="SIM"), 1,0)</f>
        <v>0</v>
      </c>
      <c r="G143" s="139">
        <f>IF(AND('Ações'!$AC145="SIM", 'Ações'!AS145="SIM"), 1,0)</f>
        <v>0</v>
      </c>
      <c r="H143" s="139">
        <f>IF(AND('Ações'!$AC145="SIM", 'Ações'!AT145="SIM"), 1,0)</f>
        <v>0</v>
      </c>
      <c r="I143" s="139">
        <f>IF(AND('Ações'!$AC145="SIM", 'Ações'!AU145="SIM"), 1,0)</f>
        <v>0</v>
      </c>
      <c r="J143" s="139">
        <f>IF(AND('Ações'!$AC145="SIM", 'Ações'!AV145="SIM"), 1,0)</f>
        <v>0</v>
      </c>
      <c r="K143" s="139">
        <f>IF(AND('Ações'!$AC145="SIM", 'Ações'!AW145="SIM"), 1,0)</f>
        <v>0</v>
      </c>
      <c r="L143" s="139">
        <f>IF(AND('Ações'!$AC145="SIM", 'Ações'!AX145="SIM"), 1,0)</f>
        <v>0</v>
      </c>
      <c r="M143" s="139">
        <f>IF(AND('Ações'!$AD145="SIM", 'Ações'!AS145="SIM"), 1,0)</f>
        <v>0</v>
      </c>
      <c r="N143" s="139">
        <f>IF(AND('Ações'!$AD145="SIM", 'Ações'!AT145="SIM"), 1,0)</f>
        <v>0</v>
      </c>
      <c r="O143" s="139">
        <f>IF(AND('Ações'!$AD145="SIM", 'Ações'!AU145="SIM"), 1,0)</f>
        <v>0</v>
      </c>
      <c r="P143" s="139">
        <f>IF(AND('Ações'!$AD145="SIM", 'Ações'!AV145="SIM"), 1,0)</f>
        <v>0</v>
      </c>
      <c r="Q143" s="139">
        <f>IF(AND('Ações'!$AD145="SIM", 'Ações'!AW145="SIM"), 1,0)</f>
        <v>0</v>
      </c>
      <c r="R143" s="139">
        <f>IF(AND('Ações'!$AD145="SIM", 'Ações'!AX145="SIM"), 1,0)</f>
        <v>0</v>
      </c>
    </row>
    <row r="144">
      <c r="A144" s="139">
        <f>IF(AND('Ações'!AB146="SIM", 'Ações'!AS146="SIM"), 1,0)</f>
        <v>1</v>
      </c>
      <c r="B144" s="139">
        <f>IF(AND('Ações'!$AB146="SIM", 'Ações'!AT146="SIM"), 1,0)</f>
        <v>1</v>
      </c>
      <c r="C144" s="139">
        <f>IF(AND('Ações'!$AB146="SIM", 'Ações'!AU146="SIM"), 1,0)</f>
        <v>1</v>
      </c>
      <c r="D144" s="139">
        <f>IF(AND('Ações'!$AB146="SIM", 'Ações'!AV146="SIM"), 1,0)</f>
        <v>1</v>
      </c>
      <c r="E144" s="139">
        <f>IF(AND('Ações'!$AB146="SIM", 'Ações'!AW146="SIM"), 1,0)</f>
        <v>1</v>
      </c>
      <c r="F144" s="139">
        <f>IF(AND('Ações'!$AB146="SIM", 'Ações'!AX146="SIM"), 1,0)</f>
        <v>0</v>
      </c>
      <c r="G144" s="139">
        <f>IF(AND('Ações'!$AC146="SIM", 'Ações'!AS146="SIM"), 1,0)</f>
        <v>0</v>
      </c>
      <c r="H144" s="139">
        <f>IF(AND('Ações'!$AC146="SIM", 'Ações'!AT146="SIM"), 1,0)</f>
        <v>0</v>
      </c>
      <c r="I144" s="139">
        <f>IF(AND('Ações'!$AC146="SIM", 'Ações'!AU146="SIM"), 1,0)</f>
        <v>0</v>
      </c>
      <c r="J144" s="139">
        <f>IF(AND('Ações'!$AC146="SIM", 'Ações'!AV146="SIM"), 1,0)</f>
        <v>0</v>
      </c>
      <c r="K144" s="139">
        <f>IF(AND('Ações'!$AC146="SIM", 'Ações'!AW146="SIM"), 1,0)</f>
        <v>0</v>
      </c>
      <c r="L144" s="139">
        <f>IF(AND('Ações'!$AC146="SIM", 'Ações'!AX146="SIM"), 1,0)</f>
        <v>0</v>
      </c>
      <c r="M144" s="139">
        <f>IF(AND('Ações'!$AD146="SIM", 'Ações'!AS146="SIM"), 1,0)</f>
        <v>0</v>
      </c>
      <c r="N144" s="139">
        <f>IF(AND('Ações'!$AD146="SIM", 'Ações'!AT146="SIM"), 1,0)</f>
        <v>0</v>
      </c>
      <c r="O144" s="139">
        <f>IF(AND('Ações'!$AD146="SIM", 'Ações'!AU146="SIM"), 1,0)</f>
        <v>0</v>
      </c>
      <c r="P144" s="139">
        <f>IF(AND('Ações'!$AD146="SIM", 'Ações'!AV146="SIM"), 1,0)</f>
        <v>0</v>
      </c>
      <c r="Q144" s="139">
        <f>IF(AND('Ações'!$AD146="SIM", 'Ações'!AW146="SIM"), 1,0)</f>
        <v>0</v>
      </c>
      <c r="R144" s="139">
        <f>IF(AND('Ações'!$AD146="SIM", 'Ações'!AX146="SIM"), 1,0)</f>
        <v>0</v>
      </c>
    </row>
    <row r="145">
      <c r="A145" s="139">
        <f>IF(AND('Ações'!AB147="SIM", 'Ações'!AS147="SIM"), 1,0)</f>
        <v>1</v>
      </c>
      <c r="B145" s="139">
        <f>IF(AND('Ações'!$AB147="SIM", 'Ações'!AT147="SIM"), 1,0)</f>
        <v>1</v>
      </c>
      <c r="C145" s="139">
        <f>IF(AND('Ações'!$AB147="SIM", 'Ações'!AU147="SIM"), 1,0)</f>
        <v>1</v>
      </c>
      <c r="D145" s="139">
        <f>IF(AND('Ações'!$AB147="SIM", 'Ações'!AV147="SIM"), 1,0)</f>
        <v>1</v>
      </c>
      <c r="E145" s="139">
        <f>IF(AND('Ações'!$AB147="SIM", 'Ações'!AW147="SIM"), 1,0)</f>
        <v>1</v>
      </c>
      <c r="F145" s="139">
        <f>IF(AND('Ações'!$AB147="SIM", 'Ações'!AX147="SIM"), 1,0)</f>
        <v>0</v>
      </c>
      <c r="G145" s="139">
        <f>IF(AND('Ações'!$AC147="SIM", 'Ações'!AS147="SIM"), 1,0)</f>
        <v>0</v>
      </c>
      <c r="H145" s="139">
        <f>IF(AND('Ações'!$AC147="SIM", 'Ações'!AT147="SIM"), 1,0)</f>
        <v>0</v>
      </c>
      <c r="I145" s="139">
        <f>IF(AND('Ações'!$AC147="SIM", 'Ações'!AU147="SIM"), 1,0)</f>
        <v>0</v>
      </c>
      <c r="J145" s="139">
        <f>IF(AND('Ações'!$AC147="SIM", 'Ações'!AV147="SIM"), 1,0)</f>
        <v>0</v>
      </c>
      <c r="K145" s="139">
        <f>IF(AND('Ações'!$AC147="SIM", 'Ações'!AW147="SIM"), 1,0)</f>
        <v>0</v>
      </c>
      <c r="L145" s="139">
        <f>IF(AND('Ações'!$AC147="SIM", 'Ações'!AX147="SIM"), 1,0)</f>
        <v>0</v>
      </c>
      <c r="M145" s="139">
        <f>IF(AND('Ações'!$AD147="SIM", 'Ações'!AS147="SIM"), 1,0)</f>
        <v>0</v>
      </c>
      <c r="N145" s="139">
        <f>IF(AND('Ações'!$AD147="SIM", 'Ações'!AT147="SIM"), 1,0)</f>
        <v>0</v>
      </c>
      <c r="O145" s="139">
        <f>IF(AND('Ações'!$AD147="SIM", 'Ações'!AU147="SIM"), 1,0)</f>
        <v>0</v>
      </c>
      <c r="P145" s="139">
        <f>IF(AND('Ações'!$AD147="SIM", 'Ações'!AV147="SIM"), 1,0)</f>
        <v>0</v>
      </c>
      <c r="Q145" s="139">
        <f>IF(AND('Ações'!$AD147="SIM", 'Ações'!AW147="SIM"), 1,0)</f>
        <v>0</v>
      </c>
      <c r="R145" s="139">
        <f>IF(AND('Ações'!$AD147="SIM", 'Ações'!AX147="SIM"), 1,0)</f>
        <v>0</v>
      </c>
    </row>
    <row r="146">
      <c r="A146" s="139">
        <f>IF(AND('Ações'!AB148="SIM", 'Ações'!AS148="SIM"), 1,0)</f>
        <v>1</v>
      </c>
      <c r="B146" s="139">
        <f>IF(AND('Ações'!$AB148="SIM", 'Ações'!AT148="SIM"), 1,0)</f>
        <v>1</v>
      </c>
      <c r="C146" s="139">
        <f>IF(AND('Ações'!$AB148="SIM", 'Ações'!AU148="SIM"), 1,0)</f>
        <v>1</v>
      </c>
      <c r="D146" s="139">
        <f>IF(AND('Ações'!$AB148="SIM", 'Ações'!AV148="SIM"), 1,0)</f>
        <v>1</v>
      </c>
      <c r="E146" s="139">
        <f>IF(AND('Ações'!$AB148="SIM", 'Ações'!AW148="SIM"), 1,0)</f>
        <v>1</v>
      </c>
      <c r="F146" s="139">
        <f>IF(AND('Ações'!$AB148="SIM", 'Ações'!AX148="SIM"), 1,0)</f>
        <v>0</v>
      </c>
      <c r="G146" s="139">
        <f>IF(AND('Ações'!$AC148="SIM", 'Ações'!AS148="SIM"), 1,0)</f>
        <v>1</v>
      </c>
      <c r="H146" s="139">
        <f>IF(AND('Ações'!$AC148="SIM", 'Ações'!AT148="SIM"), 1,0)</f>
        <v>1</v>
      </c>
      <c r="I146" s="139">
        <f>IF(AND('Ações'!$AC148="SIM", 'Ações'!AU148="SIM"), 1,0)</f>
        <v>1</v>
      </c>
      <c r="J146" s="139">
        <f>IF(AND('Ações'!$AC148="SIM", 'Ações'!AV148="SIM"), 1,0)</f>
        <v>1</v>
      </c>
      <c r="K146" s="139">
        <f>IF(AND('Ações'!$AC148="SIM", 'Ações'!AW148="SIM"), 1,0)</f>
        <v>1</v>
      </c>
      <c r="L146" s="139">
        <f>IF(AND('Ações'!$AC148="SIM", 'Ações'!AX148="SIM"), 1,0)</f>
        <v>0</v>
      </c>
      <c r="M146" s="139">
        <f>IF(AND('Ações'!$AD148="SIM", 'Ações'!AS148="SIM"), 1,0)</f>
        <v>0</v>
      </c>
      <c r="N146" s="139">
        <f>IF(AND('Ações'!$AD148="SIM", 'Ações'!AT148="SIM"), 1,0)</f>
        <v>0</v>
      </c>
      <c r="O146" s="139">
        <f>IF(AND('Ações'!$AD148="SIM", 'Ações'!AU148="SIM"), 1,0)</f>
        <v>0</v>
      </c>
      <c r="P146" s="139">
        <f>IF(AND('Ações'!$AD148="SIM", 'Ações'!AV148="SIM"), 1,0)</f>
        <v>0</v>
      </c>
      <c r="Q146" s="139">
        <f>IF(AND('Ações'!$AD148="SIM", 'Ações'!AW148="SIM"), 1,0)</f>
        <v>0</v>
      </c>
      <c r="R146" s="139">
        <f>IF(AND('Ações'!$AD148="SIM", 'Ações'!AX148="SIM"), 1,0)</f>
        <v>0</v>
      </c>
    </row>
    <row r="147">
      <c r="A147" s="139">
        <f>IF(AND('Ações'!AB149="SIM", 'Ações'!AS149="SIM"), 1,0)</f>
        <v>1</v>
      </c>
      <c r="B147" s="139">
        <f>IF(AND('Ações'!$AB149="SIM", 'Ações'!AT149="SIM"), 1,0)</f>
        <v>1</v>
      </c>
      <c r="C147" s="139">
        <f>IF(AND('Ações'!$AB149="SIM", 'Ações'!AU149="SIM"), 1,0)</f>
        <v>1</v>
      </c>
      <c r="D147" s="139">
        <f>IF(AND('Ações'!$AB149="SIM", 'Ações'!AV149="SIM"), 1,0)</f>
        <v>1</v>
      </c>
      <c r="E147" s="139">
        <f>IF(AND('Ações'!$AB149="SIM", 'Ações'!AW149="SIM"), 1,0)</f>
        <v>1</v>
      </c>
      <c r="F147" s="139">
        <f>IF(AND('Ações'!$AB149="SIM", 'Ações'!AX149="SIM"), 1,0)</f>
        <v>0</v>
      </c>
      <c r="G147" s="139">
        <f>IF(AND('Ações'!$AC149="SIM", 'Ações'!AS149="SIM"), 1,0)</f>
        <v>0</v>
      </c>
      <c r="H147" s="139">
        <f>IF(AND('Ações'!$AC149="SIM", 'Ações'!AT149="SIM"), 1,0)</f>
        <v>0</v>
      </c>
      <c r="I147" s="139">
        <f>IF(AND('Ações'!$AC149="SIM", 'Ações'!AU149="SIM"), 1,0)</f>
        <v>0</v>
      </c>
      <c r="J147" s="139">
        <f>IF(AND('Ações'!$AC149="SIM", 'Ações'!AV149="SIM"), 1,0)</f>
        <v>0</v>
      </c>
      <c r="K147" s="139">
        <f>IF(AND('Ações'!$AC149="SIM", 'Ações'!AW149="SIM"), 1,0)</f>
        <v>0</v>
      </c>
      <c r="L147" s="139">
        <f>IF(AND('Ações'!$AC149="SIM", 'Ações'!AX149="SIM"), 1,0)</f>
        <v>0</v>
      </c>
      <c r="M147" s="139">
        <f>IF(AND('Ações'!$AD149="SIM", 'Ações'!AS149="SIM"), 1,0)</f>
        <v>0</v>
      </c>
      <c r="N147" s="139">
        <f>IF(AND('Ações'!$AD149="SIM", 'Ações'!AT149="SIM"), 1,0)</f>
        <v>0</v>
      </c>
      <c r="O147" s="139">
        <f>IF(AND('Ações'!$AD149="SIM", 'Ações'!AU149="SIM"), 1,0)</f>
        <v>0</v>
      </c>
      <c r="P147" s="139">
        <f>IF(AND('Ações'!$AD149="SIM", 'Ações'!AV149="SIM"), 1,0)</f>
        <v>0</v>
      </c>
      <c r="Q147" s="139">
        <f>IF(AND('Ações'!$AD149="SIM", 'Ações'!AW149="SIM"), 1,0)</f>
        <v>0</v>
      </c>
      <c r="R147" s="139">
        <f>IF(AND('Ações'!$AD149="SIM", 'Ações'!AX149="SIM"), 1,0)</f>
        <v>0</v>
      </c>
    </row>
    <row r="148">
      <c r="A148" s="139">
        <f>IF(AND('Ações'!AB150="SIM", 'Ações'!AS150="SIM"), 1,0)</f>
        <v>0</v>
      </c>
      <c r="B148" s="139">
        <f>IF(AND('Ações'!$AB150="SIM", 'Ações'!AT150="SIM"), 1,0)</f>
        <v>0</v>
      </c>
      <c r="C148" s="139">
        <f>IF(AND('Ações'!$AB150="SIM", 'Ações'!AU150="SIM"), 1,0)</f>
        <v>0</v>
      </c>
      <c r="D148" s="139">
        <f>IF(AND('Ações'!$AB150="SIM", 'Ações'!AV150="SIM"), 1,0)</f>
        <v>0</v>
      </c>
      <c r="E148" s="139">
        <f>IF(AND('Ações'!$AB150="SIM", 'Ações'!AW150="SIM"), 1,0)</f>
        <v>0</v>
      </c>
      <c r="F148" s="139">
        <f>IF(AND('Ações'!$AB150="SIM", 'Ações'!AX150="SIM"), 1,0)</f>
        <v>0</v>
      </c>
      <c r="G148" s="139">
        <f>IF(AND('Ações'!$AC150="SIM", 'Ações'!AS150="SIM"), 1,0)</f>
        <v>1</v>
      </c>
      <c r="H148" s="139">
        <f>IF(AND('Ações'!$AC150="SIM", 'Ações'!AT150="SIM"), 1,0)</f>
        <v>1</v>
      </c>
      <c r="I148" s="139">
        <f>IF(AND('Ações'!$AC150="SIM", 'Ações'!AU150="SIM"), 1,0)</f>
        <v>1</v>
      </c>
      <c r="J148" s="139">
        <f>IF(AND('Ações'!$AC150="SIM", 'Ações'!AV150="SIM"), 1,0)</f>
        <v>1</v>
      </c>
      <c r="K148" s="139">
        <f>IF(AND('Ações'!$AC150="SIM", 'Ações'!AW150="SIM"), 1,0)</f>
        <v>1</v>
      </c>
      <c r="L148" s="139">
        <f>IF(AND('Ações'!$AC150="SIM", 'Ações'!AX150="SIM"), 1,0)</f>
        <v>0</v>
      </c>
      <c r="M148" s="139">
        <f>IF(AND('Ações'!$AD150="SIM", 'Ações'!AS150="SIM"), 1,0)</f>
        <v>1</v>
      </c>
      <c r="N148" s="139">
        <f>IF(AND('Ações'!$AD150="SIM", 'Ações'!AT150="SIM"), 1,0)</f>
        <v>1</v>
      </c>
      <c r="O148" s="139">
        <f>IF(AND('Ações'!$AD150="SIM", 'Ações'!AU150="SIM"), 1,0)</f>
        <v>1</v>
      </c>
      <c r="P148" s="139">
        <f>IF(AND('Ações'!$AD150="SIM", 'Ações'!AV150="SIM"), 1,0)</f>
        <v>1</v>
      </c>
      <c r="Q148" s="139">
        <f>IF(AND('Ações'!$AD150="SIM", 'Ações'!AW150="SIM"), 1,0)</f>
        <v>1</v>
      </c>
      <c r="R148" s="139">
        <f>IF(AND('Ações'!$AD150="SIM", 'Ações'!AX150="SIM"), 1,0)</f>
        <v>0</v>
      </c>
    </row>
    <row r="149">
      <c r="A149" s="139">
        <f>IF(AND('Ações'!AB151="SIM", 'Ações'!AS151="SIM"), 1,0)</f>
        <v>1</v>
      </c>
      <c r="B149" s="139">
        <f>IF(AND('Ações'!$AB151="SIM", 'Ações'!AT151="SIM"), 1,0)</f>
        <v>1</v>
      </c>
      <c r="C149" s="139">
        <f>IF(AND('Ações'!$AB151="SIM", 'Ações'!AU151="SIM"), 1,0)</f>
        <v>1</v>
      </c>
      <c r="D149" s="139">
        <f>IF(AND('Ações'!$AB151="SIM", 'Ações'!AV151="SIM"), 1,0)</f>
        <v>1</v>
      </c>
      <c r="E149" s="139">
        <f>IF(AND('Ações'!$AB151="SIM", 'Ações'!AW151="SIM"), 1,0)</f>
        <v>1</v>
      </c>
      <c r="F149" s="139">
        <f>IF(AND('Ações'!$AB151="SIM", 'Ações'!AX151="SIM"), 1,0)</f>
        <v>0</v>
      </c>
      <c r="G149" s="139">
        <f>IF(AND('Ações'!$AC151="SIM", 'Ações'!AS151="SIM"), 1,0)</f>
        <v>0</v>
      </c>
      <c r="H149" s="139">
        <f>IF(AND('Ações'!$AC151="SIM", 'Ações'!AT151="SIM"), 1,0)</f>
        <v>0</v>
      </c>
      <c r="I149" s="139">
        <f>IF(AND('Ações'!$AC151="SIM", 'Ações'!AU151="SIM"), 1,0)</f>
        <v>0</v>
      </c>
      <c r="J149" s="139">
        <f>IF(AND('Ações'!$AC151="SIM", 'Ações'!AV151="SIM"), 1,0)</f>
        <v>0</v>
      </c>
      <c r="K149" s="139">
        <f>IF(AND('Ações'!$AC151="SIM", 'Ações'!AW151="SIM"), 1,0)</f>
        <v>0</v>
      </c>
      <c r="L149" s="139">
        <f>IF(AND('Ações'!$AC151="SIM", 'Ações'!AX151="SIM"), 1,0)</f>
        <v>0</v>
      </c>
      <c r="M149" s="139">
        <f>IF(AND('Ações'!$AD151="SIM", 'Ações'!AS151="SIM"), 1,0)</f>
        <v>0</v>
      </c>
      <c r="N149" s="139">
        <f>IF(AND('Ações'!$AD151="SIM", 'Ações'!AT151="SIM"), 1,0)</f>
        <v>0</v>
      </c>
      <c r="O149" s="139">
        <f>IF(AND('Ações'!$AD151="SIM", 'Ações'!AU151="SIM"), 1,0)</f>
        <v>0</v>
      </c>
      <c r="P149" s="139">
        <f>IF(AND('Ações'!$AD151="SIM", 'Ações'!AV151="SIM"), 1,0)</f>
        <v>0</v>
      </c>
      <c r="Q149" s="139">
        <f>IF(AND('Ações'!$AD151="SIM", 'Ações'!AW151="SIM"), 1,0)</f>
        <v>0</v>
      </c>
      <c r="R149" s="139">
        <f>IF(AND('Ações'!$AD151="SIM", 'Ações'!AX151="SIM"), 1,0)</f>
        <v>0</v>
      </c>
    </row>
    <row r="150">
      <c r="A150" s="139">
        <f>IF(AND('Ações'!AB152="SIM", 'Ações'!AS152="SIM"), 1,0)</f>
        <v>1</v>
      </c>
      <c r="B150" s="139">
        <f>IF(AND('Ações'!$AB152="SIM", 'Ações'!AT152="SIM"), 1,0)</f>
        <v>1</v>
      </c>
      <c r="C150" s="139">
        <f>IF(AND('Ações'!$AB152="SIM", 'Ações'!AU152="SIM"), 1,0)</f>
        <v>1</v>
      </c>
      <c r="D150" s="139">
        <f>IF(AND('Ações'!$AB152="SIM", 'Ações'!AV152="SIM"), 1,0)</f>
        <v>1</v>
      </c>
      <c r="E150" s="139">
        <f>IF(AND('Ações'!$AB152="SIM", 'Ações'!AW152="SIM"), 1,0)</f>
        <v>1</v>
      </c>
      <c r="F150" s="139">
        <f>IF(AND('Ações'!$AB152="SIM", 'Ações'!AX152="SIM"), 1,0)</f>
        <v>0</v>
      </c>
      <c r="G150" s="139">
        <f>IF(AND('Ações'!$AC152="SIM", 'Ações'!AS152="SIM"), 1,0)</f>
        <v>0</v>
      </c>
      <c r="H150" s="139">
        <f>IF(AND('Ações'!$AC152="SIM", 'Ações'!AT152="SIM"), 1,0)</f>
        <v>0</v>
      </c>
      <c r="I150" s="139">
        <f>IF(AND('Ações'!$AC152="SIM", 'Ações'!AU152="SIM"), 1,0)</f>
        <v>0</v>
      </c>
      <c r="J150" s="139">
        <f>IF(AND('Ações'!$AC152="SIM", 'Ações'!AV152="SIM"), 1,0)</f>
        <v>0</v>
      </c>
      <c r="K150" s="139">
        <f>IF(AND('Ações'!$AC152="SIM", 'Ações'!AW152="SIM"), 1,0)</f>
        <v>0</v>
      </c>
      <c r="L150" s="139">
        <f>IF(AND('Ações'!$AC152="SIM", 'Ações'!AX152="SIM"), 1,0)</f>
        <v>0</v>
      </c>
      <c r="M150" s="139">
        <f>IF(AND('Ações'!$AD152="SIM", 'Ações'!AS152="SIM"), 1,0)</f>
        <v>0</v>
      </c>
      <c r="N150" s="139">
        <f>IF(AND('Ações'!$AD152="SIM", 'Ações'!AT152="SIM"), 1,0)</f>
        <v>0</v>
      </c>
      <c r="O150" s="139">
        <f>IF(AND('Ações'!$AD152="SIM", 'Ações'!AU152="SIM"), 1,0)</f>
        <v>0</v>
      </c>
      <c r="P150" s="139">
        <f>IF(AND('Ações'!$AD152="SIM", 'Ações'!AV152="SIM"), 1,0)</f>
        <v>0</v>
      </c>
      <c r="Q150" s="139">
        <f>IF(AND('Ações'!$AD152="SIM", 'Ações'!AW152="SIM"), 1,0)</f>
        <v>0</v>
      </c>
      <c r="R150" s="139">
        <f>IF(AND('Ações'!$AD152="SIM", 'Ações'!AX152="SIM"), 1,0)</f>
        <v>0</v>
      </c>
    </row>
    <row r="151">
      <c r="A151" s="139">
        <f>IF(AND('Ações'!AB153="SIM", 'Ações'!AS153="SIM"), 1,0)</f>
        <v>1</v>
      </c>
      <c r="B151" s="139">
        <f>IF(AND('Ações'!$AB153="SIM", 'Ações'!AT153="SIM"), 1,0)</f>
        <v>1</v>
      </c>
      <c r="C151" s="139">
        <f>IF(AND('Ações'!$AB153="SIM", 'Ações'!AU153="SIM"), 1,0)</f>
        <v>1</v>
      </c>
      <c r="D151" s="139">
        <f>IF(AND('Ações'!$AB153="SIM", 'Ações'!AV153="SIM"), 1,0)</f>
        <v>1</v>
      </c>
      <c r="E151" s="139">
        <f>IF(AND('Ações'!$AB153="SIM", 'Ações'!AW153="SIM"), 1,0)</f>
        <v>1</v>
      </c>
      <c r="F151" s="139">
        <f>IF(AND('Ações'!$AB153="SIM", 'Ações'!AX153="SIM"), 1,0)</f>
        <v>0</v>
      </c>
      <c r="G151" s="139">
        <f>IF(AND('Ações'!$AC153="SIM", 'Ações'!AS153="SIM"), 1,0)</f>
        <v>1</v>
      </c>
      <c r="H151" s="139">
        <f>IF(AND('Ações'!$AC153="SIM", 'Ações'!AT153="SIM"), 1,0)</f>
        <v>1</v>
      </c>
      <c r="I151" s="139">
        <f>IF(AND('Ações'!$AC153="SIM", 'Ações'!AU153="SIM"), 1,0)</f>
        <v>1</v>
      </c>
      <c r="J151" s="139">
        <f>IF(AND('Ações'!$AC153="SIM", 'Ações'!AV153="SIM"), 1,0)</f>
        <v>1</v>
      </c>
      <c r="K151" s="139">
        <f>IF(AND('Ações'!$AC153="SIM", 'Ações'!AW153="SIM"), 1,0)</f>
        <v>1</v>
      </c>
      <c r="L151" s="139">
        <f>IF(AND('Ações'!$AC153="SIM", 'Ações'!AX153="SIM"), 1,0)</f>
        <v>0</v>
      </c>
      <c r="M151" s="139">
        <f>IF(AND('Ações'!$AD153="SIM", 'Ações'!AS153="SIM"), 1,0)</f>
        <v>0</v>
      </c>
      <c r="N151" s="139">
        <f>IF(AND('Ações'!$AD153="SIM", 'Ações'!AT153="SIM"), 1,0)</f>
        <v>0</v>
      </c>
      <c r="O151" s="139">
        <f>IF(AND('Ações'!$AD153="SIM", 'Ações'!AU153="SIM"), 1,0)</f>
        <v>0</v>
      </c>
      <c r="P151" s="139">
        <f>IF(AND('Ações'!$AD153="SIM", 'Ações'!AV153="SIM"), 1,0)</f>
        <v>0</v>
      </c>
      <c r="Q151" s="139">
        <f>IF(AND('Ações'!$AD153="SIM", 'Ações'!AW153="SIM"), 1,0)</f>
        <v>0</v>
      </c>
      <c r="R151" s="139">
        <f>IF(AND('Ações'!$AD153="SIM", 'Ações'!AX153="SIM"), 1,0)</f>
        <v>0</v>
      </c>
    </row>
    <row r="152">
      <c r="A152" s="139">
        <f>IF(AND('Ações'!AB154="SIM", 'Ações'!AS154="SIM"), 1,0)</f>
        <v>1</v>
      </c>
      <c r="B152" s="139">
        <f>IF(AND('Ações'!$AB154="SIM", 'Ações'!AT154="SIM"), 1,0)</f>
        <v>1</v>
      </c>
      <c r="C152" s="139">
        <f>IF(AND('Ações'!$AB154="SIM", 'Ações'!AU154="SIM"), 1,0)</f>
        <v>1</v>
      </c>
      <c r="D152" s="139">
        <f>IF(AND('Ações'!$AB154="SIM", 'Ações'!AV154="SIM"), 1,0)</f>
        <v>1</v>
      </c>
      <c r="E152" s="139">
        <f>IF(AND('Ações'!$AB154="SIM", 'Ações'!AW154="SIM"), 1,0)</f>
        <v>1</v>
      </c>
      <c r="F152" s="139">
        <f>IF(AND('Ações'!$AB154="SIM", 'Ações'!AX154="SIM"), 1,0)</f>
        <v>0</v>
      </c>
      <c r="G152" s="139">
        <f>IF(AND('Ações'!$AC154="SIM", 'Ações'!AS154="SIM"), 1,0)</f>
        <v>0</v>
      </c>
      <c r="H152" s="139">
        <f>IF(AND('Ações'!$AC154="SIM", 'Ações'!AT154="SIM"), 1,0)</f>
        <v>0</v>
      </c>
      <c r="I152" s="139">
        <f>IF(AND('Ações'!$AC154="SIM", 'Ações'!AU154="SIM"), 1,0)</f>
        <v>0</v>
      </c>
      <c r="J152" s="139">
        <f>IF(AND('Ações'!$AC154="SIM", 'Ações'!AV154="SIM"), 1,0)</f>
        <v>0</v>
      </c>
      <c r="K152" s="139">
        <f>IF(AND('Ações'!$AC154="SIM", 'Ações'!AW154="SIM"), 1,0)</f>
        <v>0</v>
      </c>
      <c r="L152" s="139">
        <f>IF(AND('Ações'!$AC154="SIM", 'Ações'!AX154="SIM"), 1,0)</f>
        <v>0</v>
      </c>
      <c r="M152" s="139">
        <f>IF(AND('Ações'!$AD154="SIM", 'Ações'!AS154="SIM"), 1,0)</f>
        <v>0</v>
      </c>
      <c r="N152" s="139">
        <f>IF(AND('Ações'!$AD154="SIM", 'Ações'!AT154="SIM"), 1,0)</f>
        <v>0</v>
      </c>
      <c r="O152" s="139">
        <f>IF(AND('Ações'!$AD154="SIM", 'Ações'!AU154="SIM"), 1,0)</f>
        <v>0</v>
      </c>
      <c r="P152" s="139">
        <f>IF(AND('Ações'!$AD154="SIM", 'Ações'!AV154="SIM"), 1,0)</f>
        <v>0</v>
      </c>
      <c r="Q152" s="139">
        <f>IF(AND('Ações'!$AD154="SIM", 'Ações'!AW154="SIM"), 1,0)</f>
        <v>0</v>
      </c>
      <c r="R152" s="139">
        <f>IF(AND('Ações'!$AD154="SIM", 'Ações'!AX154="SIM"), 1,0)</f>
        <v>0</v>
      </c>
    </row>
    <row r="153">
      <c r="A153" s="139">
        <f>IF(AND('Ações'!AB155="SIM", 'Ações'!AS155="SIM"), 1,0)</f>
        <v>0</v>
      </c>
      <c r="B153" s="139">
        <f>IF(AND('Ações'!$AB155="SIM", 'Ações'!AT155="SIM"), 1,0)</f>
        <v>0</v>
      </c>
      <c r="C153" s="139">
        <f>IF(AND('Ações'!$AB155="SIM", 'Ações'!AU155="SIM"), 1,0)</f>
        <v>0</v>
      </c>
      <c r="D153" s="139">
        <f>IF(AND('Ações'!$AB155="SIM", 'Ações'!AV155="SIM"), 1,0)</f>
        <v>0</v>
      </c>
      <c r="E153" s="139">
        <f>IF(AND('Ações'!$AB155="SIM", 'Ações'!AW155="SIM"), 1,0)</f>
        <v>0</v>
      </c>
      <c r="F153" s="139">
        <f>IF(AND('Ações'!$AB155="SIM", 'Ações'!AX155="SIM"), 1,0)</f>
        <v>0</v>
      </c>
      <c r="G153" s="139">
        <f>IF(AND('Ações'!$AC155="SIM", 'Ações'!AS155="SIM"), 1,0)</f>
        <v>1</v>
      </c>
      <c r="H153" s="139">
        <f>IF(AND('Ações'!$AC155="SIM", 'Ações'!AT155="SIM"), 1,0)</f>
        <v>1</v>
      </c>
      <c r="I153" s="139">
        <f>IF(AND('Ações'!$AC155="SIM", 'Ações'!AU155="SIM"), 1,0)</f>
        <v>1</v>
      </c>
      <c r="J153" s="139">
        <f>IF(AND('Ações'!$AC155="SIM", 'Ações'!AV155="SIM"), 1,0)</f>
        <v>1</v>
      </c>
      <c r="K153" s="139">
        <f>IF(AND('Ações'!$AC155="SIM", 'Ações'!AW155="SIM"), 1,0)</f>
        <v>1</v>
      </c>
      <c r="L153" s="139">
        <f>IF(AND('Ações'!$AC155="SIM", 'Ações'!AX155="SIM"), 1,0)</f>
        <v>0</v>
      </c>
      <c r="M153" s="139">
        <f>IF(AND('Ações'!$AD155="SIM", 'Ações'!AS155="SIM"), 1,0)</f>
        <v>0</v>
      </c>
      <c r="N153" s="139">
        <f>IF(AND('Ações'!$AD155="SIM", 'Ações'!AT155="SIM"), 1,0)</f>
        <v>0</v>
      </c>
      <c r="O153" s="139">
        <f>IF(AND('Ações'!$AD155="SIM", 'Ações'!AU155="SIM"), 1,0)</f>
        <v>0</v>
      </c>
      <c r="P153" s="139">
        <f>IF(AND('Ações'!$AD155="SIM", 'Ações'!AV155="SIM"), 1,0)</f>
        <v>0</v>
      </c>
      <c r="Q153" s="139">
        <f>IF(AND('Ações'!$AD155="SIM", 'Ações'!AW155="SIM"), 1,0)</f>
        <v>0</v>
      </c>
      <c r="R153" s="139">
        <f>IF(AND('Ações'!$AD155="SIM", 'Ações'!AX155="SIM"), 1,0)</f>
        <v>0</v>
      </c>
    </row>
    <row r="154">
      <c r="A154" s="139">
        <f>IF(AND('Ações'!AB156="SIM", 'Ações'!AS156="SIM"), 1,0)</f>
        <v>1</v>
      </c>
      <c r="B154" s="139">
        <f>IF(AND('Ações'!$AB156="SIM", 'Ações'!AT156="SIM"), 1,0)</f>
        <v>1</v>
      </c>
      <c r="C154" s="139">
        <f>IF(AND('Ações'!$AB156="SIM", 'Ações'!AU156="SIM"), 1,0)</f>
        <v>1</v>
      </c>
      <c r="D154" s="139">
        <f>IF(AND('Ações'!$AB156="SIM", 'Ações'!AV156="SIM"), 1,0)</f>
        <v>1</v>
      </c>
      <c r="E154" s="139">
        <f>IF(AND('Ações'!$AB156="SIM", 'Ações'!AW156="SIM"), 1,0)</f>
        <v>1</v>
      </c>
      <c r="F154" s="139">
        <f>IF(AND('Ações'!$AB156="SIM", 'Ações'!AX156="SIM"), 1,0)</f>
        <v>0</v>
      </c>
      <c r="G154" s="139">
        <f>IF(AND('Ações'!$AC156="SIM", 'Ações'!AS156="SIM"), 1,0)</f>
        <v>1</v>
      </c>
      <c r="H154" s="139">
        <f>IF(AND('Ações'!$AC156="SIM", 'Ações'!AT156="SIM"), 1,0)</f>
        <v>1</v>
      </c>
      <c r="I154" s="139">
        <f>IF(AND('Ações'!$AC156="SIM", 'Ações'!AU156="SIM"), 1,0)</f>
        <v>1</v>
      </c>
      <c r="J154" s="139">
        <f>IF(AND('Ações'!$AC156="SIM", 'Ações'!AV156="SIM"), 1,0)</f>
        <v>1</v>
      </c>
      <c r="K154" s="139">
        <f>IF(AND('Ações'!$AC156="SIM", 'Ações'!AW156="SIM"), 1,0)</f>
        <v>1</v>
      </c>
      <c r="L154" s="139">
        <f>IF(AND('Ações'!$AC156="SIM", 'Ações'!AX156="SIM"), 1,0)</f>
        <v>0</v>
      </c>
      <c r="M154" s="139">
        <f>IF(AND('Ações'!$AD156="SIM", 'Ações'!AS156="SIM"), 1,0)</f>
        <v>0</v>
      </c>
      <c r="N154" s="139">
        <f>IF(AND('Ações'!$AD156="SIM", 'Ações'!AT156="SIM"), 1,0)</f>
        <v>0</v>
      </c>
      <c r="O154" s="139">
        <f>IF(AND('Ações'!$AD156="SIM", 'Ações'!AU156="SIM"), 1,0)</f>
        <v>0</v>
      </c>
      <c r="P154" s="139">
        <f>IF(AND('Ações'!$AD156="SIM", 'Ações'!AV156="SIM"), 1,0)</f>
        <v>0</v>
      </c>
      <c r="Q154" s="139">
        <f>IF(AND('Ações'!$AD156="SIM", 'Ações'!AW156="SIM"), 1,0)</f>
        <v>0</v>
      </c>
      <c r="R154" s="139">
        <f>IF(AND('Ações'!$AD156="SIM", 'Ações'!AX156="SIM"), 1,0)</f>
        <v>0</v>
      </c>
    </row>
    <row r="155">
      <c r="A155" s="139">
        <f>IF(AND('Ações'!AB157="SIM", 'Ações'!AS157="SIM"), 1,0)</f>
        <v>1</v>
      </c>
      <c r="B155" s="139">
        <f>IF(AND('Ações'!$AB157="SIM", 'Ações'!AT157="SIM"), 1,0)</f>
        <v>1</v>
      </c>
      <c r="C155" s="139">
        <f>IF(AND('Ações'!$AB157="SIM", 'Ações'!AU157="SIM"), 1,0)</f>
        <v>1</v>
      </c>
      <c r="D155" s="139">
        <f>IF(AND('Ações'!$AB157="SIM", 'Ações'!AV157="SIM"), 1,0)</f>
        <v>1</v>
      </c>
      <c r="E155" s="139">
        <f>IF(AND('Ações'!$AB157="SIM", 'Ações'!AW157="SIM"), 1,0)</f>
        <v>1</v>
      </c>
      <c r="F155" s="139">
        <f>IF(AND('Ações'!$AB157="SIM", 'Ações'!AX157="SIM"), 1,0)</f>
        <v>0</v>
      </c>
      <c r="G155" s="139">
        <f>IF(AND('Ações'!$AC157="SIM", 'Ações'!AS157="SIM"), 1,0)</f>
        <v>1</v>
      </c>
      <c r="H155" s="139">
        <f>IF(AND('Ações'!$AC157="SIM", 'Ações'!AT157="SIM"), 1,0)</f>
        <v>1</v>
      </c>
      <c r="I155" s="139">
        <f>IF(AND('Ações'!$AC157="SIM", 'Ações'!AU157="SIM"), 1,0)</f>
        <v>1</v>
      </c>
      <c r="J155" s="139">
        <f>IF(AND('Ações'!$AC157="SIM", 'Ações'!AV157="SIM"), 1,0)</f>
        <v>1</v>
      </c>
      <c r="K155" s="139">
        <f>IF(AND('Ações'!$AC157="SIM", 'Ações'!AW157="SIM"), 1,0)</f>
        <v>1</v>
      </c>
      <c r="L155" s="139">
        <f>IF(AND('Ações'!$AC157="SIM", 'Ações'!AX157="SIM"), 1,0)</f>
        <v>0</v>
      </c>
      <c r="M155" s="139">
        <f>IF(AND('Ações'!$AD157="SIM", 'Ações'!AS157="SIM"), 1,0)</f>
        <v>0</v>
      </c>
      <c r="N155" s="139">
        <f>IF(AND('Ações'!$AD157="SIM", 'Ações'!AT157="SIM"), 1,0)</f>
        <v>0</v>
      </c>
      <c r="O155" s="139">
        <f>IF(AND('Ações'!$AD157="SIM", 'Ações'!AU157="SIM"), 1,0)</f>
        <v>0</v>
      </c>
      <c r="P155" s="139">
        <f>IF(AND('Ações'!$AD157="SIM", 'Ações'!AV157="SIM"), 1,0)</f>
        <v>0</v>
      </c>
      <c r="Q155" s="139">
        <f>IF(AND('Ações'!$AD157="SIM", 'Ações'!AW157="SIM"), 1,0)</f>
        <v>0</v>
      </c>
      <c r="R155" s="139">
        <f>IF(AND('Ações'!$AD157="SIM", 'Ações'!AX157="SIM"), 1,0)</f>
        <v>0</v>
      </c>
    </row>
    <row r="156">
      <c r="A156" s="139">
        <f>IF(AND('Ações'!AB158="SIM", 'Ações'!AS158="SIM"), 1,0)</f>
        <v>1</v>
      </c>
      <c r="B156" s="139">
        <f>IF(AND('Ações'!$AB158="SIM", 'Ações'!AT158="SIM"), 1,0)</f>
        <v>1</v>
      </c>
      <c r="C156" s="139">
        <f>IF(AND('Ações'!$AB158="SIM", 'Ações'!AU158="SIM"), 1,0)</f>
        <v>1</v>
      </c>
      <c r="D156" s="139">
        <f>IF(AND('Ações'!$AB158="SIM", 'Ações'!AV158="SIM"), 1,0)</f>
        <v>1</v>
      </c>
      <c r="E156" s="139">
        <f>IF(AND('Ações'!$AB158="SIM", 'Ações'!AW158="SIM"), 1,0)</f>
        <v>1</v>
      </c>
      <c r="F156" s="139">
        <f>IF(AND('Ações'!$AB158="SIM", 'Ações'!AX158="SIM"), 1,0)</f>
        <v>0</v>
      </c>
      <c r="G156" s="139">
        <f>IF(AND('Ações'!$AC158="SIM", 'Ações'!AS158="SIM"), 1,0)</f>
        <v>1</v>
      </c>
      <c r="H156" s="139">
        <f>IF(AND('Ações'!$AC158="SIM", 'Ações'!AT158="SIM"), 1,0)</f>
        <v>1</v>
      </c>
      <c r="I156" s="139">
        <f>IF(AND('Ações'!$AC158="SIM", 'Ações'!AU158="SIM"), 1,0)</f>
        <v>1</v>
      </c>
      <c r="J156" s="139">
        <f>IF(AND('Ações'!$AC158="SIM", 'Ações'!AV158="SIM"), 1,0)</f>
        <v>1</v>
      </c>
      <c r="K156" s="139">
        <f>IF(AND('Ações'!$AC158="SIM", 'Ações'!AW158="SIM"), 1,0)</f>
        <v>1</v>
      </c>
      <c r="L156" s="139">
        <f>IF(AND('Ações'!$AC158="SIM", 'Ações'!AX158="SIM"), 1,0)</f>
        <v>0</v>
      </c>
      <c r="M156" s="139">
        <f>IF(AND('Ações'!$AD158="SIM", 'Ações'!AS158="SIM"), 1,0)</f>
        <v>0</v>
      </c>
      <c r="N156" s="139">
        <f>IF(AND('Ações'!$AD158="SIM", 'Ações'!AT158="SIM"), 1,0)</f>
        <v>0</v>
      </c>
      <c r="O156" s="139">
        <f>IF(AND('Ações'!$AD158="SIM", 'Ações'!AU158="SIM"), 1,0)</f>
        <v>0</v>
      </c>
      <c r="P156" s="139">
        <f>IF(AND('Ações'!$AD158="SIM", 'Ações'!AV158="SIM"), 1,0)</f>
        <v>0</v>
      </c>
      <c r="Q156" s="139">
        <f>IF(AND('Ações'!$AD158="SIM", 'Ações'!AW158="SIM"), 1,0)</f>
        <v>0</v>
      </c>
      <c r="R156" s="139">
        <f>IF(AND('Ações'!$AD158="SIM", 'Ações'!AX158="SIM"), 1,0)</f>
        <v>0</v>
      </c>
    </row>
    <row r="157">
      <c r="A157" s="139">
        <f>IF(AND('Ações'!AB159="SIM", 'Ações'!AS159="SIM"), 1,0)</f>
        <v>0</v>
      </c>
      <c r="B157" s="139">
        <f>IF(AND('Ações'!$AB159="SIM", 'Ações'!AT159="SIM"), 1,0)</f>
        <v>0</v>
      </c>
      <c r="C157" s="139">
        <f>IF(AND('Ações'!$AB159="SIM", 'Ações'!AU159="SIM"), 1,0)</f>
        <v>0</v>
      </c>
      <c r="D157" s="139">
        <f>IF(AND('Ações'!$AB159="SIM", 'Ações'!AV159="SIM"), 1,0)</f>
        <v>0</v>
      </c>
      <c r="E157" s="139">
        <f>IF(AND('Ações'!$AB159="SIM", 'Ações'!AW159="SIM"), 1,0)</f>
        <v>0</v>
      </c>
      <c r="F157" s="139">
        <f>IF(AND('Ações'!$AB159="SIM", 'Ações'!AX159="SIM"), 1,0)</f>
        <v>0</v>
      </c>
      <c r="G157" s="139">
        <f>IF(AND('Ações'!$AC159="SIM", 'Ações'!AS159="SIM"), 1,0)</f>
        <v>1</v>
      </c>
      <c r="H157" s="139">
        <f>IF(AND('Ações'!$AC159="SIM", 'Ações'!AT159="SIM"), 1,0)</f>
        <v>1</v>
      </c>
      <c r="I157" s="139">
        <f>IF(AND('Ações'!$AC159="SIM", 'Ações'!AU159="SIM"), 1,0)</f>
        <v>1</v>
      </c>
      <c r="J157" s="139">
        <f>IF(AND('Ações'!$AC159="SIM", 'Ações'!AV159="SIM"), 1,0)</f>
        <v>1</v>
      </c>
      <c r="K157" s="139">
        <f>IF(AND('Ações'!$AC159="SIM", 'Ações'!AW159="SIM"), 1,0)</f>
        <v>1</v>
      </c>
      <c r="L157" s="139">
        <f>IF(AND('Ações'!$AC159="SIM", 'Ações'!AX159="SIM"), 1,0)</f>
        <v>0</v>
      </c>
      <c r="M157" s="139">
        <f>IF(AND('Ações'!$AD159="SIM", 'Ações'!AS159="SIM"), 1,0)</f>
        <v>0</v>
      </c>
      <c r="N157" s="139">
        <f>IF(AND('Ações'!$AD159="SIM", 'Ações'!AT159="SIM"), 1,0)</f>
        <v>0</v>
      </c>
      <c r="O157" s="139">
        <f>IF(AND('Ações'!$AD159="SIM", 'Ações'!AU159="SIM"), 1,0)</f>
        <v>0</v>
      </c>
      <c r="P157" s="139">
        <f>IF(AND('Ações'!$AD159="SIM", 'Ações'!AV159="SIM"), 1,0)</f>
        <v>0</v>
      </c>
      <c r="Q157" s="139">
        <f>IF(AND('Ações'!$AD159="SIM", 'Ações'!AW159="SIM"), 1,0)</f>
        <v>0</v>
      </c>
      <c r="R157" s="139">
        <f>IF(AND('Ações'!$AD159="SIM", 'Ações'!AX159="SIM"), 1,0)</f>
        <v>0</v>
      </c>
    </row>
    <row r="158">
      <c r="A158" s="139">
        <f>IF(AND('Ações'!AB160="SIM", 'Ações'!AS160="SIM"), 1,0)</f>
        <v>1</v>
      </c>
      <c r="B158" s="139">
        <f>IF(AND('Ações'!$AB160="SIM", 'Ações'!AT160="SIM"), 1,0)</f>
        <v>1</v>
      </c>
      <c r="C158" s="139">
        <f>IF(AND('Ações'!$AB160="SIM", 'Ações'!AU160="SIM"), 1,0)</f>
        <v>1</v>
      </c>
      <c r="D158" s="139">
        <f>IF(AND('Ações'!$AB160="SIM", 'Ações'!AV160="SIM"), 1,0)</f>
        <v>1</v>
      </c>
      <c r="E158" s="139">
        <f>IF(AND('Ações'!$AB160="SIM", 'Ações'!AW160="SIM"), 1,0)</f>
        <v>1</v>
      </c>
      <c r="F158" s="139">
        <f>IF(AND('Ações'!$AB160="SIM", 'Ações'!AX160="SIM"), 1,0)</f>
        <v>0</v>
      </c>
      <c r="G158" s="139">
        <f>IF(AND('Ações'!$AC160="SIM", 'Ações'!AS160="SIM"), 1,0)</f>
        <v>0</v>
      </c>
      <c r="H158" s="139">
        <f>IF(AND('Ações'!$AC160="SIM", 'Ações'!AT160="SIM"), 1,0)</f>
        <v>0</v>
      </c>
      <c r="I158" s="139">
        <f>IF(AND('Ações'!$AC160="SIM", 'Ações'!AU160="SIM"), 1,0)</f>
        <v>0</v>
      </c>
      <c r="J158" s="139">
        <f>IF(AND('Ações'!$AC160="SIM", 'Ações'!AV160="SIM"), 1,0)</f>
        <v>0</v>
      </c>
      <c r="K158" s="139">
        <f>IF(AND('Ações'!$AC160="SIM", 'Ações'!AW160="SIM"), 1,0)</f>
        <v>0</v>
      </c>
      <c r="L158" s="139">
        <f>IF(AND('Ações'!$AC160="SIM", 'Ações'!AX160="SIM"), 1,0)</f>
        <v>0</v>
      </c>
      <c r="M158" s="139">
        <f>IF(AND('Ações'!$AD160="SIM", 'Ações'!AS160="SIM"), 1,0)</f>
        <v>0</v>
      </c>
      <c r="N158" s="139">
        <f>IF(AND('Ações'!$AD160="SIM", 'Ações'!AT160="SIM"), 1,0)</f>
        <v>0</v>
      </c>
      <c r="O158" s="139">
        <f>IF(AND('Ações'!$AD160="SIM", 'Ações'!AU160="SIM"), 1,0)</f>
        <v>0</v>
      </c>
      <c r="P158" s="139">
        <f>IF(AND('Ações'!$AD160="SIM", 'Ações'!AV160="SIM"), 1,0)</f>
        <v>0</v>
      </c>
      <c r="Q158" s="139">
        <f>IF(AND('Ações'!$AD160="SIM", 'Ações'!AW160="SIM"), 1,0)</f>
        <v>0</v>
      </c>
      <c r="R158" s="139">
        <f>IF(AND('Ações'!$AD160="SIM", 'Ações'!AX160="SIM"), 1,0)</f>
        <v>0</v>
      </c>
    </row>
    <row r="159">
      <c r="A159" s="139">
        <f>IF(AND('Ações'!AB161="SIM", 'Ações'!AS161="SIM"), 1,0)</f>
        <v>1</v>
      </c>
      <c r="B159" s="139">
        <f>IF(AND('Ações'!$AB161="SIM", 'Ações'!AT161="SIM"), 1,0)</f>
        <v>1</v>
      </c>
      <c r="C159" s="139">
        <f>IF(AND('Ações'!$AB161="SIM", 'Ações'!AU161="SIM"), 1,0)</f>
        <v>1</v>
      </c>
      <c r="D159" s="139">
        <f>IF(AND('Ações'!$AB161="SIM", 'Ações'!AV161="SIM"), 1,0)</f>
        <v>1</v>
      </c>
      <c r="E159" s="139">
        <f>IF(AND('Ações'!$AB161="SIM", 'Ações'!AW161="SIM"), 1,0)</f>
        <v>0</v>
      </c>
      <c r="F159" s="139">
        <f>IF(AND('Ações'!$AB161="SIM", 'Ações'!AX161="SIM"), 1,0)</f>
        <v>0</v>
      </c>
      <c r="G159" s="139">
        <f>IF(AND('Ações'!$AC161="SIM", 'Ações'!AS161="SIM"), 1,0)</f>
        <v>1</v>
      </c>
      <c r="H159" s="139">
        <f>IF(AND('Ações'!$AC161="SIM", 'Ações'!AT161="SIM"), 1,0)</f>
        <v>1</v>
      </c>
      <c r="I159" s="139">
        <f>IF(AND('Ações'!$AC161="SIM", 'Ações'!AU161="SIM"), 1,0)</f>
        <v>1</v>
      </c>
      <c r="J159" s="139">
        <f>IF(AND('Ações'!$AC161="SIM", 'Ações'!AV161="SIM"), 1,0)</f>
        <v>1</v>
      </c>
      <c r="K159" s="139">
        <f>IF(AND('Ações'!$AC161="SIM", 'Ações'!AW161="SIM"), 1,0)</f>
        <v>0</v>
      </c>
      <c r="L159" s="139">
        <f>IF(AND('Ações'!$AC161="SIM", 'Ações'!AX161="SIM"), 1,0)</f>
        <v>0</v>
      </c>
      <c r="M159" s="139">
        <f>IF(AND('Ações'!$AD161="SIM", 'Ações'!AS161="SIM"), 1,0)</f>
        <v>0</v>
      </c>
      <c r="N159" s="139">
        <f>IF(AND('Ações'!$AD161="SIM", 'Ações'!AT161="SIM"), 1,0)</f>
        <v>0</v>
      </c>
      <c r="O159" s="139">
        <f>IF(AND('Ações'!$AD161="SIM", 'Ações'!AU161="SIM"), 1,0)</f>
        <v>0</v>
      </c>
      <c r="P159" s="139">
        <f>IF(AND('Ações'!$AD161="SIM", 'Ações'!AV161="SIM"), 1,0)</f>
        <v>0</v>
      </c>
      <c r="Q159" s="139">
        <f>IF(AND('Ações'!$AD161="SIM", 'Ações'!AW161="SIM"), 1,0)</f>
        <v>0</v>
      </c>
      <c r="R159" s="139">
        <f>IF(AND('Ações'!$AD161="SIM", 'Ações'!AX161="SIM"), 1,0)</f>
        <v>0</v>
      </c>
    </row>
    <row r="160">
      <c r="A160" s="139">
        <f>IF(AND('Ações'!AB162="SIM", 'Ações'!AS162="SIM"), 1,0)</f>
        <v>1</v>
      </c>
      <c r="B160" s="139">
        <f>IF(AND('Ações'!$AB162="SIM", 'Ações'!AT162="SIM"), 1,0)</f>
        <v>1</v>
      </c>
      <c r="C160" s="139">
        <f>IF(AND('Ações'!$AB162="SIM", 'Ações'!AU162="SIM"), 1,0)</f>
        <v>1</v>
      </c>
      <c r="D160" s="139">
        <f>IF(AND('Ações'!$AB162="SIM", 'Ações'!AV162="SIM"), 1,0)</f>
        <v>1</v>
      </c>
      <c r="E160" s="139">
        <f>IF(AND('Ações'!$AB162="SIM", 'Ações'!AW162="SIM"), 1,0)</f>
        <v>0</v>
      </c>
      <c r="F160" s="139">
        <f>IF(AND('Ações'!$AB162="SIM", 'Ações'!AX162="SIM"), 1,0)</f>
        <v>0</v>
      </c>
      <c r="G160" s="139">
        <f>IF(AND('Ações'!$AC162="SIM", 'Ações'!AS162="SIM"), 1,0)</f>
        <v>1</v>
      </c>
      <c r="H160" s="139">
        <f>IF(AND('Ações'!$AC162="SIM", 'Ações'!AT162="SIM"), 1,0)</f>
        <v>1</v>
      </c>
      <c r="I160" s="139">
        <f>IF(AND('Ações'!$AC162="SIM", 'Ações'!AU162="SIM"), 1,0)</f>
        <v>1</v>
      </c>
      <c r="J160" s="139">
        <f>IF(AND('Ações'!$AC162="SIM", 'Ações'!AV162="SIM"), 1,0)</f>
        <v>1</v>
      </c>
      <c r="K160" s="139">
        <f>IF(AND('Ações'!$AC162="SIM", 'Ações'!AW162="SIM"), 1,0)</f>
        <v>0</v>
      </c>
      <c r="L160" s="139">
        <f>IF(AND('Ações'!$AC162="SIM", 'Ações'!AX162="SIM"), 1,0)</f>
        <v>0</v>
      </c>
      <c r="M160" s="139">
        <f>IF(AND('Ações'!$AD162="SIM", 'Ações'!AS162="SIM"), 1,0)</f>
        <v>0</v>
      </c>
      <c r="N160" s="139">
        <f>IF(AND('Ações'!$AD162="SIM", 'Ações'!AT162="SIM"), 1,0)</f>
        <v>0</v>
      </c>
      <c r="O160" s="139">
        <f>IF(AND('Ações'!$AD162="SIM", 'Ações'!AU162="SIM"), 1,0)</f>
        <v>0</v>
      </c>
      <c r="P160" s="139">
        <f>IF(AND('Ações'!$AD162="SIM", 'Ações'!AV162="SIM"), 1,0)</f>
        <v>0</v>
      </c>
      <c r="Q160" s="139">
        <f>IF(AND('Ações'!$AD162="SIM", 'Ações'!AW162="SIM"), 1,0)</f>
        <v>0</v>
      </c>
      <c r="R160" s="139">
        <f>IF(AND('Ações'!$AD162="SIM", 'Ações'!AX162="SIM"), 1,0)</f>
        <v>0</v>
      </c>
    </row>
    <row r="161">
      <c r="A161" s="139">
        <f>IF(AND('Ações'!AB163="SIM", 'Ações'!AS163="SIM"), 1,0)</f>
        <v>0</v>
      </c>
      <c r="B161" s="139">
        <f>IF(AND('Ações'!$AB163="SIM", 'Ações'!AT163="SIM"), 1,0)</f>
        <v>0</v>
      </c>
      <c r="C161" s="139">
        <f>IF(AND('Ações'!$AB163="SIM", 'Ações'!AU163="SIM"), 1,0)</f>
        <v>0</v>
      </c>
      <c r="D161" s="139">
        <f>IF(AND('Ações'!$AB163="SIM", 'Ações'!AV163="SIM"), 1,0)</f>
        <v>0</v>
      </c>
      <c r="E161" s="139">
        <f>IF(AND('Ações'!$AB163="SIM", 'Ações'!AW163="SIM"), 1,0)</f>
        <v>0</v>
      </c>
      <c r="F161" s="139">
        <f>IF(AND('Ações'!$AB163="SIM", 'Ações'!AX163="SIM"), 1,0)</f>
        <v>0</v>
      </c>
      <c r="G161" s="139">
        <f>IF(AND('Ações'!$AC163="SIM", 'Ações'!AS163="SIM"), 1,0)</f>
        <v>1</v>
      </c>
      <c r="H161" s="139">
        <f>IF(AND('Ações'!$AC163="SIM", 'Ações'!AT163="SIM"), 1,0)</f>
        <v>1</v>
      </c>
      <c r="I161" s="139">
        <f>IF(AND('Ações'!$AC163="SIM", 'Ações'!AU163="SIM"), 1,0)</f>
        <v>1</v>
      </c>
      <c r="J161" s="139">
        <f>IF(AND('Ações'!$AC163="SIM", 'Ações'!AV163="SIM"), 1,0)</f>
        <v>1</v>
      </c>
      <c r="K161" s="139">
        <f>IF(AND('Ações'!$AC163="SIM", 'Ações'!AW163="SIM"), 1,0)</f>
        <v>0</v>
      </c>
      <c r="L161" s="139">
        <f>IF(AND('Ações'!$AC163="SIM", 'Ações'!AX163="SIM"), 1,0)</f>
        <v>0</v>
      </c>
      <c r="M161" s="139">
        <f>IF(AND('Ações'!$AD163="SIM", 'Ações'!AS163="SIM"), 1,0)</f>
        <v>0</v>
      </c>
      <c r="N161" s="139">
        <f>IF(AND('Ações'!$AD163="SIM", 'Ações'!AT163="SIM"), 1,0)</f>
        <v>0</v>
      </c>
      <c r="O161" s="139">
        <f>IF(AND('Ações'!$AD163="SIM", 'Ações'!AU163="SIM"), 1,0)</f>
        <v>0</v>
      </c>
      <c r="P161" s="139">
        <f>IF(AND('Ações'!$AD163="SIM", 'Ações'!AV163="SIM"), 1,0)</f>
        <v>0</v>
      </c>
      <c r="Q161" s="139">
        <f>IF(AND('Ações'!$AD163="SIM", 'Ações'!AW163="SIM"), 1,0)</f>
        <v>0</v>
      </c>
      <c r="R161" s="139">
        <f>IF(AND('Ações'!$AD163="SIM", 'Ações'!AX163="SIM"), 1,0)</f>
        <v>0</v>
      </c>
    </row>
    <row r="162">
      <c r="A162" s="139">
        <f>IF(AND('Ações'!AB164="SIM", 'Ações'!AS164="SIM"), 1,0)</f>
        <v>0</v>
      </c>
      <c r="B162" s="139">
        <f>IF(AND('Ações'!$AB164="SIM", 'Ações'!AT164="SIM"), 1,0)</f>
        <v>0</v>
      </c>
      <c r="C162" s="139">
        <f>IF(AND('Ações'!$AB164="SIM", 'Ações'!AU164="SIM"), 1,0)</f>
        <v>0</v>
      </c>
      <c r="D162" s="139">
        <f>IF(AND('Ações'!$AB164="SIM", 'Ações'!AV164="SIM"), 1,0)</f>
        <v>0</v>
      </c>
      <c r="E162" s="139">
        <f>IF(AND('Ações'!$AB164="SIM", 'Ações'!AW164="SIM"), 1,0)</f>
        <v>0</v>
      </c>
      <c r="F162" s="139">
        <f>IF(AND('Ações'!$AB164="SIM", 'Ações'!AX164="SIM"), 1,0)</f>
        <v>0</v>
      </c>
      <c r="G162" s="139">
        <f>IF(AND('Ações'!$AC164="SIM", 'Ações'!AS164="SIM"), 1,0)</f>
        <v>1</v>
      </c>
      <c r="H162" s="139">
        <f>IF(AND('Ações'!$AC164="SIM", 'Ações'!AT164="SIM"), 1,0)</f>
        <v>1</v>
      </c>
      <c r="I162" s="139">
        <f>IF(AND('Ações'!$AC164="SIM", 'Ações'!AU164="SIM"), 1,0)</f>
        <v>1</v>
      </c>
      <c r="J162" s="139">
        <f>IF(AND('Ações'!$AC164="SIM", 'Ações'!AV164="SIM"), 1,0)</f>
        <v>1</v>
      </c>
      <c r="K162" s="139">
        <f>IF(AND('Ações'!$AC164="SIM", 'Ações'!AW164="SIM"), 1,0)</f>
        <v>0</v>
      </c>
      <c r="L162" s="139">
        <f>IF(AND('Ações'!$AC164="SIM", 'Ações'!AX164="SIM"), 1,0)</f>
        <v>0</v>
      </c>
      <c r="M162" s="139">
        <f>IF(AND('Ações'!$AD164="SIM", 'Ações'!AS164="SIM"), 1,0)</f>
        <v>0</v>
      </c>
      <c r="N162" s="139">
        <f>IF(AND('Ações'!$AD164="SIM", 'Ações'!AT164="SIM"), 1,0)</f>
        <v>0</v>
      </c>
      <c r="O162" s="139">
        <f>IF(AND('Ações'!$AD164="SIM", 'Ações'!AU164="SIM"), 1,0)</f>
        <v>0</v>
      </c>
      <c r="P162" s="139">
        <f>IF(AND('Ações'!$AD164="SIM", 'Ações'!AV164="SIM"), 1,0)</f>
        <v>0</v>
      </c>
      <c r="Q162" s="139">
        <f>IF(AND('Ações'!$AD164="SIM", 'Ações'!AW164="SIM"), 1,0)</f>
        <v>0</v>
      </c>
      <c r="R162" s="139">
        <f>IF(AND('Ações'!$AD164="SIM", 'Ações'!AX164="SIM"), 1,0)</f>
        <v>0</v>
      </c>
    </row>
    <row r="163">
      <c r="A163" s="139">
        <f>IF(AND('Ações'!AB165="SIM", 'Ações'!AS165="SIM"), 1,0)</f>
        <v>0</v>
      </c>
      <c r="B163" s="139">
        <f>IF(AND('Ações'!$AB165="SIM", 'Ações'!AT165="SIM"), 1,0)</f>
        <v>0</v>
      </c>
      <c r="C163" s="139">
        <f>IF(AND('Ações'!$AB165="SIM", 'Ações'!AU165="SIM"), 1,0)</f>
        <v>0</v>
      </c>
      <c r="D163" s="139">
        <f>IF(AND('Ações'!$AB165="SIM", 'Ações'!AV165="SIM"), 1,0)</f>
        <v>0</v>
      </c>
      <c r="E163" s="139">
        <f>IF(AND('Ações'!$AB165="SIM", 'Ações'!AW165="SIM"), 1,0)</f>
        <v>0</v>
      </c>
      <c r="F163" s="139">
        <f>IF(AND('Ações'!$AB165="SIM", 'Ações'!AX165="SIM"), 1,0)</f>
        <v>0</v>
      </c>
      <c r="G163" s="139">
        <f>IF(AND('Ações'!$AC165="SIM", 'Ações'!AS165="SIM"), 1,0)</f>
        <v>1</v>
      </c>
      <c r="H163" s="139">
        <f>IF(AND('Ações'!$AC165="SIM", 'Ações'!AT165="SIM"), 1,0)</f>
        <v>1</v>
      </c>
      <c r="I163" s="139">
        <f>IF(AND('Ações'!$AC165="SIM", 'Ações'!AU165="SIM"), 1,0)</f>
        <v>1</v>
      </c>
      <c r="J163" s="139">
        <f>IF(AND('Ações'!$AC165="SIM", 'Ações'!AV165="SIM"), 1,0)</f>
        <v>1</v>
      </c>
      <c r="K163" s="139">
        <f>IF(AND('Ações'!$AC165="SIM", 'Ações'!AW165="SIM"), 1,0)</f>
        <v>0</v>
      </c>
      <c r="L163" s="139">
        <f>IF(AND('Ações'!$AC165="SIM", 'Ações'!AX165="SIM"), 1,0)</f>
        <v>0</v>
      </c>
      <c r="M163" s="139">
        <f>IF(AND('Ações'!$AD165="SIM", 'Ações'!AS165="SIM"), 1,0)</f>
        <v>0</v>
      </c>
      <c r="N163" s="139">
        <f>IF(AND('Ações'!$AD165="SIM", 'Ações'!AT165="SIM"), 1,0)</f>
        <v>0</v>
      </c>
      <c r="O163" s="139">
        <f>IF(AND('Ações'!$AD165="SIM", 'Ações'!AU165="SIM"), 1,0)</f>
        <v>0</v>
      </c>
      <c r="P163" s="139">
        <f>IF(AND('Ações'!$AD165="SIM", 'Ações'!AV165="SIM"), 1,0)</f>
        <v>0</v>
      </c>
      <c r="Q163" s="139">
        <f>IF(AND('Ações'!$AD165="SIM", 'Ações'!AW165="SIM"), 1,0)</f>
        <v>0</v>
      </c>
      <c r="R163" s="139">
        <f>IF(AND('Ações'!$AD165="SIM", 'Ações'!AX165="SIM"), 1,0)</f>
        <v>0</v>
      </c>
    </row>
    <row r="164">
      <c r="A164" s="139">
        <f>IF(AND('Ações'!AB166="SIM", 'Ações'!AS166="SIM"), 1,0)</f>
        <v>1</v>
      </c>
      <c r="B164" s="139">
        <f>IF(AND('Ações'!$AB166="SIM", 'Ações'!AT166="SIM"), 1,0)</f>
        <v>1</v>
      </c>
      <c r="C164" s="139">
        <f>IF(AND('Ações'!$AB166="SIM", 'Ações'!AU166="SIM"), 1,0)</f>
        <v>1</v>
      </c>
      <c r="D164" s="139">
        <f>IF(AND('Ações'!$AB166="SIM", 'Ações'!AV166="SIM"), 1,0)</f>
        <v>1</v>
      </c>
      <c r="E164" s="139">
        <f>IF(AND('Ações'!$AB166="SIM", 'Ações'!AW166="SIM"), 1,0)</f>
        <v>0</v>
      </c>
      <c r="F164" s="139">
        <f>IF(AND('Ações'!$AB166="SIM", 'Ações'!AX166="SIM"), 1,0)</f>
        <v>0</v>
      </c>
      <c r="G164" s="139">
        <f>IF(AND('Ações'!$AC166="SIM", 'Ações'!AS166="SIM"), 1,0)</f>
        <v>1</v>
      </c>
      <c r="H164" s="139">
        <f>IF(AND('Ações'!$AC166="SIM", 'Ações'!AT166="SIM"), 1,0)</f>
        <v>1</v>
      </c>
      <c r="I164" s="139">
        <f>IF(AND('Ações'!$AC166="SIM", 'Ações'!AU166="SIM"), 1,0)</f>
        <v>1</v>
      </c>
      <c r="J164" s="139">
        <f>IF(AND('Ações'!$AC166="SIM", 'Ações'!AV166="SIM"), 1,0)</f>
        <v>1</v>
      </c>
      <c r="K164" s="139">
        <f>IF(AND('Ações'!$AC166="SIM", 'Ações'!AW166="SIM"), 1,0)</f>
        <v>0</v>
      </c>
      <c r="L164" s="139">
        <f>IF(AND('Ações'!$AC166="SIM", 'Ações'!AX166="SIM"), 1,0)</f>
        <v>0</v>
      </c>
      <c r="M164" s="139">
        <f>IF(AND('Ações'!$AD166="SIM", 'Ações'!AS166="SIM"), 1,0)</f>
        <v>0</v>
      </c>
      <c r="N164" s="139">
        <f>IF(AND('Ações'!$AD166="SIM", 'Ações'!AT166="SIM"), 1,0)</f>
        <v>0</v>
      </c>
      <c r="O164" s="139">
        <f>IF(AND('Ações'!$AD166="SIM", 'Ações'!AU166="SIM"), 1,0)</f>
        <v>0</v>
      </c>
      <c r="P164" s="139">
        <f>IF(AND('Ações'!$AD166="SIM", 'Ações'!AV166="SIM"), 1,0)</f>
        <v>0</v>
      </c>
      <c r="Q164" s="139">
        <f>IF(AND('Ações'!$AD166="SIM", 'Ações'!AW166="SIM"), 1,0)</f>
        <v>0</v>
      </c>
      <c r="R164" s="139">
        <f>IF(AND('Ações'!$AD166="SIM", 'Ações'!AX166="SIM"), 1,0)</f>
        <v>0</v>
      </c>
    </row>
    <row r="165">
      <c r="A165" s="139">
        <f>IF(AND('Ações'!AB167="SIM", 'Ações'!AS167="SIM"), 1,0)</f>
        <v>1</v>
      </c>
      <c r="B165" s="139">
        <f>IF(AND('Ações'!$AB167="SIM", 'Ações'!AT167="SIM"), 1,0)</f>
        <v>1</v>
      </c>
      <c r="C165" s="139">
        <f>IF(AND('Ações'!$AB167="SIM", 'Ações'!AU167="SIM"), 1,0)</f>
        <v>1</v>
      </c>
      <c r="D165" s="139">
        <f>IF(AND('Ações'!$AB167="SIM", 'Ações'!AV167="SIM"), 1,0)</f>
        <v>1</v>
      </c>
      <c r="E165" s="139">
        <f>IF(AND('Ações'!$AB167="SIM", 'Ações'!AW167="SIM"), 1,0)</f>
        <v>0</v>
      </c>
      <c r="F165" s="139">
        <f>IF(AND('Ações'!$AB167="SIM", 'Ações'!AX167="SIM"), 1,0)</f>
        <v>0</v>
      </c>
      <c r="G165" s="139">
        <f>IF(AND('Ações'!$AC167="SIM", 'Ações'!AS167="SIM"), 1,0)</f>
        <v>0</v>
      </c>
      <c r="H165" s="139">
        <f>IF(AND('Ações'!$AC167="SIM", 'Ações'!AT167="SIM"), 1,0)</f>
        <v>0</v>
      </c>
      <c r="I165" s="139">
        <f>IF(AND('Ações'!$AC167="SIM", 'Ações'!AU167="SIM"), 1,0)</f>
        <v>0</v>
      </c>
      <c r="J165" s="139">
        <f>IF(AND('Ações'!$AC167="SIM", 'Ações'!AV167="SIM"), 1,0)</f>
        <v>0</v>
      </c>
      <c r="K165" s="139">
        <f>IF(AND('Ações'!$AC167="SIM", 'Ações'!AW167="SIM"), 1,0)</f>
        <v>0</v>
      </c>
      <c r="L165" s="139">
        <f>IF(AND('Ações'!$AC167="SIM", 'Ações'!AX167="SIM"), 1,0)</f>
        <v>0</v>
      </c>
      <c r="M165" s="139">
        <f>IF(AND('Ações'!$AD167="SIM", 'Ações'!AS167="SIM"), 1,0)</f>
        <v>0</v>
      </c>
      <c r="N165" s="139">
        <f>IF(AND('Ações'!$AD167="SIM", 'Ações'!AT167="SIM"), 1,0)</f>
        <v>0</v>
      </c>
      <c r="O165" s="139">
        <f>IF(AND('Ações'!$AD167="SIM", 'Ações'!AU167="SIM"), 1,0)</f>
        <v>0</v>
      </c>
      <c r="P165" s="139">
        <f>IF(AND('Ações'!$AD167="SIM", 'Ações'!AV167="SIM"), 1,0)</f>
        <v>0</v>
      </c>
      <c r="Q165" s="139">
        <f>IF(AND('Ações'!$AD167="SIM", 'Ações'!AW167="SIM"), 1,0)</f>
        <v>0</v>
      </c>
      <c r="R165" s="139">
        <f>IF(AND('Ações'!$AD167="SIM", 'Ações'!AX167="SIM"), 1,0)</f>
        <v>0</v>
      </c>
    </row>
    <row r="166">
      <c r="A166" s="139">
        <f>IF(AND('Ações'!AB168="SIM", 'Ações'!AS168="SIM"), 1,0)</f>
        <v>0</v>
      </c>
      <c r="B166" s="139">
        <f>IF(AND('Ações'!$AB168="SIM", 'Ações'!AT168="SIM"), 1,0)</f>
        <v>0</v>
      </c>
      <c r="C166" s="139">
        <f>IF(AND('Ações'!$AB168="SIM", 'Ações'!AU168="SIM"), 1,0)</f>
        <v>0</v>
      </c>
      <c r="D166" s="139">
        <f>IF(AND('Ações'!$AB168="SIM", 'Ações'!AV168="SIM"), 1,0)</f>
        <v>0</v>
      </c>
      <c r="E166" s="139">
        <f>IF(AND('Ações'!$AB168="SIM", 'Ações'!AW168="SIM"), 1,0)</f>
        <v>0</v>
      </c>
      <c r="F166" s="139">
        <f>IF(AND('Ações'!$AB168="SIM", 'Ações'!AX168="SIM"), 1,0)</f>
        <v>0</v>
      </c>
      <c r="G166" s="139">
        <f>IF(AND('Ações'!$AC168="SIM", 'Ações'!AS168="SIM"), 1,0)</f>
        <v>1</v>
      </c>
      <c r="H166" s="139">
        <f>IF(AND('Ações'!$AC168="SIM", 'Ações'!AT168="SIM"), 1,0)</f>
        <v>1</v>
      </c>
      <c r="I166" s="139">
        <f>IF(AND('Ações'!$AC168="SIM", 'Ações'!AU168="SIM"), 1,0)</f>
        <v>1</v>
      </c>
      <c r="J166" s="139">
        <f>IF(AND('Ações'!$AC168="SIM", 'Ações'!AV168="SIM"), 1,0)</f>
        <v>1</v>
      </c>
      <c r="K166" s="139">
        <f>IF(AND('Ações'!$AC168="SIM", 'Ações'!AW168="SIM"), 1,0)</f>
        <v>0</v>
      </c>
      <c r="L166" s="139">
        <f>IF(AND('Ações'!$AC168="SIM", 'Ações'!AX168="SIM"), 1,0)</f>
        <v>0</v>
      </c>
      <c r="M166" s="139">
        <f>IF(AND('Ações'!$AD168="SIM", 'Ações'!AS168="SIM"), 1,0)</f>
        <v>0</v>
      </c>
      <c r="N166" s="139">
        <f>IF(AND('Ações'!$AD168="SIM", 'Ações'!AT168="SIM"), 1,0)</f>
        <v>0</v>
      </c>
      <c r="O166" s="139">
        <f>IF(AND('Ações'!$AD168="SIM", 'Ações'!AU168="SIM"), 1,0)</f>
        <v>0</v>
      </c>
      <c r="P166" s="139">
        <f>IF(AND('Ações'!$AD168="SIM", 'Ações'!AV168="SIM"), 1,0)</f>
        <v>0</v>
      </c>
      <c r="Q166" s="139">
        <f>IF(AND('Ações'!$AD168="SIM", 'Ações'!AW168="SIM"), 1,0)</f>
        <v>0</v>
      </c>
      <c r="R166" s="139">
        <f>IF(AND('Ações'!$AD168="SIM", 'Ações'!AX168="SIM"), 1,0)</f>
        <v>0</v>
      </c>
    </row>
    <row r="167">
      <c r="A167" s="139">
        <f>IF(AND('Ações'!AB169="SIM", 'Ações'!AS169="SIM"), 1,0)</f>
        <v>1</v>
      </c>
      <c r="B167" s="139">
        <f>IF(AND('Ações'!$AB169="SIM", 'Ações'!AT169="SIM"), 1,0)</f>
        <v>1</v>
      </c>
      <c r="C167" s="139">
        <f>IF(AND('Ações'!$AB169="SIM", 'Ações'!AU169="SIM"), 1,0)</f>
        <v>1</v>
      </c>
      <c r="D167" s="139">
        <f>IF(AND('Ações'!$AB169="SIM", 'Ações'!AV169="SIM"), 1,0)</f>
        <v>1</v>
      </c>
      <c r="E167" s="139">
        <f>IF(AND('Ações'!$AB169="SIM", 'Ações'!AW169="SIM"), 1,0)</f>
        <v>0</v>
      </c>
      <c r="F167" s="139">
        <f>IF(AND('Ações'!$AB169="SIM", 'Ações'!AX169="SIM"), 1,0)</f>
        <v>0</v>
      </c>
      <c r="G167" s="139">
        <f>IF(AND('Ações'!$AC169="SIM", 'Ações'!AS169="SIM"), 1,0)</f>
        <v>1</v>
      </c>
      <c r="H167" s="139">
        <f>IF(AND('Ações'!$AC169="SIM", 'Ações'!AT169="SIM"), 1,0)</f>
        <v>1</v>
      </c>
      <c r="I167" s="139">
        <f>IF(AND('Ações'!$AC169="SIM", 'Ações'!AU169="SIM"), 1,0)</f>
        <v>1</v>
      </c>
      <c r="J167" s="139">
        <f>IF(AND('Ações'!$AC169="SIM", 'Ações'!AV169="SIM"), 1,0)</f>
        <v>1</v>
      </c>
      <c r="K167" s="139">
        <f>IF(AND('Ações'!$AC169="SIM", 'Ações'!AW169="SIM"), 1,0)</f>
        <v>0</v>
      </c>
      <c r="L167" s="139">
        <f>IF(AND('Ações'!$AC169="SIM", 'Ações'!AX169="SIM"), 1,0)</f>
        <v>0</v>
      </c>
      <c r="M167" s="139">
        <f>IF(AND('Ações'!$AD169="SIM", 'Ações'!AS169="SIM"), 1,0)</f>
        <v>0</v>
      </c>
      <c r="N167" s="139">
        <f>IF(AND('Ações'!$AD169="SIM", 'Ações'!AT169="SIM"), 1,0)</f>
        <v>0</v>
      </c>
      <c r="O167" s="139">
        <f>IF(AND('Ações'!$AD169="SIM", 'Ações'!AU169="SIM"), 1,0)</f>
        <v>0</v>
      </c>
      <c r="P167" s="139">
        <f>IF(AND('Ações'!$AD169="SIM", 'Ações'!AV169="SIM"), 1,0)</f>
        <v>0</v>
      </c>
      <c r="Q167" s="139">
        <f>IF(AND('Ações'!$AD169="SIM", 'Ações'!AW169="SIM"), 1,0)</f>
        <v>0</v>
      </c>
      <c r="R167" s="139">
        <f>IF(AND('Ações'!$AD169="SIM", 'Ações'!AX169="SIM"), 1,0)</f>
        <v>0</v>
      </c>
    </row>
    <row r="168">
      <c r="A168" s="139">
        <f>IF(AND('Ações'!AB170="SIM", 'Ações'!AS170="SIM"), 1,0)</f>
        <v>1</v>
      </c>
      <c r="B168" s="139">
        <f>IF(AND('Ações'!$AB170="SIM", 'Ações'!AT170="SIM"), 1,0)</f>
        <v>1</v>
      </c>
      <c r="C168" s="139">
        <f>IF(AND('Ações'!$AB170="SIM", 'Ações'!AU170="SIM"), 1,0)</f>
        <v>1</v>
      </c>
      <c r="D168" s="139">
        <f>IF(AND('Ações'!$AB170="SIM", 'Ações'!AV170="SIM"), 1,0)</f>
        <v>1</v>
      </c>
      <c r="E168" s="139">
        <f>IF(AND('Ações'!$AB170="SIM", 'Ações'!AW170="SIM"), 1,0)</f>
        <v>0</v>
      </c>
      <c r="F168" s="139">
        <f>IF(AND('Ações'!$AB170="SIM", 'Ações'!AX170="SIM"), 1,0)</f>
        <v>0</v>
      </c>
      <c r="G168" s="139">
        <f>IF(AND('Ações'!$AC170="SIM", 'Ações'!AS170="SIM"), 1,0)</f>
        <v>1</v>
      </c>
      <c r="H168" s="139">
        <f>IF(AND('Ações'!$AC170="SIM", 'Ações'!AT170="SIM"), 1,0)</f>
        <v>1</v>
      </c>
      <c r="I168" s="139">
        <f>IF(AND('Ações'!$AC170="SIM", 'Ações'!AU170="SIM"), 1,0)</f>
        <v>1</v>
      </c>
      <c r="J168" s="139">
        <f>IF(AND('Ações'!$AC170="SIM", 'Ações'!AV170="SIM"), 1,0)</f>
        <v>1</v>
      </c>
      <c r="K168" s="139">
        <f>IF(AND('Ações'!$AC170="SIM", 'Ações'!AW170="SIM"), 1,0)</f>
        <v>0</v>
      </c>
      <c r="L168" s="139">
        <f>IF(AND('Ações'!$AC170="SIM", 'Ações'!AX170="SIM"), 1,0)</f>
        <v>0</v>
      </c>
      <c r="M168" s="139">
        <f>IF(AND('Ações'!$AD170="SIM", 'Ações'!AS170="SIM"), 1,0)</f>
        <v>1</v>
      </c>
      <c r="N168" s="139">
        <f>IF(AND('Ações'!$AD170="SIM", 'Ações'!AT170="SIM"), 1,0)</f>
        <v>1</v>
      </c>
      <c r="O168" s="139">
        <f>IF(AND('Ações'!$AD170="SIM", 'Ações'!AU170="SIM"), 1,0)</f>
        <v>1</v>
      </c>
      <c r="P168" s="139">
        <f>IF(AND('Ações'!$AD170="SIM", 'Ações'!AV170="SIM"), 1,0)</f>
        <v>1</v>
      </c>
      <c r="Q168" s="139">
        <f>IF(AND('Ações'!$AD170="SIM", 'Ações'!AW170="SIM"), 1,0)</f>
        <v>0</v>
      </c>
      <c r="R168" s="139">
        <f>IF(AND('Ações'!$AD170="SIM", 'Ações'!AX170="SIM"), 1,0)</f>
        <v>0</v>
      </c>
    </row>
    <row r="169">
      <c r="A169" s="139">
        <f>IF(AND('Ações'!AB171="SIM", 'Ações'!AS171="SIM"), 1,0)</f>
        <v>1</v>
      </c>
      <c r="B169" s="139">
        <f>IF(AND('Ações'!$AB171="SIM", 'Ações'!AT171="SIM"), 1,0)</f>
        <v>1</v>
      </c>
      <c r="C169" s="139">
        <f>IF(AND('Ações'!$AB171="SIM", 'Ações'!AU171="SIM"), 1,0)</f>
        <v>1</v>
      </c>
      <c r="D169" s="139">
        <f>IF(AND('Ações'!$AB171="SIM", 'Ações'!AV171="SIM"), 1,0)</f>
        <v>1</v>
      </c>
      <c r="E169" s="139">
        <f>IF(AND('Ações'!$AB171="SIM", 'Ações'!AW171="SIM"), 1,0)</f>
        <v>0</v>
      </c>
      <c r="F169" s="139">
        <f>IF(AND('Ações'!$AB171="SIM", 'Ações'!AX171="SIM"), 1,0)</f>
        <v>0</v>
      </c>
      <c r="G169" s="139">
        <f>IF(AND('Ações'!$AC171="SIM", 'Ações'!AS171="SIM"), 1,0)</f>
        <v>0</v>
      </c>
      <c r="H169" s="139">
        <f>IF(AND('Ações'!$AC171="SIM", 'Ações'!AT171="SIM"), 1,0)</f>
        <v>0</v>
      </c>
      <c r="I169" s="139">
        <f>IF(AND('Ações'!$AC171="SIM", 'Ações'!AU171="SIM"), 1,0)</f>
        <v>0</v>
      </c>
      <c r="J169" s="139">
        <f>IF(AND('Ações'!$AC171="SIM", 'Ações'!AV171="SIM"), 1,0)</f>
        <v>0</v>
      </c>
      <c r="K169" s="139">
        <f>IF(AND('Ações'!$AC171="SIM", 'Ações'!AW171="SIM"), 1,0)</f>
        <v>0</v>
      </c>
      <c r="L169" s="139">
        <f>IF(AND('Ações'!$AC171="SIM", 'Ações'!AX171="SIM"), 1,0)</f>
        <v>0</v>
      </c>
      <c r="M169" s="139">
        <f>IF(AND('Ações'!$AD171="SIM", 'Ações'!AS171="SIM"), 1,0)</f>
        <v>0</v>
      </c>
      <c r="N169" s="139">
        <f>IF(AND('Ações'!$AD171="SIM", 'Ações'!AT171="SIM"), 1,0)</f>
        <v>0</v>
      </c>
      <c r="O169" s="139">
        <f>IF(AND('Ações'!$AD171="SIM", 'Ações'!AU171="SIM"), 1,0)</f>
        <v>0</v>
      </c>
      <c r="P169" s="139">
        <f>IF(AND('Ações'!$AD171="SIM", 'Ações'!AV171="SIM"), 1,0)</f>
        <v>0</v>
      </c>
      <c r="Q169" s="139">
        <f>IF(AND('Ações'!$AD171="SIM", 'Ações'!AW171="SIM"), 1,0)</f>
        <v>0</v>
      </c>
      <c r="R169" s="139">
        <f>IF(AND('Ações'!$AD171="SIM", 'Ações'!AX171="SIM"), 1,0)</f>
        <v>0</v>
      </c>
    </row>
    <row r="170">
      <c r="A170" s="139">
        <f>IF(AND('Ações'!AB172="SIM", 'Ações'!AS172="SIM"), 1,0)</f>
        <v>1</v>
      </c>
      <c r="B170" s="139">
        <f>IF(AND('Ações'!$AB172="SIM", 'Ações'!AT172="SIM"), 1,0)</f>
        <v>1</v>
      </c>
      <c r="C170" s="139">
        <f>IF(AND('Ações'!$AB172="SIM", 'Ações'!AU172="SIM"), 1,0)</f>
        <v>1</v>
      </c>
      <c r="D170" s="139">
        <f>IF(AND('Ações'!$AB172="SIM", 'Ações'!AV172="SIM"), 1,0)</f>
        <v>1</v>
      </c>
      <c r="E170" s="139">
        <f>IF(AND('Ações'!$AB172="SIM", 'Ações'!AW172="SIM"), 1,0)</f>
        <v>0</v>
      </c>
      <c r="F170" s="139">
        <f>IF(AND('Ações'!$AB172="SIM", 'Ações'!AX172="SIM"), 1,0)</f>
        <v>0</v>
      </c>
      <c r="G170" s="139">
        <f>IF(AND('Ações'!$AC172="SIM", 'Ações'!AS172="SIM"), 1,0)</f>
        <v>1</v>
      </c>
      <c r="H170" s="139">
        <f>IF(AND('Ações'!$AC172="SIM", 'Ações'!AT172="SIM"), 1,0)</f>
        <v>1</v>
      </c>
      <c r="I170" s="139">
        <f>IF(AND('Ações'!$AC172="SIM", 'Ações'!AU172="SIM"), 1,0)</f>
        <v>1</v>
      </c>
      <c r="J170" s="139">
        <f>IF(AND('Ações'!$AC172="SIM", 'Ações'!AV172="SIM"), 1,0)</f>
        <v>1</v>
      </c>
      <c r="K170" s="139">
        <f>IF(AND('Ações'!$AC172="SIM", 'Ações'!AW172="SIM"), 1,0)</f>
        <v>0</v>
      </c>
      <c r="L170" s="139">
        <f>IF(AND('Ações'!$AC172="SIM", 'Ações'!AX172="SIM"), 1,0)</f>
        <v>0</v>
      </c>
      <c r="M170" s="139">
        <f>IF(AND('Ações'!$AD172="SIM", 'Ações'!AS172="SIM"), 1,0)</f>
        <v>0</v>
      </c>
      <c r="N170" s="139">
        <f>IF(AND('Ações'!$AD172="SIM", 'Ações'!AT172="SIM"), 1,0)</f>
        <v>0</v>
      </c>
      <c r="O170" s="139">
        <f>IF(AND('Ações'!$AD172="SIM", 'Ações'!AU172="SIM"), 1,0)</f>
        <v>0</v>
      </c>
      <c r="P170" s="139">
        <f>IF(AND('Ações'!$AD172="SIM", 'Ações'!AV172="SIM"), 1,0)</f>
        <v>0</v>
      </c>
      <c r="Q170" s="139">
        <f>IF(AND('Ações'!$AD172="SIM", 'Ações'!AW172="SIM"), 1,0)</f>
        <v>0</v>
      </c>
      <c r="R170" s="139">
        <f>IF(AND('Ações'!$AD172="SIM", 'Ações'!AX172="SIM"), 1,0)</f>
        <v>0</v>
      </c>
    </row>
    <row r="171">
      <c r="A171" s="139">
        <f>IF(AND('Ações'!AB173="SIM", 'Ações'!AS173="SIM"), 1,0)</f>
        <v>1</v>
      </c>
      <c r="B171" s="139">
        <f>IF(AND('Ações'!$AB173="SIM", 'Ações'!AT173="SIM"), 1,0)</f>
        <v>1</v>
      </c>
      <c r="C171" s="139">
        <f>IF(AND('Ações'!$AB173="SIM", 'Ações'!AU173="SIM"), 1,0)</f>
        <v>1</v>
      </c>
      <c r="D171" s="139">
        <f>IF(AND('Ações'!$AB173="SIM", 'Ações'!AV173="SIM"), 1,0)</f>
        <v>1</v>
      </c>
      <c r="E171" s="139">
        <f>IF(AND('Ações'!$AB173="SIM", 'Ações'!AW173="SIM"), 1,0)</f>
        <v>0</v>
      </c>
      <c r="F171" s="139">
        <f>IF(AND('Ações'!$AB173="SIM", 'Ações'!AX173="SIM"), 1,0)</f>
        <v>0</v>
      </c>
      <c r="G171" s="139">
        <f>IF(AND('Ações'!$AC173="SIM", 'Ações'!AS173="SIM"), 1,0)</f>
        <v>0</v>
      </c>
      <c r="H171" s="139">
        <f>IF(AND('Ações'!$AC173="SIM", 'Ações'!AT173="SIM"), 1,0)</f>
        <v>0</v>
      </c>
      <c r="I171" s="139">
        <f>IF(AND('Ações'!$AC173="SIM", 'Ações'!AU173="SIM"), 1,0)</f>
        <v>0</v>
      </c>
      <c r="J171" s="139">
        <f>IF(AND('Ações'!$AC173="SIM", 'Ações'!AV173="SIM"), 1,0)</f>
        <v>0</v>
      </c>
      <c r="K171" s="139">
        <f>IF(AND('Ações'!$AC173="SIM", 'Ações'!AW173="SIM"), 1,0)</f>
        <v>0</v>
      </c>
      <c r="L171" s="139">
        <f>IF(AND('Ações'!$AC173="SIM", 'Ações'!AX173="SIM"), 1,0)</f>
        <v>0</v>
      </c>
      <c r="M171" s="139">
        <f>IF(AND('Ações'!$AD173="SIM", 'Ações'!AS173="SIM"), 1,0)</f>
        <v>0</v>
      </c>
      <c r="N171" s="139">
        <f>IF(AND('Ações'!$AD173="SIM", 'Ações'!AT173="SIM"), 1,0)</f>
        <v>0</v>
      </c>
      <c r="O171" s="139">
        <f>IF(AND('Ações'!$AD173="SIM", 'Ações'!AU173="SIM"), 1,0)</f>
        <v>0</v>
      </c>
      <c r="P171" s="139">
        <f>IF(AND('Ações'!$AD173="SIM", 'Ações'!AV173="SIM"), 1,0)</f>
        <v>0</v>
      </c>
      <c r="Q171" s="139">
        <f>IF(AND('Ações'!$AD173="SIM", 'Ações'!AW173="SIM"), 1,0)</f>
        <v>0</v>
      </c>
      <c r="R171" s="139">
        <f>IF(AND('Ações'!$AD173="SIM", 'Ações'!AX173="SIM"), 1,0)</f>
        <v>0</v>
      </c>
    </row>
    <row r="172">
      <c r="A172" s="139">
        <f>IF(AND('Ações'!AB174="SIM", 'Ações'!AS174="SIM"), 1,0)</f>
        <v>1</v>
      </c>
      <c r="B172" s="139">
        <f>IF(AND('Ações'!$AB174="SIM", 'Ações'!AT174="SIM"), 1,0)</f>
        <v>1</v>
      </c>
      <c r="C172" s="139">
        <f>IF(AND('Ações'!$AB174="SIM", 'Ações'!AU174="SIM"), 1,0)</f>
        <v>1</v>
      </c>
      <c r="D172" s="139">
        <f>IF(AND('Ações'!$AB174="SIM", 'Ações'!AV174="SIM"), 1,0)</f>
        <v>1</v>
      </c>
      <c r="E172" s="139">
        <f>IF(AND('Ações'!$AB174="SIM", 'Ações'!AW174="SIM"), 1,0)</f>
        <v>0</v>
      </c>
      <c r="F172" s="139">
        <f>IF(AND('Ações'!$AB174="SIM", 'Ações'!AX174="SIM"), 1,0)</f>
        <v>0</v>
      </c>
      <c r="G172" s="139">
        <f>IF(AND('Ações'!$AC174="SIM", 'Ações'!AS174="SIM"), 1,0)</f>
        <v>0</v>
      </c>
      <c r="H172" s="139">
        <f>IF(AND('Ações'!$AC174="SIM", 'Ações'!AT174="SIM"), 1,0)</f>
        <v>0</v>
      </c>
      <c r="I172" s="139">
        <f>IF(AND('Ações'!$AC174="SIM", 'Ações'!AU174="SIM"), 1,0)</f>
        <v>0</v>
      </c>
      <c r="J172" s="139">
        <f>IF(AND('Ações'!$AC174="SIM", 'Ações'!AV174="SIM"), 1,0)</f>
        <v>0</v>
      </c>
      <c r="K172" s="139">
        <f>IF(AND('Ações'!$AC174="SIM", 'Ações'!AW174="SIM"), 1,0)</f>
        <v>0</v>
      </c>
      <c r="L172" s="139">
        <f>IF(AND('Ações'!$AC174="SIM", 'Ações'!AX174="SIM"), 1,0)</f>
        <v>0</v>
      </c>
      <c r="M172" s="139">
        <f>IF(AND('Ações'!$AD174="SIM", 'Ações'!AS174="SIM"), 1,0)</f>
        <v>0</v>
      </c>
      <c r="N172" s="139">
        <f>IF(AND('Ações'!$AD174="SIM", 'Ações'!AT174="SIM"), 1,0)</f>
        <v>0</v>
      </c>
      <c r="O172" s="139">
        <f>IF(AND('Ações'!$AD174="SIM", 'Ações'!AU174="SIM"), 1,0)</f>
        <v>0</v>
      </c>
      <c r="P172" s="139">
        <f>IF(AND('Ações'!$AD174="SIM", 'Ações'!AV174="SIM"), 1,0)</f>
        <v>0</v>
      </c>
      <c r="Q172" s="139">
        <f>IF(AND('Ações'!$AD174="SIM", 'Ações'!AW174="SIM"), 1,0)</f>
        <v>0</v>
      </c>
      <c r="R172" s="139">
        <f>IF(AND('Ações'!$AD174="SIM", 'Ações'!AX174="SIM"), 1,0)</f>
        <v>0</v>
      </c>
    </row>
    <row r="173">
      <c r="A173" s="139">
        <f>IF(AND('Ações'!AB175="SIM", 'Ações'!AS175="SIM"), 1,0)</f>
        <v>1</v>
      </c>
      <c r="B173" s="139">
        <f>IF(AND('Ações'!$AB175="SIM", 'Ações'!AT175="SIM"), 1,0)</f>
        <v>1</v>
      </c>
      <c r="C173" s="139">
        <f>IF(AND('Ações'!$AB175="SIM", 'Ações'!AU175="SIM"), 1,0)</f>
        <v>1</v>
      </c>
      <c r="D173" s="139">
        <f>IF(AND('Ações'!$AB175="SIM", 'Ações'!AV175="SIM"), 1,0)</f>
        <v>1</v>
      </c>
      <c r="E173" s="139">
        <f>IF(AND('Ações'!$AB175="SIM", 'Ações'!AW175="SIM"), 1,0)</f>
        <v>1</v>
      </c>
      <c r="F173" s="139">
        <f>IF(AND('Ações'!$AB175="SIM", 'Ações'!AX175="SIM"), 1,0)</f>
        <v>0</v>
      </c>
      <c r="G173" s="139">
        <f>IF(AND('Ações'!$AC175="SIM", 'Ações'!AS175="SIM"), 1,0)</f>
        <v>1</v>
      </c>
      <c r="H173" s="139">
        <f>IF(AND('Ações'!$AC175="SIM", 'Ações'!AT175="SIM"), 1,0)</f>
        <v>1</v>
      </c>
      <c r="I173" s="139">
        <f>IF(AND('Ações'!$AC175="SIM", 'Ações'!AU175="SIM"), 1,0)</f>
        <v>1</v>
      </c>
      <c r="J173" s="139">
        <f>IF(AND('Ações'!$AC175="SIM", 'Ações'!AV175="SIM"), 1,0)</f>
        <v>1</v>
      </c>
      <c r="K173" s="139">
        <f>IF(AND('Ações'!$AC175="SIM", 'Ações'!AW175="SIM"), 1,0)</f>
        <v>1</v>
      </c>
      <c r="L173" s="139">
        <f>IF(AND('Ações'!$AC175="SIM", 'Ações'!AX175="SIM"), 1,0)</f>
        <v>0</v>
      </c>
      <c r="M173" s="139">
        <f>IF(AND('Ações'!$AD175="SIM", 'Ações'!AS175="SIM"), 1,0)</f>
        <v>0</v>
      </c>
      <c r="N173" s="139">
        <f>IF(AND('Ações'!$AD175="SIM", 'Ações'!AT175="SIM"), 1,0)</f>
        <v>0</v>
      </c>
      <c r="O173" s="139">
        <f>IF(AND('Ações'!$AD175="SIM", 'Ações'!AU175="SIM"), 1,0)</f>
        <v>0</v>
      </c>
      <c r="P173" s="139">
        <f>IF(AND('Ações'!$AD175="SIM", 'Ações'!AV175="SIM"), 1,0)</f>
        <v>0</v>
      </c>
      <c r="Q173" s="139">
        <f>IF(AND('Ações'!$AD175="SIM", 'Ações'!AW175="SIM"), 1,0)</f>
        <v>0</v>
      </c>
      <c r="R173" s="139">
        <f>IF(AND('Ações'!$AD175="SIM", 'Ações'!AX175="SIM"), 1,0)</f>
        <v>0</v>
      </c>
    </row>
    <row r="174">
      <c r="A174" s="139">
        <f>IF(AND('Ações'!AB176="SIM", 'Ações'!AS176="SIM"), 1,0)</f>
        <v>1</v>
      </c>
      <c r="B174" s="139">
        <f>IF(AND('Ações'!$AB176="SIM", 'Ações'!AT176="SIM"), 1,0)</f>
        <v>1</v>
      </c>
      <c r="C174" s="139">
        <f>IF(AND('Ações'!$AB176="SIM", 'Ações'!AU176="SIM"), 1,0)</f>
        <v>1</v>
      </c>
      <c r="D174" s="139">
        <f>IF(AND('Ações'!$AB176="SIM", 'Ações'!AV176="SIM"), 1,0)</f>
        <v>1</v>
      </c>
      <c r="E174" s="139">
        <f>IF(AND('Ações'!$AB176="SIM", 'Ações'!AW176="SIM"), 1,0)</f>
        <v>1</v>
      </c>
      <c r="F174" s="139">
        <f>IF(AND('Ações'!$AB176="SIM", 'Ações'!AX176="SIM"), 1,0)</f>
        <v>0</v>
      </c>
      <c r="G174" s="139">
        <f>IF(AND('Ações'!$AC176="SIM", 'Ações'!AS176="SIM"), 1,0)</f>
        <v>0</v>
      </c>
      <c r="H174" s="139">
        <f>IF(AND('Ações'!$AC176="SIM", 'Ações'!AT176="SIM"), 1,0)</f>
        <v>0</v>
      </c>
      <c r="I174" s="139">
        <f>IF(AND('Ações'!$AC176="SIM", 'Ações'!AU176="SIM"), 1,0)</f>
        <v>0</v>
      </c>
      <c r="J174" s="139">
        <f>IF(AND('Ações'!$AC176="SIM", 'Ações'!AV176="SIM"), 1,0)</f>
        <v>0</v>
      </c>
      <c r="K174" s="139">
        <f>IF(AND('Ações'!$AC176="SIM", 'Ações'!AW176="SIM"), 1,0)</f>
        <v>0</v>
      </c>
      <c r="L174" s="139">
        <f>IF(AND('Ações'!$AC176="SIM", 'Ações'!AX176="SIM"), 1,0)</f>
        <v>0</v>
      </c>
      <c r="M174" s="139">
        <f>IF(AND('Ações'!$AD176="SIM", 'Ações'!AS176="SIM"), 1,0)</f>
        <v>0</v>
      </c>
      <c r="N174" s="139">
        <f>IF(AND('Ações'!$AD176="SIM", 'Ações'!AT176="SIM"), 1,0)</f>
        <v>0</v>
      </c>
      <c r="O174" s="139">
        <f>IF(AND('Ações'!$AD176="SIM", 'Ações'!AU176="SIM"), 1,0)</f>
        <v>0</v>
      </c>
      <c r="P174" s="139">
        <f>IF(AND('Ações'!$AD176="SIM", 'Ações'!AV176="SIM"), 1,0)</f>
        <v>0</v>
      </c>
      <c r="Q174" s="139">
        <f>IF(AND('Ações'!$AD176="SIM", 'Ações'!AW176="SIM"), 1,0)</f>
        <v>0</v>
      </c>
      <c r="R174" s="139">
        <f>IF(AND('Ações'!$AD176="SIM", 'Ações'!AX176="SIM"), 1,0)</f>
        <v>0</v>
      </c>
    </row>
    <row r="175">
      <c r="A175" s="139">
        <f>IF(AND('Ações'!AB177="SIM", 'Ações'!AS177="SIM"), 1,0)</f>
        <v>1</v>
      </c>
      <c r="B175" s="139">
        <f>IF(AND('Ações'!$AB177="SIM", 'Ações'!AT177="SIM"), 1,0)</f>
        <v>1</v>
      </c>
      <c r="C175" s="139">
        <f>IF(AND('Ações'!$AB177="SIM", 'Ações'!AU177="SIM"), 1,0)</f>
        <v>1</v>
      </c>
      <c r="D175" s="139">
        <f>IF(AND('Ações'!$AB177="SIM", 'Ações'!AV177="SIM"), 1,0)</f>
        <v>1</v>
      </c>
      <c r="E175" s="139">
        <f>IF(AND('Ações'!$AB177="SIM", 'Ações'!AW177="SIM"), 1,0)</f>
        <v>1</v>
      </c>
      <c r="F175" s="139">
        <f>IF(AND('Ações'!$AB177="SIM", 'Ações'!AX177="SIM"), 1,0)</f>
        <v>0</v>
      </c>
      <c r="G175" s="139">
        <f>IF(AND('Ações'!$AC177="SIM", 'Ações'!AS177="SIM"), 1,0)</f>
        <v>0</v>
      </c>
      <c r="H175" s="139">
        <f>IF(AND('Ações'!$AC177="SIM", 'Ações'!AT177="SIM"), 1,0)</f>
        <v>0</v>
      </c>
      <c r="I175" s="139">
        <f>IF(AND('Ações'!$AC177="SIM", 'Ações'!AU177="SIM"), 1,0)</f>
        <v>0</v>
      </c>
      <c r="J175" s="139">
        <f>IF(AND('Ações'!$AC177="SIM", 'Ações'!AV177="SIM"), 1,0)</f>
        <v>0</v>
      </c>
      <c r="K175" s="139">
        <f>IF(AND('Ações'!$AC177="SIM", 'Ações'!AW177="SIM"), 1,0)</f>
        <v>0</v>
      </c>
      <c r="L175" s="139">
        <f>IF(AND('Ações'!$AC177="SIM", 'Ações'!AX177="SIM"), 1,0)</f>
        <v>0</v>
      </c>
      <c r="M175" s="139">
        <f>IF(AND('Ações'!$AD177="SIM", 'Ações'!AS177="SIM"), 1,0)</f>
        <v>0</v>
      </c>
      <c r="N175" s="139">
        <f>IF(AND('Ações'!$AD177="SIM", 'Ações'!AT177="SIM"), 1,0)</f>
        <v>0</v>
      </c>
      <c r="O175" s="139">
        <f>IF(AND('Ações'!$AD177="SIM", 'Ações'!AU177="SIM"), 1,0)</f>
        <v>0</v>
      </c>
      <c r="P175" s="139">
        <f>IF(AND('Ações'!$AD177="SIM", 'Ações'!AV177="SIM"), 1,0)</f>
        <v>0</v>
      </c>
      <c r="Q175" s="139">
        <f>IF(AND('Ações'!$AD177="SIM", 'Ações'!AW177="SIM"), 1,0)</f>
        <v>0</v>
      </c>
      <c r="R175" s="139">
        <f>IF(AND('Ações'!$AD177="SIM", 'Ações'!AX177="SIM"), 1,0)</f>
        <v>0</v>
      </c>
    </row>
    <row r="176">
      <c r="A176" s="139">
        <f>IF(AND('Ações'!AB178="SIM", 'Ações'!AS178="SIM"), 1,0)</f>
        <v>1</v>
      </c>
      <c r="B176" s="139">
        <f>IF(AND('Ações'!$AB178="SIM", 'Ações'!AT178="SIM"), 1,0)</f>
        <v>1</v>
      </c>
      <c r="C176" s="139">
        <f>IF(AND('Ações'!$AB178="SIM", 'Ações'!AU178="SIM"), 1,0)</f>
        <v>1</v>
      </c>
      <c r="D176" s="139">
        <f>IF(AND('Ações'!$AB178="SIM", 'Ações'!AV178="SIM"), 1,0)</f>
        <v>1</v>
      </c>
      <c r="E176" s="139">
        <f>IF(AND('Ações'!$AB178="SIM", 'Ações'!AW178="SIM"), 1,0)</f>
        <v>1</v>
      </c>
      <c r="F176" s="139">
        <f>IF(AND('Ações'!$AB178="SIM", 'Ações'!AX178="SIM"), 1,0)</f>
        <v>0</v>
      </c>
      <c r="G176" s="139">
        <f>IF(AND('Ações'!$AC178="SIM", 'Ações'!AS178="SIM"), 1,0)</f>
        <v>0</v>
      </c>
      <c r="H176" s="139">
        <f>IF(AND('Ações'!$AC178="SIM", 'Ações'!AT178="SIM"), 1,0)</f>
        <v>0</v>
      </c>
      <c r="I176" s="139">
        <f>IF(AND('Ações'!$AC178="SIM", 'Ações'!AU178="SIM"), 1,0)</f>
        <v>0</v>
      </c>
      <c r="J176" s="139">
        <f>IF(AND('Ações'!$AC178="SIM", 'Ações'!AV178="SIM"), 1,0)</f>
        <v>0</v>
      </c>
      <c r="K176" s="139">
        <f>IF(AND('Ações'!$AC178="SIM", 'Ações'!AW178="SIM"), 1,0)</f>
        <v>0</v>
      </c>
      <c r="L176" s="139">
        <f>IF(AND('Ações'!$AC178="SIM", 'Ações'!AX178="SIM"), 1,0)</f>
        <v>0</v>
      </c>
      <c r="M176" s="139">
        <f>IF(AND('Ações'!$AD178="SIM", 'Ações'!AS178="SIM"), 1,0)</f>
        <v>0</v>
      </c>
      <c r="N176" s="139">
        <f>IF(AND('Ações'!$AD178="SIM", 'Ações'!AT178="SIM"), 1,0)</f>
        <v>0</v>
      </c>
      <c r="O176" s="139">
        <f>IF(AND('Ações'!$AD178="SIM", 'Ações'!AU178="SIM"), 1,0)</f>
        <v>0</v>
      </c>
      <c r="P176" s="139">
        <f>IF(AND('Ações'!$AD178="SIM", 'Ações'!AV178="SIM"), 1,0)</f>
        <v>0</v>
      </c>
      <c r="Q176" s="139">
        <f>IF(AND('Ações'!$AD178="SIM", 'Ações'!AW178="SIM"), 1,0)</f>
        <v>0</v>
      </c>
      <c r="R176" s="139">
        <f>IF(AND('Ações'!$AD178="SIM", 'Ações'!AX178="SIM"), 1,0)</f>
        <v>0</v>
      </c>
    </row>
    <row r="177">
      <c r="A177" s="139">
        <f>IF(AND('Ações'!AB179="SIM", 'Ações'!AS179="SIM"), 1,0)</f>
        <v>1</v>
      </c>
      <c r="B177" s="139">
        <f>IF(AND('Ações'!$AB179="SIM", 'Ações'!AT179="SIM"), 1,0)</f>
        <v>1</v>
      </c>
      <c r="C177" s="139">
        <f>IF(AND('Ações'!$AB179="SIM", 'Ações'!AU179="SIM"), 1,0)</f>
        <v>1</v>
      </c>
      <c r="D177" s="139">
        <f>IF(AND('Ações'!$AB179="SIM", 'Ações'!AV179="SIM"), 1,0)</f>
        <v>1</v>
      </c>
      <c r="E177" s="139">
        <f>IF(AND('Ações'!$AB179="SIM", 'Ações'!AW179="SIM"), 1,0)</f>
        <v>1</v>
      </c>
      <c r="F177" s="139">
        <f>IF(AND('Ações'!$AB179="SIM", 'Ações'!AX179="SIM"), 1,0)</f>
        <v>0</v>
      </c>
      <c r="G177" s="139">
        <f>IF(AND('Ações'!$AC179="SIM", 'Ações'!AS179="SIM"), 1,0)</f>
        <v>0</v>
      </c>
      <c r="H177" s="139">
        <f>IF(AND('Ações'!$AC179="SIM", 'Ações'!AT179="SIM"), 1,0)</f>
        <v>0</v>
      </c>
      <c r="I177" s="139">
        <f>IF(AND('Ações'!$AC179="SIM", 'Ações'!AU179="SIM"), 1,0)</f>
        <v>0</v>
      </c>
      <c r="J177" s="139">
        <f>IF(AND('Ações'!$AC179="SIM", 'Ações'!AV179="SIM"), 1,0)</f>
        <v>0</v>
      </c>
      <c r="K177" s="139">
        <f>IF(AND('Ações'!$AC179="SIM", 'Ações'!AW179="SIM"), 1,0)</f>
        <v>0</v>
      </c>
      <c r="L177" s="139">
        <f>IF(AND('Ações'!$AC179="SIM", 'Ações'!AX179="SIM"), 1,0)</f>
        <v>0</v>
      </c>
      <c r="M177" s="139">
        <f>IF(AND('Ações'!$AD179="SIM", 'Ações'!AS179="SIM"), 1,0)</f>
        <v>0</v>
      </c>
      <c r="N177" s="139">
        <f>IF(AND('Ações'!$AD179="SIM", 'Ações'!AT179="SIM"), 1,0)</f>
        <v>0</v>
      </c>
      <c r="O177" s="139">
        <f>IF(AND('Ações'!$AD179="SIM", 'Ações'!AU179="SIM"), 1,0)</f>
        <v>0</v>
      </c>
      <c r="P177" s="139">
        <f>IF(AND('Ações'!$AD179="SIM", 'Ações'!AV179="SIM"), 1,0)</f>
        <v>0</v>
      </c>
      <c r="Q177" s="139">
        <f>IF(AND('Ações'!$AD179="SIM", 'Ações'!AW179="SIM"), 1,0)</f>
        <v>0</v>
      </c>
      <c r="R177" s="139">
        <f>IF(AND('Ações'!$AD179="SIM", 'Ações'!AX179="SIM"), 1,0)</f>
        <v>0</v>
      </c>
    </row>
    <row r="178">
      <c r="A178" s="139">
        <f>IF(AND('Ações'!AB180="SIM", 'Ações'!AS180="SIM"), 1,0)</f>
        <v>0</v>
      </c>
      <c r="B178" s="139">
        <f>IF(AND('Ações'!$AB180="SIM", 'Ações'!AT180="SIM"), 1,0)</f>
        <v>0</v>
      </c>
      <c r="C178" s="139">
        <f>IF(AND('Ações'!$AB180="SIM", 'Ações'!AU180="SIM"), 1,0)</f>
        <v>0</v>
      </c>
      <c r="D178" s="139">
        <f>IF(AND('Ações'!$AB180="SIM", 'Ações'!AV180="SIM"), 1,0)</f>
        <v>0</v>
      </c>
      <c r="E178" s="139">
        <f>IF(AND('Ações'!$AB180="SIM", 'Ações'!AW180="SIM"), 1,0)</f>
        <v>0</v>
      </c>
      <c r="F178" s="139">
        <f>IF(AND('Ações'!$AB180="SIM", 'Ações'!AX180="SIM"), 1,0)</f>
        <v>0</v>
      </c>
      <c r="G178" s="139">
        <f>IF(AND('Ações'!$AC180="SIM", 'Ações'!AS180="SIM"), 1,0)</f>
        <v>1</v>
      </c>
      <c r="H178" s="139">
        <f>IF(AND('Ações'!$AC180="SIM", 'Ações'!AT180="SIM"), 1,0)</f>
        <v>1</v>
      </c>
      <c r="I178" s="139">
        <f>IF(AND('Ações'!$AC180="SIM", 'Ações'!AU180="SIM"), 1,0)</f>
        <v>1</v>
      </c>
      <c r="J178" s="139">
        <f>IF(AND('Ações'!$AC180="SIM", 'Ações'!AV180="SIM"), 1,0)</f>
        <v>1</v>
      </c>
      <c r="K178" s="139">
        <f>IF(AND('Ações'!$AC180="SIM", 'Ações'!AW180="SIM"), 1,0)</f>
        <v>1</v>
      </c>
      <c r="L178" s="139">
        <f>IF(AND('Ações'!$AC180="SIM", 'Ações'!AX180="SIM"), 1,0)</f>
        <v>0</v>
      </c>
      <c r="M178" s="139">
        <f>IF(AND('Ações'!$AD180="SIM", 'Ações'!AS180="SIM"), 1,0)</f>
        <v>0</v>
      </c>
      <c r="N178" s="139">
        <f>IF(AND('Ações'!$AD180="SIM", 'Ações'!AT180="SIM"), 1,0)</f>
        <v>0</v>
      </c>
      <c r="O178" s="139">
        <f>IF(AND('Ações'!$AD180="SIM", 'Ações'!AU180="SIM"), 1,0)</f>
        <v>0</v>
      </c>
      <c r="P178" s="139">
        <f>IF(AND('Ações'!$AD180="SIM", 'Ações'!AV180="SIM"), 1,0)</f>
        <v>0</v>
      </c>
      <c r="Q178" s="139">
        <f>IF(AND('Ações'!$AD180="SIM", 'Ações'!AW180="SIM"), 1,0)</f>
        <v>0</v>
      </c>
      <c r="R178" s="139">
        <f>IF(AND('Ações'!$AD180="SIM", 'Ações'!AX180="SIM"), 1,0)</f>
        <v>0</v>
      </c>
    </row>
    <row r="179">
      <c r="A179" s="139">
        <f>IF(AND('Ações'!AB181="SIM", 'Ações'!AS181="SIM"), 1,0)</f>
        <v>1</v>
      </c>
      <c r="B179" s="139">
        <f>IF(AND('Ações'!$AB181="SIM", 'Ações'!AT181="SIM"), 1,0)</f>
        <v>1</v>
      </c>
      <c r="C179" s="139">
        <f>IF(AND('Ações'!$AB181="SIM", 'Ações'!AU181="SIM"), 1,0)</f>
        <v>1</v>
      </c>
      <c r="D179" s="139">
        <f>IF(AND('Ações'!$AB181="SIM", 'Ações'!AV181="SIM"), 1,0)</f>
        <v>1</v>
      </c>
      <c r="E179" s="139">
        <f>IF(AND('Ações'!$AB181="SIM", 'Ações'!AW181="SIM"), 1,0)</f>
        <v>1</v>
      </c>
      <c r="F179" s="139">
        <f>IF(AND('Ações'!$AB181="SIM", 'Ações'!AX181="SIM"), 1,0)</f>
        <v>0</v>
      </c>
      <c r="G179" s="139">
        <f>IF(AND('Ações'!$AC181="SIM", 'Ações'!AS181="SIM"), 1,0)</f>
        <v>1</v>
      </c>
      <c r="H179" s="139">
        <f>IF(AND('Ações'!$AC181="SIM", 'Ações'!AT181="SIM"), 1,0)</f>
        <v>1</v>
      </c>
      <c r="I179" s="139">
        <f>IF(AND('Ações'!$AC181="SIM", 'Ações'!AU181="SIM"), 1,0)</f>
        <v>1</v>
      </c>
      <c r="J179" s="139">
        <f>IF(AND('Ações'!$AC181="SIM", 'Ações'!AV181="SIM"), 1,0)</f>
        <v>1</v>
      </c>
      <c r="K179" s="139">
        <f>IF(AND('Ações'!$AC181="SIM", 'Ações'!AW181="SIM"), 1,0)</f>
        <v>1</v>
      </c>
      <c r="L179" s="139">
        <f>IF(AND('Ações'!$AC181="SIM", 'Ações'!AX181="SIM"), 1,0)</f>
        <v>0</v>
      </c>
      <c r="M179" s="139">
        <f>IF(AND('Ações'!$AD181="SIM", 'Ações'!AS181="SIM"), 1,0)</f>
        <v>0</v>
      </c>
      <c r="N179" s="139">
        <f>IF(AND('Ações'!$AD181="SIM", 'Ações'!AT181="SIM"), 1,0)</f>
        <v>0</v>
      </c>
      <c r="O179" s="139">
        <f>IF(AND('Ações'!$AD181="SIM", 'Ações'!AU181="SIM"), 1,0)</f>
        <v>0</v>
      </c>
      <c r="P179" s="139">
        <f>IF(AND('Ações'!$AD181="SIM", 'Ações'!AV181="SIM"), 1,0)</f>
        <v>0</v>
      </c>
      <c r="Q179" s="139">
        <f>IF(AND('Ações'!$AD181="SIM", 'Ações'!AW181="SIM"), 1,0)</f>
        <v>0</v>
      </c>
      <c r="R179" s="139">
        <f>IF(AND('Ações'!$AD181="SIM", 'Ações'!AX181="SIM"), 1,0)</f>
        <v>0</v>
      </c>
    </row>
    <row r="180">
      <c r="A180" s="139">
        <f>IF(AND('Ações'!AB182="SIM", 'Ações'!AS182="SIM"), 1,0)</f>
        <v>0</v>
      </c>
      <c r="B180" s="139">
        <f>IF(AND('Ações'!$AB182="SIM", 'Ações'!AT182="SIM"), 1,0)</f>
        <v>0</v>
      </c>
      <c r="C180" s="139">
        <f>IF(AND('Ações'!$AB182="SIM", 'Ações'!AU182="SIM"), 1,0)</f>
        <v>0</v>
      </c>
      <c r="D180" s="139">
        <f>IF(AND('Ações'!$AB182="SIM", 'Ações'!AV182="SIM"), 1,0)</f>
        <v>0</v>
      </c>
      <c r="E180" s="139">
        <f>IF(AND('Ações'!$AB182="SIM", 'Ações'!AW182="SIM"), 1,0)</f>
        <v>0</v>
      </c>
      <c r="F180" s="139">
        <f>IF(AND('Ações'!$AB182="SIM", 'Ações'!AX182="SIM"), 1,0)</f>
        <v>0</v>
      </c>
      <c r="G180" s="139">
        <f>IF(AND('Ações'!$AC182="SIM", 'Ações'!AS182="SIM"), 1,0)</f>
        <v>1</v>
      </c>
      <c r="H180" s="139">
        <f>IF(AND('Ações'!$AC182="SIM", 'Ações'!AT182="SIM"), 1,0)</f>
        <v>1</v>
      </c>
      <c r="I180" s="139">
        <f>IF(AND('Ações'!$AC182="SIM", 'Ações'!AU182="SIM"), 1,0)</f>
        <v>1</v>
      </c>
      <c r="J180" s="139">
        <f>IF(AND('Ações'!$AC182="SIM", 'Ações'!AV182="SIM"), 1,0)</f>
        <v>1</v>
      </c>
      <c r="K180" s="139">
        <f>IF(AND('Ações'!$AC182="SIM", 'Ações'!AW182="SIM"), 1,0)</f>
        <v>1</v>
      </c>
      <c r="L180" s="139">
        <f>IF(AND('Ações'!$AC182="SIM", 'Ações'!AX182="SIM"), 1,0)</f>
        <v>0</v>
      </c>
      <c r="M180" s="139">
        <f>IF(AND('Ações'!$AD182="SIM", 'Ações'!AS182="SIM"), 1,0)</f>
        <v>0</v>
      </c>
      <c r="N180" s="139">
        <f>IF(AND('Ações'!$AD182="SIM", 'Ações'!AT182="SIM"), 1,0)</f>
        <v>0</v>
      </c>
      <c r="O180" s="139">
        <f>IF(AND('Ações'!$AD182="SIM", 'Ações'!AU182="SIM"), 1,0)</f>
        <v>0</v>
      </c>
      <c r="P180" s="139">
        <f>IF(AND('Ações'!$AD182="SIM", 'Ações'!AV182="SIM"), 1,0)</f>
        <v>0</v>
      </c>
      <c r="Q180" s="139">
        <f>IF(AND('Ações'!$AD182="SIM", 'Ações'!AW182="SIM"), 1,0)</f>
        <v>0</v>
      </c>
      <c r="R180" s="139">
        <f>IF(AND('Ações'!$AD182="SIM", 'Ações'!AX182="SIM"), 1,0)</f>
        <v>0</v>
      </c>
    </row>
    <row r="181">
      <c r="A181" s="139">
        <f>IF(AND('Ações'!AB183="SIM", 'Ações'!AS183="SIM"), 1,0)</f>
        <v>0</v>
      </c>
      <c r="B181" s="139">
        <f>IF(AND('Ações'!$AB183="SIM", 'Ações'!AT183="SIM"), 1,0)</f>
        <v>0</v>
      </c>
      <c r="C181" s="139">
        <f>IF(AND('Ações'!$AB183="SIM", 'Ações'!AU183="SIM"), 1,0)</f>
        <v>0</v>
      </c>
      <c r="D181" s="139">
        <f>IF(AND('Ações'!$AB183="SIM", 'Ações'!AV183="SIM"), 1,0)</f>
        <v>0</v>
      </c>
      <c r="E181" s="139">
        <f>IF(AND('Ações'!$AB183="SIM", 'Ações'!AW183="SIM"), 1,0)</f>
        <v>0</v>
      </c>
      <c r="F181" s="139">
        <f>IF(AND('Ações'!$AB183="SIM", 'Ações'!AX183="SIM"), 1,0)</f>
        <v>0</v>
      </c>
      <c r="G181" s="139">
        <f>IF(AND('Ações'!$AC183="SIM", 'Ações'!AS183="SIM"), 1,0)</f>
        <v>1</v>
      </c>
      <c r="H181" s="139">
        <f>IF(AND('Ações'!$AC183="SIM", 'Ações'!AT183="SIM"), 1,0)</f>
        <v>1</v>
      </c>
      <c r="I181" s="139">
        <f>IF(AND('Ações'!$AC183="SIM", 'Ações'!AU183="SIM"), 1,0)</f>
        <v>1</v>
      </c>
      <c r="J181" s="139">
        <f>IF(AND('Ações'!$AC183="SIM", 'Ações'!AV183="SIM"), 1,0)</f>
        <v>1</v>
      </c>
      <c r="K181" s="139">
        <f>IF(AND('Ações'!$AC183="SIM", 'Ações'!AW183="SIM"), 1,0)</f>
        <v>1</v>
      </c>
      <c r="L181" s="139">
        <f>IF(AND('Ações'!$AC183="SIM", 'Ações'!AX183="SIM"), 1,0)</f>
        <v>0</v>
      </c>
      <c r="M181" s="139">
        <f>IF(AND('Ações'!$AD183="SIM", 'Ações'!AS183="SIM"), 1,0)</f>
        <v>0</v>
      </c>
      <c r="N181" s="139">
        <f>IF(AND('Ações'!$AD183="SIM", 'Ações'!AT183="SIM"), 1,0)</f>
        <v>0</v>
      </c>
      <c r="O181" s="139">
        <f>IF(AND('Ações'!$AD183="SIM", 'Ações'!AU183="SIM"), 1,0)</f>
        <v>0</v>
      </c>
      <c r="P181" s="139">
        <f>IF(AND('Ações'!$AD183="SIM", 'Ações'!AV183="SIM"), 1,0)</f>
        <v>0</v>
      </c>
      <c r="Q181" s="139">
        <f>IF(AND('Ações'!$AD183="SIM", 'Ações'!AW183="SIM"), 1,0)</f>
        <v>0</v>
      </c>
      <c r="R181" s="139">
        <f>IF(AND('Ações'!$AD183="SIM", 'Ações'!AX183="SIM"), 1,0)</f>
        <v>0</v>
      </c>
    </row>
    <row r="182">
      <c r="A182" s="139">
        <f>IF(AND('Ações'!AB184="SIM", 'Ações'!AS184="SIM"), 1,0)</f>
        <v>0</v>
      </c>
      <c r="B182" s="139">
        <f>IF(AND('Ações'!$AB184="SIM", 'Ações'!AT184="SIM"), 1,0)</f>
        <v>0</v>
      </c>
      <c r="C182" s="139">
        <f>IF(AND('Ações'!$AB184="SIM", 'Ações'!AU184="SIM"), 1,0)</f>
        <v>0</v>
      </c>
      <c r="D182" s="139">
        <f>IF(AND('Ações'!$AB184="SIM", 'Ações'!AV184="SIM"), 1,0)</f>
        <v>0</v>
      </c>
      <c r="E182" s="139">
        <f>IF(AND('Ações'!$AB184="SIM", 'Ações'!AW184="SIM"), 1,0)</f>
        <v>0</v>
      </c>
      <c r="F182" s="139">
        <f>IF(AND('Ações'!$AB184="SIM", 'Ações'!AX184="SIM"), 1,0)</f>
        <v>0</v>
      </c>
      <c r="G182" s="139">
        <f>IF(AND('Ações'!$AC184="SIM", 'Ações'!AS184="SIM"), 1,0)</f>
        <v>1</v>
      </c>
      <c r="H182" s="139">
        <f>IF(AND('Ações'!$AC184="SIM", 'Ações'!AT184="SIM"), 1,0)</f>
        <v>1</v>
      </c>
      <c r="I182" s="139">
        <f>IF(AND('Ações'!$AC184="SIM", 'Ações'!AU184="SIM"), 1,0)</f>
        <v>1</v>
      </c>
      <c r="J182" s="139">
        <f>IF(AND('Ações'!$AC184="SIM", 'Ações'!AV184="SIM"), 1,0)</f>
        <v>1</v>
      </c>
      <c r="K182" s="139">
        <f>IF(AND('Ações'!$AC184="SIM", 'Ações'!AW184="SIM"), 1,0)</f>
        <v>1</v>
      </c>
      <c r="L182" s="139">
        <f>IF(AND('Ações'!$AC184="SIM", 'Ações'!AX184="SIM"), 1,0)</f>
        <v>0</v>
      </c>
      <c r="M182" s="139">
        <f>IF(AND('Ações'!$AD184="SIM", 'Ações'!AS184="SIM"), 1,0)</f>
        <v>0</v>
      </c>
      <c r="N182" s="139">
        <f>IF(AND('Ações'!$AD184="SIM", 'Ações'!AT184="SIM"), 1,0)</f>
        <v>0</v>
      </c>
      <c r="O182" s="139">
        <f>IF(AND('Ações'!$AD184="SIM", 'Ações'!AU184="SIM"), 1,0)</f>
        <v>0</v>
      </c>
      <c r="P182" s="139">
        <f>IF(AND('Ações'!$AD184="SIM", 'Ações'!AV184="SIM"), 1,0)</f>
        <v>0</v>
      </c>
      <c r="Q182" s="139">
        <f>IF(AND('Ações'!$AD184="SIM", 'Ações'!AW184="SIM"), 1,0)</f>
        <v>0</v>
      </c>
      <c r="R182" s="139">
        <f>IF(AND('Ações'!$AD184="SIM", 'Ações'!AX184="SIM"), 1,0)</f>
        <v>0</v>
      </c>
    </row>
    <row r="183">
      <c r="A183" s="139">
        <f>IF(AND('Ações'!AB185="SIM", 'Ações'!AS185="SIM"), 1,0)</f>
        <v>0</v>
      </c>
      <c r="B183" s="139">
        <f>IF(AND('Ações'!$AB185="SIM", 'Ações'!AT185="SIM"), 1,0)</f>
        <v>0</v>
      </c>
      <c r="C183" s="139">
        <f>IF(AND('Ações'!$AB185="SIM", 'Ações'!AU185="SIM"), 1,0)</f>
        <v>0</v>
      </c>
      <c r="D183" s="139">
        <f>IF(AND('Ações'!$AB185="SIM", 'Ações'!AV185="SIM"), 1,0)</f>
        <v>0</v>
      </c>
      <c r="E183" s="139">
        <f>IF(AND('Ações'!$AB185="SIM", 'Ações'!AW185="SIM"), 1,0)</f>
        <v>0</v>
      </c>
      <c r="F183" s="139">
        <f>IF(AND('Ações'!$AB185="SIM", 'Ações'!AX185="SIM"), 1,0)</f>
        <v>0</v>
      </c>
      <c r="G183" s="139">
        <f>IF(AND('Ações'!$AC185="SIM", 'Ações'!AS185="SIM"), 1,0)</f>
        <v>1</v>
      </c>
      <c r="H183" s="139">
        <f>IF(AND('Ações'!$AC185="SIM", 'Ações'!AT185="SIM"), 1,0)</f>
        <v>1</v>
      </c>
      <c r="I183" s="139">
        <f>IF(AND('Ações'!$AC185="SIM", 'Ações'!AU185="SIM"), 1,0)</f>
        <v>1</v>
      </c>
      <c r="J183" s="139">
        <f>IF(AND('Ações'!$AC185="SIM", 'Ações'!AV185="SIM"), 1,0)</f>
        <v>1</v>
      </c>
      <c r="K183" s="139">
        <f>IF(AND('Ações'!$AC185="SIM", 'Ações'!AW185="SIM"), 1,0)</f>
        <v>1</v>
      </c>
      <c r="L183" s="139">
        <f>IF(AND('Ações'!$AC185="SIM", 'Ações'!AX185="SIM"), 1,0)</f>
        <v>1</v>
      </c>
      <c r="M183" s="139">
        <f>IF(AND('Ações'!$AD185="SIM", 'Ações'!AS185="SIM"), 1,0)</f>
        <v>0</v>
      </c>
      <c r="N183" s="139">
        <f>IF(AND('Ações'!$AD185="SIM", 'Ações'!AT185="SIM"), 1,0)</f>
        <v>0</v>
      </c>
      <c r="O183" s="139">
        <f>IF(AND('Ações'!$AD185="SIM", 'Ações'!AU185="SIM"), 1,0)</f>
        <v>0</v>
      </c>
      <c r="P183" s="139">
        <f>IF(AND('Ações'!$AD185="SIM", 'Ações'!AV185="SIM"), 1,0)</f>
        <v>0</v>
      </c>
      <c r="Q183" s="139">
        <f>IF(AND('Ações'!$AD185="SIM", 'Ações'!AW185="SIM"), 1,0)</f>
        <v>0</v>
      </c>
      <c r="R183" s="139">
        <f>IF(AND('Ações'!$AD185="SIM", 'Ações'!AX185="SIM"), 1,0)</f>
        <v>0</v>
      </c>
    </row>
    <row r="184">
      <c r="A184" s="139">
        <f>IF(AND('Ações'!AB186="SIM", 'Ações'!AS186="SIM"), 1,0)</f>
        <v>1</v>
      </c>
      <c r="B184" s="139">
        <f>IF(AND('Ações'!$AB186="SIM", 'Ações'!AT186="SIM"), 1,0)</f>
        <v>1</v>
      </c>
      <c r="C184" s="139">
        <f>IF(AND('Ações'!$AB186="SIM", 'Ações'!AU186="SIM"), 1,0)</f>
        <v>1</v>
      </c>
      <c r="D184" s="139">
        <f>IF(AND('Ações'!$AB186="SIM", 'Ações'!AV186="SIM"), 1,0)</f>
        <v>1</v>
      </c>
      <c r="E184" s="139">
        <f>IF(AND('Ações'!$AB186="SIM", 'Ações'!AW186="SIM"), 1,0)</f>
        <v>1</v>
      </c>
      <c r="F184" s="139">
        <f>IF(AND('Ações'!$AB186="SIM", 'Ações'!AX186="SIM"), 1,0)</f>
        <v>1</v>
      </c>
      <c r="G184" s="139">
        <f>IF(AND('Ações'!$AC186="SIM", 'Ações'!AS186="SIM"), 1,0)</f>
        <v>1</v>
      </c>
      <c r="H184" s="139">
        <f>IF(AND('Ações'!$AC186="SIM", 'Ações'!AT186="SIM"), 1,0)</f>
        <v>1</v>
      </c>
      <c r="I184" s="139">
        <f>IF(AND('Ações'!$AC186="SIM", 'Ações'!AU186="SIM"), 1,0)</f>
        <v>1</v>
      </c>
      <c r="J184" s="139">
        <f>IF(AND('Ações'!$AC186="SIM", 'Ações'!AV186="SIM"), 1,0)</f>
        <v>1</v>
      </c>
      <c r="K184" s="139">
        <f>IF(AND('Ações'!$AC186="SIM", 'Ações'!AW186="SIM"), 1,0)</f>
        <v>1</v>
      </c>
      <c r="L184" s="139">
        <f>IF(AND('Ações'!$AC186="SIM", 'Ações'!AX186="SIM"), 1,0)</f>
        <v>1</v>
      </c>
      <c r="M184" s="139">
        <f>IF(AND('Ações'!$AD186="SIM", 'Ações'!AS186="SIM"), 1,0)</f>
        <v>0</v>
      </c>
      <c r="N184" s="139">
        <f>IF(AND('Ações'!$AD186="SIM", 'Ações'!AT186="SIM"), 1,0)</f>
        <v>0</v>
      </c>
      <c r="O184" s="139">
        <f>IF(AND('Ações'!$AD186="SIM", 'Ações'!AU186="SIM"), 1,0)</f>
        <v>0</v>
      </c>
      <c r="P184" s="139">
        <f>IF(AND('Ações'!$AD186="SIM", 'Ações'!AV186="SIM"), 1,0)</f>
        <v>0</v>
      </c>
      <c r="Q184" s="139">
        <f>IF(AND('Ações'!$AD186="SIM", 'Ações'!AW186="SIM"), 1,0)</f>
        <v>0</v>
      </c>
      <c r="R184" s="139">
        <f>IF(AND('Ações'!$AD186="SIM", 'Ações'!AX186="SIM"), 1,0)</f>
        <v>0</v>
      </c>
    </row>
    <row r="185">
      <c r="A185" s="139">
        <f>IF(AND('Ações'!AB187="SIM", 'Ações'!AS187="SIM"), 1,0)</f>
        <v>0</v>
      </c>
      <c r="B185" s="139">
        <f>IF(AND('Ações'!$AB187="SIM", 'Ações'!AT187="SIM"), 1,0)</f>
        <v>0</v>
      </c>
      <c r="C185" s="139">
        <f>IF(AND('Ações'!$AB187="SIM", 'Ações'!AU187="SIM"), 1,0)</f>
        <v>0</v>
      </c>
      <c r="D185" s="139">
        <f>IF(AND('Ações'!$AB187="SIM", 'Ações'!AV187="SIM"), 1,0)</f>
        <v>0</v>
      </c>
      <c r="E185" s="139">
        <f>IF(AND('Ações'!$AB187="SIM", 'Ações'!AW187="SIM"), 1,0)</f>
        <v>0</v>
      </c>
      <c r="F185" s="139">
        <f>IF(AND('Ações'!$AB187="SIM", 'Ações'!AX187="SIM"), 1,0)</f>
        <v>0</v>
      </c>
      <c r="G185" s="139">
        <f>IF(AND('Ações'!$AC187="SIM", 'Ações'!AS187="SIM"), 1,0)</f>
        <v>1</v>
      </c>
      <c r="H185" s="139">
        <f>IF(AND('Ações'!$AC187="SIM", 'Ações'!AT187="SIM"), 1,0)</f>
        <v>1</v>
      </c>
      <c r="I185" s="139">
        <f>IF(AND('Ações'!$AC187="SIM", 'Ações'!AU187="SIM"), 1,0)</f>
        <v>1</v>
      </c>
      <c r="J185" s="139">
        <f>IF(AND('Ações'!$AC187="SIM", 'Ações'!AV187="SIM"), 1,0)</f>
        <v>1</v>
      </c>
      <c r="K185" s="139">
        <f>IF(AND('Ações'!$AC187="SIM", 'Ações'!AW187="SIM"), 1,0)</f>
        <v>1</v>
      </c>
      <c r="L185" s="139">
        <f>IF(AND('Ações'!$AC187="SIM", 'Ações'!AX187="SIM"), 1,0)</f>
        <v>1</v>
      </c>
      <c r="M185" s="139">
        <f>IF(AND('Ações'!$AD187="SIM", 'Ações'!AS187="SIM"), 1,0)</f>
        <v>0</v>
      </c>
      <c r="N185" s="139">
        <f>IF(AND('Ações'!$AD187="SIM", 'Ações'!AT187="SIM"), 1,0)</f>
        <v>0</v>
      </c>
      <c r="O185" s="139">
        <f>IF(AND('Ações'!$AD187="SIM", 'Ações'!AU187="SIM"), 1,0)</f>
        <v>0</v>
      </c>
      <c r="P185" s="139">
        <f>IF(AND('Ações'!$AD187="SIM", 'Ações'!AV187="SIM"), 1,0)</f>
        <v>0</v>
      </c>
      <c r="Q185" s="139">
        <f>IF(AND('Ações'!$AD187="SIM", 'Ações'!AW187="SIM"), 1,0)</f>
        <v>0</v>
      </c>
      <c r="R185" s="139">
        <f>IF(AND('Ações'!$AD187="SIM", 'Ações'!AX187="SIM"), 1,0)</f>
        <v>0</v>
      </c>
    </row>
    <row r="186">
      <c r="A186" s="139">
        <f>IF(AND('Ações'!AB188="SIM", 'Ações'!AS188="SIM"), 1,0)</f>
        <v>0</v>
      </c>
      <c r="B186" s="139">
        <f>IF(AND('Ações'!$AB188="SIM", 'Ações'!AT188="SIM"), 1,0)</f>
        <v>0</v>
      </c>
      <c r="C186" s="139">
        <f>IF(AND('Ações'!$AB188="SIM", 'Ações'!AU188="SIM"), 1,0)</f>
        <v>0</v>
      </c>
      <c r="D186" s="139">
        <f>IF(AND('Ações'!$AB188="SIM", 'Ações'!AV188="SIM"), 1,0)</f>
        <v>0</v>
      </c>
      <c r="E186" s="139">
        <f>IF(AND('Ações'!$AB188="SIM", 'Ações'!AW188="SIM"), 1,0)</f>
        <v>0</v>
      </c>
      <c r="F186" s="139">
        <f>IF(AND('Ações'!$AB188="SIM", 'Ações'!AX188="SIM"), 1,0)</f>
        <v>0</v>
      </c>
      <c r="G186" s="139">
        <f>IF(AND('Ações'!$AC188="SIM", 'Ações'!AS188="SIM"), 1,0)</f>
        <v>1</v>
      </c>
      <c r="H186" s="139">
        <f>IF(AND('Ações'!$AC188="SIM", 'Ações'!AT188="SIM"), 1,0)</f>
        <v>1</v>
      </c>
      <c r="I186" s="139">
        <f>IF(AND('Ações'!$AC188="SIM", 'Ações'!AU188="SIM"), 1,0)</f>
        <v>0</v>
      </c>
      <c r="J186" s="139">
        <f>IF(AND('Ações'!$AC188="SIM", 'Ações'!AV188="SIM"), 1,0)</f>
        <v>1</v>
      </c>
      <c r="K186" s="139">
        <f>IF(AND('Ações'!$AC188="SIM", 'Ações'!AW188="SIM"), 1,0)</f>
        <v>1</v>
      </c>
      <c r="L186" s="139">
        <f>IF(AND('Ações'!$AC188="SIM", 'Ações'!AX188="SIM"), 1,0)</f>
        <v>0</v>
      </c>
      <c r="M186" s="139">
        <f>IF(AND('Ações'!$AD188="SIM", 'Ações'!AS188="SIM"), 1,0)</f>
        <v>0</v>
      </c>
      <c r="N186" s="139">
        <f>IF(AND('Ações'!$AD188="SIM", 'Ações'!AT188="SIM"), 1,0)</f>
        <v>0</v>
      </c>
      <c r="O186" s="139">
        <f>IF(AND('Ações'!$AD188="SIM", 'Ações'!AU188="SIM"), 1,0)</f>
        <v>0</v>
      </c>
      <c r="P186" s="139">
        <f>IF(AND('Ações'!$AD188="SIM", 'Ações'!AV188="SIM"), 1,0)</f>
        <v>0</v>
      </c>
      <c r="Q186" s="139">
        <f>IF(AND('Ações'!$AD188="SIM", 'Ações'!AW188="SIM"), 1,0)</f>
        <v>0</v>
      </c>
      <c r="R186" s="139">
        <f>IF(AND('Ações'!$AD188="SIM", 'Ações'!AX188="SIM"), 1,0)</f>
        <v>0</v>
      </c>
    </row>
    <row r="187">
      <c r="A187" s="139">
        <f>IF(AND('Ações'!AB189="SIM", 'Ações'!AS189="SIM"), 1,0)</f>
        <v>0</v>
      </c>
      <c r="B187" s="139">
        <f>IF(AND('Ações'!$AB189="SIM", 'Ações'!AT189="SIM"), 1,0)</f>
        <v>0</v>
      </c>
      <c r="C187" s="139">
        <f>IF(AND('Ações'!$AB189="SIM", 'Ações'!AU189="SIM"), 1,0)</f>
        <v>0</v>
      </c>
      <c r="D187" s="139">
        <f>IF(AND('Ações'!$AB189="SIM", 'Ações'!AV189="SIM"), 1,0)</f>
        <v>0</v>
      </c>
      <c r="E187" s="139">
        <f>IF(AND('Ações'!$AB189="SIM", 'Ações'!AW189="SIM"), 1,0)</f>
        <v>0</v>
      </c>
      <c r="F187" s="139">
        <f>IF(AND('Ações'!$AB189="SIM", 'Ações'!AX189="SIM"), 1,0)</f>
        <v>0</v>
      </c>
      <c r="G187" s="139">
        <f>IF(AND('Ações'!$AC189="SIM", 'Ações'!AS189="SIM"), 1,0)</f>
        <v>1</v>
      </c>
      <c r="H187" s="139">
        <f>IF(AND('Ações'!$AC189="SIM", 'Ações'!AT189="SIM"), 1,0)</f>
        <v>1</v>
      </c>
      <c r="I187" s="139">
        <f>IF(AND('Ações'!$AC189="SIM", 'Ações'!AU189="SIM"), 1,0)</f>
        <v>0</v>
      </c>
      <c r="J187" s="139">
        <f>IF(AND('Ações'!$AC189="SIM", 'Ações'!AV189="SIM"), 1,0)</f>
        <v>1</v>
      </c>
      <c r="K187" s="139">
        <f>IF(AND('Ações'!$AC189="SIM", 'Ações'!AW189="SIM"), 1,0)</f>
        <v>1</v>
      </c>
      <c r="L187" s="139">
        <f>IF(AND('Ações'!$AC189="SIM", 'Ações'!AX189="SIM"), 1,0)</f>
        <v>0</v>
      </c>
      <c r="M187" s="139">
        <f>IF(AND('Ações'!$AD189="SIM", 'Ações'!AS189="SIM"), 1,0)</f>
        <v>0</v>
      </c>
      <c r="N187" s="139">
        <f>IF(AND('Ações'!$AD189="SIM", 'Ações'!AT189="SIM"), 1,0)</f>
        <v>0</v>
      </c>
      <c r="O187" s="139">
        <f>IF(AND('Ações'!$AD189="SIM", 'Ações'!AU189="SIM"), 1,0)</f>
        <v>0</v>
      </c>
      <c r="P187" s="139">
        <f>IF(AND('Ações'!$AD189="SIM", 'Ações'!AV189="SIM"), 1,0)</f>
        <v>0</v>
      </c>
      <c r="Q187" s="139">
        <f>IF(AND('Ações'!$AD189="SIM", 'Ações'!AW189="SIM"), 1,0)</f>
        <v>0</v>
      </c>
      <c r="R187" s="139">
        <f>IF(AND('Ações'!$AD189="SIM", 'Ações'!AX189="SIM"), 1,0)</f>
        <v>0</v>
      </c>
    </row>
    <row r="188">
      <c r="A188" s="139">
        <f>IF(AND('Ações'!AB190="SIM", 'Ações'!AS190="SIM"), 1,0)</f>
        <v>1</v>
      </c>
      <c r="B188" s="139">
        <f>IF(AND('Ações'!$AB190="SIM", 'Ações'!AT190="SIM"), 1,0)</f>
        <v>1</v>
      </c>
      <c r="C188" s="139">
        <f>IF(AND('Ações'!$AB190="SIM", 'Ações'!AU190="SIM"), 1,0)</f>
        <v>0</v>
      </c>
      <c r="D188" s="139">
        <f>IF(AND('Ações'!$AB190="SIM", 'Ações'!AV190="SIM"), 1,0)</f>
        <v>1</v>
      </c>
      <c r="E188" s="139">
        <f>IF(AND('Ações'!$AB190="SIM", 'Ações'!AW190="SIM"), 1,0)</f>
        <v>1</v>
      </c>
      <c r="F188" s="139">
        <f>IF(AND('Ações'!$AB190="SIM", 'Ações'!AX190="SIM"), 1,0)</f>
        <v>0</v>
      </c>
      <c r="G188" s="139">
        <f>IF(AND('Ações'!$AC190="SIM", 'Ações'!AS190="SIM"), 1,0)</f>
        <v>0</v>
      </c>
      <c r="H188" s="139">
        <f>IF(AND('Ações'!$AC190="SIM", 'Ações'!AT190="SIM"), 1,0)</f>
        <v>0</v>
      </c>
      <c r="I188" s="139">
        <f>IF(AND('Ações'!$AC190="SIM", 'Ações'!AU190="SIM"), 1,0)</f>
        <v>0</v>
      </c>
      <c r="J188" s="139">
        <f>IF(AND('Ações'!$AC190="SIM", 'Ações'!AV190="SIM"), 1,0)</f>
        <v>0</v>
      </c>
      <c r="K188" s="139">
        <f>IF(AND('Ações'!$AC190="SIM", 'Ações'!AW190="SIM"), 1,0)</f>
        <v>0</v>
      </c>
      <c r="L188" s="139">
        <f>IF(AND('Ações'!$AC190="SIM", 'Ações'!AX190="SIM"), 1,0)</f>
        <v>0</v>
      </c>
      <c r="M188" s="139">
        <f>IF(AND('Ações'!$AD190="SIM", 'Ações'!AS190="SIM"), 1,0)</f>
        <v>0</v>
      </c>
      <c r="N188" s="139">
        <f>IF(AND('Ações'!$AD190="SIM", 'Ações'!AT190="SIM"), 1,0)</f>
        <v>0</v>
      </c>
      <c r="O188" s="139">
        <f>IF(AND('Ações'!$AD190="SIM", 'Ações'!AU190="SIM"), 1,0)</f>
        <v>0</v>
      </c>
      <c r="P188" s="139">
        <f>IF(AND('Ações'!$AD190="SIM", 'Ações'!AV190="SIM"), 1,0)</f>
        <v>0</v>
      </c>
      <c r="Q188" s="139">
        <f>IF(AND('Ações'!$AD190="SIM", 'Ações'!AW190="SIM"), 1,0)</f>
        <v>0</v>
      </c>
      <c r="R188" s="139">
        <f>IF(AND('Ações'!$AD190="SIM", 'Ações'!AX190="SIM"), 1,0)</f>
        <v>0</v>
      </c>
    </row>
    <row r="189">
      <c r="A189" s="139">
        <f>IF(AND('Ações'!AB191="SIM", 'Ações'!AS191="SIM"), 1,0)</f>
        <v>1</v>
      </c>
      <c r="B189" s="139">
        <f>IF(AND('Ações'!$AB191="SIM", 'Ações'!AT191="SIM"), 1,0)</f>
        <v>1</v>
      </c>
      <c r="C189" s="139">
        <f>IF(AND('Ações'!$AB191="SIM", 'Ações'!AU191="SIM"), 1,0)</f>
        <v>0</v>
      </c>
      <c r="D189" s="139">
        <f>IF(AND('Ações'!$AB191="SIM", 'Ações'!AV191="SIM"), 1,0)</f>
        <v>1</v>
      </c>
      <c r="E189" s="139">
        <f>IF(AND('Ações'!$AB191="SIM", 'Ações'!AW191="SIM"), 1,0)</f>
        <v>1</v>
      </c>
      <c r="F189" s="139">
        <f>IF(AND('Ações'!$AB191="SIM", 'Ações'!AX191="SIM"), 1,0)</f>
        <v>0</v>
      </c>
      <c r="G189" s="139">
        <f>IF(AND('Ações'!$AC191="SIM", 'Ações'!AS191="SIM"), 1,0)</f>
        <v>0</v>
      </c>
      <c r="H189" s="139">
        <f>IF(AND('Ações'!$AC191="SIM", 'Ações'!AT191="SIM"), 1,0)</f>
        <v>0</v>
      </c>
      <c r="I189" s="139">
        <f>IF(AND('Ações'!$AC191="SIM", 'Ações'!AU191="SIM"), 1,0)</f>
        <v>0</v>
      </c>
      <c r="J189" s="139">
        <f>IF(AND('Ações'!$AC191="SIM", 'Ações'!AV191="SIM"), 1,0)</f>
        <v>0</v>
      </c>
      <c r="K189" s="139">
        <f>IF(AND('Ações'!$AC191="SIM", 'Ações'!AW191="SIM"), 1,0)</f>
        <v>0</v>
      </c>
      <c r="L189" s="139">
        <f>IF(AND('Ações'!$AC191="SIM", 'Ações'!AX191="SIM"), 1,0)</f>
        <v>0</v>
      </c>
      <c r="M189" s="139">
        <f>IF(AND('Ações'!$AD191="SIM", 'Ações'!AS191="SIM"), 1,0)</f>
        <v>0</v>
      </c>
      <c r="N189" s="139">
        <f>IF(AND('Ações'!$AD191="SIM", 'Ações'!AT191="SIM"), 1,0)</f>
        <v>0</v>
      </c>
      <c r="O189" s="139">
        <f>IF(AND('Ações'!$AD191="SIM", 'Ações'!AU191="SIM"), 1,0)</f>
        <v>0</v>
      </c>
      <c r="P189" s="139">
        <f>IF(AND('Ações'!$AD191="SIM", 'Ações'!AV191="SIM"), 1,0)</f>
        <v>0</v>
      </c>
      <c r="Q189" s="139">
        <f>IF(AND('Ações'!$AD191="SIM", 'Ações'!AW191="SIM"), 1,0)</f>
        <v>0</v>
      </c>
      <c r="R189" s="139">
        <f>IF(AND('Ações'!$AD191="SIM", 'Ações'!AX191="SIM"), 1,0)</f>
        <v>0</v>
      </c>
    </row>
    <row r="190">
      <c r="A190" s="139">
        <f>IF(AND('Ações'!AB192="SIM", 'Ações'!AS192="SIM"), 1,0)</f>
        <v>1</v>
      </c>
      <c r="B190" s="139">
        <f>IF(AND('Ações'!$AB192="SIM", 'Ações'!AT192="SIM"), 1,0)</f>
        <v>1</v>
      </c>
      <c r="C190" s="139">
        <f>IF(AND('Ações'!$AB192="SIM", 'Ações'!AU192="SIM"), 1,0)</f>
        <v>0</v>
      </c>
      <c r="D190" s="139">
        <f>IF(AND('Ações'!$AB192="SIM", 'Ações'!AV192="SIM"), 1,0)</f>
        <v>1</v>
      </c>
      <c r="E190" s="139">
        <f>IF(AND('Ações'!$AB192="SIM", 'Ações'!AW192="SIM"), 1,0)</f>
        <v>1</v>
      </c>
      <c r="F190" s="139">
        <f>IF(AND('Ações'!$AB192="SIM", 'Ações'!AX192="SIM"), 1,0)</f>
        <v>0</v>
      </c>
      <c r="G190" s="139">
        <f>IF(AND('Ações'!$AC192="SIM", 'Ações'!AS192="SIM"), 1,0)</f>
        <v>0</v>
      </c>
      <c r="H190" s="139">
        <f>IF(AND('Ações'!$AC192="SIM", 'Ações'!AT192="SIM"), 1,0)</f>
        <v>0</v>
      </c>
      <c r="I190" s="139">
        <f>IF(AND('Ações'!$AC192="SIM", 'Ações'!AU192="SIM"), 1,0)</f>
        <v>0</v>
      </c>
      <c r="J190" s="139">
        <f>IF(AND('Ações'!$AC192="SIM", 'Ações'!AV192="SIM"), 1,0)</f>
        <v>0</v>
      </c>
      <c r="K190" s="139">
        <f>IF(AND('Ações'!$AC192="SIM", 'Ações'!AW192="SIM"), 1,0)</f>
        <v>0</v>
      </c>
      <c r="L190" s="139">
        <f>IF(AND('Ações'!$AC192="SIM", 'Ações'!AX192="SIM"), 1,0)</f>
        <v>0</v>
      </c>
      <c r="M190" s="139">
        <f>IF(AND('Ações'!$AD192="SIM", 'Ações'!AS192="SIM"), 1,0)</f>
        <v>0</v>
      </c>
      <c r="N190" s="139">
        <f>IF(AND('Ações'!$AD192="SIM", 'Ações'!AT192="SIM"), 1,0)</f>
        <v>0</v>
      </c>
      <c r="O190" s="139">
        <f>IF(AND('Ações'!$AD192="SIM", 'Ações'!AU192="SIM"), 1,0)</f>
        <v>0</v>
      </c>
      <c r="P190" s="139">
        <f>IF(AND('Ações'!$AD192="SIM", 'Ações'!AV192="SIM"), 1,0)</f>
        <v>0</v>
      </c>
      <c r="Q190" s="139">
        <f>IF(AND('Ações'!$AD192="SIM", 'Ações'!AW192="SIM"), 1,0)</f>
        <v>0</v>
      </c>
      <c r="R190" s="139">
        <f>IF(AND('Ações'!$AD192="SIM", 'Ações'!AX192="SIM"), 1,0)</f>
        <v>0</v>
      </c>
    </row>
    <row r="191">
      <c r="A191" s="139">
        <f>IF(AND('Ações'!AB193="SIM", 'Ações'!AS193="SIM"), 1,0)</f>
        <v>1</v>
      </c>
      <c r="B191" s="139">
        <f>IF(AND('Ações'!$AB193="SIM", 'Ações'!AT193="SIM"), 1,0)</f>
        <v>1</v>
      </c>
      <c r="C191" s="139">
        <f>IF(AND('Ações'!$AB193="SIM", 'Ações'!AU193="SIM"), 1,0)</f>
        <v>0</v>
      </c>
      <c r="D191" s="139">
        <f>IF(AND('Ações'!$AB193="SIM", 'Ações'!AV193="SIM"), 1,0)</f>
        <v>1</v>
      </c>
      <c r="E191" s="139">
        <f>IF(AND('Ações'!$AB193="SIM", 'Ações'!AW193="SIM"), 1,0)</f>
        <v>1</v>
      </c>
      <c r="F191" s="139">
        <f>IF(AND('Ações'!$AB193="SIM", 'Ações'!AX193="SIM"), 1,0)</f>
        <v>0</v>
      </c>
      <c r="G191" s="139">
        <f>IF(AND('Ações'!$AC193="SIM", 'Ações'!AS193="SIM"), 1,0)</f>
        <v>1</v>
      </c>
      <c r="H191" s="139">
        <f>IF(AND('Ações'!$AC193="SIM", 'Ações'!AT193="SIM"), 1,0)</f>
        <v>1</v>
      </c>
      <c r="I191" s="139">
        <f>IF(AND('Ações'!$AC193="SIM", 'Ações'!AU193="SIM"), 1,0)</f>
        <v>0</v>
      </c>
      <c r="J191" s="139">
        <f>IF(AND('Ações'!$AC193="SIM", 'Ações'!AV193="SIM"), 1,0)</f>
        <v>1</v>
      </c>
      <c r="K191" s="139">
        <f>IF(AND('Ações'!$AC193="SIM", 'Ações'!AW193="SIM"), 1,0)</f>
        <v>1</v>
      </c>
      <c r="L191" s="139">
        <f>IF(AND('Ações'!$AC193="SIM", 'Ações'!AX193="SIM"), 1,0)</f>
        <v>0</v>
      </c>
      <c r="M191" s="139">
        <f>IF(AND('Ações'!$AD193="SIM", 'Ações'!AS193="SIM"), 1,0)</f>
        <v>0</v>
      </c>
      <c r="N191" s="139">
        <f>IF(AND('Ações'!$AD193="SIM", 'Ações'!AT193="SIM"), 1,0)</f>
        <v>0</v>
      </c>
      <c r="O191" s="139">
        <f>IF(AND('Ações'!$AD193="SIM", 'Ações'!AU193="SIM"), 1,0)</f>
        <v>0</v>
      </c>
      <c r="P191" s="139">
        <f>IF(AND('Ações'!$AD193="SIM", 'Ações'!AV193="SIM"), 1,0)</f>
        <v>0</v>
      </c>
      <c r="Q191" s="139">
        <f>IF(AND('Ações'!$AD193="SIM", 'Ações'!AW193="SIM"), 1,0)</f>
        <v>0</v>
      </c>
      <c r="R191" s="139">
        <f>IF(AND('Ações'!$AD193="SIM", 'Ações'!AX193="SIM"), 1,0)</f>
        <v>0</v>
      </c>
    </row>
    <row r="192">
      <c r="A192" s="139">
        <f>IF(AND('Ações'!AB194="SIM", 'Ações'!AS194="SIM"), 1,0)</f>
        <v>1</v>
      </c>
      <c r="B192" s="139">
        <f>IF(AND('Ações'!$AB194="SIM", 'Ações'!AT194="SIM"), 1,0)</f>
        <v>1</v>
      </c>
      <c r="C192" s="139">
        <f>IF(AND('Ações'!$AB194="SIM", 'Ações'!AU194="SIM"), 1,0)</f>
        <v>0</v>
      </c>
      <c r="D192" s="139">
        <f>IF(AND('Ações'!$AB194="SIM", 'Ações'!AV194="SIM"), 1,0)</f>
        <v>1</v>
      </c>
      <c r="E192" s="139">
        <f>IF(AND('Ações'!$AB194="SIM", 'Ações'!AW194="SIM"), 1,0)</f>
        <v>1</v>
      </c>
      <c r="F192" s="139">
        <f>IF(AND('Ações'!$AB194="SIM", 'Ações'!AX194="SIM"), 1,0)</f>
        <v>0</v>
      </c>
      <c r="G192" s="139">
        <f>IF(AND('Ações'!$AC194="SIM", 'Ações'!AS194="SIM"), 1,0)</f>
        <v>1</v>
      </c>
      <c r="H192" s="139">
        <f>IF(AND('Ações'!$AC194="SIM", 'Ações'!AT194="SIM"), 1,0)</f>
        <v>1</v>
      </c>
      <c r="I192" s="139">
        <f>IF(AND('Ações'!$AC194="SIM", 'Ações'!AU194="SIM"), 1,0)</f>
        <v>0</v>
      </c>
      <c r="J192" s="139">
        <f>IF(AND('Ações'!$AC194="SIM", 'Ações'!AV194="SIM"), 1,0)</f>
        <v>1</v>
      </c>
      <c r="K192" s="139">
        <f>IF(AND('Ações'!$AC194="SIM", 'Ações'!AW194="SIM"), 1,0)</f>
        <v>1</v>
      </c>
      <c r="L192" s="139">
        <f>IF(AND('Ações'!$AC194="SIM", 'Ações'!AX194="SIM"), 1,0)</f>
        <v>0</v>
      </c>
      <c r="M192" s="139">
        <f>IF(AND('Ações'!$AD194="SIM", 'Ações'!AS194="SIM"), 1,0)</f>
        <v>1</v>
      </c>
      <c r="N192" s="139">
        <f>IF(AND('Ações'!$AD194="SIM", 'Ações'!AT194="SIM"), 1,0)</f>
        <v>1</v>
      </c>
      <c r="O192" s="139">
        <f>IF(AND('Ações'!$AD194="SIM", 'Ações'!AU194="SIM"), 1,0)</f>
        <v>0</v>
      </c>
      <c r="P192" s="139">
        <f>IF(AND('Ações'!$AD194="SIM", 'Ações'!AV194="SIM"), 1,0)</f>
        <v>1</v>
      </c>
      <c r="Q192" s="139">
        <f>IF(AND('Ações'!$AD194="SIM", 'Ações'!AW194="SIM"), 1,0)</f>
        <v>1</v>
      </c>
      <c r="R192" s="139">
        <f>IF(AND('Ações'!$AD194="SIM", 'Ações'!AX194="SIM"), 1,0)</f>
        <v>0</v>
      </c>
    </row>
    <row r="193">
      <c r="A193" s="139">
        <f>IF(AND('Ações'!AB195="SIM", 'Ações'!AS195="SIM"), 1,0)</f>
        <v>1</v>
      </c>
      <c r="B193" s="139">
        <f>IF(AND('Ações'!$AB195="SIM", 'Ações'!AT195="SIM"), 1,0)</f>
        <v>1</v>
      </c>
      <c r="C193" s="139">
        <f>IF(AND('Ações'!$AB195="SIM", 'Ações'!AU195="SIM"), 1,0)</f>
        <v>0</v>
      </c>
      <c r="D193" s="139">
        <f>IF(AND('Ações'!$AB195="SIM", 'Ações'!AV195="SIM"), 1,0)</f>
        <v>1</v>
      </c>
      <c r="E193" s="139">
        <f>IF(AND('Ações'!$AB195="SIM", 'Ações'!AW195="SIM"), 1,0)</f>
        <v>1</v>
      </c>
      <c r="F193" s="139">
        <f>IF(AND('Ações'!$AB195="SIM", 'Ações'!AX195="SIM"), 1,0)</f>
        <v>0</v>
      </c>
      <c r="G193" s="139">
        <f>IF(AND('Ações'!$AC195="SIM", 'Ações'!AS195="SIM"), 1,0)</f>
        <v>0</v>
      </c>
      <c r="H193" s="139">
        <f>IF(AND('Ações'!$AC195="SIM", 'Ações'!AT195="SIM"), 1,0)</f>
        <v>0</v>
      </c>
      <c r="I193" s="139">
        <f>IF(AND('Ações'!$AC195="SIM", 'Ações'!AU195="SIM"), 1,0)</f>
        <v>0</v>
      </c>
      <c r="J193" s="139">
        <f>IF(AND('Ações'!$AC195="SIM", 'Ações'!AV195="SIM"), 1,0)</f>
        <v>0</v>
      </c>
      <c r="K193" s="139">
        <f>IF(AND('Ações'!$AC195="SIM", 'Ações'!AW195="SIM"), 1,0)</f>
        <v>0</v>
      </c>
      <c r="L193" s="139">
        <f>IF(AND('Ações'!$AC195="SIM", 'Ações'!AX195="SIM"), 1,0)</f>
        <v>0</v>
      </c>
      <c r="M193" s="139">
        <f>IF(AND('Ações'!$AD195="SIM", 'Ações'!AS195="SIM"), 1,0)</f>
        <v>0</v>
      </c>
      <c r="N193" s="139">
        <f>IF(AND('Ações'!$AD195="SIM", 'Ações'!AT195="SIM"), 1,0)</f>
        <v>0</v>
      </c>
      <c r="O193" s="139">
        <f>IF(AND('Ações'!$AD195="SIM", 'Ações'!AU195="SIM"), 1,0)</f>
        <v>0</v>
      </c>
      <c r="P193" s="139">
        <f>IF(AND('Ações'!$AD195="SIM", 'Ações'!AV195="SIM"), 1,0)</f>
        <v>0</v>
      </c>
      <c r="Q193" s="139">
        <f>IF(AND('Ações'!$AD195="SIM", 'Ações'!AW195="SIM"), 1,0)</f>
        <v>0</v>
      </c>
      <c r="R193" s="139">
        <f>IF(AND('Ações'!$AD195="SIM", 'Ações'!AX195="SIM"), 1,0)</f>
        <v>0</v>
      </c>
    </row>
    <row r="194">
      <c r="A194" s="139">
        <f>IF(AND('Ações'!AB196="SIM", 'Ações'!AS196="SIM"), 1,0)</f>
        <v>1</v>
      </c>
      <c r="B194" s="139">
        <f>IF(AND('Ações'!$AB196="SIM", 'Ações'!AT196="SIM"), 1,0)</f>
        <v>1</v>
      </c>
      <c r="C194" s="139">
        <f>IF(AND('Ações'!$AB196="SIM", 'Ações'!AU196="SIM"), 1,0)</f>
        <v>0</v>
      </c>
      <c r="D194" s="139">
        <f>IF(AND('Ações'!$AB196="SIM", 'Ações'!AV196="SIM"), 1,0)</f>
        <v>1</v>
      </c>
      <c r="E194" s="139">
        <f>IF(AND('Ações'!$AB196="SIM", 'Ações'!AW196="SIM"), 1,0)</f>
        <v>1</v>
      </c>
      <c r="F194" s="139">
        <f>IF(AND('Ações'!$AB196="SIM", 'Ações'!AX196="SIM"), 1,0)</f>
        <v>0</v>
      </c>
      <c r="G194" s="139">
        <f>IF(AND('Ações'!$AC196="SIM", 'Ações'!AS196="SIM"), 1,0)</f>
        <v>0</v>
      </c>
      <c r="H194" s="139">
        <f>IF(AND('Ações'!$AC196="SIM", 'Ações'!AT196="SIM"), 1,0)</f>
        <v>0</v>
      </c>
      <c r="I194" s="139">
        <f>IF(AND('Ações'!$AC196="SIM", 'Ações'!AU196="SIM"), 1,0)</f>
        <v>0</v>
      </c>
      <c r="J194" s="139">
        <f>IF(AND('Ações'!$AC196="SIM", 'Ações'!AV196="SIM"), 1,0)</f>
        <v>0</v>
      </c>
      <c r="K194" s="139">
        <f>IF(AND('Ações'!$AC196="SIM", 'Ações'!AW196="SIM"), 1,0)</f>
        <v>0</v>
      </c>
      <c r="L194" s="139">
        <f>IF(AND('Ações'!$AC196="SIM", 'Ações'!AX196="SIM"), 1,0)</f>
        <v>0</v>
      </c>
      <c r="M194" s="139">
        <f>IF(AND('Ações'!$AD196="SIM", 'Ações'!AS196="SIM"), 1,0)</f>
        <v>0</v>
      </c>
      <c r="N194" s="139">
        <f>IF(AND('Ações'!$AD196="SIM", 'Ações'!AT196="SIM"), 1,0)</f>
        <v>0</v>
      </c>
      <c r="O194" s="139">
        <f>IF(AND('Ações'!$AD196="SIM", 'Ações'!AU196="SIM"), 1,0)</f>
        <v>0</v>
      </c>
      <c r="P194" s="139">
        <f>IF(AND('Ações'!$AD196="SIM", 'Ações'!AV196="SIM"), 1,0)</f>
        <v>0</v>
      </c>
      <c r="Q194" s="139">
        <f>IF(AND('Ações'!$AD196="SIM", 'Ações'!AW196="SIM"), 1,0)</f>
        <v>0</v>
      </c>
      <c r="R194" s="139">
        <f>IF(AND('Ações'!$AD196="SIM", 'Ações'!AX196="SIM"), 1,0)</f>
        <v>0</v>
      </c>
    </row>
    <row r="195">
      <c r="A195" s="139">
        <f>IF(AND('Ações'!AB197="SIM", 'Ações'!AS197="SIM"), 1,0)</f>
        <v>1</v>
      </c>
      <c r="B195" s="139">
        <f>IF(AND('Ações'!$AB197="SIM", 'Ações'!AT197="SIM"), 1,0)</f>
        <v>1</v>
      </c>
      <c r="C195" s="139">
        <f>IF(AND('Ações'!$AB197="SIM", 'Ações'!AU197="SIM"), 1,0)</f>
        <v>0</v>
      </c>
      <c r="D195" s="139">
        <f>IF(AND('Ações'!$AB197="SIM", 'Ações'!AV197="SIM"), 1,0)</f>
        <v>1</v>
      </c>
      <c r="E195" s="139">
        <f>IF(AND('Ações'!$AB197="SIM", 'Ações'!AW197="SIM"), 1,0)</f>
        <v>1</v>
      </c>
      <c r="F195" s="139">
        <f>IF(AND('Ações'!$AB197="SIM", 'Ações'!AX197="SIM"), 1,0)</f>
        <v>0</v>
      </c>
      <c r="G195" s="139">
        <f>IF(AND('Ações'!$AC197="SIM", 'Ações'!AS197="SIM"), 1,0)</f>
        <v>1</v>
      </c>
      <c r="H195" s="139">
        <f>IF(AND('Ações'!$AC197="SIM", 'Ações'!AT197="SIM"), 1,0)</f>
        <v>1</v>
      </c>
      <c r="I195" s="139">
        <f>IF(AND('Ações'!$AC197="SIM", 'Ações'!AU197="SIM"), 1,0)</f>
        <v>0</v>
      </c>
      <c r="J195" s="139">
        <f>IF(AND('Ações'!$AC197="SIM", 'Ações'!AV197="SIM"), 1,0)</f>
        <v>1</v>
      </c>
      <c r="K195" s="139">
        <f>IF(AND('Ações'!$AC197="SIM", 'Ações'!AW197="SIM"), 1,0)</f>
        <v>1</v>
      </c>
      <c r="L195" s="139">
        <f>IF(AND('Ações'!$AC197="SIM", 'Ações'!AX197="SIM"), 1,0)</f>
        <v>0</v>
      </c>
      <c r="M195" s="139">
        <f>IF(AND('Ações'!$AD197="SIM", 'Ações'!AS197="SIM"), 1,0)</f>
        <v>0</v>
      </c>
      <c r="N195" s="139">
        <f>IF(AND('Ações'!$AD197="SIM", 'Ações'!AT197="SIM"), 1,0)</f>
        <v>0</v>
      </c>
      <c r="O195" s="139">
        <f>IF(AND('Ações'!$AD197="SIM", 'Ações'!AU197="SIM"), 1,0)</f>
        <v>0</v>
      </c>
      <c r="P195" s="139">
        <f>IF(AND('Ações'!$AD197="SIM", 'Ações'!AV197="SIM"), 1,0)</f>
        <v>0</v>
      </c>
      <c r="Q195" s="139">
        <f>IF(AND('Ações'!$AD197="SIM", 'Ações'!AW197="SIM"), 1,0)</f>
        <v>0</v>
      </c>
      <c r="R195" s="139">
        <f>IF(AND('Ações'!$AD197="SIM", 'Ações'!AX197="SIM"), 1,0)</f>
        <v>0</v>
      </c>
    </row>
    <row r="196">
      <c r="A196" s="139">
        <f>IF(AND('Ações'!AB198="SIM", 'Ações'!AS198="SIM"), 1,0)</f>
        <v>1</v>
      </c>
      <c r="B196" s="139">
        <f>IF(AND('Ações'!$AB198="SIM", 'Ações'!AT198="SIM"), 1,0)</f>
        <v>1</v>
      </c>
      <c r="C196" s="139">
        <f>IF(AND('Ações'!$AB198="SIM", 'Ações'!AU198="SIM"), 1,0)</f>
        <v>0</v>
      </c>
      <c r="D196" s="139">
        <f>IF(AND('Ações'!$AB198="SIM", 'Ações'!AV198="SIM"), 1,0)</f>
        <v>1</v>
      </c>
      <c r="E196" s="139">
        <f>IF(AND('Ações'!$AB198="SIM", 'Ações'!AW198="SIM"), 1,0)</f>
        <v>1</v>
      </c>
      <c r="F196" s="139">
        <f>IF(AND('Ações'!$AB198="SIM", 'Ações'!AX198="SIM"), 1,0)</f>
        <v>0</v>
      </c>
      <c r="G196" s="139">
        <f>IF(AND('Ações'!$AC198="SIM", 'Ações'!AS198="SIM"), 1,0)</f>
        <v>0</v>
      </c>
      <c r="H196" s="139">
        <f>IF(AND('Ações'!$AC198="SIM", 'Ações'!AT198="SIM"), 1,0)</f>
        <v>0</v>
      </c>
      <c r="I196" s="139">
        <f>IF(AND('Ações'!$AC198="SIM", 'Ações'!AU198="SIM"), 1,0)</f>
        <v>0</v>
      </c>
      <c r="J196" s="139">
        <f>IF(AND('Ações'!$AC198="SIM", 'Ações'!AV198="SIM"), 1,0)</f>
        <v>0</v>
      </c>
      <c r="K196" s="139">
        <f>IF(AND('Ações'!$AC198="SIM", 'Ações'!AW198="SIM"), 1,0)</f>
        <v>0</v>
      </c>
      <c r="L196" s="139">
        <f>IF(AND('Ações'!$AC198="SIM", 'Ações'!AX198="SIM"), 1,0)</f>
        <v>0</v>
      </c>
      <c r="M196" s="139">
        <f>IF(AND('Ações'!$AD198="SIM", 'Ações'!AS198="SIM"), 1,0)</f>
        <v>0</v>
      </c>
      <c r="N196" s="139">
        <f>IF(AND('Ações'!$AD198="SIM", 'Ações'!AT198="SIM"), 1,0)</f>
        <v>0</v>
      </c>
      <c r="O196" s="139">
        <f>IF(AND('Ações'!$AD198="SIM", 'Ações'!AU198="SIM"), 1,0)</f>
        <v>0</v>
      </c>
      <c r="P196" s="139">
        <f>IF(AND('Ações'!$AD198="SIM", 'Ações'!AV198="SIM"), 1,0)</f>
        <v>0</v>
      </c>
      <c r="Q196" s="139">
        <f>IF(AND('Ações'!$AD198="SIM", 'Ações'!AW198="SIM"), 1,0)</f>
        <v>0</v>
      </c>
      <c r="R196" s="139">
        <f>IF(AND('Ações'!$AD198="SIM", 'Ações'!AX198="SIM"), 1,0)</f>
        <v>0</v>
      </c>
    </row>
    <row r="197">
      <c r="A197" s="139">
        <f>IF(AND('Ações'!AB199="SIM", 'Ações'!AS199="SIM"), 1,0)</f>
        <v>0</v>
      </c>
      <c r="B197" s="139">
        <f>IF(AND('Ações'!$AB199="SIM", 'Ações'!AT199="SIM"), 1,0)</f>
        <v>1</v>
      </c>
      <c r="C197" s="139">
        <f>IF(AND('Ações'!$AB199="SIM", 'Ações'!AU199="SIM"), 1,0)</f>
        <v>1</v>
      </c>
      <c r="D197" s="139">
        <f>IF(AND('Ações'!$AB199="SIM", 'Ações'!AV199="SIM"), 1,0)</f>
        <v>1</v>
      </c>
      <c r="E197" s="139">
        <f>IF(AND('Ações'!$AB199="SIM", 'Ações'!AW199="SIM"), 1,0)</f>
        <v>1</v>
      </c>
      <c r="F197" s="139">
        <f>IF(AND('Ações'!$AB199="SIM", 'Ações'!AX199="SIM"), 1,0)</f>
        <v>0</v>
      </c>
      <c r="G197" s="139">
        <f>IF(AND('Ações'!$AC199="SIM", 'Ações'!AS199="SIM"), 1,0)</f>
        <v>0</v>
      </c>
      <c r="H197" s="139">
        <f>IF(AND('Ações'!$AC199="SIM", 'Ações'!AT199="SIM"), 1,0)</f>
        <v>0</v>
      </c>
      <c r="I197" s="139">
        <f>IF(AND('Ações'!$AC199="SIM", 'Ações'!AU199="SIM"), 1,0)</f>
        <v>0</v>
      </c>
      <c r="J197" s="139">
        <f>IF(AND('Ações'!$AC199="SIM", 'Ações'!AV199="SIM"), 1,0)</f>
        <v>0</v>
      </c>
      <c r="K197" s="139">
        <f>IF(AND('Ações'!$AC199="SIM", 'Ações'!AW199="SIM"), 1,0)</f>
        <v>0</v>
      </c>
      <c r="L197" s="139">
        <f>IF(AND('Ações'!$AC199="SIM", 'Ações'!AX199="SIM"), 1,0)</f>
        <v>0</v>
      </c>
      <c r="M197" s="139">
        <f>IF(AND('Ações'!$AD199="SIM", 'Ações'!AS199="SIM"), 1,0)</f>
        <v>0</v>
      </c>
      <c r="N197" s="139">
        <f>IF(AND('Ações'!$AD199="SIM", 'Ações'!AT199="SIM"), 1,0)</f>
        <v>0</v>
      </c>
      <c r="O197" s="139">
        <f>IF(AND('Ações'!$AD199="SIM", 'Ações'!AU199="SIM"), 1,0)</f>
        <v>0</v>
      </c>
      <c r="P197" s="139">
        <f>IF(AND('Ações'!$AD199="SIM", 'Ações'!AV199="SIM"), 1,0)</f>
        <v>0</v>
      </c>
      <c r="Q197" s="139">
        <f>IF(AND('Ações'!$AD199="SIM", 'Ações'!AW199="SIM"), 1,0)</f>
        <v>0</v>
      </c>
      <c r="R197" s="139">
        <f>IF(AND('Ações'!$AD199="SIM", 'Ações'!AX199="SIM"), 1,0)</f>
        <v>0</v>
      </c>
    </row>
    <row r="198">
      <c r="A198" s="139">
        <f>IF(AND('Ações'!AB200="SIM", 'Ações'!AS200="SIM"), 1,0)</f>
        <v>0</v>
      </c>
      <c r="B198" s="139">
        <f>IF(AND('Ações'!$AB200="SIM", 'Ações'!AT200="SIM"), 1,0)</f>
        <v>1</v>
      </c>
      <c r="C198" s="139">
        <f>IF(AND('Ações'!$AB200="SIM", 'Ações'!AU200="SIM"), 1,0)</f>
        <v>1</v>
      </c>
      <c r="D198" s="139">
        <f>IF(AND('Ações'!$AB200="SIM", 'Ações'!AV200="SIM"), 1,0)</f>
        <v>1</v>
      </c>
      <c r="E198" s="139">
        <f>IF(AND('Ações'!$AB200="SIM", 'Ações'!AW200="SIM"), 1,0)</f>
        <v>1</v>
      </c>
      <c r="F198" s="139">
        <f>IF(AND('Ações'!$AB200="SIM", 'Ações'!AX200="SIM"), 1,0)</f>
        <v>0</v>
      </c>
      <c r="G198" s="139">
        <f>IF(AND('Ações'!$AC200="SIM", 'Ações'!AS200="SIM"), 1,0)</f>
        <v>0</v>
      </c>
      <c r="H198" s="139">
        <f>IF(AND('Ações'!$AC200="SIM", 'Ações'!AT200="SIM"), 1,0)</f>
        <v>0</v>
      </c>
      <c r="I198" s="139">
        <f>IF(AND('Ações'!$AC200="SIM", 'Ações'!AU200="SIM"), 1,0)</f>
        <v>0</v>
      </c>
      <c r="J198" s="139">
        <f>IF(AND('Ações'!$AC200="SIM", 'Ações'!AV200="SIM"), 1,0)</f>
        <v>0</v>
      </c>
      <c r="K198" s="139">
        <f>IF(AND('Ações'!$AC200="SIM", 'Ações'!AW200="SIM"), 1,0)</f>
        <v>0</v>
      </c>
      <c r="L198" s="139">
        <f>IF(AND('Ações'!$AC200="SIM", 'Ações'!AX200="SIM"), 1,0)</f>
        <v>0</v>
      </c>
      <c r="M198" s="139">
        <f>IF(AND('Ações'!$AD200="SIM", 'Ações'!AS200="SIM"), 1,0)</f>
        <v>0</v>
      </c>
      <c r="N198" s="139">
        <f>IF(AND('Ações'!$AD200="SIM", 'Ações'!AT200="SIM"), 1,0)</f>
        <v>0</v>
      </c>
      <c r="O198" s="139">
        <f>IF(AND('Ações'!$AD200="SIM", 'Ações'!AU200="SIM"), 1,0)</f>
        <v>0</v>
      </c>
      <c r="P198" s="139">
        <f>IF(AND('Ações'!$AD200="SIM", 'Ações'!AV200="SIM"), 1,0)</f>
        <v>0</v>
      </c>
      <c r="Q198" s="139">
        <f>IF(AND('Ações'!$AD200="SIM", 'Ações'!AW200="SIM"), 1,0)</f>
        <v>0</v>
      </c>
      <c r="R198" s="139">
        <f>IF(AND('Ações'!$AD200="SIM", 'Ações'!AX200="SIM"), 1,0)</f>
        <v>0</v>
      </c>
    </row>
    <row r="199">
      <c r="A199" s="139">
        <f>IF(AND('Ações'!AB201="SIM", 'Ações'!AS201="SIM"), 1,0)</f>
        <v>0</v>
      </c>
      <c r="B199" s="139">
        <f>IF(AND('Ações'!$AB201="SIM", 'Ações'!AT201="SIM"), 1,0)</f>
        <v>1</v>
      </c>
      <c r="C199" s="139">
        <f>IF(AND('Ações'!$AB201="SIM", 'Ações'!AU201="SIM"), 1,0)</f>
        <v>1</v>
      </c>
      <c r="D199" s="139">
        <f>IF(AND('Ações'!$AB201="SIM", 'Ações'!AV201="SIM"), 1,0)</f>
        <v>1</v>
      </c>
      <c r="E199" s="139">
        <f>IF(AND('Ações'!$AB201="SIM", 'Ações'!AW201="SIM"), 1,0)</f>
        <v>1</v>
      </c>
      <c r="F199" s="139">
        <f>IF(AND('Ações'!$AB201="SIM", 'Ações'!AX201="SIM"), 1,0)</f>
        <v>0</v>
      </c>
      <c r="G199" s="139">
        <f>IF(AND('Ações'!$AC201="SIM", 'Ações'!AS201="SIM"), 1,0)</f>
        <v>0</v>
      </c>
      <c r="H199" s="139">
        <f>IF(AND('Ações'!$AC201="SIM", 'Ações'!AT201="SIM"), 1,0)</f>
        <v>1</v>
      </c>
      <c r="I199" s="139">
        <f>IF(AND('Ações'!$AC201="SIM", 'Ações'!AU201="SIM"), 1,0)</f>
        <v>1</v>
      </c>
      <c r="J199" s="139">
        <f>IF(AND('Ações'!$AC201="SIM", 'Ações'!AV201="SIM"), 1,0)</f>
        <v>1</v>
      </c>
      <c r="K199" s="139">
        <f>IF(AND('Ações'!$AC201="SIM", 'Ações'!AW201="SIM"), 1,0)</f>
        <v>1</v>
      </c>
      <c r="L199" s="139">
        <f>IF(AND('Ações'!$AC201="SIM", 'Ações'!AX201="SIM"), 1,0)</f>
        <v>0</v>
      </c>
      <c r="M199" s="139">
        <f>IF(AND('Ações'!$AD201="SIM", 'Ações'!AS201="SIM"), 1,0)</f>
        <v>0</v>
      </c>
      <c r="N199" s="139">
        <f>IF(AND('Ações'!$AD201="SIM", 'Ações'!AT201="SIM"), 1,0)</f>
        <v>0</v>
      </c>
      <c r="O199" s="139">
        <f>IF(AND('Ações'!$AD201="SIM", 'Ações'!AU201="SIM"), 1,0)</f>
        <v>0</v>
      </c>
      <c r="P199" s="139">
        <f>IF(AND('Ações'!$AD201="SIM", 'Ações'!AV201="SIM"), 1,0)</f>
        <v>0</v>
      </c>
      <c r="Q199" s="139">
        <f>IF(AND('Ações'!$AD201="SIM", 'Ações'!AW201="SIM"), 1,0)</f>
        <v>0</v>
      </c>
      <c r="R199" s="139">
        <f>IF(AND('Ações'!$AD201="SIM", 'Ações'!AX201="SIM"), 1,0)</f>
        <v>0</v>
      </c>
    </row>
    <row r="200">
      <c r="A200" s="139">
        <f>IF(AND('Ações'!AB202="SIM", 'Ações'!AS202="SIM"), 1,0)</f>
        <v>0</v>
      </c>
      <c r="B200" s="139">
        <f>IF(AND('Ações'!$AB202="SIM", 'Ações'!AT202="SIM"), 1,0)</f>
        <v>1</v>
      </c>
      <c r="C200" s="139">
        <f>IF(AND('Ações'!$AB202="SIM", 'Ações'!AU202="SIM"), 1,0)</f>
        <v>1</v>
      </c>
      <c r="D200" s="139">
        <f>IF(AND('Ações'!$AB202="SIM", 'Ações'!AV202="SIM"), 1,0)</f>
        <v>1</v>
      </c>
      <c r="E200" s="139">
        <f>IF(AND('Ações'!$AB202="SIM", 'Ações'!AW202="SIM"), 1,0)</f>
        <v>1</v>
      </c>
      <c r="F200" s="139">
        <f>IF(AND('Ações'!$AB202="SIM", 'Ações'!AX202="SIM"), 1,0)</f>
        <v>0</v>
      </c>
      <c r="G200" s="139">
        <f>IF(AND('Ações'!$AC202="SIM", 'Ações'!AS202="SIM"), 1,0)</f>
        <v>0</v>
      </c>
      <c r="H200" s="139">
        <f>IF(AND('Ações'!$AC202="SIM", 'Ações'!AT202="SIM"), 1,0)</f>
        <v>0</v>
      </c>
      <c r="I200" s="139">
        <f>IF(AND('Ações'!$AC202="SIM", 'Ações'!AU202="SIM"), 1,0)</f>
        <v>0</v>
      </c>
      <c r="J200" s="139">
        <f>IF(AND('Ações'!$AC202="SIM", 'Ações'!AV202="SIM"), 1,0)</f>
        <v>0</v>
      </c>
      <c r="K200" s="139">
        <f>IF(AND('Ações'!$AC202="SIM", 'Ações'!AW202="SIM"), 1,0)</f>
        <v>0</v>
      </c>
      <c r="L200" s="139">
        <f>IF(AND('Ações'!$AC202="SIM", 'Ações'!AX202="SIM"), 1,0)</f>
        <v>0</v>
      </c>
      <c r="M200" s="139">
        <f>IF(AND('Ações'!$AD202="SIM", 'Ações'!AS202="SIM"), 1,0)</f>
        <v>0</v>
      </c>
      <c r="N200" s="139">
        <f>IF(AND('Ações'!$AD202="SIM", 'Ações'!AT202="SIM"), 1,0)</f>
        <v>0</v>
      </c>
      <c r="O200" s="139">
        <f>IF(AND('Ações'!$AD202="SIM", 'Ações'!AU202="SIM"), 1,0)</f>
        <v>0</v>
      </c>
      <c r="P200" s="139">
        <f>IF(AND('Ações'!$AD202="SIM", 'Ações'!AV202="SIM"), 1,0)</f>
        <v>0</v>
      </c>
      <c r="Q200" s="139">
        <f>IF(AND('Ações'!$AD202="SIM", 'Ações'!AW202="SIM"), 1,0)</f>
        <v>0</v>
      </c>
      <c r="R200" s="139">
        <f>IF(AND('Ações'!$AD202="SIM", 'Ações'!AX202="SIM"), 1,0)</f>
        <v>0</v>
      </c>
    </row>
    <row r="201">
      <c r="A201" s="139">
        <f>IF(AND('Ações'!AB203="SIM", 'Ações'!AS203="SIM"), 1,0)</f>
        <v>0</v>
      </c>
      <c r="B201" s="139">
        <f>IF(AND('Ações'!$AB203="SIM", 'Ações'!AT203="SIM"), 1,0)</f>
        <v>1</v>
      </c>
      <c r="C201" s="139">
        <f>IF(AND('Ações'!$AB203="SIM", 'Ações'!AU203="SIM"), 1,0)</f>
        <v>1</v>
      </c>
      <c r="D201" s="139">
        <f>IF(AND('Ações'!$AB203="SIM", 'Ações'!AV203="SIM"), 1,0)</f>
        <v>1</v>
      </c>
      <c r="E201" s="139">
        <f>IF(AND('Ações'!$AB203="SIM", 'Ações'!AW203="SIM"), 1,0)</f>
        <v>1</v>
      </c>
      <c r="F201" s="139">
        <f>IF(AND('Ações'!$AB203="SIM", 'Ações'!AX203="SIM"), 1,0)</f>
        <v>0</v>
      </c>
      <c r="G201" s="139">
        <f>IF(AND('Ações'!$AC203="SIM", 'Ações'!AS203="SIM"), 1,0)</f>
        <v>0</v>
      </c>
      <c r="H201" s="139">
        <f>IF(AND('Ações'!$AC203="SIM", 'Ações'!AT203="SIM"), 1,0)</f>
        <v>1</v>
      </c>
      <c r="I201" s="139">
        <f>IF(AND('Ações'!$AC203="SIM", 'Ações'!AU203="SIM"), 1,0)</f>
        <v>1</v>
      </c>
      <c r="J201" s="139">
        <f>IF(AND('Ações'!$AC203="SIM", 'Ações'!AV203="SIM"), 1,0)</f>
        <v>1</v>
      </c>
      <c r="K201" s="139">
        <f>IF(AND('Ações'!$AC203="SIM", 'Ações'!AW203="SIM"), 1,0)</f>
        <v>1</v>
      </c>
      <c r="L201" s="139">
        <f>IF(AND('Ações'!$AC203="SIM", 'Ações'!AX203="SIM"), 1,0)</f>
        <v>0</v>
      </c>
      <c r="M201" s="139">
        <f>IF(AND('Ações'!$AD203="SIM", 'Ações'!AS203="SIM"), 1,0)</f>
        <v>0</v>
      </c>
      <c r="N201" s="139">
        <f>IF(AND('Ações'!$AD203="SIM", 'Ações'!AT203="SIM"), 1,0)</f>
        <v>0</v>
      </c>
      <c r="O201" s="139">
        <f>IF(AND('Ações'!$AD203="SIM", 'Ações'!AU203="SIM"), 1,0)</f>
        <v>0</v>
      </c>
      <c r="P201" s="139">
        <f>IF(AND('Ações'!$AD203="SIM", 'Ações'!AV203="SIM"), 1,0)</f>
        <v>0</v>
      </c>
      <c r="Q201" s="139">
        <f>IF(AND('Ações'!$AD203="SIM", 'Ações'!AW203="SIM"), 1,0)</f>
        <v>0</v>
      </c>
      <c r="R201" s="139">
        <f>IF(AND('Ações'!$AD203="SIM", 'Ações'!AX203="SIM"), 1,0)</f>
        <v>0</v>
      </c>
    </row>
    <row r="202">
      <c r="A202" s="139">
        <f>IF(AND('Ações'!AB204="SIM", 'Ações'!AS204="SIM"), 1,0)</f>
        <v>0</v>
      </c>
      <c r="B202" s="139">
        <f>IF(AND('Ações'!$AB204="SIM", 'Ações'!AT204="SIM"), 1,0)</f>
        <v>1</v>
      </c>
      <c r="C202" s="139">
        <f>IF(AND('Ações'!$AB204="SIM", 'Ações'!AU204="SIM"), 1,0)</f>
        <v>1</v>
      </c>
      <c r="D202" s="139">
        <f>IF(AND('Ações'!$AB204="SIM", 'Ações'!AV204="SIM"), 1,0)</f>
        <v>1</v>
      </c>
      <c r="E202" s="139">
        <f>IF(AND('Ações'!$AB204="SIM", 'Ações'!AW204="SIM"), 1,0)</f>
        <v>1</v>
      </c>
      <c r="F202" s="139">
        <f>IF(AND('Ações'!$AB204="SIM", 'Ações'!AX204="SIM"), 1,0)</f>
        <v>0</v>
      </c>
      <c r="G202" s="139">
        <f>IF(AND('Ações'!$AC204="SIM", 'Ações'!AS204="SIM"), 1,0)</f>
        <v>0</v>
      </c>
      <c r="H202" s="139">
        <f>IF(AND('Ações'!$AC204="SIM", 'Ações'!AT204="SIM"), 1,0)</f>
        <v>0</v>
      </c>
      <c r="I202" s="139">
        <f>IF(AND('Ações'!$AC204="SIM", 'Ações'!AU204="SIM"), 1,0)</f>
        <v>0</v>
      </c>
      <c r="J202" s="139">
        <f>IF(AND('Ações'!$AC204="SIM", 'Ações'!AV204="SIM"), 1,0)</f>
        <v>0</v>
      </c>
      <c r="K202" s="139">
        <f>IF(AND('Ações'!$AC204="SIM", 'Ações'!AW204="SIM"), 1,0)</f>
        <v>0</v>
      </c>
      <c r="L202" s="139">
        <f>IF(AND('Ações'!$AC204="SIM", 'Ações'!AX204="SIM"), 1,0)</f>
        <v>0</v>
      </c>
      <c r="M202" s="139">
        <f>IF(AND('Ações'!$AD204="SIM", 'Ações'!AS204="SIM"), 1,0)</f>
        <v>0</v>
      </c>
      <c r="N202" s="139">
        <f>IF(AND('Ações'!$AD204="SIM", 'Ações'!AT204="SIM"), 1,0)</f>
        <v>0</v>
      </c>
      <c r="O202" s="139">
        <f>IF(AND('Ações'!$AD204="SIM", 'Ações'!AU204="SIM"), 1,0)</f>
        <v>0</v>
      </c>
      <c r="P202" s="139">
        <f>IF(AND('Ações'!$AD204="SIM", 'Ações'!AV204="SIM"), 1,0)</f>
        <v>0</v>
      </c>
      <c r="Q202" s="139">
        <f>IF(AND('Ações'!$AD204="SIM", 'Ações'!AW204="SIM"), 1,0)</f>
        <v>0</v>
      </c>
      <c r="R202" s="139">
        <f>IF(AND('Ações'!$AD204="SIM", 'Ações'!AX204="SIM"), 1,0)</f>
        <v>0</v>
      </c>
    </row>
    <row r="203">
      <c r="A203" s="139">
        <f>IF(AND('Ações'!AB205="SIM", 'Ações'!AS205="SIM"), 1,0)</f>
        <v>0</v>
      </c>
      <c r="B203" s="139">
        <f>IF(AND('Ações'!$AB205="SIM", 'Ações'!AT205="SIM"), 1,0)</f>
        <v>0</v>
      </c>
      <c r="C203" s="139">
        <f>IF(AND('Ações'!$AB205="SIM", 'Ações'!AU205="SIM"), 1,0)</f>
        <v>0</v>
      </c>
      <c r="D203" s="139">
        <f>IF(AND('Ações'!$AB205="SIM", 'Ações'!AV205="SIM"), 1,0)</f>
        <v>0</v>
      </c>
      <c r="E203" s="139">
        <f>IF(AND('Ações'!$AB205="SIM", 'Ações'!AW205="SIM"), 1,0)</f>
        <v>0</v>
      </c>
      <c r="F203" s="139">
        <f>IF(AND('Ações'!$AB205="SIM", 'Ações'!AX205="SIM"), 1,0)</f>
        <v>0</v>
      </c>
      <c r="G203" s="139">
        <f>IF(AND('Ações'!$AC205="SIM", 'Ações'!AS205="SIM"), 1,0)</f>
        <v>0</v>
      </c>
      <c r="H203" s="139">
        <f>IF(AND('Ações'!$AC205="SIM", 'Ações'!AT205="SIM"), 1,0)</f>
        <v>1</v>
      </c>
      <c r="I203" s="139">
        <f>IF(AND('Ações'!$AC205="SIM", 'Ações'!AU205="SIM"), 1,0)</f>
        <v>1</v>
      </c>
      <c r="J203" s="139">
        <f>IF(AND('Ações'!$AC205="SIM", 'Ações'!AV205="SIM"), 1,0)</f>
        <v>1</v>
      </c>
      <c r="K203" s="139">
        <f>IF(AND('Ações'!$AC205="SIM", 'Ações'!AW205="SIM"), 1,0)</f>
        <v>1</v>
      </c>
      <c r="L203" s="139">
        <f>IF(AND('Ações'!$AC205="SIM", 'Ações'!AX205="SIM"), 1,0)</f>
        <v>0</v>
      </c>
      <c r="M203" s="139">
        <f>IF(AND('Ações'!$AD205="SIM", 'Ações'!AS205="SIM"), 1,0)</f>
        <v>0</v>
      </c>
      <c r="N203" s="139">
        <f>IF(AND('Ações'!$AD205="SIM", 'Ações'!AT205="SIM"), 1,0)</f>
        <v>0</v>
      </c>
      <c r="O203" s="139">
        <f>IF(AND('Ações'!$AD205="SIM", 'Ações'!AU205="SIM"), 1,0)</f>
        <v>0</v>
      </c>
      <c r="P203" s="139">
        <f>IF(AND('Ações'!$AD205="SIM", 'Ações'!AV205="SIM"), 1,0)</f>
        <v>0</v>
      </c>
      <c r="Q203" s="139">
        <f>IF(AND('Ações'!$AD205="SIM", 'Ações'!AW205="SIM"), 1,0)</f>
        <v>0</v>
      </c>
      <c r="R203" s="139">
        <f>IF(AND('Ações'!$AD205="SIM", 'Ações'!AX205="SIM"), 1,0)</f>
        <v>0</v>
      </c>
    </row>
    <row r="204">
      <c r="A204" s="139">
        <f>IF(AND('Ações'!AB206="SIM", 'Ações'!AS206="SIM"), 1,0)</f>
        <v>0</v>
      </c>
      <c r="B204" s="139">
        <f>IF(AND('Ações'!$AB206="SIM", 'Ações'!AT206="SIM"), 1,0)</f>
        <v>0</v>
      </c>
      <c r="C204" s="139">
        <f>IF(AND('Ações'!$AB206="SIM", 'Ações'!AU206="SIM"), 1,0)</f>
        <v>0</v>
      </c>
      <c r="D204" s="139">
        <f>IF(AND('Ações'!$AB206="SIM", 'Ações'!AV206="SIM"), 1,0)</f>
        <v>0</v>
      </c>
      <c r="E204" s="139">
        <f>IF(AND('Ações'!$AB206="SIM", 'Ações'!AW206="SIM"), 1,0)</f>
        <v>0</v>
      </c>
      <c r="F204" s="139">
        <f>IF(AND('Ações'!$AB206="SIM", 'Ações'!AX206="SIM"), 1,0)</f>
        <v>0</v>
      </c>
      <c r="G204" s="139">
        <f>IF(AND('Ações'!$AC206="SIM", 'Ações'!AS206="SIM"), 1,0)</f>
        <v>0</v>
      </c>
      <c r="H204" s="139">
        <f>IF(AND('Ações'!$AC206="SIM", 'Ações'!AT206="SIM"), 1,0)</f>
        <v>1</v>
      </c>
      <c r="I204" s="139">
        <f>IF(AND('Ações'!$AC206="SIM", 'Ações'!AU206="SIM"), 1,0)</f>
        <v>1</v>
      </c>
      <c r="J204" s="139">
        <f>IF(AND('Ações'!$AC206="SIM", 'Ações'!AV206="SIM"), 1,0)</f>
        <v>1</v>
      </c>
      <c r="K204" s="139">
        <f>IF(AND('Ações'!$AC206="SIM", 'Ações'!AW206="SIM"), 1,0)</f>
        <v>1</v>
      </c>
      <c r="L204" s="139">
        <f>IF(AND('Ações'!$AC206="SIM", 'Ações'!AX206="SIM"), 1,0)</f>
        <v>0</v>
      </c>
      <c r="M204" s="139">
        <f>IF(AND('Ações'!$AD206="SIM", 'Ações'!AS206="SIM"), 1,0)</f>
        <v>0</v>
      </c>
      <c r="N204" s="139">
        <f>IF(AND('Ações'!$AD206="SIM", 'Ações'!AT206="SIM"), 1,0)</f>
        <v>0</v>
      </c>
      <c r="O204" s="139">
        <f>IF(AND('Ações'!$AD206="SIM", 'Ações'!AU206="SIM"), 1,0)</f>
        <v>0</v>
      </c>
      <c r="P204" s="139">
        <f>IF(AND('Ações'!$AD206="SIM", 'Ações'!AV206="SIM"), 1,0)</f>
        <v>0</v>
      </c>
      <c r="Q204" s="139">
        <f>IF(AND('Ações'!$AD206="SIM", 'Ações'!AW206="SIM"), 1,0)</f>
        <v>0</v>
      </c>
      <c r="R204" s="139">
        <f>IF(AND('Ações'!$AD206="SIM", 'Ações'!AX206="SIM"), 1,0)</f>
        <v>0</v>
      </c>
    </row>
    <row r="205">
      <c r="A205" s="139">
        <f>IF(AND('Ações'!AB207="SIM", 'Ações'!AS207="SIM"), 1,0)</f>
        <v>0</v>
      </c>
      <c r="B205" s="139">
        <f>IF(AND('Ações'!$AB207="SIM", 'Ações'!AT207="SIM"), 1,0)</f>
        <v>0</v>
      </c>
      <c r="C205" s="139">
        <f>IF(AND('Ações'!$AB207="SIM", 'Ações'!AU207="SIM"), 1,0)</f>
        <v>0</v>
      </c>
      <c r="D205" s="139">
        <f>IF(AND('Ações'!$AB207="SIM", 'Ações'!AV207="SIM"), 1,0)</f>
        <v>0</v>
      </c>
      <c r="E205" s="139">
        <f>IF(AND('Ações'!$AB207="SIM", 'Ações'!AW207="SIM"), 1,0)</f>
        <v>0</v>
      </c>
      <c r="F205" s="139">
        <f>IF(AND('Ações'!$AB207="SIM", 'Ações'!AX207="SIM"), 1,0)</f>
        <v>0</v>
      </c>
      <c r="G205" s="139">
        <f>IF(AND('Ações'!$AC207="SIM", 'Ações'!AS207="SIM"), 1,0)</f>
        <v>0</v>
      </c>
      <c r="H205" s="139">
        <f>IF(AND('Ações'!$AC207="SIM", 'Ações'!AT207="SIM"), 1,0)</f>
        <v>1</v>
      </c>
      <c r="I205" s="139">
        <f>IF(AND('Ações'!$AC207="SIM", 'Ações'!AU207="SIM"), 1,0)</f>
        <v>1</v>
      </c>
      <c r="J205" s="139">
        <f>IF(AND('Ações'!$AC207="SIM", 'Ações'!AV207="SIM"), 1,0)</f>
        <v>1</v>
      </c>
      <c r="K205" s="139">
        <f>IF(AND('Ações'!$AC207="SIM", 'Ações'!AW207="SIM"), 1,0)</f>
        <v>1</v>
      </c>
      <c r="L205" s="139">
        <f>IF(AND('Ações'!$AC207="SIM", 'Ações'!AX207="SIM"), 1,0)</f>
        <v>0</v>
      </c>
      <c r="M205" s="139">
        <f>IF(AND('Ações'!$AD207="SIM", 'Ações'!AS207="SIM"), 1,0)</f>
        <v>0</v>
      </c>
      <c r="N205" s="139">
        <f>IF(AND('Ações'!$AD207="SIM", 'Ações'!AT207="SIM"), 1,0)</f>
        <v>0</v>
      </c>
      <c r="O205" s="139">
        <f>IF(AND('Ações'!$AD207="SIM", 'Ações'!AU207="SIM"), 1,0)</f>
        <v>0</v>
      </c>
      <c r="P205" s="139">
        <f>IF(AND('Ações'!$AD207="SIM", 'Ações'!AV207="SIM"), 1,0)</f>
        <v>0</v>
      </c>
      <c r="Q205" s="139">
        <f>IF(AND('Ações'!$AD207="SIM", 'Ações'!AW207="SIM"), 1,0)</f>
        <v>0</v>
      </c>
      <c r="R205" s="139">
        <f>IF(AND('Ações'!$AD207="SIM", 'Ações'!AX207="SIM"), 1,0)</f>
        <v>0</v>
      </c>
    </row>
    <row r="206">
      <c r="A206" s="139">
        <f>IF(AND('Ações'!AB208="SIM", 'Ações'!AS208="SIM"), 1,0)</f>
        <v>0</v>
      </c>
      <c r="B206" s="139">
        <f>IF(AND('Ações'!$AB208="SIM", 'Ações'!AT208="SIM"), 1,0)</f>
        <v>0</v>
      </c>
      <c r="C206" s="139">
        <f>IF(AND('Ações'!$AB208="SIM", 'Ações'!AU208="SIM"), 1,0)</f>
        <v>0</v>
      </c>
      <c r="D206" s="139">
        <f>IF(AND('Ações'!$AB208="SIM", 'Ações'!AV208="SIM"), 1,0)</f>
        <v>0</v>
      </c>
      <c r="E206" s="139">
        <f>IF(AND('Ações'!$AB208="SIM", 'Ações'!AW208="SIM"), 1,0)</f>
        <v>0</v>
      </c>
      <c r="F206" s="139">
        <f>IF(AND('Ações'!$AB208="SIM", 'Ações'!AX208="SIM"), 1,0)</f>
        <v>0</v>
      </c>
      <c r="G206" s="139">
        <f>IF(AND('Ações'!$AC208="SIM", 'Ações'!AS208="SIM"), 1,0)</f>
        <v>0</v>
      </c>
      <c r="H206" s="139">
        <f>IF(AND('Ações'!$AC208="SIM", 'Ações'!AT208="SIM"), 1,0)</f>
        <v>1</v>
      </c>
      <c r="I206" s="139">
        <f>IF(AND('Ações'!$AC208="SIM", 'Ações'!AU208="SIM"), 1,0)</f>
        <v>1</v>
      </c>
      <c r="J206" s="139">
        <f>IF(AND('Ações'!$AC208="SIM", 'Ações'!AV208="SIM"), 1,0)</f>
        <v>1</v>
      </c>
      <c r="K206" s="139">
        <f>IF(AND('Ações'!$AC208="SIM", 'Ações'!AW208="SIM"), 1,0)</f>
        <v>1</v>
      </c>
      <c r="L206" s="139">
        <f>IF(AND('Ações'!$AC208="SIM", 'Ações'!AX208="SIM"), 1,0)</f>
        <v>0</v>
      </c>
      <c r="M206" s="139">
        <f>IF(AND('Ações'!$AD208="SIM", 'Ações'!AS208="SIM"), 1,0)</f>
        <v>0</v>
      </c>
      <c r="N206" s="139">
        <f>IF(AND('Ações'!$AD208="SIM", 'Ações'!AT208="SIM"), 1,0)</f>
        <v>0</v>
      </c>
      <c r="O206" s="139">
        <f>IF(AND('Ações'!$AD208="SIM", 'Ações'!AU208="SIM"), 1,0)</f>
        <v>0</v>
      </c>
      <c r="P206" s="139">
        <f>IF(AND('Ações'!$AD208="SIM", 'Ações'!AV208="SIM"), 1,0)</f>
        <v>0</v>
      </c>
      <c r="Q206" s="139">
        <f>IF(AND('Ações'!$AD208="SIM", 'Ações'!AW208="SIM"), 1,0)</f>
        <v>0</v>
      </c>
      <c r="R206" s="139">
        <f>IF(AND('Ações'!$AD208="SIM", 'Ações'!AX208="SIM"), 1,0)</f>
        <v>0</v>
      </c>
    </row>
    <row r="207">
      <c r="A207" s="139">
        <f>IF(AND('Ações'!AB209="SIM", 'Ações'!AS209="SIM"), 1,0)</f>
        <v>0</v>
      </c>
      <c r="B207" s="139">
        <f>IF(AND('Ações'!$AB209="SIM", 'Ações'!AT209="SIM"), 1,0)</f>
        <v>0</v>
      </c>
      <c r="C207" s="139">
        <f>IF(AND('Ações'!$AB209="SIM", 'Ações'!AU209="SIM"), 1,0)</f>
        <v>0</v>
      </c>
      <c r="D207" s="139">
        <f>IF(AND('Ações'!$AB209="SIM", 'Ações'!AV209="SIM"), 1,0)</f>
        <v>0</v>
      </c>
      <c r="E207" s="139">
        <f>IF(AND('Ações'!$AB209="SIM", 'Ações'!AW209="SIM"), 1,0)</f>
        <v>0</v>
      </c>
      <c r="F207" s="139">
        <f>IF(AND('Ações'!$AB209="SIM", 'Ações'!AX209="SIM"), 1,0)</f>
        <v>0</v>
      </c>
      <c r="G207" s="139">
        <f>IF(AND('Ações'!$AC209="SIM", 'Ações'!AS209="SIM"), 1,0)</f>
        <v>1</v>
      </c>
      <c r="H207" s="139">
        <f>IF(AND('Ações'!$AC209="SIM", 'Ações'!AT209="SIM"), 1,0)</f>
        <v>1</v>
      </c>
      <c r="I207" s="139">
        <f>IF(AND('Ações'!$AC209="SIM", 'Ações'!AU209="SIM"), 1,0)</f>
        <v>1</v>
      </c>
      <c r="J207" s="139">
        <f>IF(AND('Ações'!$AC209="SIM", 'Ações'!AV209="SIM"), 1,0)</f>
        <v>1</v>
      </c>
      <c r="K207" s="139">
        <f>IF(AND('Ações'!$AC209="SIM", 'Ações'!AW209="SIM"), 1,0)</f>
        <v>1</v>
      </c>
      <c r="L207" s="139">
        <f>IF(AND('Ações'!$AC209="SIM", 'Ações'!AX209="SIM"), 1,0)</f>
        <v>0</v>
      </c>
      <c r="M207" s="139">
        <f>IF(AND('Ações'!$AD209="SIM", 'Ações'!AS209="SIM"), 1,0)</f>
        <v>0</v>
      </c>
      <c r="N207" s="139">
        <f>IF(AND('Ações'!$AD209="SIM", 'Ações'!AT209="SIM"), 1,0)</f>
        <v>0</v>
      </c>
      <c r="O207" s="139">
        <f>IF(AND('Ações'!$AD209="SIM", 'Ações'!AU209="SIM"), 1,0)</f>
        <v>0</v>
      </c>
      <c r="P207" s="139">
        <f>IF(AND('Ações'!$AD209="SIM", 'Ações'!AV209="SIM"), 1,0)</f>
        <v>0</v>
      </c>
      <c r="Q207" s="139">
        <f>IF(AND('Ações'!$AD209="SIM", 'Ações'!AW209="SIM"), 1,0)</f>
        <v>0</v>
      </c>
      <c r="R207" s="139">
        <f>IF(AND('Ações'!$AD209="SIM", 'Ações'!AX209="SIM"), 1,0)</f>
        <v>0</v>
      </c>
    </row>
    <row r="208">
      <c r="A208" s="139">
        <f>IF(AND('Ações'!AB210="SIM", 'Ações'!AS210="SIM"), 1,0)</f>
        <v>0</v>
      </c>
      <c r="B208" s="139">
        <f>IF(AND('Ações'!$AB210="SIM", 'Ações'!AT210="SIM"), 1,0)</f>
        <v>0</v>
      </c>
      <c r="C208" s="139">
        <f>IF(AND('Ações'!$AB210="SIM", 'Ações'!AU210="SIM"), 1,0)</f>
        <v>0</v>
      </c>
      <c r="D208" s="139">
        <f>IF(AND('Ações'!$AB210="SIM", 'Ações'!AV210="SIM"), 1,0)</f>
        <v>0</v>
      </c>
      <c r="E208" s="139">
        <f>IF(AND('Ações'!$AB210="SIM", 'Ações'!AW210="SIM"), 1,0)</f>
        <v>0</v>
      </c>
      <c r="F208" s="139">
        <f>IF(AND('Ações'!$AB210="SIM", 'Ações'!AX210="SIM"), 1,0)</f>
        <v>0</v>
      </c>
      <c r="G208" s="139">
        <f>IF(AND('Ações'!$AC210="SIM", 'Ações'!AS210="SIM"), 1,0)</f>
        <v>1</v>
      </c>
      <c r="H208" s="139">
        <f>IF(AND('Ações'!$AC210="SIM", 'Ações'!AT210="SIM"), 1,0)</f>
        <v>1</v>
      </c>
      <c r="I208" s="139">
        <f>IF(AND('Ações'!$AC210="SIM", 'Ações'!AU210="SIM"), 1,0)</f>
        <v>1</v>
      </c>
      <c r="J208" s="139">
        <f>IF(AND('Ações'!$AC210="SIM", 'Ações'!AV210="SIM"), 1,0)</f>
        <v>1</v>
      </c>
      <c r="K208" s="139">
        <f>IF(AND('Ações'!$AC210="SIM", 'Ações'!AW210="SIM"), 1,0)</f>
        <v>1</v>
      </c>
      <c r="L208" s="139">
        <f>IF(AND('Ações'!$AC210="SIM", 'Ações'!AX210="SIM"), 1,0)</f>
        <v>0</v>
      </c>
      <c r="M208" s="139">
        <f>IF(AND('Ações'!$AD210="SIM", 'Ações'!AS210="SIM"), 1,0)</f>
        <v>0</v>
      </c>
      <c r="N208" s="139">
        <f>IF(AND('Ações'!$AD210="SIM", 'Ações'!AT210="SIM"), 1,0)</f>
        <v>0</v>
      </c>
      <c r="O208" s="139">
        <f>IF(AND('Ações'!$AD210="SIM", 'Ações'!AU210="SIM"), 1,0)</f>
        <v>0</v>
      </c>
      <c r="P208" s="139">
        <f>IF(AND('Ações'!$AD210="SIM", 'Ações'!AV210="SIM"), 1,0)</f>
        <v>0</v>
      </c>
      <c r="Q208" s="139">
        <f>IF(AND('Ações'!$AD210="SIM", 'Ações'!AW210="SIM"), 1,0)</f>
        <v>0</v>
      </c>
      <c r="R208" s="139">
        <f>IF(AND('Ações'!$AD210="SIM", 'Ações'!AX210="SIM"), 1,0)</f>
        <v>0</v>
      </c>
    </row>
    <row r="209">
      <c r="A209" s="139">
        <f>IF(AND('Ações'!AB211="SIM", 'Ações'!AS211="SIM"), 1,0)</f>
        <v>0</v>
      </c>
      <c r="B209" s="139">
        <f>IF(AND('Ações'!$AB211="SIM", 'Ações'!AT211="SIM"), 1,0)</f>
        <v>0</v>
      </c>
      <c r="C209" s="139">
        <f>IF(AND('Ações'!$AB211="SIM", 'Ações'!AU211="SIM"), 1,0)</f>
        <v>0</v>
      </c>
      <c r="D209" s="139">
        <f>IF(AND('Ações'!$AB211="SIM", 'Ações'!AV211="SIM"), 1,0)</f>
        <v>0</v>
      </c>
      <c r="E209" s="139">
        <f>IF(AND('Ações'!$AB211="SIM", 'Ações'!AW211="SIM"), 1,0)</f>
        <v>0</v>
      </c>
      <c r="F209" s="139">
        <f>IF(AND('Ações'!$AB211="SIM", 'Ações'!AX211="SIM"), 1,0)</f>
        <v>0</v>
      </c>
      <c r="G209" s="139">
        <f>IF(AND('Ações'!$AC211="SIM", 'Ações'!AS211="SIM"), 1,0)</f>
        <v>1</v>
      </c>
      <c r="H209" s="139">
        <f>IF(AND('Ações'!$AC211="SIM", 'Ações'!AT211="SIM"), 1,0)</f>
        <v>1</v>
      </c>
      <c r="I209" s="139">
        <f>IF(AND('Ações'!$AC211="SIM", 'Ações'!AU211="SIM"), 1,0)</f>
        <v>1</v>
      </c>
      <c r="J209" s="139">
        <f>IF(AND('Ações'!$AC211="SIM", 'Ações'!AV211="SIM"), 1,0)</f>
        <v>1</v>
      </c>
      <c r="K209" s="139">
        <f>IF(AND('Ações'!$AC211="SIM", 'Ações'!AW211="SIM"), 1,0)</f>
        <v>1</v>
      </c>
      <c r="L209" s="139">
        <f>IF(AND('Ações'!$AC211="SIM", 'Ações'!AX211="SIM"), 1,0)</f>
        <v>0</v>
      </c>
      <c r="M209" s="139">
        <f>IF(AND('Ações'!$AD211="SIM", 'Ações'!AS211="SIM"), 1,0)</f>
        <v>0</v>
      </c>
      <c r="N209" s="139">
        <f>IF(AND('Ações'!$AD211="SIM", 'Ações'!AT211="SIM"), 1,0)</f>
        <v>0</v>
      </c>
      <c r="O209" s="139">
        <f>IF(AND('Ações'!$AD211="SIM", 'Ações'!AU211="SIM"), 1,0)</f>
        <v>0</v>
      </c>
      <c r="P209" s="139">
        <f>IF(AND('Ações'!$AD211="SIM", 'Ações'!AV211="SIM"), 1,0)</f>
        <v>0</v>
      </c>
      <c r="Q209" s="139">
        <f>IF(AND('Ações'!$AD211="SIM", 'Ações'!AW211="SIM"), 1,0)</f>
        <v>0</v>
      </c>
      <c r="R209" s="139">
        <f>IF(AND('Ações'!$AD211="SIM", 'Ações'!AX211="SIM"), 1,0)</f>
        <v>0</v>
      </c>
    </row>
    <row r="210">
      <c r="A210" s="139">
        <f>IF(AND('Ações'!AB212="SIM", 'Ações'!AS212="SIM"), 1,0)</f>
        <v>1</v>
      </c>
      <c r="B210" s="139">
        <f>IF(AND('Ações'!$AB212="SIM", 'Ações'!AT212="SIM"), 1,0)</f>
        <v>1</v>
      </c>
      <c r="C210" s="139">
        <f>IF(AND('Ações'!$AB212="SIM", 'Ações'!AU212="SIM"), 1,0)</f>
        <v>1</v>
      </c>
      <c r="D210" s="139">
        <f>IF(AND('Ações'!$AB212="SIM", 'Ações'!AV212="SIM"), 1,0)</f>
        <v>1</v>
      </c>
      <c r="E210" s="139">
        <f>IF(AND('Ações'!$AB212="SIM", 'Ações'!AW212="SIM"), 1,0)</f>
        <v>1</v>
      </c>
      <c r="F210" s="139">
        <f>IF(AND('Ações'!$AB212="SIM", 'Ações'!AX212="SIM"), 1,0)</f>
        <v>0</v>
      </c>
      <c r="G210" s="139">
        <f>IF(AND('Ações'!$AC212="SIM", 'Ações'!AS212="SIM"), 1,0)</f>
        <v>0</v>
      </c>
      <c r="H210" s="139">
        <f>IF(AND('Ações'!$AC212="SIM", 'Ações'!AT212="SIM"), 1,0)</f>
        <v>0</v>
      </c>
      <c r="I210" s="139">
        <f>IF(AND('Ações'!$AC212="SIM", 'Ações'!AU212="SIM"), 1,0)</f>
        <v>0</v>
      </c>
      <c r="J210" s="139">
        <f>IF(AND('Ações'!$AC212="SIM", 'Ações'!AV212="SIM"), 1,0)</f>
        <v>0</v>
      </c>
      <c r="K210" s="139">
        <f>IF(AND('Ações'!$AC212="SIM", 'Ações'!AW212="SIM"), 1,0)</f>
        <v>0</v>
      </c>
      <c r="L210" s="139">
        <f>IF(AND('Ações'!$AC212="SIM", 'Ações'!AX212="SIM"), 1,0)</f>
        <v>0</v>
      </c>
      <c r="M210" s="139">
        <f>IF(AND('Ações'!$AD212="SIM", 'Ações'!AS212="SIM"), 1,0)</f>
        <v>0</v>
      </c>
      <c r="N210" s="139">
        <f>IF(AND('Ações'!$AD212="SIM", 'Ações'!AT212="SIM"), 1,0)</f>
        <v>0</v>
      </c>
      <c r="O210" s="139">
        <f>IF(AND('Ações'!$AD212="SIM", 'Ações'!AU212="SIM"), 1,0)</f>
        <v>0</v>
      </c>
      <c r="P210" s="139">
        <f>IF(AND('Ações'!$AD212="SIM", 'Ações'!AV212="SIM"), 1,0)</f>
        <v>0</v>
      </c>
      <c r="Q210" s="139">
        <f>IF(AND('Ações'!$AD212="SIM", 'Ações'!AW212="SIM"), 1,0)</f>
        <v>0</v>
      </c>
      <c r="R210" s="139">
        <f>IF(AND('Ações'!$AD212="SIM", 'Ações'!AX212="SIM"), 1,0)</f>
        <v>0</v>
      </c>
    </row>
    <row r="211">
      <c r="A211" s="139">
        <f>IF(AND('Ações'!AB213="SIM", 'Ações'!AS213="SIM"), 1,0)</f>
        <v>1</v>
      </c>
      <c r="B211" s="139">
        <f>IF(AND('Ações'!$AB213="SIM", 'Ações'!AT213="SIM"), 1,0)</f>
        <v>1</v>
      </c>
      <c r="C211" s="139">
        <f>IF(AND('Ações'!$AB213="SIM", 'Ações'!AU213="SIM"), 1,0)</f>
        <v>1</v>
      </c>
      <c r="D211" s="139">
        <f>IF(AND('Ações'!$AB213="SIM", 'Ações'!AV213="SIM"), 1,0)</f>
        <v>1</v>
      </c>
      <c r="E211" s="139">
        <f>IF(AND('Ações'!$AB213="SIM", 'Ações'!AW213="SIM"), 1,0)</f>
        <v>1</v>
      </c>
      <c r="F211" s="139">
        <f>IF(AND('Ações'!$AB213="SIM", 'Ações'!AX213="SIM"), 1,0)</f>
        <v>0</v>
      </c>
      <c r="G211" s="139">
        <f>IF(AND('Ações'!$AC213="SIM", 'Ações'!AS213="SIM"), 1,0)</f>
        <v>0</v>
      </c>
      <c r="H211" s="139">
        <f>IF(AND('Ações'!$AC213="SIM", 'Ações'!AT213="SIM"), 1,0)</f>
        <v>0</v>
      </c>
      <c r="I211" s="139">
        <f>IF(AND('Ações'!$AC213="SIM", 'Ações'!AU213="SIM"), 1,0)</f>
        <v>0</v>
      </c>
      <c r="J211" s="139">
        <f>IF(AND('Ações'!$AC213="SIM", 'Ações'!AV213="SIM"), 1,0)</f>
        <v>0</v>
      </c>
      <c r="K211" s="139">
        <f>IF(AND('Ações'!$AC213="SIM", 'Ações'!AW213="SIM"), 1,0)</f>
        <v>0</v>
      </c>
      <c r="L211" s="139">
        <f>IF(AND('Ações'!$AC213="SIM", 'Ações'!AX213="SIM"), 1,0)</f>
        <v>0</v>
      </c>
      <c r="M211" s="139">
        <f>IF(AND('Ações'!$AD213="SIM", 'Ações'!AS213="SIM"), 1,0)</f>
        <v>0</v>
      </c>
      <c r="N211" s="139">
        <f>IF(AND('Ações'!$AD213="SIM", 'Ações'!AT213="SIM"), 1,0)</f>
        <v>0</v>
      </c>
      <c r="O211" s="139">
        <f>IF(AND('Ações'!$AD213="SIM", 'Ações'!AU213="SIM"), 1,0)</f>
        <v>0</v>
      </c>
      <c r="P211" s="139">
        <f>IF(AND('Ações'!$AD213="SIM", 'Ações'!AV213="SIM"), 1,0)</f>
        <v>0</v>
      </c>
      <c r="Q211" s="139">
        <f>IF(AND('Ações'!$AD213="SIM", 'Ações'!AW213="SIM"), 1,0)</f>
        <v>0</v>
      </c>
      <c r="R211" s="139">
        <f>IF(AND('Ações'!$AD213="SIM", 'Ações'!AX213="SIM"), 1,0)</f>
        <v>0</v>
      </c>
    </row>
    <row r="212">
      <c r="A212" s="139">
        <f>IF(AND('Ações'!AB214="SIM", 'Ações'!AS214="SIM"), 1,0)</f>
        <v>1</v>
      </c>
      <c r="B212" s="139">
        <f>IF(AND('Ações'!$AB214="SIM", 'Ações'!AT214="SIM"), 1,0)</f>
        <v>1</v>
      </c>
      <c r="C212" s="139">
        <f>IF(AND('Ações'!$AB214="SIM", 'Ações'!AU214="SIM"), 1,0)</f>
        <v>1</v>
      </c>
      <c r="D212" s="139">
        <f>IF(AND('Ações'!$AB214="SIM", 'Ações'!AV214="SIM"), 1,0)</f>
        <v>1</v>
      </c>
      <c r="E212" s="139">
        <f>IF(AND('Ações'!$AB214="SIM", 'Ações'!AW214="SIM"), 1,0)</f>
        <v>1</v>
      </c>
      <c r="F212" s="139">
        <f>IF(AND('Ações'!$AB214="SIM", 'Ações'!AX214="SIM"), 1,0)</f>
        <v>0</v>
      </c>
      <c r="G212" s="139">
        <f>IF(AND('Ações'!$AC214="SIM", 'Ações'!AS214="SIM"), 1,0)</f>
        <v>1</v>
      </c>
      <c r="H212" s="139">
        <f>IF(AND('Ações'!$AC214="SIM", 'Ações'!AT214="SIM"), 1,0)</f>
        <v>1</v>
      </c>
      <c r="I212" s="139">
        <f>IF(AND('Ações'!$AC214="SIM", 'Ações'!AU214="SIM"), 1,0)</f>
        <v>1</v>
      </c>
      <c r="J212" s="139">
        <f>IF(AND('Ações'!$AC214="SIM", 'Ações'!AV214="SIM"), 1,0)</f>
        <v>1</v>
      </c>
      <c r="K212" s="139">
        <f>IF(AND('Ações'!$AC214="SIM", 'Ações'!AW214="SIM"), 1,0)</f>
        <v>1</v>
      </c>
      <c r="L212" s="139">
        <f>IF(AND('Ações'!$AC214="SIM", 'Ações'!AX214="SIM"), 1,0)</f>
        <v>0</v>
      </c>
      <c r="M212" s="139">
        <f>IF(AND('Ações'!$AD214="SIM", 'Ações'!AS214="SIM"), 1,0)</f>
        <v>1</v>
      </c>
      <c r="N212" s="139">
        <f>IF(AND('Ações'!$AD214="SIM", 'Ações'!AT214="SIM"), 1,0)</f>
        <v>1</v>
      </c>
      <c r="O212" s="139">
        <f>IF(AND('Ações'!$AD214="SIM", 'Ações'!AU214="SIM"), 1,0)</f>
        <v>1</v>
      </c>
      <c r="P212" s="139">
        <f>IF(AND('Ações'!$AD214="SIM", 'Ações'!AV214="SIM"), 1,0)</f>
        <v>1</v>
      </c>
      <c r="Q212" s="139">
        <f>IF(AND('Ações'!$AD214="SIM", 'Ações'!AW214="SIM"), 1,0)</f>
        <v>1</v>
      </c>
      <c r="R212" s="139">
        <f>IF(AND('Ações'!$AD214="SIM", 'Ações'!AX214="SIM"), 1,0)</f>
        <v>0</v>
      </c>
    </row>
    <row r="213">
      <c r="A213" s="139">
        <f>IF(AND('Ações'!AB215="SIM", 'Ações'!AS215="SIM"), 1,0)</f>
        <v>0</v>
      </c>
      <c r="B213" s="139">
        <f>IF(AND('Ações'!$AB215="SIM", 'Ações'!AT215="SIM"), 1,0)</f>
        <v>1</v>
      </c>
      <c r="C213" s="139">
        <f>IF(AND('Ações'!$AB215="SIM", 'Ações'!AU215="SIM"), 1,0)</f>
        <v>1</v>
      </c>
      <c r="D213" s="139">
        <f>IF(AND('Ações'!$AB215="SIM", 'Ações'!AV215="SIM"), 1,0)</f>
        <v>1</v>
      </c>
      <c r="E213" s="139">
        <f>IF(AND('Ações'!$AB215="SIM", 'Ações'!AW215="SIM"), 1,0)</f>
        <v>1</v>
      </c>
      <c r="F213" s="139">
        <f>IF(AND('Ações'!$AB215="SIM", 'Ações'!AX215="SIM"), 1,0)</f>
        <v>0</v>
      </c>
      <c r="G213" s="139">
        <f>IF(AND('Ações'!$AC215="SIM", 'Ações'!AS215="SIM"), 1,0)</f>
        <v>0</v>
      </c>
      <c r="H213" s="139">
        <f>IF(AND('Ações'!$AC215="SIM", 'Ações'!AT215="SIM"), 1,0)</f>
        <v>0</v>
      </c>
      <c r="I213" s="139">
        <f>IF(AND('Ações'!$AC215="SIM", 'Ações'!AU215="SIM"), 1,0)</f>
        <v>0</v>
      </c>
      <c r="J213" s="139">
        <f>IF(AND('Ações'!$AC215="SIM", 'Ações'!AV215="SIM"), 1,0)</f>
        <v>0</v>
      </c>
      <c r="K213" s="139">
        <f>IF(AND('Ações'!$AC215="SIM", 'Ações'!AW215="SIM"), 1,0)</f>
        <v>0</v>
      </c>
      <c r="L213" s="139">
        <f>IF(AND('Ações'!$AC215="SIM", 'Ações'!AX215="SIM"), 1,0)</f>
        <v>0</v>
      </c>
      <c r="M213" s="139">
        <f>IF(AND('Ações'!$AD215="SIM", 'Ações'!AS215="SIM"), 1,0)</f>
        <v>0</v>
      </c>
      <c r="N213" s="139">
        <f>IF(AND('Ações'!$AD215="SIM", 'Ações'!AT215="SIM"), 1,0)</f>
        <v>0</v>
      </c>
      <c r="O213" s="139">
        <f>IF(AND('Ações'!$AD215="SIM", 'Ações'!AU215="SIM"), 1,0)</f>
        <v>0</v>
      </c>
      <c r="P213" s="139">
        <f>IF(AND('Ações'!$AD215="SIM", 'Ações'!AV215="SIM"), 1,0)</f>
        <v>0</v>
      </c>
      <c r="Q213" s="139">
        <f>IF(AND('Ações'!$AD215="SIM", 'Ações'!AW215="SIM"), 1,0)</f>
        <v>0</v>
      </c>
      <c r="R213" s="139">
        <f>IF(AND('Ações'!$AD215="SIM", 'Ações'!AX215="SIM"), 1,0)</f>
        <v>0</v>
      </c>
    </row>
    <row r="214">
      <c r="A214" s="139">
        <f>IF(AND('Ações'!AB216="SIM", 'Ações'!AS216="SIM"), 1,0)</f>
        <v>0</v>
      </c>
      <c r="B214" s="139">
        <f>IF(AND('Ações'!$AB216="SIM", 'Ações'!AT216="SIM"), 1,0)</f>
        <v>1</v>
      </c>
      <c r="C214" s="139">
        <f>IF(AND('Ações'!$AB216="SIM", 'Ações'!AU216="SIM"), 1,0)</f>
        <v>1</v>
      </c>
      <c r="D214" s="139">
        <f>IF(AND('Ações'!$AB216="SIM", 'Ações'!AV216="SIM"), 1,0)</f>
        <v>1</v>
      </c>
      <c r="E214" s="139">
        <f>IF(AND('Ações'!$AB216="SIM", 'Ações'!AW216="SIM"), 1,0)</f>
        <v>1</v>
      </c>
      <c r="F214" s="139">
        <f>IF(AND('Ações'!$AB216="SIM", 'Ações'!AX216="SIM"), 1,0)</f>
        <v>0</v>
      </c>
      <c r="G214" s="139">
        <f>IF(AND('Ações'!$AC216="SIM", 'Ações'!AS216="SIM"), 1,0)</f>
        <v>0</v>
      </c>
      <c r="H214" s="139">
        <f>IF(AND('Ações'!$AC216="SIM", 'Ações'!AT216="SIM"), 1,0)</f>
        <v>0</v>
      </c>
      <c r="I214" s="139">
        <f>IF(AND('Ações'!$AC216="SIM", 'Ações'!AU216="SIM"), 1,0)</f>
        <v>0</v>
      </c>
      <c r="J214" s="139">
        <f>IF(AND('Ações'!$AC216="SIM", 'Ações'!AV216="SIM"), 1,0)</f>
        <v>0</v>
      </c>
      <c r="K214" s="139">
        <f>IF(AND('Ações'!$AC216="SIM", 'Ações'!AW216="SIM"), 1,0)</f>
        <v>0</v>
      </c>
      <c r="L214" s="139">
        <f>IF(AND('Ações'!$AC216="SIM", 'Ações'!AX216="SIM"), 1,0)</f>
        <v>0</v>
      </c>
      <c r="M214" s="139">
        <f>IF(AND('Ações'!$AD216="SIM", 'Ações'!AS216="SIM"), 1,0)</f>
        <v>0</v>
      </c>
      <c r="N214" s="139">
        <f>IF(AND('Ações'!$AD216="SIM", 'Ações'!AT216="SIM"), 1,0)</f>
        <v>0</v>
      </c>
      <c r="O214" s="139">
        <f>IF(AND('Ações'!$AD216="SIM", 'Ações'!AU216="SIM"), 1,0)</f>
        <v>0</v>
      </c>
      <c r="P214" s="139">
        <f>IF(AND('Ações'!$AD216="SIM", 'Ações'!AV216="SIM"), 1,0)</f>
        <v>0</v>
      </c>
      <c r="Q214" s="139">
        <f>IF(AND('Ações'!$AD216="SIM", 'Ações'!AW216="SIM"), 1,0)</f>
        <v>0</v>
      </c>
      <c r="R214" s="139">
        <f>IF(AND('Ações'!$AD216="SIM", 'Ações'!AX216="SIM"), 1,0)</f>
        <v>0</v>
      </c>
    </row>
    <row r="215">
      <c r="A215" s="139">
        <f>IF(AND('Ações'!AB217="SIM", 'Ações'!AS217="SIM"), 1,0)</f>
        <v>0</v>
      </c>
      <c r="B215" s="139">
        <f>IF(AND('Ações'!$AB217="SIM", 'Ações'!AT217="SIM"), 1,0)</f>
        <v>1</v>
      </c>
      <c r="C215" s="139">
        <f>IF(AND('Ações'!$AB217="SIM", 'Ações'!AU217="SIM"), 1,0)</f>
        <v>1</v>
      </c>
      <c r="D215" s="139">
        <f>IF(AND('Ações'!$AB217="SIM", 'Ações'!AV217="SIM"), 1,0)</f>
        <v>1</v>
      </c>
      <c r="E215" s="139">
        <f>IF(AND('Ações'!$AB217="SIM", 'Ações'!AW217="SIM"), 1,0)</f>
        <v>1</v>
      </c>
      <c r="F215" s="139">
        <f>IF(AND('Ações'!$AB217="SIM", 'Ações'!AX217="SIM"), 1,0)</f>
        <v>0</v>
      </c>
      <c r="G215" s="139">
        <f>IF(AND('Ações'!$AC217="SIM", 'Ações'!AS217="SIM"), 1,0)</f>
        <v>0</v>
      </c>
      <c r="H215" s="139">
        <f>IF(AND('Ações'!$AC217="SIM", 'Ações'!AT217="SIM"), 1,0)</f>
        <v>0</v>
      </c>
      <c r="I215" s="139">
        <f>IF(AND('Ações'!$AC217="SIM", 'Ações'!AU217="SIM"), 1,0)</f>
        <v>0</v>
      </c>
      <c r="J215" s="139">
        <f>IF(AND('Ações'!$AC217="SIM", 'Ações'!AV217="SIM"), 1,0)</f>
        <v>0</v>
      </c>
      <c r="K215" s="139">
        <f>IF(AND('Ações'!$AC217="SIM", 'Ações'!AW217="SIM"), 1,0)</f>
        <v>0</v>
      </c>
      <c r="L215" s="139">
        <f>IF(AND('Ações'!$AC217="SIM", 'Ações'!AX217="SIM"), 1,0)</f>
        <v>0</v>
      </c>
      <c r="M215" s="139">
        <f>IF(AND('Ações'!$AD217="SIM", 'Ações'!AS217="SIM"), 1,0)</f>
        <v>0</v>
      </c>
      <c r="N215" s="139">
        <f>IF(AND('Ações'!$AD217="SIM", 'Ações'!AT217="SIM"), 1,0)</f>
        <v>0</v>
      </c>
      <c r="O215" s="139">
        <f>IF(AND('Ações'!$AD217="SIM", 'Ações'!AU217="SIM"), 1,0)</f>
        <v>0</v>
      </c>
      <c r="P215" s="139">
        <f>IF(AND('Ações'!$AD217="SIM", 'Ações'!AV217="SIM"), 1,0)</f>
        <v>0</v>
      </c>
      <c r="Q215" s="139">
        <f>IF(AND('Ações'!$AD217="SIM", 'Ações'!AW217="SIM"), 1,0)</f>
        <v>0</v>
      </c>
      <c r="R215" s="139">
        <f>IF(AND('Ações'!$AD217="SIM", 'Ações'!AX217="SIM"), 1,0)</f>
        <v>0</v>
      </c>
    </row>
    <row r="216">
      <c r="A216" s="139">
        <f>IF(AND('Ações'!AB218="SIM", 'Ações'!AS218="SIM"), 1,0)</f>
        <v>0</v>
      </c>
      <c r="B216" s="139">
        <f>IF(AND('Ações'!$AB218="SIM", 'Ações'!AT218="SIM"), 1,0)</f>
        <v>1</v>
      </c>
      <c r="C216" s="139">
        <f>IF(AND('Ações'!$AB218="SIM", 'Ações'!AU218="SIM"), 1,0)</f>
        <v>1</v>
      </c>
      <c r="D216" s="139">
        <f>IF(AND('Ações'!$AB218="SIM", 'Ações'!AV218="SIM"), 1,0)</f>
        <v>1</v>
      </c>
      <c r="E216" s="139">
        <f>IF(AND('Ações'!$AB218="SIM", 'Ações'!AW218="SIM"), 1,0)</f>
        <v>1</v>
      </c>
      <c r="F216" s="139">
        <f>IF(AND('Ações'!$AB218="SIM", 'Ações'!AX218="SIM"), 1,0)</f>
        <v>0</v>
      </c>
      <c r="G216" s="139">
        <f>IF(AND('Ações'!$AC218="SIM", 'Ações'!AS218="SIM"), 1,0)</f>
        <v>0</v>
      </c>
      <c r="H216" s="139">
        <f>IF(AND('Ações'!$AC218="SIM", 'Ações'!AT218="SIM"), 1,0)</f>
        <v>0</v>
      </c>
      <c r="I216" s="139">
        <f>IF(AND('Ações'!$AC218="SIM", 'Ações'!AU218="SIM"), 1,0)</f>
        <v>0</v>
      </c>
      <c r="J216" s="139">
        <f>IF(AND('Ações'!$AC218="SIM", 'Ações'!AV218="SIM"), 1,0)</f>
        <v>0</v>
      </c>
      <c r="K216" s="139">
        <f>IF(AND('Ações'!$AC218="SIM", 'Ações'!AW218="SIM"), 1,0)</f>
        <v>0</v>
      </c>
      <c r="L216" s="139">
        <f>IF(AND('Ações'!$AC218="SIM", 'Ações'!AX218="SIM"), 1,0)</f>
        <v>0</v>
      </c>
      <c r="M216" s="139">
        <f>IF(AND('Ações'!$AD218="SIM", 'Ações'!AS218="SIM"), 1,0)</f>
        <v>0</v>
      </c>
      <c r="N216" s="139">
        <f>IF(AND('Ações'!$AD218="SIM", 'Ações'!AT218="SIM"), 1,0)</f>
        <v>0</v>
      </c>
      <c r="O216" s="139">
        <f>IF(AND('Ações'!$AD218="SIM", 'Ações'!AU218="SIM"), 1,0)</f>
        <v>0</v>
      </c>
      <c r="P216" s="139">
        <f>IF(AND('Ações'!$AD218="SIM", 'Ações'!AV218="SIM"), 1,0)</f>
        <v>0</v>
      </c>
      <c r="Q216" s="139">
        <f>IF(AND('Ações'!$AD218="SIM", 'Ações'!AW218="SIM"), 1,0)</f>
        <v>0</v>
      </c>
      <c r="R216" s="139">
        <f>IF(AND('Ações'!$AD218="SIM", 'Ações'!AX218="SIM"), 1,0)</f>
        <v>0</v>
      </c>
    </row>
    <row r="217">
      <c r="A217" s="139">
        <f>IF(AND('Ações'!AB219="SIM", 'Ações'!AS219="SIM"), 1,0)</f>
        <v>0</v>
      </c>
      <c r="B217" s="139">
        <f>IF(AND('Ações'!$AB219="SIM", 'Ações'!AT219="SIM"), 1,0)</f>
        <v>0</v>
      </c>
      <c r="C217" s="139">
        <f>IF(AND('Ações'!$AB219="SIM", 'Ações'!AU219="SIM"), 1,0)</f>
        <v>0</v>
      </c>
      <c r="D217" s="139">
        <f>IF(AND('Ações'!$AB219="SIM", 'Ações'!AV219="SIM"), 1,0)</f>
        <v>0</v>
      </c>
      <c r="E217" s="139">
        <f>IF(AND('Ações'!$AB219="SIM", 'Ações'!AW219="SIM"), 1,0)</f>
        <v>0</v>
      </c>
      <c r="F217" s="139">
        <f>IF(AND('Ações'!$AB219="SIM", 'Ações'!AX219="SIM"), 1,0)</f>
        <v>0</v>
      </c>
      <c r="G217" s="139">
        <f>IF(AND('Ações'!$AC219="SIM", 'Ações'!AS219="SIM"), 1,0)</f>
        <v>0</v>
      </c>
      <c r="H217" s="139">
        <f>IF(AND('Ações'!$AC219="SIM", 'Ações'!AT219="SIM"), 1,0)</f>
        <v>1</v>
      </c>
      <c r="I217" s="139">
        <f>IF(AND('Ações'!$AC219="SIM", 'Ações'!AU219="SIM"), 1,0)</f>
        <v>1</v>
      </c>
      <c r="J217" s="139">
        <f>IF(AND('Ações'!$AC219="SIM", 'Ações'!AV219="SIM"), 1,0)</f>
        <v>1</v>
      </c>
      <c r="K217" s="139">
        <f>IF(AND('Ações'!$AC219="SIM", 'Ações'!AW219="SIM"), 1,0)</f>
        <v>1</v>
      </c>
      <c r="L217" s="139">
        <f>IF(AND('Ações'!$AC219="SIM", 'Ações'!AX219="SIM"), 1,0)</f>
        <v>0</v>
      </c>
      <c r="M217" s="139">
        <f>IF(AND('Ações'!$AD219="SIM", 'Ações'!AS219="SIM"), 1,0)</f>
        <v>0</v>
      </c>
      <c r="N217" s="139">
        <f>IF(AND('Ações'!$AD219="SIM", 'Ações'!AT219="SIM"), 1,0)</f>
        <v>0</v>
      </c>
      <c r="O217" s="139">
        <f>IF(AND('Ações'!$AD219="SIM", 'Ações'!AU219="SIM"), 1,0)</f>
        <v>0</v>
      </c>
      <c r="P217" s="139">
        <f>IF(AND('Ações'!$AD219="SIM", 'Ações'!AV219="SIM"), 1,0)</f>
        <v>0</v>
      </c>
      <c r="Q217" s="139">
        <f>IF(AND('Ações'!$AD219="SIM", 'Ações'!AW219="SIM"), 1,0)</f>
        <v>0</v>
      </c>
      <c r="R217" s="139">
        <f>IF(AND('Ações'!$AD219="SIM", 'Ações'!AX219="SIM"), 1,0)</f>
        <v>0</v>
      </c>
    </row>
    <row r="218">
      <c r="A218" s="139">
        <f>IF(AND('Ações'!AB220="SIM", 'Ações'!AS220="SIM"), 1,0)</f>
        <v>0</v>
      </c>
      <c r="B218" s="139">
        <f>IF(AND('Ações'!$AB220="SIM", 'Ações'!AT220="SIM"), 1,0)</f>
        <v>0</v>
      </c>
      <c r="C218" s="139">
        <f>IF(AND('Ações'!$AB220="SIM", 'Ações'!AU220="SIM"), 1,0)</f>
        <v>0</v>
      </c>
      <c r="D218" s="139">
        <f>IF(AND('Ações'!$AB220="SIM", 'Ações'!AV220="SIM"), 1,0)</f>
        <v>0</v>
      </c>
      <c r="E218" s="139">
        <f>IF(AND('Ações'!$AB220="SIM", 'Ações'!AW220="SIM"), 1,0)</f>
        <v>0</v>
      </c>
      <c r="F218" s="139">
        <f>IF(AND('Ações'!$AB220="SIM", 'Ações'!AX220="SIM"), 1,0)</f>
        <v>0</v>
      </c>
      <c r="G218" s="139">
        <f>IF(AND('Ações'!$AC220="SIM", 'Ações'!AS220="SIM"), 1,0)</f>
        <v>0</v>
      </c>
      <c r="H218" s="139">
        <f>IF(AND('Ações'!$AC220="SIM", 'Ações'!AT220="SIM"), 1,0)</f>
        <v>1</v>
      </c>
      <c r="I218" s="139">
        <f>IF(AND('Ações'!$AC220="SIM", 'Ações'!AU220="SIM"), 1,0)</f>
        <v>1</v>
      </c>
      <c r="J218" s="139">
        <f>IF(AND('Ações'!$AC220="SIM", 'Ações'!AV220="SIM"), 1,0)</f>
        <v>1</v>
      </c>
      <c r="K218" s="139">
        <f>IF(AND('Ações'!$AC220="SIM", 'Ações'!AW220="SIM"), 1,0)</f>
        <v>1</v>
      </c>
      <c r="L218" s="139">
        <f>IF(AND('Ações'!$AC220="SIM", 'Ações'!AX220="SIM"), 1,0)</f>
        <v>0</v>
      </c>
      <c r="M218" s="139">
        <f>IF(AND('Ações'!$AD220="SIM", 'Ações'!AS220="SIM"), 1,0)</f>
        <v>0</v>
      </c>
      <c r="N218" s="139">
        <f>IF(AND('Ações'!$AD220="SIM", 'Ações'!AT220="SIM"), 1,0)</f>
        <v>0</v>
      </c>
      <c r="O218" s="139">
        <f>IF(AND('Ações'!$AD220="SIM", 'Ações'!AU220="SIM"), 1,0)</f>
        <v>0</v>
      </c>
      <c r="P218" s="139">
        <f>IF(AND('Ações'!$AD220="SIM", 'Ações'!AV220="SIM"), 1,0)</f>
        <v>0</v>
      </c>
      <c r="Q218" s="139">
        <f>IF(AND('Ações'!$AD220="SIM", 'Ações'!AW220="SIM"), 1,0)</f>
        <v>0</v>
      </c>
      <c r="R218" s="139">
        <f>IF(AND('Ações'!$AD220="SIM", 'Ações'!AX220="SIM"), 1,0)</f>
        <v>0</v>
      </c>
    </row>
    <row r="219">
      <c r="A219" s="139">
        <f>IF(AND('Ações'!AB221="SIM", 'Ações'!AS221="SIM"), 1,0)</f>
        <v>0</v>
      </c>
      <c r="B219" s="139">
        <f>IF(AND('Ações'!$AB221="SIM", 'Ações'!AT221="SIM"), 1,0)</f>
        <v>0</v>
      </c>
      <c r="C219" s="139">
        <f>IF(AND('Ações'!$AB221="SIM", 'Ações'!AU221="SIM"), 1,0)</f>
        <v>0</v>
      </c>
      <c r="D219" s="139">
        <f>IF(AND('Ações'!$AB221="SIM", 'Ações'!AV221="SIM"), 1,0)</f>
        <v>0</v>
      </c>
      <c r="E219" s="139">
        <f>IF(AND('Ações'!$AB221="SIM", 'Ações'!AW221="SIM"), 1,0)</f>
        <v>0</v>
      </c>
      <c r="F219" s="139">
        <f>IF(AND('Ações'!$AB221="SIM", 'Ações'!AX221="SIM"), 1,0)</f>
        <v>0</v>
      </c>
      <c r="G219" s="139">
        <f>IF(AND('Ações'!$AC221="SIM", 'Ações'!AS221="SIM"), 1,0)</f>
        <v>0</v>
      </c>
      <c r="H219" s="139">
        <f>IF(AND('Ações'!$AC221="SIM", 'Ações'!AT221="SIM"), 1,0)</f>
        <v>1</v>
      </c>
      <c r="I219" s="139">
        <f>IF(AND('Ações'!$AC221="SIM", 'Ações'!AU221="SIM"), 1,0)</f>
        <v>1</v>
      </c>
      <c r="J219" s="139">
        <f>IF(AND('Ações'!$AC221="SIM", 'Ações'!AV221="SIM"), 1,0)</f>
        <v>1</v>
      </c>
      <c r="K219" s="139">
        <f>IF(AND('Ações'!$AC221="SIM", 'Ações'!AW221="SIM"), 1,0)</f>
        <v>1</v>
      </c>
      <c r="L219" s="139">
        <f>IF(AND('Ações'!$AC221="SIM", 'Ações'!AX221="SIM"), 1,0)</f>
        <v>0</v>
      </c>
      <c r="M219" s="139">
        <f>IF(AND('Ações'!$AD221="SIM", 'Ações'!AS221="SIM"), 1,0)</f>
        <v>0</v>
      </c>
      <c r="N219" s="139">
        <f>IF(AND('Ações'!$AD221="SIM", 'Ações'!AT221="SIM"), 1,0)</f>
        <v>0</v>
      </c>
      <c r="O219" s="139">
        <f>IF(AND('Ações'!$AD221="SIM", 'Ações'!AU221="SIM"), 1,0)</f>
        <v>0</v>
      </c>
      <c r="P219" s="139">
        <f>IF(AND('Ações'!$AD221="SIM", 'Ações'!AV221="SIM"), 1,0)</f>
        <v>0</v>
      </c>
      <c r="Q219" s="139">
        <f>IF(AND('Ações'!$AD221="SIM", 'Ações'!AW221="SIM"), 1,0)</f>
        <v>0</v>
      </c>
      <c r="R219" s="139">
        <f>IF(AND('Ações'!$AD221="SIM", 'Ações'!AX221="SIM"), 1,0)</f>
        <v>0</v>
      </c>
    </row>
    <row r="220">
      <c r="A220" s="139">
        <f>IF(AND('Ações'!AB222="SIM", 'Ações'!AS222="SIM"), 1,0)</f>
        <v>0</v>
      </c>
      <c r="B220" s="139">
        <f>IF(AND('Ações'!$AB222="SIM", 'Ações'!AT222="SIM"), 1,0)</f>
        <v>0</v>
      </c>
      <c r="C220" s="139">
        <f>IF(AND('Ações'!$AB222="SIM", 'Ações'!AU222="SIM"), 1,0)</f>
        <v>0</v>
      </c>
      <c r="D220" s="139">
        <f>IF(AND('Ações'!$AB222="SIM", 'Ações'!AV222="SIM"), 1,0)</f>
        <v>0</v>
      </c>
      <c r="E220" s="139">
        <f>IF(AND('Ações'!$AB222="SIM", 'Ações'!AW222="SIM"), 1,0)</f>
        <v>0</v>
      </c>
      <c r="F220" s="139">
        <f>IF(AND('Ações'!$AB222="SIM", 'Ações'!AX222="SIM"), 1,0)</f>
        <v>0</v>
      </c>
      <c r="G220" s="139">
        <f>IF(AND('Ações'!$AC222="SIM", 'Ações'!AS222="SIM"), 1,0)</f>
        <v>0</v>
      </c>
      <c r="H220" s="139">
        <f>IF(AND('Ações'!$AC222="SIM", 'Ações'!AT222="SIM"), 1,0)</f>
        <v>1</v>
      </c>
      <c r="I220" s="139">
        <f>IF(AND('Ações'!$AC222="SIM", 'Ações'!AU222="SIM"), 1,0)</f>
        <v>1</v>
      </c>
      <c r="J220" s="139">
        <f>IF(AND('Ações'!$AC222="SIM", 'Ações'!AV222="SIM"), 1,0)</f>
        <v>1</v>
      </c>
      <c r="K220" s="139">
        <f>IF(AND('Ações'!$AC222="SIM", 'Ações'!AW222="SIM"), 1,0)</f>
        <v>1</v>
      </c>
      <c r="L220" s="139">
        <f>IF(AND('Ações'!$AC222="SIM", 'Ações'!AX222="SIM"), 1,0)</f>
        <v>0</v>
      </c>
      <c r="M220" s="139">
        <f>IF(AND('Ações'!$AD222="SIM", 'Ações'!AS222="SIM"), 1,0)</f>
        <v>0</v>
      </c>
      <c r="N220" s="139">
        <f>IF(AND('Ações'!$AD222="SIM", 'Ações'!AT222="SIM"), 1,0)</f>
        <v>0</v>
      </c>
      <c r="O220" s="139">
        <f>IF(AND('Ações'!$AD222="SIM", 'Ações'!AU222="SIM"), 1,0)</f>
        <v>0</v>
      </c>
      <c r="P220" s="139">
        <f>IF(AND('Ações'!$AD222="SIM", 'Ações'!AV222="SIM"), 1,0)</f>
        <v>0</v>
      </c>
      <c r="Q220" s="139">
        <f>IF(AND('Ações'!$AD222="SIM", 'Ações'!AW222="SIM"), 1,0)</f>
        <v>0</v>
      </c>
      <c r="R220" s="139">
        <f>IF(AND('Ações'!$AD222="SIM", 'Ações'!AX222="SIM"), 1,0)</f>
        <v>0</v>
      </c>
    </row>
    <row r="221">
      <c r="A221" s="139">
        <f>IF(AND('Ações'!AB223="SIM", 'Ações'!AS223="SIM"), 1,0)</f>
        <v>0</v>
      </c>
      <c r="B221" s="139">
        <f>IF(AND('Ações'!$AB223="SIM", 'Ações'!AT223="SIM"), 1,0)</f>
        <v>0</v>
      </c>
      <c r="C221" s="139">
        <f>IF(AND('Ações'!$AB223="SIM", 'Ações'!AU223="SIM"), 1,0)</f>
        <v>0</v>
      </c>
      <c r="D221" s="139">
        <f>IF(AND('Ações'!$AB223="SIM", 'Ações'!AV223="SIM"), 1,0)</f>
        <v>0</v>
      </c>
      <c r="E221" s="139">
        <f>IF(AND('Ações'!$AB223="SIM", 'Ações'!AW223="SIM"), 1,0)</f>
        <v>0</v>
      </c>
      <c r="F221" s="139">
        <f>IF(AND('Ações'!$AB223="SIM", 'Ações'!AX223="SIM"), 1,0)</f>
        <v>0</v>
      </c>
      <c r="G221" s="139">
        <f>IF(AND('Ações'!$AC223="SIM", 'Ações'!AS223="SIM"), 1,0)</f>
        <v>0</v>
      </c>
      <c r="H221" s="139">
        <f>IF(AND('Ações'!$AC223="SIM", 'Ações'!AT223="SIM"), 1,0)</f>
        <v>1</v>
      </c>
      <c r="I221" s="139">
        <f>IF(AND('Ações'!$AC223="SIM", 'Ações'!AU223="SIM"), 1,0)</f>
        <v>1</v>
      </c>
      <c r="J221" s="139">
        <f>IF(AND('Ações'!$AC223="SIM", 'Ações'!AV223="SIM"), 1,0)</f>
        <v>1</v>
      </c>
      <c r="K221" s="139">
        <f>IF(AND('Ações'!$AC223="SIM", 'Ações'!AW223="SIM"), 1,0)</f>
        <v>1</v>
      </c>
      <c r="L221" s="139">
        <f>IF(AND('Ações'!$AC223="SIM", 'Ações'!AX223="SIM"), 1,0)</f>
        <v>0</v>
      </c>
      <c r="M221" s="139">
        <f>IF(AND('Ações'!$AD223="SIM", 'Ações'!AS223="SIM"), 1,0)</f>
        <v>0</v>
      </c>
      <c r="N221" s="139">
        <f>IF(AND('Ações'!$AD223="SIM", 'Ações'!AT223="SIM"), 1,0)</f>
        <v>0</v>
      </c>
      <c r="O221" s="139">
        <f>IF(AND('Ações'!$AD223="SIM", 'Ações'!AU223="SIM"), 1,0)</f>
        <v>0</v>
      </c>
      <c r="P221" s="139">
        <f>IF(AND('Ações'!$AD223="SIM", 'Ações'!AV223="SIM"), 1,0)</f>
        <v>0</v>
      </c>
      <c r="Q221" s="139">
        <f>IF(AND('Ações'!$AD223="SIM", 'Ações'!AW223="SIM"), 1,0)</f>
        <v>0</v>
      </c>
      <c r="R221" s="139">
        <f>IF(AND('Ações'!$AD223="SIM", 'Ações'!AX223="SIM"), 1,0)</f>
        <v>0</v>
      </c>
    </row>
    <row r="222">
      <c r="A222" s="139">
        <f>IF(AND('Ações'!AB224="SIM", 'Ações'!AS224="SIM"), 1,0)</f>
        <v>0</v>
      </c>
      <c r="B222" s="139">
        <f>IF(AND('Ações'!$AB224="SIM", 'Ações'!AT224="SIM"), 1,0)</f>
        <v>0</v>
      </c>
      <c r="C222" s="139">
        <f>IF(AND('Ações'!$AB224="SIM", 'Ações'!AU224="SIM"), 1,0)</f>
        <v>0</v>
      </c>
      <c r="D222" s="139">
        <f>IF(AND('Ações'!$AB224="SIM", 'Ações'!AV224="SIM"), 1,0)</f>
        <v>0</v>
      </c>
      <c r="E222" s="139">
        <f>IF(AND('Ações'!$AB224="SIM", 'Ações'!AW224="SIM"), 1,0)</f>
        <v>0</v>
      </c>
      <c r="F222" s="139">
        <f>IF(AND('Ações'!$AB224="SIM", 'Ações'!AX224="SIM"), 1,0)</f>
        <v>0</v>
      </c>
      <c r="G222" s="139">
        <f>IF(AND('Ações'!$AC224="SIM", 'Ações'!AS224="SIM"), 1,0)</f>
        <v>0</v>
      </c>
      <c r="H222" s="139">
        <f>IF(AND('Ações'!$AC224="SIM", 'Ações'!AT224="SIM"), 1,0)</f>
        <v>1</v>
      </c>
      <c r="I222" s="139">
        <f>IF(AND('Ações'!$AC224="SIM", 'Ações'!AU224="SIM"), 1,0)</f>
        <v>1</v>
      </c>
      <c r="J222" s="139">
        <f>IF(AND('Ações'!$AC224="SIM", 'Ações'!AV224="SIM"), 1,0)</f>
        <v>1</v>
      </c>
      <c r="K222" s="139">
        <f>IF(AND('Ações'!$AC224="SIM", 'Ações'!AW224="SIM"), 1,0)</f>
        <v>1</v>
      </c>
      <c r="L222" s="139">
        <f>IF(AND('Ações'!$AC224="SIM", 'Ações'!AX224="SIM"), 1,0)</f>
        <v>0</v>
      </c>
      <c r="M222" s="139">
        <f>IF(AND('Ações'!$AD224="SIM", 'Ações'!AS224="SIM"), 1,0)</f>
        <v>0</v>
      </c>
      <c r="N222" s="139">
        <f>IF(AND('Ações'!$AD224="SIM", 'Ações'!AT224="SIM"), 1,0)</f>
        <v>0</v>
      </c>
      <c r="O222" s="139">
        <f>IF(AND('Ações'!$AD224="SIM", 'Ações'!AU224="SIM"), 1,0)</f>
        <v>0</v>
      </c>
      <c r="P222" s="139">
        <f>IF(AND('Ações'!$AD224="SIM", 'Ações'!AV224="SIM"), 1,0)</f>
        <v>0</v>
      </c>
      <c r="Q222" s="139">
        <f>IF(AND('Ações'!$AD224="SIM", 'Ações'!AW224="SIM"), 1,0)</f>
        <v>0</v>
      </c>
      <c r="R222" s="139">
        <f>IF(AND('Ações'!$AD224="SIM", 'Ações'!AX224="SIM"), 1,0)</f>
        <v>0</v>
      </c>
    </row>
    <row r="223">
      <c r="A223" s="139">
        <f>IF(AND('Ações'!AB225="SIM", 'Ações'!AS225="SIM"), 1,0)</f>
        <v>0</v>
      </c>
      <c r="B223" s="139">
        <f>IF(AND('Ações'!$AB225="SIM", 'Ações'!AT225="SIM"), 1,0)</f>
        <v>0</v>
      </c>
      <c r="C223" s="139">
        <f>IF(AND('Ações'!$AB225="SIM", 'Ações'!AU225="SIM"), 1,0)</f>
        <v>0</v>
      </c>
      <c r="D223" s="139">
        <f>IF(AND('Ações'!$AB225="SIM", 'Ações'!AV225="SIM"), 1,0)</f>
        <v>0</v>
      </c>
      <c r="E223" s="139">
        <f>IF(AND('Ações'!$AB225="SIM", 'Ações'!AW225="SIM"), 1,0)</f>
        <v>0</v>
      </c>
      <c r="F223" s="139">
        <f>IF(AND('Ações'!$AB225="SIM", 'Ações'!AX225="SIM"), 1,0)</f>
        <v>0</v>
      </c>
      <c r="G223" s="139">
        <f>IF(AND('Ações'!$AC225="SIM", 'Ações'!AS225="SIM"), 1,0)</f>
        <v>0</v>
      </c>
      <c r="H223" s="139">
        <f>IF(AND('Ações'!$AC225="SIM", 'Ações'!AT225="SIM"), 1,0)</f>
        <v>1</v>
      </c>
      <c r="I223" s="139">
        <f>IF(AND('Ações'!$AC225="SIM", 'Ações'!AU225="SIM"), 1,0)</f>
        <v>1</v>
      </c>
      <c r="J223" s="139">
        <f>IF(AND('Ações'!$AC225="SIM", 'Ações'!AV225="SIM"), 1,0)</f>
        <v>1</v>
      </c>
      <c r="K223" s="139">
        <f>IF(AND('Ações'!$AC225="SIM", 'Ações'!AW225="SIM"), 1,0)</f>
        <v>1</v>
      </c>
      <c r="L223" s="139">
        <f>IF(AND('Ações'!$AC225="SIM", 'Ações'!AX225="SIM"), 1,0)</f>
        <v>0</v>
      </c>
      <c r="M223" s="139">
        <f>IF(AND('Ações'!$AD225="SIM", 'Ações'!AS225="SIM"), 1,0)</f>
        <v>0</v>
      </c>
      <c r="N223" s="139">
        <f>IF(AND('Ações'!$AD225="SIM", 'Ações'!AT225="SIM"), 1,0)</f>
        <v>0</v>
      </c>
      <c r="O223" s="139">
        <f>IF(AND('Ações'!$AD225="SIM", 'Ações'!AU225="SIM"), 1,0)</f>
        <v>0</v>
      </c>
      <c r="P223" s="139">
        <f>IF(AND('Ações'!$AD225="SIM", 'Ações'!AV225="SIM"), 1,0)</f>
        <v>0</v>
      </c>
      <c r="Q223" s="139">
        <f>IF(AND('Ações'!$AD225="SIM", 'Ações'!AW225="SIM"), 1,0)</f>
        <v>0</v>
      </c>
      <c r="R223" s="139">
        <f>IF(AND('Ações'!$AD225="SIM", 'Ações'!AX225="SIM"), 1,0)</f>
        <v>0</v>
      </c>
    </row>
    <row r="224">
      <c r="A224" s="139">
        <f>IF(AND('Ações'!AB226="SIM", 'Ações'!AS226="SIM"), 1,0)</f>
        <v>0</v>
      </c>
      <c r="B224" s="139">
        <f>IF(AND('Ações'!$AB226="SIM", 'Ações'!AT226="SIM"), 1,0)</f>
        <v>0</v>
      </c>
      <c r="C224" s="139">
        <f>IF(AND('Ações'!$AB226="SIM", 'Ações'!AU226="SIM"), 1,0)</f>
        <v>0</v>
      </c>
      <c r="D224" s="139">
        <f>IF(AND('Ações'!$AB226="SIM", 'Ações'!AV226="SIM"), 1,0)</f>
        <v>0</v>
      </c>
      <c r="E224" s="139">
        <f>IF(AND('Ações'!$AB226="SIM", 'Ações'!AW226="SIM"), 1,0)</f>
        <v>0</v>
      </c>
      <c r="F224" s="139">
        <f>IF(AND('Ações'!$AB226="SIM", 'Ações'!AX226="SIM"), 1,0)</f>
        <v>0</v>
      </c>
      <c r="G224" s="139">
        <f>IF(AND('Ações'!$AC226="SIM", 'Ações'!AS226="SIM"), 1,0)</f>
        <v>0</v>
      </c>
      <c r="H224" s="139">
        <f>IF(AND('Ações'!$AC226="SIM", 'Ações'!AT226="SIM"), 1,0)</f>
        <v>1</v>
      </c>
      <c r="I224" s="139">
        <f>IF(AND('Ações'!$AC226="SIM", 'Ações'!AU226="SIM"), 1,0)</f>
        <v>0</v>
      </c>
      <c r="J224" s="139">
        <f>IF(AND('Ações'!$AC226="SIM", 'Ações'!AV226="SIM"), 1,0)</f>
        <v>1</v>
      </c>
      <c r="K224" s="139">
        <f>IF(AND('Ações'!$AC226="SIM", 'Ações'!AW226="SIM"), 1,0)</f>
        <v>1</v>
      </c>
      <c r="L224" s="139">
        <f>IF(AND('Ações'!$AC226="SIM", 'Ações'!AX226="SIM"), 1,0)</f>
        <v>0</v>
      </c>
      <c r="M224" s="139">
        <f>IF(AND('Ações'!$AD226="SIM", 'Ações'!AS226="SIM"), 1,0)</f>
        <v>0</v>
      </c>
      <c r="N224" s="139">
        <f>IF(AND('Ações'!$AD226="SIM", 'Ações'!AT226="SIM"), 1,0)</f>
        <v>0</v>
      </c>
      <c r="O224" s="139">
        <f>IF(AND('Ações'!$AD226="SIM", 'Ações'!AU226="SIM"), 1,0)</f>
        <v>0</v>
      </c>
      <c r="P224" s="139">
        <f>IF(AND('Ações'!$AD226="SIM", 'Ações'!AV226="SIM"), 1,0)</f>
        <v>0</v>
      </c>
      <c r="Q224" s="139">
        <f>IF(AND('Ações'!$AD226="SIM", 'Ações'!AW226="SIM"), 1,0)</f>
        <v>0</v>
      </c>
      <c r="R224" s="139">
        <f>IF(AND('Ações'!$AD226="SIM", 'Ações'!AX226="SIM"), 1,0)</f>
        <v>0</v>
      </c>
    </row>
    <row r="225">
      <c r="A225" s="139">
        <f>IF(AND('Ações'!AB227="SIM", 'Ações'!AS227="SIM"), 1,0)</f>
        <v>0</v>
      </c>
      <c r="B225" s="139">
        <f>IF(AND('Ações'!$AB227="SIM", 'Ações'!AT227="SIM"), 1,0)</f>
        <v>1</v>
      </c>
      <c r="C225" s="139">
        <f>IF(AND('Ações'!$AB227="SIM", 'Ações'!AU227="SIM"), 1,0)</f>
        <v>0</v>
      </c>
      <c r="D225" s="139">
        <f>IF(AND('Ações'!$AB227="SIM", 'Ações'!AV227="SIM"), 1,0)</f>
        <v>1</v>
      </c>
      <c r="E225" s="139">
        <f>IF(AND('Ações'!$AB227="SIM", 'Ações'!AW227="SIM"), 1,0)</f>
        <v>1</v>
      </c>
      <c r="F225" s="139">
        <f>IF(AND('Ações'!$AB227="SIM", 'Ações'!AX227="SIM"), 1,0)</f>
        <v>0</v>
      </c>
      <c r="G225" s="139">
        <f>IF(AND('Ações'!$AC227="SIM", 'Ações'!AS227="SIM"), 1,0)</f>
        <v>0</v>
      </c>
      <c r="H225" s="139">
        <f>IF(AND('Ações'!$AC227="SIM", 'Ações'!AT227="SIM"), 1,0)</f>
        <v>0</v>
      </c>
      <c r="I225" s="139">
        <f>IF(AND('Ações'!$AC227="SIM", 'Ações'!AU227="SIM"), 1,0)</f>
        <v>0</v>
      </c>
      <c r="J225" s="139">
        <f>IF(AND('Ações'!$AC227="SIM", 'Ações'!AV227="SIM"), 1,0)</f>
        <v>0</v>
      </c>
      <c r="K225" s="139">
        <f>IF(AND('Ações'!$AC227="SIM", 'Ações'!AW227="SIM"), 1,0)</f>
        <v>0</v>
      </c>
      <c r="L225" s="139">
        <f>IF(AND('Ações'!$AC227="SIM", 'Ações'!AX227="SIM"), 1,0)</f>
        <v>0</v>
      </c>
      <c r="M225" s="139">
        <f>IF(AND('Ações'!$AD227="SIM", 'Ações'!AS227="SIM"), 1,0)</f>
        <v>0</v>
      </c>
      <c r="N225" s="139">
        <f>IF(AND('Ações'!$AD227="SIM", 'Ações'!AT227="SIM"), 1,0)</f>
        <v>0</v>
      </c>
      <c r="O225" s="139">
        <f>IF(AND('Ações'!$AD227="SIM", 'Ações'!AU227="SIM"), 1,0)</f>
        <v>0</v>
      </c>
      <c r="P225" s="139">
        <f>IF(AND('Ações'!$AD227="SIM", 'Ações'!AV227="SIM"), 1,0)</f>
        <v>0</v>
      </c>
      <c r="Q225" s="139">
        <f>IF(AND('Ações'!$AD227="SIM", 'Ações'!AW227="SIM"), 1,0)</f>
        <v>0</v>
      </c>
      <c r="R225" s="139">
        <f>IF(AND('Ações'!$AD227="SIM", 'Ações'!AX227="SIM"), 1,0)</f>
        <v>0</v>
      </c>
    </row>
    <row r="226">
      <c r="A226" s="139">
        <f>IF(AND('Ações'!AB228="SIM", 'Ações'!AS228="SIM"), 1,0)</f>
        <v>0</v>
      </c>
      <c r="B226" s="139">
        <f>IF(AND('Ações'!$AB228="SIM", 'Ações'!AT228="SIM"), 1,0)</f>
        <v>1</v>
      </c>
      <c r="C226" s="139">
        <f>IF(AND('Ações'!$AB228="SIM", 'Ações'!AU228="SIM"), 1,0)</f>
        <v>0</v>
      </c>
      <c r="D226" s="139">
        <f>IF(AND('Ações'!$AB228="SIM", 'Ações'!AV228="SIM"), 1,0)</f>
        <v>1</v>
      </c>
      <c r="E226" s="139">
        <f>IF(AND('Ações'!$AB228="SIM", 'Ações'!AW228="SIM"), 1,0)</f>
        <v>1</v>
      </c>
      <c r="F226" s="139">
        <f>IF(AND('Ações'!$AB228="SIM", 'Ações'!AX228="SIM"), 1,0)</f>
        <v>0</v>
      </c>
      <c r="G226" s="139">
        <f>IF(AND('Ações'!$AC228="SIM", 'Ações'!AS228="SIM"), 1,0)</f>
        <v>0</v>
      </c>
      <c r="H226" s="139">
        <f>IF(AND('Ações'!$AC228="SIM", 'Ações'!AT228="SIM"), 1,0)</f>
        <v>1</v>
      </c>
      <c r="I226" s="139">
        <f>IF(AND('Ações'!$AC228="SIM", 'Ações'!AU228="SIM"), 1,0)</f>
        <v>0</v>
      </c>
      <c r="J226" s="139">
        <f>IF(AND('Ações'!$AC228="SIM", 'Ações'!AV228="SIM"), 1,0)</f>
        <v>1</v>
      </c>
      <c r="K226" s="139">
        <f>IF(AND('Ações'!$AC228="SIM", 'Ações'!AW228="SIM"), 1,0)</f>
        <v>1</v>
      </c>
      <c r="L226" s="139">
        <f>IF(AND('Ações'!$AC228="SIM", 'Ações'!AX228="SIM"), 1,0)</f>
        <v>0</v>
      </c>
      <c r="M226" s="139">
        <f>IF(AND('Ações'!$AD228="SIM", 'Ações'!AS228="SIM"), 1,0)</f>
        <v>0</v>
      </c>
      <c r="N226" s="139">
        <f>IF(AND('Ações'!$AD228="SIM", 'Ações'!AT228="SIM"), 1,0)</f>
        <v>0</v>
      </c>
      <c r="O226" s="139">
        <f>IF(AND('Ações'!$AD228="SIM", 'Ações'!AU228="SIM"), 1,0)</f>
        <v>0</v>
      </c>
      <c r="P226" s="139">
        <f>IF(AND('Ações'!$AD228="SIM", 'Ações'!AV228="SIM"), 1,0)</f>
        <v>0</v>
      </c>
      <c r="Q226" s="139">
        <f>IF(AND('Ações'!$AD228="SIM", 'Ações'!AW228="SIM"), 1,0)</f>
        <v>0</v>
      </c>
      <c r="R226" s="139">
        <f>IF(AND('Ações'!$AD228="SIM", 'Ações'!AX228="SIM"), 1,0)</f>
        <v>0</v>
      </c>
    </row>
    <row r="227">
      <c r="A227" s="139">
        <f>IF(AND('Ações'!AB229="SIM", 'Ações'!AS229="SIM"), 1,0)</f>
        <v>0</v>
      </c>
      <c r="B227" s="139">
        <f>IF(AND('Ações'!$AB229="SIM", 'Ações'!AT229="SIM"), 1,0)</f>
        <v>0</v>
      </c>
      <c r="C227" s="139">
        <f>IF(AND('Ações'!$AB229="SIM", 'Ações'!AU229="SIM"), 1,0)</f>
        <v>0</v>
      </c>
      <c r="D227" s="139">
        <f>IF(AND('Ações'!$AB229="SIM", 'Ações'!AV229="SIM"), 1,0)</f>
        <v>0</v>
      </c>
      <c r="E227" s="139">
        <f>IF(AND('Ações'!$AB229="SIM", 'Ações'!AW229="SIM"), 1,0)</f>
        <v>0</v>
      </c>
      <c r="F227" s="139">
        <f>IF(AND('Ações'!$AB229="SIM", 'Ações'!AX229="SIM"), 1,0)</f>
        <v>0</v>
      </c>
      <c r="G227" s="139">
        <f>IF(AND('Ações'!$AC229="SIM", 'Ações'!AS229="SIM"), 1,0)</f>
        <v>1</v>
      </c>
      <c r="H227" s="139">
        <f>IF(AND('Ações'!$AC229="SIM", 'Ações'!AT229="SIM"), 1,0)</f>
        <v>1</v>
      </c>
      <c r="I227" s="139">
        <f>IF(AND('Ações'!$AC229="SIM", 'Ações'!AU229="SIM"), 1,0)</f>
        <v>1</v>
      </c>
      <c r="J227" s="139">
        <f>IF(AND('Ações'!$AC229="SIM", 'Ações'!AV229="SIM"), 1,0)</f>
        <v>1</v>
      </c>
      <c r="K227" s="139">
        <f>IF(AND('Ações'!$AC229="SIM", 'Ações'!AW229="SIM"), 1,0)</f>
        <v>1</v>
      </c>
      <c r="L227" s="139">
        <f>IF(AND('Ações'!$AC229="SIM", 'Ações'!AX229="SIM"), 1,0)</f>
        <v>0</v>
      </c>
      <c r="M227" s="139">
        <f>IF(AND('Ações'!$AD229="SIM", 'Ações'!AS229="SIM"), 1,0)</f>
        <v>0</v>
      </c>
      <c r="N227" s="139">
        <f>IF(AND('Ações'!$AD229="SIM", 'Ações'!AT229="SIM"), 1,0)</f>
        <v>0</v>
      </c>
      <c r="O227" s="139">
        <f>IF(AND('Ações'!$AD229="SIM", 'Ações'!AU229="SIM"), 1,0)</f>
        <v>0</v>
      </c>
      <c r="P227" s="139">
        <f>IF(AND('Ações'!$AD229="SIM", 'Ações'!AV229="SIM"), 1,0)</f>
        <v>0</v>
      </c>
      <c r="Q227" s="139">
        <f>IF(AND('Ações'!$AD229="SIM", 'Ações'!AW229="SIM"), 1,0)</f>
        <v>0</v>
      </c>
      <c r="R227" s="139">
        <f>IF(AND('Ações'!$AD229="SIM", 'Ações'!AX229="SIM"), 1,0)</f>
        <v>0</v>
      </c>
    </row>
    <row r="228">
      <c r="A228" s="139">
        <f>IF(AND('Ações'!AB230="SIM", 'Ações'!AS230="SIM"), 1,0)</f>
        <v>0</v>
      </c>
      <c r="B228" s="139">
        <f>IF(AND('Ações'!$AB230="SIM", 'Ações'!AT230="SIM"), 1,0)</f>
        <v>0</v>
      </c>
      <c r="C228" s="139">
        <f>IF(AND('Ações'!$AB230="SIM", 'Ações'!AU230="SIM"), 1,0)</f>
        <v>0</v>
      </c>
      <c r="D228" s="139">
        <f>IF(AND('Ações'!$AB230="SIM", 'Ações'!AV230="SIM"), 1,0)</f>
        <v>0</v>
      </c>
      <c r="E228" s="139">
        <f>IF(AND('Ações'!$AB230="SIM", 'Ações'!AW230="SIM"), 1,0)</f>
        <v>0</v>
      </c>
      <c r="F228" s="139">
        <f>IF(AND('Ações'!$AB230="SIM", 'Ações'!AX230="SIM"), 1,0)</f>
        <v>0</v>
      </c>
      <c r="G228" s="139">
        <f>IF(AND('Ações'!$AC230="SIM", 'Ações'!AS230="SIM"), 1,0)</f>
        <v>1</v>
      </c>
      <c r="H228" s="139">
        <f>IF(AND('Ações'!$AC230="SIM", 'Ações'!AT230="SIM"), 1,0)</f>
        <v>1</v>
      </c>
      <c r="I228" s="139">
        <f>IF(AND('Ações'!$AC230="SIM", 'Ações'!AU230="SIM"), 1,0)</f>
        <v>1</v>
      </c>
      <c r="J228" s="139">
        <f>IF(AND('Ações'!$AC230="SIM", 'Ações'!AV230="SIM"), 1,0)</f>
        <v>1</v>
      </c>
      <c r="K228" s="139">
        <f>IF(AND('Ações'!$AC230="SIM", 'Ações'!AW230="SIM"), 1,0)</f>
        <v>1</v>
      </c>
      <c r="L228" s="139">
        <f>IF(AND('Ações'!$AC230="SIM", 'Ações'!AX230="SIM"), 1,0)</f>
        <v>0</v>
      </c>
      <c r="M228" s="139">
        <f>IF(AND('Ações'!$AD230="SIM", 'Ações'!AS230="SIM"), 1,0)</f>
        <v>0</v>
      </c>
      <c r="N228" s="139">
        <f>IF(AND('Ações'!$AD230="SIM", 'Ações'!AT230="SIM"), 1,0)</f>
        <v>0</v>
      </c>
      <c r="O228" s="139">
        <f>IF(AND('Ações'!$AD230="SIM", 'Ações'!AU230="SIM"), 1,0)</f>
        <v>0</v>
      </c>
      <c r="P228" s="139">
        <f>IF(AND('Ações'!$AD230="SIM", 'Ações'!AV230="SIM"), 1,0)</f>
        <v>0</v>
      </c>
      <c r="Q228" s="139">
        <f>IF(AND('Ações'!$AD230="SIM", 'Ações'!AW230="SIM"), 1,0)</f>
        <v>0</v>
      </c>
      <c r="R228" s="139">
        <f>IF(AND('Ações'!$AD230="SIM", 'Ações'!AX230="SIM"), 1,0)</f>
        <v>0</v>
      </c>
    </row>
    <row r="229">
      <c r="A229" s="139">
        <f>IF(AND('Ações'!AB231="SIM", 'Ações'!AS231="SIM"), 1,0)</f>
        <v>0</v>
      </c>
      <c r="B229" s="139">
        <f>IF(AND('Ações'!$AB231="SIM", 'Ações'!AT231="SIM"), 1,0)</f>
        <v>0</v>
      </c>
      <c r="C229" s="139">
        <f>IF(AND('Ações'!$AB231="SIM", 'Ações'!AU231="SIM"), 1,0)</f>
        <v>0</v>
      </c>
      <c r="D229" s="139">
        <f>IF(AND('Ações'!$AB231="SIM", 'Ações'!AV231="SIM"), 1,0)</f>
        <v>0</v>
      </c>
      <c r="E229" s="139">
        <f>IF(AND('Ações'!$AB231="SIM", 'Ações'!AW231="SIM"), 1,0)</f>
        <v>0</v>
      </c>
      <c r="F229" s="139">
        <f>IF(AND('Ações'!$AB231="SIM", 'Ações'!AX231="SIM"), 1,0)</f>
        <v>0</v>
      </c>
      <c r="G229" s="139">
        <f>IF(AND('Ações'!$AC231="SIM", 'Ações'!AS231="SIM"), 1,0)</f>
        <v>1</v>
      </c>
      <c r="H229" s="139">
        <f>IF(AND('Ações'!$AC231="SIM", 'Ações'!AT231="SIM"), 1,0)</f>
        <v>1</v>
      </c>
      <c r="I229" s="139">
        <f>IF(AND('Ações'!$AC231="SIM", 'Ações'!AU231="SIM"), 1,0)</f>
        <v>1</v>
      </c>
      <c r="J229" s="139">
        <f>IF(AND('Ações'!$AC231="SIM", 'Ações'!AV231="SIM"), 1,0)</f>
        <v>1</v>
      </c>
      <c r="K229" s="139">
        <f>IF(AND('Ações'!$AC231="SIM", 'Ações'!AW231="SIM"), 1,0)</f>
        <v>1</v>
      </c>
      <c r="L229" s="139">
        <f>IF(AND('Ações'!$AC231="SIM", 'Ações'!AX231="SIM"), 1,0)</f>
        <v>0</v>
      </c>
      <c r="M229" s="139">
        <f>IF(AND('Ações'!$AD231="SIM", 'Ações'!AS231="SIM"), 1,0)</f>
        <v>0</v>
      </c>
      <c r="N229" s="139">
        <f>IF(AND('Ações'!$AD231="SIM", 'Ações'!AT231="SIM"), 1,0)</f>
        <v>0</v>
      </c>
      <c r="O229" s="139">
        <f>IF(AND('Ações'!$AD231="SIM", 'Ações'!AU231="SIM"), 1,0)</f>
        <v>0</v>
      </c>
      <c r="P229" s="139">
        <f>IF(AND('Ações'!$AD231="SIM", 'Ações'!AV231="SIM"), 1,0)</f>
        <v>0</v>
      </c>
      <c r="Q229" s="139">
        <f>IF(AND('Ações'!$AD231="SIM", 'Ações'!AW231="SIM"), 1,0)</f>
        <v>0</v>
      </c>
      <c r="R229" s="139">
        <f>IF(AND('Ações'!$AD231="SIM", 'Ações'!AX231="SIM"), 1,0)</f>
        <v>0</v>
      </c>
    </row>
    <row r="230">
      <c r="A230" s="139">
        <f>IF(AND('Ações'!AB232="SIM", 'Ações'!AS232="SIM"), 1,0)</f>
        <v>0</v>
      </c>
      <c r="B230" s="139">
        <f>IF(AND('Ações'!$AB232="SIM", 'Ações'!AT232="SIM"), 1,0)</f>
        <v>1</v>
      </c>
      <c r="C230" s="139">
        <f>IF(AND('Ações'!$AB232="SIM", 'Ações'!AU232="SIM"), 1,0)</f>
        <v>1</v>
      </c>
      <c r="D230" s="139">
        <f>IF(AND('Ações'!$AB232="SIM", 'Ações'!AV232="SIM"), 1,0)</f>
        <v>1</v>
      </c>
      <c r="E230" s="139">
        <f>IF(AND('Ações'!$AB232="SIM", 'Ações'!AW232="SIM"), 1,0)</f>
        <v>1</v>
      </c>
      <c r="F230" s="139">
        <f>IF(AND('Ações'!$AB232="SIM", 'Ações'!AX232="SIM"), 1,0)</f>
        <v>0</v>
      </c>
      <c r="G230" s="139">
        <f>IF(AND('Ações'!$AC232="SIM", 'Ações'!AS232="SIM"), 1,0)</f>
        <v>0</v>
      </c>
      <c r="H230" s="139">
        <f>IF(AND('Ações'!$AC232="SIM", 'Ações'!AT232="SIM"), 1,0)</f>
        <v>0</v>
      </c>
      <c r="I230" s="139">
        <f>IF(AND('Ações'!$AC232="SIM", 'Ações'!AU232="SIM"), 1,0)</f>
        <v>0</v>
      </c>
      <c r="J230" s="139">
        <f>IF(AND('Ações'!$AC232="SIM", 'Ações'!AV232="SIM"), 1,0)</f>
        <v>0</v>
      </c>
      <c r="K230" s="139">
        <f>IF(AND('Ações'!$AC232="SIM", 'Ações'!AW232="SIM"), 1,0)</f>
        <v>0</v>
      </c>
      <c r="L230" s="139">
        <f>IF(AND('Ações'!$AC232="SIM", 'Ações'!AX232="SIM"), 1,0)</f>
        <v>0</v>
      </c>
      <c r="M230" s="139">
        <f>IF(AND('Ações'!$AD232="SIM", 'Ações'!AS232="SIM"), 1,0)</f>
        <v>0</v>
      </c>
      <c r="N230" s="139">
        <f>IF(AND('Ações'!$AD232="SIM", 'Ações'!AT232="SIM"), 1,0)</f>
        <v>0</v>
      </c>
      <c r="O230" s="139">
        <f>IF(AND('Ações'!$AD232="SIM", 'Ações'!AU232="SIM"), 1,0)</f>
        <v>0</v>
      </c>
      <c r="P230" s="139">
        <f>IF(AND('Ações'!$AD232="SIM", 'Ações'!AV232="SIM"), 1,0)</f>
        <v>0</v>
      </c>
      <c r="Q230" s="139">
        <f>IF(AND('Ações'!$AD232="SIM", 'Ações'!AW232="SIM"), 1,0)</f>
        <v>0</v>
      </c>
      <c r="R230" s="139">
        <f>IF(AND('Ações'!$AD232="SIM", 'Ações'!AX232="SIM"), 1,0)</f>
        <v>0</v>
      </c>
    </row>
    <row r="231">
      <c r="A231" s="139">
        <f>IF(AND('Ações'!AB233="SIM", 'Ações'!AS233="SIM"), 1,0)</f>
        <v>0</v>
      </c>
      <c r="B231" s="139">
        <f>IF(AND('Ações'!$AB233="SIM", 'Ações'!AT233="SIM"), 1,0)</f>
        <v>1</v>
      </c>
      <c r="C231" s="139">
        <f>IF(AND('Ações'!$AB233="SIM", 'Ações'!AU233="SIM"), 1,0)</f>
        <v>1</v>
      </c>
      <c r="D231" s="139">
        <f>IF(AND('Ações'!$AB233="SIM", 'Ações'!AV233="SIM"), 1,0)</f>
        <v>1</v>
      </c>
      <c r="E231" s="139">
        <f>IF(AND('Ações'!$AB233="SIM", 'Ações'!AW233="SIM"), 1,0)</f>
        <v>1</v>
      </c>
      <c r="F231" s="139">
        <f>IF(AND('Ações'!$AB233="SIM", 'Ações'!AX233="SIM"), 1,0)</f>
        <v>0</v>
      </c>
      <c r="G231" s="139">
        <f>IF(AND('Ações'!$AC233="SIM", 'Ações'!AS233="SIM"), 1,0)</f>
        <v>0</v>
      </c>
      <c r="H231" s="139">
        <f>IF(AND('Ações'!$AC233="SIM", 'Ações'!AT233="SIM"), 1,0)</f>
        <v>0</v>
      </c>
      <c r="I231" s="139">
        <f>IF(AND('Ações'!$AC233="SIM", 'Ações'!AU233="SIM"), 1,0)</f>
        <v>0</v>
      </c>
      <c r="J231" s="139">
        <f>IF(AND('Ações'!$AC233="SIM", 'Ações'!AV233="SIM"), 1,0)</f>
        <v>0</v>
      </c>
      <c r="K231" s="139">
        <f>IF(AND('Ações'!$AC233="SIM", 'Ações'!AW233="SIM"), 1,0)</f>
        <v>0</v>
      </c>
      <c r="L231" s="139">
        <f>IF(AND('Ações'!$AC233="SIM", 'Ações'!AX233="SIM"), 1,0)</f>
        <v>0</v>
      </c>
      <c r="M231" s="139">
        <f>IF(AND('Ações'!$AD233="SIM", 'Ações'!AS233="SIM"), 1,0)</f>
        <v>0</v>
      </c>
      <c r="N231" s="139">
        <f>IF(AND('Ações'!$AD233="SIM", 'Ações'!AT233="SIM"), 1,0)</f>
        <v>0</v>
      </c>
      <c r="O231" s="139">
        <f>IF(AND('Ações'!$AD233="SIM", 'Ações'!AU233="SIM"), 1,0)</f>
        <v>0</v>
      </c>
      <c r="P231" s="139">
        <f>IF(AND('Ações'!$AD233="SIM", 'Ações'!AV233="SIM"), 1,0)</f>
        <v>0</v>
      </c>
      <c r="Q231" s="139">
        <f>IF(AND('Ações'!$AD233="SIM", 'Ações'!AW233="SIM"), 1,0)</f>
        <v>0</v>
      </c>
      <c r="R231" s="139">
        <f>IF(AND('Ações'!$AD233="SIM", 'Ações'!AX233="SIM"), 1,0)</f>
        <v>0</v>
      </c>
    </row>
    <row r="232">
      <c r="A232" s="139">
        <f>IF(AND('Ações'!AB234="SIM", 'Ações'!AS234="SIM"), 1,0)</f>
        <v>0</v>
      </c>
      <c r="B232" s="139">
        <f>IF(AND('Ações'!$AB234="SIM", 'Ações'!AT234="SIM"), 1,0)</f>
        <v>1</v>
      </c>
      <c r="C232" s="139">
        <f>IF(AND('Ações'!$AB234="SIM", 'Ações'!AU234="SIM"), 1,0)</f>
        <v>1</v>
      </c>
      <c r="D232" s="139">
        <f>IF(AND('Ações'!$AB234="SIM", 'Ações'!AV234="SIM"), 1,0)</f>
        <v>1</v>
      </c>
      <c r="E232" s="139">
        <f>IF(AND('Ações'!$AB234="SIM", 'Ações'!AW234="SIM"), 1,0)</f>
        <v>1</v>
      </c>
      <c r="F232" s="139">
        <f>IF(AND('Ações'!$AB234="SIM", 'Ações'!AX234="SIM"), 1,0)</f>
        <v>0</v>
      </c>
      <c r="G232" s="139">
        <f>IF(AND('Ações'!$AC234="SIM", 'Ações'!AS234="SIM"), 1,0)</f>
        <v>0</v>
      </c>
      <c r="H232" s="139">
        <f>IF(AND('Ações'!$AC234="SIM", 'Ações'!AT234="SIM"), 1,0)</f>
        <v>0</v>
      </c>
      <c r="I232" s="139">
        <f>IF(AND('Ações'!$AC234="SIM", 'Ações'!AU234="SIM"), 1,0)</f>
        <v>0</v>
      </c>
      <c r="J232" s="139">
        <f>IF(AND('Ações'!$AC234="SIM", 'Ações'!AV234="SIM"), 1,0)</f>
        <v>0</v>
      </c>
      <c r="K232" s="139">
        <f>IF(AND('Ações'!$AC234="SIM", 'Ações'!AW234="SIM"), 1,0)</f>
        <v>0</v>
      </c>
      <c r="L232" s="139">
        <f>IF(AND('Ações'!$AC234="SIM", 'Ações'!AX234="SIM"), 1,0)</f>
        <v>0</v>
      </c>
      <c r="M232" s="139">
        <f>IF(AND('Ações'!$AD234="SIM", 'Ações'!AS234="SIM"), 1,0)</f>
        <v>0</v>
      </c>
      <c r="N232" s="139">
        <f>IF(AND('Ações'!$AD234="SIM", 'Ações'!AT234="SIM"), 1,0)</f>
        <v>0</v>
      </c>
      <c r="O232" s="139">
        <f>IF(AND('Ações'!$AD234="SIM", 'Ações'!AU234="SIM"), 1,0)</f>
        <v>0</v>
      </c>
      <c r="P232" s="139">
        <f>IF(AND('Ações'!$AD234="SIM", 'Ações'!AV234="SIM"), 1,0)</f>
        <v>0</v>
      </c>
      <c r="Q232" s="139">
        <f>IF(AND('Ações'!$AD234="SIM", 'Ações'!AW234="SIM"), 1,0)</f>
        <v>0</v>
      </c>
      <c r="R232" s="139">
        <f>IF(AND('Ações'!$AD234="SIM", 'Ações'!AX234="SIM"), 1,0)</f>
        <v>0</v>
      </c>
    </row>
    <row r="233">
      <c r="A233" s="139">
        <f>IF(AND('Ações'!AB235="SIM", 'Ações'!AS235="SIM"), 1,0)</f>
        <v>0</v>
      </c>
      <c r="B233" s="139">
        <f>IF(AND('Ações'!$AB235="SIM", 'Ações'!AT235="SIM"), 1,0)</f>
        <v>1</v>
      </c>
      <c r="C233" s="139">
        <f>IF(AND('Ações'!$AB235="SIM", 'Ações'!AU235="SIM"), 1,0)</f>
        <v>1</v>
      </c>
      <c r="D233" s="139">
        <f>IF(AND('Ações'!$AB235="SIM", 'Ações'!AV235="SIM"), 1,0)</f>
        <v>1</v>
      </c>
      <c r="E233" s="139">
        <f>IF(AND('Ações'!$AB235="SIM", 'Ações'!AW235="SIM"), 1,0)</f>
        <v>1</v>
      </c>
      <c r="F233" s="139">
        <f>IF(AND('Ações'!$AB235="SIM", 'Ações'!AX235="SIM"), 1,0)</f>
        <v>0</v>
      </c>
      <c r="G233" s="139">
        <f>IF(AND('Ações'!$AC235="SIM", 'Ações'!AS235="SIM"), 1,0)</f>
        <v>0</v>
      </c>
      <c r="H233" s="139">
        <f>IF(AND('Ações'!$AC235="SIM", 'Ações'!AT235="SIM"), 1,0)</f>
        <v>0</v>
      </c>
      <c r="I233" s="139">
        <f>IF(AND('Ações'!$AC235="SIM", 'Ações'!AU235="SIM"), 1,0)</f>
        <v>0</v>
      </c>
      <c r="J233" s="139">
        <f>IF(AND('Ações'!$AC235="SIM", 'Ações'!AV235="SIM"), 1,0)</f>
        <v>0</v>
      </c>
      <c r="K233" s="139">
        <f>IF(AND('Ações'!$AC235="SIM", 'Ações'!AW235="SIM"), 1,0)</f>
        <v>0</v>
      </c>
      <c r="L233" s="139">
        <f>IF(AND('Ações'!$AC235="SIM", 'Ações'!AX235="SIM"), 1,0)</f>
        <v>0</v>
      </c>
      <c r="M233" s="139">
        <f>IF(AND('Ações'!$AD235="SIM", 'Ações'!AS235="SIM"), 1,0)</f>
        <v>0</v>
      </c>
      <c r="N233" s="139">
        <f>IF(AND('Ações'!$AD235="SIM", 'Ações'!AT235="SIM"), 1,0)</f>
        <v>0</v>
      </c>
      <c r="O233" s="139">
        <f>IF(AND('Ações'!$AD235="SIM", 'Ações'!AU235="SIM"), 1,0)</f>
        <v>0</v>
      </c>
      <c r="P233" s="139">
        <f>IF(AND('Ações'!$AD235="SIM", 'Ações'!AV235="SIM"), 1,0)</f>
        <v>0</v>
      </c>
      <c r="Q233" s="139">
        <f>IF(AND('Ações'!$AD235="SIM", 'Ações'!AW235="SIM"), 1,0)</f>
        <v>0</v>
      </c>
      <c r="R233" s="139">
        <f>IF(AND('Ações'!$AD235="SIM", 'Ações'!AX235="SIM"), 1,0)</f>
        <v>0</v>
      </c>
    </row>
    <row r="234">
      <c r="A234" s="139">
        <f>IF(AND('Ações'!AB236="SIM", 'Ações'!AS236="SIM"), 1,0)</f>
        <v>0</v>
      </c>
      <c r="B234" s="139">
        <f>IF(AND('Ações'!$AB236="SIM", 'Ações'!AT236="SIM"), 1,0)</f>
        <v>1</v>
      </c>
      <c r="C234" s="139">
        <f>IF(AND('Ações'!$AB236="SIM", 'Ações'!AU236="SIM"), 1,0)</f>
        <v>1</v>
      </c>
      <c r="D234" s="139">
        <f>IF(AND('Ações'!$AB236="SIM", 'Ações'!AV236="SIM"), 1,0)</f>
        <v>1</v>
      </c>
      <c r="E234" s="139">
        <f>IF(AND('Ações'!$AB236="SIM", 'Ações'!AW236="SIM"), 1,0)</f>
        <v>1</v>
      </c>
      <c r="F234" s="139">
        <f>IF(AND('Ações'!$AB236="SIM", 'Ações'!AX236="SIM"), 1,0)</f>
        <v>0</v>
      </c>
      <c r="G234" s="139">
        <f>IF(AND('Ações'!$AC236="SIM", 'Ações'!AS236="SIM"), 1,0)</f>
        <v>0</v>
      </c>
      <c r="H234" s="139">
        <f>IF(AND('Ações'!$AC236="SIM", 'Ações'!AT236="SIM"), 1,0)</f>
        <v>1</v>
      </c>
      <c r="I234" s="139">
        <f>IF(AND('Ações'!$AC236="SIM", 'Ações'!AU236="SIM"), 1,0)</f>
        <v>1</v>
      </c>
      <c r="J234" s="139">
        <f>IF(AND('Ações'!$AC236="SIM", 'Ações'!AV236="SIM"), 1,0)</f>
        <v>1</v>
      </c>
      <c r="K234" s="139">
        <f>IF(AND('Ações'!$AC236="SIM", 'Ações'!AW236="SIM"), 1,0)</f>
        <v>1</v>
      </c>
      <c r="L234" s="139">
        <f>IF(AND('Ações'!$AC236="SIM", 'Ações'!AX236="SIM"), 1,0)</f>
        <v>0</v>
      </c>
      <c r="M234" s="139">
        <f>IF(AND('Ações'!$AD236="SIM", 'Ações'!AS236="SIM"), 1,0)</f>
        <v>0</v>
      </c>
      <c r="N234" s="139">
        <f>IF(AND('Ações'!$AD236="SIM", 'Ações'!AT236="SIM"), 1,0)</f>
        <v>0</v>
      </c>
      <c r="O234" s="139">
        <f>IF(AND('Ações'!$AD236="SIM", 'Ações'!AU236="SIM"), 1,0)</f>
        <v>0</v>
      </c>
      <c r="P234" s="139">
        <f>IF(AND('Ações'!$AD236="SIM", 'Ações'!AV236="SIM"), 1,0)</f>
        <v>0</v>
      </c>
      <c r="Q234" s="139">
        <f>IF(AND('Ações'!$AD236="SIM", 'Ações'!AW236="SIM"), 1,0)</f>
        <v>0</v>
      </c>
      <c r="R234" s="139">
        <f>IF(AND('Ações'!$AD236="SIM", 'Ações'!AX236="SIM"), 1,0)</f>
        <v>0</v>
      </c>
    </row>
    <row r="235">
      <c r="A235" s="139">
        <f>IF(AND('Ações'!AB237="SIM", 'Ações'!AS237="SIM"), 1,0)</f>
        <v>0</v>
      </c>
      <c r="B235" s="139">
        <f>IF(AND('Ações'!$AB237="SIM", 'Ações'!AT237="SIM"), 1,0)</f>
        <v>1</v>
      </c>
      <c r="C235" s="139">
        <f>IF(AND('Ações'!$AB237="SIM", 'Ações'!AU237="SIM"), 1,0)</f>
        <v>1</v>
      </c>
      <c r="D235" s="139">
        <f>IF(AND('Ações'!$AB237="SIM", 'Ações'!AV237="SIM"), 1,0)</f>
        <v>1</v>
      </c>
      <c r="E235" s="139">
        <f>IF(AND('Ações'!$AB237="SIM", 'Ações'!AW237="SIM"), 1,0)</f>
        <v>1</v>
      </c>
      <c r="F235" s="139">
        <f>IF(AND('Ações'!$AB237="SIM", 'Ações'!AX237="SIM"), 1,0)</f>
        <v>0</v>
      </c>
      <c r="G235" s="139">
        <f>IF(AND('Ações'!$AC237="SIM", 'Ações'!AS237="SIM"), 1,0)</f>
        <v>0</v>
      </c>
      <c r="H235" s="139">
        <f>IF(AND('Ações'!$AC237="SIM", 'Ações'!AT237="SIM"), 1,0)</f>
        <v>1</v>
      </c>
      <c r="I235" s="139">
        <f>IF(AND('Ações'!$AC237="SIM", 'Ações'!AU237="SIM"), 1,0)</f>
        <v>1</v>
      </c>
      <c r="J235" s="139">
        <f>IF(AND('Ações'!$AC237="SIM", 'Ações'!AV237="SIM"), 1,0)</f>
        <v>1</v>
      </c>
      <c r="K235" s="139">
        <f>IF(AND('Ações'!$AC237="SIM", 'Ações'!AW237="SIM"), 1,0)</f>
        <v>1</v>
      </c>
      <c r="L235" s="139">
        <f>IF(AND('Ações'!$AC237="SIM", 'Ações'!AX237="SIM"), 1,0)</f>
        <v>0</v>
      </c>
      <c r="M235" s="139">
        <f>IF(AND('Ações'!$AD237="SIM", 'Ações'!AS237="SIM"), 1,0)</f>
        <v>0</v>
      </c>
      <c r="N235" s="139">
        <f>IF(AND('Ações'!$AD237="SIM", 'Ações'!AT237="SIM"), 1,0)</f>
        <v>0</v>
      </c>
      <c r="O235" s="139">
        <f>IF(AND('Ações'!$AD237="SIM", 'Ações'!AU237="SIM"), 1,0)</f>
        <v>0</v>
      </c>
      <c r="P235" s="139">
        <f>IF(AND('Ações'!$AD237="SIM", 'Ações'!AV237="SIM"), 1,0)</f>
        <v>0</v>
      </c>
      <c r="Q235" s="139">
        <f>IF(AND('Ações'!$AD237="SIM", 'Ações'!AW237="SIM"), 1,0)</f>
        <v>0</v>
      </c>
      <c r="R235" s="139">
        <f>IF(AND('Ações'!$AD237="SIM", 'Ações'!AX237="SIM"), 1,0)</f>
        <v>0</v>
      </c>
    </row>
    <row r="236">
      <c r="A236" s="139">
        <f>IF(AND('Ações'!AB238="SIM", 'Ações'!AS238="SIM"), 1,0)</f>
        <v>1</v>
      </c>
      <c r="B236" s="139">
        <f>IF(AND('Ações'!$AB238="SIM", 'Ações'!AT238="SIM"), 1,0)</f>
        <v>1</v>
      </c>
      <c r="C236" s="139">
        <f>IF(AND('Ações'!$AB238="SIM", 'Ações'!AU238="SIM"), 1,0)</f>
        <v>0</v>
      </c>
      <c r="D236" s="139">
        <f>IF(AND('Ações'!$AB238="SIM", 'Ações'!AV238="SIM"), 1,0)</f>
        <v>1</v>
      </c>
      <c r="E236" s="139">
        <f>IF(AND('Ações'!$AB238="SIM", 'Ações'!AW238="SIM"), 1,0)</f>
        <v>0</v>
      </c>
      <c r="F236" s="139">
        <f>IF(AND('Ações'!$AB238="SIM", 'Ações'!AX238="SIM"), 1,0)</f>
        <v>1</v>
      </c>
      <c r="G236" s="139">
        <f>IF(AND('Ações'!$AC238="SIM", 'Ações'!AS238="SIM"), 1,0)</f>
        <v>0</v>
      </c>
      <c r="H236" s="139">
        <f>IF(AND('Ações'!$AC238="SIM", 'Ações'!AT238="SIM"), 1,0)</f>
        <v>0</v>
      </c>
      <c r="I236" s="139">
        <f>IF(AND('Ações'!$AC238="SIM", 'Ações'!AU238="SIM"), 1,0)</f>
        <v>0</v>
      </c>
      <c r="J236" s="139">
        <f>IF(AND('Ações'!$AC238="SIM", 'Ações'!AV238="SIM"), 1,0)</f>
        <v>0</v>
      </c>
      <c r="K236" s="139">
        <f>IF(AND('Ações'!$AC238="SIM", 'Ações'!AW238="SIM"), 1,0)</f>
        <v>0</v>
      </c>
      <c r="L236" s="139">
        <f>IF(AND('Ações'!$AC238="SIM", 'Ações'!AX238="SIM"), 1,0)</f>
        <v>0</v>
      </c>
      <c r="M236" s="139">
        <f>IF(AND('Ações'!$AD238="SIM", 'Ações'!AS238="SIM"), 1,0)</f>
        <v>0</v>
      </c>
      <c r="N236" s="139">
        <f>IF(AND('Ações'!$AD238="SIM", 'Ações'!AT238="SIM"), 1,0)</f>
        <v>0</v>
      </c>
      <c r="O236" s="139">
        <f>IF(AND('Ações'!$AD238="SIM", 'Ações'!AU238="SIM"), 1,0)</f>
        <v>0</v>
      </c>
      <c r="P236" s="139">
        <f>IF(AND('Ações'!$AD238="SIM", 'Ações'!AV238="SIM"), 1,0)</f>
        <v>0</v>
      </c>
      <c r="Q236" s="139">
        <f>IF(AND('Ações'!$AD238="SIM", 'Ações'!AW238="SIM"), 1,0)</f>
        <v>0</v>
      </c>
      <c r="R236" s="139">
        <f>IF(AND('Ações'!$AD238="SIM", 'Ações'!AX238="SIM"), 1,0)</f>
        <v>0</v>
      </c>
    </row>
    <row r="237">
      <c r="A237" s="139">
        <f>IF(AND('Ações'!AB239="SIM", 'Ações'!AS239="SIM"), 1,0)</f>
        <v>1</v>
      </c>
      <c r="B237" s="139">
        <f>IF(AND('Ações'!$AB239="SIM", 'Ações'!AT239="SIM"), 1,0)</f>
        <v>1</v>
      </c>
      <c r="C237" s="139">
        <f>IF(AND('Ações'!$AB239="SIM", 'Ações'!AU239="SIM"), 1,0)</f>
        <v>0</v>
      </c>
      <c r="D237" s="139">
        <f>IF(AND('Ações'!$AB239="SIM", 'Ações'!AV239="SIM"), 1,0)</f>
        <v>1</v>
      </c>
      <c r="E237" s="139">
        <f>IF(AND('Ações'!$AB239="SIM", 'Ações'!AW239="SIM"), 1,0)</f>
        <v>0</v>
      </c>
      <c r="F237" s="139">
        <f>IF(AND('Ações'!$AB239="SIM", 'Ações'!AX239="SIM"), 1,0)</f>
        <v>1</v>
      </c>
      <c r="G237" s="139">
        <f>IF(AND('Ações'!$AC239="SIM", 'Ações'!AS239="SIM"), 1,0)</f>
        <v>0</v>
      </c>
      <c r="H237" s="139">
        <f>IF(AND('Ações'!$AC239="SIM", 'Ações'!AT239="SIM"), 1,0)</f>
        <v>0</v>
      </c>
      <c r="I237" s="139">
        <f>IF(AND('Ações'!$AC239="SIM", 'Ações'!AU239="SIM"), 1,0)</f>
        <v>0</v>
      </c>
      <c r="J237" s="139">
        <f>IF(AND('Ações'!$AC239="SIM", 'Ações'!AV239="SIM"), 1,0)</f>
        <v>0</v>
      </c>
      <c r="K237" s="139">
        <f>IF(AND('Ações'!$AC239="SIM", 'Ações'!AW239="SIM"), 1,0)</f>
        <v>0</v>
      </c>
      <c r="L237" s="139">
        <f>IF(AND('Ações'!$AC239="SIM", 'Ações'!AX239="SIM"), 1,0)</f>
        <v>0</v>
      </c>
      <c r="M237" s="139">
        <f>IF(AND('Ações'!$AD239="SIM", 'Ações'!AS239="SIM"), 1,0)</f>
        <v>0</v>
      </c>
      <c r="N237" s="139">
        <f>IF(AND('Ações'!$AD239="SIM", 'Ações'!AT239="SIM"), 1,0)</f>
        <v>0</v>
      </c>
      <c r="O237" s="139">
        <f>IF(AND('Ações'!$AD239="SIM", 'Ações'!AU239="SIM"), 1,0)</f>
        <v>0</v>
      </c>
      <c r="P237" s="139">
        <f>IF(AND('Ações'!$AD239="SIM", 'Ações'!AV239="SIM"), 1,0)</f>
        <v>0</v>
      </c>
      <c r="Q237" s="139">
        <f>IF(AND('Ações'!$AD239="SIM", 'Ações'!AW239="SIM"), 1,0)</f>
        <v>0</v>
      </c>
      <c r="R237" s="139">
        <f>IF(AND('Ações'!$AD239="SIM", 'Ações'!AX239="SIM"), 1,0)</f>
        <v>0</v>
      </c>
    </row>
    <row r="238">
      <c r="A238" s="139">
        <f>IF(AND('Ações'!AB241="SIM", 'Ações'!AS241="SIM"), 1,0)</f>
        <v>1</v>
      </c>
      <c r="B238" s="139">
        <f>IF(AND('Ações'!$AB241="SIM", 'Ações'!AT241="SIM"), 1,0)</f>
        <v>1</v>
      </c>
      <c r="C238" s="139">
        <f>IF(AND('Ações'!$AB241="SIM", 'Ações'!AU241="SIM"), 1,0)</f>
        <v>0</v>
      </c>
      <c r="D238" s="139">
        <f>IF(AND('Ações'!$AB241="SIM", 'Ações'!AV241="SIM"), 1,0)</f>
        <v>1</v>
      </c>
      <c r="E238" s="139">
        <f>IF(AND('Ações'!$AB241="SIM", 'Ações'!AW241="SIM"), 1,0)</f>
        <v>0</v>
      </c>
      <c r="F238" s="139">
        <f>IF(AND('Ações'!$AB241="SIM", 'Ações'!AX241="SIM"), 1,0)</f>
        <v>1</v>
      </c>
      <c r="G238" s="139">
        <f>IF(AND('Ações'!$AC241="SIM", 'Ações'!AS241="SIM"), 1,0)</f>
        <v>0</v>
      </c>
      <c r="H238" s="139">
        <f>IF(AND('Ações'!$AC241="SIM", 'Ações'!AT241="SIM"), 1,0)</f>
        <v>0</v>
      </c>
      <c r="I238" s="139">
        <f>IF(AND('Ações'!$AC241="SIM", 'Ações'!AU241="SIM"), 1,0)</f>
        <v>0</v>
      </c>
      <c r="J238" s="139">
        <f>IF(AND('Ações'!$AC241="SIM", 'Ações'!AV241="SIM"), 1,0)</f>
        <v>0</v>
      </c>
      <c r="K238" s="139">
        <f>IF(AND('Ações'!$AC241="SIM", 'Ações'!AW241="SIM"), 1,0)</f>
        <v>0</v>
      </c>
      <c r="L238" s="139">
        <f>IF(AND('Ações'!$AC241="SIM", 'Ações'!AX241="SIM"), 1,0)</f>
        <v>0</v>
      </c>
      <c r="M238" s="139">
        <f>IF(AND('Ações'!$AD241="SIM", 'Ações'!AS241="SIM"), 1,0)</f>
        <v>0</v>
      </c>
      <c r="N238" s="139">
        <f>IF(AND('Ações'!$AD241="SIM", 'Ações'!AT241="SIM"), 1,0)</f>
        <v>0</v>
      </c>
      <c r="O238" s="139">
        <f>IF(AND('Ações'!$AD241="SIM", 'Ações'!AU241="SIM"), 1,0)</f>
        <v>0</v>
      </c>
      <c r="P238" s="139">
        <f>IF(AND('Ações'!$AD241="SIM", 'Ações'!AV241="SIM"), 1,0)</f>
        <v>0</v>
      </c>
      <c r="Q238" s="139">
        <f>IF(AND('Ações'!$AD241="SIM", 'Ações'!AW241="SIM"), 1,0)</f>
        <v>0</v>
      </c>
      <c r="R238" s="139">
        <f>IF(AND('Ações'!$AD241="SIM", 'Ações'!AX241="SIM"), 1,0)</f>
        <v>0</v>
      </c>
    </row>
    <row r="239">
      <c r="A239" s="139">
        <f>IF(AND('Ações'!AB242="SIM", 'Ações'!AS242="SIM"), 1,0)</f>
        <v>1</v>
      </c>
      <c r="B239" s="139">
        <f>IF(AND('Ações'!$AB242="SIM", 'Ações'!AT242="SIM"), 1,0)</f>
        <v>1</v>
      </c>
      <c r="C239" s="139">
        <f>IF(AND('Ações'!$AB242="SIM", 'Ações'!AU242="SIM"), 1,0)</f>
        <v>0</v>
      </c>
      <c r="D239" s="139">
        <f>IF(AND('Ações'!$AB242="SIM", 'Ações'!AV242="SIM"), 1,0)</f>
        <v>1</v>
      </c>
      <c r="E239" s="139">
        <f>IF(AND('Ações'!$AB242="SIM", 'Ações'!AW242="SIM"), 1,0)</f>
        <v>0</v>
      </c>
      <c r="F239" s="139">
        <f>IF(AND('Ações'!$AB242="SIM", 'Ações'!AX242="SIM"), 1,0)</f>
        <v>1</v>
      </c>
      <c r="G239" s="139">
        <f>IF(AND('Ações'!$AC242="SIM", 'Ações'!AS242="SIM"), 1,0)</f>
        <v>0</v>
      </c>
      <c r="H239" s="139">
        <f>IF(AND('Ações'!$AC242="SIM", 'Ações'!AT242="SIM"), 1,0)</f>
        <v>0</v>
      </c>
      <c r="I239" s="139">
        <f>IF(AND('Ações'!$AC242="SIM", 'Ações'!AU242="SIM"), 1,0)</f>
        <v>0</v>
      </c>
      <c r="J239" s="139">
        <f>IF(AND('Ações'!$AC242="SIM", 'Ações'!AV242="SIM"), 1,0)</f>
        <v>0</v>
      </c>
      <c r="K239" s="139">
        <f>IF(AND('Ações'!$AC242="SIM", 'Ações'!AW242="SIM"), 1,0)</f>
        <v>0</v>
      </c>
      <c r="L239" s="139">
        <f>IF(AND('Ações'!$AC242="SIM", 'Ações'!AX242="SIM"), 1,0)</f>
        <v>0</v>
      </c>
      <c r="M239" s="139">
        <f>IF(AND('Ações'!$AD242="SIM", 'Ações'!AS242="SIM"), 1,0)</f>
        <v>0</v>
      </c>
      <c r="N239" s="139">
        <f>IF(AND('Ações'!$AD242="SIM", 'Ações'!AT242="SIM"), 1,0)</f>
        <v>0</v>
      </c>
      <c r="O239" s="139">
        <f>IF(AND('Ações'!$AD242="SIM", 'Ações'!AU242="SIM"), 1,0)</f>
        <v>0</v>
      </c>
      <c r="P239" s="139">
        <f>IF(AND('Ações'!$AD242="SIM", 'Ações'!AV242="SIM"), 1,0)</f>
        <v>0</v>
      </c>
      <c r="Q239" s="139">
        <f>IF(AND('Ações'!$AD242="SIM", 'Ações'!AW242="SIM"), 1,0)</f>
        <v>0</v>
      </c>
      <c r="R239" s="139">
        <f>IF(AND('Ações'!$AD242="SIM", 'Ações'!AX242="SIM"), 1,0)</f>
        <v>0</v>
      </c>
    </row>
    <row r="240">
      <c r="A240" s="139">
        <f>IF(AND('Ações'!AB243="SIM", 'Ações'!AS243="SIM"), 1,0)</f>
        <v>1</v>
      </c>
      <c r="B240" s="139">
        <f>IF(AND('Ações'!$AB243="SIM", 'Ações'!AT243="SIM"), 1,0)</f>
        <v>1</v>
      </c>
      <c r="C240" s="139">
        <f>IF(AND('Ações'!$AB243="SIM", 'Ações'!AU243="SIM"), 1,0)</f>
        <v>0</v>
      </c>
      <c r="D240" s="139">
        <f>IF(AND('Ações'!$AB243="SIM", 'Ações'!AV243="SIM"), 1,0)</f>
        <v>1</v>
      </c>
      <c r="E240" s="139">
        <f>IF(AND('Ações'!$AB243="SIM", 'Ações'!AW243="SIM"), 1,0)</f>
        <v>0</v>
      </c>
      <c r="F240" s="139">
        <f>IF(AND('Ações'!$AB243="SIM", 'Ações'!AX243="SIM"), 1,0)</f>
        <v>1</v>
      </c>
      <c r="G240" s="139">
        <f>IF(AND('Ações'!$AC243="SIM", 'Ações'!AS243="SIM"), 1,0)</f>
        <v>0</v>
      </c>
      <c r="H240" s="139">
        <f>IF(AND('Ações'!$AC243="SIM", 'Ações'!AT243="SIM"), 1,0)</f>
        <v>0</v>
      </c>
      <c r="I240" s="139">
        <f>IF(AND('Ações'!$AC243="SIM", 'Ações'!AU243="SIM"), 1,0)</f>
        <v>0</v>
      </c>
      <c r="J240" s="139">
        <f>IF(AND('Ações'!$AC243="SIM", 'Ações'!AV243="SIM"), 1,0)</f>
        <v>0</v>
      </c>
      <c r="K240" s="139">
        <f>IF(AND('Ações'!$AC243="SIM", 'Ações'!AW243="SIM"), 1,0)</f>
        <v>0</v>
      </c>
      <c r="L240" s="139">
        <f>IF(AND('Ações'!$AC243="SIM", 'Ações'!AX243="SIM"), 1,0)</f>
        <v>0</v>
      </c>
      <c r="M240" s="139">
        <f>IF(AND('Ações'!$AD243="SIM", 'Ações'!AS243="SIM"), 1,0)</f>
        <v>0</v>
      </c>
      <c r="N240" s="139">
        <f>IF(AND('Ações'!$AD243="SIM", 'Ações'!AT243="SIM"), 1,0)</f>
        <v>0</v>
      </c>
      <c r="O240" s="139">
        <f>IF(AND('Ações'!$AD243="SIM", 'Ações'!AU243="SIM"), 1,0)</f>
        <v>0</v>
      </c>
      <c r="P240" s="139">
        <f>IF(AND('Ações'!$AD243="SIM", 'Ações'!AV243="SIM"), 1,0)</f>
        <v>0</v>
      </c>
      <c r="Q240" s="139">
        <f>IF(AND('Ações'!$AD243="SIM", 'Ações'!AW243="SIM"), 1,0)</f>
        <v>0</v>
      </c>
      <c r="R240" s="139">
        <f>IF(AND('Ações'!$AD243="SIM", 'Ações'!AX243="SIM"), 1,0)</f>
        <v>0</v>
      </c>
    </row>
    <row r="241">
      <c r="A241" s="139">
        <f>IF(AND('Ações'!AB244="SIM", 'Ações'!AS244="SIM"), 1,0)</f>
        <v>1</v>
      </c>
      <c r="B241" s="139">
        <f>IF(AND('Ações'!$AB244="SIM", 'Ações'!AT244="SIM"), 1,0)</f>
        <v>1</v>
      </c>
      <c r="C241" s="139">
        <f>IF(AND('Ações'!$AB244="SIM", 'Ações'!AU244="SIM"), 1,0)</f>
        <v>0</v>
      </c>
      <c r="D241" s="139">
        <f>IF(AND('Ações'!$AB244="SIM", 'Ações'!AV244="SIM"), 1,0)</f>
        <v>1</v>
      </c>
      <c r="E241" s="139">
        <f>IF(AND('Ações'!$AB244="SIM", 'Ações'!AW244="SIM"), 1,0)</f>
        <v>0</v>
      </c>
      <c r="F241" s="139">
        <f>IF(AND('Ações'!$AB244="SIM", 'Ações'!AX244="SIM"), 1,0)</f>
        <v>1</v>
      </c>
      <c r="G241" s="139">
        <f>IF(AND('Ações'!$AC244="SIM", 'Ações'!AS244="SIM"), 1,0)</f>
        <v>0</v>
      </c>
      <c r="H241" s="139">
        <f>IF(AND('Ações'!$AC244="SIM", 'Ações'!AT244="SIM"), 1,0)</f>
        <v>0</v>
      </c>
      <c r="I241" s="139">
        <f>IF(AND('Ações'!$AC244="SIM", 'Ações'!AU244="SIM"), 1,0)</f>
        <v>0</v>
      </c>
      <c r="J241" s="139">
        <f>IF(AND('Ações'!$AC244="SIM", 'Ações'!AV244="SIM"), 1,0)</f>
        <v>0</v>
      </c>
      <c r="K241" s="139">
        <f>IF(AND('Ações'!$AC244="SIM", 'Ações'!AW244="SIM"), 1,0)</f>
        <v>0</v>
      </c>
      <c r="L241" s="139">
        <f>IF(AND('Ações'!$AC244="SIM", 'Ações'!AX244="SIM"), 1,0)</f>
        <v>0</v>
      </c>
      <c r="M241" s="139">
        <f>IF(AND('Ações'!$AD244="SIM", 'Ações'!AS244="SIM"), 1,0)</f>
        <v>0</v>
      </c>
      <c r="N241" s="139">
        <f>IF(AND('Ações'!$AD244="SIM", 'Ações'!AT244="SIM"), 1,0)</f>
        <v>0</v>
      </c>
      <c r="O241" s="139">
        <f>IF(AND('Ações'!$AD244="SIM", 'Ações'!AU244="SIM"), 1,0)</f>
        <v>0</v>
      </c>
      <c r="P241" s="139">
        <f>IF(AND('Ações'!$AD244="SIM", 'Ações'!AV244="SIM"), 1,0)</f>
        <v>0</v>
      </c>
      <c r="Q241" s="139">
        <f>IF(AND('Ações'!$AD244="SIM", 'Ações'!AW244="SIM"), 1,0)</f>
        <v>0</v>
      </c>
      <c r="R241" s="139">
        <f>IF(AND('Ações'!$AD244="SIM", 'Ações'!AX244="SIM"), 1,0)</f>
        <v>0</v>
      </c>
    </row>
    <row r="242">
      <c r="A242" s="139">
        <f>IF(AND('Ações'!AB245="SIM", 'Ações'!AS245="SIM"), 1,0)</f>
        <v>1</v>
      </c>
      <c r="B242" s="139">
        <f>IF(AND('Ações'!$AB245="SIM", 'Ações'!AT245="SIM"), 1,0)</f>
        <v>1</v>
      </c>
      <c r="C242" s="139">
        <f>IF(AND('Ações'!$AB245="SIM", 'Ações'!AU245="SIM"), 1,0)</f>
        <v>1</v>
      </c>
      <c r="D242" s="139">
        <f>IF(AND('Ações'!$AB245="SIM", 'Ações'!AV245="SIM"), 1,0)</f>
        <v>1</v>
      </c>
      <c r="E242" s="139">
        <f>IF(AND('Ações'!$AB245="SIM", 'Ações'!AW245="SIM"), 1,0)</f>
        <v>0</v>
      </c>
      <c r="F242" s="139">
        <f>IF(AND('Ações'!$AB245="SIM", 'Ações'!AX245="SIM"), 1,0)</f>
        <v>0</v>
      </c>
      <c r="G242" s="139">
        <f>IF(AND('Ações'!$AC245="SIM", 'Ações'!AS245="SIM"), 1,0)</f>
        <v>0</v>
      </c>
      <c r="H242" s="139">
        <f>IF(AND('Ações'!$AC245="SIM", 'Ações'!AT245="SIM"), 1,0)</f>
        <v>0</v>
      </c>
      <c r="I242" s="139">
        <f>IF(AND('Ações'!$AC245="SIM", 'Ações'!AU245="SIM"), 1,0)</f>
        <v>0</v>
      </c>
      <c r="J242" s="139">
        <f>IF(AND('Ações'!$AC245="SIM", 'Ações'!AV245="SIM"), 1,0)</f>
        <v>0</v>
      </c>
      <c r="K242" s="139">
        <f>IF(AND('Ações'!$AC245="SIM", 'Ações'!AW245="SIM"), 1,0)</f>
        <v>0</v>
      </c>
      <c r="L242" s="139">
        <f>IF(AND('Ações'!$AC245="SIM", 'Ações'!AX245="SIM"), 1,0)</f>
        <v>0</v>
      </c>
      <c r="M242" s="139">
        <f>IF(AND('Ações'!$AD245="SIM", 'Ações'!AS245="SIM"), 1,0)</f>
        <v>0</v>
      </c>
      <c r="N242" s="139">
        <f>IF(AND('Ações'!$AD245="SIM", 'Ações'!AT245="SIM"), 1,0)</f>
        <v>0</v>
      </c>
      <c r="O242" s="139">
        <f>IF(AND('Ações'!$AD245="SIM", 'Ações'!AU245="SIM"), 1,0)</f>
        <v>0</v>
      </c>
      <c r="P242" s="139">
        <f>IF(AND('Ações'!$AD245="SIM", 'Ações'!AV245="SIM"), 1,0)</f>
        <v>0</v>
      </c>
      <c r="Q242" s="139">
        <f>IF(AND('Ações'!$AD245="SIM", 'Ações'!AW245="SIM"), 1,0)</f>
        <v>0</v>
      </c>
      <c r="R242" s="139">
        <f>IF(AND('Ações'!$AD245="SIM", 'Ações'!AX245="SIM"), 1,0)</f>
        <v>0</v>
      </c>
    </row>
    <row r="243">
      <c r="A243" s="139">
        <f>IF(AND('Ações'!AB246="SIM", 'Ações'!AS246="SIM"), 1,0)</f>
        <v>1</v>
      </c>
      <c r="B243" s="139">
        <f>IF(AND('Ações'!$AB246="SIM", 'Ações'!AT246="SIM"), 1,0)</f>
        <v>1</v>
      </c>
      <c r="C243" s="139">
        <f>IF(AND('Ações'!$AB246="SIM", 'Ações'!AU246="SIM"), 1,0)</f>
        <v>1</v>
      </c>
      <c r="D243" s="139">
        <f>IF(AND('Ações'!$AB246="SIM", 'Ações'!AV246="SIM"), 1,0)</f>
        <v>1</v>
      </c>
      <c r="E243" s="139">
        <f>IF(AND('Ações'!$AB246="SIM", 'Ações'!AW246="SIM"), 1,0)</f>
        <v>0</v>
      </c>
      <c r="F243" s="139">
        <f>IF(AND('Ações'!$AB246="SIM", 'Ações'!AX246="SIM"), 1,0)</f>
        <v>0</v>
      </c>
      <c r="G243" s="139">
        <f>IF(AND('Ações'!$AC246="SIM", 'Ações'!AS246="SIM"), 1,0)</f>
        <v>1</v>
      </c>
      <c r="H243" s="139">
        <f>IF(AND('Ações'!$AC246="SIM", 'Ações'!AT246="SIM"), 1,0)</f>
        <v>1</v>
      </c>
      <c r="I243" s="139">
        <f>IF(AND('Ações'!$AC246="SIM", 'Ações'!AU246="SIM"), 1,0)</f>
        <v>1</v>
      </c>
      <c r="J243" s="139">
        <f>IF(AND('Ações'!$AC246="SIM", 'Ações'!AV246="SIM"), 1,0)</f>
        <v>1</v>
      </c>
      <c r="K243" s="139">
        <f>IF(AND('Ações'!$AC246="SIM", 'Ações'!AW246="SIM"), 1,0)</f>
        <v>0</v>
      </c>
      <c r="L243" s="139">
        <f>IF(AND('Ações'!$AC246="SIM", 'Ações'!AX246="SIM"), 1,0)</f>
        <v>0</v>
      </c>
      <c r="M243" s="139">
        <f>IF(AND('Ações'!$AD246="SIM", 'Ações'!AS246="SIM"), 1,0)</f>
        <v>0</v>
      </c>
      <c r="N243" s="139">
        <f>IF(AND('Ações'!$AD246="SIM", 'Ações'!AT246="SIM"), 1,0)</f>
        <v>0</v>
      </c>
      <c r="O243" s="139">
        <f>IF(AND('Ações'!$AD246="SIM", 'Ações'!AU246="SIM"), 1,0)</f>
        <v>0</v>
      </c>
      <c r="P243" s="139">
        <f>IF(AND('Ações'!$AD246="SIM", 'Ações'!AV246="SIM"), 1,0)</f>
        <v>0</v>
      </c>
      <c r="Q243" s="139">
        <f>IF(AND('Ações'!$AD246="SIM", 'Ações'!AW246="SIM"), 1,0)</f>
        <v>0</v>
      </c>
      <c r="R243" s="139">
        <f>IF(AND('Ações'!$AD246="SIM", 'Ações'!AX246="SIM"), 1,0)</f>
        <v>0</v>
      </c>
    </row>
    <row r="244">
      <c r="A244" s="139">
        <f>IF(AND('Ações'!AB247="SIM", 'Ações'!AS247="SIM"), 1,0)</f>
        <v>1</v>
      </c>
      <c r="B244" s="139">
        <f>IF(AND('Ações'!$AB247="SIM", 'Ações'!AT247="SIM"), 1,0)</f>
        <v>1</v>
      </c>
      <c r="C244" s="139">
        <f>IF(AND('Ações'!$AB247="SIM", 'Ações'!AU247="SIM"), 1,0)</f>
        <v>1</v>
      </c>
      <c r="D244" s="139">
        <f>IF(AND('Ações'!$AB247="SIM", 'Ações'!AV247="SIM"), 1,0)</f>
        <v>1</v>
      </c>
      <c r="E244" s="139">
        <f>IF(AND('Ações'!$AB247="SIM", 'Ações'!AW247="SIM"), 1,0)</f>
        <v>0</v>
      </c>
      <c r="F244" s="139">
        <f>IF(AND('Ações'!$AB247="SIM", 'Ações'!AX247="SIM"), 1,0)</f>
        <v>0</v>
      </c>
      <c r="G244" s="139">
        <f>IF(AND('Ações'!$AC247="SIM", 'Ações'!AS247="SIM"), 1,0)</f>
        <v>0</v>
      </c>
      <c r="H244" s="139">
        <f>IF(AND('Ações'!$AC247="SIM", 'Ações'!AT247="SIM"), 1,0)</f>
        <v>0</v>
      </c>
      <c r="I244" s="139">
        <f>IF(AND('Ações'!$AC247="SIM", 'Ações'!AU247="SIM"), 1,0)</f>
        <v>0</v>
      </c>
      <c r="J244" s="139">
        <f>IF(AND('Ações'!$AC247="SIM", 'Ações'!AV247="SIM"), 1,0)</f>
        <v>0</v>
      </c>
      <c r="K244" s="139">
        <f>IF(AND('Ações'!$AC247="SIM", 'Ações'!AW247="SIM"), 1,0)</f>
        <v>0</v>
      </c>
      <c r="L244" s="139">
        <f>IF(AND('Ações'!$AC247="SIM", 'Ações'!AX247="SIM"), 1,0)</f>
        <v>0</v>
      </c>
      <c r="M244" s="139">
        <f>IF(AND('Ações'!$AD247="SIM", 'Ações'!AS247="SIM"), 1,0)</f>
        <v>0</v>
      </c>
      <c r="N244" s="139">
        <f>IF(AND('Ações'!$AD247="SIM", 'Ações'!AT247="SIM"), 1,0)</f>
        <v>0</v>
      </c>
      <c r="O244" s="139">
        <f>IF(AND('Ações'!$AD247="SIM", 'Ações'!AU247="SIM"), 1,0)</f>
        <v>0</v>
      </c>
      <c r="P244" s="139">
        <f>IF(AND('Ações'!$AD247="SIM", 'Ações'!AV247="SIM"), 1,0)</f>
        <v>0</v>
      </c>
      <c r="Q244" s="139">
        <f>IF(AND('Ações'!$AD247="SIM", 'Ações'!AW247="SIM"), 1,0)</f>
        <v>0</v>
      </c>
      <c r="R244" s="139">
        <f>IF(AND('Ações'!$AD247="SIM", 'Ações'!AX247="SIM"), 1,0)</f>
        <v>0</v>
      </c>
    </row>
    <row r="245">
      <c r="A245" s="139">
        <f>IF(AND('Ações'!AB248="SIM", 'Ações'!AS248="SIM"), 1,0)</f>
        <v>1</v>
      </c>
      <c r="B245" s="139">
        <f>IF(AND('Ações'!$AB248="SIM", 'Ações'!AT248="SIM"), 1,0)</f>
        <v>1</v>
      </c>
      <c r="C245" s="139">
        <f>IF(AND('Ações'!$AB248="SIM", 'Ações'!AU248="SIM"), 1,0)</f>
        <v>1</v>
      </c>
      <c r="D245" s="139">
        <f>IF(AND('Ações'!$AB248="SIM", 'Ações'!AV248="SIM"), 1,0)</f>
        <v>1</v>
      </c>
      <c r="E245" s="139">
        <f>IF(AND('Ações'!$AB248="SIM", 'Ações'!AW248="SIM"), 1,0)</f>
        <v>0</v>
      </c>
      <c r="F245" s="139">
        <f>IF(AND('Ações'!$AB248="SIM", 'Ações'!AX248="SIM"), 1,0)</f>
        <v>0</v>
      </c>
      <c r="G245" s="139">
        <f>IF(AND('Ações'!$AC248="SIM", 'Ações'!AS248="SIM"), 1,0)</f>
        <v>0</v>
      </c>
      <c r="H245" s="139">
        <f>IF(AND('Ações'!$AC248="SIM", 'Ações'!AT248="SIM"), 1,0)</f>
        <v>0</v>
      </c>
      <c r="I245" s="139">
        <f>IF(AND('Ações'!$AC248="SIM", 'Ações'!AU248="SIM"), 1,0)</f>
        <v>0</v>
      </c>
      <c r="J245" s="139">
        <f>IF(AND('Ações'!$AC248="SIM", 'Ações'!AV248="SIM"), 1,0)</f>
        <v>0</v>
      </c>
      <c r="K245" s="139">
        <f>IF(AND('Ações'!$AC248="SIM", 'Ações'!AW248="SIM"), 1,0)</f>
        <v>0</v>
      </c>
      <c r="L245" s="139">
        <f>IF(AND('Ações'!$AC248="SIM", 'Ações'!AX248="SIM"), 1,0)</f>
        <v>0</v>
      </c>
      <c r="M245" s="139">
        <f>IF(AND('Ações'!$AD248="SIM", 'Ações'!AS248="SIM"), 1,0)</f>
        <v>0</v>
      </c>
      <c r="N245" s="139">
        <f>IF(AND('Ações'!$AD248="SIM", 'Ações'!AT248="SIM"), 1,0)</f>
        <v>0</v>
      </c>
      <c r="O245" s="139">
        <f>IF(AND('Ações'!$AD248="SIM", 'Ações'!AU248="SIM"), 1,0)</f>
        <v>0</v>
      </c>
      <c r="P245" s="139">
        <f>IF(AND('Ações'!$AD248="SIM", 'Ações'!AV248="SIM"), 1,0)</f>
        <v>0</v>
      </c>
      <c r="Q245" s="139">
        <f>IF(AND('Ações'!$AD248="SIM", 'Ações'!AW248="SIM"), 1,0)</f>
        <v>0</v>
      </c>
      <c r="R245" s="139">
        <f>IF(AND('Ações'!$AD248="SIM", 'Ações'!AX248="SIM"), 1,0)</f>
        <v>0</v>
      </c>
    </row>
    <row r="246">
      <c r="A246" s="139">
        <f>IF(AND('Ações'!AB249="SIM", 'Ações'!AS249="SIM"), 1,0)</f>
        <v>0</v>
      </c>
      <c r="B246" s="139">
        <f>IF(AND('Ações'!$AB249="SIM", 'Ações'!AT249="SIM"), 1,0)</f>
        <v>0</v>
      </c>
      <c r="C246" s="139">
        <f>IF(AND('Ações'!$AB249="SIM", 'Ações'!AU249="SIM"), 1,0)</f>
        <v>0</v>
      </c>
      <c r="D246" s="139">
        <f>IF(AND('Ações'!$AB249="SIM", 'Ações'!AV249="SIM"), 1,0)</f>
        <v>0</v>
      </c>
      <c r="E246" s="139">
        <f>IF(AND('Ações'!$AB249="SIM", 'Ações'!AW249="SIM"), 1,0)</f>
        <v>0</v>
      </c>
      <c r="F246" s="139">
        <f>IF(AND('Ações'!$AB249="SIM", 'Ações'!AX249="SIM"), 1,0)</f>
        <v>0</v>
      </c>
      <c r="G246" s="139">
        <f>IF(AND('Ações'!$AC249="SIM", 'Ações'!AS249="SIM"), 1,0)</f>
        <v>1</v>
      </c>
      <c r="H246" s="139">
        <f>IF(AND('Ações'!$AC249="SIM", 'Ações'!AT249="SIM"), 1,0)</f>
        <v>1</v>
      </c>
      <c r="I246" s="139">
        <f>IF(AND('Ações'!$AC249="SIM", 'Ações'!AU249="SIM"), 1,0)</f>
        <v>1</v>
      </c>
      <c r="J246" s="139">
        <f>IF(AND('Ações'!$AC249="SIM", 'Ações'!AV249="SIM"), 1,0)</f>
        <v>1</v>
      </c>
      <c r="K246" s="139">
        <f>IF(AND('Ações'!$AC249="SIM", 'Ações'!AW249="SIM"), 1,0)</f>
        <v>0</v>
      </c>
      <c r="L246" s="139">
        <f>IF(AND('Ações'!$AC249="SIM", 'Ações'!AX249="SIM"), 1,0)</f>
        <v>0</v>
      </c>
      <c r="M246" s="139">
        <f>IF(AND('Ações'!$AD249="SIM", 'Ações'!AS249="SIM"), 1,0)</f>
        <v>0</v>
      </c>
      <c r="N246" s="139">
        <f>IF(AND('Ações'!$AD249="SIM", 'Ações'!AT249="SIM"), 1,0)</f>
        <v>0</v>
      </c>
      <c r="O246" s="139">
        <f>IF(AND('Ações'!$AD249="SIM", 'Ações'!AU249="SIM"), 1,0)</f>
        <v>0</v>
      </c>
      <c r="P246" s="139">
        <f>IF(AND('Ações'!$AD249="SIM", 'Ações'!AV249="SIM"), 1,0)</f>
        <v>0</v>
      </c>
      <c r="Q246" s="139">
        <f>IF(AND('Ações'!$AD249="SIM", 'Ações'!AW249="SIM"), 1,0)</f>
        <v>0</v>
      </c>
      <c r="R246" s="139">
        <f>IF(AND('Ações'!$AD249="SIM", 'Ações'!AX249="SIM"), 1,0)</f>
        <v>0</v>
      </c>
    </row>
    <row r="247">
      <c r="A247" s="139">
        <f>IF(AND('Ações'!AB250="SIM", 'Ações'!AS250="SIM"), 1,0)</f>
        <v>1</v>
      </c>
      <c r="B247" s="139">
        <f>IF(AND('Ações'!$AB250="SIM", 'Ações'!AT250="SIM"), 1,0)</f>
        <v>1</v>
      </c>
      <c r="C247" s="139">
        <f>IF(AND('Ações'!$AB250="SIM", 'Ações'!AU250="SIM"), 1,0)</f>
        <v>1</v>
      </c>
      <c r="D247" s="139">
        <f>IF(AND('Ações'!$AB250="SIM", 'Ações'!AV250="SIM"), 1,0)</f>
        <v>1</v>
      </c>
      <c r="E247" s="139">
        <f>IF(AND('Ações'!$AB250="SIM", 'Ações'!AW250="SIM"), 1,0)</f>
        <v>0</v>
      </c>
      <c r="F247" s="139">
        <f>IF(AND('Ações'!$AB250="SIM", 'Ações'!AX250="SIM"), 1,0)</f>
        <v>0</v>
      </c>
      <c r="G247" s="139">
        <f>IF(AND('Ações'!$AC250="SIM", 'Ações'!AS250="SIM"), 1,0)</f>
        <v>0</v>
      </c>
      <c r="H247" s="139">
        <f>IF(AND('Ações'!$AC250="SIM", 'Ações'!AT250="SIM"), 1,0)</f>
        <v>0</v>
      </c>
      <c r="I247" s="139">
        <f>IF(AND('Ações'!$AC250="SIM", 'Ações'!AU250="SIM"), 1,0)</f>
        <v>0</v>
      </c>
      <c r="J247" s="139">
        <f>IF(AND('Ações'!$AC250="SIM", 'Ações'!AV250="SIM"), 1,0)</f>
        <v>0</v>
      </c>
      <c r="K247" s="139">
        <f>IF(AND('Ações'!$AC250="SIM", 'Ações'!AW250="SIM"), 1,0)</f>
        <v>0</v>
      </c>
      <c r="L247" s="139">
        <f>IF(AND('Ações'!$AC250="SIM", 'Ações'!AX250="SIM"), 1,0)</f>
        <v>0</v>
      </c>
      <c r="M247" s="139">
        <f>IF(AND('Ações'!$AD250="SIM", 'Ações'!AS250="SIM"), 1,0)</f>
        <v>0</v>
      </c>
      <c r="N247" s="139">
        <f>IF(AND('Ações'!$AD250="SIM", 'Ações'!AT250="SIM"), 1,0)</f>
        <v>0</v>
      </c>
      <c r="O247" s="139">
        <f>IF(AND('Ações'!$AD250="SIM", 'Ações'!AU250="SIM"), 1,0)</f>
        <v>0</v>
      </c>
      <c r="P247" s="139">
        <f>IF(AND('Ações'!$AD250="SIM", 'Ações'!AV250="SIM"), 1,0)</f>
        <v>0</v>
      </c>
      <c r="Q247" s="139">
        <f>IF(AND('Ações'!$AD250="SIM", 'Ações'!AW250="SIM"), 1,0)</f>
        <v>0</v>
      </c>
      <c r="R247" s="139">
        <f>IF(AND('Ações'!$AD250="SIM", 'Ações'!AX250="SIM"), 1,0)</f>
        <v>0</v>
      </c>
    </row>
    <row r="248">
      <c r="A248" s="139">
        <f>IF(AND('Ações'!AB251="SIM", 'Ações'!AS251="SIM"), 1,0)</f>
        <v>1</v>
      </c>
      <c r="B248" s="139">
        <f>IF(AND('Ações'!$AB251="SIM", 'Ações'!AT251="SIM"), 1,0)</f>
        <v>1</v>
      </c>
      <c r="C248" s="139">
        <f>IF(AND('Ações'!$AB251="SIM", 'Ações'!AU251="SIM"), 1,0)</f>
        <v>1</v>
      </c>
      <c r="D248" s="139">
        <f>IF(AND('Ações'!$AB251="SIM", 'Ações'!AV251="SIM"), 1,0)</f>
        <v>1</v>
      </c>
      <c r="E248" s="139">
        <f>IF(AND('Ações'!$AB251="SIM", 'Ações'!AW251="SIM"), 1,0)</f>
        <v>0</v>
      </c>
      <c r="F248" s="139">
        <f>IF(AND('Ações'!$AB251="SIM", 'Ações'!AX251="SIM"), 1,0)</f>
        <v>0</v>
      </c>
      <c r="G248" s="139">
        <f>IF(AND('Ações'!$AC251="SIM", 'Ações'!AS251="SIM"), 1,0)</f>
        <v>1</v>
      </c>
      <c r="H248" s="139">
        <f>IF(AND('Ações'!$AC251="SIM", 'Ações'!AT251="SIM"), 1,0)</f>
        <v>1</v>
      </c>
      <c r="I248" s="139">
        <f>IF(AND('Ações'!$AC251="SIM", 'Ações'!AU251="SIM"), 1,0)</f>
        <v>1</v>
      </c>
      <c r="J248" s="139">
        <f>IF(AND('Ações'!$AC251="SIM", 'Ações'!AV251="SIM"), 1,0)</f>
        <v>1</v>
      </c>
      <c r="K248" s="139">
        <f>IF(AND('Ações'!$AC251="SIM", 'Ações'!AW251="SIM"), 1,0)</f>
        <v>0</v>
      </c>
      <c r="L248" s="139">
        <f>IF(AND('Ações'!$AC251="SIM", 'Ações'!AX251="SIM"), 1,0)</f>
        <v>0</v>
      </c>
      <c r="M248" s="139">
        <f>IF(AND('Ações'!$AD251="SIM", 'Ações'!AS251="SIM"), 1,0)</f>
        <v>1</v>
      </c>
      <c r="N248" s="139">
        <f>IF(AND('Ações'!$AD251="SIM", 'Ações'!AT251="SIM"), 1,0)</f>
        <v>1</v>
      </c>
      <c r="O248" s="139">
        <f>IF(AND('Ações'!$AD251="SIM", 'Ações'!AU251="SIM"), 1,0)</f>
        <v>1</v>
      </c>
      <c r="P248" s="139">
        <f>IF(AND('Ações'!$AD251="SIM", 'Ações'!AV251="SIM"), 1,0)</f>
        <v>1</v>
      </c>
      <c r="Q248" s="139">
        <f>IF(AND('Ações'!$AD251="SIM", 'Ações'!AW251="SIM"), 1,0)</f>
        <v>0</v>
      </c>
      <c r="R248" s="139">
        <f>IF(AND('Ações'!$AD251="SIM", 'Ações'!AX251="SIM"), 1,0)</f>
        <v>0</v>
      </c>
    </row>
    <row r="249">
      <c r="A249" s="139">
        <f>IF(AND('Ações'!AB252="SIM", 'Ações'!AS252="SIM"), 1,0)</f>
        <v>1</v>
      </c>
      <c r="B249" s="139">
        <f>IF(AND('Ações'!$AB252="SIM", 'Ações'!AT252="SIM"), 1,0)</f>
        <v>1</v>
      </c>
      <c r="C249" s="139">
        <f>IF(AND('Ações'!$AB252="SIM", 'Ações'!AU252="SIM"), 1,0)</f>
        <v>1</v>
      </c>
      <c r="D249" s="139">
        <f>IF(AND('Ações'!$AB252="SIM", 'Ações'!AV252="SIM"), 1,0)</f>
        <v>1</v>
      </c>
      <c r="E249" s="139">
        <f>IF(AND('Ações'!$AB252="SIM", 'Ações'!AW252="SIM"), 1,0)</f>
        <v>0</v>
      </c>
      <c r="F249" s="139">
        <f>IF(AND('Ações'!$AB252="SIM", 'Ações'!AX252="SIM"), 1,0)</f>
        <v>0</v>
      </c>
      <c r="G249" s="139">
        <f>IF(AND('Ações'!$AC252="SIM", 'Ações'!AS252="SIM"), 1,0)</f>
        <v>0</v>
      </c>
      <c r="H249" s="139">
        <f>IF(AND('Ações'!$AC252="SIM", 'Ações'!AT252="SIM"), 1,0)</f>
        <v>0</v>
      </c>
      <c r="I249" s="139">
        <f>IF(AND('Ações'!$AC252="SIM", 'Ações'!AU252="SIM"), 1,0)</f>
        <v>0</v>
      </c>
      <c r="J249" s="139">
        <f>IF(AND('Ações'!$AC252="SIM", 'Ações'!AV252="SIM"), 1,0)</f>
        <v>0</v>
      </c>
      <c r="K249" s="139">
        <f>IF(AND('Ações'!$AC252="SIM", 'Ações'!AW252="SIM"), 1,0)</f>
        <v>0</v>
      </c>
      <c r="L249" s="139">
        <f>IF(AND('Ações'!$AC252="SIM", 'Ações'!AX252="SIM"), 1,0)</f>
        <v>0</v>
      </c>
      <c r="M249" s="139">
        <f>IF(AND('Ações'!$AD252="SIM", 'Ações'!AS252="SIM"), 1,0)</f>
        <v>0</v>
      </c>
      <c r="N249" s="139">
        <f>IF(AND('Ações'!$AD252="SIM", 'Ações'!AT252="SIM"), 1,0)</f>
        <v>0</v>
      </c>
      <c r="O249" s="139">
        <f>IF(AND('Ações'!$AD252="SIM", 'Ações'!AU252="SIM"), 1,0)</f>
        <v>0</v>
      </c>
      <c r="P249" s="139">
        <f>IF(AND('Ações'!$AD252="SIM", 'Ações'!AV252="SIM"), 1,0)</f>
        <v>0</v>
      </c>
      <c r="Q249" s="139">
        <f>IF(AND('Ações'!$AD252="SIM", 'Ações'!AW252="SIM"), 1,0)</f>
        <v>0</v>
      </c>
      <c r="R249" s="139">
        <f>IF(AND('Ações'!$AD252="SIM", 'Ações'!AX252="SIM"), 1,0)</f>
        <v>0</v>
      </c>
    </row>
    <row r="250">
      <c r="A250" s="139">
        <f>IF(AND('Ações'!AB253="SIM", 'Ações'!AS253="SIM"), 1,0)</f>
        <v>0</v>
      </c>
      <c r="B250" s="139">
        <f>IF(AND('Ações'!$AB253="SIM", 'Ações'!AT253="SIM"), 1,0)</f>
        <v>0</v>
      </c>
      <c r="C250" s="139">
        <f>IF(AND('Ações'!$AB253="SIM", 'Ações'!AU253="SIM"), 1,0)</f>
        <v>0</v>
      </c>
      <c r="D250" s="139">
        <f>IF(AND('Ações'!$AB253="SIM", 'Ações'!AV253="SIM"), 1,0)</f>
        <v>0</v>
      </c>
      <c r="E250" s="139">
        <f>IF(AND('Ações'!$AB253="SIM", 'Ações'!AW253="SIM"), 1,0)</f>
        <v>0</v>
      </c>
      <c r="F250" s="139">
        <f>IF(AND('Ações'!$AB253="SIM", 'Ações'!AX253="SIM"), 1,0)</f>
        <v>0</v>
      </c>
      <c r="G250" s="139">
        <f>IF(AND('Ações'!$AC253="SIM", 'Ações'!AS253="SIM"), 1,0)</f>
        <v>1</v>
      </c>
      <c r="H250" s="139">
        <f>IF(AND('Ações'!$AC253="SIM", 'Ações'!AT253="SIM"), 1,0)</f>
        <v>1</v>
      </c>
      <c r="I250" s="139">
        <f>IF(AND('Ações'!$AC253="SIM", 'Ações'!AU253="SIM"), 1,0)</f>
        <v>1</v>
      </c>
      <c r="J250" s="139">
        <f>IF(AND('Ações'!$AC253="SIM", 'Ações'!AV253="SIM"), 1,0)</f>
        <v>1</v>
      </c>
      <c r="K250" s="139">
        <f>IF(AND('Ações'!$AC253="SIM", 'Ações'!AW253="SIM"), 1,0)</f>
        <v>0</v>
      </c>
      <c r="L250" s="139">
        <f>IF(AND('Ações'!$AC253="SIM", 'Ações'!AX253="SIM"), 1,0)</f>
        <v>0</v>
      </c>
      <c r="M250" s="139">
        <f>IF(AND('Ações'!$AD253="SIM", 'Ações'!AS253="SIM"), 1,0)</f>
        <v>0</v>
      </c>
      <c r="N250" s="139">
        <f>IF(AND('Ações'!$AD253="SIM", 'Ações'!AT253="SIM"), 1,0)</f>
        <v>0</v>
      </c>
      <c r="O250" s="139">
        <f>IF(AND('Ações'!$AD253="SIM", 'Ações'!AU253="SIM"), 1,0)</f>
        <v>0</v>
      </c>
      <c r="P250" s="139">
        <f>IF(AND('Ações'!$AD253="SIM", 'Ações'!AV253="SIM"), 1,0)</f>
        <v>0</v>
      </c>
      <c r="Q250" s="139">
        <f>IF(AND('Ações'!$AD253="SIM", 'Ações'!AW253="SIM"), 1,0)</f>
        <v>0</v>
      </c>
      <c r="R250" s="139">
        <f>IF(AND('Ações'!$AD253="SIM", 'Ações'!AX253="SIM"), 1,0)</f>
        <v>0</v>
      </c>
    </row>
    <row r="251">
      <c r="A251" s="139">
        <f>IF(AND('Ações'!AB254="SIM", 'Ações'!AS254="SIM"), 1,0)</f>
        <v>0</v>
      </c>
      <c r="B251" s="139">
        <f>IF(AND('Ações'!$AB254="SIM", 'Ações'!AT254="SIM"), 1,0)</f>
        <v>0</v>
      </c>
      <c r="C251" s="139">
        <f>IF(AND('Ações'!$AB254="SIM", 'Ações'!AU254="SIM"), 1,0)</f>
        <v>0</v>
      </c>
      <c r="D251" s="139">
        <f>IF(AND('Ações'!$AB254="SIM", 'Ações'!AV254="SIM"), 1,0)</f>
        <v>0</v>
      </c>
      <c r="E251" s="139">
        <f>IF(AND('Ações'!$AB254="SIM", 'Ações'!AW254="SIM"), 1,0)</f>
        <v>0</v>
      </c>
      <c r="F251" s="139">
        <f>IF(AND('Ações'!$AB254="SIM", 'Ações'!AX254="SIM"), 1,0)</f>
        <v>0</v>
      </c>
      <c r="G251" s="139">
        <f>IF(AND('Ações'!$AC254="SIM", 'Ações'!AS254="SIM"), 1,0)</f>
        <v>1</v>
      </c>
      <c r="H251" s="139">
        <f>IF(AND('Ações'!$AC254="SIM", 'Ações'!AT254="SIM"), 1,0)</f>
        <v>1</v>
      </c>
      <c r="I251" s="139">
        <f>IF(AND('Ações'!$AC254="SIM", 'Ações'!AU254="SIM"), 1,0)</f>
        <v>1</v>
      </c>
      <c r="J251" s="139">
        <f>IF(AND('Ações'!$AC254="SIM", 'Ações'!AV254="SIM"), 1,0)</f>
        <v>1</v>
      </c>
      <c r="K251" s="139">
        <f>IF(AND('Ações'!$AC254="SIM", 'Ações'!AW254="SIM"), 1,0)</f>
        <v>0</v>
      </c>
      <c r="L251" s="139">
        <f>IF(AND('Ações'!$AC254="SIM", 'Ações'!AX254="SIM"), 1,0)</f>
        <v>0</v>
      </c>
      <c r="M251" s="139">
        <f>IF(AND('Ações'!$AD254="SIM", 'Ações'!AS254="SIM"), 1,0)</f>
        <v>1</v>
      </c>
      <c r="N251" s="139">
        <f>IF(AND('Ações'!$AD254="SIM", 'Ações'!AT254="SIM"), 1,0)</f>
        <v>1</v>
      </c>
      <c r="O251" s="139">
        <f>IF(AND('Ações'!$AD254="SIM", 'Ações'!AU254="SIM"), 1,0)</f>
        <v>1</v>
      </c>
      <c r="P251" s="139">
        <f>IF(AND('Ações'!$AD254="SIM", 'Ações'!AV254="SIM"), 1,0)</f>
        <v>1</v>
      </c>
      <c r="Q251" s="139">
        <f>IF(AND('Ações'!$AD254="SIM", 'Ações'!AW254="SIM"), 1,0)</f>
        <v>0</v>
      </c>
      <c r="R251" s="139">
        <f>IF(AND('Ações'!$AD254="SIM", 'Ações'!AX254="SIM"), 1,0)</f>
        <v>0</v>
      </c>
    </row>
    <row r="252">
      <c r="A252" s="139">
        <f>IF(AND('Ações'!AB255="SIM", 'Ações'!AS255="SIM"), 1,0)</f>
        <v>0</v>
      </c>
      <c r="B252" s="139">
        <f>IF(AND('Ações'!$AB255="SIM", 'Ações'!AT255="SIM"), 1,0)</f>
        <v>0</v>
      </c>
      <c r="C252" s="139">
        <f>IF(AND('Ações'!$AB255="SIM", 'Ações'!AU255="SIM"), 1,0)</f>
        <v>0</v>
      </c>
      <c r="D252" s="139">
        <f>IF(AND('Ações'!$AB255="SIM", 'Ações'!AV255="SIM"), 1,0)</f>
        <v>0</v>
      </c>
      <c r="E252" s="139">
        <f>IF(AND('Ações'!$AB255="SIM", 'Ações'!AW255="SIM"), 1,0)</f>
        <v>0</v>
      </c>
      <c r="F252" s="139">
        <f>IF(AND('Ações'!$AB255="SIM", 'Ações'!AX255="SIM"), 1,0)</f>
        <v>0</v>
      </c>
      <c r="G252" s="139">
        <f>IF(AND('Ações'!$AC255="SIM", 'Ações'!AS255="SIM"), 1,0)</f>
        <v>1</v>
      </c>
      <c r="H252" s="139">
        <f>IF(AND('Ações'!$AC255="SIM", 'Ações'!AT255="SIM"), 1,0)</f>
        <v>1</v>
      </c>
      <c r="I252" s="139">
        <f>IF(AND('Ações'!$AC255="SIM", 'Ações'!AU255="SIM"), 1,0)</f>
        <v>1</v>
      </c>
      <c r="J252" s="139">
        <f>IF(AND('Ações'!$AC255="SIM", 'Ações'!AV255="SIM"), 1,0)</f>
        <v>1</v>
      </c>
      <c r="K252" s="139">
        <f>IF(AND('Ações'!$AC255="SIM", 'Ações'!AW255="SIM"), 1,0)</f>
        <v>0</v>
      </c>
      <c r="L252" s="139">
        <f>IF(AND('Ações'!$AC255="SIM", 'Ações'!AX255="SIM"), 1,0)</f>
        <v>0</v>
      </c>
      <c r="M252" s="139">
        <f>IF(AND('Ações'!$AD255="SIM", 'Ações'!AS255="SIM"), 1,0)</f>
        <v>0</v>
      </c>
      <c r="N252" s="139">
        <f>IF(AND('Ações'!$AD255="SIM", 'Ações'!AT255="SIM"), 1,0)</f>
        <v>0</v>
      </c>
      <c r="O252" s="139">
        <f>IF(AND('Ações'!$AD255="SIM", 'Ações'!AU255="SIM"), 1,0)</f>
        <v>0</v>
      </c>
      <c r="P252" s="139">
        <f>IF(AND('Ações'!$AD255="SIM", 'Ações'!AV255="SIM"), 1,0)</f>
        <v>0</v>
      </c>
      <c r="Q252" s="139">
        <f>IF(AND('Ações'!$AD255="SIM", 'Ações'!AW255="SIM"), 1,0)</f>
        <v>0</v>
      </c>
      <c r="R252" s="139">
        <f>IF(AND('Ações'!$AD255="SIM", 'Ações'!AX255="SIM"), 1,0)</f>
        <v>0</v>
      </c>
    </row>
    <row r="253">
      <c r="A253" s="139">
        <f>IF(AND('Ações'!AB256="SIM", 'Ações'!AS256="SIM"), 1,0)</f>
        <v>1</v>
      </c>
      <c r="B253" s="139">
        <f>IF(AND('Ações'!$AB256="SIM", 'Ações'!AT256="SIM"), 1,0)</f>
        <v>1</v>
      </c>
      <c r="C253" s="139">
        <f>IF(AND('Ações'!$AB256="SIM", 'Ações'!AU256="SIM"), 1,0)</f>
        <v>1</v>
      </c>
      <c r="D253" s="139">
        <f>IF(AND('Ações'!$AB256="SIM", 'Ações'!AV256="SIM"), 1,0)</f>
        <v>1</v>
      </c>
      <c r="E253" s="139">
        <f>IF(AND('Ações'!$AB256="SIM", 'Ações'!AW256="SIM"), 1,0)</f>
        <v>0</v>
      </c>
      <c r="F253" s="139">
        <f>IF(AND('Ações'!$AB256="SIM", 'Ações'!AX256="SIM"), 1,0)</f>
        <v>0</v>
      </c>
      <c r="G253" s="139">
        <f>IF(AND('Ações'!$AC256="SIM", 'Ações'!AS256="SIM"), 1,0)</f>
        <v>1</v>
      </c>
      <c r="H253" s="139">
        <f>IF(AND('Ações'!$AC256="SIM", 'Ações'!AT256="SIM"), 1,0)</f>
        <v>1</v>
      </c>
      <c r="I253" s="139">
        <f>IF(AND('Ações'!$AC256="SIM", 'Ações'!AU256="SIM"), 1,0)</f>
        <v>1</v>
      </c>
      <c r="J253" s="139">
        <f>IF(AND('Ações'!$AC256="SIM", 'Ações'!AV256="SIM"), 1,0)</f>
        <v>1</v>
      </c>
      <c r="K253" s="139">
        <f>IF(AND('Ações'!$AC256="SIM", 'Ações'!AW256="SIM"), 1,0)</f>
        <v>0</v>
      </c>
      <c r="L253" s="139">
        <f>IF(AND('Ações'!$AC256="SIM", 'Ações'!AX256="SIM"), 1,0)</f>
        <v>0</v>
      </c>
      <c r="M253" s="139">
        <f>IF(AND('Ações'!$AD256="SIM", 'Ações'!AS256="SIM"), 1,0)</f>
        <v>0</v>
      </c>
      <c r="N253" s="139">
        <f>IF(AND('Ações'!$AD256="SIM", 'Ações'!AT256="SIM"), 1,0)</f>
        <v>0</v>
      </c>
      <c r="O253" s="139">
        <f>IF(AND('Ações'!$AD256="SIM", 'Ações'!AU256="SIM"), 1,0)</f>
        <v>0</v>
      </c>
      <c r="P253" s="139">
        <f>IF(AND('Ações'!$AD256="SIM", 'Ações'!AV256="SIM"), 1,0)</f>
        <v>0</v>
      </c>
      <c r="Q253" s="139">
        <f>IF(AND('Ações'!$AD256="SIM", 'Ações'!AW256="SIM"), 1,0)</f>
        <v>0</v>
      </c>
      <c r="R253" s="139">
        <f>IF(AND('Ações'!$AD256="SIM", 'Ações'!AX256="SIM"), 1,0)</f>
        <v>0</v>
      </c>
    </row>
    <row r="254">
      <c r="A254" s="139">
        <f>IF(AND('Ações'!AB257="SIM", 'Ações'!AS257="SIM"), 1,0)</f>
        <v>1</v>
      </c>
      <c r="B254" s="139">
        <f>IF(AND('Ações'!$AB257="SIM", 'Ações'!AT257="SIM"), 1,0)</f>
        <v>1</v>
      </c>
      <c r="C254" s="139">
        <f>IF(AND('Ações'!$AB257="SIM", 'Ações'!AU257="SIM"), 1,0)</f>
        <v>1</v>
      </c>
      <c r="D254" s="139">
        <f>IF(AND('Ações'!$AB257="SIM", 'Ações'!AV257="SIM"), 1,0)</f>
        <v>1</v>
      </c>
      <c r="E254" s="139">
        <f>IF(AND('Ações'!$AB257="SIM", 'Ações'!AW257="SIM"), 1,0)</f>
        <v>0</v>
      </c>
      <c r="F254" s="139">
        <f>IF(AND('Ações'!$AB257="SIM", 'Ações'!AX257="SIM"), 1,0)</f>
        <v>0</v>
      </c>
      <c r="G254" s="139">
        <f>IF(AND('Ações'!$AC257="SIM", 'Ações'!AS257="SIM"), 1,0)</f>
        <v>0</v>
      </c>
      <c r="H254" s="139">
        <f>IF(AND('Ações'!$AC257="SIM", 'Ações'!AT257="SIM"), 1,0)</f>
        <v>0</v>
      </c>
      <c r="I254" s="139">
        <f>IF(AND('Ações'!$AC257="SIM", 'Ações'!AU257="SIM"), 1,0)</f>
        <v>0</v>
      </c>
      <c r="J254" s="139">
        <f>IF(AND('Ações'!$AC257="SIM", 'Ações'!AV257="SIM"), 1,0)</f>
        <v>0</v>
      </c>
      <c r="K254" s="139">
        <f>IF(AND('Ações'!$AC257="SIM", 'Ações'!AW257="SIM"), 1,0)</f>
        <v>0</v>
      </c>
      <c r="L254" s="139">
        <f>IF(AND('Ações'!$AC257="SIM", 'Ações'!AX257="SIM"), 1,0)</f>
        <v>0</v>
      </c>
      <c r="M254" s="139">
        <f>IF(AND('Ações'!$AD257="SIM", 'Ações'!AS257="SIM"), 1,0)</f>
        <v>0</v>
      </c>
      <c r="N254" s="139">
        <f>IF(AND('Ações'!$AD257="SIM", 'Ações'!AT257="SIM"), 1,0)</f>
        <v>0</v>
      </c>
      <c r="O254" s="139">
        <f>IF(AND('Ações'!$AD257="SIM", 'Ações'!AU257="SIM"), 1,0)</f>
        <v>0</v>
      </c>
      <c r="P254" s="139">
        <f>IF(AND('Ações'!$AD257="SIM", 'Ações'!AV257="SIM"), 1,0)</f>
        <v>0</v>
      </c>
      <c r="Q254" s="139">
        <f>IF(AND('Ações'!$AD257="SIM", 'Ações'!AW257="SIM"), 1,0)</f>
        <v>0</v>
      </c>
      <c r="R254" s="139">
        <f>IF(AND('Ações'!$AD257="SIM", 'Ações'!AX257="SIM"), 1,0)</f>
        <v>0</v>
      </c>
    </row>
    <row r="255">
      <c r="A255" s="139">
        <f>IF(AND('Ações'!AB258="SIM", 'Ações'!AS258="SIM"), 1,0)</f>
        <v>1</v>
      </c>
      <c r="B255" s="139">
        <f>IF(AND('Ações'!$AB258="SIM", 'Ações'!AT258="SIM"), 1,0)</f>
        <v>1</v>
      </c>
      <c r="C255" s="139">
        <f>IF(AND('Ações'!$AB258="SIM", 'Ações'!AU258="SIM"), 1,0)</f>
        <v>1</v>
      </c>
      <c r="D255" s="139">
        <f>IF(AND('Ações'!$AB258="SIM", 'Ações'!AV258="SIM"), 1,0)</f>
        <v>1</v>
      </c>
      <c r="E255" s="139">
        <f>IF(AND('Ações'!$AB258="SIM", 'Ações'!AW258="SIM"), 1,0)</f>
        <v>0</v>
      </c>
      <c r="F255" s="139">
        <f>IF(AND('Ações'!$AB258="SIM", 'Ações'!AX258="SIM"), 1,0)</f>
        <v>0</v>
      </c>
      <c r="G255" s="139">
        <f>IF(AND('Ações'!$AC258="SIM", 'Ações'!AS258="SIM"), 1,0)</f>
        <v>1</v>
      </c>
      <c r="H255" s="139">
        <f>IF(AND('Ações'!$AC258="SIM", 'Ações'!AT258="SIM"), 1,0)</f>
        <v>1</v>
      </c>
      <c r="I255" s="139">
        <f>IF(AND('Ações'!$AC258="SIM", 'Ações'!AU258="SIM"), 1,0)</f>
        <v>1</v>
      </c>
      <c r="J255" s="139">
        <f>IF(AND('Ações'!$AC258="SIM", 'Ações'!AV258="SIM"), 1,0)</f>
        <v>1</v>
      </c>
      <c r="K255" s="139">
        <f>IF(AND('Ações'!$AC258="SIM", 'Ações'!AW258="SIM"), 1,0)</f>
        <v>0</v>
      </c>
      <c r="L255" s="139">
        <f>IF(AND('Ações'!$AC258="SIM", 'Ações'!AX258="SIM"), 1,0)</f>
        <v>0</v>
      </c>
      <c r="M255" s="139">
        <f>IF(AND('Ações'!$AD258="SIM", 'Ações'!AS258="SIM"), 1,0)</f>
        <v>0</v>
      </c>
      <c r="N255" s="139">
        <f>IF(AND('Ações'!$AD258="SIM", 'Ações'!AT258="SIM"), 1,0)</f>
        <v>0</v>
      </c>
      <c r="O255" s="139">
        <f>IF(AND('Ações'!$AD258="SIM", 'Ações'!AU258="SIM"), 1,0)</f>
        <v>0</v>
      </c>
      <c r="P255" s="139">
        <f>IF(AND('Ações'!$AD258="SIM", 'Ações'!AV258="SIM"), 1,0)</f>
        <v>0</v>
      </c>
      <c r="Q255" s="139">
        <f>IF(AND('Ações'!$AD258="SIM", 'Ações'!AW258="SIM"), 1,0)</f>
        <v>0</v>
      </c>
      <c r="R255" s="139">
        <f>IF(AND('Ações'!$AD258="SIM", 'Ações'!AX258="SIM"), 1,0)</f>
        <v>0</v>
      </c>
    </row>
    <row r="256">
      <c r="A256" s="139">
        <f>IF(AND('Ações'!AB259="SIM", 'Ações'!AS259="SIM"), 1,0)</f>
        <v>0</v>
      </c>
      <c r="B256" s="139">
        <f>IF(AND('Ações'!$AB259="SIM", 'Ações'!AT259="SIM"), 1,0)</f>
        <v>0</v>
      </c>
      <c r="C256" s="139">
        <f>IF(AND('Ações'!$AB259="SIM", 'Ações'!AU259="SIM"), 1,0)</f>
        <v>0</v>
      </c>
      <c r="D256" s="139">
        <f>IF(AND('Ações'!$AB259="SIM", 'Ações'!AV259="SIM"), 1,0)</f>
        <v>0</v>
      </c>
      <c r="E256" s="139">
        <f>IF(AND('Ações'!$AB259="SIM", 'Ações'!AW259="SIM"), 1,0)</f>
        <v>0</v>
      </c>
      <c r="F256" s="139">
        <f>IF(AND('Ações'!$AB259="SIM", 'Ações'!AX259="SIM"), 1,0)</f>
        <v>0</v>
      </c>
      <c r="G256" s="139">
        <f>IF(AND('Ações'!$AC259="SIM", 'Ações'!AS259="SIM"), 1,0)</f>
        <v>1</v>
      </c>
      <c r="H256" s="139">
        <f>IF(AND('Ações'!$AC259="SIM", 'Ações'!AT259="SIM"), 1,0)</f>
        <v>1</v>
      </c>
      <c r="I256" s="139">
        <f>IF(AND('Ações'!$AC259="SIM", 'Ações'!AU259="SIM"), 1,0)</f>
        <v>1</v>
      </c>
      <c r="J256" s="139">
        <f>IF(AND('Ações'!$AC259="SIM", 'Ações'!AV259="SIM"), 1,0)</f>
        <v>1</v>
      </c>
      <c r="K256" s="139">
        <f>IF(AND('Ações'!$AC259="SIM", 'Ações'!AW259="SIM"), 1,0)</f>
        <v>0</v>
      </c>
      <c r="L256" s="139">
        <f>IF(AND('Ações'!$AC259="SIM", 'Ações'!AX259="SIM"), 1,0)</f>
        <v>0</v>
      </c>
      <c r="M256" s="139">
        <f>IF(AND('Ações'!$AD259="SIM", 'Ações'!AS259="SIM"), 1,0)</f>
        <v>0</v>
      </c>
      <c r="N256" s="139">
        <f>IF(AND('Ações'!$AD259="SIM", 'Ações'!AT259="SIM"), 1,0)</f>
        <v>0</v>
      </c>
      <c r="O256" s="139">
        <f>IF(AND('Ações'!$AD259="SIM", 'Ações'!AU259="SIM"), 1,0)</f>
        <v>0</v>
      </c>
      <c r="P256" s="139">
        <f>IF(AND('Ações'!$AD259="SIM", 'Ações'!AV259="SIM"), 1,0)</f>
        <v>0</v>
      </c>
      <c r="Q256" s="139">
        <f>IF(AND('Ações'!$AD259="SIM", 'Ações'!AW259="SIM"), 1,0)</f>
        <v>0</v>
      </c>
      <c r="R256" s="139">
        <f>IF(AND('Ações'!$AD259="SIM", 'Ações'!AX259="SIM"), 1,0)</f>
        <v>0</v>
      </c>
    </row>
    <row r="257">
      <c r="A257" s="139">
        <f>IF(AND('Ações'!AB260="SIM", 'Ações'!AS260="SIM"), 1,0)</f>
        <v>1</v>
      </c>
      <c r="B257" s="139">
        <f>IF(AND('Ações'!$AB260="SIM", 'Ações'!AT260="SIM"), 1,0)</f>
        <v>1</v>
      </c>
      <c r="C257" s="139">
        <f>IF(AND('Ações'!$AB260="SIM", 'Ações'!AU260="SIM"), 1,0)</f>
        <v>1</v>
      </c>
      <c r="D257" s="139">
        <f>IF(AND('Ações'!$AB260="SIM", 'Ações'!AV260="SIM"), 1,0)</f>
        <v>1</v>
      </c>
      <c r="E257" s="139">
        <f>IF(AND('Ações'!$AB260="SIM", 'Ações'!AW260="SIM"), 1,0)</f>
        <v>0</v>
      </c>
      <c r="F257" s="139">
        <f>IF(AND('Ações'!$AB260="SIM", 'Ações'!AX260="SIM"), 1,0)</f>
        <v>0</v>
      </c>
      <c r="G257" s="139">
        <f>IF(AND('Ações'!$AC260="SIM", 'Ações'!AS260="SIM"), 1,0)</f>
        <v>0</v>
      </c>
      <c r="H257" s="139">
        <f>IF(AND('Ações'!$AC260="SIM", 'Ações'!AT260="SIM"), 1,0)</f>
        <v>0</v>
      </c>
      <c r="I257" s="139">
        <f>IF(AND('Ações'!$AC260="SIM", 'Ações'!AU260="SIM"), 1,0)</f>
        <v>0</v>
      </c>
      <c r="J257" s="139">
        <f>IF(AND('Ações'!$AC260="SIM", 'Ações'!AV260="SIM"), 1,0)</f>
        <v>0</v>
      </c>
      <c r="K257" s="139">
        <f>IF(AND('Ações'!$AC260="SIM", 'Ações'!AW260="SIM"), 1,0)</f>
        <v>0</v>
      </c>
      <c r="L257" s="139">
        <f>IF(AND('Ações'!$AC260="SIM", 'Ações'!AX260="SIM"), 1,0)</f>
        <v>0</v>
      </c>
      <c r="M257" s="139">
        <f>IF(AND('Ações'!$AD260="SIM", 'Ações'!AS260="SIM"), 1,0)</f>
        <v>0</v>
      </c>
      <c r="N257" s="139">
        <f>IF(AND('Ações'!$AD260="SIM", 'Ações'!AT260="SIM"), 1,0)</f>
        <v>0</v>
      </c>
      <c r="O257" s="139">
        <f>IF(AND('Ações'!$AD260="SIM", 'Ações'!AU260="SIM"), 1,0)</f>
        <v>0</v>
      </c>
      <c r="P257" s="139">
        <f>IF(AND('Ações'!$AD260="SIM", 'Ações'!AV260="SIM"), 1,0)</f>
        <v>0</v>
      </c>
      <c r="Q257" s="139">
        <f>IF(AND('Ações'!$AD260="SIM", 'Ações'!AW260="SIM"), 1,0)</f>
        <v>0</v>
      </c>
      <c r="R257" s="139">
        <f>IF(AND('Ações'!$AD260="SIM", 'Ações'!AX260="SIM"), 1,0)</f>
        <v>0</v>
      </c>
    </row>
    <row r="258">
      <c r="A258" s="139">
        <f>IF(AND('Ações'!AB261="SIM", 'Ações'!AS261="SIM"), 1,0)</f>
        <v>0</v>
      </c>
      <c r="B258" s="139">
        <f>IF(AND('Ações'!$AB261="SIM", 'Ações'!AT261="SIM"), 1,0)</f>
        <v>0</v>
      </c>
      <c r="C258" s="139">
        <f>IF(AND('Ações'!$AB261="SIM", 'Ações'!AU261="SIM"), 1,0)</f>
        <v>0</v>
      </c>
      <c r="D258" s="139">
        <f>IF(AND('Ações'!$AB261="SIM", 'Ações'!AV261="SIM"), 1,0)</f>
        <v>0</v>
      </c>
      <c r="E258" s="139">
        <f>IF(AND('Ações'!$AB261="SIM", 'Ações'!AW261="SIM"), 1,0)</f>
        <v>0</v>
      </c>
      <c r="F258" s="139">
        <f>IF(AND('Ações'!$AB261="SIM", 'Ações'!AX261="SIM"), 1,0)</f>
        <v>0</v>
      </c>
      <c r="G258" s="139">
        <f>IF(AND('Ações'!$AC261="SIM", 'Ações'!AS261="SIM"), 1,0)</f>
        <v>1</v>
      </c>
      <c r="H258" s="139">
        <f>IF(AND('Ações'!$AC261="SIM", 'Ações'!AT261="SIM"), 1,0)</f>
        <v>1</v>
      </c>
      <c r="I258" s="139">
        <f>IF(AND('Ações'!$AC261="SIM", 'Ações'!AU261="SIM"), 1,0)</f>
        <v>1</v>
      </c>
      <c r="J258" s="139">
        <f>IF(AND('Ações'!$AC261="SIM", 'Ações'!AV261="SIM"), 1,0)</f>
        <v>1</v>
      </c>
      <c r="K258" s="139">
        <f>IF(AND('Ações'!$AC261="SIM", 'Ações'!AW261="SIM"), 1,0)</f>
        <v>0</v>
      </c>
      <c r="L258" s="139">
        <f>IF(AND('Ações'!$AC261="SIM", 'Ações'!AX261="SIM"), 1,0)</f>
        <v>0</v>
      </c>
      <c r="M258" s="139">
        <f>IF(AND('Ações'!$AD261="SIM", 'Ações'!AS261="SIM"), 1,0)</f>
        <v>0</v>
      </c>
      <c r="N258" s="139">
        <f>IF(AND('Ações'!$AD261="SIM", 'Ações'!AT261="SIM"), 1,0)</f>
        <v>0</v>
      </c>
      <c r="O258" s="139">
        <f>IF(AND('Ações'!$AD261="SIM", 'Ações'!AU261="SIM"), 1,0)</f>
        <v>0</v>
      </c>
      <c r="P258" s="139">
        <f>IF(AND('Ações'!$AD261="SIM", 'Ações'!AV261="SIM"), 1,0)</f>
        <v>0</v>
      </c>
      <c r="Q258" s="139">
        <f>IF(AND('Ações'!$AD261="SIM", 'Ações'!AW261="SIM"), 1,0)</f>
        <v>0</v>
      </c>
      <c r="R258" s="139">
        <f>IF(AND('Ações'!$AD261="SIM", 'Ações'!AX261="SIM"), 1,0)</f>
        <v>0</v>
      </c>
    </row>
    <row r="259">
      <c r="A259" s="139">
        <f>IF(AND('Ações'!AB262="SIM", 'Ações'!AS262="SIM"), 1,0)</f>
        <v>1</v>
      </c>
      <c r="B259" s="139">
        <f>IF(AND('Ações'!$AB262="SIM", 'Ações'!AT262="SIM"), 1,0)</f>
        <v>1</v>
      </c>
      <c r="C259" s="139">
        <f>IF(AND('Ações'!$AB262="SIM", 'Ações'!AU262="SIM"), 1,0)</f>
        <v>1</v>
      </c>
      <c r="D259" s="139">
        <f>IF(AND('Ações'!$AB262="SIM", 'Ações'!AV262="SIM"), 1,0)</f>
        <v>1</v>
      </c>
      <c r="E259" s="139">
        <f>IF(AND('Ações'!$AB262="SIM", 'Ações'!AW262="SIM"), 1,0)</f>
        <v>0</v>
      </c>
      <c r="F259" s="139">
        <f>IF(AND('Ações'!$AB262="SIM", 'Ações'!AX262="SIM"), 1,0)</f>
        <v>0</v>
      </c>
      <c r="G259" s="139">
        <f>IF(AND('Ações'!$AC262="SIM", 'Ações'!AS262="SIM"), 1,0)</f>
        <v>0</v>
      </c>
      <c r="H259" s="139">
        <f>IF(AND('Ações'!$AC262="SIM", 'Ações'!AT262="SIM"), 1,0)</f>
        <v>0</v>
      </c>
      <c r="I259" s="139">
        <f>IF(AND('Ações'!$AC262="SIM", 'Ações'!AU262="SIM"), 1,0)</f>
        <v>0</v>
      </c>
      <c r="J259" s="139">
        <f>IF(AND('Ações'!$AC262="SIM", 'Ações'!AV262="SIM"), 1,0)</f>
        <v>0</v>
      </c>
      <c r="K259" s="139">
        <f>IF(AND('Ações'!$AC262="SIM", 'Ações'!AW262="SIM"), 1,0)</f>
        <v>0</v>
      </c>
      <c r="L259" s="139">
        <f>IF(AND('Ações'!$AC262="SIM", 'Ações'!AX262="SIM"), 1,0)</f>
        <v>0</v>
      </c>
      <c r="M259" s="139">
        <f>IF(AND('Ações'!$AD262="SIM", 'Ações'!AS262="SIM"), 1,0)</f>
        <v>0</v>
      </c>
      <c r="N259" s="139">
        <f>IF(AND('Ações'!$AD262="SIM", 'Ações'!AT262="SIM"), 1,0)</f>
        <v>0</v>
      </c>
      <c r="O259" s="139">
        <f>IF(AND('Ações'!$AD262="SIM", 'Ações'!AU262="SIM"), 1,0)</f>
        <v>0</v>
      </c>
      <c r="P259" s="139">
        <f>IF(AND('Ações'!$AD262="SIM", 'Ações'!AV262="SIM"), 1,0)</f>
        <v>0</v>
      </c>
      <c r="Q259" s="139">
        <f>IF(AND('Ações'!$AD262="SIM", 'Ações'!AW262="SIM"), 1,0)</f>
        <v>0</v>
      </c>
      <c r="R259" s="139">
        <f>IF(AND('Ações'!$AD262="SIM", 'Ações'!AX262="SIM"), 1,0)</f>
        <v>0</v>
      </c>
    </row>
    <row r="260">
      <c r="A260" s="139">
        <f>IF(AND('Ações'!AB263="SIM", 'Ações'!AS263="SIM"), 1,0)</f>
        <v>0</v>
      </c>
      <c r="B260" s="139">
        <f>IF(AND('Ações'!$AB263="SIM", 'Ações'!AT263="SIM"), 1,0)</f>
        <v>0</v>
      </c>
      <c r="C260" s="139">
        <f>IF(AND('Ações'!$AB263="SIM", 'Ações'!AU263="SIM"), 1,0)</f>
        <v>0</v>
      </c>
      <c r="D260" s="139">
        <f>IF(AND('Ações'!$AB263="SIM", 'Ações'!AV263="SIM"), 1,0)</f>
        <v>0</v>
      </c>
      <c r="E260" s="139">
        <f>IF(AND('Ações'!$AB263="SIM", 'Ações'!AW263="SIM"), 1,0)</f>
        <v>0</v>
      </c>
      <c r="F260" s="139">
        <f>IF(AND('Ações'!$AB263="SIM", 'Ações'!AX263="SIM"), 1,0)</f>
        <v>0</v>
      </c>
      <c r="G260" s="139">
        <f>IF(AND('Ações'!$AC263="SIM", 'Ações'!AS263="SIM"), 1,0)</f>
        <v>1</v>
      </c>
      <c r="H260" s="139">
        <f>IF(AND('Ações'!$AC263="SIM", 'Ações'!AT263="SIM"), 1,0)</f>
        <v>1</v>
      </c>
      <c r="I260" s="139">
        <f>IF(AND('Ações'!$AC263="SIM", 'Ações'!AU263="SIM"), 1,0)</f>
        <v>1</v>
      </c>
      <c r="J260" s="139">
        <f>IF(AND('Ações'!$AC263="SIM", 'Ações'!AV263="SIM"), 1,0)</f>
        <v>1</v>
      </c>
      <c r="K260" s="139">
        <f>IF(AND('Ações'!$AC263="SIM", 'Ações'!AW263="SIM"), 1,0)</f>
        <v>0</v>
      </c>
      <c r="L260" s="139">
        <f>IF(AND('Ações'!$AC263="SIM", 'Ações'!AX263="SIM"), 1,0)</f>
        <v>0</v>
      </c>
      <c r="M260" s="139">
        <f>IF(AND('Ações'!$AD263="SIM", 'Ações'!AS263="SIM"), 1,0)</f>
        <v>0</v>
      </c>
      <c r="N260" s="139">
        <f>IF(AND('Ações'!$AD263="SIM", 'Ações'!AT263="SIM"), 1,0)</f>
        <v>0</v>
      </c>
      <c r="O260" s="139">
        <f>IF(AND('Ações'!$AD263="SIM", 'Ações'!AU263="SIM"), 1,0)</f>
        <v>0</v>
      </c>
      <c r="P260" s="139">
        <f>IF(AND('Ações'!$AD263="SIM", 'Ações'!AV263="SIM"), 1,0)</f>
        <v>0</v>
      </c>
      <c r="Q260" s="139">
        <f>IF(AND('Ações'!$AD263="SIM", 'Ações'!AW263="SIM"), 1,0)</f>
        <v>0</v>
      </c>
      <c r="R260" s="139">
        <f>IF(AND('Ações'!$AD263="SIM", 'Ações'!AX263="SIM"), 1,0)</f>
        <v>0</v>
      </c>
    </row>
    <row r="261">
      <c r="A261" s="139">
        <f>IF(AND('Ações'!AB264="SIM", 'Ações'!AS264="SIM"), 1,0)</f>
        <v>1</v>
      </c>
      <c r="B261" s="139">
        <f>IF(AND('Ações'!$AB264="SIM", 'Ações'!AT264="SIM"), 1,0)</f>
        <v>1</v>
      </c>
      <c r="C261" s="139">
        <f>IF(AND('Ações'!$AB264="SIM", 'Ações'!AU264="SIM"), 1,0)</f>
        <v>1</v>
      </c>
      <c r="D261" s="139">
        <f>IF(AND('Ações'!$AB264="SIM", 'Ações'!AV264="SIM"), 1,0)</f>
        <v>1</v>
      </c>
      <c r="E261" s="139">
        <f>IF(AND('Ações'!$AB264="SIM", 'Ações'!AW264="SIM"), 1,0)</f>
        <v>0</v>
      </c>
      <c r="F261" s="139">
        <f>IF(AND('Ações'!$AB264="SIM", 'Ações'!AX264="SIM"), 1,0)</f>
        <v>0</v>
      </c>
      <c r="G261" s="139">
        <f>IF(AND('Ações'!$AC264="SIM", 'Ações'!AS264="SIM"), 1,0)</f>
        <v>1</v>
      </c>
      <c r="H261" s="139">
        <f>IF(AND('Ações'!$AC264="SIM", 'Ações'!AT264="SIM"), 1,0)</f>
        <v>1</v>
      </c>
      <c r="I261" s="139">
        <f>IF(AND('Ações'!$AC264="SIM", 'Ações'!AU264="SIM"), 1,0)</f>
        <v>1</v>
      </c>
      <c r="J261" s="139">
        <f>IF(AND('Ações'!$AC264="SIM", 'Ações'!AV264="SIM"), 1,0)</f>
        <v>1</v>
      </c>
      <c r="K261" s="139">
        <f>IF(AND('Ações'!$AC264="SIM", 'Ações'!AW264="SIM"), 1,0)</f>
        <v>0</v>
      </c>
      <c r="L261" s="139">
        <f>IF(AND('Ações'!$AC264="SIM", 'Ações'!AX264="SIM"), 1,0)</f>
        <v>0</v>
      </c>
      <c r="M261" s="139">
        <f>IF(AND('Ações'!$AD264="SIM", 'Ações'!AS264="SIM"), 1,0)</f>
        <v>0</v>
      </c>
      <c r="N261" s="139">
        <f>IF(AND('Ações'!$AD264="SIM", 'Ações'!AT264="SIM"), 1,0)</f>
        <v>0</v>
      </c>
      <c r="O261" s="139">
        <f>IF(AND('Ações'!$AD264="SIM", 'Ações'!AU264="SIM"), 1,0)</f>
        <v>0</v>
      </c>
      <c r="P261" s="139">
        <f>IF(AND('Ações'!$AD264="SIM", 'Ações'!AV264="SIM"), 1,0)</f>
        <v>0</v>
      </c>
      <c r="Q261" s="139">
        <f>IF(AND('Ações'!$AD264="SIM", 'Ações'!AW264="SIM"), 1,0)</f>
        <v>0</v>
      </c>
      <c r="R261" s="139">
        <f>IF(AND('Ações'!$AD264="SIM", 'Ações'!AX264="SIM"), 1,0)</f>
        <v>0</v>
      </c>
    </row>
    <row r="262">
      <c r="A262" s="139">
        <f>IF(AND('Ações'!AB265="SIM", 'Ações'!AS265="SIM"), 1,0)</f>
        <v>1</v>
      </c>
      <c r="B262" s="139">
        <f>IF(AND('Ações'!$AB265="SIM", 'Ações'!AT265="SIM"), 1,0)</f>
        <v>1</v>
      </c>
      <c r="C262" s="139">
        <f>IF(AND('Ações'!$AB265="SIM", 'Ações'!AU265="SIM"), 1,0)</f>
        <v>1</v>
      </c>
      <c r="D262" s="139">
        <f>IF(AND('Ações'!$AB265="SIM", 'Ações'!AV265="SIM"), 1,0)</f>
        <v>1</v>
      </c>
      <c r="E262" s="139">
        <f>IF(AND('Ações'!$AB265="SIM", 'Ações'!AW265="SIM"), 1,0)</f>
        <v>0</v>
      </c>
      <c r="F262" s="139">
        <f>IF(AND('Ações'!$AB265="SIM", 'Ações'!AX265="SIM"), 1,0)</f>
        <v>0</v>
      </c>
      <c r="G262" s="139">
        <f>IF(AND('Ações'!$AC265="SIM", 'Ações'!AS265="SIM"), 1,0)</f>
        <v>0</v>
      </c>
      <c r="H262" s="139">
        <f>IF(AND('Ações'!$AC265="SIM", 'Ações'!AT265="SIM"), 1,0)</f>
        <v>0</v>
      </c>
      <c r="I262" s="139">
        <f>IF(AND('Ações'!$AC265="SIM", 'Ações'!AU265="SIM"), 1,0)</f>
        <v>0</v>
      </c>
      <c r="J262" s="139">
        <f>IF(AND('Ações'!$AC265="SIM", 'Ações'!AV265="SIM"), 1,0)</f>
        <v>0</v>
      </c>
      <c r="K262" s="139">
        <f>IF(AND('Ações'!$AC265="SIM", 'Ações'!AW265="SIM"), 1,0)</f>
        <v>0</v>
      </c>
      <c r="L262" s="139">
        <f>IF(AND('Ações'!$AC265="SIM", 'Ações'!AX265="SIM"), 1,0)</f>
        <v>0</v>
      </c>
      <c r="M262" s="139">
        <f>IF(AND('Ações'!$AD265="SIM", 'Ações'!AS265="SIM"), 1,0)</f>
        <v>0</v>
      </c>
      <c r="N262" s="139">
        <f>IF(AND('Ações'!$AD265="SIM", 'Ações'!AT265="SIM"), 1,0)</f>
        <v>0</v>
      </c>
      <c r="O262" s="139">
        <f>IF(AND('Ações'!$AD265="SIM", 'Ações'!AU265="SIM"), 1,0)</f>
        <v>0</v>
      </c>
      <c r="P262" s="139">
        <f>IF(AND('Ações'!$AD265="SIM", 'Ações'!AV265="SIM"), 1,0)</f>
        <v>0</v>
      </c>
      <c r="Q262" s="139">
        <f>IF(AND('Ações'!$AD265="SIM", 'Ações'!AW265="SIM"), 1,0)</f>
        <v>0</v>
      </c>
      <c r="R262" s="139">
        <f>IF(AND('Ações'!$AD265="SIM", 'Ações'!AX265="SIM"), 1,0)</f>
        <v>0</v>
      </c>
    </row>
    <row r="263">
      <c r="A263" s="139">
        <f>IF(AND('Ações'!AB266="SIM", 'Ações'!AS266="SIM"), 1,0)</f>
        <v>1</v>
      </c>
      <c r="B263" s="139">
        <f>IF(AND('Ações'!$AB266="SIM", 'Ações'!AT266="SIM"), 1,0)</f>
        <v>1</v>
      </c>
      <c r="C263" s="139">
        <f>IF(AND('Ações'!$AB266="SIM", 'Ações'!AU266="SIM"), 1,0)</f>
        <v>1</v>
      </c>
      <c r="D263" s="139">
        <f>IF(AND('Ações'!$AB266="SIM", 'Ações'!AV266="SIM"), 1,0)</f>
        <v>1</v>
      </c>
      <c r="E263" s="139">
        <f>IF(AND('Ações'!$AB266="SIM", 'Ações'!AW266="SIM"), 1,0)</f>
        <v>0</v>
      </c>
      <c r="F263" s="139">
        <f>IF(AND('Ações'!$AB266="SIM", 'Ações'!AX266="SIM"), 1,0)</f>
        <v>0</v>
      </c>
      <c r="G263" s="139">
        <f>IF(AND('Ações'!$AC266="SIM", 'Ações'!AS266="SIM"), 1,0)</f>
        <v>0</v>
      </c>
      <c r="H263" s="139">
        <f>IF(AND('Ações'!$AC266="SIM", 'Ações'!AT266="SIM"), 1,0)</f>
        <v>0</v>
      </c>
      <c r="I263" s="139">
        <f>IF(AND('Ações'!$AC266="SIM", 'Ações'!AU266="SIM"), 1,0)</f>
        <v>0</v>
      </c>
      <c r="J263" s="139">
        <f>IF(AND('Ações'!$AC266="SIM", 'Ações'!AV266="SIM"), 1,0)</f>
        <v>0</v>
      </c>
      <c r="K263" s="139">
        <f>IF(AND('Ações'!$AC266="SIM", 'Ações'!AW266="SIM"), 1,0)</f>
        <v>0</v>
      </c>
      <c r="L263" s="139">
        <f>IF(AND('Ações'!$AC266="SIM", 'Ações'!AX266="SIM"), 1,0)</f>
        <v>0</v>
      </c>
      <c r="M263" s="139">
        <f>IF(AND('Ações'!$AD266="SIM", 'Ações'!AS266="SIM"), 1,0)</f>
        <v>0</v>
      </c>
      <c r="N263" s="139">
        <f>IF(AND('Ações'!$AD266="SIM", 'Ações'!AT266="SIM"), 1,0)</f>
        <v>0</v>
      </c>
      <c r="O263" s="139">
        <f>IF(AND('Ações'!$AD266="SIM", 'Ações'!AU266="SIM"), 1,0)</f>
        <v>0</v>
      </c>
      <c r="P263" s="139">
        <f>IF(AND('Ações'!$AD266="SIM", 'Ações'!AV266="SIM"), 1,0)</f>
        <v>0</v>
      </c>
      <c r="Q263" s="139">
        <f>IF(AND('Ações'!$AD266="SIM", 'Ações'!AW266="SIM"), 1,0)</f>
        <v>0</v>
      </c>
      <c r="R263" s="139">
        <f>IF(AND('Ações'!$AD266="SIM", 'Ações'!AX266="SIM"), 1,0)</f>
        <v>0</v>
      </c>
    </row>
    <row r="264">
      <c r="A264" s="139">
        <f>IF(AND('Ações'!AB267="SIM", 'Ações'!AS267="SIM"), 1,0)</f>
        <v>1</v>
      </c>
      <c r="B264" s="139">
        <f>IF(AND('Ações'!$AB267="SIM", 'Ações'!AT267="SIM"), 1,0)</f>
        <v>1</v>
      </c>
      <c r="C264" s="139">
        <f>IF(AND('Ações'!$AB267="SIM", 'Ações'!AU267="SIM"), 1,0)</f>
        <v>1</v>
      </c>
      <c r="D264" s="139">
        <f>IF(AND('Ações'!$AB267="SIM", 'Ações'!AV267="SIM"), 1,0)</f>
        <v>1</v>
      </c>
      <c r="E264" s="139">
        <f>IF(AND('Ações'!$AB267="SIM", 'Ações'!AW267="SIM"), 1,0)</f>
        <v>0</v>
      </c>
      <c r="F264" s="139">
        <f>IF(AND('Ações'!$AB267="SIM", 'Ações'!AX267="SIM"), 1,0)</f>
        <v>0</v>
      </c>
      <c r="G264" s="139">
        <f>IF(AND('Ações'!$AC267="SIM", 'Ações'!AS267="SIM"), 1,0)</f>
        <v>1</v>
      </c>
      <c r="H264" s="139">
        <f>IF(AND('Ações'!$AC267="SIM", 'Ações'!AT267="SIM"), 1,0)</f>
        <v>1</v>
      </c>
      <c r="I264" s="139">
        <f>IF(AND('Ações'!$AC267="SIM", 'Ações'!AU267="SIM"), 1,0)</f>
        <v>1</v>
      </c>
      <c r="J264" s="139">
        <f>IF(AND('Ações'!$AC267="SIM", 'Ações'!AV267="SIM"), 1,0)</f>
        <v>1</v>
      </c>
      <c r="K264" s="139">
        <f>IF(AND('Ações'!$AC267="SIM", 'Ações'!AW267="SIM"), 1,0)</f>
        <v>0</v>
      </c>
      <c r="L264" s="139">
        <f>IF(AND('Ações'!$AC267="SIM", 'Ações'!AX267="SIM"), 1,0)</f>
        <v>0</v>
      </c>
      <c r="M264" s="139">
        <f>IF(AND('Ações'!$AD267="SIM", 'Ações'!AS267="SIM"), 1,0)</f>
        <v>1</v>
      </c>
      <c r="N264" s="139">
        <f>IF(AND('Ações'!$AD267="SIM", 'Ações'!AT267="SIM"), 1,0)</f>
        <v>1</v>
      </c>
      <c r="O264" s="139">
        <f>IF(AND('Ações'!$AD267="SIM", 'Ações'!AU267="SIM"), 1,0)</f>
        <v>1</v>
      </c>
      <c r="P264" s="139">
        <f>IF(AND('Ações'!$AD267="SIM", 'Ações'!AV267="SIM"), 1,0)</f>
        <v>1</v>
      </c>
      <c r="Q264" s="139">
        <f>IF(AND('Ações'!$AD267="SIM", 'Ações'!AW267="SIM"), 1,0)</f>
        <v>0</v>
      </c>
      <c r="R264" s="139">
        <f>IF(AND('Ações'!$AD267="SIM", 'Ações'!AX267="SIM"), 1,0)</f>
        <v>0</v>
      </c>
    </row>
    <row r="265">
      <c r="A265" s="139">
        <f>IF(AND('Ações'!AB268="SIM", 'Ações'!AS268="SIM"), 1,0)</f>
        <v>1</v>
      </c>
      <c r="B265" s="139">
        <f>IF(AND('Ações'!$AB268="SIM", 'Ações'!AT268="SIM"), 1,0)</f>
        <v>1</v>
      </c>
      <c r="C265" s="139">
        <f>IF(AND('Ações'!$AB268="SIM", 'Ações'!AU268="SIM"), 1,0)</f>
        <v>1</v>
      </c>
      <c r="D265" s="139">
        <f>IF(AND('Ações'!$AB268="SIM", 'Ações'!AV268="SIM"), 1,0)</f>
        <v>1</v>
      </c>
      <c r="E265" s="139">
        <f>IF(AND('Ações'!$AB268="SIM", 'Ações'!AW268="SIM"), 1,0)</f>
        <v>0</v>
      </c>
      <c r="F265" s="139">
        <f>IF(AND('Ações'!$AB268="SIM", 'Ações'!AX268="SIM"), 1,0)</f>
        <v>0</v>
      </c>
      <c r="G265" s="139">
        <f>IF(AND('Ações'!$AC268="SIM", 'Ações'!AS268="SIM"), 1,0)</f>
        <v>1</v>
      </c>
      <c r="H265" s="139">
        <f>IF(AND('Ações'!$AC268="SIM", 'Ações'!AT268="SIM"), 1,0)</f>
        <v>1</v>
      </c>
      <c r="I265" s="139">
        <f>IF(AND('Ações'!$AC268="SIM", 'Ações'!AU268="SIM"), 1,0)</f>
        <v>1</v>
      </c>
      <c r="J265" s="139">
        <f>IF(AND('Ações'!$AC268="SIM", 'Ações'!AV268="SIM"), 1,0)</f>
        <v>1</v>
      </c>
      <c r="K265" s="139">
        <f>IF(AND('Ações'!$AC268="SIM", 'Ações'!AW268="SIM"), 1,0)</f>
        <v>0</v>
      </c>
      <c r="L265" s="139">
        <f>IF(AND('Ações'!$AC268="SIM", 'Ações'!AX268="SIM"), 1,0)</f>
        <v>0</v>
      </c>
      <c r="M265" s="139">
        <f>IF(AND('Ações'!$AD268="SIM", 'Ações'!AS268="SIM"), 1,0)</f>
        <v>0</v>
      </c>
      <c r="N265" s="139">
        <f>IF(AND('Ações'!$AD268="SIM", 'Ações'!AT268="SIM"), 1,0)</f>
        <v>0</v>
      </c>
      <c r="O265" s="139">
        <f>IF(AND('Ações'!$AD268="SIM", 'Ações'!AU268="SIM"), 1,0)</f>
        <v>0</v>
      </c>
      <c r="P265" s="139">
        <f>IF(AND('Ações'!$AD268="SIM", 'Ações'!AV268="SIM"), 1,0)</f>
        <v>0</v>
      </c>
      <c r="Q265" s="139">
        <f>IF(AND('Ações'!$AD268="SIM", 'Ações'!AW268="SIM"), 1,0)</f>
        <v>0</v>
      </c>
      <c r="R265" s="139">
        <f>IF(AND('Ações'!$AD268="SIM", 'Ações'!AX268="SIM"), 1,0)</f>
        <v>0</v>
      </c>
    </row>
    <row r="266">
      <c r="A266" s="139">
        <f>IF(AND('Ações'!AB269="SIM", 'Ações'!AS269="SIM"), 1,0)</f>
        <v>1</v>
      </c>
      <c r="B266" s="139">
        <f>IF(AND('Ações'!$AB269="SIM", 'Ações'!AT269="SIM"), 1,0)</f>
        <v>1</v>
      </c>
      <c r="C266" s="139">
        <f>IF(AND('Ações'!$AB269="SIM", 'Ações'!AU269="SIM"), 1,0)</f>
        <v>1</v>
      </c>
      <c r="D266" s="139">
        <f>IF(AND('Ações'!$AB269="SIM", 'Ações'!AV269="SIM"), 1,0)</f>
        <v>1</v>
      </c>
      <c r="E266" s="139">
        <f>IF(AND('Ações'!$AB269="SIM", 'Ações'!AW269="SIM"), 1,0)</f>
        <v>0</v>
      </c>
      <c r="F266" s="139">
        <f>IF(AND('Ações'!$AB269="SIM", 'Ações'!AX269="SIM"), 1,0)</f>
        <v>0</v>
      </c>
      <c r="G266" s="139">
        <f>IF(AND('Ações'!$AC269="SIM", 'Ações'!AS269="SIM"), 1,0)</f>
        <v>0</v>
      </c>
      <c r="H266" s="139">
        <f>IF(AND('Ações'!$AC269="SIM", 'Ações'!AT269="SIM"), 1,0)</f>
        <v>0</v>
      </c>
      <c r="I266" s="139">
        <f>IF(AND('Ações'!$AC269="SIM", 'Ações'!AU269="SIM"), 1,0)</f>
        <v>0</v>
      </c>
      <c r="J266" s="139">
        <f>IF(AND('Ações'!$AC269="SIM", 'Ações'!AV269="SIM"), 1,0)</f>
        <v>0</v>
      </c>
      <c r="K266" s="139">
        <f>IF(AND('Ações'!$AC269="SIM", 'Ações'!AW269="SIM"), 1,0)</f>
        <v>0</v>
      </c>
      <c r="L266" s="139">
        <f>IF(AND('Ações'!$AC269="SIM", 'Ações'!AX269="SIM"), 1,0)</f>
        <v>0</v>
      </c>
      <c r="M266" s="139">
        <f>IF(AND('Ações'!$AD269="SIM", 'Ações'!AS269="SIM"), 1,0)</f>
        <v>0</v>
      </c>
      <c r="N266" s="139">
        <f>IF(AND('Ações'!$AD269="SIM", 'Ações'!AT269="SIM"), 1,0)</f>
        <v>0</v>
      </c>
      <c r="O266" s="139">
        <f>IF(AND('Ações'!$AD269="SIM", 'Ações'!AU269="SIM"), 1,0)</f>
        <v>0</v>
      </c>
      <c r="P266" s="139">
        <f>IF(AND('Ações'!$AD269="SIM", 'Ações'!AV269="SIM"), 1,0)</f>
        <v>0</v>
      </c>
      <c r="Q266" s="139">
        <f>IF(AND('Ações'!$AD269="SIM", 'Ações'!AW269="SIM"), 1,0)</f>
        <v>0</v>
      </c>
      <c r="R266" s="139">
        <f>IF(AND('Ações'!$AD269="SIM", 'Ações'!AX269="SIM"), 1,0)</f>
        <v>0</v>
      </c>
    </row>
    <row r="267">
      <c r="A267" s="139">
        <f>IF(AND('Ações'!AB270="SIM", 'Ações'!AS270="SIM"), 1,0)</f>
        <v>0</v>
      </c>
      <c r="B267" s="139">
        <f>IF(AND('Ações'!$AB270="SIM", 'Ações'!AT270="SIM"), 1,0)</f>
        <v>0</v>
      </c>
      <c r="C267" s="139">
        <f>IF(AND('Ações'!$AB270="SIM", 'Ações'!AU270="SIM"), 1,0)</f>
        <v>1</v>
      </c>
      <c r="D267" s="139">
        <f>IF(AND('Ações'!$AB270="SIM", 'Ações'!AV270="SIM"), 1,0)</f>
        <v>1</v>
      </c>
      <c r="E267" s="139">
        <f>IF(AND('Ações'!$AB270="SIM", 'Ações'!AW270="SIM"), 1,0)</f>
        <v>1</v>
      </c>
      <c r="F267" s="139">
        <f>IF(AND('Ações'!$AB270="SIM", 'Ações'!AX270="SIM"), 1,0)</f>
        <v>0</v>
      </c>
      <c r="G267" s="139">
        <f>IF(AND('Ações'!$AC270="SIM", 'Ações'!AS270="SIM"), 1,0)</f>
        <v>0</v>
      </c>
      <c r="H267" s="139">
        <f>IF(AND('Ações'!$AC270="SIM", 'Ações'!AT270="SIM"), 1,0)</f>
        <v>0</v>
      </c>
      <c r="I267" s="139">
        <f>IF(AND('Ações'!$AC270="SIM", 'Ações'!AU270="SIM"), 1,0)</f>
        <v>1</v>
      </c>
      <c r="J267" s="139">
        <f>IF(AND('Ações'!$AC270="SIM", 'Ações'!AV270="SIM"), 1,0)</f>
        <v>1</v>
      </c>
      <c r="K267" s="139">
        <f>IF(AND('Ações'!$AC270="SIM", 'Ações'!AW270="SIM"), 1,0)</f>
        <v>1</v>
      </c>
      <c r="L267" s="139">
        <f>IF(AND('Ações'!$AC270="SIM", 'Ações'!AX270="SIM"), 1,0)</f>
        <v>0</v>
      </c>
      <c r="M267" s="139">
        <f>IF(AND('Ações'!$AD270="SIM", 'Ações'!AS270="SIM"), 1,0)</f>
        <v>0</v>
      </c>
      <c r="N267" s="139">
        <f>IF(AND('Ações'!$AD270="SIM", 'Ações'!AT270="SIM"), 1,0)</f>
        <v>0</v>
      </c>
      <c r="O267" s="139">
        <f>IF(AND('Ações'!$AD270="SIM", 'Ações'!AU270="SIM"), 1,0)</f>
        <v>0</v>
      </c>
      <c r="P267" s="139">
        <f>IF(AND('Ações'!$AD270="SIM", 'Ações'!AV270="SIM"), 1,0)</f>
        <v>0</v>
      </c>
      <c r="Q267" s="139">
        <f>IF(AND('Ações'!$AD270="SIM", 'Ações'!AW270="SIM"), 1,0)</f>
        <v>0</v>
      </c>
      <c r="R267" s="139">
        <f>IF(AND('Ações'!$AD270="SIM", 'Ações'!AX270="SIM"), 1,0)</f>
        <v>0</v>
      </c>
    </row>
    <row r="268">
      <c r="A268" s="139">
        <f>IF(AND('Ações'!AB271="SIM", 'Ações'!AS271="SIM"), 1,0)</f>
        <v>0</v>
      </c>
      <c r="B268" s="139">
        <f>IF(AND('Ações'!$AB271="SIM", 'Ações'!AT271="SIM"), 1,0)</f>
        <v>0</v>
      </c>
      <c r="C268" s="139">
        <f>IF(AND('Ações'!$AB271="SIM", 'Ações'!AU271="SIM"), 1,0)</f>
        <v>1</v>
      </c>
      <c r="D268" s="139">
        <f>IF(AND('Ações'!$AB271="SIM", 'Ações'!AV271="SIM"), 1,0)</f>
        <v>1</v>
      </c>
      <c r="E268" s="139">
        <f>IF(AND('Ações'!$AB271="SIM", 'Ações'!AW271="SIM"), 1,0)</f>
        <v>1</v>
      </c>
      <c r="F268" s="139">
        <f>IF(AND('Ações'!$AB271="SIM", 'Ações'!AX271="SIM"), 1,0)</f>
        <v>0</v>
      </c>
      <c r="G268" s="139">
        <f>IF(AND('Ações'!$AC271="SIM", 'Ações'!AS271="SIM"), 1,0)</f>
        <v>0</v>
      </c>
      <c r="H268" s="139">
        <f>IF(AND('Ações'!$AC271="SIM", 'Ações'!AT271="SIM"), 1,0)</f>
        <v>0</v>
      </c>
      <c r="I268" s="139">
        <f>IF(AND('Ações'!$AC271="SIM", 'Ações'!AU271="SIM"), 1,0)</f>
        <v>1</v>
      </c>
      <c r="J268" s="139">
        <f>IF(AND('Ações'!$AC271="SIM", 'Ações'!AV271="SIM"), 1,0)</f>
        <v>1</v>
      </c>
      <c r="K268" s="139">
        <f>IF(AND('Ações'!$AC271="SIM", 'Ações'!AW271="SIM"), 1,0)</f>
        <v>1</v>
      </c>
      <c r="L268" s="139">
        <f>IF(AND('Ações'!$AC271="SIM", 'Ações'!AX271="SIM"), 1,0)</f>
        <v>0</v>
      </c>
      <c r="M268" s="139">
        <f>IF(AND('Ações'!$AD271="SIM", 'Ações'!AS271="SIM"), 1,0)</f>
        <v>0</v>
      </c>
      <c r="N268" s="139">
        <f>IF(AND('Ações'!$AD271="SIM", 'Ações'!AT271="SIM"), 1,0)</f>
        <v>0</v>
      </c>
      <c r="O268" s="139">
        <f>IF(AND('Ações'!$AD271="SIM", 'Ações'!AU271="SIM"), 1,0)</f>
        <v>0</v>
      </c>
      <c r="P268" s="139">
        <f>IF(AND('Ações'!$AD271="SIM", 'Ações'!AV271="SIM"), 1,0)</f>
        <v>0</v>
      </c>
      <c r="Q268" s="139">
        <f>IF(AND('Ações'!$AD271="SIM", 'Ações'!AW271="SIM"), 1,0)</f>
        <v>0</v>
      </c>
      <c r="R268" s="139">
        <f>IF(AND('Ações'!$AD271="SIM", 'Ações'!AX271="SIM"), 1,0)</f>
        <v>0</v>
      </c>
    </row>
    <row r="269">
      <c r="A269" s="139">
        <f>IF(AND('Ações'!AB272="SIM", 'Ações'!AS272="SIM"), 1,0)</f>
        <v>0</v>
      </c>
      <c r="B269" s="139">
        <f>IF(AND('Ações'!$AB272="SIM", 'Ações'!AT272="SIM"), 1,0)</f>
        <v>0</v>
      </c>
      <c r="C269" s="139">
        <f>IF(AND('Ações'!$AB272="SIM", 'Ações'!AU272="SIM"), 1,0)</f>
        <v>0</v>
      </c>
      <c r="D269" s="139">
        <f>IF(AND('Ações'!$AB272="SIM", 'Ações'!AV272="SIM"), 1,0)</f>
        <v>0</v>
      </c>
      <c r="E269" s="139">
        <f>IF(AND('Ações'!$AB272="SIM", 'Ações'!AW272="SIM"), 1,0)</f>
        <v>0</v>
      </c>
      <c r="F269" s="139">
        <f>IF(AND('Ações'!$AB272="SIM", 'Ações'!AX272="SIM"), 1,0)</f>
        <v>0</v>
      </c>
      <c r="G269" s="139">
        <f>IF(AND('Ações'!$AC272="SIM", 'Ações'!AS272="SIM"), 1,0)</f>
        <v>0</v>
      </c>
      <c r="H269" s="139">
        <f>IF(AND('Ações'!$AC272="SIM", 'Ações'!AT272="SIM"), 1,0)</f>
        <v>0</v>
      </c>
      <c r="I269" s="139">
        <f>IF(AND('Ações'!$AC272="SIM", 'Ações'!AU272="SIM"), 1,0)</f>
        <v>1</v>
      </c>
      <c r="J269" s="139">
        <f>IF(AND('Ações'!$AC272="SIM", 'Ações'!AV272="SIM"), 1,0)</f>
        <v>1</v>
      </c>
      <c r="K269" s="139">
        <f>IF(AND('Ações'!$AC272="SIM", 'Ações'!AW272="SIM"), 1,0)</f>
        <v>1</v>
      </c>
      <c r="L269" s="139">
        <f>IF(AND('Ações'!$AC272="SIM", 'Ações'!AX272="SIM"), 1,0)</f>
        <v>0</v>
      </c>
      <c r="M269" s="139">
        <f>IF(AND('Ações'!$AD272="SIM", 'Ações'!AS272="SIM"), 1,0)</f>
        <v>0</v>
      </c>
      <c r="N269" s="139">
        <f>IF(AND('Ações'!$AD272="SIM", 'Ações'!AT272="SIM"), 1,0)</f>
        <v>0</v>
      </c>
      <c r="O269" s="139">
        <f>IF(AND('Ações'!$AD272="SIM", 'Ações'!AU272="SIM"), 1,0)</f>
        <v>0</v>
      </c>
      <c r="P269" s="139">
        <f>IF(AND('Ações'!$AD272="SIM", 'Ações'!AV272="SIM"), 1,0)</f>
        <v>0</v>
      </c>
      <c r="Q269" s="139">
        <f>IF(AND('Ações'!$AD272="SIM", 'Ações'!AW272="SIM"), 1,0)</f>
        <v>0</v>
      </c>
      <c r="R269" s="139">
        <f>IF(AND('Ações'!$AD272="SIM", 'Ações'!AX272="SIM"), 1,0)</f>
        <v>0</v>
      </c>
    </row>
    <row r="270">
      <c r="A270" s="139">
        <f>IF(AND('Ações'!AB273="SIM", 'Ações'!AS273="SIM"), 1,0)</f>
        <v>0</v>
      </c>
      <c r="B270" s="139">
        <f>IF(AND('Ações'!$AB273="SIM", 'Ações'!AT273="SIM"), 1,0)</f>
        <v>0</v>
      </c>
      <c r="C270" s="139">
        <f>IF(AND('Ações'!$AB273="SIM", 'Ações'!AU273="SIM"), 1,0)</f>
        <v>1</v>
      </c>
      <c r="D270" s="139">
        <f>IF(AND('Ações'!$AB273="SIM", 'Ações'!AV273="SIM"), 1,0)</f>
        <v>1</v>
      </c>
      <c r="E270" s="139">
        <f>IF(AND('Ações'!$AB273="SIM", 'Ações'!AW273="SIM"), 1,0)</f>
        <v>1</v>
      </c>
      <c r="F270" s="139">
        <f>IF(AND('Ações'!$AB273="SIM", 'Ações'!AX273="SIM"), 1,0)</f>
        <v>0</v>
      </c>
      <c r="G270" s="139">
        <f>IF(AND('Ações'!$AC273="SIM", 'Ações'!AS273="SIM"), 1,0)</f>
        <v>0</v>
      </c>
      <c r="H270" s="139">
        <f>IF(AND('Ações'!$AC273="SIM", 'Ações'!AT273="SIM"), 1,0)</f>
        <v>0</v>
      </c>
      <c r="I270" s="139">
        <f>IF(AND('Ações'!$AC273="SIM", 'Ações'!AU273="SIM"), 1,0)</f>
        <v>1</v>
      </c>
      <c r="J270" s="139">
        <f>IF(AND('Ações'!$AC273="SIM", 'Ações'!AV273="SIM"), 1,0)</f>
        <v>1</v>
      </c>
      <c r="K270" s="139">
        <f>IF(AND('Ações'!$AC273="SIM", 'Ações'!AW273="SIM"), 1,0)</f>
        <v>1</v>
      </c>
      <c r="L270" s="139">
        <f>IF(AND('Ações'!$AC273="SIM", 'Ações'!AX273="SIM"), 1,0)</f>
        <v>0</v>
      </c>
      <c r="M270" s="139">
        <f>IF(AND('Ações'!$AD273="SIM", 'Ações'!AS273="SIM"), 1,0)</f>
        <v>0</v>
      </c>
      <c r="N270" s="139">
        <f>IF(AND('Ações'!$AD273="SIM", 'Ações'!AT273="SIM"), 1,0)</f>
        <v>0</v>
      </c>
      <c r="O270" s="139">
        <f>IF(AND('Ações'!$AD273="SIM", 'Ações'!AU273="SIM"), 1,0)</f>
        <v>0</v>
      </c>
      <c r="P270" s="139">
        <f>IF(AND('Ações'!$AD273="SIM", 'Ações'!AV273="SIM"), 1,0)</f>
        <v>0</v>
      </c>
      <c r="Q270" s="139">
        <f>IF(AND('Ações'!$AD273="SIM", 'Ações'!AW273="SIM"), 1,0)</f>
        <v>0</v>
      </c>
      <c r="R270" s="139">
        <f>IF(AND('Ações'!$AD273="SIM", 'Ações'!AX273="SIM"), 1,0)</f>
        <v>0</v>
      </c>
    </row>
    <row r="271">
      <c r="A271" s="139">
        <f>IF(AND('Ações'!AB274="SIM", 'Ações'!AS274="SIM"), 1,0)</f>
        <v>0</v>
      </c>
      <c r="B271" s="139">
        <f>IF(AND('Ações'!$AB274="SIM", 'Ações'!AT274="SIM"), 1,0)</f>
        <v>0</v>
      </c>
      <c r="C271" s="139">
        <f>IF(AND('Ações'!$AB274="SIM", 'Ações'!AU274="SIM"), 1,0)</f>
        <v>1</v>
      </c>
      <c r="D271" s="139">
        <f>IF(AND('Ações'!$AB274="SIM", 'Ações'!AV274="SIM"), 1,0)</f>
        <v>1</v>
      </c>
      <c r="E271" s="139">
        <f>IF(AND('Ações'!$AB274="SIM", 'Ações'!AW274="SIM"), 1,0)</f>
        <v>1</v>
      </c>
      <c r="F271" s="139">
        <f>IF(AND('Ações'!$AB274="SIM", 'Ações'!AX274="SIM"), 1,0)</f>
        <v>0</v>
      </c>
      <c r="G271" s="139">
        <f>IF(AND('Ações'!$AC274="SIM", 'Ações'!AS274="SIM"), 1,0)</f>
        <v>0</v>
      </c>
      <c r="H271" s="139">
        <f>IF(AND('Ações'!$AC274="SIM", 'Ações'!AT274="SIM"), 1,0)</f>
        <v>0</v>
      </c>
      <c r="I271" s="139">
        <f>IF(AND('Ações'!$AC274="SIM", 'Ações'!AU274="SIM"), 1,0)</f>
        <v>1</v>
      </c>
      <c r="J271" s="139">
        <f>IF(AND('Ações'!$AC274="SIM", 'Ações'!AV274="SIM"), 1,0)</f>
        <v>1</v>
      </c>
      <c r="K271" s="139">
        <f>IF(AND('Ações'!$AC274="SIM", 'Ações'!AW274="SIM"), 1,0)</f>
        <v>1</v>
      </c>
      <c r="L271" s="139">
        <f>IF(AND('Ações'!$AC274="SIM", 'Ações'!AX274="SIM"), 1,0)</f>
        <v>0</v>
      </c>
      <c r="M271" s="139">
        <f>IF(AND('Ações'!$AD274="SIM", 'Ações'!AS274="SIM"), 1,0)</f>
        <v>0</v>
      </c>
      <c r="N271" s="139">
        <f>IF(AND('Ações'!$AD274="SIM", 'Ações'!AT274="SIM"), 1,0)</f>
        <v>0</v>
      </c>
      <c r="O271" s="139">
        <f>IF(AND('Ações'!$AD274="SIM", 'Ações'!AU274="SIM"), 1,0)</f>
        <v>0</v>
      </c>
      <c r="P271" s="139">
        <f>IF(AND('Ações'!$AD274="SIM", 'Ações'!AV274="SIM"), 1,0)</f>
        <v>0</v>
      </c>
      <c r="Q271" s="139">
        <f>IF(AND('Ações'!$AD274="SIM", 'Ações'!AW274="SIM"), 1,0)</f>
        <v>0</v>
      </c>
      <c r="R271" s="139">
        <f>IF(AND('Ações'!$AD274="SIM", 'Ações'!AX274="SIM"), 1,0)</f>
        <v>0</v>
      </c>
    </row>
    <row r="272">
      <c r="A272" s="139">
        <f>IF(AND('Ações'!AB275="SIM", 'Ações'!AS275="SIM"), 1,0)</f>
        <v>0</v>
      </c>
      <c r="B272" s="139">
        <f>IF(AND('Ações'!$AB275="SIM", 'Ações'!AT275="SIM"), 1,0)</f>
        <v>0</v>
      </c>
      <c r="C272" s="139">
        <f>IF(AND('Ações'!$AB275="SIM", 'Ações'!AU275="SIM"), 1,0)</f>
        <v>1</v>
      </c>
      <c r="D272" s="139">
        <f>IF(AND('Ações'!$AB275="SIM", 'Ações'!AV275="SIM"), 1,0)</f>
        <v>1</v>
      </c>
      <c r="E272" s="139">
        <f>IF(AND('Ações'!$AB275="SIM", 'Ações'!AW275="SIM"), 1,0)</f>
        <v>1</v>
      </c>
      <c r="F272" s="139">
        <f>IF(AND('Ações'!$AB275="SIM", 'Ações'!AX275="SIM"), 1,0)</f>
        <v>0</v>
      </c>
      <c r="G272" s="139">
        <f>IF(AND('Ações'!$AC275="SIM", 'Ações'!AS275="SIM"), 1,0)</f>
        <v>0</v>
      </c>
      <c r="H272" s="139">
        <f>IF(AND('Ações'!$AC275="SIM", 'Ações'!AT275="SIM"), 1,0)</f>
        <v>0</v>
      </c>
      <c r="I272" s="139">
        <f>IF(AND('Ações'!$AC275="SIM", 'Ações'!AU275="SIM"), 1,0)</f>
        <v>1</v>
      </c>
      <c r="J272" s="139">
        <f>IF(AND('Ações'!$AC275="SIM", 'Ações'!AV275="SIM"), 1,0)</f>
        <v>1</v>
      </c>
      <c r="K272" s="139">
        <f>IF(AND('Ações'!$AC275="SIM", 'Ações'!AW275="SIM"), 1,0)</f>
        <v>1</v>
      </c>
      <c r="L272" s="139">
        <f>IF(AND('Ações'!$AC275="SIM", 'Ações'!AX275="SIM"), 1,0)</f>
        <v>0</v>
      </c>
      <c r="M272" s="139">
        <f>IF(AND('Ações'!$AD275="SIM", 'Ações'!AS275="SIM"), 1,0)</f>
        <v>0</v>
      </c>
      <c r="N272" s="139">
        <f>IF(AND('Ações'!$AD275="SIM", 'Ações'!AT275="SIM"), 1,0)</f>
        <v>0</v>
      </c>
      <c r="O272" s="139">
        <f>IF(AND('Ações'!$AD275="SIM", 'Ações'!AU275="SIM"), 1,0)</f>
        <v>1</v>
      </c>
      <c r="P272" s="139">
        <f>IF(AND('Ações'!$AD275="SIM", 'Ações'!AV275="SIM"), 1,0)</f>
        <v>1</v>
      </c>
      <c r="Q272" s="139">
        <f>IF(AND('Ações'!$AD275="SIM", 'Ações'!AW275="SIM"), 1,0)</f>
        <v>1</v>
      </c>
      <c r="R272" s="139">
        <f>IF(AND('Ações'!$AD275="SIM", 'Ações'!AX275="SIM"), 1,0)</f>
        <v>0</v>
      </c>
    </row>
    <row r="273">
      <c r="A273" s="139">
        <f>IF(AND('Ações'!AB276="SIM", 'Ações'!AS276="SIM"), 1,0)</f>
        <v>0</v>
      </c>
      <c r="B273" s="139">
        <f>IF(AND('Ações'!$AB276="SIM", 'Ações'!AT276="SIM"), 1,0)</f>
        <v>0</v>
      </c>
      <c r="C273" s="139">
        <f>IF(AND('Ações'!$AB276="SIM", 'Ações'!AU276="SIM"), 1,0)</f>
        <v>1</v>
      </c>
      <c r="D273" s="139">
        <f>IF(AND('Ações'!$AB276="SIM", 'Ações'!AV276="SIM"), 1,0)</f>
        <v>1</v>
      </c>
      <c r="E273" s="139">
        <f>IF(AND('Ações'!$AB276="SIM", 'Ações'!AW276="SIM"), 1,0)</f>
        <v>1</v>
      </c>
      <c r="F273" s="139">
        <f>IF(AND('Ações'!$AB276="SIM", 'Ações'!AX276="SIM"), 1,0)</f>
        <v>0</v>
      </c>
      <c r="G273" s="139">
        <f>IF(AND('Ações'!$AC276="SIM", 'Ações'!AS276="SIM"), 1,0)</f>
        <v>0</v>
      </c>
      <c r="H273" s="139">
        <f>IF(AND('Ações'!$AC276="SIM", 'Ações'!AT276="SIM"), 1,0)</f>
        <v>0</v>
      </c>
      <c r="I273" s="139">
        <f>IF(AND('Ações'!$AC276="SIM", 'Ações'!AU276="SIM"), 1,0)</f>
        <v>1</v>
      </c>
      <c r="J273" s="139">
        <f>IF(AND('Ações'!$AC276="SIM", 'Ações'!AV276="SIM"), 1,0)</f>
        <v>1</v>
      </c>
      <c r="K273" s="139">
        <f>IF(AND('Ações'!$AC276="SIM", 'Ações'!AW276="SIM"), 1,0)</f>
        <v>1</v>
      </c>
      <c r="L273" s="139">
        <f>IF(AND('Ações'!$AC276="SIM", 'Ações'!AX276="SIM"), 1,0)</f>
        <v>0</v>
      </c>
      <c r="M273" s="139">
        <f>IF(AND('Ações'!$AD276="SIM", 'Ações'!AS276="SIM"), 1,0)</f>
        <v>0</v>
      </c>
      <c r="N273" s="139">
        <f>IF(AND('Ações'!$AD276="SIM", 'Ações'!AT276="SIM"), 1,0)</f>
        <v>0</v>
      </c>
      <c r="O273" s="139">
        <f>IF(AND('Ações'!$AD276="SIM", 'Ações'!AU276="SIM"), 1,0)</f>
        <v>0</v>
      </c>
      <c r="P273" s="139">
        <f>IF(AND('Ações'!$AD276="SIM", 'Ações'!AV276="SIM"), 1,0)</f>
        <v>0</v>
      </c>
      <c r="Q273" s="139">
        <f>IF(AND('Ações'!$AD276="SIM", 'Ações'!AW276="SIM"), 1,0)</f>
        <v>0</v>
      </c>
      <c r="R273" s="139">
        <f>IF(AND('Ações'!$AD276="SIM", 'Ações'!AX276="SIM"), 1,0)</f>
        <v>0</v>
      </c>
    </row>
    <row r="274">
      <c r="A274" s="139">
        <f>IF(AND('Ações'!AB277="SIM", 'Ações'!AS277="SIM"), 1,0)</f>
        <v>0</v>
      </c>
      <c r="B274" s="139">
        <f>IF(AND('Ações'!$AB277="SIM", 'Ações'!AT277="SIM"), 1,0)</f>
        <v>0</v>
      </c>
      <c r="C274" s="139">
        <f>IF(AND('Ações'!$AB277="SIM", 'Ações'!AU277="SIM"), 1,0)</f>
        <v>0</v>
      </c>
      <c r="D274" s="139">
        <f>IF(AND('Ações'!$AB277="SIM", 'Ações'!AV277="SIM"), 1,0)</f>
        <v>0</v>
      </c>
      <c r="E274" s="139">
        <f>IF(AND('Ações'!$AB277="SIM", 'Ações'!AW277="SIM"), 1,0)</f>
        <v>0</v>
      </c>
      <c r="F274" s="139">
        <f>IF(AND('Ações'!$AB277="SIM", 'Ações'!AX277="SIM"), 1,0)</f>
        <v>0</v>
      </c>
      <c r="G274" s="139">
        <f>IF(AND('Ações'!$AC277="SIM", 'Ações'!AS277="SIM"), 1,0)</f>
        <v>0</v>
      </c>
      <c r="H274" s="139">
        <f>IF(AND('Ações'!$AC277="SIM", 'Ações'!AT277="SIM"), 1,0)</f>
        <v>0</v>
      </c>
      <c r="I274" s="139">
        <f>IF(AND('Ações'!$AC277="SIM", 'Ações'!AU277="SIM"), 1,0)</f>
        <v>1</v>
      </c>
      <c r="J274" s="139">
        <f>IF(AND('Ações'!$AC277="SIM", 'Ações'!AV277="SIM"), 1,0)</f>
        <v>1</v>
      </c>
      <c r="K274" s="139">
        <f>IF(AND('Ações'!$AC277="SIM", 'Ações'!AW277="SIM"), 1,0)</f>
        <v>1</v>
      </c>
      <c r="L274" s="139">
        <f>IF(AND('Ações'!$AC277="SIM", 'Ações'!AX277="SIM"), 1,0)</f>
        <v>0</v>
      </c>
      <c r="M274" s="139">
        <f>IF(AND('Ações'!$AD277="SIM", 'Ações'!AS277="SIM"), 1,0)</f>
        <v>0</v>
      </c>
      <c r="N274" s="139">
        <f>IF(AND('Ações'!$AD277="SIM", 'Ações'!AT277="SIM"), 1,0)</f>
        <v>0</v>
      </c>
      <c r="O274" s="139">
        <f>IF(AND('Ações'!$AD277="SIM", 'Ações'!AU277="SIM"), 1,0)</f>
        <v>1</v>
      </c>
      <c r="P274" s="139">
        <f>IF(AND('Ações'!$AD277="SIM", 'Ações'!AV277="SIM"), 1,0)</f>
        <v>1</v>
      </c>
      <c r="Q274" s="139">
        <f>IF(AND('Ações'!$AD277="SIM", 'Ações'!AW277="SIM"), 1,0)</f>
        <v>1</v>
      </c>
      <c r="R274" s="139">
        <f>IF(AND('Ações'!$AD277="SIM", 'Ações'!AX277="SIM"), 1,0)</f>
        <v>0</v>
      </c>
    </row>
    <row r="275">
      <c r="A275" s="139">
        <f>IF(AND('Ações'!AB278="SIM", 'Ações'!AS278="SIM"), 1,0)</f>
        <v>0</v>
      </c>
      <c r="B275" s="139">
        <f>IF(AND('Ações'!$AB278="SIM", 'Ações'!AT278="SIM"), 1,0)</f>
        <v>0</v>
      </c>
      <c r="C275" s="139">
        <f>IF(AND('Ações'!$AB278="SIM", 'Ações'!AU278="SIM"), 1,0)</f>
        <v>1</v>
      </c>
      <c r="D275" s="139">
        <f>IF(AND('Ações'!$AB278="SIM", 'Ações'!AV278="SIM"), 1,0)</f>
        <v>1</v>
      </c>
      <c r="E275" s="139">
        <f>IF(AND('Ações'!$AB278="SIM", 'Ações'!AW278="SIM"), 1,0)</f>
        <v>1</v>
      </c>
      <c r="F275" s="139">
        <f>IF(AND('Ações'!$AB278="SIM", 'Ações'!AX278="SIM"), 1,0)</f>
        <v>0</v>
      </c>
      <c r="G275" s="139">
        <f>IF(AND('Ações'!$AC278="SIM", 'Ações'!AS278="SIM"), 1,0)</f>
        <v>0</v>
      </c>
      <c r="H275" s="139">
        <f>IF(AND('Ações'!$AC278="SIM", 'Ações'!AT278="SIM"), 1,0)</f>
        <v>0</v>
      </c>
      <c r="I275" s="139">
        <f>IF(AND('Ações'!$AC278="SIM", 'Ações'!AU278="SIM"), 1,0)</f>
        <v>1</v>
      </c>
      <c r="J275" s="139">
        <f>IF(AND('Ações'!$AC278="SIM", 'Ações'!AV278="SIM"), 1,0)</f>
        <v>1</v>
      </c>
      <c r="K275" s="139">
        <f>IF(AND('Ações'!$AC278="SIM", 'Ações'!AW278="SIM"), 1,0)</f>
        <v>1</v>
      </c>
      <c r="L275" s="139">
        <f>IF(AND('Ações'!$AC278="SIM", 'Ações'!AX278="SIM"), 1,0)</f>
        <v>0</v>
      </c>
      <c r="M275" s="139">
        <f>IF(AND('Ações'!$AD278="SIM", 'Ações'!AS278="SIM"), 1,0)</f>
        <v>0</v>
      </c>
      <c r="N275" s="139">
        <f>IF(AND('Ações'!$AD278="SIM", 'Ações'!AT278="SIM"), 1,0)</f>
        <v>0</v>
      </c>
      <c r="O275" s="139">
        <f>IF(AND('Ações'!$AD278="SIM", 'Ações'!AU278="SIM"), 1,0)</f>
        <v>1</v>
      </c>
      <c r="P275" s="139">
        <f>IF(AND('Ações'!$AD278="SIM", 'Ações'!AV278="SIM"), 1,0)</f>
        <v>1</v>
      </c>
      <c r="Q275" s="139">
        <f>IF(AND('Ações'!$AD278="SIM", 'Ações'!AW278="SIM"), 1,0)</f>
        <v>1</v>
      </c>
      <c r="R275" s="139">
        <f>IF(AND('Ações'!$AD278="SIM", 'Ações'!AX278="SIM"), 1,0)</f>
        <v>0</v>
      </c>
    </row>
    <row r="276">
      <c r="A276" s="139">
        <f>IF(AND('Ações'!AB279="SIM", 'Ações'!AS279="SIM"), 1,0)</f>
        <v>0</v>
      </c>
      <c r="B276" s="139">
        <f>IF(AND('Ações'!$AB279="SIM", 'Ações'!AT279="SIM"), 1,0)</f>
        <v>0</v>
      </c>
      <c r="C276" s="139">
        <f>IF(AND('Ações'!$AB279="SIM", 'Ações'!AU279="SIM"), 1,0)</f>
        <v>0</v>
      </c>
      <c r="D276" s="139">
        <f>IF(AND('Ações'!$AB279="SIM", 'Ações'!AV279="SIM"), 1,0)</f>
        <v>0</v>
      </c>
      <c r="E276" s="139">
        <f>IF(AND('Ações'!$AB279="SIM", 'Ações'!AW279="SIM"), 1,0)</f>
        <v>0</v>
      </c>
      <c r="F276" s="139">
        <f>IF(AND('Ações'!$AB279="SIM", 'Ações'!AX279="SIM"), 1,0)</f>
        <v>0</v>
      </c>
      <c r="G276" s="139">
        <f>IF(AND('Ações'!$AC279="SIM", 'Ações'!AS279="SIM"), 1,0)</f>
        <v>0</v>
      </c>
      <c r="H276" s="139">
        <f>IF(AND('Ações'!$AC279="SIM", 'Ações'!AT279="SIM"), 1,0)</f>
        <v>0</v>
      </c>
      <c r="I276" s="139">
        <f>IF(AND('Ações'!$AC279="SIM", 'Ações'!AU279="SIM"), 1,0)</f>
        <v>1</v>
      </c>
      <c r="J276" s="139">
        <f>IF(AND('Ações'!$AC279="SIM", 'Ações'!AV279="SIM"), 1,0)</f>
        <v>1</v>
      </c>
      <c r="K276" s="139">
        <f>IF(AND('Ações'!$AC279="SIM", 'Ações'!AW279="SIM"), 1,0)</f>
        <v>1</v>
      </c>
      <c r="L276" s="139">
        <f>IF(AND('Ações'!$AC279="SIM", 'Ações'!AX279="SIM"), 1,0)</f>
        <v>0</v>
      </c>
      <c r="M276" s="139">
        <f>IF(AND('Ações'!$AD279="SIM", 'Ações'!AS279="SIM"), 1,0)</f>
        <v>0</v>
      </c>
      <c r="N276" s="139">
        <f>IF(AND('Ações'!$AD279="SIM", 'Ações'!AT279="SIM"), 1,0)</f>
        <v>0</v>
      </c>
      <c r="O276" s="139">
        <f>IF(AND('Ações'!$AD279="SIM", 'Ações'!AU279="SIM"), 1,0)</f>
        <v>0</v>
      </c>
      <c r="P276" s="139">
        <f>IF(AND('Ações'!$AD279="SIM", 'Ações'!AV279="SIM"), 1,0)</f>
        <v>0</v>
      </c>
      <c r="Q276" s="139">
        <f>IF(AND('Ações'!$AD279="SIM", 'Ações'!AW279="SIM"), 1,0)</f>
        <v>0</v>
      </c>
      <c r="R276" s="139">
        <f>IF(AND('Ações'!$AD279="SIM", 'Ações'!AX279="SIM"), 1,0)</f>
        <v>0</v>
      </c>
    </row>
    <row r="277">
      <c r="A277" s="139">
        <f>IF(AND('Ações'!AB280="SIM", 'Ações'!AS280="SIM"), 1,0)</f>
        <v>0</v>
      </c>
      <c r="B277" s="139">
        <f>IF(AND('Ações'!$AB280="SIM", 'Ações'!AT280="SIM"), 1,0)</f>
        <v>0</v>
      </c>
      <c r="C277" s="139">
        <f>IF(AND('Ações'!$AB280="SIM", 'Ações'!AU280="SIM"), 1,0)</f>
        <v>1</v>
      </c>
      <c r="D277" s="139">
        <f>IF(AND('Ações'!$AB280="SIM", 'Ações'!AV280="SIM"), 1,0)</f>
        <v>1</v>
      </c>
      <c r="E277" s="139">
        <f>IF(AND('Ações'!$AB280="SIM", 'Ações'!AW280="SIM"), 1,0)</f>
        <v>1</v>
      </c>
      <c r="F277" s="139">
        <f>IF(AND('Ações'!$AB280="SIM", 'Ações'!AX280="SIM"), 1,0)</f>
        <v>0</v>
      </c>
      <c r="G277" s="139">
        <f>IF(AND('Ações'!$AC280="SIM", 'Ações'!AS280="SIM"), 1,0)</f>
        <v>0</v>
      </c>
      <c r="H277" s="139">
        <f>IF(AND('Ações'!$AC280="SIM", 'Ações'!AT280="SIM"), 1,0)</f>
        <v>0</v>
      </c>
      <c r="I277" s="139">
        <f>IF(AND('Ações'!$AC280="SIM", 'Ações'!AU280="SIM"), 1,0)</f>
        <v>1</v>
      </c>
      <c r="J277" s="139">
        <f>IF(AND('Ações'!$AC280="SIM", 'Ações'!AV280="SIM"), 1,0)</f>
        <v>1</v>
      </c>
      <c r="K277" s="139">
        <f>IF(AND('Ações'!$AC280="SIM", 'Ações'!AW280="SIM"), 1,0)</f>
        <v>1</v>
      </c>
      <c r="L277" s="139">
        <f>IF(AND('Ações'!$AC280="SIM", 'Ações'!AX280="SIM"), 1,0)</f>
        <v>0</v>
      </c>
      <c r="M277" s="139">
        <f>IF(AND('Ações'!$AD280="SIM", 'Ações'!AS280="SIM"), 1,0)</f>
        <v>0</v>
      </c>
      <c r="N277" s="139">
        <f>IF(AND('Ações'!$AD280="SIM", 'Ações'!AT280="SIM"), 1,0)</f>
        <v>0</v>
      </c>
      <c r="O277" s="139">
        <f>IF(AND('Ações'!$AD280="SIM", 'Ações'!AU280="SIM"), 1,0)</f>
        <v>0</v>
      </c>
      <c r="P277" s="139">
        <f>IF(AND('Ações'!$AD280="SIM", 'Ações'!AV280="SIM"), 1,0)</f>
        <v>0</v>
      </c>
      <c r="Q277" s="139">
        <f>IF(AND('Ações'!$AD280="SIM", 'Ações'!AW280="SIM"), 1,0)</f>
        <v>0</v>
      </c>
      <c r="R277" s="139">
        <f>IF(AND('Ações'!$AD280="SIM", 'Ações'!AX280="SIM"), 1,0)</f>
        <v>0</v>
      </c>
    </row>
    <row r="278">
      <c r="A278" s="139">
        <f>IF(AND('Ações'!AB281="SIM", 'Ações'!AS281="SIM"), 1,0)</f>
        <v>0</v>
      </c>
      <c r="B278" s="139">
        <f>IF(AND('Ações'!$AB281="SIM", 'Ações'!AT281="SIM"), 1,0)</f>
        <v>0</v>
      </c>
      <c r="C278" s="139">
        <f>IF(AND('Ações'!$AB281="SIM", 'Ações'!AU281="SIM"), 1,0)</f>
        <v>1</v>
      </c>
      <c r="D278" s="139">
        <f>IF(AND('Ações'!$AB281="SIM", 'Ações'!AV281="SIM"), 1,0)</f>
        <v>1</v>
      </c>
      <c r="E278" s="139">
        <f>IF(AND('Ações'!$AB281="SIM", 'Ações'!AW281="SIM"), 1,0)</f>
        <v>1</v>
      </c>
      <c r="F278" s="139">
        <f>IF(AND('Ações'!$AB281="SIM", 'Ações'!AX281="SIM"), 1,0)</f>
        <v>0</v>
      </c>
      <c r="G278" s="139">
        <f>IF(AND('Ações'!$AC281="SIM", 'Ações'!AS281="SIM"), 1,0)</f>
        <v>0</v>
      </c>
      <c r="H278" s="139">
        <f>IF(AND('Ações'!$AC281="SIM", 'Ações'!AT281="SIM"), 1,0)</f>
        <v>0</v>
      </c>
      <c r="I278" s="139">
        <f>IF(AND('Ações'!$AC281="SIM", 'Ações'!AU281="SIM"), 1,0)</f>
        <v>0</v>
      </c>
      <c r="J278" s="139">
        <f>IF(AND('Ações'!$AC281="SIM", 'Ações'!AV281="SIM"), 1,0)</f>
        <v>0</v>
      </c>
      <c r="K278" s="139">
        <f>IF(AND('Ações'!$AC281="SIM", 'Ações'!AW281="SIM"), 1,0)</f>
        <v>0</v>
      </c>
      <c r="L278" s="139">
        <f>IF(AND('Ações'!$AC281="SIM", 'Ações'!AX281="SIM"), 1,0)</f>
        <v>0</v>
      </c>
      <c r="M278" s="139">
        <f>IF(AND('Ações'!$AD281="SIM", 'Ações'!AS281="SIM"), 1,0)</f>
        <v>0</v>
      </c>
      <c r="N278" s="139">
        <f>IF(AND('Ações'!$AD281="SIM", 'Ações'!AT281="SIM"), 1,0)</f>
        <v>0</v>
      </c>
      <c r="O278" s="139">
        <f>IF(AND('Ações'!$AD281="SIM", 'Ações'!AU281="SIM"), 1,0)</f>
        <v>0</v>
      </c>
      <c r="P278" s="139">
        <f>IF(AND('Ações'!$AD281="SIM", 'Ações'!AV281="SIM"), 1,0)</f>
        <v>0</v>
      </c>
      <c r="Q278" s="139">
        <f>IF(AND('Ações'!$AD281="SIM", 'Ações'!AW281="SIM"), 1,0)</f>
        <v>0</v>
      </c>
      <c r="R278" s="139">
        <f>IF(AND('Ações'!$AD281="SIM", 'Ações'!AX281="SIM"), 1,0)</f>
        <v>0</v>
      </c>
    </row>
    <row r="279">
      <c r="A279" s="139">
        <f>IF(AND('Ações'!AB282="SIM", 'Ações'!AS282="SIM"), 1,0)</f>
        <v>0</v>
      </c>
      <c r="B279" s="139">
        <f>IF(AND('Ações'!$AB282="SIM", 'Ações'!AT282="SIM"), 1,0)</f>
        <v>0</v>
      </c>
      <c r="C279" s="139">
        <f>IF(AND('Ações'!$AB282="SIM", 'Ações'!AU282="SIM"), 1,0)</f>
        <v>0</v>
      </c>
      <c r="D279" s="139">
        <f>IF(AND('Ações'!$AB282="SIM", 'Ações'!AV282="SIM"), 1,0)</f>
        <v>0</v>
      </c>
      <c r="E279" s="139">
        <f>IF(AND('Ações'!$AB282="SIM", 'Ações'!AW282="SIM"), 1,0)</f>
        <v>0</v>
      </c>
      <c r="F279" s="139">
        <f>IF(AND('Ações'!$AB282="SIM", 'Ações'!AX282="SIM"), 1,0)</f>
        <v>0</v>
      </c>
      <c r="G279" s="139">
        <f>IF(AND('Ações'!$AC282="SIM", 'Ações'!AS282="SIM"), 1,0)</f>
        <v>0</v>
      </c>
      <c r="H279" s="139">
        <f>IF(AND('Ações'!$AC282="SIM", 'Ações'!AT282="SIM"), 1,0)</f>
        <v>0</v>
      </c>
      <c r="I279" s="139">
        <f>IF(AND('Ações'!$AC282="SIM", 'Ações'!AU282="SIM"), 1,0)</f>
        <v>0</v>
      </c>
      <c r="J279" s="139">
        <f>IF(AND('Ações'!$AC282="SIM", 'Ações'!AV282="SIM"), 1,0)</f>
        <v>0</v>
      </c>
      <c r="K279" s="139">
        <f>IF(AND('Ações'!$AC282="SIM", 'Ações'!AW282="SIM"), 1,0)</f>
        <v>0</v>
      </c>
      <c r="L279" s="139">
        <f>IF(AND('Ações'!$AC282="SIM", 'Ações'!AX282="SIM"), 1,0)</f>
        <v>0</v>
      </c>
      <c r="M279" s="139">
        <f>IF(AND('Ações'!$AD282="SIM", 'Ações'!AS282="SIM"), 1,0)</f>
        <v>0</v>
      </c>
      <c r="N279" s="139">
        <f>IF(AND('Ações'!$AD282="SIM", 'Ações'!AT282="SIM"), 1,0)</f>
        <v>0</v>
      </c>
      <c r="O279" s="139">
        <f>IF(AND('Ações'!$AD282="SIM", 'Ações'!AU282="SIM"), 1,0)</f>
        <v>0</v>
      </c>
      <c r="P279" s="139">
        <f>IF(AND('Ações'!$AD282="SIM", 'Ações'!AV282="SIM"), 1,0)</f>
        <v>0</v>
      </c>
      <c r="Q279" s="139">
        <f>IF(AND('Ações'!$AD282="SIM", 'Ações'!AW282="SIM"), 1,0)</f>
        <v>0</v>
      </c>
      <c r="R279" s="139">
        <f>IF(AND('Ações'!$AD282="SIM", 'Ações'!AX282="SIM"), 1,0)</f>
        <v>0</v>
      </c>
    </row>
    <row r="280">
      <c r="A280" s="139">
        <f>IF(AND('Ações'!AB283="SIM", 'Ações'!AS283="SIM"), 1,0)</f>
        <v>0</v>
      </c>
      <c r="B280" s="139">
        <f>IF(AND('Ações'!$AB283="SIM", 'Ações'!AT283="SIM"), 1,0)</f>
        <v>0</v>
      </c>
      <c r="C280" s="139">
        <f>IF(AND('Ações'!$AB283="SIM", 'Ações'!AU283="SIM"), 1,0)</f>
        <v>0</v>
      </c>
      <c r="D280" s="139">
        <f>IF(AND('Ações'!$AB283="SIM", 'Ações'!AV283="SIM"), 1,0)</f>
        <v>0</v>
      </c>
      <c r="E280" s="139">
        <f>IF(AND('Ações'!$AB283="SIM", 'Ações'!AW283="SIM"), 1,0)</f>
        <v>0</v>
      </c>
      <c r="F280" s="139">
        <f>IF(AND('Ações'!$AB283="SIM", 'Ações'!AX283="SIM"), 1,0)</f>
        <v>0</v>
      </c>
      <c r="G280" s="139">
        <f>IF(AND('Ações'!$AC283="SIM", 'Ações'!AS283="SIM"), 1,0)</f>
        <v>0</v>
      </c>
      <c r="H280" s="139">
        <f>IF(AND('Ações'!$AC283="SIM", 'Ações'!AT283="SIM"), 1,0)</f>
        <v>0</v>
      </c>
      <c r="I280" s="139">
        <f>IF(AND('Ações'!$AC283="SIM", 'Ações'!AU283="SIM"), 1,0)</f>
        <v>0</v>
      </c>
      <c r="J280" s="139">
        <f>IF(AND('Ações'!$AC283="SIM", 'Ações'!AV283="SIM"), 1,0)</f>
        <v>0</v>
      </c>
      <c r="K280" s="139">
        <f>IF(AND('Ações'!$AC283="SIM", 'Ações'!AW283="SIM"), 1,0)</f>
        <v>0</v>
      </c>
      <c r="L280" s="139">
        <f>IF(AND('Ações'!$AC283="SIM", 'Ações'!AX283="SIM"), 1,0)</f>
        <v>0</v>
      </c>
      <c r="M280" s="139">
        <f>IF(AND('Ações'!$AD283="SIM", 'Ações'!AS283="SIM"), 1,0)</f>
        <v>0</v>
      </c>
      <c r="N280" s="139">
        <f>IF(AND('Ações'!$AD283="SIM", 'Ações'!AT283="SIM"), 1,0)</f>
        <v>0</v>
      </c>
      <c r="O280" s="139">
        <f>IF(AND('Ações'!$AD283="SIM", 'Ações'!AU283="SIM"), 1,0)</f>
        <v>0</v>
      </c>
      <c r="P280" s="139">
        <f>IF(AND('Ações'!$AD283="SIM", 'Ações'!AV283="SIM"), 1,0)</f>
        <v>0</v>
      </c>
      <c r="Q280" s="139">
        <f>IF(AND('Ações'!$AD283="SIM", 'Ações'!AW283="SIM"), 1,0)</f>
        <v>0</v>
      </c>
      <c r="R280" s="139">
        <f>IF(AND('Ações'!$AD283="SIM", 'Ações'!AX283="SIM"), 1,0)</f>
        <v>0</v>
      </c>
    </row>
    <row r="281">
      <c r="A281" s="139">
        <f>IF(AND('Ações'!AB284="SIM", 'Ações'!AS284="SIM"), 1,0)</f>
        <v>0</v>
      </c>
      <c r="B281" s="139">
        <f>IF(AND('Ações'!$AB284="SIM", 'Ações'!AT284="SIM"), 1,0)</f>
        <v>0</v>
      </c>
      <c r="C281" s="139">
        <f>IF(AND('Ações'!$AB284="SIM", 'Ações'!AU284="SIM"), 1,0)</f>
        <v>0</v>
      </c>
      <c r="D281" s="139">
        <f>IF(AND('Ações'!$AB284="SIM", 'Ações'!AV284="SIM"), 1,0)</f>
        <v>0</v>
      </c>
      <c r="E281" s="139">
        <f>IF(AND('Ações'!$AB284="SIM", 'Ações'!AW284="SIM"), 1,0)</f>
        <v>0</v>
      </c>
      <c r="F281" s="139">
        <f>IF(AND('Ações'!$AB284="SIM", 'Ações'!AX284="SIM"), 1,0)</f>
        <v>0</v>
      </c>
      <c r="G281" s="139">
        <f>IF(AND('Ações'!$AC284="SIM", 'Ações'!AS284="SIM"), 1,0)</f>
        <v>0</v>
      </c>
      <c r="H281" s="139">
        <f>IF(AND('Ações'!$AC284="SIM", 'Ações'!AT284="SIM"), 1,0)</f>
        <v>0</v>
      </c>
      <c r="I281" s="139">
        <f>IF(AND('Ações'!$AC284="SIM", 'Ações'!AU284="SIM"), 1,0)</f>
        <v>0</v>
      </c>
      <c r="J281" s="139">
        <f>IF(AND('Ações'!$AC284="SIM", 'Ações'!AV284="SIM"), 1,0)</f>
        <v>0</v>
      </c>
      <c r="K281" s="139">
        <f>IF(AND('Ações'!$AC284="SIM", 'Ações'!AW284="SIM"), 1,0)</f>
        <v>0</v>
      </c>
      <c r="L281" s="139">
        <f>IF(AND('Ações'!$AC284="SIM", 'Ações'!AX284="SIM"), 1,0)</f>
        <v>0</v>
      </c>
      <c r="M281" s="139">
        <f>IF(AND('Ações'!$AD284="SIM", 'Ações'!AS284="SIM"), 1,0)</f>
        <v>0</v>
      </c>
      <c r="N281" s="139">
        <f>IF(AND('Ações'!$AD284="SIM", 'Ações'!AT284="SIM"), 1,0)</f>
        <v>0</v>
      </c>
      <c r="O281" s="139">
        <f>IF(AND('Ações'!$AD284="SIM", 'Ações'!AU284="SIM"), 1,0)</f>
        <v>0</v>
      </c>
      <c r="P281" s="139">
        <f>IF(AND('Ações'!$AD284="SIM", 'Ações'!AV284="SIM"), 1,0)</f>
        <v>0</v>
      </c>
      <c r="Q281" s="139">
        <f>IF(AND('Ações'!$AD284="SIM", 'Ações'!AW284="SIM"), 1,0)</f>
        <v>0</v>
      </c>
      <c r="R281" s="139">
        <f>IF(AND('Ações'!$AD284="SIM", 'Ações'!AX284="SIM"), 1,0)</f>
        <v>0</v>
      </c>
    </row>
    <row r="282">
      <c r="A282" s="139">
        <f>IF(AND('Ações'!AB292="SIM", 'Ações'!AS292="SIM"), 1,0)</f>
        <v>0</v>
      </c>
      <c r="B282" s="139">
        <f>IF(AND('Ações'!$AB292="SIM", 'Ações'!AT292="SIM"), 1,0)</f>
        <v>0</v>
      </c>
      <c r="C282" s="139">
        <f>IF(AND('Ações'!$AB292="SIM", 'Ações'!AU292="SIM"), 1,0)</f>
        <v>0</v>
      </c>
      <c r="D282" s="139">
        <f>IF(AND('Ações'!$AB292="SIM", 'Ações'!AV292="SIM"), 1,0)</f>
        <v>0</v>
      </c>
      <c r="E282" s="139">
        <f>IF(AND('Ações'!$AB292="SIM", 'Ações'!AW292="SIM"), 1,0)</f>
        <v>0</v>
      </c>
      <c r="F282" s="139">
        <f>IF(AND('Ações'!$AB292="SIM", 'Ações'!AX292="SIM"), 1,0)</f>
        <v>0</v>
      </c>
      <c r="G282" s="139">
        <f>IF(AND('Ações'!$AC292="SIM", 'Ações'!AS292="SIM"), 1,0)</f>
        <v>0</v>
      </c>
      <c r="H282" s="139">
        <f>IF(AND('Ações'!$AC292="SIM", 'Ações'!AT292="SIM"), 1,0)</f>
        <v>0</v>
      </c>
      <c r="I282" s="139">
        <f>IF(AND('Ações'!$AC292="SIM", 'Ações'!AU292="SIM"), 1,0)</f>
        <v>0</v>
      </c>
      <c r="J282" s="139">
        <f>IF(AND('Ações'!$AC292="SIM", 'Ações'!AV292="SIM"), 1,0)</f>
        <v>0</v>
      </c>
      <c r="K282" s="139">
        <f>IF(AND('Ações'!$AC292="SIM", 'Ações'!AW292="SIM"), 1,0)</f>
        <v>0</v>
      </c>
      <c r="L282" s="139">
        <f>IF(AND('Ações'!$AC292="SIM", 'Ações'!AX292="SIM"), 1,0)</f>
        <v>0</v>
      </c>
      <c r="M282" s="139">
        <f>IF(AND('Ações'!$AD292="SIM", 'Ações'!AS292="SIM"), 1,0)</f>
        <v>0</v>
      </c>
      <c r="N282" s="139">
        <f>IF(AND('Ações'!$AD292="SIM", 'Ações'!AT292="SIM"), 1,0)</f>
        <v>0</v>
      </c>
      <c r="O282" s="139">
        <f>IF(AND('Ações'!$AD292="SIM", 'Ações'!AU292="SIM"), 1,0)</f>
        <v>0</v>
      </c>
      <c r="P282" s="139">
        <f>IF(AND('Ações'!$AD292="SIM", 'Ações'!AV292="SIM"), 1,0)</f>
        <v>0</v>
      </c>
      <c r="Q282" s="139">
        <f>IF(AND('Ações'!$AD292="SIM", 'Ações'!AW292="SIM"), 1,0)</f>
        <v>0</v>
      </c>
      <c r="R282" s="139">
        <f>IF(AND('Ações'!$AD292="SIM", 'Ações'!AX292="SIM"), 1,0)</f>
        <v>0</v>
      </c>
    </row>
    <row r="283">
      <c r="A283" s="139">
        <f>IF(AND('Ações'!AB293="SIM", 'Ações'!AS293="SIM"), 1,0)</f>
        <v>0</v>
      </c>
      <c r="B283" s="139">
        <f>IF(AND('Ações'!$AB293="SIM", 'Ações'!AT293="SIM"), 1,0)</f>
        <v>1</v>
      </c>
      <c r="C283" s="139">
        <f>IF(AND('Ações'!$AB293="SIM", 'Ações'!AU293="SIM"), 1,0)</f>
        <v>0</v>
      </c>
      <c r="D283" s="139">
        <f>IF(AND('Ações'!$AB293="SIM", 'Ações'!AV293="SIM"), 1,0)</f>
        <v>1</v>
      </c>
      <c r="E283" s="139">
        <f>IF(AND('Ações'!$AB293="SIM", 'Ações'!AW293="SIM"), 1,0)</f>
        <v>1</v>
      </c>
      <c r="F283" s="139">
        <f>IF(AND('Ações'!$AB293="SIM", 'Ações'!AX293="SIM"), 1,0)</f>
        <v>0</v>
      </c>
      <c r="G283" s="139">
        <f>IF(AND('Ações'!$AC293="SIM", 'Ações'!AS293="SIM"), 1,0)</f>
        <v>0</v>
      </c>
      <c r="H283" s="139">
        <f>IF(AND('Ações'!$AC293="SIM", 'Ações'!AT293="SIM"), 1,0)</f>
        <v>0</v>
      </c>
      <c r="I283" s="139">
        <f>IF(AND('Ações'!$AC293="SIM", 'Ações'!AU293="SIM"), 1,0)</f>
        <v>0</v>
      </c>
      <c r="J283" s="139">
        <f>IF(AND('Ações'!$AC293="SIM", 'Ações'!AV293="SIM"), 1,0)</f>
        <v>0</v>
      </c>
      <c r="K283" s="139">
        <f>IF(AND('Ações'!$AC293="SIM", 'Ações'!AW293="SIM"), 1,0)</f>
        <v>0</v>
      </c>
      <c r="L283" s="139">
        <f>IF(AND('Ações'!$AC293="SIM", 'Ações'!AX293="SIM"), 1,0)</f>
        <v>0</v>
      </c>
      <c r="M283" s="139">
        <f>IF(AND('Ações'!$AD293="SIM", 'Ações'!AS293="SIM"), 1,0)</f>
        <v>0</v>
      </c>
      <c r="N283" s="139">
        <f>IF(AND('Ações'!$AD293="SIM", 'Ações'!AT293="SIM"), 1,0)</f>
        <v>0</v>
      </c>
      <c r="O283" s="139">
        <f>IF(AND('Ações'!$AD293="SIM", 'Ações'!AU293="SIM"), 1,0)</f>
        <v>0</v>
      </c>
      <c r="P283" s="139">
        <f>IF(AND('Ações'!$AD293="SIM", 'Ações'!AV293="SIM"), 1,0)</f>
        <v>0</v>
      </c>
      <c r="Q283" s="139">
        <f>IF(AND('Ações'!$AD293="SIM", 'Ações'!AW293="SIM"), 1,0)</f>
        <v>0</v>
      </c>
      <c r="R283" s="139">
        <f>IF(AND('Ações'!$AD293="SIM", 'Ações'!AX293="SIM"), 1,0)</f>
        <v>0</v>
      </c>
    </row>
    <row r="284">
      <c r="A284" s="139">
        <f>IF(AND('Ações'!AB294="SIM", 'Ações'!AS294="SIM"), 1,0)</f>
        <v>0</v>
      </c>
      <c r="B284" s="139">
        <f>IF(AND('Ações'!$AB294="SIM", 'Ações'!AT294="SIM"), 1,0)</f>
        <v>1</v>
      </c>
      <c r="C284" s="139">
        <f>IF(AND('Ações'!$AB294="SIM", 'Ações'!AU294="SIM"), 1,0)</f>
        <v>0</v>
      </c>
      <c r="D284" s="139">
        <f>IF(AND('Ações'!$AB294="SIM", 'Ações'!AV294="SIM"), 1,0)</f>
        <v>1</v>
      </c>
      <c r="E284" s="139">
        <f>IF(AND('Ações'!$AB294="SIM", 'Ações'!AW294="SIM"), 1,0)</f>
        <v>1</v>
      </c>
      <c r="F284" s="139">
        <f>IF(AND('Ações'!$AB294="SIM", 'Ações'!AX294="SIM"), 1,0)</f>
        <v>0</v>
      </c>
      <c r="G284" s="139">
        <f>IF(AND('Ações'!$AC294="SIM", 'Ações'!AS294="SIM"), 1,0)</f>
        <v>0</v>
      </c>
      <c r="H284" s="139">
        <f>IF(AND('Ações'!$AC294="SIM", 'Ações'!AT294="SIM"), 1,0)</f>
        <v>0</v>
      </c>
      <c r="I284" s="139">
        <f>IF(AND('Ações'!$AC294="SIM", 'Ações'!AU294="SIM"), 1,0)</f>
        <v>0</v>
      </c>
      <c r="J284" s="139">
        <f>IF(AND('Ações'!$AC294="SIM", 'Ações'!AV294="SIM"), 1,0)</f>
        <v>0</v>
      </c>
      <c r="K284" s="139">
        <f>IF(AND('Ações'!$AC294="SIM", 'Ações'!AW294="SIM"), 1,0)</f>
        <v>0</v>
      </c>
      <c r="L284" s="139">
        <f>IF(AND('Ações'!$AC294="SIM", 'Ações'!AX294="SIM"), 1,0)</f>
        <v>0</v>
      </c>
      <c r="M284" s="139">
        <f>IF(AND('Ações'!$AD294="SIM", 'Ações'!AS294="SIM"), 1,0)</f>
        <v>0</v>
      </c>
      <c r="N284" s="139">
        <f>IF(AND('Ações'!$AD294="SIM", 'Ações'!AT294="SIM"), 1,0)</f>
        <v>0</v>
      </c>
      <c r="O284" s="139">
        <f>IF(AND('Ações'!$AD294="SIM", 'Ações'!AU294="SIM"), 1,0)</f>
        <v>0</v>
      </c>
      <c r="P284" s="139">
        <f>IF(AND('Ações'!$AD294="SIM", 'Ações'!AV294="SIM"), 1,0)</f>
        <v>0</v>
      </c>
      <c r="Q284" s="139">
        <f>IF(AND('Ações'!$AD294="SIM", 'Ações'!AW294="SIM"), 1,0)</f>
        <v>0</v>
      </c>
      <c r="R284" s="139">
        <f>IF(AND('Ações'!$AD294="SIM", 'Ações'!AX294="SIM"), 1,0)</f>
        <v>0</v>
      </c>
    </row>
    <row r="285">
      <c r="A285" s="139">
        <f>IF(AND('Ações'!AB295="SIM", 'Ações'!AS295="SIM"), 1,0)</f>
        <v>0</v>
      </c>
      <c r="B285" s="139">
        <f>IF(AND('Ações'!$AB295="SIM", 'Ações'!AT295="SIM"), 1,0)</f>
        <v>1</v>
      </c>
      <c r="C285" s="139">
        <f>IF(AND('Ações'!$AB295="SIM", 'Ações'!AU295="SIM"), 1,0)</f>
        <v>0</v>
      </c>
      <c r="D285" s="139">
        <f>IF(AND('Ações'!$AB295="SIM", 'Ações'!AV295="SIM"), 1,0)</f>
        <v>1</v>
      </c>
      <c r="E285" s="139">
        <f>IF(AND('Ações'!$AB295="SIM", 'Ações'!AW295="SIM"), 1,0)</f>
        <v>1</v>
      </c>
      <c r="F285" s="139">
        <f>IF(AND('Ações'!$AB295="SIM", 'Ações'!AX295="SIM"), 1,0)</f>
        <v>0</v>
      </c>
      <c r="G285" s="139">
        <f>IF(AND('Ações'!$AC295="SIM", 'Ações'!AS295="SIM"), 1,0)</f>
        <v>0</v>
      </c>
      <c r="H285" s="139">
        <f>IF(AND('Ações'!$AC295="SIM", 'Ações'!AT295="SIM"), 1,0)</f>
        <v>0</v>
      </c>
      <c r="I285" s="139">
        <f>IF(AND('Ações'!$AC295="SIM", 'Ações'!AU295="SIM"), 1,0)</f>
        <v>0</v>
      </c>
      <c r="J285" s="139">
        <f>IF(AND('Ações'!$AC295="SIM", 'Ações'!AV295="SIM"), 1,0)</f>
        <v>0</v>
      </c>
      <c r="K285" s="139">
        <f>IF(AND('Ações'!$AC295="SIM", 'Ações'!AW295="SIM"), 1,0)</f>
        <v>0</v>
      </c>
      <c r="L285" s="139">
        <f>IF(AND('Ações'!$AC295="SIM", 'Ações'!AX295="SIM"), 1,0)</f>
        <v>0</v>
      </c>
      <c r="M285" s="139">
        <f>IF(AND('Ações'!$AD295="SIM", 'Ações'!AS295="SIM"), 1,0)</f>
        <v>0</v>
      </c>
      <c r="N285" s="139">
        <f>IF(AND('Ações'!$AD295="SIM", 'Ações'!AT295="SIM"), 1,0)</f>
        <v>0</v>
      </c>
      <c r="O285" s="139">
        <f>IF(AND('Ações'!$AD295="SIM", 'Ações'!AU295="SIM"), 1,0)</f>
        <v>0</v>
      </c>
      <c r="P285" s="139">
        <f>IF(AND('Ações'!$AD295="SIM", 'Ações'!AV295="SIM"), 1,0)</f>
        <v>0</v>
      </c>
      <c r="Q285" s="139">
        <f>IF(AND('Ações'!$AD295="SIM", 'Ações'!AW295="SIM"), 1,0)</f>
        <v>0</v>
      </c>
      <c r="R285" s="139">
        <f>IF(AND('Ações'!$AD295="SIM", 'Ações'!AX295="SIM"), 1,0)</f>
        <v>0</v>
      </c>
    </row>
    <row r="286">
      <c r="A286" s="139">
        <f>IF(AND('Ações'!AB296="SIM", 'Ações'!AS296="SIM"), 1,0)</f>
        <v>0</v>
      </c>
      <c r="B286" s="139">
        <f>IF(AND('Ações'!$AB296="SIM", 'Ações'!AT296="SIM"), 1,0)</f>
        <v>1</v>
      </c>
      <c r="C286" s="139">
        <f>IF(AND('Ações'!$AB296="SIM", 'Ações'!AU296="SIM"), 1,0)</f>
        <v>0</v>
      </c>
      <c r="D286" s="139">
        <f>IF(AND('Ações'!$AB296="SIM", 'Ações'!AV296="SIM"), 1,0)</f>
        <v>1</v>
      </c>
      <c r="E286" s="139">
        <f>IF(AND('Ações'!$AB296="SIM", 'Ações'!AW296="SIM"), 1,0)</f>
        <v>1</v>
      </c>
      <c r="F286" s="139">
        <f>IF(AND('Ações'!$AB296="SIM", 'Ações'!AX296="SIM"), 1,0)</f>
        <v>0</v>
      </c>
      <c r="G286" s="139">
        <f>IF(AND('Ações'!$AC296="SIM", 'Ações'!AS296="SIM"), 1,0)</f>
        <v>0</v>
      </c>
      <c r="H286" s="139">
        <f>IF(AND('Ações'!$AC296="SIM", 'Ações'!AT296="SIM"), 1,0)</f>
        <v>0</v>
      </c>
      <c r="I286" s="139">
        <f>IF(AND('Ações'!$AC296="SIM", 'Ações'!AU296="SIM"), 1,0)</f>
        <v>0</v>
      </c>
      <c r="J286" s="139">
        <f>IF(AND('Ações'!$AC296="SIM", 'Ações'!AV296="SIM"), 1,0)</f>
        <v>0</v>
      </c>
      <c r="K286" s="139">
        <f>IF(AND('Ações'!$AC296="SIM", 'Ações'!AW296="SIM"), 1,0)</f>
        <v>0</v>
      </c>
      <c r="L286" s="139">
        <f>IF(AND('Ações'!$AC296="SIM", 'Ações'!AX296="SIM"), 1,0)</f>
        <v>0</v>
      </c>
      <c r="M286" s="139">
        <f>IF(AND('Ações'!$AD296="SIM", 'Ações'!AS296="SIM"), 1,0)</f>
        <v>0</v>
      </c>
      <c r="N286" s="139">
        <f>IF(AND('Ações'!$AD296="SIM", 'Ações'!AT296="SIM"), 1,0)</f>
        <v>0</v>
      </c>
      <c r="O286" s="139">
        <f>IF(AND('Ações'!$AD296="SIM", 'Ações'!AU296="SIM"), 1,0)</f>
        <v>0</v>
      </c>
      <c r="P286" s="139">
        <f>IF(AND('Ações'!$AD296="SIM", 'Ações'!AV296="SIM"), 1,0)</f>
        <v>0</v>
      </c>
      <c r="Q286" s="139">
        <f>IF(AND('Ações'!$AD296="SIM", 'Ações'!AW296="SIM"), 1,0)</f>
        <v>0</v>
      </c>
      <c r="R286" s="139">
        <f>IF(AND('Ações'!$AD296="SIM", 'Ações'!AX296="SIM"), 1,0)</f>
        <v>0</v>
      </c>
    </row>
    <row r="287">
      <c r="A287" s="139">
        <f>IF(AND('Ações'!AB297="SIM", 'Ações'!AS297="SIM"), 1,0)</f>
        <v>0</v>
      </c>
      <c r="B287" s="139">
        <f>IF(AND('Ações'!$AB297="SIM", 'Ações'!AT297="SIM"), 1,0)</f>
        <v>0</v>
      </c>
      <c r="C287" s="139">
        <f>IF(AND('Ações'!$AB297="SIM", 'Ações'!AU297="SIM"), 1,0)</f>
        <v>0</v>
      </c>
      <c r="D287" s="139">
        <f>IF(AND('Ações'!$AB297="SIM", 'Ações'!AV297="SIM"), 1,0)</f>
        <v>0</v>
      </c>
      <c r="E287" s="139">
        <f>IF(AND('Ações'!$AB297="SIM", 'Ações'!AW297="SIM"), 1,0)</f>
        <v>0</v>
      </c>
      <c r="F287" s="139">
        <f>IF(AND('Ações'!$AB297="SIM", 'Ações'!AX297="SIM"), 1,0)</f>
        <v>0</v>
      </c>
      <c r="G287" s="139">
        <f>IF(AND('Ações'!$AC297="SIM", 'Ações'!AS297="SIM"), 1,0)</f>
        <v>0</v>
      </c>
      <c r="H287" s="139">
        <f>IF(AND('Ações'!$AC297="SIM", 'Ações'!AT297="SIM"), 1,0)</f>
        <v>1</v>
      </c>
      <c r="I287" s="139">
        <f>IF(AND('Ações'!$AC297="SIM", 'Ações'!AU297="SIM"), 1,0)</f>
        <v>0</v>
      </c>
      <c r="J287" s="139">
        <f>IF(AND('Ações'!$AC297="SIM", 'Ações'!AV297="SIM"), 1,0)</f>
        <v>1</v>
      </c>
      <c r="K287" s="139">
        <f>IF(AND('Ações'!$AC297="SIM", 'Ações'!AW297="SIM"), 1,0)</f>
        <v>1</v>
      </c>
      <c r="L287" s="139">
        <f>IF(AND('Ações'!$AC297="SIM", 'Ações'!AX297="SIM"), 1,0)</f>
        <v>0</v>
      </c>
      <c r="M287" s="139">
        <f>IF(AND('Ações'!$AD297="SIM", 'Ações'!AS297="SIM"), 1,0)</f>
        <v>0</v>
      </c>
      <c r="N287" s="139">
        <f>IF(AND('Ações'!$AD297="SIM", 'Ações'!AT297="SIM"), 1,0)</f>
        <v>0</v>
      </c>
      <c r="O287" s="139">
        <f>IF(AND('Ações'!$AD297="SIM", 'Ações'!AU297="SIM"), 1,0)</f>
        <v>0</v>
      </c>
      <c r="P287" s="139">
        <f>IF(AND('Ações'!$AD297="SIM", 'Ações'!AV297="SIM"), 1,0)</f>
        <v>0</v>
      </c>
      <c r="Q287" s="139">
        <f>IF(AND('Ações'!$AD297="SIM", 'Ações'!AW297="SIM"), 1,0)</f>
        <v>0</v>
      </c>
      <c r="R287" s="139">
        <f>IF(AND('Ações'!$AD297="SIM", 'Ações'!AX297="SIM"), 1,0)</f>
        <v>0</v>
      </c>
    </row>
    <row r="288">
      <c r="A288" s="139">
        <f>IF(AND('Ações'!AB298="SIM", 'Ações'!AS298="SIM"), 1,0)</f>
        <v>0</v>
      </c>
      <c r="B288" s="139">
        <f>IF(AND('Ações'!$AB298="SIM", 'Ações'!AT298="SIM"), 1,0)</f>
        <v>1</v>
      </c>
      <c r="C288" s="139">
        <f>IF(AND('Ações'!$AB298="SIM", 'Ações'!AU298="SIM"), 1,0)</f>
        <v>0</v>
      </c>
      <c r="D288" s="139">
        <f>IF(AND('Ações'!$AB298="SIM", 'Ações'!AV298="SIM"), 1,0)</f>
        <v>1</v>
      </c>
      <c r="E288" s="139">
        <f>IF(AND('Ações'!$AB298="SIM", 'Ações'!AW298="SIM"), 1,0)</f>
        <v>1</v>
      </c>
      <c r="F288" s="139">
        <f>IF(AND('Ações'!$AB298="SIM", 'Ações'!AX298="SIM"), 1,0)</f>
        <v>0</v>
      </c>
      <c r="G288" s="139">
        <f>IF(AND('Ações'!$AC298="SIM", 'Ações'!AS298="SIM"), 1,0)</f>
        <v>0</v>
      </c>
      <c r="H288" s="139">
        <f>IF(AND('Ações'!$AC298="SIM", 'Ações'!AT298="SIM"), 1,0)</f>
        <v>0</v>
      </c>
      <c r="I288" s="139">
        <f>IF(AND('Ações'!$AC298="SIM", 'Ações'!AU298="SIM"), 1,0)</f>
        <v>0</v>
      </c>
      <c r="J288" s="139">
        <f>IF(AND('Ações'!$AC298="SIM", 'Ações'!AV298="SIM"), 1,0)</f>
        <v>0</v>
      </c>
      <c r="K288" s="139">
        <f>IF(AND('Ações'!$AC298="SIM", 'Ações'!AW298="SIM"), 1,0)</f>
        <v>0</v>
      </c>
      <c r="L288" s="139">
        <f>IF(AND('Ações'!$AC298="SIM", 'Ações'!AX298="SIM"), 1,0)</f>
        <v>0</v>
      </c>
      <c r="M288" s="139">
        <f>IF(AND('Ações'!$AD298="SIM", 'Ações'!AS298="SIM"), 1,0)</f>
        <v>0</v>
      </c>
      <c r="N288" s="139">
        <f>IF(AND('Ações'!$AD298="SIM", 'Ações'!AT298="SIM"), 1,0)</f>
        <v>0</v>
      </c>
      <c r="O288" s="139">
        <f>IF(AND('Ações'!$AD298="SIM", 'Ações'!AU298="SIM"), 1,0)</f>
        <v>0</v>
      </c>
      <c r="P288" s="139">
        <f>IF(AND('Ações'!$AD298="SIM", 'Ações'!AV298="SIM"), 1,0)</f>
        <v>0</v>
      </c>
      <c r="Q288" s="139">
        <f>IF(AND('Ações'!$AD298="SIM", 'Ações'!AW298="SIM"), 1,0)</f>
        <v>0</v>
      </c>
      <c r="R288" s="139">
        <f>IF(AND('Ações'!$AD298="SIM", 'Ações'!AX298="SIM"), 1,0)</f>
        <v>0</v>
      </c>
    </row>
    <row r="289">
      <c r="A289" s="139">
        <f>IF(AND('Ações'!AB299="SIM", 'Ações'!AS299="SIM"), 1,0)</f>
        <v>0</v>
      </c>
      <c r="B289" s="139">
        <f>IF(AND('Ações'!$AB299="SIM", 'Ações'!AT299="SIM"), 1,0)</f>
        <v>1</v>
      </c>
      <c r="C289" s="139">
        <f>IF(AND('Ações'!$AB299="SIM", 'Ações'!AU299="SIM"), 1,0)</f>
        <v>0</v>
      </c>
      <c r="D289" s="139">
        <f>IF(AND('Ações'!$AB299="SIM", 'Ações'!AV299="SIM"), 1,0)</f>
        <v>1</v>
      </c>
      <c r="E289" s="139">
        <f>IF(AND('Ações'!$AB299="SIM", 'Ações'!AW299="SIM"), 1,0)</f>
        <v>1</v>
      </c>
      <c r="F289" s="139">
        <f>IF(AND('Ações'!$AB299="SIM", 'Ações'!AX299="SIM"), 1,0)</f>
        <v>0</v>
      </c>
      <c r="G289" s="139">
        <f>IF(AND('Ações'!$AC299="SIM", 'Ações'!AS299="SIM"), 1,0)</f>
        <v>0</v>
      </c>
      <c r="H289" s="139">
        <f>IF(AND('Ações'!$AC299="SIM", 'Ações'!AT299="SIM"), 1,0)</f>
        <v>0</v>
      </c>
      <c r="I289" s="139">
        <f>IF(AND('Ações'!$AC299="SIM", 'Ações'!AU299="SIM"), 1,0)</f>
        <v>0</v>
      </c>
      <c r="J289" s="139">
        <f>IF(AND('Ações'!$AC299="SIM", 'Ações'!AV299="SIM"), 1,0)</f>
        <v>0</v>
      </c>
      <c r="K289" s="139">
        <f>IF(AND('Ações'!$AC299="SIM", 'Ações'!AW299="SIM"), 1,0)</f>
        <v>0</v>
      </c>
      <c r="L289" s="139">
        <f>IF(AND('Ações'!$AC299="SIM", 'Ações'!AX299="SIM"), 1,0)</f>
        <v>0</v>
      </c>
      <c r="M289" s="139">
        <f>IF(AND('Ações'!$AD299="SIM", 'Ações'!AS299="SIM"), 1,0)</f>
        <v>0</v>
      </c>
      <c r="N289" s="139">
        <f>IF(AND('Ações'!$AD299="SIM", 'Ações'!AT299="SIM"), 1,0)</f>
        <v>0</v>
      </c>
      <c r="O289" s="139">
        <f>IF(AND('Ações'!$AD299="SIM", 'Ações'!AU299="SIM"), 1,0)</f>
        <v>0</v>
      </c>
      <c r="P289" s="139">
        <f>IF(AND('Ações'!$AD299="SIM", 'Ações'!AV299="SIM"), 1,0)</f>
        <v>0</v>
      </c>
      <c r="Q289" s="139">
        <f>IF(AND('Ações'!$AD299="SIM", 'Ações'!AW299="SIM"), 1,0)</f>
        <v>0</v>
      </c>
      <c r="R289" s="139">
        <f>IF(AND('Ações'!$AD299="SIM", 'Ações'!AX299="SIM"), 1,0)</f>
        <v>0</v>
      </c>
    </row>
    <row r="290">
      <c r="A290" s="139">
        <f>IF(AND('Ações'!AB300="SIM", 'Ações'!AS300="SIM"), 1,0)</f>
        <v>0</v>
      </c>
      <c r="B290" s="139">
        <f>IF(AND('Ações'!$AB300="SIM", 'Ações'!AT300="SIM"), 1,0)</f>
        <v>1</v>
      </c>
      <c r="C290" s="139">
        <f>IF(AND('Ações'!$AB300="SIM", 'Ações'!AU300="SIM"), 1,0)</f>
        <v>0</v>
      </c>
      <c r="D290" s="139">
        <f>IF(AND('Ações'!$AB300="SIM", 'Ações'!AV300="SIM"), 1,0)</f>
        <v>1</v>
      </c>
      <c r="E290" s="139">
        <f>IF(AND('Ações'!$AB300="SIM", 'Ações'!AW300="SIM"), 1,0)</f>
        <v>1</v>
      </c>
      <c r="F290" s="139">
        <f>IF(AND('Ações'!$AB300="SIM", 'Ações'!AX300="SIM"), 1,0)</f>
        <v>0</v>
      </c>
      <c r="G290" s="139">
        <f>IF(AND('Ações'!$AC300="SIM", 'Ações'!AS300="SIM"), 1,0)</f>
        <v>0</v>
      </c>
      <c r="H290" s="139">
        <f>IF(AND('Ações'!$AC300="SIM", 'Ações'!AT300="SIM"), 1,0)</f>
        <v>0</v>
      </c>
      <c r="I290" s="139">
        <f>IF(AND('Ações'!$AC300="SIM", 'Ações'!AU300="SIM"), 1,0)</f>
        <v>0</v>
      </c>
      <c r="J290" s="139">
        <f>IF(AND('Ações'!$AC300="SIM", 'Ações'!AV300="SIM"), 1,0)</f>
        <v>0</v>
      </c>
      <c r="K290" s="139">
        <f>IF(AND('Ações'!$AC300="SIM", 'Ações'!AW300="SIM"), 1,0)</f>
        <v>0</v>
      </c>
      <c r="L290" s="139">
        <f>IF(AND('Ações'!$AC300="SIM", 'Ações'!AX300="SIM"), 1,0)</f>
        <v>0</v>
      </c>
      <c r="M290" s="139">
        <f>IF(AND('Ações'!$AD300="SIM", 'Ações'!AS300="SIM"), 1,0)</f>
        <v>0</v>
      </c>
      <c r="N290" s="139">
        <f>IF(AND('Ações'!$AD300="SIM", 'Ações'!AT300="SIM"), 1,0)</f>
        <v>0</v>
      </c>
      <c r="O290" s="139">
        <f>IF(AND('Ações'!$AD300="SIM", 'Ações'!AU300="SIM"), 1,0)</f>
        <v>0</v>
      </c>
      <c r="P290" s="139">
        <f>IF(AND('Ações'!$AD300="SIM", 'Ações'!AV300="SIM"), 1,0)</f>
        <v>0</v>
      </c>
      <c r="Q290" s="139">
        <f>IF(AND('Ações'!$AD300="SIM", 'Ações'!AW300="SIM"), 1,0)</f>
        <v>0</v>
      </c>
      <c r="R290" s="139">
        <f>IF(AND('Ações'!$AD300="SIM", 'Ações'!AX300="SIM"), 1,0)</f>
        <v>0</v>
      </c>
    </row>
    <row r="291">
      <c r="A291" s="139">
        <f>IF(AND('Ações'!AB301="SIM", 'Ações'!AS301="SIM"), 1,0)</f>
        <v>0</v>
      </c>
      <c r="B291" s="139">
        <f>IF(AND('Ações'!$AB301="SIM", 'Ações'!AT301="SIM"), 1,0)</f>
        <v>1</v>
      </c>
      <c r="C291" s="139">
        <f>IF(AND('Ações'!$AB301="SIM", 'Ações'!AU301="SIM"), 1,0)</f>
        <v>0</v>
      </c>
      <c r="D291" s="139">
        <f>IF(AND('Ações'!$AB301="SIM", 'Ações'!AV301="SIM"), 1,0)</f>
        <v>1</v>
      </c>
      <c r="E291" s="139">
        <f>IF(AND('Ações'!$AB301="SIM", 'Ações'!AW301="SIM"), 1,0)</f>
        <v>1</v>
      </c>
      <c r="F291" s="139">
        <f>IF(AND('Ações'!$AB301="SIM", 'Ações'!AX301="SIM"), 1,0)</f>
        <v>0</v>
      </c>
      <c r="G291" s="139">
        <f>IF(AND('Ações'!$AC301="SIM", 'Ações'!AS301="SIM"), 1,0)</f>
        <v>0</v>
      </c>
      <c r="H291" s="139">
        <f>IF(AND('Ações'!$AC301="SIM", 'Ações'!AT301="SIM"), 1,0)</f>
        <v>0</v>
      </c>
      <c r="I291" s="139">
        <f>IF(AND('Ações'!$AC301="SIM", 'Ações'!AU301="SIM"), 1,0)</f>
        <v>0</v>
      </c>
      <c r="J291" s="139">
        <f>IF(AND('Ações'!$AC301="SIM", 'Ações'!AV301="SIM"), 1,0)</f>
        <v>0</v>
      </c>
      <c r="K291" s="139">
        <f>IF(AND('Ações'!$AC301="SIM", 'Ações'!AW301="SIM"), 1,0)</f>
        <v>0</v>
      </c>
      <c r="L291" s="139">
        <f>IF(AND('Ações'!$AC301="SIM", 'Ações'!AX301="SIM"), 1,0)</f>
        <v>0</v>
      </c>
      <c r="M291" s="139">
        <f>IF(AND('Ações'!$AD301="SIM", 'Ações'!AS301="SIM"), 1,0)</f>
        <v>0</v>
      </c>
      <c r="N291" s="139">
        <f>IF(AND('Ações'!$AD301="SIM", 'Ações'!AT301="SIM"), 1,0)</f>
        <v>0</v>
      </c>
      <c r="O291" s="139">
        <f>IF(AND('Ações'!$AD301="SIM", 'Ações'!AU301="SIM"), 1,0)</f>
        <v>0</v>
      </c>
      <c r="P291" s="139">
        <f>IF(AND('Ações'!$AD301="SIM", 'Ações'!AV301="SIM"), 1,0)</f>
        <v>0</v>
      </c>
      <c r="Q291" s="139">
        <f>IF(AND('Ações'!$AD301="SIM", 'Ações'!AW301="SIM"), 1,0)</f>
        <v>0</v>
      </c>
      <c r="R291" s="139">
        <f>IF(AND('Ações'!$AD301="SIM", 'Ações'!AX301="SIM"), 1,0)</f>
        <v>0</v>
      </c>
    </row>
    <row r="292">
      <c r="A292" s="139">
        <f>IF(AND('Ações'!AB302="SIM", 'Ações'!AS302="SIM"), 1,0)</f>
        <v>0</v>
      </c>
      <c r="B292" s="139">
        <f>IF(AND('Ações'!$AB302="SIM", 'Ações'!AT302="SIM"), 1,0)</f>
        <v>1</v>
      </c>
      <c r="C292" s="139">
        <f>IF(AND('Ações'!$AB302="SIM", 'Ações'!AU302="SIM"), 1,0)</f>
        <v>0</v>
      </c>
      <c r="D292" s="139">
        <f>IF(AND('Ações'!$AB302="SIM", 'Ações'!AV302="SIM"), 1,0)</f>
        <v>1</v>
      </c>
      <c r="E292" s="139">
        <f>IF(AND('Ações'!$AB302="SIM", 'Ações'!AW302="SIM"), 1,0)</f>
        <v>1</v>
      </c>
      <c r="F292" s="139">
        <f>IF(AND('Ações'!$AB302="SIM", 'Ações'!AX302="SIM"), 1,0)</f>
        <v>0</v>
      </c>
      <c r="G292" s="139">
        <f>IF(AND('Ações'!$AC302="SIM", 'Ações'!AS302="SIM"), 1,0)</f>
        <v>0</v>
      </c>
      <c r="H292" s="139">
        <f>IF(AND('Ações'!$AC302="SIM", 'Ações'!AT302="SIM"), 1,0)</f>
        <v>0</v>
      </c>
      <c r="I292" s="139">
        <f>IF(AND('Ações'!$AC302="SIM", 'Ações'!AU302="SIM"), 1,0)</f>
        <v>0</v>
      </c>
      <c r="J292" s="139">
        <f>IF(AND('Ações'!$AC302="SIM", 'Ações'!AV302="SIM"), 1,0)</f>
        <v>0</v>
      </c>
      <c r="K292" s="139">
        <f>IF(AND('Ações'!$AC302="SIM", 'Ações'!AW302="SIM"), 1,0)</f>
        <v>0</v>
      </c>
      <c r="L292" s="139">
        <f>IF(AND('Ações'!$AC302="SIM", 'Ações'!AX302="SIM"), 1,0)</f>
        <v>0</v>
      </c>
      <c r="M292" s="139">
        <f>IF(AND('Ações'!$AD302="SIM", 'Ações'!AS302="SIM"), 1,0)</f>
        <v>0</v>
      </c>
      <c r="N292" s="139">
        <f>IF(AND('Ações'!$AD302="SIM", 'Ações'!AT302="SIM"), 1,0)</f>
        <v>0</v>
      </c>
      <c r="O292" s="139">
        <f>IF(AND('Ações'!$AD302="SIM", 'Ações'!AU302="SIM"), 1,0)</f>
        <v>0</v>
      </c>
      <c r="P292" s="139">
        <f>IF(AND('Ações'!$AD302="SIM", 'Ações'!AV302="SIM"), 1,0)</f>
        <v>0</v>
      </c>
      <c r="Q292" s="139">
        <f>IF(AND('Ações'!$AD302="SIM", 'Ações'!AW302="SIM"), 1,0)</f>
        <v>0</v>
      </c>
      <c r="R292" s="139">
        <f>IF(AND('Ações'!$AD302="SIM", 'Ações'!AX302="SIM"), 1,0)</f>
        <v>0</v>
      </c>
    </row>
    <row r="293">
      <c r="A293" s="139" t="str">
        <f t="shared" ref="A293:R293" si="3">IF(AND(#REF!="SIM", #REF!="SIM"), 1,0)</f>
        <v>#REF!</v>
      </c>
      <c r="B293" s="139" t="str">
        <f t="shared" si="3"/>
        <v>#REF!</v>
      </c>
      <c r="C293" s="139" t="str">
        <f t="shared" si="3"/>
        <v>#REF!</v>
      </c>
      <c r="D293" s="139" t="str">
        <f t="shared" si="3"/>
        <v>#REF!</v>
      </c>
      <c r="E293" s="139" t="str">
        <f t="shared" si="3"/>
        <v>#REF!</v>
      </c>
      <c r="F293" s="139" t="str">
        <f t="shared" si="3"/>
        <v>#REF!</v>
      </c>
      <c r="G293" s="139" t="str">
        <f t="shared" si="3"/>
        <v>#REF!</v>
      </c>
      <c r="H293" s="139" t="str">
        <f t="shared" si="3"/>
        <v>#REF!</v>
      </c>
      <c r="I293" s="139" t="str">
        <f t="shared" si="3"/>
        <v>#REF!</v>
      </c>
      <c r="J293" s="139" t="str">
        <f t="shared" si="3"/>
        <v>#REF!</v>
      </c>
      <c r="K293" s="139" t="str">
        <f t="shared" si="3"/>
        <v>#REF!</v>
      </c>
      <c r="L293" s="139" t="str">
        <f t="shared" si="3"/>
        <v>#REF!</v>
      </c>
      <c r="M293" s="139" t="str">
        <f t="shared" si="3"/>
        <v>#REF!</v>
      </c>
      <c r="N293" s="139" t="str">
        <f t="shared" si="3"/>
        <v>#REF!</v>
      </c>
      <c r="O293" s="139" t="str">
        <f t="shared" si="3"/>
        <v>#REF!</v>
      </c>
      <c r="P293" s="139" t="str">
        <f t="shared" si="3"/>
        <v>#REF!</v>
      </c>
      <c r="Q293" s="139" t="str">
        <f t="shared" si="3"/>
        <v>#REF!</v>
      </c>
      <c r="R293" s="139" t="str">
        <f t="shared" si="3"/>
        <v>#REF!</v>
      </c>
    </row>
    <row r="294">
      <c r="A294" s="139">
        <f>IF(AND('Ações'!AB303="SIM", 'Ações'!AS303="SIM"), 1,0)</f>
        <v>0</v>
      </c>
      <c r="B294" s="139">
        <f>IF(AND('Ações'!$AB303="SIM", 'Ações'!AT303="SIM"), 1,0)</f>
        <v>1</v>
      </c>
      <c r="C294" s="139">
        <f>IF(AND('Ações'!$AB303="SIM", 'Ações'!AU303="SIM"), 1,0)</f>
        <v>0</v>
      </c>
      <c r="D294" s="139">
        <f>IF(AND('Ações'!$AB303="SIM", 'Ações'!AV303="SIM"), 1,0)</f>
        <v>1</v>
      </c>
      <c r="E294" s="139">
        <f>IF(AND('Ações'!$AB303="SIM", 'Ações'!AW303="SIM"), 1,0)</f>
        <v>1</v>
      </c>
      <c r="F294" s="139">
        <f>IF(AND('Ações'!$AB303="SIM", 'Ações'!AX303="SIM"), 1,0)</f>
        <v>0</v>
      </c>
      <c r="G294" s="139">
        <f>IF(AND('Ações'!$AC303="SIM", 'Ações'!AS303="SIM"), 1,0)</f>
        <v>0</v>
      </c>
      <c r="H294" s="139">
        <f>IF(AND('Ações'!$AC303="SIM", 'Ações'!AT303="SIM"), 1,0)</f>
        <v>1</v>
      </c>
      <c r="I294" s="139">
        <f>IF(AND('Ações'!$AC303="SIM", 'Ações'!AU303="SIM"), 1,0)</f>
        <v>0</v>
      </c>
      <c r="J294" s="139">
        <f>IF(AND('Ações'!$AC303="SIM", 'Ações'!AV303="SIM"), 1,0)</f>
        <v>1</v>
      </c>
      <c r="K294" s="139">
        <f>IF(AND('Ações'!$AC303="SIM", 'Ações'!AW303="SIM"), 1,0)</f>
        <v>1</v>
      </c>
      <c r="L294" s="139">
        <f>IF(AND('Ações'!$AC303="SIM", 'Ações'!AX303="SIM"), 1,0)</f>
        <v>0</v>
      </c>
      <c r="M294" s="139">
        <f>IF(AND('Ações'!$AD303="SIM", 'Ações'!AS303="SIM"), 1,0)</f>
        <v>0</v>
      </c>
      <c r="N294" s="139">
        <f>IF(AND('Ações'!$AD303="SIM", 'Ações'!AT303="SIM"), 1,0)</f>
        <v>0</v>
      </c>
      <c r="O294" s="139">
        <f>IF(AND('Ações'!$AD303="SIM", 'Ações'!AU303="SIM"), 1,0)</f>
        <v>0</v>
      </c>
      <c r="P294" s="139">
        <f>IF(AND('Ações'!$AD303="SIM", 'Ações'!AV303="SIM"), 1,0)</f>
        <v>0</v>
      </c>
      <c r="Q294" s="139">
        <f>IF(AND('Ações'!$AD303="SIM", 'Ações'!AW303="SIM"), 1,0)</f>
        <v>0</v>
      </c>
      <c r="R294" s="139">
        <f>IF(AND('Ações'!$AD303="SIM", 'Ações'!AX303="SIM"), 1,0)</f>
        <v>0</v>
      </c>
    </row>
    <row r="295">
      <c r="A295" s="139">
        <f>IF(AND('Ações'!AB304="SIM", 'Ações'!AS304="SIM"), 1,0)</f>
        <v>1</v>
      </c>
      <c r="B295" s="139">
        <f>IF(AND('Ações'!$AB304="SIM", 'Ações'!AT304="SIM"), 1,0)</f>
        <v>1</v>
      </c>
      <c r="C295" s="139">
        <f>IF(AND('Ações'!$AB304="SIM", 'Ações'!AU304="SIM"), 1,0)</f>
        <v>1</v>
      </c>
      <c r="D295" s="139">
        <f>IF(AND('Ações'!$AB304="SIM", 'Ações'!AV304="SIM"), 1,0)</f>
        <v>1</v>
      </c>
      <c r="E295" s="139">
        <f>IF(AND('Ações'!$AB304="SIM", 'Ações'!AW304="SIM"), 1,0)</f>
        <v>1</v>
      </c>
      <c r="F295" s="139">
        <f>IF(AND('Ações'!$AB304="SIM", 'Ações'!AX304="SIM"), 1,0)</f>
        <v>0</v>
      </c>
      <c r="G295" s="139">
        <f>IF(AND('Ações'!$AC304="SIM", 'Ações'!AS304="SIM"), 1,0)</f>
        <v>0</v>
      </c>
      <c r="H295" s="139">
        <f>IF(AND('Ações'!$AC304="SIM", 'Ações'!AT304="SIM"), 1,0)</f>
        <v>0</v>
      </c>
      <c r="I295" s="139">
        <f>IF(AND('Ações'!$AC304="SIM", 'Ações'!AU304="SIM"), 1,0)</f>
        <v>0</v>
      </c>
      <c r="J295" s="139">
        <f>IF(AND('Ações'!$AC304="SIM", 'Ações'!AV304="SIM"), 1,0)</f>
        <v>0</v>
      </c>
      <c r="K295" s="139">
        <f>IF(AND('Ações'!$AC304="SIM", 'Ações'!AW304="SIM"), 1,0)</f>
        <v>0</v>
      </c>
      <c r="L295" s="139">
        <f>IF(AND('Ações'!$AC304="SIM", 'Ações'!AX304="SIM"), 1,0)</f>
        <v>0</v>
      </c>
      <c r="M295" s="139">
        <f>IF(AND('Ações'!$AD304="SIM", 'Ações'!AS304="SIM"), 1,0)</f>
        <v>0</v>
      </c>
      <c r="N295" s="139">
        <f>IF(AND('Ações'!$AD304="SIM", 'Ações'!AT304="SIM"), 1,0)</f>
        <v>0</v>
      </c>
      <c r="O295" s="139">
        <f>IF(AND('Ações'!$AD304="SIM", 'Ações'!AU304="SIM"), 1,0)</f>
        <v>0</v>
      </c>
      <c r="P295" s="139">
        <f>IF(AND('Ações'!$AD304="SIM", 'Ações'!AV304="SIM"), 1,0)</f>
        <v>0</v>
      </c>
      <c r="Q295" s="139">
        <f>IF(AND('Ações'!$AD304="SIM", 'Ações'!AW304="SIM"), 1,0)</f>
        <v>0</v>
      </c>
      <c r="R295" s="139">
        <f>IF(AND('Ações'!$AD304="SIM", 'Ações'!AX304="SIM"), 1,0)</f>
        <v>0</v>
      </c>
    </row>
    <row r="296">
      <c r="A296" s="139">
        <f>IF(AND('Ações'!AB305="SIM", 'Ações'!AS305="SIM"), 1,0)</f>
        <v>0</v>
      </c>
      <c r="B296" s="139">
        <f>IF(AND('Ações'!$AB305="SIM", 'Ações'!AT305="SIM"), 1,0)</f>
        <v>0</v>
      </c>
      <c r="C296" s="139">
        <f>IF(AND('Ações'!$AB305="SIM", 'Ações'!AU305="SIM"), 1,0)</f>
        <v>0</v>
      </c>
      <c r="D296" s="139">
        <f>IF(AND('Ações'!$AB305="SIM", 'Ações'!AV305="SIM"), 1,0)</f>
        <v>0</v>
      </c>
      <c r="E296" s="139">
        <f>IF(AND('Ações'!$AB305="SIM", 'Ações'!AW305="SIM"), 1,0)</f>
        <v>0</v>
      </c>
      <c r="F296" s="139">
        <f>IF(AND('Ações'!$AB305="SIM", 'Ações'!AX305="SIM"), 1,0)</f>
        <v>0</v>
      </c>
      <c r="G296" s="139">
        <f>IF(AND('Ações'!$AC305="SIM", 'Ações'!AS305="SIM"), 1,0)</f>
        <v>1</v>
      </c>
      <c r="H296" s="139">
        <f>IF(AND('Ações'!$AC305="SIM", 'Ações'!AT305="SIM"), 1,0)</f>
        <v>1</v>
      </c>
      <c r="I296" s="139">
        <f>IF(AND('Ações'!$AC305="SIM", 'Ações'!AU305="SIM"), 1,0)</f>
        <v>1</v>
      </c>
      <c r="J296" s="139">
        <f>IF(AND('Ações'!$AC305="SIM", 'Ações'!AV305="SIM"), 1,0)</f>
        <v>1</v>
      </c>
      <c r="K296" s="139">
        <f>IF(AND('Ações'!$AC305="SIM", 'Ações'!AW305="SIM"), 1,0)</f>
        <v>1</v>
      </c>
      <c r="L296" s="139">
        <f>IF(AND('Ações'!$AC305="SIM", 'Ações'!AX305="SIM"), 1,0)</f>
        <v>0</v>
      </c>
      <c r="M296" s="139">
        <f>IF(AND('Ações'!$AD305="SIM", 'Ações'!AS305="SIM"), 1,0)</f>
        <v>0</v>
      </c>
      <c r="N296" s="139">
        <f>IF(AND('Ações'!$AD305="SIM", 'Ações'!AT305="SIM"), 1,0)</f>
        <v>0</v>
      </c>
      <c r="O296" s="139">
        <f>IF(AND('Ações'!$AD305="SIM", 'Ações'!AU305="SIM"), 1,0)</f>
        <v>0</v>
      </c>
      <c r="P296" s="139">
        <f>IF(AND('Ações'!$AD305="SIM", 'Ações'!AV305="SIM"), 1,0)</f>
        <v>0</v>
      </c>
      <c r="Q296" s="139">
        <f>IF(AND('Ações'!$AD305="SIM", 'Ações'!AW305="SIM"), 1,0)</f>
        <v>0</v>
      </c>
      <c r="R296" s="139">
        <f>IF(AND('Ações'!$AD305="SIM", 'Ações'!AX305="SIM"), 1,0)</f>
        <v>0</v>
      </c>
    </row>
    <row r="297">
      <c r="A297" s="139">
        <f>IF(AND('Ações'!AB306="SIM", 'Ações'!AS306="SIM"), 1,0)</f>
        <v>0</v>
      </c>
      <c r="B297" s="139">
        <f>IF(AND('Ações'!$AB306="SIM", 'Ações'!AT306="SIM"), 1,0)</f>
        <v>0</v>
      </c>
      <c r="C297" s="139">
        <f>IF(AND('Ações'!$AB306="SIM", 'Ações'!AU306="SIM"), 1,0)</f>
        <v>0</v>
      </c>
      <c r="D297" s="139">
        <f>IF(AND('Ações'!$AB306="SIM", 'Ações'!AV306="SIM"), 1,0)</f>
        <v>0</v>
      </c>
      <c r="E297" s="139">
        <f>IF(AND('Ações'!$AB306="SIM", 'Ações'!AW306="SIM"), 1,0)</f>
        <v>0</v>
      </c>
      <c r="F297" s="139">
        <f>IF(AND('Ações'!$AB306="SIM", 'Ações'!AX306="SIM"), 1,0)</f>
        <v>0</v>
      </c>
      <c r="G297" s="139">
        <f>IF(AND('Ações'!$AC306="SIM", 'Ações'!AS306="SIM"), 1,0)</f>
        <v>1</v>
      </c>
      <c r="H297" s="139">
        <f>IF(AND('Ações'!$AC306="SIM", 'Ações'!AT306="SIM"), 1,0)</f>
        <v>1</v>
      </c>
      <c r="I297" s="139">
        <f>IF(AND('Ações'!$AC306="SIM", 'Ações'!AU306="SIM"), 1,0)</f>
        <v>1</v>
      </c>
      <c r="J297" s="139">
        <f>IF(AND('Ações'!$AC306="SIM", 'Ações'!AV306="SIM"), 1,0)</f>
        <v>1</v>
      </c>
      <c r="K297" s="139">
        <f>IF(AND('Ações'!$AC306="SIM", 'Ações'!AW306="SIM"), 1,0)</f>
        <v>1</v>
      </c>
      <c r="L297" s="139">
        <f>IF(AND('Ações'!$AC306="SIM", 'Ações'!AX306="SIM"), 1,0)</f>
        <v>0</v>
      </c>
      <c r="M297" s="139">
        <f>IF(AND('Ações'!$AD306="SIM", 'Ações'!AS306="SIM"), 1,0)</f>
        <v>0</v>
      </c>
      <c r="N297" s="139">
        <f>IF(AND('Ações'!$AD306="SIM", 'Ações'!AT306="SIM"), 1,0)</f>
        <v>0</v>
      </c>
      <c r="O297" s="139">
        <f>IF(AND('Ações'!$AD306="SIM", 'Ações'!AU306="SIM"), 1,0)</f>
        <v>0</v>
      </c>
      <c r="P297" s="139">
        <f>IF(AND('Ações'!$AD306="SIM", 'Ações'!AV306="SIM"), 1,0)</f>
        <v>0</v>
      </c>
      <c r="Q297" s="139">
        <f>IF(AND('Ações'!$AD306="SIM", 'Ações'!AW306="SIM"), 1,0)</f>
        <v>0</v>
      </c>
      <c r="R297" s="139">
        <f>IF(AND('Ações'!$AD306="SIM", 'Ações'!AX306="SIM"), 1,0)</f>
        <v>0</v>
      </c>
    </row>
    <row r="298">
      <c r="A298" s="139">
        <f>IF(AND('Ações'!AB307="SIM", 'Ações'!AS307="SIM"), 1,0)</f>
        <v>1</v>
      </c>
      <c r="B298" s="139">
        <f>IF(AND('Ações'!$AB307="SIM", 'Ações'!AT307="SIM"), 1,0)</f>
        <v>1</v>
      </c>
      <c r="C298" s="139">
        <f>IF(AND('Ações'!$AB307="SIM", 'Ações'!AU307="SIM"), 1,0)</f>
        <v>1</v>
      </c>
      <c r="D298" s="139">
        <f>IF(AND('Ações'!$AB307="SIM", 'Ações'!AV307="SIM"), 1,0)</f>
        <v>1</v>
      </c>
      <c r="E298" s="139">
        <f>IF(AND('Ações'!$AB307="SIM", 'Ações'!AW307="SIM"), 1,0)</f>
        <v>1</v>
      </c>
      <c r="F298" s="139">
        <f>IF(AND('Ações'!$AB307="SIM", 'Ações'!AX307="SIM"), 1,0)</f>
        <v>0</v>
      </c>
      <c r="G298" s="139">
        <f>IF(AND('Ações'!$AC307="SIM", 'Ações'!AS307="SIM"), 1,0)</f>
        <v>0</v>
      </c>
      <c r="H298" s="139">
        <f>IF(AND('Ações'!$AC307="SIM", 'Ações'!AT307="SIM"), 1,0)</f>
        <v>0</v>
      </c>
      <c r="I298" s="139">
        <f>IF(AND('Ações'!$AC307="SIM", 'Ações'!AU307="SIM"), 1,0)</f>
        <v>0</v>
      </c>
      <c r="J298" s="139">
        <f>IF(AND('Ações'!$AC307="SIM", 'Ações'!AV307="SIM"), 1,0)</f>
        <v>0</v>
      </c>
      <c r="K298" s="139">
        <f>IF(AND('Ações'!$AC307="SIM", 'Ações'!AW307="SIM"), 1,0)</f>
        <v>0</v>
      </c>
      <c r="L298" s="139">
        <f>IF(AND('Ações'!$AC307="SIM", 'Ações'!AX307="SIM"), 1,0)</f>
        <v>0</v>
      </c>
      <c r="M298" s="139">
        <f>IF(AND('Ações'!$AD307="SIM", 'Ações'!AS307="SIM"), 1,0)</f>
        <v>0</v>
      </c>
      <c r="N298" s="139">
        <f>IF(AND('Ações'!$AD307="SIM", 'Ações'!AT307="SIM"), 1,0)</f>
        <v>0</v>
      </c>
      <c r="O298" s="139">
        <f>IF(AND('Ações'!$AD307="SIM", 'Ações'!AU307="SIM"), 1,0)</f>
        <v>0</v>
      </c>
      <c r="P298" s="139">
        <f>IF(AND('Ações'!$AD307="SIM", 'Ações'!AV307="SIM"), 1,0)</f>
        <v>0</v>
      </c>
      <c r="Q298" s="139">
        <f>IF(AND('Ações'!$AD307="SIM", 'Ações'!AW307="SIM"), 1,0)</f>
        <v>0</v>
      </c>
      <c r="R298" s="139">
        <f>IF(AND('Ações'!$AD307="SIM", 'Ações'!AX307="SIM"), 1,0)</f>
        <v>0</v>
      </c>
    </row>
    <row r="299">
      <c r="A299" s="139">
        <f>IF(AND('Ações'!AB308="SIM", 'Ações'!AS308="SIM"), 1,0)</f>
        <v>1</v>
      </c>
      <c r="B299" s="139">
        <f>IF(AND('Ações'!$AB308="SIM", 'Ações'!AT308="SIM"), 1,0)</f>
        <v>1</v>
      </c>
      <c r="C299" s="139">
        <f>IF(AND('Ações'!$AB308="SIM", 'Ações'!AU308="SIM"), 1,0)</f>
        <v>1</v>
      </c>
      <c r="D299" s="139">
        <f>IF(AND('Ações'!$AB308="SIM", 'Ações'!AV308="SIM"), 1,0)</f>
        <v>1</v>
      </c>
      <c r="E299" s="139">
        <f>IF(AND('Ações'!$AB308="SIM", 'Ações'!AW308="SIM"), 1,0)</f>
        <v>1</v>
      </c>
      <c r="F299" s="139">
        <f>IF(AND('Ações'!$AB308="SIM", 'Ações'!AX308="SIM"), 1,0)</f>
        <v>0</v>
      </c>
      <c r="G299" s="139">
        <f>IF(AND('Ações'!$AC308="SIM", 'Ações'!AS308="SIM"), 1,0)</f>
        <v>0</v>
      </c>
      <c r="H299" s="139">
        <f>IF(AND('Ações'!$AC308="SIM", 'Ações'!AT308="SIM"), 1,0)</f>
        <v>0</v>
      </c>
      <c r="I299" s="139">
        <f>IF(AND('Ações'!$AC308="SIM", 'Ações'!AU308="SIM"), 1,0)</f>
        <v>0</v>
      </c>
      <c r="J299" s="139">
        <f>IF(AND('Ações'!$AC308="SIM", 'Ações'!AV308="SIM"), 1,0)</f>
        <v>0</v>
      </c>
      <c r="K299" s="139">
        <f>IF(AND('Ações'!$AC308="SIM", 'Ações'!AW308="SIM"), 1,0)</f>
        <v>0</v>
      </c>
      <c r="L299" s="139">
        <f>IF(AND('Ações'!$AC308="SIM", 'Ações'!AX308="SIM"), 1,0)</f>
        <v>0</v>
      </c>
      <c r="M299" s="139">
        <f>IF(AND('Ações'!$AD308="SIM", 'Ações'!AS308="SIM"), 1,0)</f>
        <v>0</v>
      </c>
      <c r="N299" s="139">
        <f>IF(AND('Ações'!$AD308="SIM", 'Ações'!AT308="SIM"), 1,0)</f>
        <v>0</v>
      </c>
      <c r="O299" s="139">
        <f>IF(AND('Ações'!$AD308="SIM", 'Ações'!AU308="SIM"), 1,0)</f>
        <v>0</v>
      </c>
      <c r="P299" s="139">
        <f>IF(AND('Ações'!$AD308="SIM", 'Ações'!AV308="SIM"), 1,0)</f>
        <v>0</v>
      </c>
      <c r="Q299" s="139">
        <f>IF(AND('Ações'!$AD308="SIM", 'Ações'!AW308="SIM"), 1,0)</f>
        <v>0</v>
      </c>
      <c r="R299" s="139">
        <f>IF(AND('Ações'!$AD308="SIM", 'Ações'!AX308="SIM"), 1,0)</f>
        <v>0</v>
      </c>
    </row>
    <row r="300">
      <c r="A300" s="139">
        <f>IF(AND('Ações'!AB309="SIM", 'Ações'!AS309="SIM"), 1,0)</f>
        <v>1</v>
      </c>
      <c r="B300" s="139">
        <f>IF(AND('Ações'!$AB309="SIM", 'Ações'!AT309="SIM"), 1,0)</f>
        <v>1</v>
      </c>
      <c r="C300" s="139">
        <f>IF(AND('Ações'!$AB309="SIM", 'Ações'!AU309="SIM"), 1,0)</f>
        <v>1</v>
      </c>
      <c r="D300" s="139">
        <f>IF(AND('Ações'!$AB309="SIM", 'Ações'!AV309="SIM"), 1,0)</f>
        <v>1</v>
      </c>
      <c r="E300" s="139">
        <f>IF(AND('Ações'!$AB309="SIM", 'Ações'!AW309="SIM"), 1,0)</f>
        <v>1</v>
      </c>
      <c r="F300" s="139">
        <f>IF(AND('Ações'!$AB309="SIM", 'Ações'!AX309="SIM"), 1,0)</f>
        <v>0</v>
      </c>
      <c r="G300" s="139">
        <f>IF(AND('Ações'!$AC309="SIM", 'Ações'!AS309="SIM"), 1,0)</f>
        <v>0</v>
      </c>
      <c r="H300" s="139">
        <f>IF(AND('Ações'!$AC309="SIM", 'Ações'!AT309="SIM"), 1,0)</f>
        <v>0</v>
      </c>
      <c r="I300" s="139">
        <f>IF(AND('Ações'!$AC309="SIM", 'Ações'!AU309="SIM"), 1,0)</f>
        <v>0</v>
      </c>
      <c r="J300" s="139">
        <f>IF(AND('Ações'!$AC309="SIM", 'Ações'!AV309="SIM"), 1,0)</f>
        <v>0</v>
      </c>
      <c r="K300" s="139">
        <f>IF(AND('Ações'!$AC309="SIM", 'Ações'!AW309="SIM"), 1,0)</f>
        <v>0</v>
      </c>
      <c r="L300" s="139">
        <f>IF(AND('Ações'!$AC309="SIM", 'Ações'!AX309="SIM"), 1,0)</f>
        <v>0</v>
      </c>
      <c r="M300" s="139">
        <f>IF(AND('Ações'!$AD309="SIM", 'Ações'!AS309="SIM"), 1,0)</f>
        <v>0</v>
      </c>
      <c r="N300" s="139">
        <f>IF(AND('Ações'!$AD309="SIM", 'Ações'!AT309="SIM"), 1,0)</f>
        <v>0</v>
      </c>
      <c r="O300" s="139">
        <f>IF(AND('Ações'!$AD309="SIM", 'Ações'!AU309="SIM"), 1,0)</f>
        <v>0</v>
      </c>
      <c r="P300" s="139">
        <f>IF(AND('Ações'!$AD309="SIM", 'Ações'!AV309="SIM"), 1,0)</f>
        <v>0</v>
      </c>
      <c r="Q300" s="139">
        <f>IF(AND('Ações'!$AD309="SIM", 'Ações'!AW309="SIM"), 1,0)</f>
        <v>0</v>
      </c>
      <c r="R300" s="139">
        <f>IF(AND('Ações'!$AD309="SIM", 'Ações'!AX309="SIM"), 1,0)</f>
        <v>0</v>
      </c>
    </row>
    <row r="301">
      <c r="A301" s="139">
        <f>IF(AND('Ações'!AB310="SIM", 'Ações'!AS310="SIM"), 1,0)</f>
        <v>1</v>
      </c>
      <c r="B301" s="139">
        <f>IF(AND('Ações'!$AB310="SIM", 'Ações'!AT310="SIM"), 1,0)</f>
        <v>1</v>
      </c>
      <c r="C301" s="139">
        <f>IF(AND('Ações'!$AB310="SIM", 'Ações'!AU310="SIM"), 1,0)</f>
        <v>1</v>
      </c>
      <c r="D301" s="139">
        <f>IF(AND('Ações'!$AB310="SIM", 'Ações'!AV310="SIM"), 1,0)</f>
        <v>1</v>
      </c>
      <c r="E301" s="139">
        <f>IF(AND('Ações'!$AB310="SIM", 'Ações'!AW310="SIM"), 1,0)</f>
        <v>1</v>
      </c>
      <c r="F301" s="139">
        <f>IF(AND('Ações'!$AB310="SIM", 'Ações'!AX310="SIM"), 1,0)</f>
        <v>0</v>
      </c>
      <c r="G301" s="139">
        <f>IF(AND('Ações'!$AC310="SIM", 'Ações'!AS310="SIM"), 1,0)</f>
        <v>0</v>
      </c>
      <c r="H301" s="139">
        <f>IF(AND('Ações'!$AC310="SIM", 'Ações'!AT310="SIM"), 1,0)</f>
        <v>0</v>
      </c>
      <c r="I301" s="139">
        <f>IF(AND('Ações'!$AC310="SIM", 'Ações'!AU310="SIM"), 1,0)</f>
        <v>0</v>
      </c>
      <c r="J301" s="139">
        <f>IF(AND('Ações'!$AC310="SIM", 'Ações'!AV310="SIM"), 1,0)</f>
        <v>0</v>
      </c>
      <c r="K301" s="139">
        <f>IF(AND('Ações'!$AC310="SIM", 'Ações'!AW310="SIM"), 1,0)</f>
        <v>0</v>
      </c>
      <c r="L301" s="139">
        <f>IF(AND('Ações'!$AC310="SIM", 'Ações'!AX310="SIM"), 1,0)</f>
        <v>0</v>
      </c>
      <c r="M301" s="139">
        <f>IF(AND('Ações'!$AD310="SIM", 'Ações'!AS310="SIM"), 1,0)</f>
        <v>0</v>
      </c>
      <c r="N301" s="139">
        <f>IF(AND('Ações'!$AD310="SIM", 'Ações'!AT310="SIM"), 1,0)</f>
        <v>0</v>
      </c>
      <c r="O301" s="139">
        <f>IF(AND('Ações'!$AD310="SIM", 'Ações'!AU310="SIM"), 1,0)</f>
        <v>0</v>
      </c>
      <c r="P301" s="139">
        <f>IF(AND('Ações'!$AD310="SIM", 'Ações'!AV310="SIM"), 1,0)</f>
        <v>0</v>
      </c>
      <c r="Q301" s="139">
        <f>IF(AND('Ações'!$AD310="SIM", 'Ações'!AW310="SIM"), 1,0)</f>
        <v>0</v>
      </c>
      <c r="R301" s="139">
        <f>IF(AND('Ações'!$AD310="SIM", 'Ações'!AX310="SIM"), 1,0)</f>
        <v>0</v>
      </c>
    </row>
    <row r="302">
      <c r="A302" s="139">
        <f>IF(AND('Ações'!AB311="SIM", 'Ações'!AS311="SIM"), 1,0)</f>
        <v>1</v>
      </c>
      <c r="B302" s="139">
        <f>IF(AND('Ações'!$AB311="SIM", 'Ações'!AT311="SIM"), 1,0)</f>
        <v>1</v>
      </c>
      <c r="C302" s="139">
        <f>IF(AND('Ações'!$AB311="SIM", 'Ações'!AU311="SIM"), 1,0)</f>
        <v>1</v>
      </c>
      <c r="D302" s="139">
        <f>IF(AND('Ações'!$AB311="SIM", 'Ações'!AV311="SIM"), 1,0)</f>
        <v>1</v>
      </c>
      <c r="E302" s="139">
        <f>IF(AND('Ações'!$AB311="SIM", 'Ações'!AW311="SIM"), 1,0)</f>
        <v>1</v>
      </c>
      <c r="F302" s="139">
        <f>IF(AND('Ações'!$AB311="SIM", 'Ações'!AX311="SIM"), 1,0)</f>
        <v>0</v>
      </c>
      <c r="G302" s="139">
        <f>IF(AND('Ações'!$AC311="SIM", 'Ações'!AS311="SIM"), 1,0)</f>
        <v>0</v>
      </c>
      <c r="H302" s="139">
        <f>IF(AND('Ações'!$AC311="SIM", 'Ações'!AT311="SIM"), 1,0)</f>
        <v>0</v>
      </c>
      <c r="I302" s="139">
        <f>IF(AND('Ações'!$AC311="SIM", 'Ações'!AU311="SIM"), 1,0)</f>
        <v>0</v>
      </c>
      <c r="J302" s="139">
        <f>IF(AND('Ações'!$AC311="SIM", 'Ações'!AV311="SIM"), 1,0)</f>
        <v>0</v>
      </c>
      <c r="K302" s="139">
        <f>IF(AND('Ações'!$AC311="SIM", 'Ações'!AW311="SIM"), 1,0)</f>
        <v>0</v>
      </c>
      <c r="L302" s="139">
        <f>IF(AND('Ações'!$AC311="SIM", 'Ações'!AX311="SIM"), 1,0)</f>
        <v>0</v>
      </c>
      <c r="M302" s="139">
        <f>IF(AND('Ações'!$AD311="SIM", 'Ações'!AS311="SIM"), 1,0)</f>
        <v>0</v>
      </c>
      <c r="N302" s="139">
        <f>IF(AND('Ações'!$AD311="SIM", 'Ações'!AT311="SIM"), 1,0)</f>
        <v>0</v>
      </c>
      <c r="O302" s="139">
        <f>IF(AND('Ações'!$AD311="SIM", 'Ações'!AU311="SIM"), 1,0)</f>
        <v>0</v>
      </c>
      <c r="P302" s="139">
        <f>IF(AND('Ações'!$AD311="SIM", 'Ações'!AV311="SIM"), 1,0)</f>
        <v>0</v>
      </c>
      <c r="Q302" s="139">
        <f>IF(AND('Ações'!$AD311="SIM", 'Ações'!AW311="SIM"), 1,0)</f>
        <v>0</v>
      </c>
      <c r="R302" s="139">
        <f>IF(AND('Ações'!$AD311="SIM", 'Ações'!AX311="SIM"), 1,0)</f>
        <v>0</v>
      </c>
    </row>
    <row r="303">
      <c r="A303" s="139">
        <f>IF(AND('Ações'!AB312="SIM", 'Ações'!AS312="SIM"), 1,0)</f>
        <v>1</v>
      </c>
      <c r="B303" s="139">
        <f>IF(AND('Ações'!$AB312="SIM", 'Ações'!AT312="SIM"), 1,0)</f>
        <v>1</v>
      </c>
      <c r="C303" s="139">
        <f>IF(AND('Ações'!$AB312="SIM", 'Ações'!AU312="SIM"), 1,0)</f>
        <v>1</v>
      </c>
      <c r="D303" s="139">
        <f>IF(AND('Ações'!$AB312="SIM", 'Ações'!AV312="SIM"), 1,0)</f>
        <v>1</v>
      </c>
      <c r="E303" s="139">
        <f>IF(AND('Ações'!$AB312="SIM", 'Ações'!AW312="SIM"), 1,0)</f>
        <v>1</v>
      </c>
      <c r="F303" s="139">
        <f>IF(AND('Ações'!$AB312="SIM", 'Ações'!AX312="SIM"), 1,0)</f>
        <v>0</v>
      </c>
      <c r="G303" s="139">
        <f>IF(AND('Ações'!$AC312="SIM", 'Ações'!AS312="SIM"), 1,0)</f>
        <v>1</v>
      </c>
      <c r="H303" s="139">
        <f>IF(AND('Ações'!$AC312="SIM", 'Ações'!AT312="SIM"), 1,0)</f>
        <v>1</v>
      </c>
      <c r="I303" s="139">
        <f>IF(AND('Ações'!$AC312="SIM", 'Ações'!AU312="SIM"), 1,0)</f>
        <v>1</v>
      </c>
      <c r="J303" s="139">
        <f>IF(AND('Ações'!$AC312="SIM", 'Ações'!AV312="SIM"), 1,0)</f>
        <v>1</v>
      </c>
      <c r="K303" s="139">
        <f>IF(AND('Ações'!$AC312="SIM", 'Ações'!AW312="SIM"), 1,0)</f>
        <v>1</v>
      </c>
      <c r="L303" s="139">
        <f>IF(AND('Ações'!$AC312="SIM", 'Ações'!AX312="SIM"), 1,0)</f>
        <v>0</v>
      </c>
      <c r="M303" s="139">
        <f>IF(AND('Ações'!$AD312="SIM", 'Ações'!AS312="SIM"), 1,0)</f>
        <v>0</v>
      </c>
      <c r="N303" s="139">
        <f>IF(AND('Ações'!$AD312="SIM", 'Ações'!AT312="SIM"), 1,0)</f>
        <v>0</v>
      </c>
      <c r="O303" s="139">
        <f>IF(AND('Ações'!$AD312="SIM", 'Ações'!AU312="SIM"), 1,0)</f>
        <v>0</v>
      </c>
      <c r="P303" s="139">
        <f>IF(AND('Ações'!$AD312="SIM", 'Ações'!AV312="SIM"), 1,0)</f>
        <v>0</v>
      </c>
      <c r="Q303" s="139">
        <f>IF(AND('Ações'!$AD312="SIM", 'Ações'!AW312="SIM"), 1,0)</f>
        <v>0</v>
      </c>
      <c r="R303" s="139">
        <f>IF(AND('Ações'!$AD312="SIM", 'Ações'!AX312="SIM"), 1,0)</f>
        <v>0</v>
      </c>
    </row>
    <row r="304">
      <c r="A304" s="139">
        <f>IF(AND('Ações'!AB313="SIM", 'Ações'!AS313="SIM"), 1,0)</f>
        <v>1</v>
      </c>
      <c r="B304" s="139">
        <f>IF(AND('Ações'!$AB313="SIM", 'Ações'!AT313="SIM"), 1,0)</f>
        <v>1</v>
      </c>
      <c r="C304" s="139">
        <f>IF(AND('Ações'!$AB313="SIM", 'Ações'!AU313="SIM"), 1,0)</f>
        <v>1</v>
      </c>
      <c r="D304" s="139">
        <f>IF(AND('Ações'!$AB313="SIM", 'Ações'!AV313="SIM"), 1,0)</f>
        <v>1</v>
      </c>
      <c r="E304" s="139">
        <f>IF(AND('Ações'!$AB313="SIM", 'Ações'!AW313="SIM"), 1,0)</f>
        <v>1</v>
      </c>
      <c r="F304" s="139">
        <f>IF(AND('Ações'!$AB313="SIM", 'Ações'!AX313="SIM"), 1,0)</f>
        <v>0</v>
      </c>
      <c r="G304" s="139">
        <f>IF(AND('Ações'!$AC313="SIM", 'Ações'!AS313="SIM"), 1,0)</f>
        <v>0</v>
      </c>
      <c r="H304" s="139">
        <f>IF(AND('Ações'!$AC313="SIM", 'Ações'!AT313="SIM"), 1,0)</f>
        <v>0</v>
      </c>
      <c r="I304" s="139">
        <f>IF(AND('Ações'!$AC313="SIM", 'Ações'!AU313="SIM"), 1,0)</f>
        <v>0</v>
      </c>
      <c r="J304" s="139">
        <f>IF(AND('Ações'!$AC313="SIM", 'Ações'!AV313="SIM"), 1,0)</f>
        <v>0</v>
      </c>
      <c r="K304" s="139">
        <f>IF(AND('Ações'!$AC313="SIM", 'Ações'!AW313="SIM"), 1,0)</f>
        <v>0</v>
      </c>
      <c r="L304" s="139">
        <f>IF(AND('Ações'!$AC313="SIM", 'Ações'!AX313="SIM"), 1,0)</f>
        <v>0</v>
      </c>
      <c r="M304" s="139">
        <f>IF(AND('Ações'!$AD313="SIM", 'Ações'!AS313="SIM"), 1,0)</f>
        <v>0</v>
      </c>
      <c r="N304" s="139">
        <f>IF(AND('Ações'!$AD313="SIM", 'Ações'!AT313="SIM"), 1,0)</f>
        <v>0</v>
      </c>
      <c r="O304" s="139">
        <f>IF(AND('Ações'!$AD313="SIM", 'Ações'!AU313="SIM"), 1,0)</f>
        <v>0</v>
      </c>
      <c r="P304" s="139">
        <f>IF(AND('Ações'!$AD313="SIM", 'Ações'!AV313="SIM"), 1,0)</f>
        <v>0</v>
      </c>
      <c r="Q304" s="139">
        <f>IF(AND('Ações'!$AD313="SIM", 'Ações'!AW313="SIM"), 1,0)</f>
        <v>0</v>
      </c>
      <c r="R304" s="139">
        <f>IF(AND('Ações'!$AD313="SIM", 'Ações'!AX313="SIM"), 1,0)</f>
        <v>0</v>
      </c>
    </row>
    <row r="305">
      <c r="A305" s="139">
        <f>IF(AND('Ações'!AB314="SIM", 'Ações'!AS314="SIM"), 1,0)</f>
        <v>1</v>
      </c>
      <c r="B305" s="139">
        <f>IF(AND('Ações'!$AB314="SIM", 'Ações'!AT314="SIM"), 1,0)</f>
        <v>1</v>
      </c>
      <c r="C305" s="139">
        <f>IF(AND('Ações'!$AB314="SIM", 'Ações'!AU314="SIM"), 1,0)</f>
        <v>1</v>
      </c>
      <c r="D305" s="139">
        <f>IF(AND('Ações'!$AB314="SIM", 'Ações'!AV314="SIM"), 1,0)</f>
        <v>1</v>
      </c>
      <c r="E305" s="139">
        <f>IF(AND('Ações'!$AB314="SIM", 'Ações'!AW314="SIM"), 1,0)</f>
        <v>1</v>
      </c>
      <c r="F305" s="139">
        <f>IF(AND('Ações'!$AB314="SIM", 'Ações'!AX314="SIM"), 1,0)</f>
        <v>0</v>
      </c>
      <c r="G305" s="139">
        <f>IF(AND('Ações'!$AC314="SIM", 'Ações'!AS314="SIM"), 1,0)</f>
        <v>0</v>
      </c>
      <c r="H305" s="139">
        <f>IF(AND('Ações'!$AC314="SIM", 'Ações'!AT314="SIM"), 1,0)</f>
        <v>0</v>
      </c>
      <c r="I305" s="139">
        <f>IF(AND('Ações'!$AC314="SIM", 'Ações'!AU314="SIM"), 1,0)</f>
        <v>0</v>
      </c>
      <c r="J305" s="139">
        <f>IF(AND('Ações'!$AC314="SIM", 'Ações'!AV314="SIM"), 1,0)</f>
        <v>0</v>
      </c>
      <c r="K305" s="139">
        <f>IF(AND('Ações'!$AC314="SIM", 'Ações'!AW314="SIM"), 1,0)</f>
        <v>0</v>
      </c>
      <c r="L305" s="139">
        <f>IF(AND('Ações'!$AC314="SIM", 'Ações'!AX314="SIM"), 1,0)</f>
        <v>0</v>
      </c>
      <c r="M305" s="139">
        <f>IF(AND('Ações'!$AD314="SIM", 'Ações'!AS314="SIM"), 1,0)</f>
        <v>0</v>
      </c>
      <c r="N305" s="139">
        <f>IF(AND('Ações'!$AD314="SIM", 'Ações'!AT314="SIM"), 1,0)</f>
        <v>0</v>
      </c>
      <c r="O305" s="139">
        <f>IF(AND('Ações'!$AD314="SIM", 'Ações'!AU314="SIM"), 1,0)</f>
        <v>0</v>
      </c>
      <c r="P305" s="139">
        <f>IF(AND('Ações'!$AD314="SIM", 'Ações'!AV314="SIM"), 1,0)</f>
        <v>0</v>
      </c>
      <c r="Q305" s="139">
        <f>IF(AND('Ações'!$AD314="SIM", 'Ações'!AW314="SIM"), 1,0)</f>
        <v>0</v>
      </c>
      <c r="R305" s="139">
        <f>IF(AND('Ações'!$AD314="SIM", 'Ações'!AX314="SIM"), 1,0)</f>
        <v>0</v>
      </c>
    </row>
    <row r="306">
      <c r="A306" s="139">
        <f>IF(AND('Ações'!AB315="SIM", 'Ações'!AS315="SIM"), 1,0)</f>
        <v>1</v>
      </c>
      <c r="B306" s="139">
        <f>IF(AND('Ações'!$AB315="SIM", 'Ações'!AT315="SIM"), 1,0)</f>
        <v>1</v>
      </c>
      <c r="C306" s="139">
        <f>IF(AND('Ações'!$AB315="SIM", 'Ações'!AU315="SIM"), 1,0)</f>
        <v>1</v>
      </c>
      <c r="D306" s="139">
        <f>IF(AND('Ações'!$AB315="SIM", 'Ações'!AV315="SIM"), 1,0)</f>
        <v>1</v>
      </c>
      <c r="E306" s="139">
        <f>IF(AND('Ações'!$AB315="SIM", 'Ações'!AW315="SIM"), 1,0)</f>
        <v>1</v>
      </c>
      <c r="F306" s="139">
        <f>IF(AND('Ações'!$AB315="SIM", 'Ações'!AX315="SIM"), 1,0)</f>
        <v>0</v>
      </c>
      <c r="G306" s="139">
        <f>IF(AND('Ações'!$AC315="SIM", 'Ações'!AS315="SIM"), 1,0)</f>
        <v>1</v>
      </c>
      <c r="H306" s="139">
        <f>IF(AND('Ações'!$AC315="SIM", 'Ações'!AT315="SIM"), 1,0)</f>
        <v>1</v>
      </c>
      <c r="I306" s="139">
        <f>IF(AND('Ações'!$AC315="SIM", 'Ações'!AU315="SIM"), 1,0)</f>
        <v>1</v>
      </c>
      <c r="J306" s="139">
        <f>IF(AND('Ações'!$AC315="SIM", 'Ações'!AV315="SIM"), 1,0)</f>
        <v>1</v>
      </c>
      <c r="K306" s="139">
        <f>IF(AND('Ações'!$AC315="SIM", 'Ações'!AW315="SIM"), 1,0)</f>
        <v>1</v>
      </c>
      <c r="L306" s="139">
        <f>IF(AND('Ações'!$AC315="SIM", 'Ações'!AX315="SIM"), 1,0)</f>
        <v>0</v>
      </c>
      <c r="M306" s="139">
        <f>IF(AND('Ações'!$AD315="SIM", 'Ações'!AS315="SIM"), 1,0)</f>
        <v>0</v>
      </c>
      <c r="N306" s="139">
        <f>IF(AND('Ações'!$AD315="SIM", 'Ações'!AT315="SIM"), 1,0)</f>
        <v>0</v>
      </c>
      <c r="O306" s="139">
        <f>IF(AND('Ações'!$AD315="SIM", 'Ações'!AU315="SIM"), 1,0)</f>
        <v>0</v>
      </c>
      <c r="P306" s="139">
        <f>IF(AND('Ações'!$AD315="SIM", 'Ações'!AV315="SIM"), 1,0)</f>
        <v>0</v>
      </c>
      <c r="Q306" s="139">
        <f>IF(AND('Ações'!$AD315="SIM", 'Ações'!AW315="SIM"), 1,0)</f>
        <v>0</v>
      </c>
      <c r="R306" s="139">
        <f>IF(AND('Ações'!$AD315="SIM", 'Ações'!AX315="SIM"), 1,0)</f>
        <v>0</v>
      </c>
    </row>
    <row r="307">
      <c r="A307" s="139">
        <f>IF(AND('Ações'!AB316="SIM", 'Ações'!AS316="SIM"), 1,0)</f>
        <v>1</v>
      </c>
      <c r="B307" s="139">
        <f>IF(AND('Ações'!$AB316="SIM", 'Ações'!AT316="SIM"), 1,0)</f>
        <v>1</v>
      </c>
      <c r="C307" s="139">
        <f>IF(AND('Ações'!$AB316="SIM", 'Ações'!AU316="SIM"), 1,0)</f>
        <v>1</v>
      </c>
      <c r="D307" s="139">
        <f>IF(AND('Ações'!$AB316="SIM", 'Ações'!AV316="SIM"), 1,0)</f>
        <v>1</v>
      </c>
      <c r="E307" s="139">
        <f>IF(AND('Ações'!$AB316="SIM", 'Ações'!AW316="SIM"), 1,0)</f>
        <v>1</v>
      </c>
      <c r="F307" s="139">
        <f>IF(AND('Ações'!$AB316="SIM", 'Ações'!AX316="SIM"), 1,0)</f>
        <v>0</v>
      </c>
      <c r="G307" s="139">
        <f>IF(AND('Ações'!$AC316="SIM", 'Ações'!AS316="SIM"), 1,0)</f>
        <v>0</v>
      </c>
      <c r="H307" s="139">
        <f>IF(AND('Ações'!$AC316="SIM", 'Ações'!AT316="SIM"), 1,0)</f>
        <v>0</v>
      </c>
      <c r="I307" s="139">
        <f>IF(AND('Ações'!$AC316="SIM", 'Ações'!AU316="SIM"), 1,0)</f>
        <v>0</v>
      </c>
      <c r="J307" s="139">
        <f>IF(AND('Ações'!$AC316="SIM", 'Ações'!AV316="SIM"), 1,0)</f>
        <v>0</v>
      </c>
      <c r="K307" s="139">
        <f>IF(AND('Ações'!$AC316="SIM", 'Ações'!AW316="SIM"), 1,0)</f>
        <v>0</v>
      </c>
      <c r="L307" s="139">
        <f>IF(AND('Ações'!$AC316="SIM", 'Ações'!AX316="SIM"), 1,0)</f>
        <v>0</v>
      </c>
      <c r="M307" s="139">
        <f>IF(AND('Ações'!$AD316="SIM", 'Ações'!AS316="SIM"), 1,0)</f>
        <v>0</v>
      </c>
      <c r="N307" s="139">
        <f>IF(AND('Ações'!$AD316="SIM", 'Ações'!AT316="SIM"), 1,0)</f>
        <v>0</v>
      </c>
      <c r="O307" s="139">
        <f>IF(AND('Ações'!$AD316="SIM", 'Ações'!AU316="SIM"), 1,0)</f>
        <v>0</v>
      </c>
      <c r="P307" s="139">
        <f>IF(AND('Ações'!$AD316="SIM", 'Ações'!AV316="SIM"), 1,0)</f>
        <v>0</v>
      </c>
      <c r="Q307" s="139">
        <f>IF(AND('Ações'!$AD316="SIM", 'Ações'!AW316="SIM"), 1,0)</f>
        <v>0</v>
      </c>
      <c r="R307" s="139">
        <f>IF(AND('Ações'!$AD316="SIM", 'Ações'!AX316="SIM"), 1,0)</f>
        <v>0</v>
      </c>
    </row>
    <row r="308">
      <c r="A308" s="139">
        <f>IF(AND('Ações'!AB317="SIM", 'Ações'!AS317="SIM"), 1,0)</f>
        <v>1</v>
      </c>
      <c r="B308" s="139">
        <f>IF(AND('Ações'!$AB317="SIM", 'Ações'!AT317="SIM"), 1,0)</f>
        <v>1</v>
      </c>
      <c r="C308" s="139">
        <f>IF(AND('Ações'!$AB317="SIM", 'Ações'!AU317="SIM"), 1,0)</f>
        <v>1</v>
      </c>
      <c r="D308" s="139">
        <f>IF(AND('Ações'!$AB317="SIM", 'Ações'!AV317="SIM"), 1,0)</f>
        <v>1</v>
      </c>
      <c r="E308" s="139">
        <f>IF(AND('Ações'!$AB317="SIM", 'Ações'!AW317="SIM"), 1,0)</f>
        <v>1</v>
      </c>
      <c r="F308" s="139">
        <f>IF(AND('Ações'!$AB317="SIM", 'Ações'!AX317="SIM"), 1,0)</f>
        <v>0</v>
      </c>
      <c r="G308" s="139">
        <f>IF(AND('Ações'!$AC317="SIM", 'Ações'!AS317="SIM"), 1,0)</f>
        <v>0</v>
      </c>
      <c r="H308" s="139">
        <f>IF(AND('Ações'!$AC317="SIM", 'Ações'!AT317="SIM"), 1,0)</f>
        <v>0</v>
      </c>
      <c r="I308" s="139">
        <f>IF(AND('Ações'!$AC317="SIM", 'Ações'!AU317="SIM"), 1,0)</f>
        <v>0</v>
      </c>
      <c r="J308" s="139">
        <f>IF(AND('Ações'!$AC317="SIM", 'Ações'!AV317="SIM"), 1,0)</f>
        <v>0</v>
      </c>
      <c r="K308" s="139">
        <f>IF(AND('Ações'!$AC317="SIM", 'Ações'!AW317="SIM"), 1,0)</f>
        <v>0</v>
      </c>
      <c r="L308" s="139">
        <f>IF(AND('Ações'!$AC317="SIM", 'Ações'!AX317="SIM"), 1,0)</f>
        <v>0</v>
      </c>
      <c r="M308" s="139">
        <f>IF(AND('Ações'!$AD317="SIM", 'Ações'!AS317="SIM"), 1,0)</f>
        <v>0</v>
      </c>
      <c r="N308" s="139">
        <f>IF(AND('Ações'!$AD317="SIM", 'Ações'!AT317="SIM"), 1,0)</f>
        <v>0</v>
      </c>
      <c r="O308" s="139">
        <f>IF(AND('Ações'!$AD317="SIM", 'Ações'!AU317="SIM"), 1,0)</f>
        <v>0</v>
      </c>
      <c r="P308" s="139">
        <f>IF(AND('Ações'!$AD317="SIM", 'Ações'!AV317="SIM"), 1,0)</f>
        <v>0</v>
      </c>
      <c r="Q308" s="139">
        <f>IF(AND('Ações'!$AD317="SIM", 'Ações'!AW317="SIM"), 1,0)</f>
        <v>0</v>
      </c>
      <c r="R308" s="139">
        <f>IF(AND('Ações'!$AD317="SIM", 'Ações'!AX317="SIM"), 1,0)</f>
        <v>0</v>
      </c>
    </row>
    <row r="309">
      <c r="A309" s="139">
        <f>IF(AND('Ações'!AB318="SIM", 'Ações'!AS318="SIM"), 1,0)</f>
        <v>0</v>
      </c>
      <c r="B309" s="139">
        <f>IF(AND('Ações'!$AB318="SIM", 'Ações'!AT318="SIM"), 1,0)</f>
        <v>0</v>
      </c>
      <c r="C309" s="139">
        <f>IF(AND('Ações'!$AB318="SIM", 'Ações'!AU318="SIM"), 1,0)</f>
        <v>0</v>
      </c>
      <c r="D309" s="139">
        <f>IF(AND('Ações'!$AB318="SIM", 'Ações'!AV318="SIM"), 1,0)</f>
        <v>0</v>
      </c>
      <c r="E309" s="139">
        <f>IF(AND('Ações'!$AB318="SIM", 'Ações'!AW318="SIM"), 1,0)</f>
        <v>0</v>
      </c>
      <c r="F309" s="139">
        <f>IF(AND('Ações'!$AB318="SIM", 'Ações'!AX318="SIM"), 1,0)</f>
        <v>0</v>
      </c>
      <c r="G309" s="139">
        <f>IF(AND('Ações'!$AC318="SIM", 'Ações'!AS318="SIM"), 1,0)</f>
        <v>1</v>
      </c>
      <c r="H309" s="139">
        <f>IF(AND('Ações'!$AC318="SIM", 'Ações'!AT318="SIM"), 1,0)</f>
        <v>1</v>
      </c>
      <c r="I309" s="139">
        <f>IF(AND('Ações'!$AC318="SIM", 'Ações'!AU318="SIM"), 1,0)</f>
        <v>1</v>
      </c>
      <c r="J309" s="139">
        <f>IF(AND('Ações'!$AC318="SIM", 'Ações'!AV318="SIM"), 1,0)</f>
        <v>1</v>
      </c>
      <c r="K309" s="139">
        <f>IF(AND('Ações'!$AC318="SIM", 'Ações'!AW318="SIM"), 1,0)</f>
        <v>1</v>
      </c>
      <c r="L309" s="139">
        <f>IF(AND('Ações'!$AC318="SIM", 'Ações'!AX318="SIM"), 1,0)</f>
        <v>0</v>
      </c>
      <c r="M309" s="139">
        <f>IF(AND('Ações'!$AD318="SIM", 'Ações'!AS318="SIM"), 1,0)</f>
        <v>0</v>
      </c>
      <c r="N309" s="139">
        <f>IF(AND('Ações'!$AD318="SIM", 'Ações'!AT318="SIM"), 1,0)</f>
        <v>0</v>
      </c>
      <c r="O309" s="139">
        <f>IF(AND('Ações'!$AD318="SIM", 'Ações'!AU318="SIM"), 1,0)</f>
        <v>0</v>
      </c>
      <c r="P309" s="139">
        <f>IF(AND('Ações'!$AD318="SIM", 'Ações'!AV318="SIM"), 1,0)</f>
        <v>0</v>
      </c>
      <c r="Q309" s="139">
        <f>IF(AND('Ações'!$AD318="SIM", 'Ações'!AW318="SIM"), 1,0)</f>
        <v>0</v>
      </c>
      <c r="R309" s="139">
        <f>IF(AND('Ações'!$AD318="SIM", 'Ações'!AX318="SIM"), 1,0)</f>
        <v>0</v>
      </c>
    </row>
    <row r="310">
      <c r="A310" s="139" t="str">
        <f t="shared" ref="A310:R310" si="4">IF(AND(#REF!="SIM", #REF!="SIM"), 1,0)</f>
        <v>#REF!</v>
      </c>
      <c r="B310" s="139" t="str">
        <f t="shared" si="4"/>
        <v>#REF!</v>
      </c>
      <c r="C310" s="139" t="str">
        <f t="shared" si="4"/>
        <v>#REF!</v>
      </c>
      <c r="D310" s="139" t="str">
        <f t="shared" si="4"/>
        <v>#REF!</v>
      </c>
      <c r="E310" s="139" t="str">
        <f t="shared" si="4"/>
        <v>#REF!</v>
      </c>
      <c r="F310" s="139" t="str">
        <f t="shared" si="4"/>
        <v>#REF!</v>
      </c>
      <c r="G310" s="139" t="str">
        <f t="shared" si="4"/>
        <v>#REF!</v>
      </c>
      <c r="H310" s="139" t="str">
        <f t="shared" si="4"/>
        <v>#REF!</v>
      </c>
      <c r="I310" s="139" t="str">
        <f t="shared" si="4"/>
        <v>#REF!</v>
      </c>
      <c r="J310" s="139" t="str">
        <f t="shared" si="4"/>
        <v>#REF!</v>
      </c>
      <c r="K310" s="139" t="str">
        <f t="shared" si="4"/>
        <v>#REF!</v>
      </c>
      <c r="L310" s="139" t="str">
        <f t="shared" si="4"/>
        <v>#REF!</v>
      </c>
      <c r="M310" s="139" t="str">
        <f t="shared" si="4"/>
        <v>#REF!</v>
      </c>
      <c r="N310" s="139" t="str">
        <f t="shared" si="4"/>
        <v>#REF!</v>
      </c>
      <c r="O310" s="139" t="str">
        <f t="shared" si="4"/>
        <v>#REF!</v>
      </c>
      <c r="P310" s="139" t="str">
        <f t="shared" si="4"/>
        <v>#REF!</v>
      </c>
      <c r="Q310" s="139" t="str">
        <f t="shared" si="4"/>
        <v>#REF!</v>
      </c>
      <c r="R310" s="139" t="str">
        <f t="shared" si="4"/>
        <v>#REF!</v>
      </c>
    </row>
    <row r="311">
      <c r="A311" s="139">
        <f>IF(AND('Ações'!AB320="SIM", 'Ações'!AS320="SIM"), 1,0)</f>
        <v>0</v>
      </c>
      <c r="B311" s="139">
        <f>IF(AND('Ações'!$AB320="SIM", 'Ações'!AT320="SIM"), 1,0)</f>
        <v>0</v>
      </c>
      <c r="C311" s="139">
        <f>IF(AND('Ações'!$AB320="SIM", 'Ações'!AU320="SIM"), 1,0)</f>
        <v>0</v>
      </c>
      <c r="D311" s="139">
        <f>IF(AND('Ações'!$AB320="SIM", 'Ações'!AV320="SIM"), 1,0)</f>
        <v>0</v>
      </c>
      <c r="E311" s="139">
        <f>IF(AND('Ações'!$AB320="SIM", 'Ações'!AW320="SIM"), 1,0)</f>
        <v>0</v>
      </c>
      <c r="F311" s="139">
        <f>IF(AND('Ações'!$AB320="SIM", 'Ações'!AX320="SIM"), 1,0)</f>
        <v>0</v>
      </c>
      <c r="G311" s="139">
        <f>IF(AND('Ações'!$AC320="SIM", 'Ações'!AS320="SIM"), 1,0)</f>
        <v>1</v>
      </c>
      <c r="H311" s="139">
        <f>IF(AND('Ações'!$AC320="SIM", 'Ações'!AT320="SIM"), 1,0)</f>
        <v>1</v>
      </c>
      <c r="I311" s="139">
        <f>IF(AND('Ações'!$AC320="SIM", 'Ações'!AU320="SIM"), 1,0)</f>
        <v>1</v>
      </c>
      <c r="J311" s="139">
        <f>IF(AND('Ações'!$AC320="SIM", 'Ações'!AV320="SIM"), 1,0)</f>
        <v>1</v>
      </c>
      <c r="K311" s="139">
        <f>IF(AND('Ações'!$AC320="SIM", 'Ações'!AW320="SIM"), 1,0)</f>
        <v>1</v>
      </c>
      <c r="L311" s="139">
        <f>IF(AND('Ações'!$AC320="SIM", 'Ações'!AX320="SIM"), 1,0)</f>
        <v>0</v>
      </c>
      <c r="M311" s="139">
        <f>IF(AND('Ações'!$AD320="SIM", 'Ações'!AS320="SIM"), 1,0)</f>
        <v>0</v>
      </c>
      <c r="N311" s="139">
        <f>IF(AND('Ações'!$AD320="SIM", 'Ações'!AT320="SIM"), 1,0)</f>
        <v>0</v>
      </c>
      <c r="O311" s="139">
        <f>IF(AND('Ações'!$AD320="SIM", 'Ações'!AU320="SIM"), 1,0)</f>
        <v>0</v>
      </c>
      <c r="P311" s="139">
        <f>IF(AND('Ações'!$AD320="SIM", 'Ações'!AV320="SIM"), 1,0)</f>
        <v>0</v>
      </c>
      <c r="Q311" s="139">
        <f>IF(AND('Ações'!$AD320="SIM", 'Ações'!AW320="SIM"), 1,0)</f>
        <v>0</v>
      </c>
      <c r="R311" s="139">
        <f>IF(AND('Ações'!$AD320="SIM", 'Ações'!AX320="SIM"), 1,0)</f>
        <v>0</v>
      </c>
    </row>
    <row r="312">
      <c r="A312" s="139">
        <f>IF(AND('Ações'!AB321="SIM", 'Ações'!AS321="SIM"), 1,0)</f>
        <v>1</v>
      </c>
      <c r="B312" s="139">
        <f>IF(AND('Ações'!$AB321="SIM", 'Ações'!AT321="SIM"), 1,0)</f>
        <v>0</v>
      </c>
      <c r="C312" s="139">
        <f>IF(AND('Ações'!$AB321="SIM", 'Ações'!AU321="SIM"), 1,0)</f>
        <v>0</v>
      </c>
      <c r="D312" s="139">
        <f>IF(AND('Ações'!$AB321="SIM", 'Ações'!AV321="SIM"), 1,0)</f>
        <v>0</v>
      </c>
      <c r="E312" s="139">
        <f>IF(AND('Ações'!$AB321="SIM", 'Ações'!AW321="SIM"), 1,0)</f>
        <v>0</v>
      </c>
      <c r="F312" s="139">
        <f>IF(AND('Ações'!$AB321="SIM", 'Ações'!AX321="SIM"), 1,0)</f>
        <v>1</v>
      </c>
      <c r="G312" s="139">
        <f>IF(AND('Ações'!$AC321="SIM", 'Ações'!AS321="SIM"), 1,0)</f>
        <v>0</v>
      </c>
      <c r="H312" s="139">
        <f>IF(AND('Ações'!$AC321="SIM", 'Ações'!AT321="SIM"), 1,0)</f>
        <v>0</v>
      </c>
      <c r="I312" s="139">
        <f>IF(AND('Ações'!$AC321="SIM", 'Ações'!AU321="SIM"), 1,0)</f>
        <v>0</v>
      </c>
      <c r="J312" s="139">
        <f>IF(AND('Ações'!$AC321="SIM", 'Ações'!AV321="SIM"), 1,0)</f>
        <v>0</v>
      </c>
      <c r="K312" s="139">
        <f>IF(AND('Ações'!$AC321="SIM", 'Ações'!AW321="SIM"), 1,0)</f>
        <v>0</v>
      </c>
      <c r="L312" s="139">
        <f>IF(AND('Ações'!$AC321="SIM", 'Ações'!AX321="SIM"), 1,0)</f>
        <v>0</v>
      </c>
      <c r="M312" s="139">
        <f>IF(AND('Ações'!$AD321="SIM", 'Ações'!AS321="SIM"), 1,0)</f>
        <v>0</v>
      </c>
      <c r="N312" s="139">
        <f>IF(AND('Ações'!$AD321="SIM", 'Ações'!AT321="SIM"), 1,0)</f>
        <v>0</v>
      </c>
      <c r="O312" s="139">
        <f>IF(AND('Ações'!$AD321="SIM", 'Ações'!AU321="SIM"), 1,0)</f>
        <v>0</v>
      </c>
      <c r="P312" s="139">
        <f>IF(AND('Ações'!$AD321="SIM", 'Ações'!AV321="SIM"), 1,0)</f>
        <v>0</v>
      </c>
      <c r="Q312" s="139">
        <f>IF(AND('Ações'!$AD321="SIM", 'Ações'!AW321="SIM"), 1,0)</f>
        <v>0</v>
      </c>
      <c r="R312" s="139">
        <f>IF(AND('Ações'!$AD321="SIM", 'Ações'!AX321="SIM"), 1,0)</f>
        <v>0</v>
      </c>
    </row>
    <row r="313">
      <c r="A313" s="139">
        <f>IF(AND('Ações'!AB322="SIM", 'Ações'!AS322="SIM"), 1,0)</f>
        <v>1</v>
      </c>
      <c r="B313" s="139">
        <f>IF(AND('Ações'!$AB322="SIM", 'Ações'!AT322="SIM"), 1,0)</f>
        <v>1</v>
      </c>
      <c r="C313" s="139">
        <f>IF(AND('Ações'!$AB322="SIM", 'Ações'!AU322="SIM"), 1,0)</f>
        <v>1</v>
      </c>
      <c r="D313" s="139">
        <f>IF(AND('Ações'!$AB322="SIM", 'Ações'!AV322="SIM"), 1,0)</f>
        <v>1</v>
      </c>
      <c r="E313" s="139">
        <f>IF(AND('Ações'!$AB322="SIM", 'Ações'!AW322="SIM"), 1,0)</f>
        <v>1</v>
      </c>
      <c r="F313" s="139">
        <f>IF(AND('Ações'!$AB322="SIM", 'Ações'!AX322="SIM"), 1,0)</f>
        <v>0</v>
      </c>
      <c r="G313" s="139">
        <f>IF(AND('Ações'!$AC322="SIM", 'Ações'!AS322="SIM"), 1,0)</f>
        <v>1</v>
      </c>
      <c r="H313" s="139">
        <f>IF(AND('Ações'!$AC322="SIM", 'Ações'!AT322="SIM"), 1,0)</f>
        <v>1</v>
      </c>
      <c r="I313" s="139">
        <f>IF(AND('Ações'!$AC322="SIM", 'Ações'!AU322="SIM"), 1,0)</f>
        <v>1</v>
      </c>
      <c r="J313" s="139">
        <f>IF(AND('Ações'!$AC322="SIM", 'Ações'!AV322="SIM"), 1,0)</f>
        <v>1</v>
      </c>
      <c r="K313" s="139">
        <f>IF(AND('Ações'!$AC322="SIM", 'Ações'!AW322="SIM"), 1,0)</f>
        <v>1</v>
      </c>
      <c r="L313" s="139">
        <f>IF(AND('Ações'!$AC322="SIM", 'Ações'!AX322="SIM"), 1,0)</f>
        <v>0</v>
      </c>
      <c r="M313" s="139">
        <f>IF(AND('Ações'!$AD322="SIM", 'Ações'!AS322="SIM"), 1,0)</f>
        <v>0</v>
      </c>
      <c r="N313" s="139">
        <f>IF(AND('Ações'!$AD322="SIM", 'Ações'!AT322="SIM"), 1,0)</f>
        <v>0</v>
      </c>
      <c r="O313" s="139">
        <f>IF(AND('Ações'!$AD322="SIM", 'Ações'!AU322="SIM"), 1,0)</f>
        <v>0</v>
      </c>
      <c r="P313" s="139">
        <f>IF(AND('Ações'!$AD322="SIM", 'Ações'!AV322="SIM"), 1,0)</f>
        <v>0</v>
      </c>
      <c r="Q313" s="139">
        <f>IF(AND('Ações'!$AD322="SIM", 'Ações'!AW322="SIM"), 1,0)</f>
        <v>0</v>
      </c>
      <c r="R313" s="139">
        <f>IF(AND('Ações'!$AD322="SIM", 'Ações'!AX322="SIM"), 1,0)</f>
        <v>0</v>
      </c>
    </row>
    <row r="314">
      <c r="A314" s="139">
        <f>IF(AND('Ações'!AB323="SIM", 'Ações'!AS323="SIM"), 1,0)</f>
        <v>1</v>
      </c>
      <c r="B314" s="139">
        <f>IF(AND('Ações'!$AB323="SIM", 'Ações'!AT323="SIM"), 1,0)</f>
        <v>1</v>
      </c>
      <c r="C314" s="139">
        <f>IF(AND('Ações'!$AB323="SIM", 'Ações'!AU323="SIM"), 1,0)</f>
        <v>1</v>
      </c>
      <c r="D314" s="139">
        <f>IF(AND('Ações'!$AB323="SIM", 'Ações'!AV323="SIM"), 1,0)</f>
        <v>1</v>
      </c>
      <c r="E314" s="139">
        <f>IF(AND('Ações'!$AB323="SIM", 'Ações'!AW323="SIM"), 1,0)</f>
        <v>1</v>
      </c>
      <c r="F314" s="139">
        <f>IF(AND('Ações'!$AB323="SIM", 'Ações'!AX323="SIM"), 1,0)</f>
        <v>0</v>
      </c>
      <c r="G314" s="139">
        <f>IF(AND('Ações'!$AC323="SIM", 'Ações'!AS323="SIM"), 1,0)</f>
        <v>0</v>
      </c>
      <c r="H314" s="139">
        <f>IF(AND('Ações'!$AC323="SIM", 'Ações'!AT323="SIM"), 1,0)</f>
        <v>0</v>
      </c>
      <c r="I314" s="139">
        <f>IF(AND('Ações'!$AC323="SIM", 'Ações'!AU323="SIM"), 1,0)</f>
        <v>0</v>
      </c>
      <c r="J314" s="139">
        <f>IF(AND('Ações'!$AC323="SIM", 'Ações'!AV323="SIM"), 1,0)</f>
        <v>0</v>
      </c>
      <c r="K314" s="139">
        <f>IF(AND('Ações'!$AC323="SIM", 'Ações'!AW323="SIM"), 1,0)</f>
        <v>0</v>
      </c>
      <c r="L314" s="139">
        <f>IF(AND('Ações'!$AC323="SIM", 'Ações'!AX323="SIM"), 1,0)</f>
        <v>0</v>
      </c>
      <c r="M314" s="139">
        <f>IF(AND('Ações'!$AD323="SIM", 'Ações'!AS323="SIM"), 1,0)</f>
        <v>0</v>
      </c>
      <c r="N314" s="139">
        <f>IF(AND('Ações'!$AD323="SIM", 'Ações'!AT323="SIM"), 1,0)</f>
        <v>0</v>
      </c>
      <c r="O314" s="139">
        <f>IF(AND('Ações'!$AD323="SIM", 'Ações'!AU323="SIM"), 1,0)</f>
        <v>0</v>
      </c>
      <c r="P314" s="139">
        <f>IF(AND('Ações'!$AD323="SIM", 'Ações'!AV323="SIM"), 1,0)</f>
        <v>0</v>
      </c>
      <c r="Q314" s="139">
        <f>IF(AND('Ações'!$AD323="SIM", 'Ações'!AW323="SIM"), 1,0)</f>
        <v>0</v>
      </c>
      <c r="R314" s="139">
        <f>IF(AND('Ações'!$AD323="SIM", 'Ações'!AX323="SIM"), 1,0)</f>
        <v>0</v>
      </c>
    </row>
    <row r="315">
      <c r="A315" s="139">
        <f>IF(AND('Ações'!AB324="SIM", 'Ações'!AS324="SIM"), 1,0)</f>
        <v>0</v>
      </c>
      <c r="B315" s="139">
        <f>IF(AND('Ações'!$AB324="SIM", 'Ações'!AT324="SIM"), 1,0)</f>
        <v>0</v>
      </c>
      <c r="C315" s="139">
        <f>IF(AND('Ações'!$AB324="SIM", 'Ações'!AU324="SIM"), 1,0)</f>
        <v>0</v>
      </c>
      <c r="D315" s="139">
        <f>IF(AND('Ações'!$AB324="SIM", 'Ações'!AV324="SIM"), 1,0)</f>
        <v>0</v>
      </c>
      <c r="E315" s="139">
        <f>IF(AND('Ações'!$AB324="SIM", 'Ações'!AW324="SIM"), 1,0)</f>
        <v>0</v>
      </c>
      <c r="F315" s="139">
        <f>IF(AND('Ações'!$AB324="SIM", 'Ações'!AX324="SIM"), 1,0)</f>
        <v>0</v>
      </c>
      <c r="G315" s="139">
        <f>IF(AND('Ações'!$AC324="SIM", 'Ações'!AS324="SIM"), 1,0)</f>
        <v>1</v>
      </c>
      <c r="H315" s="139">
        <f>IF(AND('Ações'!$AC324="SIM", 'Ações'!AT324="SIM"), 1,0)</f>
        <v>1</v>
      </c>
      <c r="I315" s="139">
        <f>IF(AND('Ações'!$AC324="SIM", 'Ações'!AU324="SIM"), 1,0)</f>
        <v>1</v>
      </c>
      <c r="J315" s="139">
        <f>IF(AND('Ações'!$AC324="SIM", 'Ações'!AV324="SIM"), 1,0)</f>
        <v>1</v>
      </c>
      <c r="K315" s="139">
        <f>IF(AND('Ações'!$AC324="SIM", 'Ações'!AW324="SIM"), 1,0)</f>
        <v>1</v>
      </c>
      <c r="L315" s="139">
        <f>IF(AND('Ações'!$AC324="SIM", 'Ações'!AX324="SIM"), 1,0)</f>
        <v>0</v>
      </c>
      <c r="M315" s="139">
        <f>IF(AND('Ações'!$AD324="SIM", 'Ações'!AS324="SIM"), 1,0)</f>
        <v>0</v>
      </c>
      <c r="N315" s="139">
        <f>IF(AND('Ações'!$AD324="SIM", 'Ações'!AT324="SIM"), 1,0)</f>
        <v>0</v>
      </c>
      <c r="O315" s="139">
        <f>IF(AND('Ações'!$AD324="SIM", 'Ações'!AU324="SIM"), 1,0)</f>
        <v>0</v>
      </c>
      <c r="P315" s="139">
        <f>IF(AND('Ações'!$AD324="SIM", 'Ações'!AV324="SIM"), 1,0)</f>
        <v>0</v>
      </c>
      <c r="Q315" s="139">
        <f>IF(AND('Ações'!$AD324="SIM", 'Ações'!AW324="SIM"), 1,0)</f>
        <v>0</v>
      </c>
      <c r="R315" s="139">
        <f>IF(AND('Ações'!$AD324="SIM", 'Ações'!AX324="SIM"), 1,0)</f>
        <v>0</v>
      </c>
    </row>
    <row r="316">
      <c r="A316" s="139">
        <f>IF(AND('Ações'!AB325="SIM", 'Ações'!AS325="SIM"), 1,0)</f>
        <v>1</v>
      </c>
      <c r="B316" s="139">
        <f>IF(AND('Ações'!$AB325="SIM", 'Ações'!AT325="SIM"), 1,0)</f>
        <v>1</v>
      </c>
      <c r="C316" s="139">
        <f>IF(AND('Ações'!$AB325="SIM", 'Ações'!AU325="SIM"), 1,0)</f>
        <v>1</v>
      </c>
      <c r="D316" s="139">
        <f>IF(AND('Ações'!$AB325="SIM", 'Ações'!AV325="SIM"), 1,0)</f>
        <v>1</v>
      </c>
      <c r="E316" s="139">
        <f>IF(AND('Ações'!$AB325="SIM", 'Ações'!AW325="SIM"), 1,0)</f>
        <v>1</v>
      </c>
      <c r="F316" s="139">
        <f>IF(AND('Ações'!$AB325="SIM", 'Ações'!AX325="SIM"), 1,0)</f>
        <v>0</v>
      </c>
      <c r="G316" s="139">
        <f>IF(AND('Ações'!$AC325="SIM", 'Ações'!AS325="SIM"), 1,0)</f>
        <v>1</v>
      </c>
      <c r="H316" s="139">
        <f>IF(AND('Ações'!$AC325="SIM", 'Ações'!AT325="SIM"), 1,0)</f>
        <v>1</v>
      </c>
      <c r="I316" s="139">
        <f>IF(AND('Ações'!$AC325="SIM", 'Ações'!AU325="SIM"), 1,0)</f>
        <v>1</v>
      </c>
      <c r="J316" s="139">
        <f>IF(AND('Ações'!$AC325="SIM", 'Ações'!AV325="SIM"), 1,0)</f>
        <v>1</v>
      </c>
      <c r="K316" s="139">
        <f>IF(AND('Ações'!$AC325="SIM", 'Ações'!AW325="SIM"), 1,0)</f>
        <v>1</v>
      </c>
      <c r="L316" s="139">
        <f>IF(AND('Ações'!$AC325="SIM", 'Ações'!AX325="SIM"), 1,0)</f>
        <v>0</v>
      </c>
      <c r="M316" s="139">
        <f>IF(AND('Ações'!$AD325="SIM", 'Ações'!AS325="SIM"), 1,0)</f>
        <v>0</v>
      </c>
      <c r="N316" s="139">
        <f>IF(AND('Ações'!$AD325="SIM", 'Ações'!AT325="SIM"), 1,0)</f>
        <v>0</v>
      </c>
      <c r="O316" s="139">
        <f>IF(AND('Ações'!$AD325="SIM", 'Ações'!AU325="SIM"), 1,0)</f>
        <v>0</v>
      </c>
      <c r="P316" s="139">
        <f>IF(AND('Ações'!$AD325="SIM", 'Ações'!AV325="SIM"), 1,0)</f>
        <v>0</v>
      </c>
      <c r="Q316" s="139">
        <f>IF(AND('Ações'!$AD325="SIM", 'Ações'!AW325="SIM"), 1,0)</f>
        <v>0</v>
      </c>
      <c r="R316" s="139">
        <f>IF(AND('Ações'!$AD325="SIM", 'Ações'!AX325="SIM"), 1,0)</f>
        <v>0</v>
      </c>
    </row>
    <row r="317">
      <c r="A317" s="139">
        <f>IF(AND('Ações'!AB326="SIM", 'Ações'!AS326="SIM"), 1,0)</f>
        <v>0</v>
      </c>
      <c r="B317" s="139">
        <f>IF(AND('Ações'!$AB326="SIM", 'Ações'!AT326="SIM"), 1,0)</f>
        <v>0</v>
      </c>
      <c r="C317" s="139">
        <f>IF(AND('Ações'!$AB326="SIM", 'Ações'!AU326="SIM"), 1,0)</f>
        <v>0</v>
      </c>
      <c r="D317" s="139">
        <f>IF(AND('Ações'!$AB326="SIM", 'Ações'!AV326="SIM"), 1,0)</f>
        <v>0</v>
      </c>
      <c r="E317" s="139">
        <f>IF(AND('Ações'!$AB326="SIM", 'Ações'!AW326="SIM"), 1,0)</f>
        <v>0</v>
      </c>
      <c r="F317" s="139">
        <f>IF(AND('Ações'!$AB326="SIM", 'Ações'!AX326="SIM"), 1,0)</f>
        <v>0</v>
      </c>
      <c r="G317" s="139">
        <f>IF(AND('Ações'!$AC326="SIM", 'Ações'!AS326="SIM"), 1,0)</f>
        <v>1</v>
      </c>
      <c r="H317" s="139">
        <f>IF(AND('Ações'!$AC326="SIM", 'Ações'!AT326="SIM"), 1,0)</f>
        <v>1</v>
      </c>
      <c r="I317" s="139">
        <f>IF(AND('Ações'!$AC326="SIM", 'Ações'!AU326="SIM"), 1,0)</f>
        <v>1</v>
      </c>
      <c r="J317" s="139">
        <f>IF(AND('Ações'!$AC326="SIM", 'Ações'!AV326="SIM"), 1,0)</f>
        <v>1</v>
      </c>
      <c r="K317" s="139">
        <f>IF(AND('Ações'!$AC326="SIM", 'Ações'!AW326="SIM"), 1,0)</f>
        <v>1</v>
      </c>
      <c r="L317" s="139">
        <f>IF(AND('Ações'!$AC326="SIM", 'Ações'!AX326="SIM"), 1,0)</f>
        <v>0</v>
      </c>
      <c r="M317" s="139">
        <f>IF(AND('Ações'!$AD326="SIM", 'Ações'!AS326="SIM"), 1,0)</f>
        <v>0</v>
      </c>
      <c r="N317" s="139">
        <f>IF(AND('Ações'!$AD326="SIM", 'Ações'!AT326="SIM"), 1,0)</f>
        <v>0</v>
      </c>
      <c r="O317" s="139">
        <f>IF(AND('Ações'!$AD326="SIM", 'Ações'!AU326="SIM"), 1,0)</f>
        <v>0</v>
      </c>
      <c r="P317" s="139">
        <f>IF(AND('Ações'!$AD326="SIM", 'Ações'!AV326="SIM"), 1,0)</f>
        <v>0</v>
      </c>
      <c r="Q317" s="139">
        <f>IF(AND('Ações'!$AD326="SIM", 'Ações'!AW326="SIM"), 1,0)</f>
        <v>0</v>
      </c>
      <c r="R317" s="139">
        <f>IF(AND('Ações'!$AD326="SIM", 'Ações'!AX326="SIM"), 1,0)</f>
        <v>0</v>
      </c>
    </row>
    <row r="318">
      <c r="A318" s="139">
        <f>IF(AND('Ações'!AB327="SIM", 'Ações'!AS327="SIM"), 1,0)</f>
        <v>1</v>
      </c>
      <c r="B318" s="139">
        <f>IF(AND('Ações'!$AB327="SIM", 'Ações'!AT327="SIM"), 1,0)</f>
        <v>1</v>
      </c>
      <c r="C318" s="139">
        <f>IF(AND('Ações'!$AB327="SIM", 'Ações'!AU327="SIM"), 1,0)</f>
        <v>1</v>
      </c>
      <c r="D318" s="139">
        <f>IF(AND('Ações'!$AB327="SIM", 'Ações'!AV327="SIM"), 1,0)</f>
        <v>1</v>
      </c>
      <c r="E318" s="139">
        <f>IF(AND('Ações'!$AB327="SIM", 'Ações'!AW327="SIM"), 1,0)</f>
        <v>1</v>
      </c>
      <c r="F318" s="139">
        <f>IF(AND('Ações'!$AB327="SIM", 'Ações'!AX327="SIM"), 1,0)</f>
        <v>0</v>
      </c>
      <c r="G318" s="139">
        <f>IF(AND('Ações'!$AC327="SIM", 'Ações'!AS327="SIM"), 1,0)</f>
        <v>1</v>
      </c>
      <c r="H318" s="139">
        <f>IF(AND('Ações'!$AC327="SIM", 'Ações'!AT327="SIM"), 1,0)</f>
        <v>1</v>
      </c>
      <c r="I318" s="139">
        <f>IF(AND('Ações'!$AC327="SIM", 'Ações'!AU327="SIM"), 1,0)</f>
        <v>1</v>
      </c>
      <c r="J318" s="139">
        <f>IF(AND('Ações'!$AC327="SIM", 'Ações'!AV327="SIM"), 1,0)</f>
        <v>1</v>
      </c>
      <c r="K318" s="139">
        <f>IF(AND('Ações'!$AC327="SIM", 'Ações'!AW327="SIM"), 1,0)</f>
        <v>1</v>
      </c>
      <c r="L318" s="139">
        <f>IF(AND('Ações'!$AC327="SIM", 'Ações'!AX327="SIM"), 1,0)</f>
        <v>0</v>
      </c>
      <c r="M318" s="139">
        <f>IF(AND('Ações'!$AD327="SIM", 'Ações'!AS327="SIM"), 1,0)</f>
        <v>1</v>
      </c>
      <c r="N318" s="139">
        <f>IF(AND('Ações'!$AD327="SIM", 'Ações'!AT327="SIM"), 1,0)</f>
        <v>1</v>
      </c>
      <c r="O318" s="139">
        <f>IF(AND('Ações'!$AD327="SIM", 'Ações'!AU327="SIM"), 1,0)</f>
        <v>1</v>
      </c>
      <c r="P318" s="139">
        <f>IF(AND('Ações'!$AD327="SIM", 'Ações'!AV327="SIM"), 1,0)</f>
        <v>1</v>
      </c>
      <c r="Q318" s="139">
        <f>IF(AND('Ações'!$AD327="SIM", 'Ações'!AW327="SIM"), 1,0)</f>
        <v>1</v>
      </c>
      <c r="R318" s="139">
        <f>IF(AND('Ações'!$AD327="SIM", 'Ações'!AX327="SIM"), 1,0)</f>
        <v>0</v>
      </c>
    </row>
    <row r="319">
      <c r="A319" s="139">
        <f>IF(AND('Ações'!AB328="SIM", 'Ações'!AS328="SIM"), 1,0)</f>
        <v>1</v>
      </c>
      <c r="B319" s="139">
        <f>IF(AND('Ações'!$AB328="SIM", 'Ações'!AT328="SIM"), 1,0)</f>
        <v>1</v>
      </c>
      <c r="C319" s="139">
        <f>IF(AND('Ações'!$AB328="SIM", 'Ações'!AU328="SIM"), 1,0)</f>
        <v>1</v>
      </c>
      <c r="D319" s="139">
        <f>IF(AND('Ações'!$AB328="SIM", 'Ações'!AV328="SIM"), 1,0)</f>
        <v>1</v>
      </c>
      <c r="E319" s="139">
        <f>IF(AND('Ações'!$AB328="SIM", 'Ações'!AW328="SIM"), 1,0)</f>
        <v>1</v>
      </c>
      <c r="F319" s="139">
        <f>IF(AND('Ações'!$AB328="SIM", 'Ações'!AX328="SIM"), 1,0)</f>
        <v>0</v>
      </c>
      <c r="G319" s="139">
        <f>IF(AND('Ações'!$AC328="SIM", 'Ações'!AS328="SIM"), 1,0)</f>
        <v>1</v>
      </c>
      <c r="H319" s="139">
        <f>IF(AND('Ações'!$AC328="SIM", 'Ações'!AT328="SIM"), 1,0)</f>
        <v>1</v>
      </c>
      <c r="I319" s="139">
        <f>IF(AND('Ações'!$AC328="SIM", 'Ações'!AU328="SIM"), 1,0)</f>
        <v>1</v>
      </c>
      <c r="J319" s="139">
        <f>IF(AND('Ações'!$AC328="SIM", 'Ações'!AV328="SIM"), 1,0)</f>
        <v>1</v>
      </c>
      <c r="K319" s="139">
        <f>IF(AND('Ações'!$AC328="SIM", 'Ações'!AW328="SIM"), 1,0)</f>
        <v>1</v>
      </c>
      <c r="L319" s="139">
        <f>IF(AND('Ações'!$AC328="SIM", 'Ações'!AX328="SIM"), 1,0)</f>
        <v>0</v>
      </c>
      <c r="M319" s="139">
        <f>IF(AND('Ações'!$AD328="SIM", 'Ações'!AS328="SIM"), 1,0)</f>
        <v>0</v>
      </c>
      <c r="N319" s="139">
        <f>IF(AND('Ações'!$AD328="SIM", 'Ações'!AT328="SIM"), 1,0)</f>
        <v>0</v>
      </c>
      <c r="O319" s="139">
        <f>IF(AND('Ações'!$AD328="SIM", 'Ações'!AU328="SIM"), 1,0)</f>
        <v>0</v>
      </c>
      <c r="P319" s="139">
        <f>IF(AND('Ações'!$AD328="SIM", 'Ações'!AV328="SIM"), 1,0)</f>
        <v>0</v>
      </c>
      <c r="Q319" s="139">
        <f>IF(AND('Ações'!$AD328="SIM", 'Ações'!AW328="SIM"), 1,0)</f>
        <v>0</v>
      </c>
      <c r="R319" s="139">
        <f>IF(AND('Ações'!$AD328="SIM", 'Ações'!AX328="SIM"), 1,0)</f>
        <v>0</v>
      </c>
    </row>
    <row r="320">
      <c r="A320" s="139">
        <f>IF(AND('Ações'!AB329="SIM", 'Ações'!AS329="SIM"), 1,0)</f>
        <v>1</v>
      </c>
      <c r="B320" s="139">
        <f>IF(AND('Ações'!$AB329="SIM", 'Ações'!AT329="SIM"), 1,0)</f>
        <v>1</v>
      </c>
      <c r="C320" s="139">
        <f>IF(AND('Ações'!$AB329="SIM", 'Ações'!AU329="SIM"), 1,0)</f>
        <v>1</v>
      </c>
      <c r="D320" s="139">
        <f>IF(AND('Ações'!$AB329="SIM", 'Ações'!AV329="SIM"), 1,0)</f>
        <v>1</v>
      </c>
      <c r="E320" s="139">
        <f>IF(AND('Ações'!$AB329="SIM", 'Ações'!AW329="SIM"), 1,0)</f>
        <v>1</v>
      </c>
      <c r="F320" s="139">
        <f>IF(AND('Ações'!$AB329="SIM", 'Ações'!AX329="SIM"), 1,0)</f>
        <v>0</v>
      </c>
      <c r="G320" s="139">
        <f>IF(AND('Ações'!$AC329="SIM", 'Ações'!AS329="SIM"), 1,0)</f>
        <v>0</v>
      </c>
      <c r="H320" s="139">
        <f>IF(AND('Ações'!$AC329="SIM", 'Ações'!AT329="SIM"), 1,0)</f>
        <v>0</v>
      </c>
      <c r="I320" s="139">
        <f>IF(AND('Ações'!$AC329="SIM", 'Ações'!AU329="SIM"), 1,0)</f>
        <v>0</v>
      </c>
      <c r="J320" s="139">
        <f>IF(AND('Ações'!$AC329="SIM", 'Ações'!AV329="SIM"), 1,0)</f>
        <v>0</v>
      </c>
      <c r="K320" s="139">
        <f>IF(AND('Ações'!$AC329="SIM", 'Ações'!AW329="SIM"), 1,0)</f>
        <v>0</v>
      </c>
      <c r="L320" s="139">
        <f>IF(AND('Ações'!$AC329="SIM", 'Ações'!AX329="SIM"), 1,0)</f>
        <v>0</v>
      </c>
      <c r="M320" s="139">
        <f>IF(AND('Ações'!$AD329="SIM", 'Ações'!AS329="SIM"), 1,0)</f>
        <v>0</v>
      </c>
      <c r="N320" s="139">
        <f>IF(AND('Ações'!$AD329="SIM", 'Ações'!AT329="SIM"), 1,0)</f>
        <v>0</v>
      </c>
      <c r="O320" s="139">
        <f>IF(AND('Ações'!$AD329="SIM", 'Ações'!AU329="SIM"), 1,0)</f>
        <v>0</v>
      </c>
      <c r="P320" s="139">
        <f>IF(AND('Ações'!$AD329="SIM", 'Ações'!AV329="SIM"), 1,0)</f>
        <v>0</v>
      </c>
      <c r="Q320" s="139">
        <f>IF(AND('Ações'!$AD329="SIM", 'Ações'!AW329="SIM"), 1,0)</f>
        <v>0</v>
      </c>
      <c r="R320" s="139">
        <f>IF(AND('Ações'!$AD329="SIM", 'Ações'!AX329="SIM"), 1,0)</f>
        <v>0</v>
      </c>
    </row>
    <row r="321">
      <c r="A321" s="139">
        <f>IF(AND('Ações'!AB330="SIM", 'Ações'!AS330="SIM"), 1,0)</f>
        <v>0</v>
      </c>
      <c r="B321" s="139">
        <f>IF(AND('Ações'!$AB330="SIM", 'Ações'!AT330="SIM"), 1,0)</f>
        <v>0</v>
      </c>
      <c r="C321" s="139">
        <f>IF(AND('Ações'!$AB330="SIM", 'Ações'!AU330="SIM"), 1,0)</f>
        <v>0</v>
      </c>
      <c r="D321" s="139">
        <f>IF(AND('Ações'!$AB330="SIM", 'Ações'!AV330="SIM"), 1,0)</f>
        <v>0</v>
      </c>
      <c r="E321" s="139">
        <f>IF(AND('Ações'!$AB330="SIM", 'Ações'!AW330="SIM"), 1,0)</f>
        <v>0</v>
      </c>
      <c r="F321" s="139">
        <f>IF(AND('Ações'!$AB330="SIM", 'Ações'!AX330="SIM"), 1,0)</f>
        <v>0</v>
      </c>
      <c r="G321" s="139">
        <f>IF(AND('Ações'!$AC330="SIM", 'Ações'!AS330="SIM"), 1,0)</f>
        <v>1</v>
      </c>
      <c r="H321" s="139">
        <f>IF(AND('Ações'!$AC330="SIM", 'Ações'!AT330="SIM"), 1,0)</f>
        <v>1</v>
      </c>
      <c r="I321" s="139">
        <f>IF(AND('Ações'!$AC330="SIM", 'Ações'!AU330="SIM"), 1,0)</f>
        <v>1</v>
      </c>
      <c r="J321" s="139">
        <f>IF(AND('Ações'!$AC330="SIM", 'Ações'!AV330="SIM"), 1,0)</f>
        <v>1</v>
      </c>
      <c r="K321" s="139">
        <f>IF(AND('Ações'!$AC330="SIM", 'Ações'!AW330="SIM"), 1,0)</f>
        <v>1</v>
      </c>
      <c r="L321" s="139">
        <f>IF(AND('Ações'!$AC330="SIM", 'Ações'!AX330="SIM"), 1,0)</f>
        <v>0</v>
      </c>
      <c r="M321" s="139">
        <f>IF(AND('Ações'!$AD330="SIM", 'Ações'!AS330="SIM"), 1,0)</f>
        <v>0</v>
      </c>
      <c r="N321" s="139">
        <f>IF(AND('Ações'!$AD330="SIM", 'Ações'!AT330="SIM"), 1,0)</f>
        <v>0</v>
      </c>
      <c r="O321" s="139">
        <f>IF(AND('Ações'!$AD330="SIM", 'Ações'!AU330="SIM"), 1,0)</f>
        <v>0</v>
      </c>
      <c r="P321" s="139">
        <f>IF(AND('Ações'!$AD330="SIM", 'Ações'!AV330="SIM"), 1,0)</f>
        <v>0</v>
      </c>
      <c r="Q321" s="139">
        <f>IF(AND('Ações'!$AD330="SIM", 'Ações'!AW330="SIM"), 1,0)</f>
        <v>0</v>
      </c>
      <c r="R321" s="139">
        <f>IF(AND('Ações'!$AD330="SIM", 'Ações'!AX330="SIM"), 1,0)</f>
        <v>0</v>
      </c>
    </row>
    <row r="322">
      <c r="A322" s="139">
        <f>IF(AND('Ações'!AB331="SIM", 'Ações'!AS331="SIM"), 1,0)</f>
        <v>1</v>
      </c>
      <c r="B322" s="139">
        <f>IF(AND('Ações'!$AB331="SIM", 'Ações'!AT331="SIM"), 1,0)</f>
        <v>1</v>
      </c>
      <c r="C322" s="139">
        <f>IF(AND('Ações'!$AB331="SIM", 'Ações'!AU331="SIM"), 1,0)</f>
        <v>1</v>
      </c>
      <c r="D322" s="139">
        <f>IF(AND('Ações'!$AB331="SIM", 'Ações'!AV331="SIM"), 1,0)</f>
        <v>1</v>
      </c>
      <c r="E322" s="139">
        <f>IF(AND('Ações'!$AB331="SIM", 'Ações'!AW331="SIM"), 1,0)</f>
        <v>1</v>
      </c>
      <c r="F322" s="139">
        <f>IF(AND('Ações'!$AB331="SIM", 'Ações'!AX331="SIM"), 1,0)</f>
        <v>0</v>
      </c>
      <c r="G322" s="139">
        <f>IF(AND('Ações'!$AC331="SIM", 'Ações'!AS331="SIM"), 1,0)</f>
        <v>1</v>
      </c>
      <c r="H322" s="139">
        <f>IF(AND('Ações'!$AC331="SIM", 'Ações'!AT331="SIM"), 1,0)</f>
        <v>1</v>
      </c>
      <c r="I322" s="139">
        <f>IF(AND('Ações'!$AC331="SIM", 'Ações'!AU331="SIM"), 1,0)</f>
        <v>1</v>
      </c>
      <c r="J322" s="139">
        <f>IF(AND('Ações'!$AC331="SIM", 'Ações'!AV331="SIM"), 1,0)</f>
        <v>1</v>
      </c>
      <c r="K322" s="139">
        <f>IF(AND('Ações'!$AC331="SIM", 'Ações'!AW331="SIM"), 1,0)</f>
        <v>1</v>
      </c>
      <c r="L322" s="139">
        <f>IF(AND('Ações'!$AC331="SIM", 'Ações'!AX331="SIM"), 1,0)</f>
        <v>0</v>
      </c>
      <c r="M322" s="139">
        <f>IF(AND('Ações'!$AD331="SIM", 'Ações'!AS331="SIM"), 1,0)</f>
        <v>0</v>
      </c>
      <c r="N322" s="139">
        <f>IF(AND('Ações'!$AD331="SIM", 'Ações'!AT331="SIM"), 1,0)</f>
        <v>0</v>
      </c>
      <c r="O322" s="139">
        <f>IF(AND('Ações'!$AD331="SIM", 'Ações'!AU331="SIM"), 1,0)</f>
        <v>0</v>
      </c>
      <c r="P322" s="139">
        <f>IF(AND('Ações'!$AD331="SIM", 'Ações'!AV331="SIM"), 1,0)</f>
        <v>0</v>
      </c>
      <c r="Q322" s="139">
        <f>IF(AND('Ações'!$AD331="SIM", 'Ações'!AW331="SIM"), 1,0)</f>
        <v>0</v>
      </c>
      <c r="R322" s="139">
        <f>IF(AND('Ações'!$AD331="SIM", 'Ações'!AX331="SIM"), 1,0)</f>
        <v>0</v>
      </c>
    </row>
    <row r="323">
      <c r="A323" s="139">
        <f>IF(AND('Ações'!AB332="SIM", 'Ações'!AS332="SIM"), 1,0)</f>
        <v>0</v>
      </c>
      <c r="B323" s="139">
        <f>IF(AND('Ações'!$AB332="SIM", 'Ações'!AT332="SIM"), 1,0)</f>
        <v>0</v>
      </c>
      <c r="C323" s="139">
        <f>IF(AND('Ações'!$AB332="SIM", 'Ações'!AU332="SIM"), 1,0)</f>
        <v>0</v>
      </c>
      <c r="D323" s="139">
        <f>IF(AND('Ações'!$AB332="SIM", 'Ações'!AV332="SIM"), 1,0)</f>
        <v>0</v>
      </c>
      <c r="E323" s="139">
        <f>IF(AND('Ações'!$AB332="SIM", 'Ações'!AW332="SIM"), 1,0)</f>
        <v>0</v>
      </c>
      <c r="F323" s="139">
        <f>IF(AND('Ações'!$AB332="SIM", 'Ações'!AX332="SIM"), 1,0)</f>
        <v>0</v>
      </c>
      <c r="G323" s="139">
        <f>IF(AND('Ações'!$AC332="SIM", 'Ações'!AS332="SIM"), 1,0)</f>
        <v>1</v>
      </c>
      <c r="H323" s="139">
        <f>IF(AND('Ações'!$AC332="SIM", 'Ações'!AT332="SIM"), 1,0)</f>
        <v>1</v>
      </c>
      <c r="I323" s="139">
        <f>IF(AND('Ações'!$AC332="SIM", 'Ações'!AU332="SIM"), 1,0)</f>
        <v>1</v>
      </c>
      <c r="J323" s="139">
        <f>IF(AND('Ações'!$AC332="SIM", 'Ações'!AV332="SIM"), 1,0)</f>
        <v>1</v>
      </c>
      <c r="K323" s="139">
        <f>IF(AND('Ações'!$AC332="SIM", 'Ações'!AW332="SIM"), 1,0)</f>
        <v>1</v>
      </c>
      <c r="L323" s="139">
        <f>IF(AND('Ações'!$AC332="SIM", 'Ações'!AX332="SIM"), 1,0)</f>
        <v>0</v>
      </c>
      <c r="M323" s="139">
        <f>IF(AND('Ações'!$AD332="SIM", 'Ações'!AS332="SIM"), 1,0)</f>
        <v>0</v>
      </c>
      <c r="N323" s="139">
        <f>IF(AND('Ações'!$AD332="SIM", 'Ações'!AT332="SIM"), 1,0)</f>
        <v>0</v>
      </c>
      <c r="O323" s="139">
        <f>IF(AND('Ações'!$AD332="SIM", 'Ações'!AU332="SIM"), 1,0)</f>
        <v>0</v>
      </c>
      <c r="P323" s="139">
        <f>IF(AND('Ações'!$AD332="SIM", 'Ações'!AV332="SIM"), 1,0)</f>
        <v>0</v>
      </c>
      <c r="Q323" s="139">
        <f>IF(AND('Ações'!$AD332="SIM", 'Ações'!AW332="SIM"), 1,0)</f>
        <v>0</v>
      </c>
      <c r="R323" s="139">
        <f>IF(AND('Ações'!$AD332="SIM", 'Ações'!AX332="SIM"), 1,0)</f>
        <v>0</v>
      </c>
    </row>
    <row r="324">
      <c r="A324" s="139">
        <f>IF(AND('Ações'!AB333="SIM", 'Ações'!AS333="SIM"), 1,0)</f>
        <v>0</v>
      </c>
      <c r="B324" s="139">
        <f>IF(AND('Ações'!$AB333="SIM", 'Ações'!AT333="SIM"), 1,0)</f>
        <v>0</v>
      </c>
      <c r="C324" s="139">
        <f>IF(AND('Ações'!$AB333="SIM", 'Ações'!AU333="SIM"), 1,0)</f>
        <v>0</v>
      </c>
      <c r="D324" s="139">
        <f>IF(AND('Ações'!$AB333="SIM", 'Ações'!AV333="SIM"), 1,0)</f>
        <v>0</v>
      </c>
      <c r="E324" s="139">
        <f>IF(AND('Ações'!$AB333="SIM", 'Ações'!AW333="SIM"), 1,0)</f>
        <v>0</v>
      </c>
      <c r="F324" s="139">
        <f>IF(AND('Ações'!$AB333="SIM", 'Ações'!AX333="SIM"), 1,0)</f>
        <v>0</v>
      </c>
      <c r="G324" s="139">
        <f>IF(AND('Ações'!$AC333="SIM", 'Ações'!AS333="SIM"), 1,0)</f>
        <v>1</v>
      </c>
      <c r="H324" s="139">
        <f>IF(AND('Ações'!$AC333="SIM", 'Ações'!AT333="SIM"), 1,0)</f>
        <v>1</v>
      </c>
      <c r="I324" s="139">
        <f>IF(AND('Ações'!$AC333="SIM", 'Ações'!AU333="SIM"), 1,0)</f>
        <v>1</v>
      </c>
      <c r="J324" s="139">
        <f>IF(AND('Ações'!$AC333="SIM", 'Ações'!AV333="SIM"), 1,0)</f>
        <v>1</v>
      </c>
      <c r="K324" s="139">
        <f>IF(AND('Ações'!$AC333="SIM", 'Ações'!AW333="SIM"), 1,0)</f>
        <v>1</v>
      </c>
      <c r="L324" s="139">
        <f>IF(AND('Ações'!$AC333="SIM", 'Ações'!AX333="SIM"), 1,0)</f>
        <v>0</v>
      </c>
      <c r="M324" s="139">
        <f>IF(AND('Ações'!$AD333="SIM", 'Ações'!AS333="SIM"), 1,0)</f>
        <v>0</v>
      </c>
      <c r="N324" s="139">
        <f>IF(AND('Ações'!$AD333="SIM", 'Ações'!AT333="SIM"), 1,0)</f>
        <v>0</v>
      </c>
      <c r="O324" s="139">
        <f>IF(AND('Ações'!$AD333="SIM", 'Ações'!AU333="SIM"), 1,0)</f>
        <v>0</v>
      </c>
      <c r="P324" s="139">
        <f>IF(AND('Ações'!$AD333="SIM", 'Ações'!AV333="SIM"), 1,0)</f>
        <v>0</v>
      </c>
      <c r="Q324" s="139">
        <f>IF(AND('Ações'!$AD333="SIM", 'Ações'!AW333="SIM"), 1,0)</f>
        <v>0</v>
      </c>
      <c r="R324" s="139">
        <f>IF(AND('Ações'!$AD333="SIM", 'Ações'!AX333="SIM"), 1,0)</f>
        <v>0</v>
      </c>
    </row>
    <row r="325">
      <c r="A325" s="139">
        <f>IF(AND('Ações'!AB334="SIM", 'Ações'!AS334="SIM"), 1,0)</f>
        <v>1</v>
      </c>
      <c r="B325" s="139">
        <f>IF(AND('Ações'!$AB334="SIM", 'Ações'!AT334="SIM"), 1,0)</f>
        <v>1</v>
      </c>
      <c r="C325" s="139">
        <f>IF(AND('Ações'!$AB334="SIM", 'Ações'!AU334="SIM"), 1,0)</f>
        <v>1</v>
      </c>
      <c r="D325" s="139">
        <f>IF(AND('Ações'!$AB334="SIM", 'Ações'!AV334="SIM"), 1,0)</f>
        <v>1</v>
      </c>
      <c r="E325" s="139">
        <f>IF(AND('Ações'!$AB334="SIM", 'Ações'!AW334="SIM"), 1,0)</f>
        <v>1</v>
      </c>
      <c r="F325" s="139">
        <f>IF(AND('Ações'!$AB334="SIM", 'Ações'!AX334="SIM"), 1,0)</f>
        <v>1</v>
      </c>
      <c r="G325" s="139">
        <f>IF(AND('Ações'!$AC334="SIM", 'Ações'!AS334="SIM"), 1,0)</f>
        <v>0</v>
      </c>
      <c r="H325" s="139">
        <f>IF(AND('Ações'!$AC334="SIM", 'Ações'!AT334="SIM"), 1,0)</f>
        <v>0</v>
      </c>
      <c r="I325" s="139">
        <f>IF(AND('Ações'!$AC334="SIM", 'Ações'!AU334="SIM"), 1,0)</f>
        <v>0</v>
      </c>
      <c r="J325" s="139">
        <f>IF(AND('Ações'!$AC334="SIM", 'Ações'!AV334="SIM"), 1,0)</f>
        <v>0</v>
      </c>
      <c r="K325" s="139">
        <f>IF(AND('Ações'!$AC334="SIM", 'Ações'!AW334="SIM"), 1,0)</f>
        <v>0</v>
      </c>
      <c r="L325" s="139">
        <f>IF(AND('Ações'!$AC334="SIM", 'Ações'!AX334="SIM"), 1,0)</f>
        <v>0</v>
      </c>
      <c r="M325" s="139">
        <f>IF(AND('Ações'!$AD334="SIM", 'Ações'!AS334="SIM"), 1,0)</f>
        <v>0</v>
      </c>
      <c r="N325" s="139">
        <f>IF(AND('Ações'!$AD334="SIM", 'Ações'!AT334="SIM"), 1,0)</f>
        <v>0</v>
      </c>
      <c r="O325" s="139">
        <f>IF(AND('Ações'!$AD334="SIM", 'Ações'!AU334="SIM"), 1,0)</f>
        <v>0</v>
      </c>
      <c r="P325" s="139">
        <f>IF(AND('Ações'!$AD334="SIM", 'Ações'!AV334="SIM"), 1,0)</f>
        <v>0</v>
      </c>
      <c r="Q325" s="139">
        <f>IF(AND('Ações'!$AD334="SIM", 'Ações'!AW334="SIM"), 1,0)</f>
        <v>0</v>
      </c>
      <c r="R325" s="139">
        <f>IF(AND('Ações'!$AD334="SIM", 'Ações'!AX334="SIM"), 1,0)</f>
        <v>0</v>
      </c>
    </row>
    <row r="326">
      <c r="A326" s="139">
        <f>IF(AND('Ações'!AB336="SIM", 'Ações'!AS336="SIM"), 1,0)</f>
        <v>1</v>
      </c>
      <c r="B326" s="139">
        <f>IF(AND('Ações'!$AB336="SIM", 'Ações'!AT336="SIM"), 1,0)</f>
        <v>1</v>
      </c>
      <c r="C326" s="139">
        <f>IF(AND('Ações'!$AB336="SIM", 'Ações'!AU336="SIM"), 1,0)</f>
        <v>1</v>
      </c>
      <c r="D326" s="139">
        <f>IF(AND('Ações'!$AB336="SIM", 'Ações'!AV336="SIM"), 1,0)</f>
        <v>1</v>
      </c>
      <c r="E326" s="139">
        <f>IF(AND('Ações'!$AB336="SIM", 'Ações'!AW336="SIM"), 1,0)</f>
        <v>1</v>
      </c>
      <c r="F326" s="139">
        <f>IF(AND('Ações'!$AB336="SIM", 'Ações'!AX336="SIM"), 1,0)</f>
        <v>1</v>
      </c>
      <c r="G326" s="139">
        <f>IF(AND('Ações'!$AC336="SIM", 'Ações'!AS336="SIM"), 1,0)</f>
        <v>0</v>
      </c>
      <c r="H326" s="139">
        <f>IF(AND('Ações'!$AC336="SIM", 'Ações'!AT336="SIM"), 1,0)</f>
        <v>0</v>
      </c>
      <c r="I326" s="139">
        <f>IF(AND('Ações'!$AC336="SIM", 'Ações'!AU336="SIM"), 1,0)</f>
        <v>0</v>
      </c>
      <c r="J326" s="139">
        <f>IF(AND('Ações'!$AC336="SIM", 'Ações'!AV336="SIM"), 1,0)</f>
        <v>0</v>
      </c>
      <c r="K326" s="139">
        <f>IF(AND('Ações'!$AC336="SIM", 'Ações'!AW336="SIM"), 1,0)</f>
        <v>0</v>
      </c>
      <c r="L326" s="139">
        <f>IF(AND('Ações'!$AC336="SIM", 'Ações'!AX336="SIM"), 1,0)</f>
        <v>0</v>
      </c>
      <c r="M326" s="139">
        <f>IF(AND('Ações'!$AD336="SIM", 'Ações'!AS336="SIM"), 1,0)</f>
        <v>0</v>
      </c>
      <c r="N326" s="139">
        <f>IF(AND('Ações'!$AD336="SIM", 'Ações'!AT336="SIM"), 1,0)</f>
        <v>0</v>
      </c>
      <c r="O326" s="139">
        <f>IF(AND('Ações'!$AD336="SIM", 'Ações'!AU336="SIM"), 1,0)</f>
        <v>0</v>
      </c>
      <c r="P326" s="139">
        <f>IF(AND('Ações'!$AD336="SIM", 'Ações'!AV336="SIM"), 1,0)</f>
        <v>0</v>
      </c>
      <c r="Q326" s="139">
        <f>IF(AND('Ações'!$AD336="SIM", 'Ações'!AW336="SIM"), 1,0)</f>
        <v>0</v>
      </c>
      <c r="R326" s="139">
        <f>IF(AND('Ações'!$AD336="SIM", 'Ações'!AX336="SIM"), 1,0)</f>
        <v>0</v>
      </c>
    </row>
    <row r="327">
      <c r="A327" s="139">
        <f>IF(AND('Ações'!AB337="SIM", 'Ações'!AS337="SIM"), 1,0)</f>
        <v>1</v>
      </c>
      <c r="B327" s="139">
        <f>IF(AND('Ações'!$AB337="SIM", 'Ações'!AT337="SIM"), 1,0)</f>
        <v>1</v>
      </c>
      <c r="C327" s="139">
        <f>IF(AND('Ações'!$AB337="SIM", 'Ações'!AU337="SIM"), 1,0)</f>
        <v>1</v>
      </c>
      <c r="D327" s="139">
        <f>IF(AND('Ações'!$AB337="SIM", 'Ações'!AV337="SIM"), 1,0)</f>
        <v>1</v>
      </c>
      <c r="E327" s="139">
        <f>IF(AND('Ações'!$AB337="SIM", 'Ações'!AW337="SIM"), 1,0)</f>
        <v>1</v>
      </c>
      <c r="F327" s="139">
        <f>IF(AND('Ações'!$AB337="SIM", 'Ações'!AX337="SIM"), 1,0)</f>
        <v>1</v>
      </c>
      <c r="G327" s="139">
        <f>IF(AND('Ações'!$AC337="SIM", 'Ações'!AS337="SIM"), 1,0)</f>
        <v>0</v>
      </c>
      <c r="H327" s="139">
        <f>IF(AND('Ações'!$AC337="SIM", 'Ações'!AT337="SIM"), 1,0)</f>
        <v>0</v>
      </c>
      <c r="I327" s="139">
        <f>IF(AND('Ações'!$AC337="SIM", 'Ações'!AU337="SIM"), 1,0)</f>
        <v>0</v>
      </c>
      <c r="J327" s="139">
        <f>IF(AND('Ações'!$AC337="SIM", 'Ações'!AV337="SIM"), 1,0)</f>
        <v>0</v>
      </c>
      <c r="K327" s="139">
        <f>IF(AND('Ações'!$AC337="SIM", 'Ações'!AW337="SIM"), 1,0)</f>
        <v>0</v>
      </c>
      <c r="L327" s="139">
        <f>IF(AND('Ações'!$AC337="SIM", 'Ações'!AX337="SIM"), 1,0)</f>
        <v>0</v>
      </c>
      <c r="M327" s="139">
        <f>IF(AND('Ações'!$AD337="SIM", 'Ações'!AS337="SIM"), 1,0)</f>
        <v>0</v>
      </c>
      <c r="N327" s="139">
        <f>IF(AND('Ações'!$AD337="SIM", 'Ações'!AT337="SIM"), 1,0)</f>
        <v>0</v>
      </c>
      <c r="O327" s="139">
        <f>IF(AND('Ações'!$AD337="SIM", 'Ações'!AU337="SIM"), 1,0)</f>
        <v>0</v>
      </c>
      <c r="P327" s="139">
        <f>IF(AND('Ações'!$AD337="SIM", 'Ações'!AV337="SIM"), 1,0)</f>
        <v>0</v>
      </c>
      <c r="Q327" s="139">
        <f>IF(AND('Ações'!$AD337="SIM", 'Ações'!AW337="SIM"), 1,0)</f>
        <v>0</v>
      </c>
      <c r="R327" s="139">
        <f>IF(AND('Ações'!$AD337="SIM", 'Ações'!AX337="SIM"), 1,0)</f>
        <v>0</v>
      </c>
    </row>
    <row r="328">
      <c r="A328" s="139">
        <f>IF(AND('Ações'!AB338="SIM", 'Ações'!AS338="SIM"), 1,0)</f>
        <v>1</v>
      </c>
      <c r="B328" s="139">
        <f>IF(AND('Ações'!$AB338="SIM", 'Ações'!AT338="SIM"), 1,0)</f>
        <v>1</v>
      </c>
      <c r="C328" s="139">
        <f>IF(AND('Ações'!$AB338="SIM", 'Ações'!AU338="SIM"), 1,0)</f>
        <v>1</v>
      </c>
      <c r="D328" s="139">
        <f>IF(AND('Ações'!$AB338="SIM", 'Ações'!AV338="SIM"), 1,0)</f>
        <v>1</v>
      </c>
      <c r="E328" s="139">
        <f>IF(AND('Ações'!$AB338="SIM", 'Ações'!AW338="SIM"), 1,0)</f>
        <v>1</v>
      </c>
      <c r="F328" s="139">
        <f>IF(AND('Ações'!$AB338="SIM", 'Ações'!AX338="SIM"), 1,0)</f>
        <v>1</v>
      </c>
      <c r="G328" s="139">
        <f>IF(AND('Ações'!$AC338="SIM", 'Ações'!AS338="SIM"), 1,0)</f>
        <v>0</v>
      </c>
      <c r="H328" s="139">
        <f>IF(AND('Ações'!$AC338="SIM", 'Ações'!AT338="SIM"), 1,0)</f>
        <v>0</v>
      </c>
      <c r="I328" s="139">
        <f>IF(AND('Ações'!$AC338="SIM", 'Ações'!AU338="SIM"), 1,0)</f>
        <v>0</v>
      </c>
      <c r="J328" s="139">
        <f>IF(AND('Ações'!$AC338="SIM", 'Ações'!AV338="SIM"), 1,0)</f>
        <v>0</v>
      </c>
      <c r="K328" s="139">
        <f>IF(AND('Ações'!$AC338="SIM", 'Ações'!AW338="SIM"), 1,0)</f>
        <v>0</v>
      </c>
      <c r="L328" s="139">
        <f>IF(AND('Ações'!$AC338="SIM", 'Ações'!AX338="SIM"), 1,0)</f>
        <v>0</v>
      </c>
      <c r="M328" s="139">
        <f>IF(AND('Ações'!$AD338="SIM", 'Ações'!AS338="SIM"), 1,0)</f>
        <v>0</v>
      </c>
      <c r="N328" s="139">
        <f>IF(AND('Ações'!$AD338="SIM", 'Ações'!AT338="SIM"), 1,0)</f>
        <v>0</v>
      </c>
      <c r="O328" s="139">
        <f>IF(AND('Ações'!$AD338="SIM", 'Ações'!AU338="SIM"), 1,0)</f>
        <v>0</v>
      </c>
      <c r="P328" s="139">
        <f>IF(AND('Ações'!$AD338="SIM", 'Ações'!AV338="SIM"), 1,0)</f>
        <v>0</v>
      </c>
      <c r="Q328" s="139">
        <f>IF(AND('Ações'!$AD338="SIM", 'Ações'!AW338="SIM"), 1,0)</f>
        <v>0</v>
      </c>
      <c r="R328" s="139">
        <f>IF(AND('Ações'!$AD338="SIM", 'Ações'!AX338="SIM"), 1,0)</f>
        <v>0</v>
      </c>
    </row>
    <row r="329">
      <c r="A329" s="139">
        <f>IF(AND('Ações'!AB339="SIM", 'Ações'!AS339="SIM"), 1,0)</f>
        <v>1</v>
      </c>
      <c r="B329" s="139">
        <f>IF(AND('Ações'!$AB339="SIM", 'Ações'!AT339="SIM"), 1,0)</f>
        <v>1</v>
      </c>
      <c r="C329" s="139">
        <f>IF(AND('Ações'!$AB339="SIM", 'Ações'!AU339="SIM"), 1,0)</f>
        <v>1</v>
      </c>
      <c r="D329" s="139">
        <f>IF(AND('Ações'!$AB339="SIM", 'Ações'!AV339="SIM"), 1,0)</f>
        <v>1</v>
      </c>
      <c r="E329" s="139">
        <f>IF(AND('Ações'!$AB339="SIM", 'Ações'!AW339="SIM"), 1,0)</f>
        <v>1</v>
      </c>
      <c r="F329" s="139">
        <f>IF(AND('Ações'!$AB339="SIM", 'Ações'!AX339="SIM"), 1,0)</f>
        <v>1</v>
      </c>
      <c r="G329" s="139">
        <f>IF(AND('Ações'!$AC339="SIM", 'Ações'!AS339="SIM"), 1,0)</f>
        <v>1</v>
      </c>
      <c r="H329" s="139">
        <f>IF(AND('Ações'!$AC339="SIM", 'Ações'!AT339="SIM"), 1,0)</f>
        <v>1</v>
      </c>
      <c r="I329" s="139">
        <f>IF(AND('Ações'!$AC339="SIM", 'Ações'!AU339="SIM"), 1,0)</f>
        <v>1</v>
      </c>
      <c r="J329" s="139">
        <f>IF(AND('Ações'!$AC339="SIM", 'Ações'!AV339="SIM"), 1,0)</f>
        <v>1</v>
      </c>
      <c r="K329" s="139">
        <f>IF(AND('Ações'!$AC339="SIM", 'Ações'!AW339="SIM"), 1,0)</f>
        <v>1</v>
      </c>
      <c r="L329" s="139">
        <f>IF(AND('Ações'!$AC339="SIM", 'Ações'!AX339="SIM"), 1,0)</f>
        <v>1</v>
      </c>
      <c r="M329" s="139">
        <f>IF(AND('Ações'!$AD339="SIM", 'Ações'!AS339="SIM"), 1,0)</f>
        <v>0</v>
      </c>
      <c r="N329" s="139">
        <f>IF(AND('Ações'!$AD339="SIM", 'Ações'!AT339="SIM"), 1,0)</f>
        <v>0</v>
      </c>
      <c r="O329" s="139">
        <f>IF(AND('Ações'!$AD339="SIM", 'Ações'!AU339="SIM"), 1,0)</f>
        <v>0</v>
      </c>
      <c r="P329" s="139">
        <f>IF(AND('Ações'!$AD339="SIM", 'Ações'!AV339="SIM"), 1,0)</f>
        <v>0</v>
      </c>
      <c r="Q329" s="139">
        <f>IF(AND('Ações'!$AD339="SIM", 'Ações'!AW339="SIM"), 1,0)</f>
        <v>0</v>
      </c>
      <c r="R329" s="139">
        <f>IF(AND('Ações'!$AD339="SIM", 'Ações'!AX339="SIM"), 1,0)</f>
        <v>0</v>
      </c>
    </row>
    <row r="330">
      <c r="A330" s="139">
        <f>IF(AND('Ações'!AB340="SIM", 'Ações'!AS340="SIM"), 1,0)</f>
        <v>1</v>
      </c>
      <c r="B330" s="139">
        <f>IF(AND('Ações'!$AB340="SIM", 'Ações'!AT340="SIM"), 1,0)</f>
        <v>1</v>
      </c>
      <c r="C330" s="139">
        <f>IF(AND('Ações'!$AB340="SIM", 'Ações'!AU340="SIM"), 1,0)</f>
        <v>1</v>
      </c>
      <c r="D330" s="139">
        <f>IF(AND('Ações'!$AB340="SIM", 'Ações'!AV340="SIM"), 1,0)</f>
        <v>1</v>
      </c>
      <c r="E330" s="139">
        <f>IF(AND('Ações'!$AB340="SIM", 'Ações'!AW340="SIM"), 1,0)</f>
        <v>1</v>
      </c>
      <c r="F330" s="139">
        <f>IF(AND('Ações'!$AB340="SIM", 'Ações'!AX340="SIM"), 1,0)</f>
        <v>1</v>
      </c>
      <c r="G330" s="139">
        <f>IF(AND('Ações'!$AC340="SIM", 'Ações'!AS340="SIM"), 1,0)</f>
        <v>1</v>
      </c>
      <c r="H330" s="139">
        <f>IF(AND('Ações'!$AC340="SIM", 'Ações'!AT340="SIM"), 1,0)</f>
        <v>1</v>
      </c>
      <c r="I330" s="139">
        <f>IF(AND('Ações'!$AC340="SIM", 'Ações'!AU340="SIM"), 1,0)</f>
        <v>1</v>
      </c>
      <c r="J330" s="139">
        <f>IF(AND('Ações'!$AC340="SIM", 'Ações'!AV340="SIM"), 1,0)</f>
        <v>1</v>
      </c>
      <c r="K330" s="139">
        <f>IF(AND('Ações'!$AC340="SIM", 'Ações'!AW340="SIM"), 1,0)</f>
        <v>1</v>
      </c>
      <c r="L330" s="139">
        <f>IF(AND('Ações'!$AC340="SIM", 'Ações'!AX340="SIM"), 1,0)</f>
        <v>1</v>
      </c>
      <c r="M330" s="139">
        <f>IF(AND('Ações'!$AD340="SIM", 'Ações'!AS340="SIM"), 1,0)</f>
        <v>0</v>
      </c>
      <c r="N330" s="139">
        <f>IF(AND('Ações'!$AD340="SIM", 'Ações'!AT340="SIM"), 1,0)</f>
        <v>0</v>
      </c>
      <c r="O330" s="139">
        <f>IF(AND('Ações'!$AD340="SIM", 'Ações'!AU340="SIM"), 1,0)</f>
        <v>0</v>
      </c>
      <c r="P330" s="139">
        <f>IF(AND('Ações'!$AD340="SIM", 'Ações'!AV340="SIM"), 1,0)</f>
        <v>0</v>
      </c>
      <c r="Q330" s="139">
        <f>IF(AND('Ações'!$AD340="SIM", 'Ações'!AW340="SIM"), 1,0)</f>
        <v>0</v>
      </c>
      <c r="R330" s="139">
        <f>IF(AND('Ações'!$AD340="SIM", 'Ações'!AX340="SIM"), 1,0)</f>
        <v>0</v>
      </c>
    </row>
    <row r="331">
      <c r="A331" s="139">
        <f>IF(AND('Ações'!AB341="SIM", 'Ações'!AS341="SIM"), 1,0)</f>
        <v>0</v>
      </c>
      <c r="B331" s="139">
        <f>IF(AND('Ações'!$AB341="SIM", 'Ações'!AT341="SIM"), 1,0)</f>
        <v>0</v>
      </c>
      <c r="C331" s="139">
        <f>IF(AND('Ações'!$AB341="SIM", 'Ações'!AU341="SIM"), 1,0)</f>
        <v>0</v>
      </c>
      <c r="D331" s="139">
        <f>IF(AND('Ações'!$AB341="SIM", 'Ações'!AV341="SIM"), 1,0)</f>
        <v>0</v>
      </c>
      <c r="E331" s="139">
        <f>IF(AND('Ações'!$AB341="SIM", 'Ações'!AW341="SIM"), 1,0)</f>
        <v>0</v>
      </c>
      <c r="F331" s="139">
        <f>IF(AND('Ações'!$AB341="SIM", 'Ações'!AX341="SIM"), 1,0)</f>
        <v>0</v>
      </c>
      <c r="G331" s="139">
        <f>IF(AND('Ações'!$AC341="SIM", 'Ações'!AS341="SIM"), 1,0)</f>
        <v>1</v>
      </c>
      <c r="H331" s="139">
        <f>IF(AND('Ações'!$AC341="SIM", 'Ações'!AT341="SIM"), 1,0)</f>
        <v>1</v>
      </c>
      <c r="I331" s="139">
        <f>IF(AND('Ações'!$AC341="SIM", 'Ações'!AU341="SIM"), 1,0)</f>
        <v>1</v>
      </c>
      <c r="J331" s="139">
        <f>IF(AND('Ações'!$AC341="SIM", 'Ações'!AV341="SIM"), 1,0)</f>
        <v>1</v>
      </c>
      <c r="K331" s="139">
        <f>IF(AND('Ações'!$AC341="SIM", 'Ações'!AW341="SIM"), 1,0)</f>
        <v>1</v>
      </c>
      <c r="L331" s="139">
        <f>IF(AND('Ações'!$AC341="SIM", 'Ações'!AX341="SIM"), 1,0)</f>
        <v>1</v>
      </c>
      <c r="M331" s="139">
        <f>IF(AND('Ações'!$AD341="SIM", 'Ações'!AS341="SIM"), 1,0)</f>
        <v>0</v>
      </c>
      <c r="N331" s="139">
        <f>IF(AND('Ações'!$AD341="SIM", 'Ações'!AT341="SIM"), 1,0)</f>
        <v>0</v>
      </c>
      <c r="O331" s="139">
        <f>IF(AND('Ações'!$AD341="SIM", 'Ações'!AU341="SIM"), 1,0)</f>
        <v>0</v>
      </c>
      <c r="P331" s="139">
        <f>IF(AND('Ações'!$AD341="SIM", 'Ações'!AV341="SIM"), 1,0)</f>
        <v>0</v>
      </c>
      <c r="Q331" s="139">
        <f>IF(AND('Ações'!$AD341="SIM", 'Ações'!AW341="SIM"), 1,0)</f>
        <v>0</v>
      </c>
      <c r="R331" s="139">
        <f>IF(AND('Ações'!$AD341="SIM", 'Ações'!AX341="SIM"), 1,0)</f>
        <v>0</v>
      </c>
    </row>
    <row r="332">
      <c r="A332" s="139">
        <f>IF(AND('Ações'!AB342="SIM", 'Ações'!AS342="SIM"), 1,0)</f>
        <v>1</v>
      </c>
      <c r="B332" s="139">
        <f>IF(AND('Ações'!$AB342="SIM", 'Ações'!AT342="SIM"), 1,0)</f>
        <v>1</v>
      </c>
      <c r="C332" s="139">
        <f>IF(AND('Ações'!$AB342="SIM", 'Ações'!AU342="SIM"), 1,0)</f>
        <v>1</v>
      </c>
      <c r="D332" s="139">
        <f>IF(AND('Ações'!$AB342="SIM", 'Ações'!AV342="SIM"), 1,0)</f>
        <v>1</v>
      </c>
      <c r="E332" s="139">
        <f>IF(AND('Ações'!$AB342="SIM", 'Ações'!AW342="SIM"), 1,0)</f>
        <v>1</v>
      </c>
      <c r="F332" s="139">
        <f>IF(AND('Ações'!$AB342="SIM", 'Ações'!AX342="SIM"), 1,0)</f>
        <v>1</v>
      </c>
      <c r="G332" s="139">
        <f>IF(AND('Ações'!$AC342="SIM", 'Ações'!AS342="SIM"), 1,0)</f>
        <v>1</v>
      </c>
      <c r="H332" s="139">
        <f>IF(AND('Ações'!$AC342="SIM", 'Ações'!AT342="SIM"), 1,0)</f>
        <v>1</v>
      </c>
      <c r="I332" s="139">
        <f>IF(AND('Ações'!$AC342="SIM", 'Ações'!AU342="SIM"), 1,0)</f>
        <v>1</v>
      </c>
      <c r="J332" s="139">
        <f>IF(AND('Ações'!$AC342="SIM", 'Ações'!AV342="SIM"), 1,0)</f>
        <v>1</v>
      </c>
      <c r="K332" s="139">
        <f>IF(AND('Ações'!$AC342="SIM", 'Ações'!AW342="SIM"), 1,0)</f>
        <v>1</v>
      </c>
      <c r="L332" s="139">
        <f>IF(AND('Ações'!$AC342="SIM", 'Ações'!AX342="SIM"), 1,0)</f>
        <v>1</v>
      </c>
      <c r="M332" s="139">
        <f>IF(AND('Ações'!$AD342="SIM", 'Ações'!AS342="SIM"), 1,0)</f>
        <v>0</v>
      </c>
      <c r="N332" s="139">
        <f>IF(AND('Ações'!$AD342="SIM", 'Ações'!AT342="SIM"), 1,0)</f>
        <v>0</v>
      </c>
      <c r="O332" s="139">
        <f>IF(AND('Ações'!$AD342="SIM", 'Ações'!AU342="SIM"), 1,0)</f>
        <v>0</v>
      </c>
      <c r="P332" s="139">
        <f>IF(AND('Ações'!$AD342="SIM", 'Ações'!AV342="SIM"), 1,0)</f>
        <v>0</v>
      </c>
      <c r="Q332" s="139">
        <f>IF(AND('Ações'!$AD342="SIM", 'Ações'!AW342="SIM"), 1,0)</f>
        <v>0</v>
      </c>
      <c r="R332" s="139">
        <f>IF(AND('Ações'!$AD342="SIM", 'Ações'!AX342="SIM"), 1,0)</f>
        <v>0</v>
      </c>
    </row>
    <row r="333">
      <c r="A333" s="139">
        <f>IF(AND('Ações'!AB343="SIM", 'Ações'!AS343="SIM"), 1,0)</f>
        <v>0</v>
      </c>
      <c r="B333" s="139">
        <f>IF(AND('Ações'!$AB343="SIM", 'Ações'!AT343="SIM"), 1,0)</f>
        <v>1</v>
      </c>
      <c r="C333" s="139">
        <f>IF(AND('Ações'!$AB343="SIM", 'Ações'!AU343="SIM"), 1,0)</f>
        <v>1</v>
      </c>
      <c r="D333" s="139">
        <f>IF(AND('Ações'!$AB343="SIM", 'Ações'!AV343="SIM"), 1,0)</f>
        <v>0</v>
      </c>
      <c r="E333" s="139">
        <f>IF(AND('Ações'!$AB343="SIM", 'Ações'!AW343="SIM"), 1,0)</f>
        <v>0</v>
      </c>
      <c r="F333" s="139">
        <f>IF(AND('Ações'!$AB343="SIM", 'Ações'!AX343="SIM"), 1,0)</f>
        <v>0</v>
      </c>
      <c r="G333" s="139">
        <f>IF(AND('Ações'!$AC343="SIM", 'Ações'!AS343="SIM"), 1,0)</f>
        <v>0</v>
      </c>
      <c r="H333" s="139">
        <f>IF(AND('Ações'!$AC343="SIM", 'Ações'!AT343="SIM"), 1,0)</f>
        <v>0</v>
      </c>
      <c r="I333" s="139">
        <f>IF(AND('Ações'!$AC343="SIM", 'Ações'!AU343="SIM"), 1,0)</f>
        <v>0</v>
      </c>
      <c r="J333" s="139">
        <f>IF(AND('Ações'!$AC343="SIM", 'Ações'!AV343="SIM"), 1,0)</f>
        <v>0</v>
      </c>
      <c r="K333" s="139">
        <f>IF(AND('Ações'!$AC343="SIM", 'Ações'!AW343="SIM"), 1,0)</f>
        <v>0</v>
      </c>
      <c r="L333" s="139">
        <f>IF(AND('Ações'!$AC343="SIM", 'Ações'!AX343="SIM"), 1,0)</f>
        <v>0</v>
      </c>
      <c r="M333" s="139">
        <f>IF(AND('Ações'!$AD343="SIM", 'Ações'!AS343="SIM"), 1,0)</f>
        <v>0</v>
      </c>
      <c r="N333" s="139">
        <f>IF(AND('Ações'!$AD343="SIM", 'Ações'!AT343="SIM"), 1,0)</f>
        <v>0</v>
      </c>
      <c r="O333" s="139">
        <f>IF(AND('Ações'!$AD343="SIM", 'Ações'!AU343="SIM"), 1,0)</f>
        <v>0</v>
      </c>
      <c r="P333" s="139">
        <f>IF(AND('Ações'!$AD343="SIM", 'Ações'!AV343="SIM"), 1,0)</f>
        <v>0</v>
      </c>
      <c r="Q333" s="139">
        <f>IF(AND('Ações'!$AD343="SIM", 'Ações'!AW343="SIM"), 1,0)</f>
        <v>0</v>
      </c>
      <c r="R333" s="139">
        <f>IF(AND('Ações'!$AD343="SIM", 'Ações'!AX343="SIM"), 1,0)</f>
        <v>0</v>
      </c>
    </row>
    <row r="334">
      <c r="A334" s="139">
        <f>IF(AND('Ações'!AB344="SIM", 'Ações'!AS344="SIM"), 1,0)</f>
        <v>0</v>
      </c>
      <c r="B334" s="139">
        <f>IF(AND('Ações'!$AB344="SIM", 'Ações'!AT344="SIM"), 1,0)</f>
        <v>1</v>
      </c>
      <c r="C334" s="139">
        <f>IF(AND('Ações'!$AB344="SIM", 'Ações'!AU344="SIM"), 1,0)</f>
        <v>1</v>
      </c>
      <c r="D334" s="139">
        <f>IF(AND('Ações'!$AB344="SIM", 'Ações'!AV344="SIM"), 1,0)</f>
        <v>0</v>
      </c>
      <c r="E334" s="139">
        <f>IF(AND('Ações'!$AB344="SIM", 'Ações'!AW344="SIM"), 1,0)</f>
        <v>0</v>
      </c>
      <c r="F334" s="139">
        <f>IF(AND('Ações'!$AB344="SIM", 'Ações'!AX344="SIM"), 1,0)</f>
        <v>0</v>
      </c>
      <c r="G334" s="139">
        <f>IF(AND('Ações'!$AC344="SIM", 'Ações'!AS344="SIM"), 1,0)</f>
        <v>0</v>
      </c>
      <c r="H334" s="139">
        <f>IF(AND('Ações'!$AC344="SIM", 'Ações'!AT344="SIM"), 1,0)</f>
        <v>0</v>
      </c>
      <c r="I334" s="139">
        <f>IF(AND('Ações'!$AC344="SIM", 'Ações'!AU344="SIM"), 1,0)</f>
        <v>0</v>
      </c>
      <c r="J334" s="139">
        <f>IF(AND('Ações'!$AC344="SIM", 'Ações'!AV344="SIM"), 1,0)</f>
        <v>0</v>
      </c>
      <c r="K334" s="139">
        <f>IF(AND('Ações'!$AC344="SIM", 'Ações'!AW344="SIM"), 1,0)</f>
        <v>0</v>
      </c>
      <c r="L334" s="139">
        <f>IF(AND('Ações'!$AC344="SIM", 'Ações'!AX344="SIM"), 1,0)</f>
        <v>0</v>
      </c>
      <c r="M334" s="139">
        <f>IF(AND('Ações'!$AD344="SIM", 'Ações'!AS344="SIM"), 1,0)</f>
        <v>0</v>
      </c>
      <c r="N334" s="139">
        <f>IF(AND('Ações'!$AD344="SIM", 'Ações'!AT344="SIM"), 1,0)</f>
        <v>0</v>
      </c>
      <c r="O334" s="139">
        <f>IF(AND('Ações'!$AD344="SIM", 'Ações'!AU344="SIM"), 1,0)</f>
        <v>0</v>
      </c>
      <c r="P334" s="139">
        <f>IF(AND('Ações'!$AD344="SIM", 'Ações'!AV344="SIM"), 1,0)</f>
        <v>0</v>
      </c>
      <c r="Q334" s="139">
        <f>IF(AND('Ações'!$AD344="SIM", 'Ações'!AW344="SIM"), 1,0)</f>
        <v>0</v>
      </c>
      <c r="R334" s="139">
        <f>IF(AND('Ações'!$AD344="SIM", 'Ações'!AX344="SIM"), 1,0)</f>
        <v>0</v>
      </c>
    </row>
    <row r="335">
      <c r="A335" s="139">
        <f>IF(AND('Ações'!AB345="SIM", 'Ações'!AS345="SIM"), 1,0)</f>
        <v>0</v>
      </c>
      <c r="B335" s="139">
        <f>IF(AND('Ações'!$AB345="SIM", 'Ações'!AT345="SIM"), 1,0)</f>
        <v>1</v>
      </c>
      <c r="C335" s="139">
        <f>IF(AND('Ações'!$AB345="SIM", 'Ações'!AU345="SIM"), 1,0)</f>
        <v>1</v>
      </c>
      <c r="D335" s="139">
        <f>IF(AND('Ações'!$AB345="SIM", 'Ações'!AV345="SIM"), 1,0)</f>
        <v>0</v>
      </c>
      <c r="E335" s="139">
        <f>IF(AND('Ações'!$AB345="SIM", 'Ações'!AW345="SIM"), 1,0)</f>
        <v>0</v>
      </c>
      <c r="F335" s="139">
        <f>IF(AND('Ações'!$AB345="SIM", 'Ações'!AX345="SIM"), 1,0)</f>
        <v>0</v>
      </c>
      <c r="G335" s="139">
        <f>IF(AND('Ações'!$AC345="SIM", 'Ações'!AS345="SIM"), 1,0)</f>
        <v>0</v>
      </c>
      <c r="H335" s="139">
        <f>IF(AND('Ações'!$AC345="SIM", 'Ações'!AT345="SIM"), 1,0)</f>
        <v>0</v>
      </c>
      <c r="I335" s="139">
        <f>IF(AND('Ações'!$AC345="SIM", 'Ações'!AU345="SIM"), 1,0)</f>
        <v>0</v>
      </c>
      <c r="J335" s="139">
        <f>IF(AND('Ações'!$AC345="SIM", 'Ações'!AV345="SIM"), 1,0)</f>
        <v>0</v>
      </c>
      <c r="K335" s="139">
        <f>IF(AND('Ações'!$AC345="SIM", 'Ações'!AW345="SIM"), 1,0)</f>
        <v>0</v>
      </c>
      <c r="L335" s="139">
        <f>IF(AND('Ações'!$AC345="SIM", 'Ações'!AX345="SIM"), 1,0)</f>
        <v>0</v>
      </c>
      <c r="M335" s="139">
        <f>IF(AND('Ações'!$AD345="SIM", 'Ações'!AS345="SIM"), 1,0)</f>
        <v>0</v>
      </c>
      <c r="N335" s="139">
        <f>IF(AND('Ações'!$AD345="SIM", 'Ações'!AT345="SIM"), 1,0)</f>
        <v>0</v>
      </c>
      <c r="O335" s="139">
        <f>IF(AND('Ações'!$AD345="SIM", 'Ações'!AU345="SIM"), 1,0)</f>
        <v>0</v>
      </c>
      <c r="P335" s="139">
        <f>IF(AND('Ações'!$AD345="SIM", 'Ações'!AV345="SIM"), 1,0)</f>
        <v>0</v>
      </c>
      <c r="Q335" s="139">
        <f>IF(AND('Ações'!$AD345="SIM", 'Ações'!AW345="SIM"), 1,0)</f>
        <v>0</v>
      </c>
      <c r="R335" s="139">
        <f>IF(AND('Ações'!$AD345="SIM", 'Ações'!AX345="SIM"), 1,0)</f>
        <v>0</v>
      </c>
    </row>
    <row r="336">
      <c r="A336" s="139">
        <f>IF(AND('Ações'!AB346="SIM", 'Ações'!AS346="SIM"), 1,0)</f>
        <v>0</v>
      </c>
      <c r="B336" s="139">
        <f>IF(AND('Ações'!$AB346="SIM", 'Ações'!AT346="SIM"), 1,0)</f>
        <v>1</v>
      </c>
      <c r="C336" s="139">
        <f>IF(AND('Ações'!$AB346="SIM", 'Ações'!AU346="SIM"), 1,0)</f>
        <v>1</v>
      </c>
      <c r="D336" s="139">
        <f>IF(AND('Ações'!$AB346="SIM", 'Ações'!AV346="SIM"), 1,0)</f>
        <v>0</v>
      </c>
      <c r="E336" s="139">
        <f>IF(AND('Ações'!$AB346="SIM", 'Ações'!AW346="SIM"), 1,0)</f>
        <v>0</v>
      </c>
      <c r="F336" s="139">
        <f>IF(AND('Ações'!$AB346="SIM", 'Ações'!AX346="SIM"), 1,0)</f>
        <v>0</v>
      </c>
      <c r="G336" s="139">
        <f>IF(AND('Ações'!$AC346="SIM", 'Ações'!AS346="SIM"), 1,0)</f>
        <v>0</v>
      </c>
      <c r="H336" s="139">
        <f>IF(AND('Ações'!$AC346="SIM", 'Ações'!AT346="SIM"), 1,0)</f>
        <v>0</v>
      </c>
      <c r="I336" s="139">
        <f>IF(AND('Ações'!$AC346="SIM", 'Ações'!AU346="SIM"), 1,0)</f>
        <v>0</v>
      </c>
      <c r="J336" s="139">
        <f>IF(AND('Ações'!$AC346="SIM", 'Ações'!AV346="SIM"), 1,0)</f>
        <v>0</v>
      </c>
      <c r="K336" s="139">
        <f>IF(AND('Ações'!$AC346="SIM", 'Ações'!AW346="SIM"), 1,0)</f>
        <v>0</v>
      </c>
      <c r="L336" s="139">
        <f>IF(AND('Ações'!$AC346="SIM", 'Ações'!AX346="SIM"), 1,0)</f>
        <v>0</v>
      </c>
      <c r="M336" s="139">
        <f>IF(AND('Ações'!$AD346="SIM", 'Ações'!AS346="SIM"), 1,0)</f>
        <v>0</v>
      </c>
      <c r="N336" s="139">
        <f>IF(AND('Ações'!$AD346="SIM", 'Ações'!AT346="SIM"), 1,0)</f>
        <v>0</v>
      </c>
      <c r="O336" s="139">
        <f>IF(AND('Ações'!$AD346="SIM", 'Ações'!AU346="SIM"), 1,0)</f>
        <v>0</v>
      </c>
      <c r="P336" s="139">
        <f>IF(AND('Ações'!$AD346="SIM", 'Ações'!AV346="SIM"), 1,0)</f>
        <v>0</v>
      </c>
      <c r="Q336" s="139">
        <f>IF(AND('Ações'!$AD346="SIM", 'Ações'!AW346="SIM"), 1,0)</f>
        <v>0</v>
      </c>
      <c r="R336" s="139">
        <f>IF(AND('Ações'!$AD346="SIM", 'Ações'!AX346="SIM"), 1,0)</f>
        <v>0</v>
      </c>
    </row>
    <row r="337">
      <c r="A337" s="139">
        <f>IF(AND('Ações'!AB347="SIM", 'Ações'!AS347="SIM"), 1,0)</f>
        <v>0</v>
      </c>
      <c r="B337" s="139">
        <f>IF(AND('Ações'!$AB347="SIM", 'Ações'!AT347="SIM"), 1,0)</f>
        <v>1</v>
      </c>
      <c r="C337" s="139">
        <f>IF(AND('Ações'!$AB347="SIM", 'Ações'!AU347="SIM"), 1,0)</f>
        <v>1</v>
      </c>
      <c r="D337" s="139">
        <f>IF(AND('Ações'!$AB347="SIM", 'Ações'!AV347="SIM"), 1,0)</f>
        <v>0</v>
      </c>
      <c r="E337" s="139">
        <f>IF(AND('Ações'!$AB347="SIM", 'Ações'!AW347="SIM"), 1,0)</f>
        <v>0</v>
      </c>
      <c r="F337" s="139">
        <f>IF(AND('Ações'!$AB347="SIM", 'Ações'!AX347="SIM"), 1,0)</f>
        <v>0</v>
      </c>
      <c r="G337" s="139">
        <f>IF(AND('Ações'!$AC347="SIM", 'Ações'!AS347="SIM"), 1,0)</f>
        <v>0</v>
      </c>
      <c r="H337" s="139">
        <f>IF(AND('Ações'!$AC347="SIM", 'Ações'!AT347="SIM"), 1,0)</f>
        <v>0</v>
      </c>
      <c r="I337" s="139">
        <f>IF(AND('Ações'!$AC347="SIM", 'Ações'!AU347="SIM"), 1,0)</f>
        <v>0</v>
      </c>
      <c r="J337" s="139">
        <f>IF(AND('Ações'!$AC347="SIM", 'Ações'!AV347="SIM"), 1,0)</f>
        <v>0</v>
      </c>
      <c r="K337" s="139">
        <f>IF(AND('Ações'!$AC347="SIM", 'Ações'!AW347="SIM"), 1,0)</f>
        <v>0</v>
      </c>
      <c r="L337" s="139">
        <f>IF(AND('Ações'!$AC347="SIM", 'Ações'!AX347="SIM"), 1,0)</f>
        <v>0</v>
      </c>
      <c r="M337" s="139">
        <f>IF(AND('Ações'!$AD347="SIM", 'Ações'!AS347="SIM"), 1,0)</f>
        <v>0</v>
      </c>
      <c r="N337" s="139">
        <f>IF(AND('Ações'!$AD347="SIM", 'Ações'!AT347="SIM"), 1,0)</f>
        <v>0</v>
      </c>
      <c r="O337" s="139">
        <f>IF(AND('Ações'!$AD347="SIM", 'Ações'!AU347="SIM"), 1,0)</f>
        <v>0</v>
      </c>
      <c r="P337" s="139">
        <f>IF(AND('Ações'!$AD347="SIM", 'Ações'!AV347="SIM"), 1,0)</f>
        <v>0</v>
      </c>
      <c r="Q337" s="139">
        <f>IF(AND('Ações'!$AD347="SIM", 'Ações'!AW347="SIM"), 1,0)</f>
        <v>0</v>
      </c>
      <c r="R337" s="139">
        <f>IF(AND('Ações'!$AD347="SIM", 'Ações'!AX347="SIM"), 1,0)</f>
        <v>0</v>
      </c>
    </row>
    <row r="338">
      <c r="A338" s="139">
        <f>IF(AND('Ações'!AB348="SIM", 'Ações'!AS348="SIM"), 1,0)</f>
        <v>0</v>
      </c>
      <c r="B338" s="139">
        <f>IF(AND('Ações'!$AB348="SIM", 'Ações'!AT348="SIM"), 1,0)</f>
        <v>1</v>
      </c>
      <c r="C338" s="139">
        <f>IF(AND('Ações'!$AB348="SIM", 'Ações'!AU348="SIM"), 1,0)</f>
        <v>1</v>
      </c>
      <c r="D338" s="139">
        <f>IF(AND('Ações'!$AB348="SIM", 'Ações'!AV348="SIM"), 1,0)</f>
        <v>0</v>
      </c>
      <c r="E338" s="139">
        <f>IF(AND('Ações'!$AB348="SIM", 'Ações'!AW348="SIM"), 1,0)</f>
        <v>0</v>
      </c>
      <c r="F338" s="139">
        <f>IF(AND('Ações'!$AB348="SIM", 'Ações'!AX348="SIM"), 1,0)</f>
        <v>0</v>
      </c>
      <c r="G338" s="139">
        <f>IF(AND('Ações'!$AC348="SIM", 'Ações'!AS348="SIM"), 1,0)</f>
        <v>0</v>
      </c>
      <c r="H338" s="139">
        <f>IF(AND('Ações'!$AC348="SIM", 'Ações'!AT348="SIM"), 1,0)</f>
        <v>1</v>
      </c>
      <c r="I338" s="139">
        <f>IF(AND('Ações'!$AC348="SIM", 'Ações'!AU348="SIM"), 1,0)</f>
        <v>1</v>
      </c>
      <c r="J338" s="139">
        <f>IF(AND('Ações'!$AC348="SIM", 'Ações'!AV348="SIM"), 1,0)</f>
        <v>0</v>
      </c>
      <c r="K338" s="139">
        <f>IF(AND('Ações'!$AC348="SIM", 'Ações'!AW348="SIM"), 1,0)</f>
        <v>0</v>
      </c>
      <c r="L338" s="139">
        <f>IF(AND('Ações'!$AC348="SIM", 'Ações'!AX348="SIM"), 1,0)</f>
        <v>0</v>
      </c>
      <c r="M338" s="139">
        <f>IF(AND('Ações'!$AD348="SIM", 'Ações'!AS348="SIM"), 1,0)</f>
        <v>0</v>
      </c>
      <c r="N338" s="139">
        <f>IF(AND('Ações'!$AD348="SIM", 'Ações'!AT348="SIM"), 1,0)</f>
        <v>1</v>
      </c>
      <c r="O338" s="139">
        <f>IF(AND('Ações'!$AD348="SIM", 'Ações'!AU348="SIM"), 1,0)</f>
        <v>1</v>
      </c>
      <c r="P338" s="139">
        <f>IF(AND('Ações'!$AD348="SIM", 'Ações'!AV348="SIM"), 1,0)</f>
        <v>0</v>
      </c>
      <c r="Q338" s="139">
        <f>IF(AND('Ações'!$AD348="SIM", 'Ações'!AW348="SIM"), 1,0)</f>
        <v>0</v>
      </c>
      <c r="R338" s="139">
        <f>IF(AND('Ações'!$AD348="SIM", 'Ações'!AX348="SIM"), 1,0)</f>
        <v>0</v>
      </c>
    </row>
    <row r="339">
      <c r="A339" s="139">
        <f>IF(AND('Ações'!AB349="SIM", 'Ações'!AS349="SIM"), 1,0)</f>
        <v>0</v>
      </c>
      <c r="B339" s="139">
        <f>IF(AND('Ações'!$AB349="SIM", 'Ações'!AT349="SIM"), 1,0)</f>
        <v>0</v>
      </c>
      <c r="C339" s="139">
        <f>IF(AND('Ações'!$AB349="SIM", 'Ações'!AU349="SIM"), 1,0)</f>
        <v>0</v>
      </c>
      <c r="D339" s="139">
        <f>IF(AND('Ações'!$AB349="SIM", 'Ações'!AV349="SIM"), 1,0)</f>
        <v>0</v>
      </c>
      <c r="E339" s="139">
        <f>IF(AND('Ações'!$AB349="SIM", 'Ações'!AW349="SIM"), 1,0)</f>
        <v>0</v>
      </c>
      <c r="F339" s="139">
        <f>IF(AND('Ações'!$AB349="SIM", 'Ações'!AX349="SIM"), 1,0)</f>
        <v>0</v>
      </c>
      <c r="G339" s="139">
        <f>IF(AND('Ações'!$AC349="SIM", 'Ações'!AS349="SIM"), 1,0)</f>
        <v>0</v>
      </c>
      <c r="H339" s="139">
        <f>IF(AND('Ações'!$AC349="SIM", 'Ações'!AT349="SIM"), 1,0)</f>
        <v>1</v>
      </c>
      <c r="I339" s="139">
        <f>IF(AND('Ações'!$AC349="SIM", 'Ações'!AU349="SIM"), 1,0)</f>
        <v>1</v>
      </c>
      <c r="J339" s="139">
        <f>IF(AND('Ações'!$AC349="SIM", 'Ações'!AV349="SIM"), 1,0)</f>
        <v>0</v>
      </c>
      <c r="K339" s="139">
        <f>IF(AND('Ações'!$AC349="SIM", 'Ações'!AW349="SIM"), 1,0)</f>
        <v>0</v>
      </c>
      <c r="L339" s="139">
        <f>IF(AND('Ações'!$AC349="SIM", 'Ações'!AX349="SIM"), 1,0)</f>
        <v>0</v>
      </c>
      <c r="M339" s="139">
        <f>IF(AND('Ações'!$AD349="SIM", 'Ações'!AS349="SIM"), 1,0)</f>
        <v>0</v>
      </c>
      <c r="N339" s="139">
        <f>IF(AND('Ações'!$AD349="SIM", 'Ações'!AT349="SIM"), 1,0)</f>
        <v>0</v>
      </c>
      <c r="O339" s="139">
        <f>IF(AND('Ações'!$AD349="SIM", 'Ações'!AU349="SIM"), 1,0)</f>
        <v>0</v>
      </c>
      <c r="P339" s="139">
        <f>IF(AND('Ações'!$AD349="SIM", 'Ações'!AV349="SIM"), 1,0)</f>
        <v>0</v>
      </c>
      <c r="Q339" s="139">
        <f>IF(AND('Ações'!$AD349="SIM", 'Ações'!AW349="SIM"), 1,0)</f>
        <v>0</v>
      </c>
      <c r="R339" s="139">
        <f>IF(AND('Ações'!$AD349="SIM", 'Ações'!AX349="SIM"), 1,0)</f>
        <v>0</v>
      </c>
    </row>
    <row r="340">
      <c r="A340" s="139">
        <f>IF(AND('Ações'!AB350="SIM", 'Ações'!AS350="SIM"), 1,0)</f>
        <v>1</v>
      </c>
      <c r="B340" s="139">
        <f>IF(AND('Ações'!$AB350="SIM", 'Ações'!AT350="SIM"), 1,0)</f>
        <v>1</v>
      </c>
      <c r="C340" s="139">
        <f>IF(AND('Ações'!$AB350="SIM", 'Ações'!AU350="SIM"), 1,0)</f>
        <v>1</v>
      </c>
      <c r="D340" s="139">
        <f>IF(AND('Ações'!$AB350="SIM", 'Ações'!AV350="SIM"), 1,0)</f>
        <v>1</v>
      </c>
      <c r="E340" s="139">
        <f>IF(AND('Ações'!$AB350="SIM", 'Ações'!AW350="SIM"), 1,0)</f>
        <v>0</v>
      </c>
      <c r="F340" s="139">
        <f>IF(AND('Ações'!$AB350="SIM", 'Ações'!AX350="SIM"), 1,0)</f>
        <v>0</v>
      </c>
      <c r="G340" s="139">
        <f>IF(AND('Ações'!$AC350="SIM", 'Ações'!AS350="SIM"), 1,0)</f>
        <v>0</v>
      </c>
      <c r="H340" s="139">
        <f>IF(AND('Ações'!$AC350="SIM", 'Ações'!AT350="SIM"), 1,0)</f>
        <v>0</v>
      </c>
      <c r="I340" s="139">
        <f>IF(AND('Ações'!$AC350="SIM", 'Ações'!AU350="SIM"), 1,0)</f>
        <v>0</v>
      </c>
      <c r="J340" s="139">
        <f>IF(AND('Ações'!$AC350="SIM", 'Ações'!AV350="SIM"), 1,0)</f>
        <v>0</v>
      </c>
      <c r="K340" s="139">
        <f>IF(AND('Ações'!$AC350="SIM", 'Ações'!AW350="SIM"), 1,0)</f>
        <v>0</v>
      </c>
      <c r="L340" s="139">
        <f>IF(AND('Ações'!$AC350="SIM", 'Ações'!AX350="SIM"), 1,0)</f>
        <v>0</v>
      </c>
      <c r="M340" s="139">
        <f>IF(AND('Ações'!$AD350="SIM", 'Ações'!AS350="SIM"), 1,0)</f>
        <v>0</v>
      </c>
      <c r="N340" s="139">
        <f>IF(AND('Ações'!$AD350="SIM", 'Ações'!AT350="SIM"), 1,0)</f>
        <v>0</v>
      </c>
      <c r="O340" s="139">
        <f>IF(AND('Ações'!$AD350="SIM", 'Ações'!AU350="SIM"), 1,0)</f>
        <v>0</v>
      </c>
      <c r="P340" s="139">
        <f>IF(AND('Ações'!$AD350="SIM", 'Ações'!AV350="SIM"), 1,0)</f>
        <v>0</v>
      </c>
      <c r="Q340" s="139">
        <f>IF(AND('Ações'!$AD350="SIM", 'Ações'!AW350="SIM"), 1,0)</f>
        <v>0</v>
      </c>
      <c r="R340" s="139">
        <f>IF(AND('Ações'!$AD350="SIM", 'Ações'!AX350="SIM"), 1,0)</f>
        <v>0</v>
      </c>
    </row>
    <row r="341">
      <c r="A341" s="139">
        <f>IF(AND('Ações'!AB351="SIM", 'Ações'!AS351="SIM"), 1,0)</f>
        <v>0</v>
      </c>
      <c r="B341" s="139">
        <f>IF(AND('Ações'!$AB351="SIM", 'Ações'!AT351="SIM"), 1,0)</f>
        <v>0</v>
      </c>
      <c r="C341" s="139">
        <f>IF(AND('Ações'!$AB351="SIM", 'Ações'!AU351="SIM"), 1,0)</f>
        <v>0</v>
      </c>
      <c r="D341" s="139">
        <f>IF(AND('Ações'!$AB351="SIM", 'Ações'!AV351="SIM"), 1,0)</f>
        <v>0</v>
      </c>
      <c r="E341" s="139">
        <f>IF(AND('Ações'!$AB351="SIM", 'Ações'!AW351="SIM"), 1,0)</f>
        <v>0</v>
      </c>
      <c r="F341" s="139">
        <f>IF(AND('Ações'!$AB351="SIM", 'Ações'!AX351="SIM"), 1,0)</f>
        <v>0</v>
      </c>
      <c r="G341" s="139">
        <f>IF(AND('Ações'!$AC351="SIM", 'Ações'!AS351="SIM"), 1,0)</f>
        <v>1</v>
      </c>
      <c r="H341" s="139">
        <f>IF(AND('Ações'!$AC351="SIM", 'Ações'!AT351="SIM"), 1,0)</f>
        <v>1</v>
      </c>
      <c r="I341" s="139">
        <f>IF(AND('Ações'!$AC351="SIM", 'Ações'!AU351="SIM"), 1,0)</f>
        <v>1</v>
      </c>
      <c r="J341" s="139">
        <f>IF(AND('Ações'!$AC351="SIM", 'Ações'!AV351="SIM"), 1,0)</f>
        <v>1</v>
      </c>
      <c r="K341" s="139">
        <f>IF(AND('Ações'!$AC351="SIM", 'Ações'!AW351="SIM"), 1,0)</f>
        <v>0</v>
      </c>
      <c r="L341" s="139">
        <f>IF(AND('Ações'!$AC351="SIM", 'Ações'!AX351="SIM"), 1,0)</f>
        <v>0</v>
      </c>
      <c r="M341" s="139">
        <f>IF(AND('Ações'!$AD351="SIM", 'Ações'!AS351="SIM"), 1,0)</f>
        <v>0</v>
      </c>
      <c r="N341" s="139">
        <f>IF(AND('Ações'!$AD351="SIM", 'Ações'!AT351="SIM"), 1,0)</f>
        <v>0</v>
      </c>
      <c r="O341" s="139">
        <f>IF(AND('Ações'!$AD351="SIM", 'Ações'!AU351="SIM"), 1,0)</f>
        <v>0</v>
      </c>
      <c r="P341" s="139">
        <f>IF(AND('Ações'!$AD351="SIM", 'Ações'!AV351="SIM"), 1,0)</f>
        <v>0</v>
      </c>
      <c r="Q341" s="139">
        <f>IF(AND('Ações'!$AD351="SIM", 'Ações'!AW351="SIM"), 1,0)</f>
        <v>0</v>
      </c>
      <c r="R341" s="139">
        <f>IF(AND('Ações'!$AD351="SIM", 'Ações'!AX351="SIM"), 1,0)</f>
        <v>0</v>
      </c>
    </row>
    <row r="342">
      <c r="A342" s="139">
        <f>IF(AND('Ações'!AB352="SIM", 'Ações'!AS352="SIM"), 1,0)</f>
        <v>1</v>
      </c>
      <c r="B342" s="139">
        <f>IF(AND('Ações'!$AB352="SIM", 'Ações'!AT352="SIM"), 1,0)</f>
        <v>1</v>
      </c>
      <c r="C342" s="139">
        <f>IF(AND('Ações'!$AB352="SIM", 'Ações'!AU352="SIM"), 1,0)</f>
        <v>1</v>
      </c>
      <c r="D342" s="139">
        <f>IF(AND('Ações'!$AB352="SIM", 'Ações'!AV352="SIM"), 1,0)</f>
        <v>1</v>
      </c>
      <c r="E342" s="139">
        <f>IF(AND('Ações'!$AB352="SIM", 'Ações'!AW352="SIM"), 1,0)</f>
        <v>0</v>
      </c>
      <c r="F342" s="139">
        <f>IF(AND('Ações'!$AB352="SIM", 'Ações'!AX352="SIM"), 1,0)</f>
        <v>0</v>
      </c>
      <c r="G342" s="139">
        <f>IF(AND('Ações'!$AC352="SIM", 'Ações'!AS352="SIM"), 1,0)</f>
        <v>1</v>
      </c>
      <c r="H342" s="139">
        <f>IF(AND('Ações'!$AC352="SIM", 'Ações'!AT352="SIM"), 1,0)</f>
        <v>1</v>
      </c>
      <c r="I342" s="139">
        <f>IF(AND('Ações'!$AC352="SIM", 'Ações'!AU352="SIM"), 1,0)</f>
        <v>1</v>
      </c>
      <c r="J342" s="139">
        <f>IF(AND('Ações'!$AC352="SIM", 'Ações'!AV352="SIM"), 1,0)</f>
        <v>1</v>
      </c>
      <c r="K342" s="139">
        <f>IF(AND('Ações'!$AC352="SIM", 'Ações'!AW352="SIM"), 1,0)</f>
        <v>0</v>
      </c>
      <c r="L342" s="139">
        <f>IF(AND('Ações'!$AC352="SIM", 'Ações'!AX352="SIM"), 1,0)</f>
        <v>0</v>
      </c>
      <c r="M342" s="139">
        <f>IF(AND('Ações'!$AD352="SIM", 'Ações'!AS352="SIM"), 1,0)</f>
        <v>0</v>
      </c>
      <c r="N342" s="139">
        <f>IF(AND('Ações'!$AD352="SIM", 'Ações'!AT352="SIM"), 1,0)</f>
        <v>0</v>
      </c>
      <c r="O342" s="139">
        <f>IF(AND('Ações'!$AD352="SIM", 'Ações'!AU352="SIM"), 1,0)</f>
        <v>0</v>
      </c>
      <c r="P342" s="139">
        <f>IF(AND('Ações'!$AD352="SIM", 'Ações'!AV352="SIM"), 1,0)</f>
        <v>0</v>
      </c>
      <c r="Q342" s="139">
        <f>IF(AND('Ações'!$AD352="SIM", 'Ações'!AW352="SIM"), 1,0)</f>
        <v>0</v>
      </c>
      <c r="R342" s="139">
        <f>IF(AND('Ações'!$AD352="SIM", 'Ações'!AX352="SIM"), 1,0)</f>
        <v>0</v>
      </c>
    </row>
    <row r="343">
      <c r="A343" s="139">
        <f>IF(AND('Ações'!AB353="SIM", 'Ações'!AS353="SIM"), 1,0)</f>
        <v>0</v>
      </c>
      <c r="B343" s="139">
        <f>IF(AND('Ações'!$AB353="SIM", 'Ações'!AT353="SIM"), 1,0)</f>
        <v>0</v>
      </c>
      <c r="C343" s="139">
        <f>IF(AND('Ações'!$AB353="SIM", 'Ações'!AU353="SIM"), 1,0)</f>
        <v>0</v>
      </c>
      <c r="D343" s="139">
        <f>IF(AND('Ações'!$AB353="SIM", 'Ações'!AV353="SIM"), 1,0)</f>
        <v>0</v>
      </c>
      <c r="E343" s="139">
        <f>IF(AND('Ações'!$AB353="SIM", 'Ações'!AW353="SIM"), 1,0)</f>
        <v>0</v>
      </c>
      <c r="F343" s="139">
        <f>IF(AND('Ações'!$AB353="SIM", 'Ações'!AX353="SIM"), 1,0)</f>
        <v>0</v>
      </c>
      <c r="G343" s="139">
        <f>IF(AND('Ações'!$AC353="SIM", 'Ações'!AS353="SIM"), 1,0)</f>
        <v>1</v>
      </c>
      <c r="H343" s="139">
        <f>IF(AND('Ações'!$AC353="SIM", 'Ações'!AT353="SIM"), 1,0)</f>
        <v>1</v>
      </c>
      <c r="I343" s="139">
        <f>IF(AND('Ações'!$AC353="SIM", 'Ações'!AU353="SIM"), 1,0)</f>
        <v>1</v>
      </c>
      <c r="J343" s="139">
        <f>IF(AND('Ações'!$AC353="SIM", 'Ações'!AV353="SIM"), 1,0)</f>
        <v>1</v>
      </c>
      <c r="K343" s="139">
        <f>IF(AND('Ações'!$AC353="SIM", 'Ações'!AW353="SIM"), 1,0)</f>
        <v>0</v>
      </c>
      <c r="L343" s="139">
        <f>IF(AND('Ações'!$AC353="SIM", 'Ações'!AX353="SIM"), 1,0)</f>
        <v>0</v>
      </c>
      <c r="M343" s="139">
        <f>IF(AND('Ações'!$AD353="SIM", 'Ações'!AS353="SIM"), 1,0)</f>
        <v>0</v>
      </c>
      <c r="N343" s="139">
        <f>IF(AND('Ações'!$AD353="SIM", 'Ações'!AT353="SIM"), 1,0)</f>
        <v>0</v>
      </c>
      <c r="O343" s="139">
        <f>IF(AND('Ações'!$AD353="SIM", 'Ações'!AU353="SIM"), 1,0)</f>
        <v>0</v>
      </c>
      <c r="P343" s="139">
        <f>IF(AND('Ações'!$AD353="SIM", 'Ações'!AV353="SIM"), 1,0)</f>
        <v>0</v>
      </c>
      <c r="Q343" s="139">
        <f>IF(AND('Ações'!$AD353="SIM", 'Ações'!AW353="SIM"), 1,0)</f>
        <v>0</v>
      </c>
      <c r="R343" s="139">
        <f>IF(AND('Ações'!$AD353="SIM", 'Ações'!AX353="SIM"), 1,0)</f>
        <v>0</v>
      </c>
    </row>
    <row r="344">
      <c r="A344" s="139">
        <f>IF(AND('Ações'!AB354="SIM", 'Ações'!AS354="SIM"), 1,0)</f>
        <v>1</v>
      </c>
      <c r="B344" s="139">
        <f>IF(AND('Ações'!$AB354="SIM", 'Ações'!AT354="SIM"), 1,0)</f>
        <v>1</v>
      </c>
      <c r="C344" s="139">
        <f>IF(AND('Ações'!$AB354="SIM", 'Ações'!AU354="SIM"), 1,0)</f>
        <v>1</v>
      </c>
      <c r="D344" s="139">
        <f>IF(AND('Ações'!$AB354="SIM", 'Ações'!AV354="SIM"), 1,0)</f>
        <v>1</v>
      </c>
      <c r="E344" s="139">
        <f>IF(AND('Ações'!$AB354="SIM", 'Ações'!AW354="SIM"), 1,0)</f>
        <v>0</v>
      </c>
      <c r="F344" s="139">
        <f>IF(AND('Ações'!$AB354="SIM", 'Ações'!AX354="SIM"), 1,0)</f>
        <v>0</v>
      </c>
      <c r="G344" s="139">
        <f>IF(AND('Ações'!$AC354="SIM", 'Ações'!AS354="SIM"), 1,0)</f>
        <v>1</v>
      </c>
      <c r="H344" s="139">
        <f>IF(AND('Ações'!$AC354="SIM", 'Ações'!AT354="SIM"), 1,0)</f>
        <v>1</v>
      </c>
      <c r="I344" s="139">
        <f>IF(AND('Ações'!$AC354="SIM", 'Ações'!AU354="SIM"), 1,0)</f>
        <v>1</v>
      </c>
      <c r="J344" s="139">
        <f>IF(AND('Ações'!$AC354="SIM", 'Ações'!AV354="SIM"), 1,0)</f>
        <v>1</v>
      </c>
      <c r="K344" s="139">
        <f>IF(AND('Ações'!$AC354="SIM", 'Ações'!AW354="SIM"), 1,0)</f>
        <v>0</v>
      </c>
      <c r="L344" s="139">
        <f>IF(AND('Ações'!$AC354="SIM", 'Ações'!AX354="SIM"), 1,0)</f>
        <v>0</v>
      </c>
      <c r="M344" s="139">
        <f>IF(AND('Ações'!$AD354="SIM", 'Ações'!AS354="SIM"), 1,0)</f>
        <v>0</v>
      </c>
      <c r="N344" s="139">
        <f>IF(AND('Ações'!$AD354="SIM", 'Ações'!AT354="SIM"), 1,0)</f>
        <v>0</v>
      </c>
      <c r="O344" s="139">
        <f>IF(AND('Ações'!$AD354="SIM", 'Ações'!AU354="SIM"), 1,0)</f>
        <v>0</v>
      </c>
      <c r="P344" s="139">
        <f>IF(AND('Ações'!$AD354="SIM", 'Ações'!AV354="SIM"), 1,0)</f>
        <v>0</v>
      </c>
      <c r="Q344" s="139">
        <f>IF(AND('Ações'!$AD354="SIM", 'Ações'!AW354="SIM"), 1,0)</f>
        <v>0</v>
      </c>
      <c r="R344" s="139">
        <f>IF(AND('Ações'!$AD354="SIM", 'Ações'!AX354="SIM"), 1,0)</f>
        <v>0</v>
      </c>
    </row>
    <row r="345">
      <c r="A345" s="139">
        <f>IF(AND('Ações'!AB355="SIM", 'Ações'!AS355="SIM"), 1,0)</f>
        <v>1</v>
      </c>
      <c r="B345" s="139">
        <f>IF(AND('Ações'!$AB355="SIM", 'Ações'!AT355="SIM"), 1,0)</f>
        <v>1</v>
      </c>
      <c r="C345" s="139">
        <f>IF(AND('Ações'!$AB355="SIM", 'Ações'!AU355="SIM"), 1,0)</f>
        <v>1</v>
      </c>
      <c r="D345" s="139">
        <f>IF(AND('Ações'!$AB355="SIM", 'Ações'!AV355="SIM"), 1,0)</f>
        <v>1</v>
      </c>
      <c r="E345" s="139">
        <f>IF(AND('Ações'!$AB355="SIM", 'Ações'!AW355="SIM"), 1,0)</f>
        <v>0</v>
      </c>
      <c r="F345" s="139">
        <f>IF(AND('Ações'!$AB355="SIM", 'Ações'!AX355="SIM"), 1,0)</f>
        <v>0</v>
      </c>
      <c r="G345" s="139">
        <f>IF(AND('Ações'!$AC355="SIM", 'Ações'!AS355="SIM"), 1,0)</f>
        <v>0</v>
      </c>
      <c r="H345" s="139">
        <f>IF(AND('Ações'!$AC355="SIM", 'Ações'!AT355="SIM"), 1,0)</f>
        <v>0</v>
      </c>
      <c r="I345" s="139">
        <f>IF(AND('Ações'!$AC355="SIM", 'Ações'!AU355="SIM"), 1,0)</f>
        <v>0</v>
      </c>
      <c r="J345" s="139">
        <f>IF(AND('Ações'!$AC355="SIM", 'Ações'!AV355="SIM"), 1,0)</f>
        <v>0</v>
      </c>
      <c r="K345" s="139">
        <f>IF(AND('Ações'!$AC355="SIM", 'Ações'!AW355="SIM"), 1,0)</f>
        <v>0</v>
      </c>
      <c r="L345" s="139">
        <f>IF(AND('Ações'!$AC355="SIM", 'Ações'!AX355="SIM"), 1,0)</f>
        <v>0</v>
      </c>
      <c r="M345" s="139">
        <f>IF(AND('Ações'!$AD355="SIM", 'Ações'!AS355="SIM"), 1,0)</f>
        <v>0</v>
      </c>
      <c r="N345" s="139">
        <f>IF(AND('Ações'!$AD355="SIM", 'Ações'!AT355="SIM"), 1,0)</f>
        <v>0</v>
      </c>
      <c r="O345" s="139">
        <f>IF(AND('Ações'!$AD355="SIM", 'Ações'!AU355="SIM"), 1,0)</f>
        <v>0</v>
      </c>
      <c r="P345" s="139">
        <f>IF(AND('Ações'!$AD355="SIM", 'Ações'!AV355="SIM"), 1,0)</f>
        <v>0</v>
      </c>
      <c r="Q345" s="139">
        <f>IF(AND('Ações'!$AD355="SIM", 'Ações'!AW355="SIM"), 1,0)</f>
        <v>0</v>
      </c>
      <c r="R345" s="139">
        <f>IF(AND('Ações'!$AD355="SIM", 'Ações'!AX355="SIM"), 1,0)</f>
        <v>0</v>
      </c>
    </row>
    <row r="346">
      <c r="A346" s="139">
        <f>IF(AND('Ações'!AB356="SIM", 'Ações'!AS356="SIM"), 1,0)</f>
        <v>0</v>
      </c>
      <c r="B346" s="139">
        <f>IF(AND('Ações'!$AB356="SIM", 'Ações'!AT356="SIM"), 1,0)</f>
        <v>0</v>
      </c>
      <c r="C346" s="139">
        <f>IF(AND('Ações'!$AB356="SIM", 'Ações'!AU356="SIM"), 1,0)</f>
        <v>0</v>
      </c>
      <c r="D346" s="139">
        <f>IF(AND('Ações'!$AB356="SIM", 'Ações'!AV356="SIM"), 1,0)</f>
        <v>0</v>
      </c>
      <c r="E346" s="139">
        <f>IF(AND('Ações'!$AB356="SIM", 'Ações'!AW356="SIM"), 1,0)</f>
        <v>0</v>
      </c>
      <c r="F346" s="139">
        <f>IF(AND('Ações'!$AB356="SIM", 'Ações'!AX356="SIM"), 1,0)</f>
        <v>0</v>
      </c>
      <c r="G346" s="139">
        <f>IF(AND('Ações'!$AC356="SIM", 'Ações'!AS356="SIM"), 1,0)</f>
        <v>1</v>
      </c>
      <c r="H346" s="139">
        <f>IF(AND('Ações'!$AC356="SIM", 'Ações'!AT356="SIM"), 1,0)</f>
        <v>1</v>
      </c>
      <c r="I346" s="139">
        <f>IF(AND('Ações'!$AC356="SIM", 'Ações'!AU356="SIM"), 1,0)</f>
        <v>1</v>
      </c>
      <c r="J346" s="139">
        <f>IF(AND('Ações'!$AC356="SIM", 'Ações'!AV356="SIM"), 1,0)</f>
        <v>1</v>
      </c>
      <c r="K346" s="139">
        <f>IF(AND('Ações'!$AC356="SIM", 'Ações'!AW356="SIM"), 1,0)</f>
        <v>0</v>
      </c>
      <c r="L346" s="139">
        <f>IF(AND('Ações'!$AC356="SIM", 'Ações'!AX356="SIM"), 1,0)</f>
        <v>0</v>
      </c>
      <c r="M346" s="139">
        <f>IF(AND('Ações'!$AD356="SIM", 'Ações'!AS356="SIM"), 1,0)</f>
        <v>0</v>
      </c>
      <c r="N346" s="139">
        <f>IF(AND('Ações'!$AD356="SIM", 'Ações'!AT356="SIM"), 1,0)</f>
        <v>0</v>
      </c>
      <c r="O346" s="139">
        <f>IF(AND('Ações'!$AD356="SIM", 'Ações'!AU356="SIM"), 1,0)</f>
        <v>0</v>
      </c>
      <c r="P346" s="139">
        <f>IF(AND('Ações'!$AD356="SIM", 'Ações'!AV356="SIM"), 1,0)</f>
        <v>0</v>
      </c>
      <c r="Q346" s="139">
        <f>IF(AND('Ações'!$AD356="SIM", 'Ações'!AW356="SIM"), 1,0)</f>
        <v>0</v>
      </c>
      <c r="R346" s="139">
        <f>IF(AND('Ações'!$AD356="SIM", 'Ações'!AX356="SIM"), 1,0)</f>
        <v>0</v>
      </c>
    </row>
    <row r="347">
      <c r="A347" s="139">
        <f>IF(AND('Ações'!AB357="SIM", 'Ações'!AS357="SIM"), 1,0)</f>
        <v>1</v>
      </c>
      <c r="B347" s="139">
        <f>IF(AND('Ações'!$AB357="SIM", 'Ações'!AT357="SIM"), 1,0)</f>
        <v>1</v>
      </c>
      <c r="C347" s="139">
        <f>IF(AND('Ações'!$AB357="SIM", 'Ações'!AU357="SIM"), 1,0)</f>
        <v>1</v>
      </c>
      <c r="D347" s="139">
        <f>IF(AND('Ações'!$AB357="SIM", 'Ações'!AV357="SIM"), 1,0)</f>
        <v>1</v>
      </c>
      <c r="E347" s="139">
        <f>IF(AND('Ações'!$AB357="SIM", 'Ações'!AW357="SIM"), 1,0)</f>
        <v>0</v>
      </c>
      <c r="F347" s="139">
        <f>IF(AND('Ações'!$AB357="SIM", 'Ações'!AX357="SIM"), 1,0)</f>
        <v>0</v>
      </c>
      <c r="G347" s="139">
        <f>IF(AND('Ações'!$AC357="SIM", 'Ações'!AS357="SIM"), 1,0)</f>
        <v>1</v>
      </c>
      <c r="H347" s="139">
        <f>IF(AND('Ações'!$AC357="SIM", 'Ações'!AT357="SIM"), 1,0)</f>
        <v>1</v>
      </c>
      <c r="I347" s="139">
        <f>IF(AND('Ações'!$AC357="SIM", 'Ações'!AU357="SIM"), 1,0)</f>
        <v>1</v>
      </c>
      <c r="J347" s="139">
        <f>IF(AND('Ações'!$AC357="SIM", 'Ações'!AV357="SIM"), 1,0)</f>
        <v>1</v>
      </c>
      <c r="K347" s="139">
        <f>IF(AND('Ações'!$AC357="SIM", 'Ações'!AW357="SIM"), 1,0)</f>
        <v>0</v>
      </c>
      <c r="L347" s="139">
        <f>IF(AND('Ações'!$AC357="SIM", 'Ações'!AX357="SIM"), 1,0)</f>
        <v>0</v>
      </c>
      <c r="M347" s="139">
        <f>IF(AND('Ações'!$AD357="SIM", 'Ações'!AS357="SIM"), 1,0)</f>
        <v>1</v>
      </c>
      <c r="N347" s="139">
        <f>IF(AND('Ações'!$AD357="SIM", 'Ações'!AT357="SIM"), 1,0)</f>
        <v>1</v>
      </c>
      <c r="O347" s="139">
        <f>IF(AND('Ações'!$AD357="SIM", 'Ações'!AU357="SIM"), 1,0)</f>
        <v>1</v>
      </c>
      <c r="P347" s="139">
        <f>IF(AND('Ações'!$AD357="SIM", 'Ações'!AV357="SIM"), 1,0)</f>
        <v>1</v>
      </c>
      <c r="Q347" s="139">
        <f>IF(AND('Ações'!$AD357="SIM", 'Ações'!AW357="SIM"), 1,0)</f>
        <v>0</v>
      </c>
      <c r="R347" s="139">
        <f>IF(AND('Ações'!$AD357="SIM", 'Ações'!AX357="SIM"), 1,0)</f>
        <v>0</v>
      </c>
    </row>
    <row r="348">
      <c r="A348" s="139">
        <f>IF(AND('Ações'!AB358="SIM", 'Ações'!AS358="SIM"), 1,0)</f>
        <v>0</v>
      </c>
      <c r="B348" s="139">
        <f>IF(AND('Ações'!$AB358="SIM", 'Ações'!AT358="SIM"), 1,0)</f>
        <v>0</v>
      </c>
      <c r="C348" s="139">
        <f>IF(AND('Ações'!$AB358="SIM", 'Ações'!AU358="SIM"), 1,0)</f>
        <v>0</v>
      </c>
      <c r="D348" s="139">
        <f>IF(AND('Ações'!$AB358="SIM", 'Ações'!AV358="SIM"), 1,0)</f>
        <v>0</v>
      </c>
      <c r="E348" s="139">
        <f>IF(AND('Ações'!$AB358="SIM", 'Ações'!AW358="SIM"), 1,0)</f>
        <v>0</v>
      </c>
      <c r="F348" s="139">
        <f>IF(AND('Ações'!$AB358="SIM", 'Ações'!AX358="SIM"), 1,0)</f>
        <v>0</v>
      </c>
      <c r="G348" s="139">
        <f>IF(AND('Ações'!$AC358="SIM", 'Ações'!AS358="SIM"), 1,0)</f>
        <v>1</v>
      </c>
      <c r="H348" s="139">
        <f>IF(AND('Ações'!$AC358="SIM", 'Ações'!AT358="SIM"), 1,0)</f>
        <v>1</v>
      </c>
      <c r="I348" s="139">
        <f>IF(AND('Ações'!$AC358="SIM", 'Ações'!AU358="SIM"), 1,0)</f>
        <v>1</v>
      </c>
      <c r="J348" s="139">
        <f>IF(AND('Ações'!$AC358="SIM", 'Ações'!AV358="SIM"), 1,0)</f>
        <v>1</v>
      </c>
      <c r="K348" s="139">
        <f>IF(AND('Ações'!$AC358="SIM", 'Ações'!AW358="SIM"), 1,0)</f>
        <v>0</v>
      </c>
      <c r="L348" s="139">
        <f>IF(AND('Ações'!$AC358="SIM", 'Ações'!AX358="SIM"), 1,0)</f>
        <v>0</v>
      </c>
      <c r="M348" s="139">
        <f>IF(AND('Ações'!$AD358="SIM", 'Ações'!AS358="SIM"), 1,0)</f>
        <v>1</v>
      </c>
      <c r="N348" s="139">
        <f>IF(AND('Ações'!$AD358="SIM", 'Ações'!AT358="SIM"), 1,0)</f>
        <v>1</v>
      </c>
      <c r="O348" s="139">
        <f>IF(AND('Ações'!$AD358="SIM", 'Ações'!AU358="SIM"), 1,0)</f>
        <v>1</v>
      </c>
      <c r="P348" s="139">
        <f>IF(AND('Ações'!$AD358="SIM", 'Ações'!AV358="SIM"), 1,0)</f>
        <v>1</v>
      </c>
      <c r="Q348" s="139">
        <f>IF(AND('Ações'!$AD358="SIM", 'Ações'!AW358="SIM"), 1,0)</f>
        <v>0</v>
      </c>
      <c r="R348" s="139">
        <f>IF(AND('Ações'!$AD358="SIM", 'Ações'!AX358="SIM"), 1,0)</f>
        <v>0</v>
      </c>
    </row>
    <row r="349">
      <c r="A349" s="139">
        <f>IF(AND('Ações'!AB359="SIM", 'Ações'!AS359="SIM"), 1,0)</f>
        <v>1</v>
      </c>
      <c r="B349" s="139">
        <f>IF(AND('Ações'!$AB359="SIM", 'Ações'!AT359="SIM"), 1,0)</f>
        <v>1</v>
      </c>
      <c r="C349" s="139">
        <f>IF(AND('Ações'!$AB359="SIM", 'Ações'!AU359="SIM"), 1,0)</f>
        <v>1</v>
      </c>
      <c r="D349" s="139">
        <f>IF(AND('Ações'!$AB359="SIM", 'Ações'!AV359="SIM"), 1,0)</f>
        <v>1</v>
      </c>
      <c r="E349" s="139">
        <f>IF(AND('Ações'!$AB359="SIM", 'Ações'!AW359="SIM"), 1,0)</f>
        <v>0</v>
      </c>
      <c r="F349" s="139">
        <f>IF(AND('Ações'!$AB359="SIM", 'Ações'!AX359="SIM"), 1,0)</f>
        <v>0</v>
      </c>
      <c r="G349" s="139">
        <f>IF(AND('Ações'!$AC359="SIM", 'Ações'!AS359="SIM"), 1,0)</f>
        <v>1</v>
      </c>
      <c r="H349" s="139">
        <f>IF(AND('Ações'!$AC359="SIM", 'Ações'!AT359="SIM"), 1,0)</f>
        <v>1</v>
      </c>
      <c r="I349" s="139">
        <f>IF(AND('Ações'!$AC359="SIM", 'Ações'!AU359="SIM"), 1,0)</f>
        <v>1</v>
      </c>
      <c r="J349" s="139">
        <f>IF(AND('Ações'!$AC359="SIM", 'Ações'!AV359="SIM"), 1,0)</f>
        <v>1</v>
      </c>
      <c r="K349" s="139">
        <f>IF(AND('Ações'!$AC359="SIM", 'Ações'!AW359="SIM"), 1,0)</f>
        <v>0</v>
      </c>
      <c r="L349" s="139">
        <f>IF(AND('Ações'!$AC359="SIM", 'Ações'!AX359="SIM"), 1,0)</f>
        <v>0</v>
      </c>
      <c r="M349" s="139">
        <f>IF(AND('Ações'!$AD359="SIM", 'Ações'!AS359="SIM"), 1,0)</f>
        <v>0</v>
      </c>
      <c r="N349" s="139">
        <f>IF(AND('Ações'!$AD359="SIM", 'Ações'!AT359="SIM"), 1,0)</f>
        <v>0</v>
      </c>
      <c r="O349" s="139">
        <f>IF(AND('Ações'!$AD359="SIM", 'Ações'!AU359="SIM"), 1,0)</f>
        <v>0</v>
      </c>
      <c r="P349" s="139">
        <f>IF(AND('Ações'!$AD359="SIM", 'Ações'!AV359="SIM"), 1,0)</f>
        <v>0</v>
      </c>
      <c r="Q349" s="139">
        <f>IF(AND('Ações'!$AD359="SIM", 'Ações'!AW359="SIM"), 1,0)</f>
        <v>0</v>
      </c>
      <c r="R349" s="139">
        <f>IF(AND('Ações'!$AD359="SIM", 'Ações'!AX359="SIM"), 1,0)</f>
        <v>0</v>
      </c>
    </row>
    <row r="350">
      <c r="A350" s="139" t="str">
        <f t="shared" ref="A350:R350" si="5">IF(AND(#REF!="SIM", #REF!="SIM"), 1,0)</f>
        <v>#REF!</v>
      </c>
      <c r="B350" s="139" t="str">
        <f t="shared" si="5"/>
        <v>#REF!</v>
      </c>
      <c r="C350" s="139" t="str">
        <f t="shared" si="5"/>
        <v>#REF!</v>
      </c>
      <c r="D350" s="139" t="str">
        <f t="shared" si="5"/>
        <v>#REF!</v>
      </c>
      <c r="E350" s="139" t="str">
        <f t="shared" si="5"/>
        <v>#REF!</v>
      </c>
      <c r="F350" s="139" t="str">
        <f t="shared" si="5"/>
        <v>#REF!</v>
      </c>
      <c r="G350" s="139" t="str">
        <f t="shared" si="5"/>
        <v>#REF!</v>
      </c>
      <c r="H350" s="139" t="str">
        <f t="shared" si="5"/>
        <v>#REF!</v>
      </c>
      <c r="I350" s="139" t="str">
        <f t="shared" si="5"/>
        <v>#REF!</v>
      </c>
      <c r="J350" s="139" t="str">
        <f t="shared" si="5"/>
        <v>#REF!</v>
      </c>
      <c r="K350" s="139" t="str">
        <f t="shared" si="5"/>
        <v>#REF!</v>
      </c>
      <c r="L350" s="139" t="str">
        <f t="shared" si="5"/>
        <v>#REF!</v>
      </c>
      <c r="M350" s="139" t="str">
        <f t="shared" si="5"/>
        <v>#REF!</v>
      </c>
      <c r="N350" s="139" t="str">
        <f t="shared" si="5"/>
        <v>#REF!</v>
      </c>
      <c r="O350" s="139" t="str">
        <f t="shared" si="5"/>
        <v>#REF!</v>
      </c>
      <c r="P350" s="139" t="str">
        <f t="shared" si="5"/>
        <v>#REF!</v>
      </c>
      <c r="Q350" s="139" t="str">
        <f t="shared" si="5"/>
        <v>#REF!</v>
      </c>
      <c r="R350" s="139" t="str">
        <f t="shared" si="5"/>
        <v>#REF!</v>
      </c>
    </row>
    <row r="351">
      <c r="A351" s="139">
        <f>IF(AND('Ações'!AB360="SIM", 'Ações'!AS360="SIM"), 1,0)</f>
        <v>0</v>
      </c>
      <c r="B351" s="139">
        <f>IF(AND('Ações'!$AB360="SIM", 'Ações'!AT360="SIM"), 1,0)</f>
        <v>0</v>
      </c>
      <c r="C351" s="139">
        <f>IF(AND('Ações'!$AB360="SIM", 'Ações'!AU360="SIM"), 1,0)</f>
        <v>0</v>
      </c>
      <c r="D351" s="139">
        <f>IF(AND('Ações'!$AB360="SIM", 'Ações'!AV360="SIM"), 1,0)</f>
        <v>0</v>
      </c>
      <c r="E351" s="139">
        <f>IF(AND('Ações'!$AB360="SIM", 'Ações'!AW360="SIM"), 1,0)</f>
        <v>0</v>
      </c>
      <c r="F351" s="139">
        <f>IF(AND('Ações'!$AB360="SIM", 'Ações'!AX360="SIM"), 1,0)</f>
        <v>0</v>
      </c>
      <c r="G351" s="139">
        <f>IF(AND('Ações'!$AC360="SIM", 'Ações'!AS360="SIM"), 1,0)</f>
        <v>1</v>
      </c>
      <c r="H351" s="139">
        <f>IF(AND('Ações'!$AC360="SIM", 'Ações'!AT360="SIM"), 1,0)</f>
        <v>1</v>
      </c>
      <c r="I351" s="139">
        <f>IF(AND('Ações'!$AC360="SIM", 'Ações'!AU360="SIM"), 1,0)</f>
        <v>1</v>
      </c>
      <c r="J351" s="139">
        <f>IF(AND('Ações'!$AC360="SIM", 'Ações'!AV360="SIM"), 1,0)</f>
        <v>1</v>
      </c>
      <c r="K351" s="139">
        <f>IF(AND('Ações'!$AC360="SIM", 'Ações'!AW360="SIM"), 1,0)</f>
        <v>0</v>
      </c>
      <c r="L351" s="139">
        <f>IF(AND('Ações'!$AC360="SIM", 'Ações'!AX360="SIM"), 1,0)</f>
        <v>0</v>
      </c>
      <c r="M351" s="139">
        <f>IF(AND('Ações'!$AD360="SIM", 'Ações'!AS360="SIM"), 1,0)</f>
        <v>0</v>
      </c>
      <c r="N351" s="139">
        <f>IF(AND('Ações'!$AD360="SIM", 'Ações'!AT360="SIM"), 1,0)</f>
        <v>0</v>
      </c>
      <c r="O351" s="139">
        <f>IF(AND('Ações'!$AD360="SIM", 'Ações'!AU360="SIM"), 1,0)</f>
        <v>0</v>
      </c>
      <c r="P351" s="139">
        <f>IF(AND('Ações'!$AD360="SIM", 'Ações'!AV360="SIM"), 1,0)</f>
        <v>0</v>
      </c>
      <c r="Q351" s="139">
        <f>IF(AND('Ações'!$AD360="SIM", 'Ações'!AW360="SIM"), 1,0)</f>
        <v>0</v>
      </c>
      <c r="R351" s="139">
        <f>IF(AND('Ações'!$AD360="SIM", 'Ações'!AX360="SIM"), 1,0)</f>
        <v>0</v>
      </c>
    </row>
    <row r="352">
      <c r="A352" s="139">
        <f>IF(AND('Ações'!AB361="SIM", 'Ações'!AS361="SIM"), 1,0)</f>
        <v>0</v>
      </c>
      <c r="B352" s="139">
        <f>IF(AND('Ações'!$AB361="SIM", 'Ações'!AT361="SIM"), 1,0)</f>
        <v>0</v>
      </c>
      <c r="C352" s="139">
        <f>IF(AND('Ações'!$AB361="SIM", 'Ações'!AU361="SIM"), 1,0)</f>
        <v>0</v>
      </c>
      <c r="D352" s="139">
        <f>IF(AND('Ações'!$AB361="SIM", 'Ações'!AV361="SIM"), 1,0)</f>
        <v>0</v>
      </c>
      <c r="E352" s="139">
        <f>IF(AND('Ações'!$AB361="SIM", 'Ações'!AW361="SIM"), 1,0)</f>
        <v>0</v>
      </c>
      <c r="F352" s="139">
        <f>IF(AND('Ações'!$AB361="SIM", 'Ações'!AX361="SIM"), 1,0)</f>
        <v>0</v>
      </c>
      <c r="G352" s="139">
        <f>IF(AND('Ações'!$AC361="SIM", 'Ações'!AS361="SIM"), 1,0)</f>
        <v>1</v>
      </c>
      <c r="H352" s="139">
        <f>IF(AND('Ações'!$AC361="SIM", 'Ações'!AT361="SIM"), 1,0)</f>
        <v>1</v>
      </c>
      <c r="I352" s="139">
        <f>IF(AND('Ações'!$AC361="SIM", 'Ações'!AU361="SIM"), 1,0)</f>
        <v>1</v>
      </c>
      <c r="J352" s="139">
        <f>IF(AND('Ações'!$AC361="SIM", 'Ações'!AV361="SIM"), 1,0)</f>
        <v>1</v>
      </c>
      <c r="K352" s="139">
        <f>IF(AND('Ações'!$AC361="SIM", 'Ações'!AW361="SIM"), 1,0)</f>
        <v>0</v>
      </c>
      <c r="L352" s="139">
        <f>IF(AND('Ações'!$AC361="SIM", 'Ações'!AX361="SIM"), 1,0)</f>
        <v>0</v>
      </c>
      <c r="M352" s="139">
        <f>IF(AND('Ações'!$AD361="SIM", 'Ações'!AS361="SIM"), 1,0)</f>
        <v>0</v>
      </c>
      <c r="N352" s="139">
        <f>IF(AND('Ações'!$AD361="SIM", 'Ações'!AT361="SIM"), 1,0)</f>
        <v>0</v>
      </c>
      <c r="O352" s="139">
        <f>IF(AND('Ações'!$AD361="SIM", 'Ações'!AU361="SIM"), 1,0)</f>
        <v>0</v>
      </c>
      <c r="P352" s="139">
        <f>IF(AND('Ações'!$AD361="SIM", 'Ações'!AV361="SIM"), 1,0)</f>
        <v>0</v>
      </c>
      <c r="Q352" s="139">
        <f>IF(AND('Ações'!$AD361="SIM", 'Ações'!AW361="SIM"), 1,0)</f>
        <v>0</v>
      </c>
      <c r="R352" s="139">
        <f>IF(AND('Ações'!$AD361="SIM", 'Ações'!AX361="SIM"), 1,0)</f>
        <v>0</v>
      </c>
    </row>
    <row r="353">
      <c r="A353" s="139">
        <f>IF(AND('Ações'!AB362="SIM", 'Ações'!AS362="SIM"), 1,0)</f>
        <v>0</v>
      </c>
      <c r="B353" s="139">
        <f>IF(AND('Ações'!$AB362="SIM", 'Ações'!AT362="SIM"), 1,0)</f>
        <v>0</v>
      </c>
      <c r="C353" s="139">
        <f>IF(AND('Ações'!$AB362="SIM", 'Ações'!AU362="SIM"), 1,0)</f>
        <v>0</v>
      </c>
      <c r="D353" s="139">
        <f>IF(AND('Ações'!$AB362="SIM", 'Ações'!AV362="SIM"), 1,0)</f>
        <v>0</v>
      </c>
      <c r="E353" s="139">
        <f>IF(AND('Ações'!$AB362="SIM", 'Ações'!AW362="SIM"), 1,0)</f>
        <v>0</v>
      </c>
      <c r="F353" s="139">
        <f>IF(AND('Ações'!$AB362="SIM", 'Ações'!AX362="SIM"), 1,0)</f>
        <v>0</v>
      </c>
      <c r="G353" s="139">
        <f>IF(AND('Ações'!$AC362="SIM", 'Ações'!AS362="SIM"), 1,0)</f>
        <v>1</v>
      </c>
      <c r="H353" s="139">
        <f>IF(AND('Ações'!$AC362="SIM", 'Ações'!AT362="SIM"), 1,0)</f>
        <v>0</v>
      </c>
      <c r="I353" s="139">
        <f>IF(AND('Ações'!$AC362="SIM", 'Ações'!AU362="SIM"), 1,0)</f>
        <v>0</v>
      </c>
      <c r="J353" s="139">
        <f>IF(AND('Ações'!$AC362="SIM", 'Ações'!AV362="SIM"), 1,0)</f>
        <v>0</v>
      </c>
      <c r="K353" s="139">
        <f>IF(AND('Ações'!$AC362="SIM", 'Ações'!AW362="SIM"), 1,0)</f>
        <v>0</v>
      </c>
      <c r="L353" s="139">
        <f>IF(AND('Ações'!$AC362="SIM", 'Ações'!AX362="SIM"), 1,0)</f>
        <v>0</v>
      </c>
      <c r="M353" s="139">
        <f>IF(AND('Ações'!$AD362="SIM", 'Ações'!AS362="SIM"), 1,0)</f>
        <v>0</v>
      </c>
      <c r="N353" s="139">
        <f>IF(AND('Ações'!$AD362="SIM", 'Ações'!AT362="SIM"), 1,0)</f>
        <v>0</v>
      </c>
      <c r="O353" s="139">
        <f>IF(AND('Ações'!$AD362="SIM", 'Ações'!AU362="SIM"), 1,0)</f>
        <v>0</v>
      </c>
      <c r="P353" s="139">
        <f>IF(AND('Ações'!$AD362="SIM", 'Ações'!AV362="SIM"), 1,0)</f>
        <v>0</v>
      </c>
      <c r="Q353" s="139">
        <f>IF(AND('Ações'!$AD362="SIM", 'Ações'!AW362="SIM"), 1,0)</f>
        <v>0</v>
      </c>
      <c r="R353" s="139">
        <f>IF(AND('Ações'!$AD362="SIM", 'Ações'!AX362="SIM"), 1,0)</f>
        <v>0</v>
      </c>
    </row>
    <row r="354">
      <c r="A354" s="139">
        <f>IF(AND('Ações'!AB363="SIM", 'Ações'!AS363="SIM"), 1,0)</f>
        <v>1</v>
      </c>
      <c r="B354" s="139">
        <f>IF(AND('Ações'!$AB363="SIM", 'Ações'!AT363="SIM"), 1,0)</f>
        <v>0</v>
      </c>
      <c r="C354" s="139">
        <f>IF(AND('Ações'!$AB363="SIM", 'Ações'!AU363="SIM"), 1,0)</f>
        <v>0</v>
      </c>
      <c r="D354" s="139">
        <f>IF(AND('Ações'!$AB363="SIM", 'Ações'!AV363="SIM"), 1,0)</f>
        <v>0</v>
      </c>
      <c r="E354" s="139">
        <f>IF(AND('Ações'!$AB363="SIM", 'Ações'!AW363="SIM"), 1,0)</f>
        <v>0</v>
      </c>
      <c r="F354" s="139">
        <f>IF(AND('Ações'!$AB363="SIM", 'Ações'!AX363="SIM"), 1,0)</f>
        <v>0</v>
      </c>
      <c r="G354" s="139">
        <f>IF(AND('Ações'!$AC363="SIM", 'Ações'!AS363="SIM"), 1,0)</f>
        <v>0</v>
      </c>
      <c r="H354" s="139">
        <f>IF(AND('Ações'!$AC363="SIM", 'Ações'!AT363="SIM"), 1,0)</f>
        <v>0</v>
      </c>
      <c r="I354" s="139">
        <f>IF(AND('Ações'!$AC363="SIM", 'Ações'!AU363="SIM"), 1,0)</f>
        <v>0</v>
      </c>
      <c r="J354" s="139">
        <f>IF(AND('Ações'!$AC363="SIM", 'Ações'!AV363="SIM"), 1,0)</f>
        <v>0</v>
      </c>
      <c r="K354" s="139">
        <f>IF(AND('Ações'!$AC363="SIM", 'Ações'!AW363="SIM"), 1,0)</f>
        <v>0</v>
      </c>
      <c r="L354" s="139">
        <f>IF(AND('Ações'!$AC363="SIM", 'Ações'!AX363="SIM"), 1,0)</f>
        <v>0</v>
      </c>
      <c r="M354" s="139">
        <f>IF(AND('Ações'!$AD363="SIM", 'Ações'!AS363="SIM"), 1,0)</f>
        <v>0</v>
      </c>
      <c r="N354" s="139">
        <f>IF(AND('Ações'!$AD363="SIM", 'Ações'!AT363="SIM"), 1,0)</f>
        <v>0</v>
      </c>
      <c r="O354" s="139">
        <f>IF(AND('Ações'!$AD363="SIM", 'Ações'!AU363="SIM"), 1,0)</f>
        <v>0</v>
      </c>
      <c r="P354" s="139">
        <f>IF(AND('Ações'!$AD363="SIM", 'Ações'!AV363="SIM"), 1,0)</f>
        <v>0</v>
      </c>
      <c r="Q354" s="139">
        <f>IF(AND('Ações'!$AD363="SIM", 'Ações'!AW363="SIM"), 1,0)</f>
        <v>0</v>
      </c>
      <c r="R354" s="139">
        <f>IF(AND('Ações'!$AD363="SIM", 'Ações'!AX363="SIM"), 1,0)</f>
        <v>0</v>
      </c>
    </row>
    <row r="355">
      <c r="A355" s="139">
        <f>IF(AND('Ações'!AB364="SIM", 'Ações'!AS364="SIM"), 1,0)</f>
        <v>0</v>
      </c>
      <c r="B355" s="139">
        <f>IF(AND('Ações'!$AB364="SIM", 'Ações'!AT364="SIM"), 1,0)</f>
        <v>0</v>
      </c>
      <c r="C355" s="139">
        <f>IF(AND('Ações'!$AB364="SIM", 'Ações'!AU364="SIM"), 1,0)</f>
        <v>0</v>
      </c>
      <c r="D355" s="139">
        <f>IF(AND('Ações'!$AB364="SIM", 'Ações'!AV364="SIM"), 1,0)</f>
        <v>0</v>
      </c>
      <c r="E355" s="139">
        <f>IF(AND('Ações'!$AB364="SIM", 'Ações'!AW364="SIM"), 1,0)</f>
        <v>0</v>
      </c>
      <c r="F355" s="139">
        <f>IF(AND('Ações'!$AB364="SIM", 'Ações'!AX364="SIM"), 1,0)</f>
        <v>0</v>
      </c>
      <c r="G355" s="139">
        <f>IF(AND('Ações'!$AC364="SIM", 'Ações'!AS364="SIM"), 1,0)</f>
        <v>1</v>
      </c>
      <c r="H355" s="139">
        <f>IF(AND('Ações'!$AC364="SIM", 'Ações'!AT364="SIM"), 1,0)</f>
        <v>0</v>
      </c>
      <c r="I355" s="139">
        <f>IF(AND('Ações'!$AC364="SIM", 'Ações'!AU364="SIM"), 1,0)</f>
        <v>0</v>
      </c>
      <c r="J355" s="139">
        <f>IF(AND('Ações'!$AC364="SIM", 'Ações'!AV364="SIM"), 1,0)</f>
        <v>0</v>
      </c>
      <c r="K355" s="139">
        <f>IF(AND('Ações'!$AC364="SIM", 'Ações'!AW364="SIM"), 1,0)</f>
        <v>0</v>
      </c>
      <c r="L355" s="139">
        <f>IF(AND('Ações'!$AC364="SIM", 'Ações'!AX364="SIM"), 1,0)</f>
        <v>0</v>
      </c>
      <c r="M355" s="139">
        <f>IF(AND('Ações'!$AD364="SIM", 'Ações'!AS364="SIM"), 1,0)</f>
        <v>0</v>
      </c>
      <c r="N355" s="139">
        <f>IF(AND('Ações'!$AD364="SIM", 'Ações'!AT364="SIM"), 1,0)</f>
        <v>0</v>
      </c>
      <c r="O355" s="139">
        <f>IF(AND('Ações'!$AD364="SIM", 'Ações'!AU364="SIM"), 1,0)</f>
        <v>0</v>
      </c>
      <c r="P355" s="139">
        <f>IF(AND('Ações'!$AD364="SIM", 'Ações'!AV364="SIM"), 1,0)</f>
        <v>0</v>
      </c>
      <c r="Q355" s="139">
        <f>IF(AND('Ações'!$AD364="SIM", 'Ações'!AW364="SIM"), 1,0)</f>
        <v>0</v>
      </c>
      <c r="R355" s="139">
        <f>IF(AND('Ações'!$AD364="SIM", 'Ações'!AX364="SIM"), 1,0)</f>
        <v>0</v>
      </c>
    </row>
    <row r="356">
      <c r="A356" s="139">
        <f>IF(AND('Ações'!AB365="SIM", 'Ações'!AS365="SIM"), 1,0)</f>
        <v>0</v>
      </c>
      <c r="B356" s="139">
        <f>IF(AND('Ações'!$AB365="SIM", 'Ações'!AT365="SIM"), 1,0)</f>
        <v>0</v>
      </c>
      <c r="C356" s="139">
        <f>IF(AND('Ações'!$AB365="SIM", 'Ações'!AU365="SIM"), 1,0)</f>
        <v>0</v>
      </c>
      <c r="D356" s="139">
        <f>IF(AND('Ações'!$AB365="SIM", 'Ações'!AV365="SIM"), 1,0)</f>
        <v>0</v>
      </c>
      <c r="E356" s="139">
        <f>IF(AND('Ações'!$AB365="SIM", 'Ações'!AW365="SIM"), 1,0)</f>
        <v>0</v>
      </c>
      <c r="F356" s="139">
        <f>IF(AND('Ações'!$AB365="SIM", 'Ações'!AX365="SIM"), 1,0)</f>
        <v>0</v>
      </c>
      <c r="G356" s="139">
        <f>IF(AND('Ações'!$AC365="SIM", 'Ações'!AS365="SIM"), 1,0)</f>
        <v>1</v>
      </c>
      <c r="H356" s="139">
        <f>IF(AND('Ações'!$AC365="SIM", 'Ações'!AT365="SIM"), 1,0)</f>
        <v>0</v>
      </c>
      <c r="I356" s="139">
        <f>IF(AND('Ações'!$AC365="SIM", 'Ações'!AU365="SIM"), 1,0)</f>
        <v>0</v>
      </c>
      <c r="J356" s="139">
        <f>IF(AND('Ações'!$AC365="SIM", 'Ações'!AV365="SIM"), 1,0)</f>
        <v>0</v>
      </c>
      <c r="K356" s="139">
        <f>IF(AND('Ações'!$AC365="SIM", 'Ações'!AW365="SIM"), 1,0)</f>
        <v>0</v>
      </c>
      <c r="L356" s="139">
        <f>IF(AND('Ações'!$AC365="SIM", 'Ações'!AX365="SIM"), 1,0)</f>
        <v>0</v>
      </c>
      <c r="M356" s="139">
        <f>IF(AND('Ações'!$AD365="SIM", 'Ações'!AS365="SIM"), 1,0)</f>
        <v>0</v>
      </c>
      <c r="N356" s="139">
        <f>IF(AND('Ações'!$AD365="SIM", 'Ações'!AT365="SIM"), 1,0)</f>
        <v>0</v>
      </c>
      <c r="O356" s="139">
        <f>IF(AND('Ações'!$AD365="SIM", 'Ações'!AU365="SIM"), 1,0)</f>
        <v>0</v>
      </c>
      <c r="P356" s="139">
        <f>IF(AND('Ações'!$AD365="SIM", 'Ações'!AV365="SIM"), 1,0)</f>
        <v>0</v>
      </c>
      <c r="Q356" s="139">
        <f>IF(AND('Ações'!$AD365="SIM", 'Ações'!AW365="SIM"), 1,0)</f>
        <v>0</v>
      </c>
      <c r="R356" s="139">
        <f>IF(AND('Ações'!$AD365="SIM", 'Ações'!AX365="SIM"), 1,0)</f>
        <v>0</v>
      </c>
    </row>
    <row r="357">
      <c r="A357" s="139">
        <f>IF(AND('Ações'!AB366="SIM", 'Ações'!AS366="SIM"), 1,0)</f>
        <v>0</v>
      </c>
      <c r="B357" s="139">
        <f>IF(AND('Ações'!$AB366="SIM", 'Ações'!AT366="SIM"), 1,0)</f>
        <v>0</v>
      </c>
      <c r="C357" s="139">
        <f>IF(AND('Ações'!$AB366="SIM", 'Ações'!AU366="SIM"), 1,0)</f>
        <v>0</v>
      </c>
      <c r="D357" s="139">
        <f>IF(AND('Ações'!$AB366="SIM", 'Ações'!AV366="SIM"), 1,0)</f>
        <v>0</v>
      </c>
      <c r="E357" s="139">
        <f>IF(AND('Ações'!$AB366="SIM", 'Ações'!AW366="SIM"), 1,0)</f>
        <v>0</v>
      </c>
      <c r="F357" s="139">
        <f>IF(AND('Ações'!$AB366="SIM", 'Ações'!AX366="SIM"), 1,0)</f>
        <v>0</v>
      </c>
      <c r="G357" s="139">
        <f>IF(AND('Ações'!$AC366="SIM", 'Ações'!AS366="SIM"), 1,0)</f>
        <v>1</v>
      </c>
      <c r="H357" s="139">
        <f>IF(AND('Ações'!$AC366="SIM", 'Ações'!AT366="SIM"), 1,0)</f>
        <v>0</v>
      </c>
      <c r="I357" s="139">
        <f>IF(AND('Ações'!$AC366="SIM", 'Ações'!AU366="SIM"), 1,0)</f>
        <v>0</v>
      </c>
      <c r="J357" s="139">
        <f>IF(AND('Ações'!$AC366="SIM", 'Ações'!AV366="SIM"), 1,0)</f>
        <v>0</v>
      </c>
      <c r="K357" s="139">
        <f>IF(AND('Ações'!$AC366="SIM", 'Ações'!AW366="SIM"), 1,0)</f>
        <v>0</v>
      </c>
      <c r="L357" s="139">
        <f>IF(AND('Ações'!$AC366="SIM", 'Ações'!AX366="SIM"), 1,0)</f>
        <v>0</v>
      </c>
      <c r="M357" s="139">
        <f>IF(AND('Ações'!$AD366="SIM", 'Ações'!AS366="SIM"), 1,0)</f>
        <v>0</v>
      </c>
      <c r="N357" s="139">
        <f>IF(AND('Ações'!$AD366="SIM", 'Ações'!AT366="SIM"), 1,0)</f>
        <v>0</v>
      </c>
      <c r="O357" s="139">
        <f>IF(AND('Ações'!$AD366="SIM", 'Ações'!AU366="SIM"), 1,0)</f>
        <v>0</v>
      </c>
      <c r="P357" s="139">
        <f>IF(AND('Ações'!$AD366="SIM", 'Ações'!AV366="SIM"), 1,0)</f>
        <v>0</v>
      </c>
      <c r="Q357" s="139">
        <f>IF(AND('Ações'!$AD366="SIM", 'Ações'!AW366="SIM"), 1,0)</f>
        <v>0</v>
      </c>
      <c r="R357" s="139">
        <f>IF(AND('Ações'!$AD366="SIM", 'Ações'!AX366="SIM"), 1,0)</f>
        <v>0</v>
      </c>
    </row>
    <row r="358">
      <c r="A358" s="139">
        <f>IF(AND('Ações'!AB367="SIM", 'Ações'!AS367="SIM"), 1,0)</f>
        <v>1</v>
      </c>
      <c r="B358" s="139">
        <f>IF(AND('Ações'!$AB367="SIM", 'Ações'!AT367="SIM"), 1,0)</f>
        <v>0</v>
      </c>
      <c r="C358" s="139">
        <f>IF(AND('Ações'!$AB367="SIM", 'Ações'!AU367="SIM"), 1,0)</f>
        <v>0</v>
      </c>
      <c r="D358" s="139">
        <f>IF(AND('Ações'!$AB367="SIM", 'Ações'!AV367="SIM"), 1,0)</f>
        <v>0</v>
      </c>
      <c r="E358" s="139">
        <f>IF(AND('Ações'!$AB367="SIM", 'Ações'!AW367="SIM"), 1,0)</f>
        <v>0</v>
      </c>
      <c r="F358" s="139">
        <f>IF(AND('Ações'!$AB367="SIM", 'Ações'!AX367="SIM"), 1,0)</f>
        <v>0</v>
      </c>
      <c r="G358" s="139">
        <f>IF(AND('Ações'!$AC367="SIM", 'Ações'!AS367="SIM"), 1,0)</f>
        <v>0</v>
      </c>
      <c r="H358" s="139">
        <f>IF(AND('Ações'!$AC367="SIM", 'Ações'!AT367="SIM"), 1,0)</f>
        <v>0</v>
      </c>
      <c r="I358" s="139">
        <f>IF(AND('Ações'!$AC367="SIM", 'Ações'!AU367="SIM"), 1,0)</f>
        <v>0</v>
      </c>
      <c r="J358" s="139">
        <f>IF(AND('Ações'!$AC367="SIM", 'Ações'!AV367="SIM"), 1,0)</f>
        <v>0</v>
      </c>
      <c r="K358" s="139">
        <f>IF(AND('Ações'!$AC367="SIM", 'Ações'!AW367="SIM"), 1,0)</f>
        <v>0</v>
      </c>
      <c r="L358" s="139">
        <f>IF(AND('Ações'!$AC367="SIM", 'Ações'!AX367="SIM"), 1,0)</f>
        <v>0</v>
      </c>
      <c r="M358" s="139">
        <f>IF(AND('Ações'!$AD367="SIM", 'Ações'!AS367="SIM"), 1,0)</f>
        <v>0</v>
      </c>
      <c r="N358" s="139">
        <f>IF(AND('Ações'!$AD367="SIM", 'Ações'!AT367="SIM"), 1,0)</f>
        <v>0</v>
      </c>
      <c r="O358" s="139">
        <f>IF(AND('Ações'!$AD367="SIM", 'Ações'!AU367="SIM"), 1,0)</f>
        <v>0</v>
      </c>
      <c r="P358" s="139">
        <f>IF(AND('Ações'!$AD367="SIM", 'Ações'!AV367="SIM"), 1,0)</f>
        <v>0</v>
      </c>
      <c r="Q358" s="139">
        <f>IF(AND('Ações'!$AD367="SIM", 'Ações'!AW367="SIM"), 1,0)</f>
        <v>0</v>
      </c>
      <c r="R358" s="139">
        <f>IF(AND('Ações'!$AD367="SIM", 'Ações'!AX367="SIM"), 1,0)</f>
        <v>0</v>
      </c>
    </row>
    <row r="359">
      <c r="A359" s="139">
        <f>IF(AND('Ações'!AB368="SIM", 'Ações'!AS368="SIM"), 1,0)</f>
        <v>1</v>
      </c>
      <c r="B359" s="139">
        <f>IF(AND('Ações'!$AB368="SIM", 'Ações'!AT368="SIM"), 1,0)</f>
        <v>0</v>
      </c>
      <c r="C359" s="139">
        <f>IF(AND('Ações'!$AB368="SIM", 'Ações'!AU368="SIM"), 1,0)</f>
        <v>0</v>
      </c>
      <c r="D359" s="139">
        <f>IF(AND('Ações'!$AB368="SIM", 'Ações'!AV368="SIM"), 1,0)</f>
        <v>0</v>
      </c>
      <c r="E359" s="139">
        <f>IF(AND('Ações'!$AB368="SIM", 'Ações'!AW368="SIM"), 1,0)</f>
        <v>0</v>
      </c>
      <c r="F359" s="139">
        <f>IF(AND('Ações'!$AB368="SIM", 'Ações'!AX368="SIM"), 1,0)</f>
        <v>0</v>
      </c>
      <c r="G359" s="139">
        <f>IF(AND('Ações'!$AC368="SIM", 'Ações'!AS368="SIM"), 1,0)</f>
        <v>1</v>
      </c>
      <c r="H359" s="139">
        <f>IF(AND('Ações'!$AC368="SIM", 'Ações'!AT368="SIM"), 1,0)</f>
        <v>0</v>
      </c>
      <c r="I359" s="139">
        <f>IF(AND('Ações'!$AC368="SIM", 'Ações'!AU368="SIM"), 1,0)</f>
        <v>0</v>
      </c>
      <c r="J359" s="139">
        <f>IF(AND('Ações'!$AC368="SIM", 'Ações'!AV368="SIM"), 1,0)</f>
        <v>0</v>
      </c>
      <c r="K359" s="139">
        <f>IF(AND('Ações'!$AC368="SIM", 'Ações'!AW368="SIM"), 1,0)</f>
        <v>0</v>
      </c>
      <c r="L359" s="139">
        <f>IF(AND('Ações'!$AC368="SIM", 'Ações'!AX368="SIM"), 1,0)</f>
        <v>0</v>
      </c>
      <c r="M359" s="139">
        <f>IF(AND('Ações'!$AD368="SIM", 'Ações'!AS368="SIM"), 1,0)</f>
        <v>0</v>
      </c>
      <c r="N359" s="139">
        <f>IF(AND('Ações'!$AD368="SIM", 'Ações'!AT368="SIM"), 1,0)</f>
        <v>0</v>
      </c>
      <c r="O359" s="139">
        <f>IF(AND('Ações'!$AD368="SIM", 'Ações'!AU368="SIM"), 1,0)</f>
        <v>0</v>
      </c>
      <c r="P359" s="139">
        <f>IF(AND('Ações'!$AD368="SIM", 'Ações'!AV368="SIM"), 1,0)</f>
        <v>0</v>
      </c>
      <c r="Q359" s="139">
        <f>IF(AND('Ações'!$AD368="SIM", 'Ações'!AW368="SIM"), 1,0)</f>
        <v>0</v>
      </c>
      <c r="R359" s="139">
        <f>IF(AND('Ações'!$AD368="SIM", 'Ações'!AX368="SIM"), 1,0)</f>
        <v>0</v>
      </c>
    </row>
    <row r="360">
      <c r="A360" s="139">
        <f>IF(AND('Ações'!AB369="SIM", 'Ações'!AS369="SIM"), 1,0)</f>
        <v>0</v>
      </c>
      <c r="B360" s="139">
        <f>IF(AND('Ações'!$AB369="SIM", 'Ações'!AT369="SIM"), 1,0)</f>
        <v>0</v>
      </c>
      <c r="C360" s="139">
        <f>IF(AND('Ações'!$AB369="SIM", 'Ações'!AU369="SIM"), 1,0)</f>
        <v>0</v>
      </c>
      <c r="D360" s="139">
        <f>IF(AND('Ações'!$AB369="SIM", 'Ações'!AV369="SIM"), 1,0)</f>
        <v>0</v>
      </c>
      <c r="E360" s="139">
        <f>IF(AND('Ações'!$AB369="SIM", 'Ações'!AW369="SIM"), 1,0)</f>
        <v>0</v>
      </c>
      <c r="F360" s="139">
        <f>IF(AND('Ações'!$AB369="SIM", 'Ações'!AX369="SIM"), 1,0)</f>
        <v>0</v>
      </c>
      <c r="G360" s="139">
        <f>IF(AND('Ações'!$AC369="SIM", 'Ações'!AS369="SIM"), 1,0)</f>
        <v>1</v>
      </c>
      <c r="H360" s="139">
        <f>IF(AND('Ações'!$AC369="SIM", 'Ações'!AT369="SIM"), 1,0)</f>
        <v>0</v>
      </c>
      <c r="I360" s="139">
        <f>IF(AND('Ações'!$AC369="SIM", 'Ações'!AU369="SIM"), 1,0)</f>
        <v>0</v>
      </c>
      <c r="J360" s="139">
        <f>IF(AND('Ações'!$AC369="SIM", 'Ações'!AV369="SIM"), 1,0)</f>
        <v>0</v>
      </c>
      <c r="K360" s="139">
        <f>IF(AND('Ações'!$AC369="SIM", 'Ações'!AW369="SIM"), 1,0)</f>
        <v>0</v>
      </c>
      <c r="L360" s="139">
        <f>IF(AND('Ações'!$AC369="SIM", 'Ações'!AX369="SIM"), 1,0)</f>
        <v>0</v>
      </c>
      <c r="M360" s="139">
        <f>IF(AND('Ações'!$AD369="SIM", 'Ações'!AS369="SIM"), 1,0)</f>
        <v>0</v>
      </c>
      <c r="N360" s="139">
        <f>IF(AND('Ações'!$AD369="SIM", 'Ações'!AT369="SIM"), 1,0)</f>
        <v>0</v>
      </c>
      <c r="O360" s="139">
        <f>IF(AND('Ações'!$AD369="SIM", 'Ações'!AU369="SIM"), 1,0)</f>
        <v>0</v>
      </c>
      <c r="P360" s="139">
        <f>IF(AND('Ações'!$AD369="SIM", 'Ações'!AV369="SIM"), 1,0)</f>
        <v>0</v>
      </c>
      <c r="Q360" s="139">
        <f>IF(AND('Ações'!$AD369="SIM", 'Ações'!AW369="SIM"), 1,0)</f>
        <v>0</v>
      </c>
      <c r="R360" s="139">
        <f>IF(AND('Ações'!$AD369="SIM", 'Ações'!AX369="SIM"), 1,0)</f>
        <v>0</v>
      </c>
    </row>
    <row r="361">
      <c r="A361" s="139">
        <f>IF(AND('Ações'!AB370="SIM", 'Ações'!AS370="SIM"), 1,0)</f>
        <v>0</v>
      </c>
      <c r="B361" s="139">
        <f>IF(AND('Ações'!$AB370="SIM", 'Ações'!AT370="SIM"), 1,0)</f>
        <v>1</v>
      </c>
      <c r="C361" s="139">
        <f>IF(AND('Ações'!$AB370="SIM", 'Ações'!AU370="SIM"), 1,0)</f>
        <v>1</v>
      </c>
      <c r="D361" s="139">
        <f>IF(AND('Ações'!$AB370="SIM", 'Ações'!AV370="SIM"), 1,0)</f>
        <v>1</v>
      </c>
      <c r="E361" s="139">
        <f>IF(AND('Ações'!$AB370="SIM", 'Ações'!AW370="SIM"), 1,0)</f>
        <v>1</v>
      </c>
      <c r="F361" s="139">
        <f>IF(AND('Ações'!$AB370="SIM", 'Ações'!AX370="SIM"), 1,0)</f>
        <v>0</v>
      </c>
      <c r="G361" s="139">
        <f>IF(AND('Ações'!$AC370="SIM", 'Ações'!AS370="SIM"), 1,0)</f>
        <v>0</v>
      </c>
      <c r="H361" s="139">
        <f>IF(AND('Ações'!$AC370="SIM", 'Ações'!AT370="SIM"), 1,0)</f>
        <v>0</v>
      </c>
      <c r="I361" s="139">
        <f>IF(AND('Ações'!$AC370="SIM", 'Ações'!AU370="SIM"), 1,0)</f>
        <v>0</v>
      </c>
      <c r="J361" s="139">
        <f>IF(AND('Ações'!$AC370="SIM", 'Ações'!AV370="SIM"), 1,0)</f>
        <v>0</v>
      </c>
      <c r="K361" s="139">
        <f>IF(AND('Ações'!$AC370="SIM", 'Ações'!AW370="SIM"), 1,0)</f>
        <v>0</v>
      </c>
      <c r="L361" s="139">
        <f>IF(AND('Ações'!$AC370="SIM", 'Ações'!AX370="SIM"), 1,0)</f>
        <v>0</v>
      </c>
      <c r="M361" s="139">
        <f>IF(AND('Ações'!$AD370="SIM", 'Ações'!AS370="SIM"), 1,0)</f>
        <v>0</v>
      </c>
      <c r="N361" s="139">
        <f>IF(AND('Ações'!$AD370="SIM", 'Ações'!AT370="SIM"), 1,0)</f>
        <v>0</v>
      </c>
      <c r="O361" s="139">
        <f>IF(AND('Ações'!$AD370="SIM", 'Ações'!AU370="SIM"), 1,0)</f>
        <v>0</v>
      </c>
      <c r="P361" s="139">
        <f>IF(AND('Ações'!$AD370="SIM", 'Ações'!AV370="SIM"), 1,0)</f>
        <v>0</v>
      </c>
      <c r="Q361" s="139">
        <f>IF(AND('Ações'!$AD370="SIM", 'Ações'!AW370="SIM"), 1,0)</f>
        <v>0</v>
      </c>
      <c r="R361" s="139">
        <f>IF(AND('Ações'!$AD370="SIM", 'Ações'!AX370="SIM"), 1,0)</f>
        <v>0</v>
      </c>
    </row>
    <row r="362">
      <c r="A362" s="139">
        <f>IF(AND('Ações'!AB371="SIM", 'Ações'!AS371="SIM"), 1,0)</f>
        <v>0</v>
      </c>
      <c r="B362" s="139">
        <f>IF(AND('Ações'!$AB371="SIM", 'Ações'!AT371="SIM"), 1,0)</f>
        <v>1</v>
      </c>
      <c r="C362" s="139">
        <f>IF(AND('Ações'!$AB371="SIM", 'Ações'!AU371="SIM"), 1,0)</f>
        <v>1</v>
      </c>
      <c r="D362" s="139">
        <f>IF(AND('Ações'!$AB371="SIM", 'Ações'!AV371="SIM"), 1,0)</f>
        <v>1</v>
      </c>
      <c r="E362" s="139">
        <f>IF(AND('Ações'!$AB371="SIM", 'Ações'!AW371="SIM"), 1,0)</f>
        <v>1</v>
      </c>
      <c r="F362" s="139">
        <f>IF(AND('Ações'!$AB371="SIM", 'Ações'!AX371="SIM"), 1,0)</f>
        <v>0</v>
      </c>
      <c r="G362" s="139">
        <f>IF(AND('Ações'!$AC371="SIM", 'Ações'!AS371="SIM"), 1,0)</f>
        <v>0</v>
      </c>
      <c r="H362" s="139">
        <f>IF(AND('Ações'!$AC371="SIM", 'Ações'!AT371="SIM"), 1,0)</f>
        <v>0</v>
      </c>
      <c r="I362" s="139">
        <f>IF(AND('Ações'!$AC371="SIM", 'Ações'!AU371="SIM"), 1,0)</f>
        <v>0</v>
      </c>
      <c r="J362" s="139">
        <f>IF(AND('Ações'!$AC371="SIM", 'Ações'!AV371="SIM"), 1,0)</f>
        <v>0</v>
      </c>
      <c r="K362" s="139">
        <f>IF(AND('Ações'!$AC371="SIM", 'Ações'!AW371="SIM"), 1,0)</f>
        <v>0</v>
      </c>
      <c r="L362" s="139">
        <f>IF(AND('Ações'!$AC371="SIM", 'Ações'!AX371="SIM"), 1,0)</f>
        <v>0</v>
      </c>
      <c r="M362" s="139">
        <f>IF(AND('Ações'!$AD371="SIM", 'Ações'!AS371="SIM"), 1,0)</f>
        <v>0</v>
      </c>
      <c r="N362" s="139">
        <f>IF(AND('Ações'!$AD371="SIM", 'Ações'!AT371="SIM"), 1,0)</f>
        <v>0</v>
      </c>
      <c r="O362" s="139">
        <f>IF(AND('Ações'!$AD371="SIM", 'Ações'!AU371="SIM"), 1,0)</f>
        <v>0</v>
      </c>
      <c r="P362" s="139">
        <f>IF(AND('Ações'!$AD371="SIM", 'Ações'!AV371="SIM"), 1,0)</f>
        <v>0</v>
      </c>
      <c r="Q362" s="139">
        <f>IF(AND('Ações'!$AD371="SIM", 'Ações'!AW371="SIM"), 1,0)</f>
        <v>0</v>
      </c>
      <c r="R362" s="139">
        <f>IF(AND('Ações'!$AD371="SIM", 'Ações'!AX371="SIM"), 1,0)</f>
        <v>0</v>
      </c>
    </row>
    <row r="363">
      <c r="A363" s="139">
        <f>IF(AND('Ações'!AB372="SIM", 'Ações'!AS372="SIM"), 1,0)</f>
        <v>0</v>
      </c>
      <c r="B363" s="139">
        <f>IF(AND('Ações'!$AB372="SIM", 'Ações'!AT372="SIM"), 1,0)</f>
        <v>0</v>
      </c>
      <c r="C363" s="139">
        <f>IF(AND('Ações'!$AB372="SIM", 'Ações'!AU372="SIM"), 1,0)</f>
        <v>0</v>
      </c>
      <c r="D363" s="139">
        <f>IF(AND('Ações'!$AB372="SIM", 'Ações'!AV372="SIM"), 1,0)</f>
        <v>0</v>
      </c>
      <c r="E363" s="139">
        <f>IF(AND('Ações'!$AB372="SIM", 'Ações'!AW372="SIM"), 1,0)</f>
        <v>0</v>
      </c>
      <c r="F363" s="139">
        <f>IF(AND('Ações'!$AB372="SIM", 'Ações'!AX372="SIM"), 1,0)</f>
        <v>0</v>
      </c>
      <c r="G363" s="139">
        <f>IF(AND('Ações'!$AC372="SIM", 'Ações'!AS372="SIM"), 1,0)</f>
        <v>0</v>
      </c>
      <c r="H363" s="139">
        <f>IF(AND('Ações'!$AC372="SIM", 'Ações'!AT372="SIM"), 1,0)</f>
        <v>1</v>
      </c>
      <c r="I363" s="139">
        <f>IF(AND('Ações'!$AC372="SIM", 'Ações'!AU372="SIM"), 1,0)</f>
        <v>1</v>
      </c>
      <c r="J363" s="139">
        <f>IF(AND('Ações'!$AC372="SIM", 'Ações'!AV372="SIM"), 1,0)</f>
        <v>1</v>
      </c>
      <c r="K363" s="139">
        <f>IF(AND('Ações'!$AC372="SIM", 'Ações'!AW372="SIM"), 1,0)</f>
        <v>1</v>
      </c>
      <c r="L363" s="139">
        <f>IF(AND('Ações'!$AC372="SIM", 'Ações'!AX372="SIM"), 1,0)</f>
        <v>0</v>
      </c>
      <c r="M363" s="139">
        <f>IF(AND('Ações'!$AD372="SIM", 'Ações'!AS372="SIM"), 1,0)</f>
        <v>0</v>
      </c>
      <c r="N363" s="139">
        <f>IF(AND('Ações'!$AD372="SIM", 'Ações'!AT372="SIM"), 1,0)</f>
        <v>0</v>
      </c>
      <c r="O363" s="139">
        <f>IF(AND('Ações'!$AD372="SIM", 'Ações'!AU372="SIM"), 1,0)</f>
        <v>0</v>
      </c>
      <c r="P363" s="139">
        <f>IF(AND('Ações'!$AD372="SIM", 'Ações'!AV372="SIM"), 1,0)</f>
        <v>0</v>
      </c>
      <c r="Q363" s="139">
        <f>IF(AND('Ações'!$AD372="SIM", 'Ações'!AW372="SIM"), 1,0)</f>
        <v>0</v>
      </c>
      <c r="R363" s="139">
        <f>IF(AND('Ações'!$AD372="SIM", 'Ações'!AX372="SIM"), 1,0)</f>
        <v>0</v>
      </c>
    </row>
    <row r="364">
      <c r="A364" s="139">
        <f>IF(AND('Ações'!AB373="SIM", 'Ações'!AS373="SIM"), 1,0)</f>
        <v>0</v>
      </c>
      <c r="B364" s="139">
        <f>IF(AND('Ações'!$AB373="SIM", 'Ações'!AT373="SIM"), 1,0)</f>
        <v>0</v>
      </c>
      <c r="C364" s="139">
        <f>IF(AND('Ações'!$AB373="SIM", 'Ações'!AU373="SIM"), 1,0)</f>
        <v>0</v>
      </c>
      <c r="D364" s="139">
        <f>IF(AND('Ações'!$AB373="SIM", 'Ações'!AV373="SIM"), 1,0)</f>
        <v>0</v>
      </c>
      <c r="E364" s="139">
        <f>IF(AND('Ações'!$AB373="SIM", 'Ações'!AW373="SIM"), 1,0)</f>
        <v>0</v>
      </c>
      <c r="F364" s="139">
        <f>IF(AND('Ações'!$AB373="SIM", 'Ações'!AX373="SIM"), 1,0)</f>
        <v>0</v>
      </c>
      <c r="G364" s="139">
        <f>IF(AND('Ações'!$AC373="SIM", 'Ações'!AS373="SIM"), 1,0)</f>
        <v>0</v>
      </c>
      <c r="H364" s="139">
        <f>IF(AND('Ações'!$AC373="SIM", 'Ações'!AT373="SIM"), 1,0)</f>
        <v>1</v>
      </c>
      <c r="I364" s="139">
        <f>IF(AND('Ações'!$AC373="SIM", 'Ações'!AU373="SIM"), 1,0)</f>
        <v>1</v>
      </c>
      <c r="J364" s="139">
        <f>IF(AND('Ações'!$AC373="SIM", 'Ações'!AV373="SIM"), 1,0)</f>
        <v>1</v>
      </c>
      <c r="K364" s="139">
        <f>IF(AND('Ações'!$AC373="SIM", 'Ações'!AW373="SIM"), 1,0)</f>
        <v>1</v>
      </c>
      <c r="L364" s="139">
        <f>IF(AND('Ações'!$AC373="SIM", 'Ações'!AX373="SIM"), 1,0)</f>
        <v>0</v>
      </c>
      <c r="M364" s="139">
        <f>IF(AND('Ações'!$AD373="SIM", 'Ações'!AS373="SIM"), 1,0)</f>
        <v>0</v>
      </c>
      <c r="N364" s="139">
        <f>IF(AND('Ações'!$AD373="SIM", 'Ações'!AT373="SIM"), 1,0)</f>
        <v>0</v>
      </c>
      <c r="O364" s="139">
        <f>IF(AND('Ações'!$AD373="SIM", 'Ações'!AU373="SIM"), 1,0)</f>
        <v>0</v>
      </c>
      <c r="P364" s="139">
        <f>IF(AND('Ações'!$AD373="SIM", 'Ações'!AV373="SIM"), 1,0)</f>
        <v>0</v>
      </c>
      <c r="Q364" s="139">
        <f>IF(AND('Ações'!$AD373="SIM", 'Ações'!AW373="SIM"), 1,0)</f>
        <v>0</v>
      </c>
      <c r="R364" s="139">
        <f>IF(AND('Ações'!$AD373="SIM", 'Ações'!AX373="SIM"), 1,0)</f>
        <v>0</v>
      </c>
    </row>
    <row r="365">
      <c r="A365" s="139">
        <f>IF(AND('Ações'!AB374="SIM", 'Ações'!AS374="SIM"), 1,0)</f>
        <v>0</v>
      </c>
      <c r="B365" s="139">
        <f>IF(AND('Ações'!$AB374="SIM", 'Ações'!AT374="SIM"), 1,0)</f>
        <v>0</v>
      </c>
      <c r="C365" s="139">
        <f>IF(AND('Ações'!$AB374="SIM", 'Ações'!AU374="SIM"), 1,0)</f>
        <v>0</v>
      </c>
      <c r="D365" s="139">
        <f>IF(AND('Ações'!$AB374="SIM", 'Ações'!AV374="SIM"), 1,0)</f>
        <v>0</v>
      </c>
      <c r="E365" s="139">
        <f>IF(AND('Ações'!$AB374="SIM", 'Ações'!AW374="SIM"), 1,0)</f>
        <v>0</v>
      </c>
      <c r="F365" s="139">
        <f>IF(AND('Ações'!$AB374="SIM", 'Ações'!AX374="SIM"), 1,0)</f>
        <v>0</v>
      </c>
      <c r="G365" s="139">
        <f>IF(AND('Ações'!$AC374="SIM", 'Ações'!AS374="SIM"), 1,0)</f>
        <v>1</v>
      </c>
      <c r="H365" s="139">
        <f>IF(AND('Ações'!$AC374="SIM", 'Ações'!AT374="SIM"), 1,0)</f>
        <v>1</v>
      </c>
      <c r="I365" s="139">
        <f>IF(AND('Ações'!$AC374="SIM", 'Ações'!AU374="SIM"), 1,0)</f>
        <v>1</v>
      </c>
      <c r="J365" s="139">
        <f>IF(AND('Ações'!$AC374="SIM", 'Ações'!AV374="SIM"), 1,0)</f>
        <v>1</v>
      </c>
      <c r="K365" s="139">
        <f>IF(AND('Ações'!$AC374="SIM", 'Ações'!AW374="SIM"), 1,0)</f>
        <v>1</v>
      </c>
      <c r="L365" s="139">
        <f>IF(AND('Ações'!$AC374="SIM", 'Ações'!AX374="SIM"), 1,0)</f>
        <v>1</v>
      </c>
      <c r="M365" s="139">
        <f>IF(AND('Ações'!$AD374="SIM", 'Ações'!AS374="SIM"), 1,0)</f>
        <v>0</v>
      </c>
      <c r="N365" s="139">
        <f>IF(AND('Ações'!$AD374="SIM", 'Ações'!AT374="SIM"), 1,0)</f>
        <v>0</v>
      </c>
      <c r="O365" s="139">
        <f>IF(AND('Ações'!$AD374="SIM", 'Ações'!AU374="SIM"), 1,0)</f>
        <v>0</v>
      </c>
      <c r="P365" s="139">
        <f>IF(AND('Ações'!$AD374="SIM", 'Ações'!AV374="SIM"), 1,0)</f>
        <v>0</v>
      </c>
      <c r="Q365" s="139">
        <f>IF(AND('Ações'!$AD374="SIM", 'Ações'!AW374="SIM"), 1,0)</f>
        <v>0</v>
      </c>
      <c r="R365" s="139">
        <f>IF(AND('Ações'!$AD374="SIM", 'Ações'!AX374="SIM"), 1,0)</f>
        <v>0</v>
      </c>
    </row>
    <row r="366">
      <c r="A366" s="139">
        <f>IF(AND('Ações'!AB375="SIM", 'Ações'!AS375="SIM"), 1,0)</f>
        <v>0</v>
      </c>
      <c r="B366" s="139">
        <f>IF(AND('Ações'!$AB375="SIM", 'Ações'!AT375="SIM"), 1,0)</f>
        <v>0</v>
      </c>
      <c r="C366" s="139">
        <f>IF(AND('Ações'!$AB375="SIM", 'Ações'!AU375="SIM"), 1,0)</f>
        <v>0</v>
      </c>
      <c r="D366" s="139">
        <f>IF(AND('Ações'!$AB375="SIM", 'Ações'!AV375="SIM"), 1,0)</f>
        <v>0</v>
      </c>
      <c r="E366" s="139">
        <f>IF(AND('Ações'!$AB375="SIM", 'Ações'!AW375="SIM"), 1,0)</f>
        <v>0</v>
      </c>
      <c r="F366" s="139">
        <f>IF(AND('Ações'!$AB375="SIM", 'Ações'!AX375="SIM"), 1,0)</f>
        <v>0</v>
      </c>
      <c r="G366" s="139">
        <f>IF(AND('Ações'!$AC375="SIM", 'Ações'!AS375="SIM"), 1,0)</f>
        <v>1</v>
      </c>
      <c r="H366" s="139">
        <f>IF(AND('Ações'!$AC375="SIM", 'Ações'!AT375="SIM"), 1,0)</f>
        <v>1</v>
      </c>
      <c r="I366" s="139">
        <f>IF(AND('Ações'!$AC375="SIM", 'Ações'!AU375="SIM"), 1,0)</f>
        <v>1</v>
      </c>
      <c r="J366" s="139">
        <f>IF(AND('Ações'!$AC375="SIM", 'Ações'!AV375="SIM"), 1,0)</f>
        <v>1</v>
      </c>
      <c r="K366" s="139">
        <f>IF(AND('Ações'!$AC375="SIM", 'Ações'!AW375="SIM"), 1,0)</f>
        <v>1</v>
      </c>
      <c r="L366" s="139">
        <f>IF(AND('Ações'!$AC375="SIM", 'Ações'!AX375="SIM"), 1,0)</f>
        <v>1</v>
      </c>
      <c r="M366" s="139">
        <f>IF(AND('Ações'!$AD375="SIM", 'Ações'!AS375="SIM"), 1,0)</f>
        <v>0</v>
      </c>
      <c r="N366" s="139">
        <f>IF(AND('Ações'!$AD375="SIM", 'Ações'!AT375="SIM"), 1,0)</f>
        <v>0</v>
      </c>
      <c r="O366" s="139">
        <f>IF(AND('Ações'!$AD375="SIM", 'Ações'!AU375="SIM"), 1,0)</f>
        <v>0</v>
      </c>
      <c r="P366" s="139">
        <f>IF(AND('Ações'!$AD375="SIM", 'Ações'!AV375="SIM"), 1,0)</f>
        <v>0</v>
      </c>
      <c r="Q366" s="139">
        <f>IF(AND('Ações'!$AD375="SIM", 'Ações'!AW375="SIM"), 1,0)</f>
        <v>0</v>
      </c>
      <c r="R366" s="139">
        <f>IF(AND('Ações'!$AD375="SIM", 'Ações'!AX375="SIM"), 1,0)</f>
        <v>0</v>
      </c>
    </row>
    <row r="367">
      <c r="A367" s="139">
        <f>IF(AND('Ações'!AB376="SIM", 'Ações'!AS376="SIM"), 1,0)</f>
        <v>1</v>
      </c>
      <c r="B367" s="139">
        <f>IF(AND('Ações'!$AB376="SIM", 'Ações'!AT376="SIM"), 1,0)</f>
        <v>1</v>
      </c>
      <c r="C367" s="139">
        <f>IF(AND('Ações'!$AB376="SIM", 'Ações'!AU376="SIM"), 1,0)</f>
        <v>1</v>
      </c>
      <c r="D367" s="139">
        <f>IF(AND('Ações'!$AB376="SIM", 'Ações'!AV376="SIM"), 1,0)</f>
        <v>1</v>
      </c>
      <c r="E367" s="139">
        <f>IF(AND('Ações'!$AB376="SIM", 'Ações'!AW376="SIM"), 1,0)</f>
        <v>1</v>
      </c>
      <c r="F367" s="139">
        <f>IF(AND('Ações'!$AB376="SIM", 'Ações'!AX376="SIM"), 1,0)</f>
        <v>1</v>
      </c>
      <c r="G367" s="139">
        <f>IF(AND('Ações'!$AC376="SIM", 'Ações'!AS376="SIM"), 1,0)</f>
        <v>1</v>
      </c>
      <c r="H367" s="139">
        <f>IF(AND('Ações'!$AC376="SIM", 'Ações'!AT376="SIM"), 1,0)</f>
        <v>1</v>
      </c>
      <c r="I367" s="139">
        <f>IF(AND('Ações'!$AC376="SIM", 'Ações'!AU376="SIM"), 1,0)</f>
        <v>1</v>
      </c>
      <c r="J367" s="139">
        <f>IF(AND('Ações'!$AC376="SIM", 'Ações'!AV376="SIM"), 1,0)</f>
        <v>1</v>
      </c>
      <c r="K367" s="139">
        <f>IF(AND('Ações'!$AC376="SIM", 'Ações'!AW376="SIM"), 1,0)</f>
        <v>1</v>
      </c>
      <c r="L367" s="139">
        <f>IF(AND('Ações'!$AC376="SIM", 'Ações'!AX376="SIM"), 1,0)</f>
        <v>1</v>
      </c>
      <c r="M367" s="139">
        <f>IF(AND('Ações'!$AD376="SIM", 'Ações'!AS376="SIM"), 1,0)</f>
        <v>0</v>
      </c>
      <c r="N367" s="139">
        <f>IF(AND('Ações'!$AD376="SIM", 'Ações'!AT376="SIM"), 1,0)</f>
        <v>0</v>
      </c>
      <c r="O367" s="139">
        <f>IF(AND('Ações'!$AD376="SIM", 'Ações'!AU376="SIM"), 1,0)</f>
        <v>0</v>
      </c>
      <c r="P367" s="139">
        <f>IF(AND('Ações'!$AD376="SIM", 'Ações'!AV376="SIM"), 1,0)</f>
        <v>0</v>
      </c>
      <c r="Q367" s="139">
        <f>IF(AND('Ações'!$AD376="SIM", 'Ações'!AW376="SIM"), 1,0)</f>
        <v>0</v>
      </c>
      <c r="R367" s="139">
        <f>IF(AND('Ações'!$AD376="SIM", 'Ações'!AX376="SIM"), 1,0)</f>
        <v>0</v>
      </c>
    </row>
    <row r="368">
      <c r="A368" s="139">
        <f>IF(AND('Ações'!AB377="SIM", 'Ações'!AS377="SIM"), 1,0)</f>
        <v>1</v>
      </c>
      <c r="B368" s="139">
        <f>IF(AND('Ações'!$AB377="SIM", 'Ações'!AT377="SIM"), 1,0)</f>
        <v>1</v>
      </c>
      <c r="C368" s="139">
        <f>IF(AND('Ações'!$AB377="SIM", 'Ações'!AU377="SIM"), 1,0)</f>
        <v>1</v>
      </c>
      <c r="D368" s="139">
        <f>IF(AND('Ações'!$AB377="SIM", 'Ações'!AV377="SIM"), 1,0)</f>
        <v>1</v>
      </c>
      <c r="E368" s="139">
        <f>IF(AND('Ações'!$AB377="SIM", 'Ações'!AW377="SIM"), 1,0)</f>
        <v>1</v>
      </c>
      <c r="F368" s="139">
        <f>IF(AND('Ações'!$AB377="SIM", 'Ações'!AX377="SIM"), 1,0)</f>
        <v>1</v>
      </c>
      <c r="G368" s="139">
        <f>IF(AND('Ações'!$AC377="SIM", 'Ações'!AS377="SIM"), 1,0)</f>
        <v>1</v>
      </c>
      <c r="H368" s="139">
        <f>IF(AND('Ações'!$AC377="SIM", 'Ações'!AT377="SIM"), 1,0)</f>
        <v>1</v>
      </c>
      <c r="I368" s="139">
        <f>IF(AND('Ações'!$AC377="SIM", 'Ações'!AU377="SIM"), 1,0)</f>
        <v>1</v>
      </c>
      <c r="J368" s="139">
        <f>IF(AND('Ações'!$AC377="SIM", 'Ações'!AV377="SIM"), 1,0)</f>
        <v>1</v>
      </c>
      <c r="K368" s="139">
        <f>IF(AND('Ações'!$AC377="SIM", 'Ações'!AW377="SIM"), 1,0)</f>
        <v>1</v>
      </c>
      <c r="L368" s="139">
        <f>IF(AND('Ações'!$AC377="SIM", 'Ações'!AX377="SIM"), 1,0)</f>
        <v>1</v>
      </c>
      <c r="M368" s="139">
        <f>IF(AND('Ações'!$AD377="SIM", 'Ações'!AS377="SIM"), 1,0)</f>
        <v>0</v>
      </c>
      <c r="N368" s="139">
        <f>IF(AND('Ações'!$AD377="SIM", 'Ações'!AT377="SIM"), 1,0)</f>
        <v>0</v>
      </c>
      <c r="O368" s="139">
        <f>IF(AND('Ações'!$AD377="SIM", 'Ações'!AU377="SIM"), 1,0)</f>
        <v>0</v>
      </c>
      <c r="P368" s="139">
        <f>IF(AND('Ações'!$AD377="SIM", 'Ações'!AV377="SIM"), 1,0)</f>
        <v>0</v>
      </c>
      <c r="Q368" s="139">
        <f>IF(AND('Ações'!$AD377="SIM", 'Ações'!AW377="SIM"), 1,0)</f>
        <v>0</v>
      </c>
      <c r="R368" s="139">
        <f>IF(AND('Ações'!$AD377="SIM", 'Ações'!AX377="SIM"), 1,0)</f>
        <v>0</v>
      </c>
    </row>
    <row r="369">
      <c r="A369" s="139">
        <f>IF(AND('Ações'!AB378="SIM", 'Ações'!AS378="SIM"), 1,0)</f>
        <v>1</v>
      </c>
      <c r="B369" s="139">
        <f>IF(AND('Ações'!$AB378="SIM", 'Ações'!AT378="SIM"), 1,0)</f>
        <v>1</v>
      </c>
      <c r="C369" s="139">
        <f>IF(AND('Ações'!$AB378="SIM", 'Ações'!AU378="SIM"), 1,0)</f>
        <v>1</v>
      </c>
      <c r="D369" s="139">
        <f>IF(AND('Ações'!$AB378="SIM", 'Ações'!AV378="SIM"), 1,0)</f>
        <v>1</v>
      </c>
      <c r="E369" s="139">
        <f>IF(AND('Ações'!$AB378="SIM", 'Ações'!AW378="SIM"), 1,0)</f>
        <v>1</v>
      </c>
      <c r="F369" s="139">
        <f>IF(AND('Ações'!$AB378="SIM", 'Ações'!AX378="SIM"), 1,0)</f>
        <v>1</v>
      </c>
      <c r="G369" s="139">
        <f>IF(AND('Ações'!$AC378="SIM", 'Ações'!AS378="SIM"), 1,0)</f>
        <v>1</v>
      </c>
      <c r="H369" s="139">
        <f>IF(AND('Ações'!$AC378="SIM", 'Ações'!AT378="SIM"), 1,0)</f>
        <v>1</v>
      </c>
      <c r="I369" s="139">
        <f>IF(AND('Ações'!$AC378="SIM", 'Ações'!AU378="SIM"), 1,0)</f>
        <v>1</v>
      </c>
      <c r="J369" s="139">
        <f>IF(AND('Ações'!$AC378="SIM", 'Ações'!AV378="SIM"), 1,0)</f>
        <v>1</v>
      </c>
      <c r="K369" s="139">
        <f>IF(AND('Ações'!$AC378="SIM", 'Ações'!AW378="SIM"), 1,0)</f>
        <v>1</v>
      </c>
      <c r="L369" s="139">
        <f>IF(AND('Ações'!$AC378="SIM", 'Ações'!AX378="SIM"), 1,0)</f>
        <v>1</v>
      </c>
      <c r="M369" s="139">
        <f>IF(AND('Ações'!$AD378="SIM", 'Ações'!AS378="SIM"), 1,0)</f>
        <v>0</v>
      </c>
      <c r="N369" s="139">
        <f>IF(AND('Ações'!$AD378="SIM", 'Ações'!AT378="SIM"), 1,0)</f>
        <v>0</v>
      </c>
      <c r="O369" s="139">
        <f>IF(AND('Ações'!$AD378="SIM", 'Ações'!AU378="SIM"), 1,0)</f>
        <v>0</v>
      </c>
      <c r="P369" s="139">
        <f>IF(AND('Ações'!$AD378="SIM", 'Ações'!AV378="SIM"), 1,0)</f>
        <v>0</v>
      </c>
      <c r="Q369" s="139">
        <f>IF(AND('Ações'!$AD378="SIM", 'Ações'!AW378="SIM"), 1,0)</f>
        <v>0</v>
      </c>
      <c r="R369" s="139">
        <f>IF(AND('Ações'!$AD378="SIM", 'Ações'!AX378="SIM"), 1,0)</f>
        <v>0</v>
      </c>
    </row>
    <row r="370">
      <c r="A370" s="139">
        <f>IF(AND('Ações'!AB379="SIM", 'Ações'!AS379="SIM"), 1,0)</f>
        <v>1</v>
      </c>
      <c r="B370" s="139">
        <f>IF(AND('Ações'!$AB379="SIM", 'Ações'!AT379="SIM"), 1,0)</f>
        <v>1</v>
      </c>
      <c r="C370" s="139">
        <f>IF(AND('Ações'!$AB379="SIM", 'Ações'!AU379="SIM"), 1,0)</f>
        <v>1</v>
      </c>
      <c r="D370" s="139">
        <f>IF(AND('Ações'!$AB379="SIM", 'Ações'!AV379="SIM"), 1,0)</f>
        <v>1</v>
      </c>
      <c r="E370" s="139">
        <f>IF(AND('Ações'!$AB379="SIM", 'Ações'!AW379="SIM"), 1,0)</f>
        <v>1</v>
      </c>
      <c r="F370" s="139">
        <f>IF(AND('Ações'!$AB379="SIM", 'Ações'!AX379="SIM"), 1,0)</f>
        <v>1</v>
      </c>
      <c r="G370" s="139">
        <f>IF(AND('Ações'!$AC379="SIM", 'Ações'!AS379="SIM"), 1,0)</f>
        <v>0</v>
      </c>
      <c r="H370" s="139">
        <f>IF(AND('Ações'!$AC379="SIM", 'Ações'!AT379="SIM"), 1,0)</f>
        <v>0</v>
      </c>
      <c r="I370" s="139">
        <f>IF(AND('Ações'!$AC379="SIM", 'Ações'!AU379="SIM"), 1,0)</f>
        <v>0</v>
      </c>
      <c r="J370" s="139">
        <f>IF(AND('Ações'!$AC379="SIM", 'Ações'!AV379="SIM"), 1,0)</f>
        <v>0</v>
      </c>
      <c r="K370" s="139">
        <f>IF(AND('Ações'!$AC379="SIM", 'Ações'!AW379="SIM"), 1,0)</f>
        <v>0</v>
      </c>
      <c r="L370" s="139">
        <f>IF(AND('Ações'!$AC379="SIM", 'Ações'!AX379="SIM"), 1,0)</f>
        <v>0</v>
      </c>
      <c r="M370" s="139">
        <f>IF(AND('Ações'!$AD379="SIM", 'Ações'!AS379="SIM"), 1,0)</f>
        <v>0</v>
      </c>
      <c r="N370" s="139">
        <f>IF(AND('Ações'!$AD379="SIM", 'Ações'!AT379="SIM"), 1,0)</f>
        <v>0</v>
      </c>
      <c r="O370" s="139">
        <f>IF(AND('Ações'!$AD379="SIM", 'Ações'!AU379="SIM"), 1,0)</f>
        <v>0</v>
      </c>
      <c r="P370" s="139">
        <f>IF(AND('Ações'!$AD379="SIM", 'Ações'!AV379="SIM"), 1,0)</f>
        <v>0</v>
      </c>
      <c r="Q370" s="139">
        <f>IF(AND('Ações'!$AD379="SIM", 'Ações'!AW379="SIM"), 1,0)</f>
        <v>0</v>
      </c>
      <c r="R370" s="139">
        <f>IF(AND('Ações'!$AD379="SIM", 'Ações'!AX379="SIM"), 1,0)</f>
        <v>0</v>
      </c>
    </row>
    <row r="371">
      <c r="A371" s="139">
        <f>IF(AND('Ações'!AB380="SIM", 'Ações'!AS380="SIM"), 1,0)</f>
        <v>1</v>
      </c>
      <c r="B371" s="139">
        <f>IF(AND('Ações'!$AB380="SIM", 'Ações'!AT380="SIM"), 1,0)</f>
        <v>1</v>
      </c>
      <c r="C371" s="139">
        <f>IF(AND('Ações'!$AB380="SIM", 'Ações'!AU380="SIM"), 1,0)</f>
        <v>1</v>
      </c>
      <c r="D371" s="139">
        <f>IF(AND('Ações'!$AB380="SIM", 'Ações'!AV380="SIM"), 1,0)</f>
        <v>1</v>
      </c>
      <c r="E371" s="139">
        <f>IF(AND('Ações'!$AB380="SIM", 'Ações'!AW380="SIM"), 1,0)</f>
        <v>1</v>
      </c>
      <c r="F371" s="139">
        <f>IF(AND('Ações'!$AB380="SIM", 'Ações'!AX380="SIM"), 1,0)</f>
        <v>1</v>
      </c>
      <c r="G371" s="139">
        <f>IF(AND('Ações'!$AC380="SIM", 'Ações'!AS380="SIM"), 1,0)</f>
        <v>0</v>
      </c>
      <c r="H371" s="139">
        <f>IF(AND('Ações'!$AC380="SIM", 'Ações'!AT380="SIM"), 1,0)</f>
        <v>0</v>
      </c>
      <c r="I371" s="139">
        <f>IF(AND('Ações'!$AC380="SIM", 'Ações'!AU380="SIM"), 1,0)</f>
        <v>0</v>
      </c>
      <c r="J371" s="139">
        <f>IF(AND('Ações'!$AC380="SIM", 'Ações'!AV380="SIM"), 1,0)</f>
        <v>0</v>
      </c>
      <c r="K371" s="139">
        <f>IF(AND('Ações'!$AC380="SIM", 'Ações'!AW380="SIM"), 1,0)</f>
        <v>0</v>
      </c>
      <c r="L371" s="139">
        <f>IF(AND('Ações'!$AC380="SIM", 'Ações'!AX380="SIM"), 1,0)</f>
        <v>0</v>
      </c>
      <c r="M371" s="139">
        <f>IF(AND('Ações'!$AD380="SIM", 'Ações'!AS380="SIM"), 1,0)</f>
        <v>0</v>
      </c>
      <c r="N371" s="139">
        <f>IF(AND('Ações'!$AD380="SIM", 'Ações'!AT380="SIM"), 1,0)</f>
        <v>0</v>
      </c>
      <c r="O371" s="139">
        <f>IF(AND('Ações'!$AD380="SIM", 'Ações'!AU380="SIM"), 1,0)</f>
        <v>0</v>
      </c>
      <c r="P371" s="139">
        <f>IF(AND('Ações'!$AD380="SIM", 'Ações'!AV380="SIM"), 1,0)</f>
        <v>0</v>
      </c>
      <c r="Q371" s="139">
        <f>IF(AND('Ações'!$AD380="SIM", 'Ações'!AW380="SIM"), 1,0)</f>
        <v>0</v>
      </c>
      <c r="R371" s="139">
        <f>IF(AND('Ações'!$AD380="SIM", 'Ações'!AX380="SIM"), 1,0)</f>
        <v>0</v>
      </c>
    </row>
    <row r="372">
      <c r="A372" s="139">
        <f>IF(AND('Ações'!AB381="SIM", 'Ações'!AS381="SIM"), 1,0)</f>
        <v>1</v>
      </c>
      <c r="B372" s="139">
        <f>IF(AND('Ações'!$AB381="SIM", 'Ações'!AT381="SIM"), 1,0)</f>
        <v>1</v>
      </c>
      <c r="C372" s="139">
        <f>IF(AND('Ações'!$AB381="SIM", 'Ações'!AU381="SIM"), 1,0)</f>
        <v>1</v>
      </c>
      <c r="D372" s="139">
        <f>IF(AND('Ações'!$AB381="SIM", 'Ações'!AV381="SIM"), 1,0)</f>
        <v>1</v>
      </c>
      <c r="E372" s="139">
        <f>IF(AND('Ações'!$AB381="SIM", 'Ações'!AW381="SIM"), 1,0)</f>
        <v>1</v>
      </c>
      <c r="F372" s="139">
        <f>IF(AND('Ações'!$AB381="SIM", 'Ações'!AX381="SIM"), 1,0)</f>
        <v>1</v>
      </c>
      <c r="G372" s="139">
        <f>IF(AND('Ações'!$AC381="SIM", 'Ações'!AS381="SIM"), 1,0)</f>
        <v>0</v>
      </c>
      <c r="H372" s="139">
        <f>IF(AND('Ações'!$AC381="SIM", 'Ações'!AT381="SIM"), 1,0)</f>
        <v>0</v>
      </c>
      <c r="I372" s="139">
        <f>IF(AND('Ações'!$AC381="SIM", 'Ações'!AU381="SIM"), 1,0)</f>
        <v>0</v>
      </c>
      <c r="J372" s="139">
        <f>IF(AND('Ações'!$AC381="SIM", 'Ações'!AV381="SIM"), 1,0)</f>
        <v>0</v>
      </c>
      <c r="K372" s="139">
        <f>IF(AND('Ações'!$AC381="SIM", 'Ações'!AW381="SIM"), 1,0)</f>
        <v>0</v>
      </c>
      <c r="L372" s="139">
        <f>IF(AND('Ações'!$AC381="SIM", 'Ações'!AX381="SIM"), 1,0)</f>
        <v>0</v>
      </c>
      <c r="M372" s="139">
        <f>IF(AND('Ações'!$AD381="SIM", 'Ações'!AS381="SIM"), 1,0)</f>
        <v>0</v>
      </c>
      <c r="N372" s="139">
        <f>IF(AND('Ações'!$AD381="SIM", 'Ações'!AT381="SIM"), 1,0)</f>
        <v>0</v>
      </c>
      <c r="O372" s="139">
        <f>IF(AND('Ações'!$AD381="SIM", 'Ações'!AU381="SIM"), 1,0)</f>
        <v>0</v>
      </c>
      <c r="P372" s="139">
        <f>IF(AND('Ações'!$AD381="SIM", 'Ações'!AV381="SIM"), 1,0)</f>
        <v>0</v>
      </c>
      <c r="Q372" s="139">
        <f>IF(AND('Ações'!$AD381="SIM", 'Ações'!AW381="SIM"), 1,0)</f>
        <v>0</v>
      </c>
      <c r="R372" s="139">
        <f>IF(AND('Ações'!$AD381="SIM", 'Ações'!AX381="SIM"), 1,0)</f>
        <v>0</v>
      </c>
    </row>
    <row r="373">
      <c r="A373" s="139">
        <f>IF(AND('Ações'!AB382="SIM", 'Ações'!AS382="SIM"), 1,0)</f>
        <v>1</v>
      </c>
      <c r="B373" s="139">
        <f>IF(AND('Ações'!$AB382="SIM", 'Ações'!AT382="SIM"), 1,0)</f>
        <v>1</v>
      </c>
      <c r="C373" s="139">
        <f>IF(AND('Ações'!$AB382="SIM", 'Ações'!AU382="SIM"), 1,0)</f>
        <v>1</v>
      </c>
      <c r="D373" s="139">
        <f>IF(AND('Ações'!$AB382="SIM", 'Ações'!AV382="SIM"), 1,0)</f>
        <v>1</v>
      </c>
      <c r="E373" s="139">
        <f>IF(AND('Ações'!$AB382="SIM", 'Ações'!AW382="SIM"), 1,0)</f>
        <v>1</v>
      </c>
      <c r="F373" s="139">
        <f>IF(AND('Ações'!$AB382="SIM", 'Ações'!AX382="SIM"), 1,0)</f>
        <v>1</v>
      </c>
      <c r="G373" s="139">
        <f>IF(AND('Ações'!$AC382="SIM", 'Ações'!AS382="SIM"), 1,0)</f>
        <v>0</v>
      </c>
      <c r="H373" s="139">
        <f>IF(AND('Ações'!$AC382="SIM", 'Ações'!AT382="SIM"), 1,0)</f>
        <v>0</v>
      </c>
      <c r="I373" s="139">
        <f>IF(AND('Ações'!$AC382="SIM", 'Ações'!AU382="SIM"), 1,0)</f>
        <v>0</v>
      </c>
      <c r="J373" s="139">
        <f>IF(AND('Ações'!$AC382="SIM", 'Ações'!AV382="SIM"), 1,0)</f>
        <v>0</v>
      </c>
      <c r="K373" s="139">
        <f>IF(AND('Ações'!$AC382="SIM", 'Ações'!AW382="SIM"), 1,0)</f>
        <v>0</v>
      </c>
      <c r="L373" s="139">
        <f>IF(AND('Ações'!$AC382="SIM", 'Ações'!AX382="SIM"), 1,0)</f>
        <v>0</v>
      </c>
      <c r="M373" s="139">
        <f>IF(AND('Ações'!$AD382="SIM", 'Ações'!AS382="SIM"), 1,0)</f>
        <v>1</v>
      </c>
      <c r="N373" s="139">
        <f>IF(AND('Ações'!$AD382="SIM", 'Ações'!AT382="SIM"), 1,0)</f>
        <v>1</v>
      </c>
      <c r="O373" s="139">
        <f>IF(AND('Ações'!$AD382="SIM", 'Ações'!AU382="SIM"), 1,0)</f>
        <v>1</v>
      </c>
      <c r="P373" s="139">
        <f>IF(AND('Ações'!$AD382="SIM", 'Ações'!AV382="SIM"), 1,0)</f>
        <v>1</v>
      </c>
      <c r="Q373" s="139">
        <f>IF(AND('Ações'!$AD382="SIM", 'Ações'!AW382="SIM"), 1,0)</f>
        <v>1</v>
      </c>
      <c r="R373" s="139">
        <f>IF(AND('Ações'!$AD382="SIM", 'Ações'!AX382="SIM"), 1,0)</f>
        <v>1</v>
      </c>
    </row>
    <row r="374">
      <c r="A374" s="139">
        <f>IF(AND('Ações'!AB383="SIM", 'Ações'!AS383="SIM"), 1,0)</f>
        <v>1</v>
      </c>
      <c r="B374" s="139">
        <f>IF(AND('Ações'!$AB383="SIM", 'Ações'!AT383="SIM"), 1,0)</f>
        <v>1</v>
      </c>
      <c r="C374" s="139">
        <f>IF(AND('Ações'!$AB383="SIM", 'Ações'!AU383="SIM"), 1,0)</f>
        <v>1</v>
      </c>
      <c r="D374" s="139">
        <f>IF(AND('Ações'!$AB383="SIM", 'Ações'!AV383="SIM"), 1,0)</f>
        <v>1</v>
      </c>
      <c r="E374" s="139">
        <f>IF(AND('Ações'!$AB383="SIM", 'Ações'!AW383="SIM"), 1,0)</f>
        <v>1</v>
      </c>
      <c r="F374" s="139">
        <f>IF(AND('Ações'!$AB383="SIM", 'Ações'!AX383="SIM"), 1,0)</f>
        <v>1</v>
      </c>
      <c r="G374" s="139">
        <f>IF(AND('Ações'!$AC383="SIM", 'Ações'!AS383="SIM"), 1,0)</f>
        <v>0</v>
      </c>
      <c r="H374" s="139">
        <f>IF(AND('Ações'!$AC383="SIM", 'Ações'!AT383="SIM"), 1,0)</f>
        <v>0</v>
      </c>
      <c r="I374" s="139">
        <f>IF(AND('Ações'!$AC383="SIM", 'Ações'!AU383="SIM"), 1,0)</f>
        <v>0</v>
      </c>
      <c r="J374" s="139">
        <f>IF(AND('Ações'!$AC383="SIM", 'Ações'!AV383="SIM"), 1,0)</f>
        <v>0</v>
      </c>
      <c r="K374" s="139">
        <f>IF(AND('Ações'!$AC383="SIM", 'Ações'!AW383="SIM"), 1,0)</f>
        <v>0</v>
      </c>
      <c r="L374" s="139">
        <f>IF(AND('Ações'!$AC383="SIM", 'Ações'!AX383="SIM"), 1,0)</f>
        <v>0</v>
      </c>
      <c r="M374" s="139">
        <f>IF(AND('Ações'!$AD383="SIM", 'Ações'!AS383="SIM"), 1,0)</f>
        <v>0</v>
      </c>
      <c r="N374" s="139">
        <f>IF(AND('Ações'!$AD383="SIM", 'Ações'!AT383="SIM"), 1,0)</f>
        <v>0</v>
      </c>
      <c r="O374" s="139">
        <f>IF(AND('Ações'!$AD383="SIM", 'Ações'!AU383="SIM"), 1,0)</f>
        <v>0</v>
      </c>
      <c r="P374" s="139">
        <f>IF(AND('Ações'!$AD383="SIM", 'Ações'!AV383="SIM"), 1,0)</f>
        <v>0</v>
      </c>
      <c r="Q374" s="139">
        <f>IF(AND('Ações'!$AD383="SIM", 'Ações'!AW383="SIM"), 1,0)</f>
        <v>0</v>
      </c>
      <c r="R374" s="139">
        <f>IF(AND('Ações'!$AD383="SIM", 'Ações'!AX383="SIM"), 1,0)</f>
        <v>0</v>
      </c>
    </row>
    <row r="375">
      <c r="A375" s="139">
        <f>IF(AND('Ações'!AB384="SIM", 'Ações'!AS384="SIM"), 1,0)</f>
        <v>1</v>
      </c>
      <c r="B375" s="139">
        <f>IF(AND('Ações'!$AB384="SIM", 'Ações'!AT384="SIM"), 1,0)</f>
        <v>1</v>
      </c>
      <c r="C375" s="139">
        <f>IF(AND('Ações'!$AB384="SIM", 'Ações'!AU384="SIM"), 1,0)</f>
        <v>1</v>
      </c>
      <c r="D375" s="139">
        <f>IF(AND('Ações'!$AB384="SIM", 'Ações'!AV384="SIM"), 1,0)</f>
        <v>1</v>
      </c>
      <c r="E375" s="139">
        <f>IF(AND('Ações'!$AB384="SIM", 'Ações'!AW384="SIM"), 1,0)</f>
        <v>1</v>
      </c>
      <c r="F375" s="139">
        <f>IF(AND('Ações'!$AB384="SIM", 'Ações'!AX384="SIM"), 1,0)</f>
        <v>1</v>
      </c>
      <c r="G375" s="139">
        <f>IF(AND('Ações'!$AC384="SIM", 'Ações'!AS384="SIM"), 1,0)</f>
        <v>0</v>
      </c>
      <c r="H375" s="139">
        <f>IF(AND('Ações'!$AC384="SIM", 'Ações'!AT384="SIM"), 1,0)</f>
        <v>0</v>
      </c>
      <c r="I375" s="139">
        <f>IF(AND('Ações'!$AC384="SIM", 'Ações'!AU384="SIM"), 1,0)</f>
        <v>0</v>
      </c>
      <c r="J375" s="139">
        <f>IF(AND('Ações'!$AC384="SIM", 'Ações'!AV384="SIM"), 1,0)</f>
        <v>0</v>
      </c>
      <c r="K375" s="139">
        <f>IF(AND('Ações'!$AC384="SIM", 'Ações'!AW384="SIM"), 1,0)</f>
        <v>0</v>
      </c>
      <c r="L375" s="139">
        <f>IF(AND('Ações'!$AC384="SIM", 'Ações'!AX384="SIM"), 1,0)</f>
        <v>0</v>
      </c>
      <c r="M375" s="139">
        <f>IF(AND('Ações'!$AD384="SIM", 'Ações'!AS384="SIM"), 1,0)</f>
        <v>0</v>
      </c>
      <c r="N375" s="139">
        <f>IF(AND('Ações'!$AD384="SIM", 'Ações'!AT384="SIM"), 1,0)</f>
        <v>0</v>
      </c>
      <c r="O375" s="139">
        <f>IF(AND('Ações'!$AD384="SIM", 'Ações'!AU384="SIM"), 1,0)</f>
        <v>0</v>
      </c>
      <c r="P375" s="139">
        <f>IF(AND('Ações'!$AD384="SIM", 'Ações'!AV384="SIM"), 1,0)</f>
        <v>0</v>
      </c>
      <c r="Q375" s="139">
        <f>IF(AND('Ações'!$AD384="SIM", 'Ações'!AW384="SIM"), 1,0)</f>
        <v>0</v>
      </c>
      <c r="R375" s="139">
        <f>IF(AND('Ações'!$AD384="SIM", 'Ações'!AX384="SIM"), 1,0)</f>
        <v>0</v>
      </c>
    </row>
    <row r="376">
      <c r="A376" s="139">
        <f>IF(AND('Ações'!AB385="SIM", 'Ações'!AS385="SIM"), 1,0)</f>
        <v>1</v>
      </c>
      <c r="B376" s="139">
        <f>IF(AND('Ações'!$AB385="SIM", 'Ações'!AT385="SIM"), 1,0)</f>
        <v>1</v>
      </c>
      <c r="C376" s="139">
        <f>IF(AND('Ações'!$AB385="SIM", 'Ações'!AU385="SIM"), 1,0)</f>
        <v>1</v>
      </c>
      <c r="D376" s="139">
        <f>IF(AND('Ações'!$AB385="SIM", 'Ações'!AV385="SIM"), 1,0)</f>
        <v>1</v>
      </c>
      <c r="E376" s="139">
        <f>IF(AND('Ações'!$AB385="SIM", 'Ações'!AW385="SIM"), 1,0)</f>
        <v>1</v>
      </c>
      <c r="F376" s="139">
        <f>IF(AND('Ações'!$AB385="SIM", 'Ações'!AX385="SIM"), 1,0)</f>
        <v>1</v>
      </c>
      <c r="G376" s="139">
        <f>IF(AND('Ações'!$AC385="SIM", 'Ações'!AS385="SIM"), 1,0)</f>
        <v>0</v>
      </c>
      <c r="H376" s="139">
        <f>IF(AND('Ações'!$AC385="SIM", 'Ações'!AT385="SIM"), 1,0)</f>
        <v>0</v>
      </c>
      <c r="I376" s="139">
        <f>IF(AND('Ações'!$AC385="SIM", 'Ações'!AU385="SIM"), 1,0)</f>
        <v>0</v>
      </c>
      <c r="J376" s="139">
        <f>IF(AND('Ações'!$AC385="SIM", 'Ações'!AV385="SIM"), 1,0)</f>
        <v>0</v>
      </c>
      <c r="K376" s="139">
        <f>IF(AND('Ações'!$AC385="SIM", 'Ações'!AW385="SIM"), 1,0)</f>
        <v>0</v>
      </c>
      <c r="L376" s="139">
        <f>IF(AND('Ações'!$AC385="SIM", 'Ações'!AX385="SIM"), 1,0)</f>
        <v>0</v>
      </c>
      <c r="M376" s="139">
        <f>IF(AND('Ações'!$AD385="SIM", 'Ações'!AS385="SIM"), 1,0)</f>
        <v>0</v>
      </c>
      <c r="N376" s="139">
        <f>IF(AND('Ações'!$AD385="SIM", 'Ações'!AT385="SIM"), 1,0)</f>
        <v>0</v>
      </c>
      <c r="O376" s="139">
        <f>IF(AND('Ações'!$AD385="SIM", 'Ações'!AU385="SIM"), 1,0)</f>
        <v>0</v>
      </c>
      <c r="P376" s="139">
        <f>IF(AND('Ações'!$AD385="SIM", 'Ações'!AV385="SIM"), 1,0)</f>
        <v>0</v>
      </c>
      <c r="Q376" s="139">
        <f>IF(AND('Ações'!$AD385="SIM", 'Ações'!AW385="SIM"), 1,0)</f>
        <v>0</v>
      </c>
      <c r="R376" s="139">
        <f>IF(AND('Ações'!$AD385="SIM", 'Ações'!AX385="SIM"), 1,0)</f>
        <v>0</v>
      </c>
    </row>
    <row r="377">
      <c r="A377" s="139">
        <f>IF(AND('Ações'!AB386="SIM", 'Ações'!AS386="SIM"), 1,0)</f>
        <v>1</v>
      </c>
      <c r="B377" s="139">
        <f>IF(AND('Ações'!$AB386="SIM", 'Ações'!AT386="SIM"), 1,0)</f>
        <v>1</v>
      </c>
      <c r="C377" s="139">
        <f>IF(AND('Ações'!$AB386="SIM", 'Ações'!AU386="SIM"), 1,0)</f>
        <v>1</v>
      </c>
      <c r="D377" s="139">
        <f>IF(AND('Ações'!$AB386="SIM", 'Ações'!AV386="SIM"), 1,0)</f>
        <v>1</v>
      </c>
      <c r="E377" s="139">
        <f>IF(AND('Ações'!$AB386="SIM", 'Ações'!AW386="SIM"), 1,0)</f>
        <v>1</v>
      </c>
      <c r="F377" s="139">
        <f>IF(AND('Ações'!$AB386="SIM", 'Ações'!AX386="SIM"), 1,0)</f>
        <v>1</v>
      </c>
      <c r="G377" s="139">
        <f>IF(AND('Ações'!$AC386="SIM", 'Ações'!AS386="SIM"), 1,0)</f>
        <v>0</v>
      </c>
      <c r="H377" s="139">
        <f>IF(AND('Ações'!$AC386="SIM", 'Ações'!AT386="SIM"), 1,0)</f>
        <v>0</v>
      </c>
      <c r="I377" s="139">
        <f>IF(AND('Ações'!$AC386="SIM", 'Ações'!AU386="SIM"), 1,0)</f>
        <v>0</v>
      </c>
      <c r="J377" s="139">
        <f>IF(AND('Ações'!$AC386="SIM", 'Ações'!AV386="SIM"), 1,0)</f>
        <v>0</v>
      </c>
      <c r="K377" s="139">
        <f>IF(AND('Ações'!$AC386="SIM", 'Ações'!AW386="SIM"), 1,0)</f>
        <v>0</v>
      </c>
      <c r="L377" s="139">
        <f>IF(AND('Ações'!$AC386="SIM", 'Ações'!AX386="SIM"), 1,0)</f>
        <v>0</v>
      </c>
      <c r="M377" s="139">
        <f>IF(AND('Ações'!$AD386="SIM", 'Ações'!AS386="SIM"), 1,0)</f>
        <v>0</v>
      </c>
      <c r="N377" s="139">
        <f>IF(AND('Ações'!$AD386="SIM", 'Ações'!AT386="SIM"), 1,0)</f>
        <v>0</v>
      </c>
      <c r="O377" s="139">
        <f>IF(AND('Ações'!$AD386="SIM", 'Ações'!AU386="SIM"), 1,0)</f>
        <v>0</v>
      </c>
      <c r="P377" s="139">
        <f>IF(AND('Ações'!$AD386="SIM", 'Ações'!AV386="SIM"), 1,0)</f>
        <v>0</v>
      </c>
      <c r="Q377" s="139">
        <f>IF(AND('Ações'!$AD386="SIM", 'Ações'!AW386="SIM"), 1,0)</f>
        <v>0</v>
      </c>
      <c r="R377" s="139">
        <f>IF(AND('Ações'!$AD386="SIM", 'Ações'!AX386="SIM"), 1,0)</f>
        <v>0</v>
      </c>
    </row>
    <row r="378">
      <c r="A378" s="139">
        <f>IF(AND('Ações'!AB387="SIM", 'Ações'!AS387="SIM"), 1,0)</f>
        <v>1</v>
      </c>
      <c r="B378" s="139">
        <f>IF(AND('Ações'!$AB387="SIM", 'Ações'!AT387="SIM"), 1,0)</f>
        <v>1</v>
      </c>
      <c r="C378" s="139">
        <f>IF(AND('Ações'!$AB387="SIM", 'Ações'!AU387="SIM"), 1,0)</f>
        <v>1</v>
      </c>
      <c r="D378" s="139">
        <f>IF(AND('Ações'!$AB387="SIM", 'Ações'!AV387="SIM"), 1,0)</f>
        <v>1</v>
      </c>
      <c r="E378" s="139">
        <f>IF(AND('Ações'!$AB387="SIM", 'Ações'!AW387="SIM"), 1,0)</f>
        <v>1</v>
      </c>
      <c r="F378" s="139">
        <f>IF(AND('Ações'!$AB387="SIM", 'Ações'!AX387="SIM"), 1,0)</f>
        <v>1</v>
      </c>
      <c r="G378" s="139">
        <f>IF(AND('Ações'!$AC387="SIM", 'Ações'!AS387="SIM"), 1,0)</f>
        <v>0</v>
      </c>
      <c r="H378" s="139">
        <f>IF(AND('Ações'!$AC387="SIM", 'Ações'!AT387="SIM"), 1,0)</f>
        <v>0</v>
      </c>
      <c r="I378" s="139">
        <f>IF(AND('Ações'!$AC387="SIM", 'Ações'!AU387="SIM"), 1,0)</f>
        <v>0</v>
      </c>
      <c r="J378" s="139">
        <f>IF(AND('Ações'!$AC387="SIM", 'Ações'!AV387="SIM"), 1,0)</f>
        <v>0</v>
      </c>
      <c r="K378" s="139">
        <f>IF(AND('Ações'!$AC387="SIM", 'Ações'!AW387="SIM"), 1,0)</f>
        <v>0</v>
      </c>
      <c r="L378" s="139">
        <f>IF(AND('Ações'!$AC387="SIM", 'Ações'!AX387="SIM"), 1,0)</f>
        <v>0</v>
      </c>
      <c r="M378" s="139">
        <f>IF(AND('Ações'!$AD387="SIM", 'Ações'!AS387="SIM"), 1,0)</f>
        <v>0</v>
      </c>
      <c r="N378" s="139">
        <f>IF(AND('Ações'!$AD387="SIM", 'Ações'!AT387="SIM"), 1,0)</f>
        <v>0</v>
      </c>
      <c r="O378" s="139">
        <f>IF(AND('Ações'!$AD387="SIM", 'Ações'!AU387="SIM"), 1,0)</f>
        <v>0</v>
      </c>
      <c r="P378" s="139">
        <f>IF(AND('Ações'!$AD387="SIM", 'Ações'!AV387="SIM"), 1,0)</f>
        <v>0</v>
      </c>
      <c r="Q378" s="139">
        <f>IF(AND('Ações'!$AD387="SIM", 'Ações'!AW387="SIM"), 1,0)</f>
        <v>0</v>
      </c>
      <c r="R378" s="139">
        <f>IF(AND('Ações'!$AD387="SIM", 'Ações'!AX387="SIM"), 1,0)</f>
        <v>0</v>
      </c>
    </row>
    <row r="379">
      <c r="A379" s="139">
        <f>IF(AND('Ações'!AB388="SIM", 'Ações'!AS388="SIM"), 1,0)</f>
        <v>1</v>
      </c>
      <c r="B379" s="139">
        <f>IF(AND('Ações'!$AB388="SIM", 'Ações'!AT388="SIM"), 1,0)</f>
        <v>1</v>
      </c>
      <c r="C379" s="139">
        <f>IF(AND('Ações'!$AB388="SIM", 'Ações'!AU388="SIM"), 1,0)</f>
        <v>1</v>
      </c>
      <c r="D379" s="139">
        <f>IF(AND('Ações'!$AB388="SIM", 'Ações'!AV388="SIM"), 1,0)</f>
        <v>1</v>
      </c>
      <c r="E379" s="139">
        <f>IF(AND('Ações'!$AB388="SIM", 'Ações'!AW388="SIM"), 1,0)</f>
        <v>1</v>
      </c>
      <c r="F379" s="139">
        <f>IF(AND('Ações'!$AB388="SIM", 'Ações'!AX388="SIM"), 1,0)</f>
        <v>1</v>
      </c>
      <c r="G379" s="139">
        <f>IF(AND('Ações'!$AC388="SIM", 'Ações'!AS388="SIM"), 1,0)</f>
        <v>0</v>
      </c>
      <c r="H379" s="139">
        <f>IF(AND('Ações'!$AC388="SIM", 'Ações'!AT388="SIM"), 1,0)</f>
        <v>0</v>
      </c>
      <c r="I379" s="139">
        <f>IF(AND('Ações'!$AC388="SIM", 'Ações'!AU388="SIM"), 1,0)</f>
        <v>0</v>
      </c>
      <c r="J379" s="139">
        <f>IF(AND('Ações'!$AC388="SIM", 'Ações'!AV388="SIM"), 1,0)</f>
        <v>0</v>
      </c>
      <c r="K379" s="139">
        <f>IF(AND('Ações'!$AC388="SIM", 'Ações'!AW388="SIM"), 1,0)</f>
        <v>0</v>
      </c>
      <c r="L379" s="139">
        <f>IF(AND('Ações'!$AC388="SIM", 'Ações'!AX388="SIM"), 1,0)</f>
        <v>0</v>
      </c>
      <c r="M379" s="139">
        <f>IF(AND('Ações'!$AD388="SIM", 'Ações'!AS388="SIM"), 1,0)</f>
        <v>0</v>
      </c>
      <c r="N379" s="139">
        <f>IF(AND('Ações'!$AD388="SIM", 'Ações'!AT388="SIM"), 1,0)</f>
        <v>0</v>
      </c>
      <c r="O379" s="139">
        <f>IF(AND('Ações'!$AD388="SIM", 'Ações'!AU388="SIM"), 1,0)</f>
        <v>0</v>
      </c>
      <c r="P379" s="139">
        <f>IF(AND('Ações'!$AD388="SIM", 'Ações'!AV388="SIM"), 1,0)</f>
        <v>0</v>
      </c>
      <c r="Q379" s="139">
        <f>IF(AND('Ações'!$AD388="SIM", 'Ações'!AW388="SIM"), 1,0)</f>
        <v>0</v>
      </c>
      <c r="R379" s="139">
        <f>IF(AND('Ações'!$AD388="SIM", 'Ações'!AX388="SIM"), 1,0)</f>
        <v>0</v>
      </c>
    </row>
    <row r="380">
      <c r="A380" s="139">
        <f>IF(AND('Ações'!AB389="SIM", 'Ações'!AS389="SIM"), 1,0)</f>
        <v>1</v>
      </c>
      <c r="B380" s="139">
        <f>IF(AND('Ações'!$AB389="SIM", 'Ações'!AT389="SIM"), 1,0)</f>
        <v>0</v>
      </c>
      <c r="C380" s="139">
        <f>IF(AND('Ações'!$AB389="SIM", 'Ações'!AU389="SIM"), 1,0)</f>
        <v>1</v>
      </c>
      <c r="D380" s="139">
        <f>IF(AND('Ações'!$AB389="SIM", 'Ações'!AV389="SIM"), 1,0)</f>
        <v>1</v>
      </c>
      <c r="E380" s="139">
        <f>IF(AND('Ações'!$AB389="SIM", 'Ações'!AW389="SIM"), 1,0)</f>
        <v>1</v>
      </c>
      <c r="F380" s="139">
        <f>IF(AND('Ações'!$AB389="SIM", 'Ações'!AX389="SIM"), 1,0)</f>
        <v>0</v>
      </c>
      <c r="G380" s="139">
        <f>IF(AND('Ações'!$AC389="SIM", 'Ações'!AS389="SIM"), 1,0)</f>
        <v>0</v>
      </c>
      <c r="H380" s="139">
        <f>IF(AND('Ações'!$AC389="SIM", 'Ações'!AT389="SIM"), 1,0)</f>
        <v>0</v>
      </c>
      <c r="I380" s="139">
        <f>IF(AND('Ações'!$AC389="SIM", 'Ações'!AU389="SIM"), 1,0)</f>
        <v>0</v>
      </c>
      <c r="J380" s="139">
        <f>IF(AND('Ações'!$AC389="SIM", 'Ações'!AV389="SIM"), 1,0)</f>
        <v>0</v>
      </c>
      <c r="K380" s="139">
        <f>IF(AND('Ações'!$AC389="SIM", 'Ações'!AW389="SIM"), 1,0)</f>
        <v>0</v>
      </c>
      <c r="L380" s="139">
        <f>IF(AND('Ações'!$AC389="SIM", 'Ações'!AX389="SIM"), 1,0)</f>
        <v>0</v>
      </c>
      <c r="M380" s="139">
        <f>IF(AND('Ações'!$AD389="SIM", 'Ações'!AS389="SIM"), 1,0)</f>
        <v>0</v>
      </c>
      <c r="N380" s="139">
        <f>IF(AND('Ações'!$AD389="SIM", 'Ações'!AT389="SIM"), 1,0)</f>
        <v>0</v>
      </c>
      <c r="O380" s="139">
        <f>IF(AND('Ações'!$AD389="SIM", 'Ações'!AU389="SIM"), 1,0)</f>
        <v>0</v>
      </c>
      <c r="P380" s="139">
        <f>IF(AND('Ações'!$AD389="SIM", 'Ações'!AV389="SIM"), 1,0)</f>
        <v>0</v>
      </c>
      <c r="Q380" s="139">
        <f>IF(AND('Ações'!$AD389="SIM", 'Ações'!AW389="SIM"), 1,0)</f>
        <v>0</v>
      </c>
      <c r="R380" s="139">
        <f>IF(AND('Ações'!$AD389="SIM", 'Ações'!AX389="SIM"), 1,0)</f>
        <v>0</v>
      </c>
    </row>
    <row r="381">
      <c r="A381" s="139">
        <f>IF(AND('Ações'!AB390="SIM", 'Ações'!AS390="SIM"), 1,0)</f>
        <v>0</v>
      </c>
      <c r="B381" s="139">
        <f>IF(AND('Ações'!$AB390="SIM", 'Ações'!AT390="SIM"), 1,0)</f>
        <v>1</v>
      </c>
      <c r="C381" s="139">
        <f>IF(AND('Ações'!$AB390="SIM", 'Ações'!AU390="SIM"), 1,0)</f>
        <v>1</v>
      </c>
      <c r="D381" s="139">
        <f>IF(AND('Ações'!$AB390="SIM", 'Ações'!AV390="SIM"), 1,0)</f>
        <v>1</v>
      </c>
      <c r="E381" s="139">
        <f>IF(AND('Ações'!$AB390="SIM", 'Ações'!AW390="SIM"), 1,0)</f>
        <v>1</v>
      </c>
      <c r="F381" s="139">
        <f>IF(AND('Ações'!$AB390="SIM", 'Ações'!AX390="SIM"), 1,0)</f>
        <v>0</v>
      </c>
      <c r="G381" s="139">
        <f>IF(AND('Ações'!$AC390="SIM", 'Ações'!AS390="SIM"), 1,0)</f>
        <v>0</v>
      </c>
      <c r="H381" s="139">
        <f>IF(AND('Ações'!$AC390="SIM", 'Ações'!AT390="SIM"), 1,0)</f>
        <v>0</v>
      </c>
      <c r="I381" s="139">
        <f>IF(AND('Ações'!$AC390="SIM", 'Ações'!AU390="SIM"), 1,0)</f>
        <v>0</v>
      </c>
      <c r="J381" s="139">
        <f>IF(AND('Ações'!$AC390="SIM", 'Ações'!AV390="SIM"), 1,0)</f>
        <v>0</v>
      </c>
      <c r="K381" s="139">
        <f>IF(AND('Ações'!$AC390="SIM", 'Ações'!AW390="SIM"), 1,0)</f>
        <v>0</v>
      </c>
      <c r="L381" s="139">
        <f>IF(AND('Ações'!$AC390="SIM", 'Ações'!AX390="SIM"), 1,0)</f>
        <v>0</v>
      </c>
      <c r="M381" s="139">
        <f>IF(AND('Ações'!$AD390="SIM", 'Ações'!AS390="SIM"), 1,0)</f>
        <v>0</v>
      </c>
      <c r="N381" s="139">
        <f>IF(AND('Ações'!$AD390="SIM", 'Ações'!AT390="SIM"), 1,0)</f>
        <v>0</v>
      </c>
      <c r="O381" s="139">
        <f>IF(AND('Ações'!$AD390="SIM", 'Ações'!AU390="SIM"), 1,0)</f>
        <v>0</v>
      </c>
      <c r="P381" s="139">
        <f>IF(AND('Ações'!$AD390="SIM", 'Ações'!AV390="SIM"), 1,0)</f>
        <v>0</v>
      </c>
      <c r="Q381" s="139">
        <f>IF(AND('Ações'!$AD390="SIM", 'Ações'!AW390="SIM"), 1,0)</f>
        <v>0</v>
      </c>
      <c r="R381" s="139">
        <f>IF(AND('Ações'!$AD390="SIM", 'Ações'!AX390="SIM"), 1,0)</f>
        <v>0</v>
      </c>
    </row>
    <row r="382">
      <c r="A382" s="139">
        <f>IF(AND('Ações'!AB391="SIM", 'Ações'!AS391="SIM"), 1,0)</f>
        <v>0</v>
      </c>
      <c r="B382" s="139">
        <f>IF(AND('Ações'!$AB391="SIM", 'Ações'!AT391="SIM"), 1,0)</f>
        <v>0</v>
      </c>
      <c r="C382" s="139">
        <f>IF(AND('Ações'!$AB391="SIM", 'Ações'!AU391="SIM"), 1,0)</f>
        <v>0</v>
      </c>
      <c r="D382" s="139">
        <f>IF(AND('Ações'!$AB391="SIM", 'Ações'!AV391="SIM"), 1,0)</f>
        <v>0</v>
      </c>
      <c r="E382" s="139">
        <f>IF(AND('Ações'!$AB391="SIM", 'Ações'!AW391="SIM"), 1,0)</f>
        <v>0</v>
      </c>
      <c r="F382" s="139">
        <f>IF(AND('Ações'!$AB391="SIM", 'Ações'!AX391="SIM"), 1,0)</f>
        <v>0</v>
      </c>
      <c r="G382" s="139">
        <f>IF(AND('Ações'!$AC391="SIM", 'Ações'!AS391="SIM"), 1,0)</f>
        <v>0</v>
      </c>
      <c r="H382" s="139">
        <f>IF(AND('Ações'!$AC391="SIM", 'Ações'!AT391="SIM"), 1,0)</f>
        <v>1</v>
      </c>
      <c r="I382" s="139">
        <f>IF(AND('Ações'!$AC391="SIM", 'Ações'!AU391="SIM"), 1,0)</f>
        <v>1</v>
      </c>
      <c r="J382" s="139">
        <f>IF(AND('Ações'!$AC391="SIM", 'Ações'!AV391="SIM"), 1,0)</f>
        <v>1</v>
      </c>
      <c r="K382" s="139">
        <f>IF(AND('Ações'!$AC391="SIM", 'Ações'!AW391="SIM"), 1,0)</f>
        <v>1</v>
      </c>
      <c r="L382" s="139">
        <f>IF(AND('Ações'!$AC391="SIM", 'Ações'!AX391="SIM"), 1,0)</f>
        <v>0</v>
      </c>
      <c r="M382" s="139">
        <f>IF(AND('Ações'!$AD391="SIM", 'Ações'!AS391="SIM"), 1,0)</f>
        <v>0</v>
      </c>
      <c r="N382" s="139">
        <f>IF(AND('Ações'!$AD391="SIM", 'Ações'!AT391="SIM"), 1,0)</f>
        <v>0</v>
      </c>
      <c r="O382" s="139">
        <f>IF(AND('Ações'!$AD391="SIM", 'Ações'!AU391="SIM"), 1,0)</f>
        <v>0</v>
      </c>
      <c r="P382" s="139">
        <f>IF(AND('Ações'!$AD391="SIM", 'Ações'!AV391="SIM"), 1,0)</f>
        <v>0</v>
      </c>
      <c r="Q382" s="139">
        <f>IF(AND('Ações'!$AD391="SIM", 'Ações'!AW391="SIM"), 1,0)</f>
        <v>0</v>
      </c>
      <c r="R382" s="139">
        <f>IF(AND('Ações'!$AD391="SIM", 'Ações'!AX391="SIM"), 1,0)</f>
        <v>0</v>
      </c>
    </row>
    <row r="383">
      <c r="A383" s="139">
        <f>IF(AND('Ações'!AB392="SIM", 'Ações'!AS392="SIM"), 1,0)</f>
        <v>0</v>
      </c>
      <c r="B383" s="139">
        <f>IF(AND('Ações'!$AB392="SIM", 'Ações'!AT392="SIM"), 1,0)</f>
        <v>0</v>
      </c>
      <c r="C383" s="139">
        <f>IF(AND('Ações'!$AB392="SIM", 'Ações'!AU392="SIM"), 1,0)</f>
        <v>0</v>
      </c>
      <c r="D383" s="139">
        <f>IF(AND('Ações'!$AB392="SIM", 'Ações'!AV392="SIM"), 1,0)</f>
        <v>0</v>
      </c>
      <c r="E383" s="139">
        <f>IF(AND('Ações'!$AB392="SIM", 'Ações'!AW392="SIM"), 1,0)</f>
        <v>0</v>
      </c>
      <c r="F383" s="139">
        <f>IF(AND('Ações'!$AB392="SIM", 'Ações'!AX392="SIM"), 1,0)</f>
        <v>0</v>
      </c>
      <c r="G383" s="139">
        <f>IF(AND('Ações'!$AC392="SIM", 'Ações'!AS392="SIM"), 1,0)</f>
        <v>0</v>
      </c>
      <c r="H383" s="139">
        <f>IF(AND('Ações'!$AC392="SIM", 'Ações'!AT392="SIM"), 1,0)</f>
        <v>1</v>
      </c>
      <c r="I383" s="139">
        <f>IF(AND('Ações'!$AC392="SIM", 'Ações'!AU392="SIM"), 1,0)</f>
        <v>1</v>
      </c>
      <c r="J383" s="139">
        <f>IF(AND('Ações'!$AC392="SIM", 'Ações'!AV392="SIM"), 1,0)</f>
        <v>1</v>
      </c>
      <c r="K383" s="139">
        <f>IF(AND('Ações'!$AC392="SIM", 'Ações'!AW392="SIM"), 1,0)</f>
        <v>1</v>
      </c>
      <c r="L383" s="139">
        <f>IF(AND('Ações'!$AC392="SIM", 'Ações'!AX392="SIM"), 1,0)</f>
        <v>0</v>
      </c>
      <c r="M383" s="139">
        <f>IF(AND('Ações'!$AD392="SIM", 'Ações'!AS392="SIM"), 1,0)</f>
        <v>0</v>
      </c>
      <c r="N383" s="139">
        <f>IF(AND('Ações'!$AD392="SIM", 'Ações'!AT392="SIM"), 1,0)</f>
        <v>0</v>
      </c>
      <c r="O383" s="139">
        <f>IF(AND('Ações'!$AD392="SIM", 'Ações'!AU392="SIM"), 1,0)</f>
        <v>0</v>
      </c>
      <c r="P383" s="139">
        <f>IF(AND('Ações'!$AD392="SIM", 'Ações'!AV392="SIM"), 1,0)</f>
        <v>0</v>
      </c>
      <c r="Q383" s="139">
        <f>IF(AND('Ações'!$AD392="SIM", 'Ações'!AW392="SIM"), 1,0)</f>
        <v>0</v>
      </c>
      <c r="R383" s="139">
        <f>IF(AND('Ações'!$AD392="SIM", 'Ações'!AX392="SIM"), 1,0)</f>
        <v>0</v>
      </c>
    </row>
    <row r="384">
      <c r="A384" s="139">
        <f>IF(AND('Ações'!AB393="SIM", 'Ações'!AS393="SIM"), 1,0)</f>
        <v>0</v>
      </c>
      <c r="B384" s="139">
        <f>IF(AND('Ações'!$AB393="SIM", 'Ações'!AT393="SIM"), 1,0)</f>
        <v>0</v>
      </c>
      <c r="C384" s="139">
        <f>IF(AND('Ações'!$AB393="SIM", 'Ações'!AU393="SIM"), 1,0)</f>
        <v>0</v>
      </c>
      <c r="D384" s="139">
        <f>IF(AND('Ações'!$AB393="SIM", 'Ações'!AV393="SIM"), 1,0)</f>
        <v>0</v>
      </c>
      <c r="E384" s="139">
        <f>IF(AND('Ações'!$AB393="SIM", 'Ações'!AW393="SIM"), 1,0)</f>
        <v>0</v>
      </c>
      <c r="F384" s="139">
        <f>IF(AND('Ações'!$AB393="SIM", 'Ações'!AX393="SIM"), 1,0)</f>
        <v>0</v>
      </c>
      <c r="G384" s="139">
        <f>IF(AND('Ações'!$AC393="SIM", 'Ações'!AS393="SIM"), 1,0)</f>
        <v>0</v>
      </c>
      <c r="H384" s="139">
        <f>IF(AND('Ações'!$AC393="SIM", 'Ações'!AT393="SIM"), 1,0)</f>
        <v>1</v>
      </c>
      <c r="I384" s="139">
        <f>IF(AND('Ações'!$AC393="SIM", 'Ações'!AU393="SIM"), 1,0)</f>
        <v>1</v>
      </c>
      <c r="J384" s="139">
        <f>IF(AND('Ações'!$AC393="SIM", 'Ações'!AV393="SIM"), 1,0)</f>
        <v>1</v>
      </c>
      <c r="K384" s="139">
        <f>IF(AND('Ações'!$AC393="SIM", 'Ações'!AW393="SIM"), 1,0)</f>
        <v>1</v>
      </c>
      <c r="L384" s="139">
        <f>IF(AND('Ações'!$AC393="SIM", 'Ações'!AX393="SIM"), 1,0)</f>
        <v>0</v>
      </c>
      <c r="M384" s="139">
        <f>IF(AND('Ações'!$AD393="SIM", 'Ações'!AS393="SIM"), 1,0)</f>
        <v>0</v>
      </c>
      <c r="N384" s="139">
        <f>IF(AND('Ações'!$AD393="SIM", 'Ações'!AT393="SIM"), 1,0)</f>
        <v>0</v>
      </c>
      <c r="O384" s="139">
        <f>IF(AND('Ações'!$AD393="SIM", 'Ações'!AU393="SIM"), 1,0)</f>
        <v>0</v>
      </c>
      <c r="P384" s="139">
        <f>IF(AND('Ações'!$AD393="SIM", 'Ações'!AV393="SIM"), 1,0)</f>
        <v>0</v>
      </c>
      <c r="Q384" s="139">
        <f>IF(AND('Ações'!$AD393="SIM", 'Ações'!AW393="SIM"), 1,0)</f>
        <v>0</v>
      </c>
      <c r="R384" s="139">
        <f>IF(AND('Ações'!$AD393="SIM", 'Ações'!AX393="SIM"), 1,0)</f>
        <v>0</v>
      </c>
    </row>
    <row r="385">
      <c r="A385" s="139">
        <f>IF(AND('Ações'!AB394="SIM", 'Ações'!AS394="SIM"), 1,0)</f>
        <v>0</v>
      </c>
      <c r="B385" s="139">
        <f>IF(AND('Ações'!$AB394="SIM", 'Ações'!AT394="SIM"), 1,0)</f>
        <v>0</v>
      </c>
      <c r="C385" s="139">
        <f>IF(AND('Ações'!$AB394="SIM", 'Ações'!AU394="SIM"), 1,0)</f>
        <v>0</v>
      </c>
      <c r="D385" s="139">
        <f>IF(AND('Ações'!$AB394="SIM", 'Ações'!AV394="SIM"), 1,0)</f>
        <v>1</v>
      </c>
      <c r="E385" s="139">
        <f>IF(AND('Ações'!$AB394="SIM", 'Ações'!AW394="SIM"), 1,0)</f>
        <v>1</v>
      </c>
      <c r="F385" s="139">
        <f>IF(AND('Ações'!$AB394="SIM", 'Ações'!AX394="SIM"), 1,0)</f>
        <v>0</v>
      </c>
      <c r="G385" s="139">
        <f>IF(AND('Ações'!$AC394="SIM", 'Ações'!AS394="SIM"), 1,0)</f>
        <v>0</v>
      </c>
      <c r="H385" s="139">
        <f>IF(AND('Ações'!$AC394="SIM", 'Ações'!AT394="SIM"), 1,0)</f>
        <v>0</v>
      </c>
      <c r="I385" s="139">
        <f>IF(AND('Ações'!$AC394="SIM", 'Ações'!AU394="SIM"), 1,0)</f>
        <v>0</v>
      </c>
      <c r="J385" s="139">
        <f>IF(AND('Ações'!$AC394="SIM", 'Ações'!AV394="SIM"), 1,0)</f>
        <v>0</v>
      </c>
      <c r="K385" s="139">
        <f>IF(AND('Ações'!$AC394="SIM", 'Ações'!AW394="SIM"), 1,0)</f>
        <v>0</v>
      </c>
      <c r="L385" s="139">
        <f>IF(AND('Ações'!$AC394="SIM", 'Ações'!AX394="SIM"), 1,0)</f>
        <v>0</v>
      </c>
      <c r="M385" s="139">
        <f>IF(AND('Ações'!$AD394="SIM", 'Ações'!AS394="SIM"), 1,0)</f>
        <v>0</v>
      </c>
      <c r="N385" s="139">
        <f>IF(AND('Ações'!$AD394="SIM", 'Ações'!AT394="SIM"), 1,0)</f>
        <v>0</v>
      </c>
      <c r="O385" s="139">
        <f>IF(AND('Ações'!$AD394="SIM", 'Ações'!AU394="SIM"), 1,0)</f>
        <v>0</v>
      </c>
      <c r="P385" s="139">
        <f>IF(AND('Ações'!$AD394="SIM", 'Ações'!AV394="SIM"), 1,0)</f>
        <v>0</v>
      </c>
      <c r="Q385" s="139">
        <f>IF(AND('Ações'!$AD394="SIM", 'Ações'!AW394="SIM"), 1,0)</f>
        <v>0</v>
      </c>
      <c r="R385" s="139">
        <f>IF(AND('Ações'!$AD394="SIM", 'Ações'!AX394="SIM"), 1,0)</f>
        <v>0</v>
      </c>
    </row>
    <row r="386">
      <c r="A386" s="139">
        <f>IF(AND('Ações'!AB395="SIM", 'Ações'!AS395="SIM"), 1,0)</f>
        <v>0</v>
      </c>
      <c r="B386" s="139">
        <f>IF(AND('Ações'!$AB395="SIM", 'Ações'!AT395="SIM"), 1,0)</f>
        <v>0</v>
      </c>
      <c r="C386" s="139">
        <f>IF(AND('Ações'!$AB395="SIM", 'Ações'!AU395="SIM"), 1,0)</f>
        <v>0</v>
      </c>
      <c r="D386" s="139">
        <f>IF(AND('Ações'!$AB395="SIM", 'Ações'!AV395="SIM"), 1,0)</f>
        <v>1</v>
      </c>
      <c r="E386" s="139">
        <f>IF(AND('Ações'!$AB395="SIM", 'Ações'!AW395="SIM"), 1,0)</f>
        <v>1</v>
      </c>
      <c r="F386" s="139">
        <f>IF(AND('Ações'!$AB395="SIM", 'Ações'!AX395="SIM"), 1,0)</f>
        <v>0</v>
      </c>
      <c r="G386" s="139">
        <f>IF(AND('Ações'!$AC395="SIM", 'Ações'!AS395="SIM"), 1,0)</f>
        <v>0</v>
      </c>
      <c r="H386" s="139">
        <f>IF(AND('Ações'!$AC395="SIM", 'Ações'!AT395="SIM"), 1,0)</f>
        <v>0</v>
      </c>
      <c r="I386" s="139">
        <f>IF(AND('Ações'!$AC395="SIM", 'Ações'!AU395="SIM"), 1,0)</f>
        <v>0</v>
      </c>
      <c r="J386" s="139">
        <f>IF(AND('Ações'!$AC395="SIM", 'Ações'!AV395="SIM"), 1,0)</f>
        <v>0</v>
      </c>
      <c r="K386" s="139">
        <f>IF(AND('Ações'!$AC395="SIM", 'Ações'!AW395="SIM"), 1,0)</f>
        <v>0</v>
      </c>
      <c r="L386" s="139">
        <f>IF(AND('Ações'!$AC395="SIM", 'Ações'!AX395="SIM"), 1,0)</f>
        <v>0</v>
      </c>
      <c r="M386" s="139">
        <f>IF(AND('Ações'!$AD395="SIM", 'Ações'!AS395="SIM"), 1,0)</f>
        <v>0</v>
      </c>
      <c r="N386" s="139">
        <f>IF(AND('Ações'!$AD395="SIM", 'Ações'!AT395="SIM"), 1,0)</f>
        <v>0</v>
      </c>
      <c r="O386" s="139">
        <f>IF(AND('Ações'!$AD395="SIM", 'Ações'!AU395="SIM"), 1,0)</f>
        <v>0</v>
      </c>
      <c r="P386" s="139">
        <f>IF(AND('Ações'!$AD395="SIM", 'Ações'!AV395="SIM"), 1,0)</f>
        <v>0</v>
      </c>
      <c r="Q386" s="139">
        <f>IF(AND('Ações'!$AD395="SIM", 'Ações'!AW395="SIM"), 1,0)</f>
        <v>0</v>
      </c>
      <c r="R386" s="139">
        <f>IF(AND('Ações'!$AD395="SIM", 'Ações'!AX395="SIM"), 1,0)</f>
        <v>0</v>
      </c>
    </row>
    <row r="387">
      <c r="A387" s="139">
        <f>IF(AND('Ações'!AB396="SIM", 'Ações'!AS396="SIM"), 1,0)</f>
        <v>0</v>
      </c>
      <c r="B387" s="139">
        <f>IF(AND('Ações'!$AB396="SIM", 'Ações'!AT396="SIM"), 1,0)</f>
        <v>0</v>
      </c>
      <c r="C387" s="139">
        <f>IF(AND('Ações'!$AB396="SIM", 'Ações'!AU396="SIM"), 1,0)</f>
        <v>0</v>
      </c>
      <c r="D387" s="139">
        <f>IF(AND('Ações'!$AB396="SIM", 'Ações'!AV396="SIM"), 1,0)</f>
        <v>1</v>
      </c>
      <c r="E387" s="139">
        <f>IF(AND('Ações'!$AB396="SIM", 'Ações'!AW396="SIM"), 1,0)</f>
        <v>1</v>
      </c>
      <c r="F387" s="139">
        <f>IF(AND('Ações'!$AB396="SIM", 'Ações'!AX396="SIM"), 1,0)</f>
        <v>0</v>
      </c>
      <c r="G387" s="139">
        <f>IF(AND('Ações'!$AC396="SIM", 'Ações'!AS396="SIM"), 1,0)</f>
        <v>0</v>
      </c>
      <c r="H387" s="139">
        <f>IF(AND('Ações'!$AC396="SIM", 'Ações'!AT396="SIM"), 1,0)</f>
        <v>0</v>
      </c>
      <c r="I387" s="139">
        <f>IF(AND('Ações'!$AC396="SIM", 'Ações'!AU396="SIM"), 1,0)</f>
        <v>0</v>
      </c>
      <c r="J387" s="139">
        <f>IF(AND('Ações'!$AC396="SIM", 'Ações'!AV396="SIM"), 1,0)</f>
        <v>0</v>
      </c>
      <c r="K387" s="139">
        <f>IF(AND('Ações'!$AC396="SIM", 'Ações'!AW396="SIM"), 1,0)</f>
        <v>0</v>
      </c>
      <c r="L387" s="139">
        <f>IF(AND('Ações'!$AC396="SIM", 'Ações'!AX396="SIM"), 1,0)</f>
        <v>0</v>
      </c>
      <c r="M387" s="139">
        <f>IF(AND('Ações'!$AD396="SIM", 'Ações'!AS396="SIM"), 1,0)</f>
        <v>0</v>
      </c>
      <c r="N387" s="139">
        <f>IF(AND('Ações'!$AD396="SIM", 'Ações'!AT396="SIM"), 1,0)</f>
        <v>0</v>
      </c>
      <c r="O387" s="139">
        <f>IF(AND('Ações'!$AD396="SIM", 'Ações'!AU396="SIM"), 1,0)</f>
        <v>0</v>
      </c>
      <c r="P387" s="139">
        <f>IF(AND('Ações'!$AD396="SIM", 'Ações'!AV396="SIM"), 1,0)</f>
        <v>0</v>
      </c>
      <c r="Q387" s="139">
        <f>IF(AND('Ações'!$AD396="SIM", 'Ações'!AW396="SIM"), 1,0)</f>
        <v>0</v>
      </c>
      <c r="R387" s="139">
        <f>IF(AND('Ações'!$AD396="SIM", 'Ações'!AX396="SIM"), 1,0)</f>
        <v>0</v>
      </c>
    </row>
    <row r="388">
      <c r="A388" s="139">
        <f>IF(AND('Ações'!AB397="SIM", 'Ações'!AS397="SIM"), 1,0)</f>
        <v>1</v>
      </c>
      <c r="B388" s="139">
        <f>IF(AND('Ações'!$AB397="SIM", 'Ações'!AT397="SIM"), 1,0)</f>
        <v>1</v>
      </c>
      <c r="C388" s="139">
        <f>IF(AND('Ações'!$AB397="SIM", 'Ações'!AU397="SIM"), 1,0)</f>
        <v>1</v>
      </c>
      <c r="D388" s="139">
        <f>IF(AND('Ações'!$AB397="SIM", 'Ações'!AV397="SIM"), 1,0)</f>
        <v>1</v>
      </c>
      <c r="E388" s="139">
        <f>IF(AND('Ações'!$AB397="SIM", 'Ações'!AW397="SIM"), 1,0)</f>
        <v>1</v>
      </c>
      <c r="F388" s="139">
        <f>IF(AND('Ações'!$AB397="SIM", 'Ações'!AX397="SIM"), 1,0)</f>
        <v>1</v>
      </c>
      <c r="G388" s="139">
        <f>IF(AND('Ações'!$AC397="SIM", 'Ações'!AS397="SIM"), 1,0)</f>
        <v>1</v>
      </c>
      <c r="H388" s="139">
        <f>IF(AND('Ações'!$AC397="SIM", 'Ações'!AT397="SIM"), 1,0)</f>
        <v>1</v>
      </c>
      <c r="I388" s="139">
        <f>IF(AND('Ações'!$AC397="SIM", 'Ações'!AU397="SIM"), 1,0)</f>
        <v>1</v>
      </c>
      <c r="J388" s="139">
        <f>IF(AND('Ações'!$AC397="SIM", 'Ações'!AV397="SIM"), 1,0)</f>
        <v>1</v>
      </c>
      <c r="K388" s="139">
        <f>IF(AND('Ações'!$AC397="SIM", 'Ações'!AW397="SIM"), 1,0)</f>
        <v>1</v>
      </c>
      <c r="L388" s="139">
        <f>IF(AND('Ações'!$AC397="SIM", 'Ações'!AX397="SIM"), 1,0)</f>
        <v>1</v>
      </c>
      <c r="M388" s="139">
        <f>IF(AND('Ações'!$AD397="SIM", 'Ações'!AS397="SIM"), 1,0)</f>
        <v>0</v>
      </c>
      <c r="N388" s="139">
        <f>IF(AND('Ações'!$AD397="SIM", 'Ações'!AT397="SIM"), 1,0)</f>
        <v>0</v>
      </c>
      <c r="O388" s="139">
        <f>IF(AND('Ações'!$AD397="SIM", 'Ações'!AU397="SIM"), 1,0)</f>
        <v>0</v>
      </c>
      <c r="P388" s="139">
        <f>IF(AND('Ações'!$AD397="SIM", 'Ações'!AV397="SIM"), 1,0)</f>
        <v>0</v>
      </c>
      <c r="Q388" s="139">
        <f>IF(AND('Ações'!$AD397="SIM", 'Ações'!AW397="SIM"), 1,0)</f>
        <v>0</v>
      </c>
      <c r="R388" s="139">
        <f>IF(AND('Ações'!$AD397="SIM", 'Ações'!AX397="SIM"), 1,0)</f>
        <v>0</v>
      </c>
    </row>
    <row r="389">
      <c r="A389" s="139">
        <f>IF(AND('Ações'!AB398="SIM", 'Ações'!AS398="SIM"), 1,0)</f>
        <v>0</v>
      </c>
      <c r="B389" s="139">
        <f>IF(AND('Ações'!$AB398="SIM", 'Ações'!AT398="SIM"), 1,0)</f>
        <v>0</v>
      </c>
      <c r="C389" s="139">
        <f>IF(AND('Ações'!$AB398="SIM", 'Ações'!AU398="SIM"), 1,0)</f>
        <v>0</v>
      </c>
      <c r="D389" s="139">
        <f>IF(AND('Ações'!$AB398="SIM", 'Ações'!AV398="SIM"), 1,0)</f>
        <v>0</v>
      </c>
      <c r="E389" s="139">
        <f>IF(AND('Ações'!$AB398="SIM", 'Ações'!AW398="SIM"), 1,0)</f>
        <v>0</v>
      </c>
      <c r="F389" s="139">
        <f>IF(AND('Ações'!$AB398="SIM", 'Ações'!AX398="SIM"), 1,0)</f>
        <v>0</v>
      </c>
      <c r="G389" s="139">
        <f>IF(AND('Ações'!$AC398="SIM", 'Ações'!AS398="SIM"), 1,0)</f>
        <v>1</v>
      </c>
      <c r="H389" s="139">
        <f>IF(AND('Ações'!$AC398="SIM", 'Ações'!AT398="SIM"), 1,0)</f>
        <v>1</v>
      </c>
      <c r="I389" s="139">
        <f>IF(AND('Ações'!$AC398="SIM", 'Ações'!AU398="SIM"), 1,0)</f>
        <v>1</v>
      </c>
      <c r="J389" s="139">
        <f>IF(AND('Ações'!$AC398="SIM", 'Ações'!AV398="SIM"), 1,0)</f>
        <v>1</v>
      </c>
      <c r="K389" s="139">
        <f>IF(AND('Ações'!$AC398="SIM", 'Ações'!AW398="SIM"), 1,0)</f>
        <v>1</v>
      </c>
      <c r="L389" s="139">
        <f>IF(AND('Ações'!$AC398="SIM", 'Ações'!AX398="SIM"), 1,0)</f>
        <v>1</v>
      </c>
      <c r="M389" s="139">
        <f>IF(AND('Ações'!$AD398="SIM", 'Ações'!AS398="SIM"), 1,0)</f>
        <v>0</v>
      </c>
      <c r="N389" s="139">
        <f>IF(AND('Ações'!$AD398="SIM", 'Ações'!AT398="SIM"), 1,0)</f>
        <v>0</v>
      </c>
      <c r="O389" s="139">
        <f>IF(AND('Ações'!$AD398="SIM", 'Ações'!AU398="SIM"), 1,0)</f>
        <v>0</v>
      </c>
      <c r="P389" s="139">
        <f>IF(AND('Ações'!$AD398="SIM", 'Ações'!AV398="SIM"), 1,0)</f>
        <v>0</v>
      </c>
      <c r="Q389" s="139">
        <f>IF(AND('Ações'!$AD398="SIM", 'Ações'!AW398="SIM"), 1,0)</f>
        <v>0</v>
      </c>
      <c r="R389" s="139">
        <f>IF(AND('Ações'!$AD398="SIM", 'Ações'!AX398="SIM"), 1,0)</f>
        <v>0</v>
      </c>
    </row>
    <row r="390">
      <c r="A390" s="139">
        <f>IF(AND('Ações'!AB399="SIM", 'Ações'!AS399="SIM"), 1,0)</f>
        <v>0</v>
      </c>
      <c r="B390" s="139">
        <f>IF(AND('Ações'!$AB399="SIM", 'Ações'!AT399="SIM"), 1,0)</f>
        <v>0</v>
      </c>
      <c r="C390" s="139">
        <f>IF(AND('Ações'!$AB399="SIM", 'Ações'!AU399="SIM"), 1,0)</f>
        <v>0</v>
      </c>
      <c r="D390" s="139">
        <f>IF(AND('Ações'!$AB399="SIM", 'Ações'!AV399="SIM"), 1,0)</f>
        <v>0</v>
      </c>
      <c r="E390" s="139">
        <f>IF(AND('Ações'!$AB399="SIM", 'Ações'!AW399="SIM"), 1,0)</f>
        <v>0</v>
      </c>
      <c r="F390" s="139">
        <f>IF(AND('Ações'!$AB399="SIM", 'Ações'!AX399="SIM"), 1,0)</f>
        <v>0</v>
      </c>
      <c r="G390" s="139">
        <f>IF(AND('Ações'!$AC399="SIM", 'Ações'!AS399="SIM"), 1,0)</f>
        <v>1</v>
      </c>
      <c r="H390" s="139">
        <f>IF(AND('Ações'!$AC399="SIM", 'Ações'!AT399="SIM"), 1,0)</f>
        <v>1</v>
      </c>
      <c r="I390" s="139">
        <f>IF(AND('Ações'!$AC399="SIM", 'Ações'!AU399="SIM"), 1,0)</f>
        <v>1</v>
      </c>
      <c r="J390" s="139">
        <f>IF(AND('Ações'!$AC399="SIM", 'Ações'!AV399="SIM"), 1,0)</f>
        <v>1</v>
      </c>
      <c r="K390" s="139">
        <f>IF(AND('Ações'!$AC399="SIM", 'Ações'!AW399="SIM"), 1,0)</f>
        <v>1</v>
      </c>
      <c r="L390" s="139">
        <f>IF(AND('Ações'!$AC399="SIM", 'Ações'!AX399="SIM"), 1,0)</f>
        <v>1</v>
      </c>
      <c r="M390" s="139">
        <f>IF(AND('Ações'!$AD399="SIM", 'Ações'!AS399="SIM"), 1,0)</f>
        <v>0</v>
      </c>
      <c r="N390" s="139">
        <f>IF(AND('Ações'!$AD399="SIM", 'Ações'!AT399="SIM"), 1,0)</f>
        <v>0</v>
      </c>
      <c r="O390" s="139">
        <f>IF(AND('Ações'!$AD399="SIM", 'Ações'!AU399="SIM"), 1,0)</f>
        <v>0</v>
      </c>
      <c r="P390" s="139">
        <f>IF(AND('Ações'!$AD399="SIM", 'Ações'!AV399="SIM"), 1,0)</f>
        <v>0</v>
      </c>
      <c r="Q390" s="139">
        <f>IF(AND('Ações'!$AD399="SIM", 'Ações'!AW399="SIM"), 1,0)</f>
        <v>0</v>
      </c>
      <c r="R390" s="139">
        <f>IF(AND('Ações'!$AD399="SIM", 'Ações'!AX399="SIM"), 1,0)</f>
        <v>0</v>
      </c>
    </row>
    <row r="391">
      <c r="A391" s="139">
        <f>IF(AND('Ações'!AB400="SIM", 'Ações'!AS400="SIM"), 1,0)</f>
        <v>1</v>
      </c>
      <c r="B391" s="139">
        <f>IF(AND('Ações'!$AB400="SIM", 'Ações'!AT400="SIM"), 1,0)</f>
        <v>1</v>
      </c>
      <c r="C391" s="139">
        <f>IF(AND('Ações'!$AB400="SIM", 'Ações'!AU400="SIM"), 1,0)</f>
        <v>1</v>
      </c>
      <c r="D391" s="139">
        <f>IF(AND('Ações'!$AB400="SIM", 'Ações'!AV400="SIM"), 1,0)</f>
        <v>1</v>
      </c>
      <c r="E391" s="139">
        <f>IF(AND('Ações'!$AB400="SIM", 'Ações'!AW400="SIM"), 1,0)</f>
        <v>1</v>
      </c>
      <c r="F391" s="139">
        <f>IF(AND('Ações'!$AB400="SIM", 'Ações'!AX400="SIM"), 1,0)</f>
        <v>1</v>
      </c>
      <c r="G391" s="139">
        <f>IF(AND('Ações'!$AC400="SIM", 'Ações'!AS400="SIM"), 1,0)</f>
        <v>1</v>
      </c>
      <c r="H391" s="139">
        <f>IF(AND('Ações'!$AC400="SIM", 'Ações'!AT400="SIM"), 1,0)</f>
        <v>1</v>
      </c>
      <c r="I391" s="139">
        <f>IF(AND('Ações'!$AC400="SIM", 'Ações'!AU400="SIM"), 1,0)</f>
        <v>1</v>
      </c>
      <c r="J391" s="139">
        <f>IF(AND('Ações'!$AC400="SIM", 'Ações'!AV400="SIM"), 1,0)</f>
        <v>1</v>
      </c>
      <c r="K391" s="139">
        <f>IF(AND('Ações'!$AC400="SIM", 'Ações'!AW400="SIM"), 1,0)</f>
        <v>1</v>
      </c>
      <c r="L391" s="139">
        <f>IF(AND('Ações'!$AC400="SIM", 'Ações'!AX400="SIM"), 1,0)</f>
        <v>1</v>
      </c>
      <c r="M391" s="139">
        <f>IF(AND('Ações'!$AD400="SIM", 'Ações'!AS400="SIM"), 1,0)</f>
        <v>1</v>
      </c>
      <c r="N391" s="139">
        <f>IF(AND('Ações'!$AD400="SIM", 'Ações'!AT400="SIM"), 1,0)</f>
        <v>1</v>
      </c>
      <c r="O391" s="139">
        <f>IF(AND('Ações'!$AD400="SIM", 'Ações'!AU400="SIM"), 1,0)</f>
        <v>1</v>
      </c>
      <c r="P391" s="139">
        <f>IF(AND('Ações'!$AD400="SIM", 'Ações'!AV400="SIM"), 1,0)</f>
        <v>1</v>
      </c>
      <c r="Q391" s="139">
        <f>IF(AND('Ações'!$AD400="SIM", 'Ações'!AW400="SIM"), 1,0)</f>
        <v>1</v>
      </c>
      <c r="R391" s="139">
        <f>IF(AND('Ações'!$AD400="SIM", 'Ações'!AX400="SIM"), 1,0)</f>
        <v>1</v>
      </c>
    </row>
    <row r="392">
      <c r="A392" s="139">
        <f>IF(AND('Ações'!AB401="SIM", 'Ações'!AS401="SIM"), 1,0)</f>
        <v>0</v>
      </c>
      <c r="B392" s="139">
        <f>IF(AND('Ações'!$AB401="SIM", 'Ações'!AT401="SIM"), 1,0)</f>
        <v>1</v>
      </c>
      <c r="C392" s="139">
        <f>IF(AND('Ações'!$AB401="SIM", 'Ações'!AU401="SIM"), 1,0)</f>
        <v>0</v>
      </c>
      <c r="D392" s="139">
        <f>IF(AND('Ações'!$AB401="SIM", 'Ações'!AV401="SIM"), 1,0)</f>
        <v>1</v>
      </c>
      <c r="E392" s="139">
        <f>IF(AND('Ações'!$AB401="SIM", 'Ações'!AW401="SIM"), 1,0)</f>
        <v>0</v>
      </c>
      <c r="F392" s="139">
        <f>IF(AND('Ações'!$AB401="SIM", 'Ações'!AX401="SIM"), 1,0)</f>
        <v>0</v>
      </c>
      <c r="G392" s="139">
        <f>IF(AND('Ações'!$AC401="SIM", 'Ações'!AS401="SIM"), 1,0)</f>
        <v>0</v>
      </c>
      <c r="H392" s="139">
        <f>IF(AND('Ações'!$AC401="SIM", 'Ações'!AT401="SIM"), 1,0)</f>
        <v>0</v>
      </c>
      <c r="I392" s="139">
        <f>IF(AND('Ações'!$AC401="SIM", 'Ações'!AU401="SIM"), 1,0)</f>
        <v>0</v>
      </c>
      <c r="J392" s="139">
        <f>IF(AND('Ações'!$AC401="SIM", 'Ações'!AV401="SIM"), 1,0)</f>
        <v>0</v>
      </c>
      <c r="K392" s="139">
        <f>IF(AND('Ações'!$AC401="SIM", 'Ações'!AW401="SIM"), 1,0)</f>
        <v>0</v>
      </c>
      <c r="L392" s="139">
        <f>IF(AND('Ações'!$AC401="SIM", 'Ações'!AX401="SIM"), 1,0)</f>
        <v>0</v>
      </c>
      <c r="M392" s="139">
        <f>IF(AND('Ações'!$AD401="SIM", 'Ações'!AS401="SIM"), 1,0)</f>
        <v>0</v>
      </c>
      <c r="N392" s="139">
        <f>IF(AND('Ações'!$AD401="SIM", 'Ações'!AT401="SIM"), 1,0)</f>
        <v>0</v>
      </c>
      <c r="O392" s="139">
        <f>IF(AND('Ações'!$AD401="SIM", 'Ações'!AU401="SIM"), 1,0)</f>
        <v>0</v>
      </c>
      <c r="P392" s="139">
        <f>IF(AND('Ações'!$AD401="SIM", 'Ações'!AV401="SIM"), 1,0)</f>
        <v>0</v>
      </c>
      <c r="Q392" s="139">
        <f>IF(AND('Ações'!$AD401="SIM", 'Ações'!AW401="SIM"), 1,0)</f>
        <v>0</v>
      </c>
      <c r="R392" s="139">
        <f>IF(AND('Ações'!$AD401="SIM", 'Ações'!AX401="SIM"), 1,0)</f>
        <v>0</v>
      </c>
    </row>
    <row r="393">
      <c r="A393" s="139">
        <f>IF(AND('Ações'!AB402="SIM", 'Ações'!AS402="SIM"), 1,0)</f>
        <v>0</v>
      </c>
      <c r="B393" s="139">
        <f>IF(AND('Ações'!$AB402="SIM", 'Ações'!AT402="SIM"), 1,0)</f>
        <v>1</v>
      </c>
      <c r="C393" s="139">
        <f>IF(AND('Ações'!$AB402="SIM", 'Ações'!AU402="SIM"), 1,0)</f>
        <v>1</v>
      </c>
      <c r="D393" s="139">
        <f>IF(AND('Ações'!$AB402="SIM", 'Ações'!AV402="SIM"), 1,0)</f>
        <v>1</v>
      </c>
      <c r="E393" s="139">
        <f>IF(AND('Ações'!$AB402="SIM", 'Ações'!AW402="SIM"), 1,0)</f>
        <v>1</v>
      </c>
      <c r="F393" s="139">
        <f>IF(AND('Ações'!$AB402="SIM", 'Ações'!AX402="SIM"), 1,0)</f>
        <v>0</v>
      </c>
      <c r="G393" s="139">
        <f>IF(AND('Ações'!$AC402="SIM", 'Ações'!AS402="SIM"), 1,0)</f>
        <v>0</v>
      </c>
      <c r="H393" s="139">
        <f>IF(AND('Ações'!$AC402="SIM", 'Ações'!AT402="SIM"), 1,0)</f>
        <v>0</v>
      </c>
      <c r="I393" s="139">
        <f>IF(AND('Ações'!$AC402="SIM", 'Ações'!AU402="SIM"), 1,0)</f>
        <v>0</v>
      </c>
      <c r="J393" s="139">
        <f>IF(AND('Ações'!$AC402="SIM", 'Ações'!AV402="SIM"), 1,0)</f>
        <v>0</v>
      </c>
      <c r="K393" s="139">
        <f>IF(AND('Ações'!$AC402="SIM", 'Ações'!AW402="SIM"), 1,0)</f>
        <v>0</v>
      </c>
      <c r="L393" s="139">
        <f>IF(AND('Ações'!$AC402="SIM", 'Ações'!AX402="SIM"), 1,0)</f>
        <v>0</v>
      </c>
      <c r="M393" s="139">
        <f>IF(AND('Ações'!$AD402="SIM", 'Ações'!AS402="SIM"), 1,0)</f>
        <v>0</v>
      </c>
      <c r="N393" s="139">
        <f>IF(AND('Ações'!$AD402="SIM", 'Ações'!AT402="SIM"), 1,0)</f>
        <v>0</v>
      </c>
      <c r="O393" s="139">
        <f>IF(AND('Ações'!$AD402="SIM", 'Ações'!AU402="SIM"), 1,0)</f>
        <v>0</v>
      </c>
      <c r="P393" s="139">
        <f>IF(AND('Ações'!$AD402="SIM", 'Ações'!AV402="SIM"), 1,0)</f>
        <v>0</v>
      </c>
      <c r="Q393" s="139">
        <f>IF(AND('Ações'!$AD402="SIM", 'Ações'!AW402="SIM"), 1,0)</f>
        <v>0</v>
      </c>
      <c r="R393" s="139">
        <f>IF(AND('Ações'!$AD402="SIM", 'Ações'!AX402="SIM"), 1,0)</f>
        <v>0</v>
      </c>
    </row>
    <row r="394">
      <c r="A394" s="139">
        <f>IF(AND('Ações'!AB403="SIM", 'Ações'!AS403="SIM"), 1,0)</f>
        <v>0</v>
      </c>
      <c r="B394" s="139">
        <f>IF(AND('Ações'!$AB403="SIM", 'Ações'!AT403="SIM"), 1,0)</f>
        <v>1</v>
      </c>
      <c r="C394" s="139">
        <f>IF(AND('Ações'!$AB403="SIM", 'Ações'!AU403="SIM"), 1,0)</f>
        <v>1</v>
      </c>
      <c r="D394" s="139">
        <f>IF(AND('Ações'!$AB403="SIM", 'Ações'!AV403="SIM"), 1,0)</f>
        <v>1</v>
      </c>
      <c r="E394" s="139">
        <f>IF(AND('Ações'!$AB403="SIM", 'Ações'!AW403="SIM"), 1,0)</f>
        <v>1</v>
      </c>
      <c r="F394" s="139">
        <f>IF(AND('Ações'!$AB403="SIM", 'Ações'!AX403="SIM"), 1,0)</f>
        <v>0</v>
      </c>
      <c r="G394" s="139">
        <f>IF(AND('Ações'!$AC403="SIM", 'Ações'!AS403="SIM"), 1,0)</f>
        <v>0</v>
      </c>
      <c r="H394" s="139">
        <f>IF(AND('Ações'!$AC403="SIM", 'Ações'!AT403="SIM"), 1,0)</f>
        <v>0</v>
      </c>
      <c r="I394" s="139">
        <f>IF(AND('Ações'!$AC403="SIM", 'Ações'!AU403="SIM"), 1,0)</f>
        <v>0</v>
      </c>
      <c r="J394" s="139">
        <f>IF(AND('Ações'!$AC403="SIM", 'Ações'!AV403="SIM"), 1,0)</f>
        <v>0</v>
      </c>
      <c r="K394" s="139">
        <f>IF(AND('Ações'!$AC403="SIM", 'Ações'!AW403="SIM"), 1,0)</f>
        <v>0</v>
      </c>
      <c r="L394" s="139">
        <f>IF(AND('Ações'!$AC403="SIM", 'Ações'!AX403="SIM"), 1,0)</f>
        <v>0</v>
      </c>
      <c r="M394" s="139">
        <f>IF(AND('Ações'!$AD403="SIM", 'Ações'!AS403="SIM"), 1,0)</f>
        <v>0</v>
      </c>
      <c r="N394" s="139">
        <f>IF(AND('Ações'!$AD403="SIM", 'Ações'!AT403="SIM"), 1,0)</f>
        <v>0</v>
      </c>
      <c r="O394" s="139">
        <f>IF(AND('Ações'!$AD403="SIM", 'Ações'!AU403="SIM"), 1,0)</f>
        <v>0</v>
      </c>
      <c r="P394" s="139">
        <f>IF(AND('Ações'!$AD403="SIM", 'Ações'!AV403="SIM"), 1,0)</f>
        <v>0</v>
      </c>
      <c r="Q394" s="139">
        <f>IF(AND('Ações'!$AD403="SIM", 'Ações'!AW403="SIM"), 1,0)</f>
        <v>0</v>
      </c>
      <c r="R394" s="139">
        <f>IF(AND('Ações'!$AD403="SIM", 'Ações'!AX403="SIM"), 1,0)</f>
        <v>0</v>
      </c>
    </row>
    <row r="395">
      <c r="A395" s="139">
        <f>IF(AND('Ações'!AB404="SIM", 'Ações'!AS404="SIM"), 1,0)</f>
        <v>0</v>
      </c>
      <c r="B395" s="139">
        <f>IF(AND('Ações'!$AB404="SIM", 'Ações'!AT404="SIM"), 1,0)</f>
        <v>1</v>
      </c>
      <c r="C395" s="139">
        <f>IF(AND('Ações'!$AB404="SIM", 'Ações'!AU404="SIM"), 1,0)</f>
        <v>1</v>
      </c>
      <c r="D395" s="139">
        <f>IF(AND('Ações'!$AB404="SIM", 'Ações'!AV404="SIM"), 1,0)</f>
        <v>1</v>
      </c>
      <c r="E395" s="139">
        <f>IF(AND('Ações'!$AB404="SIM", 'Ações'!AW404="SIM"), 1,0)</f>
        <v>1</v>
      </c>
      <c r="F395" s="139">
        <f>IF(AND('Ações'!$AB404="SIM", 'Ações'!AX404="SIM"), 1,0)</f>
        <v>0</v>
      </c>
      <c r="G395" s="139">
        <f>IF(AND('Ações'!$AC404="SIM", 'Ações'!AS404="SIM"), 1,0)</f>
        <v>0</v>
      </c>
      <c r="H395" s="139">
        <f>IF(AND('Ações'!$AC404="SIM", 'Ações'!AT404="SIM"), 1,0)</f>
        <v>0</v>
      </c>
      <c r="I395" s="139">
        <f>IF(AND('Ações'!$AC404="SIM", 'Ações'!AU404="SIM"), 1,0)</f>
        <v>0</v>
      </c>
      <c r="J395" s="139">
        <f>IF(AND('Ações'!$AC404="SIM", 'Ações'!AV404="SIM"), 1,0)</f>
        <v>0</v>
      </c>
      <c r="K395" s="139">
        <f>IF(AND('Ações'!$AC404="SIM", 'Ações'!AW404="SIM"), 1,0)</f>
        <v>0</v>
      </c>
      <c r="L395" s="139">
        <f>IF(AND('Ações'!$AC404="SIM", 'Ações'!AX404="SIM"), 1,0)</f>
        <v>0</v>
      </c>
      <c r="M395" s="139">
        <f>IF(AND('Ações'!$AD404="SIM", 'Ações'!AS404="SIM"), 1,0)</f>
        <v>0</v>
      </c>
      <c r="N395" s="139">
        <f>IF(AND('Ações'!$AD404="SIM", 'Ações'!AT404="SIM"), 1,0)</f>
        <v>0</v>
      </c>
      <c r="O395" s="139">
        <f>IF(AND('Ações'!$AD404="SIM", 'Ações'!AU404="SIM"), 1,0)</f>
        <v>0</v>
      </c>
      <c r="P395" s="139">
        <f>IF(AND('Ações'!$AD404="SIM", 'Ações'!AV404="SIM"), 1,0)</f>
        <v>0</v>
      </c>
      <c r="Q395" s="139">
        <f>IF(AND('Ações'!$AD404="SIM", 'Ações'!AW404="SIM"), 1,0)</f>
        <v>0</v>
      </c>
      <c r="R395" s="139">
        <f>IF(AND('Ações'!$AD404="SIM", 'Ações'!AX404="SIM"), 1,0)</f>
        <v>0</v>
      </c>
    </row>
    <row r="396">
      <c r="A396" s="139">
        <f>IF(AND('Ações'!AB405="SIM", 'Ações'!AS405="SIM"), 1,0)</f>
        <v>0</v>
      </c>
      <c r="B396" s="139">
        <f>IF(AND('Ações'!$AB405="SIM", 'Ações'!AT405="SIM"), 1,0)</f>
        <v>1</v>
      </c>
      <c r="C396" s="139">
        <f>IF(AND('Ações'!$AB405="SIM", 'Ações'!AU405="SIM"), 1,0)</f>
        <v>1</v>
      </c>
      <c r="D396" s="139">
        <f>IF(AND('Ações'!$AB405="SIM", 'Ações'!AV405="SIM"), 1,0)</f>
        <v>1</v>
      </c>
      <c r="E396" s="139">
        <f>IF(AND('Ações'!$AB405="SIM", 'Ações'!AW405="SIM"), 1,0)</f>
        <v>1</v>
      </c>
      <c r="F396" s="139">
        <f>IF(AND('Ações'!$AB405="SIM", 'Ações'!AX405="SIM"), 1,0)</f>
        <v>0</v>
      </c>
      <c r="G396" s="139">
        <f>IF(AND('Ações'!$AC405="SIM", 'Ações'!AS405="SIM"), 1,0)</f>
        <v>0</v>
      </c>
      <c r="H396" s="139">
        <f>IF(AND('Ações'!$AC405="SIM", 'Ações'!AT405="SIM"), 1,0)</f>
        <v>0</v>
      </c>
      <c r="I396" s="139">
        <f>IF(AND('Ações'!$AC405="SIM", 'Ações'!AU405="SIM"), 1,0)</f>
        <v>0</v>
      </c>
      <c r="J396" s="139">
        <f>IF(AND('Ações'!$AC405="SIM", 'Ações'!AV405="SIM"), 1,0)</f>
        <v>0</v>
      </c>
      <c r="K396" s="139">
        <f>IF(AND('Ações'!$AC405="SIM", 'Ações'!AW405="SIM"), 1,0)</f>
        <v>0</v>
      </c>
      <c r="L396" s="139">
        <f>IF(AND('Ações'!$AC405="SIM", 'Ações'!AX405="SIM"), 1,0)</f>
        <v>0</v>
      </c>
      <c r="M396" s="139">
        <f>IF(AND('Ações'!$AD405="SIM", 'Ações'!AS405="SIM"), 1,0)</f>
        <v>0</v>
      </c>
      <c r="N396" s="139">
        <f>IF(AND('Ações'!$AD405="SIM", 'Ações'!AT405="SIM"), 1,0)</f>
        <v>0</v>
      </c>
      <c r="O396" s="139">
        <f>IF(AND('Ações'!$AD405="SIM", 'Ações'!AU405="SIM"), 1,0)</f>
        <v>0</v>
      </c>
      <c r="P396" s="139">
        <f>IF(AND('Ações'!$AD405="SIM", 'Ações'!AV405="SIM"), 1,0)</f>
        <v>0</v>
      </c>
      <c r="Q396" s="139">
        <f>IF(AND('Ações'!$AD405="SIM", 'Ações'!AW405="SIM"), 1,0)</f>
        <v>0</v>
      </c>
      <c r="R396" s="139">
        <f>IF(AND('Ações'!$AD405="SIM", 'Ações'!AX405="SIM"), 1,0)</f>
        <v>0</v>
      </c>
    </row>
    <row r="397">
      <c r="A397" s="139">
        <f>IF(AND('Ações'!AB406="SIM", 'Ações'!AS406="SIM"), 1,0)</f>
        <v>0</v>
      </c>
      <c r="B397" s="139">
        <f>IF(AND('Ações'!$AB406="SIM", 'Ações'!AT406="SIM"), 1,0)</f>
        <v>1</v>
      </c>
      <c r="C397" s="139">
        <f>IF(AND('Ações'!$AB406="SIM", 'Ações'!AU406="SIM"), 1,0)</f>
        <v>1</v>
      </c>
      <c r="D397" s="139">
        <f>IF(AND('Ações'!$AB406="SIM", 'Ações'!AV406="SIM"), 1,0)</f>
        <v>1</v>
      </c>
      <c r="E397" s="139">
        <f>IF(AND('Ações'!$AB406="SIM", 'Ações'!AW406="SIM"), 1,0)</f>
        <v>1</v>
      </c>
      <c r="F397" s="139">
        <f>IF(AND('Ações'!$AB406="SIM", 'Ações'!AX406="SIM"), 1,0)</f>
        <v>0</v>
      </c>
      <c r="G397" s="139">
        <f>IF(AND('Ações'!$AC406="SIM", 'Ações'!AS406="SIM"), 1,0)</f>
        <v>0</v>
      </c>
      <c r="H397" s="139">
        <f>IF(AND('Ações'!$AC406="SIM", 'Ações'!AT406="SIM"), 1,0)</f>
        <v>0</v>
      </c>
      <c r="I397" s="139">
        <f>IF(AND('Ações'!$AC406="SIM", 'Ações'!AU406="SIM"), 1,0)</f>
        <v>0</v>
      </c>
      <c r="J397" s="139">
        <f>IF(AND('Ações'!$AC406="SIM", 'Ações'!AV406="SIM"), 1,0)</f>
        <v>0</v>
      </c>
      <c r="K397" s="139">
        <f>IF(AND('Ações'!$AC406="SIM", 'Ações'!AW406="SIM"), 1,0)</f>
        <v>0</v>
      </c>
      <c r="L397" s="139">
        <f>IF(AND('Ações'!$AC406="SIM", 'Ações'!AX406="SIM"), 1,0)</f>
        <v>0</v>
      </c>
      <c r="M397" s="139">
        <f>IF(AND('Ações'!$AD406="SIM", 'Ações'!AS406="SIM"), 1,0)</f>
        <v>0</v>
      </c>
      <c r="N397" s="139">
        <f>IF(AND('Ações'!$AD406="SIM", 'Ações'!AT406="SIM"), 1,0)</f>
        <v>0</v>
      </c>
      <c r="O397" s="139">
        <f>IF(AND('Ações'!$AD406="SIM", 'Ações'!AU406="SIM"), 1,0)</f>
        <v>0</v>
      </c>
      <c r="P397" s="139">
        <f>IF(AND('Ações'!$AD406="SIM", 'Ações'!AV406="SIM"), 1,0)</f>
        <v>0</v>
      </c>
      <c r="Q397" s="139">
        <f>IF(AND('Ações'!$AD406="SIM", 'Ações'!AW406="SIM"), 1,0)</f>
        <v>0</v>
      </c>
      <c r="R397" s="139">
        <f>IF(AND('Ações'!$AD406="SIM", 'Ações'!AX406="SIM"), 1,0)</f>
        <v>0</v>
      </c>
    </row>
    <row r="398">
      <c r="A398" s="139">
        <f>IF(AND('Ações'!AB407="SIM", 'Ações'!AS407="SIM"), 1,0)</f>
        <v>0</v>
      </c>
      <c r="B398" s="139">
        <f>IF(AND('Ações'!$AB407="SIM", 'Ações'!AT407="SIM"), 1,0)</f>
        <v>1</v>
      </c>
      <c r="C398" s="139">
        <f>IF(AND('Ações'!$AB407="SIM", 'Ações'!AU407="SIM"), 1,0)</f>
        <v>1</v>
      </c>
      <c r="D398" s="139">
        <f>IF(AND('Ações'!$AB407="SIM", 'Ações'!AV407="SIM"), 1,0)</f>
        <v>1</v>
      </c>
      <c r="E398" s="139">
        <f>IF(AND('Ações'!$AB407="SIM", 'Ações'!AW407="SIM"), 1,0)</f>
        <v>1</v>
      </c>
      <c r="F398" s="139">
        <f>IF(AND('Ações'!$AB407="SIM", 'Ações'!AX407="SIM"), 1,0)</f>
        <v>0</v>
      </c>
      <c r="G398" s="139">
        <f>IF(AND('Ações'!$AC407="SIM", 'Ações'!AS407="SIM"), 1,0)</f>
        <v>0</v>
      </c>
      <c r="H398" s="139">
        <f>IF(AND('Ações'!$AC407="SIM", 'Ações'!AT407="SIM"), 1,0)</f>
        <v>0</v>
      </c>
      <c r="I398" s="139">
        <f>IF(AND('Ações'!$AC407="SIM", 'Ações'!AU407="SIM"), 1,0)</f>
        <v>0</v>
      </c>
      <c r="J398" s="139">
        <f>IF(AND('Ações'!$AC407="SIM", 'Ações'!AV407="SIM"), 1,0)</f>
        <v>0</v>
      </c>
      <c r="K398" s="139">
        <f>IF(AND('Ações'!$AC407="SIM", 'Ações'!AW407="SIM"), 1,0)</f>
        <v>0</v>
      </c>
      <c r="L398" s="139">
        <f>IF(AND('Ações'!$AC407="SIM", 'Ações'!AX407="SIM"), 1,0)</f>
        <v>0</v>
      </c>
      <c r="M398" s="139">
        <f>IF(AND('Ações'!$AD407="SIM", 'Ações'!AS407="SIM"), 1,0)</f>
        <v>0</v>
      </c>
      <c r="N398" s="139">
        <f>IF(AND('Ações'!$AD407="SIM", 'Ações'!AT407="SIM"), 1,0)</f>
        <v>0</v>
      </c>
      <c r="O398" s="139">
        <f>IF(AND('Ações'!$AD407="SIM", 'Ações'!AU407="SIM"), 1,0)</f>
        <v>0</v>
      </c>
      <c r="P398" s="139">
        <f>IF(AND('Ações'!$AD407="SIM", 'Ações'!AV407="SIM"), 1,0)</f>
        <v>0</v>
      </c>
      <c r="Q398" s="139">
        <f>IF(AND('Ações'!$AD407="SIM", 'Ações'!AW407="SIM"), 1,0)</f>
        <v>0</v>
      </c>
      <c r="R398" s="139">
        <f>IF(AND('Ações'!$AD407="SIM", 'Ações'!AX407="SIM"), 1,0)</f>
        <v>0</v>
      </c>
    </row>
    <row r="399">
      <c r="A399" s="139">
        <f>IF(AND('Ações'!AB408="SIM", 'Ações'!AS408="SIM"), 1,0)</f>
        <v>0</v>
      </c>
      <c r="B399" s="139">
        <f>IF(AND('Ações'!$AB408="SIM", 'Ações'!AT408="SIM"), 1,0)</f>
        <v>1</v>
      </c>
      <c r="C399" s="139">
        <f>IF(AND('Ações'!$AB408="SIM", 'Ações'!AU408="SIM"), 1,0)</f>
        <v>1</v>
      </c>
      <c r="D399" s="139">
        <f>IF(AND('Ações'!$AB408="SIM", 'Ações'!AV408="SIM"), 1,0)</f>
        <v>1</v>
      </c>
      <c r="E399" s="139">
        <f>IF(AND('Ações'!$AB408="SIM", 'Ações'!AW408="SIM"), 1,0)</f>
        <v>1</v>
      </c>
      <c r="F399" s="139">
        <f>IF(AND('Ações'!$AB408="SIM", 'Ações'!AX408="SIM"), 1,0)</f>
        <v>0</v>
      </c>
      <c r="G399" s="139">
        <f>IF(AND('Ações'!$AC408="SIM", 'Ações'!AS408="SIM"), 1,0)</f>
        <v>0</v>
      </c>
      <c r="H399" s="139">
        <f>IF(AND('Ações'!$AC408="SIM", 'Ações'!AT408="SIM"), 1,0)</f>
        <v>0</v>
      </c>
      <c r="I399" s="139">
        <f>IF(AND('Ações'!$AC408="SIM", 'Ações'!AU408="SIM"), 1,0)</f>
        <v>0</v>
      </c>
      <c r="J399" s="139">
        <f>IF(AND('Ações'!$AC408="SIM", 'Ações'!AV408="SIM"), 1,0)</f>
        <v>0</v>
      </c>
      <c r="K399" s="139">
        <f>IF(AND('Ações'!$AC408="SIM", 'Ações'!AW408="SIM"), 1,0)</f>
        <v>0</v>
      </c>
      <c r="L399" s="139">
        <f>IF(AND('Ações'!$AC408="SIM", 'Ações'!AX408="SIM"), 1,0)</f>
        <v>0</v>
      </c>
      <c r="M399" s="139">
        <f>IF(AND('Ações'!$AD408="SIM", 'Ações'!AS408="SIM"), 1,0)</f>
        <v>0</v>
      </c>
      <c r="N399" s="139">
        <f>IF(AND('Ações'!$AD408="SIM", 'Ações'!AT408="SIM"), 1,0)</f>
        <v>0</v>
      </c>
      <c r="O399" s="139">
        <f>IF(AND('Ações'!$AD408="SIM", 'Ações'!AU408="SIM"), 1,0)</f>
        <v>0</v>
      </c>
      <c r="P399" s="139">
        <f>IF(AND('Ações'!$AD408="SIM", 'Ações'!AV408="SIM"), 1,0)</f>
        <v>0</v>
      </c>
      <c r="Q399" s="139">
        <f>IF(AND('Ações'!$AD408="SIM", 'Ações'!AW408="SIM"), 1,0)</f>
        <v>0</v>
      </c>
      <c r="R399" s="139">
        <f>IF(AND('Ações'!$AD408="SIM", 'Ações'!AX408="SIM"), 1,0)</f>
        <v>0</v>
      </c>
    </row>
    <row r="400">
      <c r="A400" s="139">
        <f>IF(AND('Ações'!AB409="SIM", 'Ações'!AS409="SIM"), 1,0)</f>
        <v>0</v>
      </c>
      <c r="B400" s="139">
        <f>IF(AND('Ações'!$AB409="SIM", 'Ações'!AT409="SIM"), 1,0)</f>
        <v>1</v>
      </c>
      <c r="C400" s="139">
        <f>IF(AND('Ações'!$AB409="SIM", 'Ações'!AU409="SIM"), 1,0)</f>
        <v>1</v>
      </c>
      <c r="D400" s="139">
        <f>IF(AND('Ações'!$AB409="SIM", 'Ações'!AV409="SIM"), 1,0)</f>
        <v>1</v>
      </c>
      <c r="E400" s="139">
        <f>IF(AND('Ações'!$AB409="SIM", 'Ações'!AW409="SIM"), 1,0)</f>
        <v>1</v>
      </c>
      <c r="F400" s="139">
        <f>IF(AND('Ações'!$AB409="SIM", 'Ações'!AX409="SIM"), 1,0)</f>
        <v>0</v>
      </c>
      <c r="G400" s="139">
        <f>IF(AND('Ações'!$AC409="SIM", 'Ações'!AS409="SIM"), 1,0)</f>
        <v>0</v>
      </c>
      <c r="H400" s="139">
        <f>IF(AND('Ações'!$AC409="SIM", 'Ações'!AT409="SIM"), 1,0)</f>
        <v>0</v>
      </c>
      <c r="I400" s="139">
        <f>IF(AND('Ações'!$AC409="SIM", 'Ações'!AU409="SIM"), 1,0)</f>
        <v>0</v>
      </c>
      <c r="J400" s="139">
        <f>IF(AND('Ações'!$AC409="SIM", 'Ações'!AV409="SIM"), 1,0)</f>
        <v>0</v>
      </c>
      <c r="K400" s="139">
        <f>IF(AND('Ações'!$AC409="SIM", 'Ações'!AW409="SIM"), 1,0)</f>
        <v>0</v>
      </c>
      <c r="L400" s="139">
        <f>IF(AND('Ações'!$AC409="SIM", 'Ações'!AX409="SIM"), 1,0)</f>
        <v>0</v>
      </c>
      <c r="M400" s="139">
        <f>IF(AND('Ações'!$AD409="SIM", 'Ações'!AS409="SIM"), 1,0)</f>
        <v>0</v>
      </c>
      <c r="N400" s="139">
        <f>IF(AND('Ações'!$AD409="SIM", 'Ações'!AT409="SIM"), 1,0)</f>
        <v>0</v>
      </c>
      <c r="O400" s="139">
        <f>IF(AND('Ações'!$AD409="SIM", 'Ações'!AU409="SIM"), 1,0)</f>
        <v>0</v>
      </c>
      <c r="P400" s="139">
        <f>IF(AND('Ações'!$AD409="SIM", 'Ações'!AV409="SIM"), 1,0)</f>
        <v>0</v>
      </c>
      <c r="Q400" s="139">
        <f>IF(AND('Ações'!$AD409="SIM", 'Ações'!AW409="SIM"), 1,0)</f>
        <v>0</v>
      </c>
      <c r="R400" s="139">
        <f>IF(AND('Ações'!$AD409="SIM", 'Ações'!AX409="SIM"), 1,0)</f>
        <v>0</v>
      </c>
    </row>
    <row r="401">
      <c r="A401" s="139">
        <f>IF(AND('Ações'!AB410="SIM", 'Ações'!AS410="SIM"), 1,0)</f>
        <v>0</v>
      </c>
      <c r="B401" s="139">
        <f>IF(AND('Ações'!$AB410="SIM", 'Ações'!AT410="SIM"), 1,0)</f>
        <v>1</v>
      </c>
      <c r="C401" s="139">
        <f>IF(AND('Ações'!$AB410="SIM", 'Ações'!AU410="SIM"), 1,0)</f>
        <v>1</v>
      </c>
      <c r="D401" s="139">
        <f>IF(AND('Ações'!$AB410="SIM", 'Ações'!AV410="SIM"), 1,0)</f>
        <v>1</v>
      </c>
      <c r="E401" s="139">
        <f>IF(AND('Ações'!$AB410="SIM", 'Ações'!AW410="SIM"), 1,0)</f>
        <v>1</v>
      </c>
      <c r="F401" s="139">
        <f>IF(AND('Ações'!$AB410="SIM", 'Ações'!AX410="SIM"), 1,0)</f>
        <v>0</v>
      </c>
      <c r="G401" s="139">
        <f>IF(AND('Ações'!$AC410="SIM", 'Ações'!AS410="SIM"), 1,0)</f>
        <v>0</v>
      </c>
      <c r="H401" s="139">
        <f>IF(AND('Ações'!$AC410="SIM", 'Ações'!AT410="SIM"), 1,0)</f>
        <v>0</v>
      </c>
      <c r="I401" s="139">
        <f>IF(AND('Ações'!$AC410="SIM", 'Ações'!AU410="SIM"), 1,0)</f>
        <v>0</v>
      </c>
      <c r="J401" s="139">
        <f>IF(AND('Ações'!$AC410="SIM", 'Ações'!AV410="SIM"), 1,0)</f>
        <v>0</v>
      </c>
      <c r="K401" s="139">
        <f>IF(AND('Ações'!$AC410="SIM", 'Ações'!AW410="SIM"), 1,0)</f>
        <v>0</v>
      </c>
      <c r="L401" s="139">
        <f>IF(AND('Ações'!$AC410="SIM", 'Ações'!AX410="SIM"), 1,0)</f>
        <v>0</v>
      </c>
      <c r="M401" s="139">
        <f>IF(AND('Ações'!$AD410="SIM", 'Ações'!AS410="SIM"), 1,0)</f>
        <v>0</v>
      </c>
      <c r="N401" s="139">
        <f>IF(AND('Ações'!$AD410="SIM", 'Ações'!AT410="SIM"), 1,0)</f>
        <v>0</v>
      </c>
      <c r="O401" s="139">
        <f>IF(AND('Ações'!$AD410="SIM", 'Ações'!AU410="SIM"), 1,0)</f>
        <v>0</v>
      </c>
      <c r="P401" s="139">
        <f>IF(AND('Ações'!$AD410="SIM", 'Ações'!AV410="SIM"), 1,0)</f>
        <v>0</v>
      </c>
      <c r="Q401" s="139">
        <f>IF(AND('Ações'!$AD410="SIM", 'Ações'!AW410="SIM"), 1,0)</f>
        <v>0</v>
      </c>
      <c r="R401" s="139">
        <f>IF(AND('Ações'!$AD410="SIM", 'Ações'!AX410="SIM"), 1,0)</f>
        <v>0</v>
      </c>
    </row>
    <row r="402">
      <c r="A402" s="139">
        <f>IF(AND('Ações'!AB411="SIM", 'Ações'!AS411="SIM"), 1,0)</f>
        <v>0</v>
      </c>
      <c r="B402" s="139">
        <f>IF(AND('Ações'!$AB411="SIM", 'Ações'!AT411="SIM"), 1,0)</f>
        <v>1</v>
      </c>
      <c r="C402" s="139">
        <f>IF(AND('Ações'!$AB411="SIM", 'Ações'!AU411="SIM"), 1,0)</f>
        <v>1</v>
      </c>
      <c r="D402" s="139">
        <f>IF(AND('Ações'!$AB411="SIM", 'Ações'!AV411="SIM"), 1,0)</f>
        <v>1</v>
      </c>
      <c r="E402" s="139">
        <f>IF(AND('Ações'!$AB411="SIM", 'Ações'!AW411="SIM"), 1,0)</f>
        <v>1</v>
      </c>
      <c r="F402" s="139">
        <f>IF(AND('Ações'!$AB411="SIM", 'Ações'!AX411="SIM"), 1,0)</f>
        <v>0</v>
      </c>
      <c r="G402" s="139">
        <f>IF(AND('Ações'!$AC411="SIM", 'Ações'!AS411="SIM"), 1,0)</f>
        <v>0</v>
      </c>
      <c r="H402" s="139">
        <f>IF(AND('Ações'!$AC411="SIM", 'Ações'!AT411="SIM"), 1,0)</f>
        <v>0</v>
      </c>
      <c r="I402" s="139">
        <f>IF(AND('Ações'!$AC411="SIM", 'Ações'!AU411="SIM"), 1,0)</f>
        <v>0</v>
      </c>
      <c r="J402" s="139">
        <f>IF(AND('Ações'!$AC411="SIM", 'Ações'!AV411="SIM"), 1,0)</f>
        <v>0</v>
      </c>
      <c r="K402" s="139">
        <f>IF(AND('Ações'!$AC411="SIM", 'Ações'!AW411="SIM"), 1,0)</f>
        <v>0</v>
      </c>
      <c r="L402" s="139">
        <f>IF(AND('Ações'!$AC411="SIM", 'Ações'!AX411="SIM"), 1,0)</f>
        <v>0</v>
      </c>
      <c r="M402" s="139">
        <f>IF(AND('Ações'!$AD411="SIM", 'Ações'!AS411="SIM"), 1,0)</f>
        <v>0</v>
      </c>
      <c r="N402" s="139">
        <f>IF(AND('Ações'!$AD411="SIM", 'Ações'!AT411="SIM"), 1,0)</f>
        <v>0</v>
      </c>
      <c r="O402" s="139">
        <f>IF(AND('Ações'!$AD411="SIM", 'Ações'!AU411="SIM"), 1,0)</f>
        <v>0</v>
      </c>
      <c r="P402" s="139">
        <f>IF(AND('Ações'!$AD411="SIM", 'Ações'!AV411="SIM"), 1,0)</f>
        <v>0</v>
      </c>
      <c r="Q402" s="139">
        <f>IF(AND('Ações'!$AD411="SIM", 'Ações'!AW411="SIM"), 1,0)</f>
        <v>0</v>
      </c>
      <c r="R402" s="139">
        <f>IF(AND('Ações'!$AD411="SIM", 'Ações'!AX411="SIM"), 1,0)</f>
        <v>0</v>
      </c>
    </row>
    <row r="403">
      <c r="A403" s="139">
        <f>IF(AND('Ações'!AB412="SIM", 'Ações'!AS412="SIM"), 1,0)</f>
        <v>0</v>
      </c>
      <c r="B403" s="139">
        <f>IF(AND('Ações'!$AB412="SIM", 'Ações'!AT412="SIM"), 1,0)</f>
        <v>1</v>
      </c>
      <c r="C403" s="139">
        <f>IF(AND('Ações'!$AB412="SIM", 'Ações'!AU412="SIM"), 1,0)</f>
        <v>1</v>
      </c>
      <c r="D403" s="139">
        <f>IF(AND('Ações'!$AB412="SIM", 'Ações'!AV412="SIM"), 1,0)</f>
        <v>1</v>
      </c>
      <c r="E403" s="139">
        <f>IF(AND('Ações'!$AB412="SIM", 'Ações'!AW412="SIM"), 1,0)</f>
        <v>1</v>
      </c>
      <c r="F403" s="139">
        <f>IF(AND('Ações'!$AB412="SIM", 'Ações'!AX412="SIM"), 1,0)</f>
        <v>0</v>
      </c>
      <c r="G403" s="139">
        <f>IF(AND('Ações'!$AC412="SIM", 'Ações'!AS412="SIM"), 1,0)</f>
        <v>0</v>
      </c>
      <c r="H403" s="139">
        <f>IF(AND('Ações'!$AC412="SIM", 'Ações'!AT412="SIM"), 1,0)</f>
        <v>1</v>
      </c>
      <c r="I403" s="139">
        <f>IF(AND('Ações'!$AC412="SIM", 'Ações'!AU412="SIM"), 1,0)</f>
        <v>1</v>
      </c>
      <c r="J403" s="139">
        <f>IF(AND('Ações'!$AC412="SIM", 'Ações'!AV412="SIM"), 1,0)</f>
        <v>1</v>
      </c>
      <c r="K403" s="139">
        <f>IF(AND('Ações'!$AC412="SIM", 'Ações'!AW412="SIM"), 1,0)</f>
        <v>1</v>
      </c>
      <c r="L403" s="139">
        <f>IF(AND('Ações'!$AC412="SIM", 'Ações'!AX412="SIM"), 1,0)</f>
        <v>0</v>
      </c>
      <c r="M403" s="139">
        <f>IF(AND('Ações'!$AD412="SIM", 'Ações'!AS412="SIM"), 1,0)</f>
        <v>0</v>
      </c>
      <c r="N403" s="139">
        <f>IF(AND('Ações'!$AD412="SIM", 'Ações'!AT412="SIM"), 1,0)</f>
        <v>0</v>
      </c>
      <c r="O403" s="139">
        <f>IF(AND('Ações'!$AD412="SIM", 'Ações'!AU412="SIM"), 1,0)</f>
        <v>0</v>
      </c>
      <c r="P403" s="139">
        <f>IF(AND('Ações'!$AD412="SIM", 'Ações'!AV412="SIM"), 1,0)</f>
        <v>0</v>
      </c>
      <c r="Q403" s="139">
        <f>IF(AND('Ações'!$AD412="SIM", 'Ações'!AW412="SIM"), 1,0)</f>
        <v>0</v>
      </c>
      <c r="R403" s="139">
        <f>IF(AND('Ações'!$AD412="SIM", 'Ações'!AX412="SIM"), 1,0)</f>
        <v>0</v>
      </c>
    </row>
    <row r="404">
      <c r="A404" s="139">
        <f>IF(AND('Ações'!AB413="SIM", 'Ações'!AS413="SIM"), 1,0)</f>
        <v>0</v>
      </c>
      <c r="B404" s="139">
        <f>IF(AND('Ações'!$AB413="SIM", 'Ações'!AT413="SIM"), 1,0)</f>
        <v>1</v>
      </c>
      <c r="C404" s="139">
        <f>IF(AND('Ações'!$AB413="SIM", 'Ações'!AU413="SIM"), 1,0)</f>
        <v>1</v>
      </c>
      <c r="D404" s="139">
        <f>IF(AND('Ações'!$AB413="SIM", 'Ações'!AV413="SIM"), 1,0)</f>
        <v>1</v>
      </c>
      <c r="E404" s="139">
        <f>IF(AND('Ações'!$AB413="SIM", 'Ações'!AW413="SIM"), 1,0)</f>
        <v>1</v>
      </c>
      <c r="F404" s="139">
        <f>IF(AND('Ações'!$AB413="SIM", 'Ações'!AX413="SIM"), 1,0)</f>
        <v>0</v>
      </c>
      <c r="G404" s="139">
        <f>IF(AND('Ações'!$AC413="SIM", 'Ações'!AS413="SIM"), 1,0)</f>
        <v>0</v>
      </c>
      <c r="H404" s="139">
        <f>IF(AND('Ações'!$AC413="SIM", 'Ações'!AT413="SIM"), 1,0)</f>
        <v>0</v>
      </c>
      <c r="I404" s="139">
        <f>IF(AND('Ações'!$AC413="SIM", 'Ações'!AU413="SIM"), 1,0)</f>
        <v>0</v>
      </c>
      <c r="J404" s="139">
        <f>IF(AND('Ações'!$AC413="SIM", 'Ações'!AV413="SIM"), 1,0)</f>
        <v>0</v>
      </c>
      <c r="K404" s="139">
        <f>IF(AND('Ações'!$AC413="SIM", 'Ações'!AW413="SIM"), 1,0)</f>
        <v>0</v>
      </c>
      <c r="L404" s="139">
        <f>IF(AND('Ações'!$AC413="SIM", 'Ações'!AX413="SIM"), 1,0)</f>
        <v>0</v>
      </c>
      <c r="M404" s="139">
        <f>IF(AND('Ações'!$AD413="SIM", 'Ações'!AS413="SIM"), 1,0)</f>
        <v>0</v>
      </c>
      <c r="N404" s="139">
        <f>IF(AND('Ações'!$AD413="SIM", 'Ações'!AT413="SIM"), 1,0)</f>
        <v>0</v>
      </c>
      <c r="O404" s="139">
        <f>IF(AND('Ações'!$AD413="SIM", 'Ações'!AU413="SIM"), 1,0)</f>
        <v>0</v>
      </c>
      <c r="P404" s="139">
        <f>IF(AND('Ações'!$AD413="SIM", 'Ações'!AV413="SIM"), 1,0)</f>
        <v>0</v>
      </c>
      <c r="Q404" s="139">
        <f>IF(AND('Ações'!$AD413="SIM", 'Ações'!AW413="SIM"), 1,0)</f>
        <v>0</v>
      </c>
      <c r="R404" s="139">
        <f>IF(AND('Ações'!$AD413="SIM", 'Ações'!AX413="SIM"), 1,0)</f>
        <v>0</v>
      </c>
    </row>
    <row r="405">
      <c r="A405" s="139">
        <f>IF(AND('Ações'!AB414="SIM", 'Ações'!AS414="SIM"), 1,0)</f>
        <v>0</v>
      </c>
      <c r="B405" s="139">
        <f>IF(AND('Ações'!$AB414="SIM", 'Ações'!AT414="SIM"), 1,0)</f>
        <v>1</v>
      </c>
      <c r="C405" s="139">
        <f>IF(AND('Ações'!$AB414="SIM", 'Ações'!AU414="SIM"), 1,0)</f>
        <v>1</v>
      </c>
      <c r="D405" s="139">
        <f>IF(AND('Ações'!$AB414="SIM", 'Ações'!AV414="SIM"), 1,0)</f>
        <v>1</v>
      </c>
      <c r="E405" s="139">
        <f>IF(AND('Ações'!$AB414="SIM", 'Ações'!AW414="SIM"), 1,0)</f>
        <v>1</v>
      </c>
      <c r="F405" s="139">
        <f>IF(AND('Ações'!$AB414="SIM", 'Ações'!AX414="SIM"), 1,0)</f>
        <v>0</v>
      </c>
      <c r="G405" s="139">
        <f>IF(AND('Ações'!$AC414="SIM", 'Ações'!AS414="SIM"), 1,0)</f>
        <v>0</v>
      </c>
      <c r="H405" s="139">
        <f>IF(AND('Ações'!$AC414="SIM", 'Ações'!AT414="SIM"), 1,0)</f>
        <v>0</v>
      </c>
      <c r="I405" s="139">
        <f>IF(AND('Ações'!$AC414="SIM", 'Ações'!AU414="SIM"), 1,0)</f>
        <v>0</v>
      </c>
      <c r="J405" s="139">
        <f>IF(AND('Ações'!$AC414="SIM", 'Ações'!AV414="SIM"), 1,0)</f>
        <v>0</v>
      </c>
      <c r="K405" s="139">
        <f>IF(AND('Ações'!$AC414="SIM", 'Ações'!AW414="SIM"), 1,0)</f>
        <v>0</v>
      </c>
      <c r="L405" s="139">
        <f>IF(AND('Ações'!$AC414="SIM", 'Ações'!AX414="SIM"), 1,0)</f>
        <v>0</v>
      </c>
      <c r="M405" s="139">
        <f>IF(AND('Ações'!$AD414="SIM", 'Ações'!AS414="SIM"), 1,0)</f>
        <v>0</v>
      </c>
      <c r="N405" s="139">
        <f>IF(AND('Ações'!$AD414="SIM", 'Ações'!AT414="SIM"), 1,0)</f>
        <v>0</v>
      </c>
      <c r="O405" s="139">
        <f>IF(AND('Ações'!$AD414="SIM", 'Ações'!AU414="SIM"), 1,0)</f>
        <v>0</v>
      </c>
      <c r="P405" s="139">
        <f>IF(AND('Ações'!$AD414="SIM", 'Ações'!AV414="SIM"), 1,0)</f>
        <v>0</v>
      </c>
      <c r="Q405" s="139">
        <f>IF(AND('Ações'!$AD414="SIM", 'Ações'!AW414="SIM"), 1,0)</f>
        <v>0</v>
      </c>
      <c r="R405" s="139">
        <f>IF(AND('Ações'!$AD414="SIM", 'Ações'!AX414="SIM"), 1,0)</f>
        <v>0</v>
      </c>
    </row>
    <row r="406">
      <c r="A406" s="139">
        <f>IF(AND('Ações'!AB415="SIM", 'Ações'!AS415="SIM"), 1,0)</f>
        <v>0</v>
      </c>
      <c r="B406" s="139">
        <f>IF(AND('Ações'!$AB415="SIM", 'Ações'!AT415="SIM"), 1,0)</f>
        <v>1</v>
      </c>
      <c r="C406" s="139">
        <f>IF(AND('Ações'!$AB415="SIM", 'Ações'!AU415="SIM"), 1,0)</f>
        <v>1</v>
      </c>
      <c r="D406" s="139">
        <f>IF(AND('Ações'!$AB415="SIM", 'Ações'!AV415="SIM"), 1,0)</f>
        <v>1</v>
      </c>
      <c r="E406" s="139">
        <f>IF(AND('Ações'!$AB415="SIM", 'Ações'!AW415="SIM"), 1,0)</f>
        <v>1</v>
      </c>
      <c r="F406" s="139">
        <f>IF(AND('Ações'!$AB415="SIM", 'Ações'!AX415="SIM"), 1,0)</f>
        <v>0</v>
      </c>
      <c r="G406" s="139">
        <f>IF(AND('Ações'!$AC415="SIM", 'Ações'!AS415="SIM"), 1,0)</f>
        <v>0</v>
      </c>
      <c r="H406" s="139">
        <f>IF(AND('Ações'!$AC415="SIM", 'Ações'!AT415="SIM"), 1,0)</f>
        <v>0</v>
      </c>
      <c r="I406" s="139">
        <f>IF(AND('Ações'!$AC415="SIM", 'Ações'!AU415="SIM"), 1,0)</f>
        <v>0</v>
      </c>
      <c r="J406" s="139">
        <f>IF(AND('Ações'!$AC415="SIM", 'Ações'!AV415="SIM"), 1,0)</f>
        <v>0</v>
      </c>
      <c r="K406" s="139">
        <f>IF(AND('Ações'!$AC415="SIM", 'Ações'!AW415="SIM"), 1,0)</f>
        <v>0</v>
      </c>
      <c r="L406" s="139">
        <f>IF(AND('Ações'!$AC415="SIM", 'Ações'!AX415="SIM"), 1,0)</f>
        <v>0</v>
      </c>
      <c r="M406" s="139">
        <f>IF(AND('Ações'!$AD415="SIM", 'Ações'!AS415="SIM"), 1,0)</f>
        <v>0</v>
      </c>
      <c r="N406" s="139">
        <f>IF(AND('Ações'!$AD415="SIM", 'Ações'!AT415="SIM"), 1,0)</f>
        <v>0</v>
      </c>
      <c r="O406" s="139">
        <f>IF(AND('Ações'!$AD415="SIM", 'Ações'!AU415="SIM"), 1,0)</f>
        <v>0</v>
      </c>
      <c r="P406" s="139">
        <f>IF(AND('Ações'!$AD415="SIM", 'Ações'!AV415="SIM"), 1,0)</f>
        <v>0</v>
      </c>
      <c r="Q406" s="139">
        <f>IF(AND('Ações'!$AD415="SIM", 'Ações'!AW415="SIM"), 1,0)</f>
        <v>0</v>
      </c>
      <c r="R406" s="139">
        <f>IF(AND('Ações'!$AD415="SIM", 'Ações'!AX415="SIM"), 1,0)</f>
        <v>0</v>
      </c>
    </row>
    <row r="407">
      <c r="A407" s="139">
        <f>IF(AND('Ações'!AB416="SIM", 'Ações'!AS416="SIM"), 1,0)</f>
        <v>0</v>
      </c>
      <c r="B407" s="139">
        <f>IF(AND('Ações'!$AB416="SIM", 'Ações'!AT416="SIM"), 1,0)</f>
        <v>0</v>
      </c>
      <c r="C407" s="139">
        <f>IF(AND('Ações'!$AB416="SIM", 'Ações'!AU416="SIM"), 1,0)</f>
        <v>0</v>
      </c>
      <c r="D407" s="139">
        <f>IF(AND('Ações'!$AB416="SIM", 'Ações'!AV416="SIM"), 1,0)</f>
        <v>0</v>
      </c>
      <c r="E407" s="139">
        <f>IF(AND('Ações'!$AB416="SIM", 'Ações'!AW416="SIM"), 1,0)</f>
        <v>0</v>
      </c>
      <c r="F407" s="139">
        <f>IF(AND('Ações'!$AB416="SIM", 'Ações'!AX416="SIM"), 1,0)</f>
        <v>0</v>
      </c>
      <c r="G407" s="139">
        <f>IF(AND('Ações'!$AC416="SIM", 'Ações'!AS416="SIM"), 1,0)</f>
        <v>0</v>
      </c>
      <c r="H407" s="139">
        <f>IF(AND('Ações'!$AC416="SIM", 'Ações'!AT416="SIM"), 1,0)</f>
        <v>1</v>
      </c>
      <c r="I407" s="139">
        <f>IF(AND('Ações'!$AC416="SIM", 'Ações'!AU416="SIM"), 1,0)</f>
        <v>1</v>
      </c>
      <c r="J407" s="139">
        <f>IF(AND('Ações'!$AC416="SIM", 'Ações'!AV416="SIM"), 1,0)</f>
        <v>1</v>
      </c>
      <c r="K407" s="139">
        <f>IF(AND('Ações'!$AC416="SIM", 'Ações'!AW416="SIM"), 1,0)</f>
        <v>1</v>
      </c>
      <c r="L407" s="139">
        <f>IF(AND('Ações'!$AC416="SIM", 'Ações'!AX416="SIM"), 1,0)</f>
        <v>0</v>
      </c>
      <c r="M407" s="139">
        <f>IF(AND('Ações'!$AD416="SIM", 'Ações'!AS416="SIM"), 1,0)</f>
        <v>0</v>
      </c>
      <c r="N407" s="139">
        <f>IF(AND('Ações'!$AD416="SIM", 'Ações'!AT416="SIM"), 1,0)</f>
        <v>0</v>
      </c>
      <c r="O407" s="139">
        <f>IF(AND('Ações'!$AD416="SIM", 'Ações'!AU416="SIM"), 1,0)</f>
        <v>0</v>
      </c>
      <c r="P407" s="139">
        <f>IF(AND('Ações'!$AD416="SIM", 'Ações'!AV416="SIM"), 1,0)</f>
        <v>0</v>
      </c>
      <c r="Q407" s="139">
        <f>IF(AND('Ações'!$AD416="SIM", 'Ações'!AW416="SIM"), 1,0)</f>
        <v>0</v>
      </c>
      <c r="R407" s="139">
        <f>IF(AND('Ações'!$AD416="SIM", 'Ações'!AX416="SIM"), 1,0)</f>
        <v>0</v>
      </c>
    </row>
    <row r="408">
      <c r="A408" s="139">
        <f>IF(AND('Ações'!AB417="SIM", 'Ações'!AS417="SIM"), 1,0)</f>
        <v>0</v>
      </c>
      <c r="B408" s="139">
        <f>IF(AND('Ações'!$AB417="SIM", 'Ações'!AT417="SIM"), 1,0)</f>
        <v>0</v>
      </c>
      <c r="C408" s="139">
        <f>IF(AND('Ações'!$AB417="SIM", 'Ações'!AU417="SIM"), 1,0)</f>
        <v>1</v>
      </c>
      <c r="D408" s="139">
        <f>IF(AND('Ações'!$AB417="SIM", 'Ações'!AV417="SIM"), 1,0)</f>
        <v>1</v>
      </c>
      <c r="E408" s="139">
        <f>IF(AND('Ações'!$AB417="SIM", 'Ações'!AW417="SIM"), 1,0)</f>
        <v>1</v>
      </c>
      <c r="F408" s="139">
        <f>IF(AND('Ações'!$AB417="SIM", 'Ações'!AX417="SIM"), 1,0)</f>
        <v>1</v>
      </c>
      <c r="G408" s="139">
        <f>IF(AND('Ações'!$AC417="SIM", 'Ações'!AS417="SIM"), 1,0)</f>
        <v>0</v>
      </c>
      <c r="H408" s="139">
        <f>IF(AND('Ações'!$AC417="SIM", 'Ações'!AT417="SIM"), 1,0)</f>
        <v>0</v>
      </c>
      <c r="I408" s="139">
        <f>IF(AND('Ações'!$AC417="SIM", 'Ações'!AU417="SIM"), 1,0)</f>
        <v>0</v>
      </c>
      <c r="J408" s="139">
        <f>IF(AND('Ações'!$AC417="SIM", 'Ações'!AV417="SIM"), 1,0)</f>
        <v>0</v>
      </c>
      <c r="K408" s="139">
        <f>IF(AND('Ações'!$AC417="SIM", 'Ações'!AW417="SIM"), 1,0)</f>
        <v>0</v>
      </c>
      <c r="L408" s="139">
        <f>IF(AND('Ações'!$AC417="SIM", 'Ações'!AX417="SIM"), 1,0)</f>
        <v>0</v>
      </c>
      <c r="M408" s="139">
        <f>IF(AND('Ações'!$AD417="SIM", 'Ações'!AS417="SIM"), 1,0)</f>
        <v>0</v>
      </c>
      <c r="N408" s="139">
        <f>IF(AND('Ações'!$AD417="SIM", 'Ações'!AT417="SIM"), 1,0)</f>
        <v>0</v>
      </c>
      <c r="O408" s="139">
        <f>IF(AND('Ações'!$AD417="SIM", 'Ações'!AU417="SIM"), 1,0)</f>
        <v>0</v>
      </c>
      <c r="P408" s="139">
        <f>IF(AND('Ações'!$AD417="SIM", 'Ações'!AV417="SIM"), 1,0)</f>
        <v>0</v>
      </c>
      <c r="Q408" s="139">
        <f>IF(AND('Ações'!$AD417="SIM", 'Ações'!AW417="SIM"), 1,0)</f>
        <v>0</v>
      </c>
      <c r="R408" s="139">
        <f>IF(AND('Ações'!$AD417="SIM", 'Ações'!AX417="SIM"), 1,0)</f>
        <v>0</v>
      </c>
    </row>
    <row r="409">
      <c r="A409" s="139">
        <f>IF(AND('Ações'!AB418="SIM", 'Ações'!AS418="SIM"), 1,0)</f>
        <v>0</v>
      </c>
      <c r="B409" s="139">
        <f>IF(AND('Ações'!$AB418="SIM", 'Ações'!AT418="SIM"), 1,0)</f>
        <v>0</v>
      </c>
      <c r="C409" s="139">
        <f>IF(AND('Ações'!$AB418="SIM", 'Ações'!AU418="SIM"), 1,0)</f>
        <v>1</v>
      </c>
      <c r="D409" s="139">
        <f>IF(AND('Ações'!$AB418="SIM", 'Ações'!AV418="SIM"), 1,0)</f>
        <v>1</v>
      </c>
      <c r="E409" s="139">
        <f>IF(AND('Ações'!$AB418="SIM", 'Ações'!AW418="SIM"), 1,0)</f>
        <v>1</v>
      </c>
      <c r="F409" s="139">
        <f>IF(AND('Ações'!$AB418="SIM", 'Ações'!AX418="SIM"), 1,0)</f>
        <v>1</v>
      </c>
      <c r="G409" s="139">
        <f>IF(AND('Ações'!$AC418="SIM", 'Ações'!AS418="SIM"), 1,0)</f>
        <v>0</v>
      </c>
      <c r="H409" s="139">
        <f>IF(AND('Ações'!$AC418="SIM", 'Ações'!AT418="SIM"), 1,0)</f>
        <v>0</v>
      </c>
      <c r="I409" s="139">
        <f>IF(AND('Ações'!$AC418="SIM", 'Ações'!AU418="SIM"), 1,0)</f>
        <v>1</v>
      </c>
      <c r="J409" s="139">
        <f>IF(AND('Ações'!$AC418="SIM", 'Ações'!AV418="SIM"), 1,0)</f>
        <v>1</v>
      </c>
      <c r="K409" s="139">
        <f>IF(AND('Ações'!$AC418="SIM", 'Ações'!AW418="SIM"), 1,0)</f>
        <v>1</v>
      </c>
      <c r="L409" s="139">
        <f>IF(AND('Ações'!$AC418="SIM", 'Ações'!AX418="SIM"), 1,0)</f>
        <v>1</v>
      </c>
      <c r="M409" s="139">
        <f>IF(AND('Ações'!$AD418="SIM", 'Ações'!AS418="SIM"), 1,0)</f>
        <v>0</v>
      </c>
      <c r="N409" s="139">
        <f>IF(AND('Ações'!$AD418="SIM", 'Ações'!AT418="SIM"), 1,0)</f>
        <v>0</v>
      </c>
      <c r="O409" s="139">
        <f>IF(AND('Ações'!$AD418="SIM", 'Ações'!AU418="SIM"), 1,0)</f>
        <v>0</v>
      </c>
      <c r="P409" s="139">
        <f>IF(AND('Ações'!$AD418="SIM", 'Ações'!AV418="SIM"), 1,0)</f>
        <v>0</v>
      </c>
      <c r="Q409" s="139">
        <f>IF(AND('Ações'!$AD418="SIM", 'Ações'!AW418="SIM"), 1,0)</f>
        <v>0</v>
      </c>
      <c r="R409" s="139">
        <f>IF(AND('Ações'!$AD418="SIM", 'Ações'!AX418="SIM"), 1,0)</f>
        <v>0</v>
      </c>
    </row>
    <row r="410">
      <c r="A410" s="139">
        <f>IF(AND('Ações'!AB419="SIM", 'Ações'!AS419="SIM"), 1,0)</f>
        <v>0</v>
      </c>
      <c r="B410" s="139">
        <f>IF(AND('Ações'!$AB419="SIM", 'Ações'!AT419="SIM"), 1,0)</f>
        <v>0</v>
      </c>
      <c r="C410" s="139">
        <f>IF(AND('Ações'!$AB419="SIM", 'Ações'!AU419="SIM"), 1,0)</f>
        <v>1</v>
      </c>
      <c r="D410" s="139">
        <f>IF(AND('Ações'!$AB419="SIM", 'Ações'!AV419="SIM"), 1,0)</f>
        <v>1</v>
      </c>
      <c r="E410" s="139">
        <f>IF(AND('Ações'!$AB419="SIM", 'Ações'!AW419="SIM"), 1,0)</f>
        <v>1</v>
      </c>
      <c r="F410" s="139">
        <f>IF(AND('Ações'!$AB419="SIM", 'Ações'!AX419="SIM"), 1,0)</f>
        <v>1</v>
      </c>
      <c r="G410" s="139">
        <f>IF(AND('Ações'!$AC419="SIM", 'Ações'!AS419="SIM"), 1,0)</f>
        <v>0</v>
      </c>
      <c r="H410" s="139">
        <f>IF(AND('Ações'!$AC419="SIM", 'Ações'!AT419="SIM"), 1,0)</f>
        <v>0</v>
      </c>
      <c r="I410" s="139">
        <f>IF(AND('Ações'!$AC419="SIM", 'Ações'!AU419="SIM"), 1,0)</f>
        <v>0</v>
      </c>
      <c r="J410" s="139">
        <f>IF(AND('Ações'!$AC419="SIM", 'Ações'!AV419="SIM"), 1,0)</f>
        <v>0</v>
      </c>
      <c r="K410" s="139">
        <f>IF(AND('Ações'!$AC419="SIM", 'Ações'!AW419="SIM"), 1,0)</f>
        <v>0</v>
      </c>
      <c r="L410" s="139">
        <f>IF(AND('Ações'!$AC419="SIM", 'Ações'!AX419="SIM"), 1,0)</f>
        <v>0</v>
      </c>
      <c r="M410" s="139">
        <f>IF(AND('Ações'!$AD419="SIM", 'Ações'!AS419="SIM"), 1,0)</f>
        <v>0</v>
      </c>
      <c r="N410" s="139">
        <f>IF(AND('Ações'!$AD419="SIM", 'Ações'!AT419="SIM"), 1,0)</f>
        <v>0</v>
      </c>
      <c r="O410" s="139">
        <f>IF(AND('Ações'!$AD419="SIM", 'Ações'!AU419="SIM"), 1,0)</f>
        <v>0</v>
      </c>
      <c r="P410" s="139">
        <f>IF(AND('Ações'!$AD419="SIM", 'Ações'!AV419="SIM"), 1,0)</f>
        <v>0</v>
      </c>
      <c r="Q410" s="139">
        <f>IF(AND('Ações'!$AD419="SIM", 'Ações'!AW419="SIM"), 1,0)</f>
        <v>0</v>
      </c>
      <c r="R410" s="139">
        <f>IF(AND('Ações'!$AD419="SIM", 'Ações'!AX419="SIM"), 1,0)</f>
        <v>0</v>
      </c>
    </row>
    <row r="411">
      <c r="A411" s="139">
        <f>IF(AND('Ações'!AB420="SIM", 'Ações'!AS420="SIM"), 1,0)</f>
        <v>0</v>
      </c>
      <c r="B411" s="139">
        <f>IF(AND('Ações'!$AB420="SIM", 'Ações'!AT420="SIM"), 1,0)</f>
        <v>0</v>
      </c>
      <c r="C411" s="139">
        <f>IF(AND('Ações'!$AB420="SIM", 'Ações'!AU420="SIM"), 1,0)</f>
        <v>1</v>
      </c>
      <c r="D411" s="139">
        <f>IF(AND('Ações'!$AB420="SIM", 'Ações'!AV420="SIM"), 1,0)</f>
        <v>1</v>
      </c>
      <c r="E411" s="139">
        <f>IF(AND('Ações'!$AB420="SIM", 'Ações'!AW420="SIM"), 1,0)</f>
        <v>1</v>
      </c>
      <c r="F411" s="139">
        <f>IF(AND('Ações'!$AB420="SIM", 'Ações'!AX420="SIM"), 1,0)</f>
        <v>1</v>
      </c>
      <c r="G411" s="139">
        <f>IF(AND('Ações'!$AC420="SIM", 'Ações'!AS420="SIM"), 1,0)</f>
        <v>0</v>
      </c>
      <c r="H411" s="139">
        <f>IF(AND('Ações'!$AC420="SIM", 'Ações'!AT420="SIM"), 1,0)</f>
        <v>0</v>
      </c>
      <c r="I411" s="139">
        <f>IF(AND('Ações'!$AC420="SIM", 'Ações'!AU420="SIM"), 1,0)</f>
        <v>1</v>
      </c>
      <c r="J411" s="139">
        <f>IF(AND('Ações'!$AC420="SIM", 'Ações'!AV420="SIM"), 1,0)</f>
        <v>1</v>
      </c>
      <c r="K411" s="139">
        <f>IF(AND('Ações'!$AC420="SIM", 'Ações'!AW420="SIM"), 1,0)</f>
        <v>1</v>
      </c>
      <c r="L411" s="139">
        <f>IF(AND('Ações'!$AC420="SIM", 'Ações'!AX420="SIM"), 1,0)</f>
        <v>1</v>
      </c>
      <c r="M411" s="139">
        <f>IF(AND('Ações'!$AD420="SIM", 'Ações'!AS420="SIM"), 1,0)</f>
        <v>0</v>
      </c>
      <c r="N411" s="139">
        <f>IF(AND('Ações'!$AD420="SIM", 'Ações'!AT420="SIM"), 1,0)</f>
        <v>0</v>
      </c>
      <c r="O411" s="139">
        <f>IF(AND('Ações'!$AD420="SIM", 'Ações'!AU420="SIM"), 1,0)</f>
        <v>0</v>
      </c>
      <c r="P411" s="139">
        <f>IF(AND('Ações'!$AD420="SIM", 'Ações'!AV420="SIM"), 1,0)</f>
        <v>0</v>
      </c>
      <c r="Q411" s="139">
        <f>IF(AND('Ações'!$AD420="SIM", 'Ações'!AW420="SIM"), 1,0)</f>
        <v>0</v>
      </c>
      <c r="R411" s="139">
        <f>IF(AND('Ações'!$AD420="SIM", 'Ações'!AX420="SIM"), 1,0)</f>
        <v>0</v>
      </c>
    </row>
    <row r="412">
      <c r="A412" s="139">
        <f>IF(AND('Ações'!AB421="SIM", 'Ações'!AS421="SIM"), 1,0)</f>
        <v>0</v>
      </c>
      <c r="B412" s="139">
        <f>IF(AND('Ações'!$AB421="SIM", 'Ações'!AT421="SIM"), 1,0)</f>
        <v>0</v>
      </c>
      <c r="C412" s="139">
        <f>IF(AND('Ações'!$AB421="SIM", 'Ações'!AU421="SIM"), 1,0)</f>
        <v>1</v>
      </c>
      <c r="D412" s="139">
        <f>IF(AND('Ações'!$AB421="SIM", 'Ações'!AV421="SIM"), 1,0)</f>
        <v>1</v>
      </c>
      <c r="E412" s="139">
        <f>IF(AND('Ações'!$AB421="SIM", 'Ações'!AW421="SIM"), 1,0)</f>
        <v>1</v>
      </c>
      <c r="F412" s="139">
        <f>IF(AND('Ações'!$AB421="SIM", 'Ações'!AX421="SIM"), 1,0)</f>
        <v>1</v>
      </c>
      <c r="G412" s="139">
        <f>IF(AND('Ações'!$AC421="SIM", 'Ações'!AS421="SIM"), 1,0)</f>
        <v>0</v>
      </c>
      <c r="H412" s="139">
        <f>IF(AND('Ações'!$AC421="SIM", 'Ações'!AT421="SIM"), 1,0)</f>
        <v>0</v>
      </c>
      <c r="I412" s="139">
        <f>IF(AND('Ações'!$AC421="SIM", 'Ações'!AU421="SIM"), 1,0)</f>
        <v>0</v>
      </c>
      <c r="J412" s="139">
        <f>IF(AND('Ações'!$AC421="SIM", 'Ações'!AV421="SIM"), 1,0)</f>
        <v>0</v>
      </c>
      <c r="K412" s="139">
        <f>IF(AND('Ações'!$AC421="SIM", 'Ações'!AW421="SIM"), 1,0)</f>
        <v>0</v>
      </c>
      <c r="L412" s="139">
        <f>IF(AND('Ações'!$AC421="SIM", 'Ações'!AX421="SIM"), 1,0)</f>
        <v>0</v>
      </c>
      <c r="M412" s="139">
        <f>IF(AND('Ações'!$AD421="SIM", 'Ações'!AS421="SIM"), 1,0)</f>
        <v>0</v>
      </c>
      <c r="N412" s="139">
        <f>IF(AND('Ações'!$AD421="SIM", 'Ações'!AT421="SIM"), 1,0)</f>
        <v>0</v>
      </c>
      <c r="O412" s="139">
        <f>IF(AND('Ações'!$AD421="SIM", 'Ações'!AU421="SIM"), 1,0)</f>
        <v>0</v>
      </c>
      <c r="P412" s="139">
        <f>IF(AND('Ações'!$AD421="SIM", 'Ações'!AV421="SIM"), 1,0)</f>
        <v>0</v>
      </c>
      <c r="Q412" s="139">
        <f>IF(AND('Ações'!$AD421="SIM", 'Ações'!AW421="SIM"), 1,0)</f>
        <v>0</v>
      </c>
      <c r="R412" s="139">
        <f>IF(AND('Ações'!$AD421="SIM", 'Ações'!AX421="SIM"), 1,0)</f>
        <v>0</v>
      </c>
    </row>
    <row r="413">
      <c r="A413" s="139">
        <f>IF(AND('Ações'!AB422="SIM", 'Ações'!AS422="SIM"), 1,0)</f>
        <v>0</v>
      </c>
      <c r="B413" s="139">
        <f>IF(AND('Ações'!$AB422="SIM", 'Ações'!AT422="SIM"), 1,0)</f>
        <v>0</v>
      </c>
      <c r="C413" s="139">
        <f>IF(AND('Ações'!$AB422="SIM", 'Ações'!AU422="SIM"), 1,0)</f>
        <v>0</v>
      </c>
      <c r="D413" s="139">
        <f>IF(AND('Ações'!$AB422="SIM", 'Ações'!AV422="SIM"), 1,0)</f>
        <v>0</v>
      </c>
      <c r="E413" s="139">
        <f>IF(AND('Ações'!$AB422="SIM", 'Ações'!AW422="SIM"), 1,0)</f>
        <v>0</v>
      </c>
      <c r="F413" s="139">
        <f>IF(AND('Ações'!$AB422="SIM", 'Ações'!AX422="SIM"), 1,0)</f>
        <v>0</v>
      </c>
      <c r="G413" s="139">
        <f>IF(AND('Ações'!$AC422="SIM", 'Ações'!AS422="SIM"), 1,0)</f>
        <v>0</v>
      </c>
      <c r="H413" s="139">
        <f>IF(AND('Ações'!$AC422="SIM", 'Ações'!AT422="SIM"), 1,0)</f>
        <v>0</v>
      </c>
      <c r="I413" s="139">
        <f>IF(AND('Ações'!$AC422="SIM", 'Ações'!AU422="SIM"), 1,0)</f>
        <v>1</v>
      </c>
      <c r="J413" s="139">
        <f>IF(AND('Ações'!$AC422="SIM", 'Ações'!AV422="SIM"), 1,0)</f>
        <v>1</v>
      </c>
      <c r="K413" s="139">
        <f>IF(AND('Ações'!$AC422="SIM", 'Ações'!AW422="SIM"), 1,0)</f>
        <v>1</v>
      </c>
      <c r="L413" s="139">
        <f>IF(AND('Ações'!$AC422="SIM", 'Ações'!AX422="SIM"), 1,0)</f>
        <v>1</v>
      </c>
      <c r="M413" s="139">
        <f>IF(AND('Ações'!$AD422="SIM", 'Ações'!AS422="SIM"), 1,0)</f>
        <v>0</v>
      </c>
      <c r="N413" s="139">
        <f>IF(AND('Ações'!$AD422="SIM", 'Ações'!AT422="SIM"), 1,0)</f>
        <v>0</v>
      </c>
      <c r="O413" s="139">
        <f>IF(AND('Ações'!$AD422="SIM", 'Ações'!AU422="SIM"), 1,0)</f>
        <v>0</v>
      </c>
      <c r="P413" s="139">
        <f>IF(AND('Ações'!$AD422="SIM", 'Ações'!AV422="SIM"), 1,0)</f>
        <v>0</v>
      </c>
      <c r="Q413" s="139">
        <f>IF(AND('Ações'!$AD422="SIM", 'Ações'!AW422="SIM"), 1,0)</f>
        <v>0</v>
      </c>
      <c r="R413" s="139">
        <f>IF(AND('Ações'!$AD422="SIM", 'Ações'!AX422="SIM"), 1,0)</f>
        <v>0</v>
      </c>
    </row>
    <row r="414">
      <c r="A414" s="139">
        <f>IF(AND('Ações'!AB423="SIM", 'Ações'!AS423="SIM"), 1,0)</f>
        <v>1</v>
      </c>
      <c r="B414" s="139">
        <f>IF(AND('Ações'!$AB423="SIM", 'Ações'!AT423="SIM"), 1,0)</f>
        <v>1</v>
      </c>
      <c r="C414" s="139">
        <f>IF(AND('Ações'!$AB423="SIM", 'Ações'!AU423="SIM"), 1,0)</f>
        <v>1</v>
      </c>
      <c r="D414" s="139">
        <f>IF(AND('Ações'!$AB423="SIM", 'Ações'!AV423="SIM"), 1,0)</f>
        <v>1</v>
      </c>
      <c r="E414" s="139">
        <f>IF(AND('Ações'!$AB423="SIM", 'Ações'!AW423="SIM"), 1,0)</f>
        <v>1</v>
      </c>
      <c r="F414" s="139">
        <f>IF(AND('Ações'!$AB423="SIM", 'Ações'!AX423="SIM"), 1,0)</f>
        <v>1</v>
      </c>
      <c r="G414" s="139">
        <f>IF(AND('Ações'!$AC423="SIM", 'Ações'!AS423="SIM"), 1,0)</f>
        <v>0</v>
      </c>
      <c r="H414" s="139">
        <f>IF(AND('Ações'!$AC423="SIM", 'Ações'!AT423="SIM"), 1,0)</f>
        <v>0</v>
      </c>
      <c r="I414" s="139">
        <f>IF(AND('Ações'!$AC423="SIM", 'Ações'!AU423="SIM"), 1,0)</f>
        <v>0</v>
      </c>
      <c r="J414" s="139">
        <f>IF(AND('Ações'!$AC423="SIM", 'Ações'!AV423="SIM"), 1,0)</f>
        <v>0</v>
      </c>
      <c r="K414" s="139">
        <f>IF(AND('Ações'!$AC423="SIM", 'Ações'!AW423="SIM"), 1,0)</f>
        <v>0</v>
      </c>
      <c r="L414" s="139">
        <f>IF(AND('Ações'!$AC423="SIM", 'Ações'!AX423="SIM"), 1,0)</f>
        <v>0</v>
      </c>
      <c r="M414" s="139">
        <f>IF(AND('Ações'!$AD423="SIM", 'Ações'!AS423="SIM"), 1,0)</f>
        <v>0</v>
      </c>
      <c r="N414" s="139">
        <f>IF(AND('Ações'!$AD423="SIM", 'Ações'!AT423="SIM"), 1,0)</f>
        <v>0</v>
      </c>
      <c r="O414" s="139">
        <f>IF(AND('Ações'!$AD423="SIM", 'Ações'!AU423="SIM"), 1,0)</f>
        <v>0</v>
      </c>
      <c r="P414" s="139">
        <f>IF(AND('Ações'!$AD423="SIM", 'Ações'!AV423="SIM"), 1,0)</f>
        <v>0</v>
      </c>
      <c r="Q414" s="139">
        <f>IF(AND('Ações'!$AD423="SIM", 'Ações'!AW423="SIM"), 1,0)</f>
        <v>0</v>
      </c>
      <c r="R414" s="139">
        <f>IF(AND('Ações'!$AD423="SIM", 'Ações'!AX423="SIM"), 1,0)</f>
        <v>0</v>
      </c>
    </row>
    <row r="415">
      <c r="A415" s="139">
        <f>IF(AND('Ações'!AB424="SIM", 'Ações'!AS424="SIM"), 1,0)</f>
        <v>1</v>
      </c>
      <c r="B415" s="139">
        <f>IF(AND('Ações'!$AB424="SIM", 'Ações'!AT424="SIM"), 1,0)</f>
        <v>1</v>
      </c>
      <c r="C415" s="139">
        <f>IF(AND('Ações'!$AB424="SIM", 'Ações'!AU424="SIM"), 1,0)</f>
        <v>1</v>
      </c>
      <c r="D415" s="139">
        <f>IF(AND('Ações'!$AB424="SIM", 'Ações'!AV424="SIM"), 1,0)</f>
        <v>1</v>
      </c>
      <c r="E415" s="139">
        <f>IF(AND('Ações'!$AB424="SIM", 'Ações'!AW424="SIM"), 1,0)</f>
        <v>1</v>
      </c>
      <c r="F415" s="139">
        <f>IF(AND('Ações'!$AB424="SIM", 'Ações'!AX424="SIM"), 1,0)</f>
        <v>1</v>
      </c>
      <c r="G415" s="139">
        <f>IF(AND('Ações'!$AC424="SIM", 'Ações'!AS424="SIM"), 1,0)</f>
        <v>0</v>
      </c>
      <c r="H415" s="139">
        <f>IF(AND('Ações'!$AC424="SIM", 'Ações'!AT424="SIM"), 1,0)</f>
        <v>0</v>
      </c>
      <c r="I415" s="139">
        <f>IF(AND('Ações'!$AC424="SIM", 'Ações'!AU424="SIM"), 1,0)</f>
        <v>0</v>
      </c>
      <c r="J415" s="139">
        <f>IF(AND('Ações'!$AC424="SIM", 'Ações'!AV424="SIM"), 1,0)</f>
        <v>0</v>
      </c>
      <c r="K415" s="139">
        <f>IF(AND('Ações'!$AC424="SIM", 'Ações'!AW424="SIM"), 1,0)</f>
        <v>0</v>
      </c>
      <c r="L415" s="139">
        <f>IF(AND('Ações'!$AC424="SIM", 'Ações'!AX424="SIM"), 1,0)</f>
        <v>0</v>
      </c>
      <c r="M415" s="139">
        <f>IF(AND('Ações'!$AD424="SIM", 'Ações'!AS424="SIM"), 1,0)</f>
        <v>0</v>
      </c>
      <c r="N415" s="139">
        <f>IF(AND('Ações'!$AD424="SIM", 'Ações'!AT424="SIM"), 1,0)</f>
        <v>0</v>
      </c>
      <c r="O415" s="139">
        <f>IF(AND('Ações'!$AD424="SIM", 'Ações'!AU424="SIM"), 1,0)</f>
        <v>0</v>
      </c>
      <c r="P415" s="139">
        <f>IF(AND('Ações'!$AD424="SIM", 'Ações'!AV424="SIM"), 1,0)</f>
        <v>0</v>
      </c>
      <c r="Q415" s="139">
        <f>IF(AND('Ações'!$AD424="SIM", 'Ações'!AW424="SIM"), 1,0)</f>
        <v>0</v>
      </c>
      <c r="R415" s="139">
        <f>IF(AND('Ações'!$AD424="SIM", 'Ações'!AX424="SIM"), 1,0)</f>
        <v>0</v>
      </c>
    </row>
    <row r="416">
      <c r="A416" s="139">
        <f>IF(AND('Ações'!AB425="SIM", 'Ações'!AS425="SIM"), 1,0)</f>
        <v>1</v>
      </c>
      <c r="B416" s="139">
        <f>IF(AND('Ações'!$AB425="SIM", 'Ações'!AT425="SIM"), 1,0)</f>
        <v>1</v>
      </c>
      <c r="C416" s="139">
        <f>IF(AND('Ações'!$AB425="SIM", 'Ações'!AU425="SIM"), 1,0)</f>
        <v>1</v>
      </c>
      <c r="D416" s="139">
        <f>IF(AND('Ações'!$AB425="SIM", 'Ações'!AV425="SIM"), 1,0)</f>
        <v>1</v>
      </c>
      <c r="E416" s="139">
        <f>IF(AND('Ações'!$AB425="SIM", 'Ações'!AW425="SIM"), 1,0)</f>
        <v>1</v>
      </c>
      <c r="F416" s="139">
        <f>IF(AND('Ações'!$AB425="SIM", 'Ações'!AX425="SIM"), 1,0)</f>
        <v>1</v>
      </c>
      <c r="G416" s="139">
        <f>IF(AND('Ações'!$AC425="SIM", 'Ações'!AS425="SIM"), 1,0)</f>
        <v>0</v>
      </c>
      <c r="H416" s="139">
        <f>IF(AND('Ações'!$AC425="SIM", 'Ações'!AT425="SIM"), 1,0)</f>
        <v>0</v>
      </c>
      <c r="I416" s="139">
        <f>IF(AND('Ações'!$AC425="SIM", 'Ações'!AU425="SIM"), 1,0)</f>
        <v>0</v>
      </c>
      <c r="J416" s="139">
        <f>IF(AND('Ações'!$AC425="SIM", 'Ações'!AV425="SIM"), 1,0)</f>
        <v>0</v>
      </c>
      <c r="K416" s="139">
        <f>IF(AND('Ações'!$AC425="SIM", 'Ações'!AW425="SIM"), 1,0)</f>
        <v>0</v>
      </c>
      <c r="L416" s="139">
        <f>IF(AND('Ações'!$AC425="SIM", 'Ações'!AX425="SIM"), 1,0)</f>
        <v>0</v>
      </c>
      <c r="M416" s="139">
        <f>IF(AND('Ações'!$AD425="SIM", 'Ações'!AS425="SIM"), 1,0)</f>
        <v>0</v>
      </c>
      <c r="N416" s="139">
        <f>IF(AND('Ações'!$AD425="SIM", 'Ações'!AT425="SIM"), 1,0)</f>
        <v>0</v>
      </c>
      <c r="O416" s="139">
        <f>IF(AND('Ações'!$AD425="SIM", 'Ações'!AU425="SIM"), 1,0)</f>
        <v>0</v>
      </c>
      <c r="P416" s="139">
        <f>IF(AND('Ações'!$AD425="SIM", 'Ações'!AV425="SIM"), 1,0)</f>
        <v>0</v>
      </c>
      <c r="Q416" s="139">
        <f>IF(AND('Ações'!$AD425="SIM", 'Ações'!AW425="SIM"), 1,0)</f>
        <v>0</v>
      </c>
      <c r="R416" s="139">
        <f>IF(AND('Ações'!$AD425="SIM", 'Ações'!AX425="SIM"), 1,0)</f>
        <v>0</v>
      </c>
    </row>
    <row r="417">
      <c r="A417" s="139">
        <f>IF(AND('Ações'!AB426="SIM", 'Ações'!AS426="SIM"), 1,0)</f>
        <v>0</v>
      </c>
      <c r="B417" s="139">
        <f>IF(AND('Ações'!$AB426="SIM", 'Ações'!AT426="SIM"), 1,0)</f>
        <v>0</v>
      </c>
      <c r="C417" s="139">
        <f>IF(AND('Ações'!$AB426="SIM", 'Ações'!AU426="SIM"), 1,0)</f>
        <v>0</v>
      </c>
      <c r="D417" s="139">
        <f>IF(AND('Ações'!$AB426="SIM", 'Ações'!AV426="SIM"), 1,0)</f>
        <v>0</v>
      </c>
      <c r="E417" s="139">
        <f>IF(AND('Ações'!$AB426="SIM", 'Ações'!AW426="SIM"), 1,0)</f>
        <v>0</v>
      </c>
      <c r="F417" s="139">
        <f>IF(AND('Ações'!$AB426="SIM", 'Ações'!AX426="SIM"), 1,0)</f>
        <v>0</v>
      </c>
      <c r="G417" s="139">
        <f>IF(AND('Ações'!$AC426="SIM", 'Ações'!AS426="SIM"), 1,0)</f>
        <v>1</v>
      </c>
      <c r="H417" s="139">
        <f>IF(AND('Ações'!$AC426="SIM", 'Ações'!AT426="SIM"), 1,0)</f>
        <v>1</v>
      </c>
      <c r="I417" s="139">
        <f>IF(AND('Ações'!$AC426="SIM", 'Ações'!AU426="SIM"), 1,0)</f>
        <v>1</v>
      </c>
      <c r="J417" s="139">
        <f>IF(AND('Ações'!$AC426="SIM", 'Ações'!AV426="SIM"), 1,0)</f>
        <v>1</v>
      </c>
      <c r="K417" s="139">
        <f>IF(AND('Ações'!$AC426="SIM", 'Ações'!AW426="SIM"), 1,0)</f>
        <v>1</v>
      </c>
      <c r="L417" s="139">
        <f>IF(AND('Ações'!$AC426="SIM", 'Ações'!AX426="SIM"), 1,0)</f>
        <v>1</v>
      </c>
      <c r="M417" s="139">
        <f>IF(AND('Ações'!$AD426="SIM", 'Ações'!AS426="SIM"), 1,0)</f>
        <v>0</v>
      </c>
      <c r="N417" s="139">
        <f>IF(AND('Ações'!$AD426="SIM", 'Ações'!AT426="SIM"), 1,0)</f>
        <v>0</v>
      </c>
      <c r="O417" s="139">
        <f>IF(AND('Ações'!$AD426="SIM", 'Ações'!AU426="SIM"), 1,0)</f>
        <v>0</v>
      </c>
      <c r="P417" s="139">
        <f>IF(AND('Ações'!$AD426="SIM", 'Ações'!AV426="SIM"), 1,0)</f>
        <v>0</v>
      </c>
      <c r="Q417" s="139">
        <f>IF(AND('Ações'!$AD426="SIM", 'Ações'!AW426="SIM"), 1,0)</f>
        <v>0</v>
      </c>
      <c r="R417" s="139">
        <f>IF(AND('Ações'!$AD426="SIM", 'Ações'!AX426="SIM"), 1,0)</f>
        <v>0</v>
      </c>
    </row>
    <row r="418">
      <c r="A418" s="139">
        <f>IF(AND('Ações'!AB427="SIM", 'Ações'!AS427="SIM"), 1,0)</f>
        <v>0</v>
      </c>
      <c r="B418" s="139">
        <f>IF(AND('Ações'!$AB427="SIM", 'Ações'!AT427="SIM"), 1,0)</f>
        <v>0</v>
      </c>
      <c r="C418" s="139">
        <f>IF(AND('Ações'!$AB427="SIM", 'Ações'!AU427="SIM"), 1,0)</f>
        <v>0</v>
      </c>
      <c r="D418" s="139">
        <f>IF(AND('Ações'!$AB427="SIM", 'Ações'!AV427="SIM"), 1,0)</f>
        <v>0</v>
      </c>
      <c r="E418" s="139">
        <f>IF(AND('Ações'!$AB427="SIM", 'Ações'!AW427="SIM"), 1,0)</f>
        <v>0</v>
      </c>
      <c r="F418" s="139">
        <f>IF(AND('Ações'!$AB427="SIM", 'Ações'!AX427="SIM"), 1,0)</f>
        <v>0</v>
      </c>
      <c r="G418" s="139">
        <f>IF(AND('Ações'!$AC427="SIM", 'Ações'!AS427="SIM"), 1,0)</f>
        <v>1</v>
      </c>
      <c r="H418" s="139">
        <f>IF(AND('Ações'!$AC427="SIM", 'Ações'!AT427="SIM"), 1,0)</f>
        <v>1</v>
      </c>
      <c r="I418" s="139">
        <f>IF(AND('Ações'!$AC427="SIM", 'Ações'!AU427="SIM"), 1,0)</f>
        <v>1</v>
      </c>
      <c r="J418" s="139">
        <f>IF(AND('Ações'!$AC427="SIM", 'Ações'!AV427="SIM"), 1,0)</f>
        <v>1</v>
      </c>
      <c r="K418" s="139">
        <f>IF(AND('Ações'!$AC427="SIM", 'Ações'!AW427="SIM"), 1,0)</f>
        <v>1</v>
      </c>
      <c r="L418" s="139">
        <f>IF(AND('Ações'!$AC427="SIM", 'Ações'!AX427="SIM"), 1,0)</f>
        <v>1</v>
      </c>
      <c r="M418" s="139">
        <f>IF(AND('Ações'!$AD427="SIM", 'Ações'!AS427="SIM"), 1,0)</f>
        <v>0</v>
      </c>
      <c r="N418" s="139">
        <f>IF(AND('Ações'!$AD427="SIM", 'Ações'!AT427="SIM"), 1,0)</f>
        <v>0</v>
      </c>
      <c r="O418" s="139">
        <f>IF(AND('Ações'!$AD427="SIM", 'Ações'!AU427="SIM"), 1,0)</f>
        <v>0</v>
      </c>
      <c r="P418" s="139">
        <f>IF(AND('Ações'!$AD427="SIM", 'Ações'!AV427="SIM"), 1,0)</f>
        <v>0</v>
      </c>
      <c r="Q418" s="139">
        <f>IF(AND('Ações'!$AD427="SIM", 'Ações'!AW427="SIM"), 1,0)</f>
        <v>0</v>
      </c>
      <c r="R418" s="139">
        <f>IF(AND('Ações'!$AD427="SIM", 'Ações'!AX427="SIM"), 1,0)</f>
        <v>0</v>
      </c>
    </row>
    <row r="419">
      <c r="A419" s="139">
        <f>IF(AND('Ações'!AB428="SIM", 'Ações'!AS428="SIM"), 1,0)</f>
        <v>1</v>
      </c>
      <c r="B419" s="139">
        <f>IF(AND('Ações'!$AB428="SIM", 'Ações'!AT428="SIM"), 1,0)</f>
        <v>1</v>
      </c>
      <c r="C419" s="139">
        <f>IF(AND('Ações'!$AB428="SIM", 'Ações'!AU428="SIM"), 1,0)</f>
        <v>1</v>
      </c>
      <c r="D419" s="139">
        <f>IF(AND('Ações'!$AB428="SIM", 'Ações'!AV428="SIM"), 1,0)</f>
        <v>1</v>
      </c>
      <c r="E419" s="139">
        <f>IF(AND('Ações'!$AB428="SIM", 'Ações'!AW428="SIM"), 1,0)</f>
        <v>1</v>
      </c>
      <c r="F419" s="139">
        <f>IF(AND('Ações'!$AB428="SIM", 'Ações'!AX428="SIM"), 1,0)</f>
        <v>1</v>
      </c>
      <c r="G419" s="139">
        <f>IF(AND('Ações'!$AC428="SIM", 'Ações'!AS428="SIM"), 1,0)</f>
        <v>0</v>
      </c>
      <c r="H419" s="139">
        <f>IF(AND('Ações'!$AC428="SIM", 'Ações'!AT428="SIM"), 1,0)</f>
        <v>0</v>
      </c>
      <c r="I419" s="139">
        <f>IF(AND('Ações'!$AC428="SIM", 'Ações'!AU428="SIM"), 1,0)</f>
        <v>0</v>
      </c>
      <c r="J419" s="139">
        <f>IF(AND('Ações'!$AC428="SIM", 'Ações'!AV428="SIM"), 1,0)</f>
        <v>0</v>
      </c>
      <c r="K419" s="139">
        <f>IF(AND('Ações'!$AC428="SIM", 'Ações'!AW428="SIM"), 1,0)</f>
        <v>0</v>
      </c>
      <c r="L419" s="139">
        <f>IF(AND('Ações'!$AC428="SIM", 'Ações'!AX428="SIM"), 1,0)</f>
        <v>0</v>
      </c>
      <c r="M419" s="139">
        <f>IF(AND('Ações'!$AD428="SIM", 'Ações'!AS428="SIM"), 1,0)</f>
        <v>0</v>
      </c>
      <c r="N419" s="139">
        <f>IF(AND('Ações'!$AD428="SIM", 'Ações'!AT428="SIM"), 1,0)</f>
        <v>0</v>
      </c>
      <c r="O419" s="139">
        <f>IF(AND('Ações'!$AD428="SIM", 'Ações'!AU428="SIM"), 1,0)</f>
        <v>0</v>
      </c>
      <c r="P419" s="139">
        <f>IF(AND('Ações'!$AD428="SIM", 'Ações'!AV428="SIM"), 1,0)</f>
        <v>0</v>
      </c>
      <c r="Q419" s="139">
        <f>IF(AND('Ações'!$AD428="SIM", 'Ações'!AW428="SIM"), 1,0)</f>
        <v>0</v>
      </c>
      <c r="R419" s="139">
        <f>IF(AND('Ações'!$AD428="SIM", 'Ações'!AX428="SIM"), 1,0)</f>
        <v>0</v>
      </c>
    </row>
    <row r="420">
      <c r="A420" s="139">
        <f>IF(AND('Ações'!AB429="SIM", 'Ações'!AS429="SIM"), 1,0)</f>
        <v>1</v>
      </c>
      <c r="B420" s="139">
        <f>IF(AND('Ações'!$AB429="SIM", 'Ações'!AT429="SIM"), 1,0)</f>
        <v>1</v>
      </c>
      <c r="C420" s="139">
        <f>IF(AND('Ações'!$AB429="SIM", 'Ações'!AU429="SIM"), 1,0)</f>
        <v>1</v>
      </c>
      <c r="D420" s="139">
        <f>IF(AND('Ações'!$AB429="SIM", 'Ações'!AV429="SIM"), 1,0)</f>
        <v>1</v>
      </c>
      <c r="E420" s="139">
        <f>IF(AND('Ações'!$AB429="SIM", 'Ações'!AW429="SIM"), 1,0)</f>
        <v>1</v>
      </c>
      <c r="F420" s="139">
        <f>IF(AND('Ações'!$AB429="SIM", 'Ações'!AX429="SIM"), 1,0)</f>
        <v>1</v>
      </c>
      <c r="G420" s="139">
        <f>IF(AND('Ações'!$AC429="SIM", 'Ações'!AS429="SIM"), 1,0)</f>
        <v>0</v>
      </c>
      <c r="H420" s="139">
        <f>IF(AND('Ações'!$AC429="SIM", 'Ações'!AT429="SIM"), 1,0)</f>
        <v>0</v>
      </c>
      <c r="I420" s="139">
        <f>IF(AND('Ações'!$AC429="SIM", 'Ações'!AU429="SIM"), 1,0)</f>
        <v>0</v>
      </c>
      <c r="J420" s="139">
        <f>IF(AND('Ações'!$AC429="SIM", 'Ações'!AV429="SIM"), 1,0)</f>
        <v>0</v>
      </c>
      <c r="K420" s="139">
        <f>IF(AND('Ações'!$AC429="SIM", 'Ações'!AW429="SIM"), 1,0)</f>
        <v>0</v>
      </c>
      <c r="L420" s="139">
        <f>IF(AND('Ações'!$AC429="SIM", 'Ações'!AX429="SIM"), 1,0)</f>
        <v>0</v>
      </c>
      <c r="M420" s="139">
        <f>IF(AND('Ações'!$AD429="SIM", 'Ações'!AS429="SIM"), 1,0)</f>
        <v>0</v>
      </c>
      <c r="N420" s="139">
        <f>IF(AND('Ações'!$AD429="SIM", 'Ações'!AT429="SIM"), 1,0)</f>
        <v>0</v>
      </c>
      <c r="O420" s="139">
        <f>IF(AND('Ações'!$AD429="SIM", 'Ações'!AU429="SIM"), 1,0)</f>
        <v>0</v>
      </c>
      <c r="P420" s="139">
        <f>IF(AND('Ações'!$AD429="SIM", 'Ações'!AV429="SIM"), 1,0)</f>
        <v>0</v>
      </c>
      <c r="Q420" s="139">
        <f>IF(AND('Ações'!$AD429="SIM", 'Ações'!AW429="SIM"), 1,0)</f>
        <v>0</v>
      </c>
      <c r="R420" s="139">
        <f>IF(AND('Ações'!$AD429="SIM", 'Ações'!AX429="SIM"), 1,0)</f>
        <v>0</v>
      </c>
    </row>
    <row r="421">
      <c r="A421" s="139">
        <f>IF(AND('Ações'!AB430="SIM", 'Ações'!AS430="SIM"), 1,0)</f>
        <v>1</v>
      </c>
      <c r="B421" s="139">
        <f>IF(AND('Ações'!$AB430="SIM", 'Ações'!AT430="SIM"), 1,0)</f>
        <v>1</v>
      </c>
      <c r="C421" s="139">
        <f>IF(AND('Ações'!$AB430="SIM", 'Ações'!AU430="SIM"), 1,0)</f>
        <v>1</v>
      </c>
      <c r="D421" s="139">
        <f>IF(AND('Ações'!$AB430="SIM", 'Ações'!AV430="SIM"), 1,0)</f>
        <v>1</v>
      </c>
      <c r="E421" s="139">
        <f>IF(AND('Ações'!$AB430="SIM", 'Ações'!AW430="SIM"), 1,0)</f>
        <v>1</v>
      </c>
      <c r="F421" s="139">
        <f>IF(AND('Ações'!$AB430="SIM", 'Ações'!AX430="SIM"), 1,0)</f>
        <v>1</v>
      </c>
      <c r="G421" s="139">
        <f>IF(AND('Ações'!$AC430="SIM", 'Ações'!AS430="SIM"), 1,0)</f>
        <v>0</v>
      </c>
      <c r="H421" s="139">
        <f>IF(AND('Ações'!$AC430="SIM", 'Ações'!AT430="SIM"), 1,0)</f>
        <v>0</v>
      </c>
      <c r="I421" s="139">
        <f>IF(AND('Ações'!$AC430="SIM", 'Ações'!AU430="SIM"), 1,0)</f>
        <v>0</v>
      </c>
      <c r="J421" s="139">
        <f>IF(AND('Ações'!$AC430="SIM", 'Ações'!AV430="SIM"), 1,0)</f>
        <v>0</v>
      </c>
      <c r="K421" s="139">
        <f>IF(AND('Ações'!$AC430="SIM", 'Ações'!AW430="SIM"), 1,0)</f>
        <v>0</v>
      </c>
      <c r="L421" s="139">
        <f>IF(AND('Ações'!$AC430="SIM", 'Ações'!AX430="SIM"), 1,0)</f>
        <v>0</v>
      </c>
      <c r="M421" s="139">
        <f>IF(AND('Ações'!$AD430="SIM", 'Ações'!AS430="SIM"), 1,0)</f>
        <v>0</v>
      </c>
      <c r="N421" s="139">
        <f>IF(AND('Ações'!$AD430="SIM", 'Ações'!AT430="SIM"), 1,0)</f>
        <v>0</v>
      </c>
      <c r="O421" s="139">
        <f>IF(AND('Ações'!$AD430="SIM", 'Ações'!AU430="SIM"), 1,0)</f>
        <v>0</v>
      </c>
      <c r="P421" s="139">
        <f>IF(AND('Ações'!$AD430="SIM", 'Ações'!AV430="SIM"), 1,0)</f>
        <v>0</v>
      </c>
      <c r="Q421" s="139">
        <f>IF(AND('Ações'!$AD430="SIM", 'Ações'!AW430="SIM"), 1,0)</f>
        <v>0</v>
      </c>
      <c r="R421" s="139">
        <f>IF(AND('Ações'!$AD430="SIM", 'Ações'!AX430="SIM"), 1,0)</f>
        <v>0</v>
      </c>
    </row>
    <row r="422">
      <c r="A422" s="139">
        <f>IF(AND('Ações'!AB431="SIM", 'Ações'!AS431="SIM"), 1,0)</f>
        <v>1</v>
      </c>
      <c r="B422" s="139">
        <f>IF(AND('Ações'!$AB431="SIM", 'Ações'!AT431="SIM"), 1,0)</f>
        <v>1</v>
      </c>
      <c r="C422" s="139">
        <f>IF(AND('Ações'!$AB431="SIM", 'Ações'!AU431="SIM"), 1,0)</f>
        <v>1</v>
      </c>
      <c r="D422" s="139">
        <f>IF(AND('Ações'!$AB431="SIM", 'Ações'!AV431="SIM"), 1,0)</f>
        <v>1</v>
      </c>
      <c r="E422" s="139">
        <f>IF(AND('Ações'!$AB431="SIM", 'Ações'!AW431="SIM"), 1,0)</f>
        <v>1</v>
      </c>
      <c r="F422" s="139">
        <f>IF(AND('Ações'!$AB431="SIM", 'Ações'!AX431="SIM"), 1,0)</f>
        <v>1</v>
      </c>
      <c r="G422" s="139">
        <f>IF(AND('Ações'!$AC431="SIM", 'Ações'!AS431="SIM"), 1,0)</f>
        <v>0</v>
      </c>
      <c r="H422" s="139">
        <f>IF(AND('Ações'!$AC431="SIM", 'Ações'!AT431="SIM"), 1,0)</f>
        <v>0</v>
      </c>
      <c r="I422" s="139">
        <f>IF(AND('Ações'!$AC431="SIM", 'Ações'!AU431="SIM"), 1,0)</f>
        <v>0</v>
      </c>
      <c r="J422" s="139">
        <f>IF(AND('Ações'!$AC431="SIM", 'Ações'!AV431="SIM"), 1,0)</f>
        <v>0</v>
      </c>
      <c r="K422" s="139">
        <f>IF(AND('Ações'!$AC431="SIM", 'Ações'!AW431="SIM"), 1,0)</f>
        <v>0</v>
      </c>
      <c r="L422" s="139">
        <f>IF(AND('Ações'!$AC431="SIM", 'Ações'!AX431="SIM"), 1,0)</f>
        <v>0</v>
      </c>
      <c r="M422" s="139">
        <f>IF(AND('Ações'!$AD431="SIM", 'Ações'!AS431="SIM"), 1,0)</f>
        <v>0</v>
      </c>
      <c r="N422" s="139">
        <f>IF(AND('Ações'!$AD431="SIM", 'Ações'!AT431="SIM"), 1,0)</f>
        <v>0</v>
      </c>
      <c r="O422" s="139">
        <f>IF(AND('Ações'!$AD431="SIM", 'Ações'!AU431="SIM"), 1,0)</f>
        <v>0</v>
      </c>
      <c r="P422" s="139">
        <f>IF(AND('Ações'!$AD431="SIM", 'Ações'!AV431="SIM"), 1,0)</f>
        <v>0</v>
      </c>
      <c r="Q422" s="139">
        <f>IF(AND('Ações'!$AD431="SIM", 'Ações'!AW431="SIM"), 1,0)</f>
        <v>0</v>
      </c>
      <c r="R422" s="139">
        <f>IF(AND('Ações'!$AD431="SIM", 'Ações'!AX431="SIM"), 1,0)</f>
        <v>0</v>
      </c>
    </row>
    <row r="423">
      <c r="A423" s="139">
        <f>IF(AND('Ações'!AB432="SIM", 'Ações'!AS432="SIM"), 1,0)</f>
        <v>1</v>
      </c>
      <c r="B423" s="139">
        <f>IF(AND('Ações'!$AB432="SIM", 'Ações'!AT432="SIM"), 1,0)</f>
        <v>1</v>
      </c>
      <c r="C423" s="139">
        <f>IF(AND('Ações'!$AB432="SIM", 'Ações'!AU432="SIM"), 1,0)</f>
        <v>1</v>
      </c>
      <c r="D423" s="139">
        <f>IF(AND('Ações'!$AB432="SIM", 'Ações'!AV432="SIM"), 1,0)</f>
        <v>1</v>
      </c>
      <c r="E423" s="139">
        <f>IF(AND('Ações'!$AB432="SIM", 'Ações'!AW432="SIM"), 1,0)</f>
        <v>1</v>
      </c>
      <c r="F423" s="139">
        <f>IF(AND('Ações'!$AB432="SIM", 'Ações'!AX432="SIM"), 1,0)</f>
        <v>1</v>
      </c>
      <c r="G423" s="139">
        <f>IF(AND('Ações'!$AC432="SIM", 'Ações'!AS432="SIM"), 1,0)</f>
        <v>1</v>
      </c>
      <c r="H423" s="139">
        <f>IF(AND('Ações'!$AC432="SIM", 'Ações'!AT432="SIM"), 1,0)</f>
        <v>1</v>
      </c>
      <c r="I423" s="139">
        <f>IF(AND('Ações'!$AC432="SIM", 'Ações'!AU432="SIM"), 1,0)</f>
        <v>1</v>
      </c>
      <c r="J423" s="139">
        <f>IF(AND('Ações'!$AC432="SIM", 'Ações'!AV432="SIM"), 1,0)</f>
        <v>1</v>
      </c>
      <c r="K423" s="139">
        <f>IF(AND('Ações'!$AC432="SIM", 'Ações'!AW432="SIM"), 1,0)</f>
        <v>1</v>
      </c>
      <c r="L423" s="139">
        <f>IF(AND('Ações'!$AC432="SIM", 'Ações'!AX432="SIM"), 1,0)</f>
        <v>1</v>
      </c>
      <c r="M423" s="139">
        <f>IF(AND('Ações'!$AD432="SIM", 'Ações'!AS432="SIM"), 1,0)</f>
        <v>0</v>
      </c>
      <c r="N423" s="139">
        <f>IF(AND('Ações'!$AD432="SIM", 'Ações'!AT432="SIM"), 1,0)</f>
        <v>0</v>
      </c>
      <c r="O423" s="139">
        <f>IF(AND('Ações'!$AD432="SIM", 'Ações'!AU432="SIM"), 1,0)</f>
        <v>0</v>
      </c>
      <c r="P423" s="139">
        <f>IF(AND('Ações'!$AD432="SIM", 'Ações'!AV432="SIM"), 1,0)</f>
        <v>0</v>
      </c>
      <c r="Q423" s="139">
        <f>IF(AND('Ações'!$AD432="SIM", 'Ações'!AW432="SIM"), 1,0)</f>
        <v>0</v>
      </c>
      <c r="R423" s="139">
        <f>IF(AND('Ações'!$AD432="SIM", 'Ações'!AX432="SIM"), 1,0)</f>
        <v>0</v>
      </c>
    </row>
    <row r="424">
      <c r="A424" s="139">
        <f>IF(AND('Ações'!AB433="SIM", 'Ações'!AS433="SIM"), 1,0)</f>
        <v>1</v>
      </c>
      <c r="B424" s="139">
        <f>IF(AND('Ações'!$AB433="SIM", 'Ações'!AT433="SIM"), 1,0)</f>
        <v>1</v>
      </c>
      <c r="C424" s="139">
        <f>IF(AND('Ações'!$AB433="SIM", 'Ações'!AU433="SIM"), 1,0)</f>
        <v>1</v>
      </c>
      <c r="D424" s="139">
        <f>IF(AND('Ações'!$AB433="SIM", 'Ações'!AV433="SIM"), 1,0)</f>
        <v>1</v>
      </c>
      <c r="E424" s="139">
        <f>IF(AND('Ações'!$AB433="SIM", 'Ações'!AW433="SIM"), 1,0)</f>
        <v>1</v>
      </c>
      <c r="F424" s="139">
        <f>IF(AND('Ações'!$AB433="SIM", 'Ações'!AX433="SIM"), 1,0)</f>
        <v>1</v>
      </c>
      <c r="G424" s="139">
        <f>IF(AND('Ações'!$AC433="SIM", 'Ações'!AS433="SIM"), 1,0)</f>
        <v>1</v>
      </c>
      <c r="H424" s="139">
        <f>IF(AND('Ações'!$AC433="SIM", 'Ações'!AT433="SIM"), 1,0)</f>
        <v>1</v>
      </c>
      <c r="I424" s="139">
        <f>IF(AND('Ações'!$AC433="SIM", 'Ações'!AU433="SIM"), 1,0)</f>
        <v>1</v>
      </c>
      <c r="J424" s="139">
        <f>IF(AND('Ações'!$AC433="SIM", 'Ações'!AV433="SIM"), 1,0)</f>
        <v>1</v>
      </c>
      <c r="K424" s="139">
        <f>IF(AND('Ações'!$AC433="SIM", 'Ações'!AW433="SIM"), 1,0)</f>
        <v>1</v>
      </c>
      <c r="L424" s="139">
        <f>IF(AND('Ações'!$AC433="SIM", 'Ações'!AX433="SIM"), 1,0)</f>
        <v>1</v>
      </c>
      <c r="M424" s="139">
        <f>IF(AND('Ações'!$AD433="SIM", 'Ações'!AS433="SIM"), 1,0)</f>
        <v>0</v>
      </c>
      <c r="N424" s="139">
        <f>IF(AND('Ações'!$AD433="SIM", 'Ações'!AT433="SIM"), 1,0)</f>
        <v>0</v>
      </c>
      <c r="O424" s="139">
        <f>IF(AND('Ações'!$AD433="SIM", 'Ações'!AU433="SIM"), 1,0)</f>
        <v>0</v>
      </c>
      <c r="P424" s="139">
        <f>IF(AND('Ações'!$AD433="SIM", 'Ações'!AV433="SIM"), 1,0)</f>
        <v>0</v>
      </c>
      <c r="Q424" s="139">
        <f>IF(AND('Ações'!$AD433="SIM", 'Ações'!AW433="SIM"), 1,0)</f>
        <v>0</v>
      </c>
      <c r="R424" s="139">
        <f>IF(AND('Ações'!$AD433="SIM", 'Ações'!AX433="SIM"), 1,0)</f>
        <v>0</v>
      </c>
    </row>
    <row r="425">
      <c r="A425" s="139">
        <f>IF(AND('Ações'!AB434="SIM", 'Ações'!AS434="SIM"), 1,0)</f>
        <v>0</v>
      </c>
      <c r="B425" s="139">
        <f>IF(AND('Ações'!$AB434="SIM", 'Ações'!AT434="SIM"), 1,0)</f>
        <v>0</v>
      </c>
      <c r="C425" s="139">
        <f>IF(AND('Ações'!$AB434="SIM", 'Ações'!AU434="SIM"), 1,0)</f>
        <v>0</v>
      </c>
      <c r="D425" s="139">
        <f>IF(AND('Ações'!$AB434="SIM", 'Ações'!AV434="SIM"), 1,0)</f>
        <v>1</v>
      </c>
      <c r="E425" s="139">
        <f>IF(AND('Ações'!$AB434="SIM", 'Ações'!AW434="SIM"), 1,0)</f>
        <v>0</v>
      </c>
      <c r="F425" s="139">
        <f>IF(AND('Ações'!$AB434="SIM", 'Ações'!AX434="SIM"), 1,0)</f>
        <v>0</v>
      </c>
      <c r="G425" s="139">
        <f>IF(AND('Ações'!$AC434="SIM", 'Ações'!AS434="SIM"), 1,0)</f>
        <v>0</v>
      </c>
      <c r="H425" s="139">
        <f>IF(AND('Ações'!$AC434="SIM", 'Ações'!AT434="SIM"), 1,0)</f>
        <v>0</v>
      </c>
      <c r="I425" s="139">
        <f>IF(AND('Ações'!$AC434="SIM", 'Ações'!AU434="SIM"), 1,0)</f>
        <v>0</v>
      </c>
      <c r="J425" s="139">
        <f>IF(AND('Ações'!$AC434="SIM", 'Ações'!AV434="SIM"), 1,0)</f>
        <v>1</v>
      </c>
      <c r="K425" s="139">
        <f>IF(AND('Ações'!$AC434="SIM", 'Ações'!AW434="SIM"), 1,0)</f>
        <v>0</v>
      </c>
      <c r="L425" s="139">
        <f>IF(AND('Ações'!$AC434="SIM", 'Ações'!AX434="SIM"), 1,0)</f>
        <v>0</v>
      </c>
      <c r="M425" s="139">
        <f>IF(AND('Ações'!$AD434="SIM", 'Ações'!AS434="SIM"), 1,0)</f>
        <v>0</v>
      </c>
      <c r="N425" s="139">
        <f>IF(AND('Ações'!$AD434="SIM", 'Ações'!AT434="SIM"), 1,0)</f>
        <v>0</v>
      </c>
      <c r="O425" s="139">
        <f>IF(AND('Ações'!$AD434="SIM", 'Ações'!AU434="SIM"), 1,0)</f>
        <v>0</v>
      </c>
      <c r="P425" s="139">
        <f>IF(AND('Ações'!$AD434="SIM", 'Ações'!AV434="SIM"), 1,0)</f>
        <v>0</v>
      </c>
      <c r="Q425" s="139">
        <f>IF(AND('Ações'!$AD434="SIM", 'Ações'!AW434="SIM"), 1,0)</f>
        <v>0</v>
      </c>
      <c r="R425" s="139">
        <f>IF(AND('Ações'!$AD434="SIM", 'Ações'!AX434="SIM"), 1,0)</f>
        <v>0</v>
      </c>
    </row>
    <row r="426">
      <c r="A426" s="139">
        <f>IF(AND('Ações'!AB435="SIM", 'Ações'!AS435="SIM"), 1,0)</f>
        <v>0</v>
      </c>
      <c r="B426" s="139">
        <f>IF(AND('Ações'!$AB435="SIM", 'Ações'!AT435="SIM"), 1,0)</f>
        <v>0</v>
      </c>
      <c r="C426" s="139">
        <f>IF(AND('Ações'!$AB435="SIM", 'Ações'!AU435="SIM"), 1,0)</f>
        <v>0</v>
      </c>
      <c r="D426" s="139">
        <f>IF(AND('Ações'!$AB435="SIM", 'Ações'!AV435="SIM"), 1,0)</f>
        <v>1</v>
      </c>
      <c r="E426" s="139">
        <f>IF(AND('Ações'!$AB435="SIM", 'Ações'!AW435="SIM"), 1,0)</f>
        <v>0</v>
      </c>
      <c r="F426" s="139">
        <f>IF(AND('Ações'!$AB435="SIM", 'Ações'!AX435="SIM"), 1,0)</f>
        <v>0</v>
      </c>
      <c r="G426" s="139">
        <f>IF(AND('Ações'!$AC435="SIM", 'Ações'!AS435="SIM"), 1,0)</f>
        <v>0</v>
      </c>
      <c r="H426" s="139">
        <f>IF(AND('Ações'!$AC435="SIM", 'Ações'!AT435="SIM"), 1,0)</f>
        <v>0</v>
      </c>
      <c r="I426" s="139">
        <f>IF(AND('Ações'!$AC435="SIM", 'Ações'!AU435="SIM"), 1,0)</f>
        <v>0</v>
      </c>
      <c r="J426" s="139">
        <f>IF(AND('Ações'!$AC435="SIM", 'Ações'!AV435="SIM"), 1,0)</f>
        <v>0</v>
      </c>
      <c r="K426" s="139">
        <f>IF(AND('Ações'!$AC435="SIM", 'Ações'!AW435="SIM"), 1,0)</f>
        <v>0</v>
      </c>
      <c r="L426" s="139">
        <f>IF(AND('Ações'!$AC435="SIM", 'Ações'!AX435="SIM"), 1,0)</f>
        <v>0</v>
      </c>
      <c r="M426" s="139">
        <f>IF(AND('Ações'!$AD435="SIM", 'Ações'!AS435="SIM"), 1,0)</f>
        <v>0</v>
      </c>
      <c r="N426" s="139">
        <f>IF(AND('Ações'!$AD435="SIM", 'Ações'!AT435="SIM"), 1,0)</f>
        <v>0</v>
      </c>
      <c r="O426" s="139">
        <f>IF(AND('Ações'!$AD435="SIM", 'Ações'!AU435="SIM"), 1,0)</f>
        <v>0</v>
      </c>
      <c r="P426" s="139">
        <f>IF(AND('Ações'!$AD435="SIM", 'Ações'!AV435="SIM"), 1,0)</f>
        <v>0</v>
      </c>
      <c r="Q426" s="139">
        <f>IF(AND('Ações'!$AD435="SIM", 'Ações'!AW435="SIM"), 1,0)</f>
        <v>0</v>
      </c>
      <c r="R426" s="139">
        <f>IF(AND('Ações'!$AD435="SIM", 'Ações'!AX435="SIM"), 1,0)</f>
        <v>0</v>
      </c>
    </row>
    <row r="427">
      <c r="A427" s="139">
        <f>IF(AND('Ações'!AB436="SIM", 'Ações'!AS436="SIM"), 1,0)</f>
        <v>0</v>
      </c>
      <c r="B427" s="139">
        <f>IF(AND('Ações'!$AB436="SIM", 'Ações'!AT436="SIM"), 1,0)</f>
        <v>0</v>
      </c>
      <c r="C427" s="139">
        <f>IF(AND('Ações'!$AB436="SIM", 'Ações'!AU436="SIM"), 1,0)</f>
        <v>0</v>
      </c>
      <c r="D427" s="139">
        <f>IF(AND('Ações'!$AB436="SIM", 'Ações'!AV436="SIM"), 1,0)</f>
        <v>0</v>
      </c>
      <c r="E427" s="139">
        <f>IF(AND('Ações'!$AB436="SIM", 'Ações'!AW436="SIM"), 1,0)</f>
        <v>0</v>
      </c>
      <c r="F427" s="139">
        <f>IF(AND('Ações'!$AB436="SIM", 'Ações'!AX436="SIM"), 1,0)</f>
        <v>0</v>
      </c>
      <c r="G427" s="139">
        <f>IF(AND('Ações'!$AC436="SIM", 'Ações'!AS436="SIM"), 1,0)</f>
        <v>0</v>
      </c>
      <c r="H427" s="139">
        <f>IF(AND('Ações'!$AC436="SIM", 'Ações'!AT436="SIM"), 1,0)</f>
        <v>1</v>
      </c>
      <c r="I427" s="139">
        <f>IF(AND('Ações'!$AC436="SIM", 'Ações'!AU436="SIM"), 1,0)</f>
        <v>1</v>
      </c>
      <c r="J427" s="139">
        <f>IF(AND('Ações'!$AC436="SIM", 'Ações'!AV436="SIM"), 1,0)</f>
        <v>1</v>
      </c>
      <c r="K427" s="139">
        <f>IF(AND('Ações'!$AC436="SIM", 'Ações'!AW436="SIM"), 1,0)</f>
        <v>1</v>
      </c>
      <c r="L427" s="139">
        <f>IF(AND('Ações'!$AC436="SIM", 'Ações'!AX436="SIM"), 1,0)</f>
        <v>1</v>
      </c>
      <c r="M427" s="139">
        <f>IF(AND('Ações'!$AD436="SIM", 'Ações'!AS436="SIM"), 1,0)</f>
        <v>0</v>
      </c>
      <c r="N427" s="139">
        <f>IF(AND('Ações'!$AD436="SIM", 'Ações'!AT436="SIM"), 1,0)</f>
        <v>0</v>
      </c>
      <c r="O427" s="139">
        <f>IF(AND('Ações'!$AD436="SIM", 'Ações'!AU436="SIM"), 1,0)</f>
        <v>0</v>
      </c>
      <c r="P427" s="139">
        <f>IF(AND('Ações'!$AD436="SIM", 'Ações'!AV436="SIM"), 1,0)</f>
        <v>0</v>
      </c>
      <c r="Q427" s="139">
        <f>IF(AND('Ações'!$AD436="SIM", 'Ações'!AW436="SIM"), 1,0)</f>
        <v>0</v>
      </c>
      <c r="R427" s="139">
        <f>IF(AND('Ações'!$AD436="SIM", 'Ações'!AX436="SIM"), 1,0)</f>
        <v>0</v>
      </c>
    </row>
    <row r="428">
      <c r="A428" s="139">
        <f>IF(AND('Ações'!AB437="SIM", 'Ações'!AS437="SIM"), 1,0)</f>
        <v>0</v>
      </c>
      <c r="B428" s="139">
        <f>IF(AND('Ações'!$AB437="SIM", 'Ações'!AT437="SIM"), 1,0)</f>
        <v>1</v>
      </c>
      <c r="C428" s="139">
        <f>IF(AND('Ações'!$AB437="SIM", 'Ações'!AU437="SIM"), 1,0)</f>
        <v>1</v>
      </c>
      <c r="D428" s="139">
        <f>IF(AND('Ações'!$AB437="SIM", 'Ações'!AV437="SIM"), 1,0)</f>
        <v>1</v>
      </c>
      <c r="E428" s="139">
        <f>IF(AND('Ações'!$AB437="SIM", 'Ações'!AW437="SIM"), 1,0)</f>
        <v>1</v>
      </c>
      <c r="F428" s="139">
        <f>IF(AND('Ações'!$AB437="SIM", 'Ações'!AX437="SIM"), 1,0)</f>
        <v>1</v>
      </c>
      <c r="G428" s="139">
        <f>IF(AND('Ações'!$AC437="SIM", 'Ações'!AS437="SIM"), 1,0)</f>
        <v>0</v>
      </c>
      <c r="H428" s="139">
        <f>IF(AND('Ações'!$AC437="SIM", 'Ações'!AT437="SIM"), 1,0)</f>
        <v>1</v>
      </c>
      <c r="I428" s="139">
        <f>IF(AND('Ações'!$AC437="SIM", 'Ações'!AU437="SIM"), 1,0)</f>
        <v>1</v>
      </c>
      <c r="J428" s="139">
        <f>IF(AND('Ações'!$AC437="SIM", 'Ações'!AV437="SIM"), 1,0)</f>
        <v>1</v>
      </c>
      <c r="K428" s="139">
        <f>IF(AND('Ações'!$AC437="SIM", 'Ações'!AW437="SIM"), 1,0)</f>
        <v>1</v>
      </c>
      <c r="L428" s="139">
        <f>IF(AND('Ações'!$AC437="SIM", 'Ações'!AX437="SIM"), 1,0)</f>
        <v>1</v>
      </c>
      <c r="M428" s="139">
        <f>IF(AND('Ações'!$AD437="SIM", 'Ações'!AS437="SIM"), 1,0)</f>
        <v>0</v>
      </c>
      <c r="N428" s="139">
        <f>IF(AND('Ações'!$AD437="SIM", 'Ações'!AT437="SIM"), 1,0)</f>
        <v>0</v>
      </c>
      <c r="O428" s="139">
        <f>IF(AND('Ações'!$AD437="SIM", 'Ações'!AU437="SIM"), 1,0)</f>
        <v>0</v>
      </c>
      <c r="P428" s="139">
        <f>IF(AND('Ações'!$AD437="SIM", 'Ações'!AV437="SIM"), 1,0)</f>
        <v>0</v>
      </c>
      <c r="Q428" s="139">
        <f>IF(AND('Ações'!$AD437="SIM", 'Ações'!AW437="SIM"), 1,0)</f>
        <v>0</v>
      </c>
      <c r="R428" s="139">
        <f>IF(AND('Ações'!$AD437="SIM", 'Ações'!AX437="SIM"), 1,0)</f>
        <v>0</v>
      </c>
    </row>
    <row r="429">
      <c r="A429" s="139">
        <f>IF(AND('Ações'!AB438="SIM", 'Ações'!AS438="SIM"), 1,0)</f>
        <v>0</v>
      </c>
      <c r="B429" s="139">
        <f>IF(AND('Ações'!$AB438="SIM", 'Ações'!AT438="SIM"), 1,0)</f>
        <v>1</v>
      </c>
      <c r="C429" s="139">
        <f>IF(AND('Ações'!$AB438="SIM", 'Ações'!AU438="SIM"), 1,0)</f>
        <v>1</v>
      </c>
      <c r="D429" s="139">
        <f>IF(AND('Ações'!$AB438="SIM", 'Ações'!AV438="SIM"), 1,0)</f>
        <v>1</v>
      </c>
      <c r="E429" s="139">
        <f>IF(AND('Ações'!$AB438="SIM", 'Ações'!AW438="SIM"), 1,0)</f>
        <v>1</v>
      </c>
      <c r="F429" s="139">
        <f>IF(AND('Ações'!$AB438="SIM", 'Ações'!AX438="SIM"), 1,0)</f>
        <v>1</v>
      </c>
      <c r="G429" s="139">
        <f>IF(AND('Ações'!$AC438="SIM", 'Ações'!AS438="SIM"), 1,0)</f>
        <v>0</v>
      </c>
      <c r="H429" s="139">
        <f>IF(AND('Ações'!$AC438="SIM", 'Ações'!AT438="SIM"), 1,0)</f>
        <v>1</v>
      </c>
      <c r="I429" s="139">
        <f>IF(AND('Ações'!$AC438="SIM", 'Ações'!AU438="SIM"), 1,0)</f>
        <v>1</v>
      </c>
      <c r="J429" s="139">
        <f>IF(AND('Ações'!$AC438="SIM", 'Ações'!AV438="SIM"), 1,0)</f>
        <v>1</v>
      </c>
      <c r="K429" s="139">
        <f>IF(AND('Ações'!$AC438="SIM", 'Ações'!AW438="SIM"), 1,0)</f>
        <v>1</v>
      </c>
      <c r="L429" s="139">
        <f>IF(AND('Ações'!$AC438="SIM", 'Ações'!AX438="SIM"), 1,0)</f>
        <v>1</v>
      </c>
      <c r="M429" s="139">
        <f>IF(AND('Ações'!$AD438="SIM", 'Ações'!AS438="SIM"), 1,0)</f>
        <v>0</v>
      </c>
      <c r="N429" s="139">
        <f>IF(AND('Ações'!$AD438="SIM", 'Ações'!AT438="SIM"), 1,0)</f>
        <v>0</v>
      </c>
      <c r="O429" s="139">
        <f>IF(AND('Ações'!$AD438="SIM", 'Ações'!AU438="SIM"), 1,0)</f>
        <v>0</v>
      </c>
      <c r="P429" s="139">
        <f>IF(AND('Ações'!$AD438="SIM", 'Ações'!AV438="SIM"), 1,0)</f>
        <v>0</v>
      </c>
      <c r="Q429" s="139">
        <f>IF(AND('Ações'!$AD438="SIM", 'Ações'!AW438="SIM"), 1,0)</f>
        <v>0</v>
      </c>
      <c r="R429" s="139">
        <f>IF(AND('Ações'!$AD438="SIM", 'Ações'!AX438="SIM"), 1,0)</f>
        <v>0</v>
      </c>
    </row>
    <row r="430">
      <c r="A430" s="139">
        <f>IF(AND('Ações'!AB439="SIM", 'Ações'!AS439="SIM"), 1,0)</f>
        <v>0</v>
      </c>
      <c r="B430" s="139">
        <f>IF(AND('Ações'!$AB439="SIM", 'Ações'!AT439="SIM"), 1,0)</f>
        <v>1</v>
      </c>
      <c r="C430" s="139">
        <f>IF(AND('Ações'!$AB439="SIM", 'Ações'!AU439="SIM"), 1,0)</f>
        <v>1</v>
      </c>
      <c r="D430" s="139">
        <f>IF(AND('Ações'!$AB439="SIM", 'Ações'!AV439="SIM"), 1,0)</f>
        <v>1</v>
      </c>
      <c r="E430" s="139">
        <f>IF(AND('Ações'!$AB439="SIM", 'Ações'!AW439="SIM"), 1,0)</f>
        <v>1</v>
      </c>
      <c r="F430" s="139">
        <f>IF(AND('Ações'!$AB439="SIM", 'Ações'!AX439="SIM"), 1,0)</f>
        <v>1</v>
      </c>
      <c r="G430" s="139">
        <f>IF(AND('Ações'!$AC439="SIM", 'Ações'!AS439="SIM"), 1,0)</f>
        <v>0</v>
      </c>
      <c r="H430" s="139">
        <f>IF(AND('Ações'!$AC439="SIM", 'Ações'!AT439="SIM"), 1,0)</f>
        <v>0</v>
      </c>
      <c r="I430" s="139">
        <f>IF(AND('Ações'!$AC439="SIM", 'Ações'!AU439="SIM"), 1,0)</f>
        <v>0</v>
      </c>
      <c r="J430" s="139">
        <f>IF(AND('Ações'!$AC439="SIM", 'Ações'!AV439="SIM"), 1,0)</f>
        <v>0</v>
      </c>
      <c r="K430" s="139">
        <f>IF(AND('Ações'!$AC439="SIM", 'Ações'!AW439="SIM"), 1,0)</f>
        <v>0</v>
      </c>
      <c r="L430" s="139">
        <f>IF(AND('Ações'!$AC439="SIM", 'Ações'!AX439="SIM"), 1,0)</f>
        <v>0</v>
      </c>
      <c r="M430" s="139">
        <f>IF(AND('Ações'!$AD439="SIM", 'Ações'!AS439="SIM"), 1,0)</f>
        <v>0</v>
      </c>
      <c r="N430" s="139">
        <f>IF(AND('Ações'!$AD439="SIM", 'Ações'!AT439="SIM"), 1,0)</f>
        <v>0</v>
      </c>
      <c r="O430" s="139">
        <f>IF(AND('Ações'!$AD439="SIM", 'Ações'!AU439="SIM"), 1,0)</f>
        <v>0</v>
      </c>
      <c r="P430" s="139">
        <f>IF(AND('Ações'!$AD439="SIM", 'Ações'!AV439="SIM"), 1,0)</f>
        <v>0</v>
      </c>
      <c r="Q430" s="139">
        <f>IF(AND('Ações'!$AD439="SIM", 'Ações'!AW439="SIM"), 1,0)</f>
        <v>0</v>
      </c>
      <c r="R430" s="139">
        <f>IF(AND('Ações'!$AD439="SIM", 'Ações'!AX439="SIM"), 1,0)</f>
        <v>0</v>
      </c>
    </row>
    <row r="431">
      <c r="A431" s="139">
        <f>IF(AND('Ações'!AB440="SIM", 'Ações'!AS440="SIM"), 1,0)</f>
        <v>0</v>
      </c>
      <c r="B431" s="139">
        <f>IF(AND('Ações'!$AB440="SIM", 'Ações'!AT440="SIM"), 1,0)</f>
        <v>1</v>
      </c>
      <c r="C431" s="139">
        <f>IF(AND('Ações'!$AB440="SIM", 'Ações'!AU440="SIM"), 1,0)</f>
        <v>1</v>
      </c>
      <c r="D431" s="139">
        <f>IF(AND('Ações'!$AB440="SIM", 'Ações'!AV440="SIM"), 1,0)</f>
        <v>1</v>
      </c>
      <c r="E431" s="139">
        <f>IF(AND('Ações'!$AB440="SIM", 'Ações'!AW440="SIM"), 1,0)</f>
        <v>1</v>
      </c>
      <c r="F431" s="139">
        <f>IF(AND('Ações'!$AB440="SIM", 'Ações'!AX440="SIM"), 1,0)</f>
        <v>1</v>
      </c>
      <c r="G431" s="139">
        <f>IF(AND('Ações'!$AC440="SIM", 'Ações'!AS440="SIM"), 1,0)</f>
        <v>0</v>
      </c>
      <c r="H431" s="139">
        <f>IF(AND('Ações'!$AC440="SIM", 'Ações'!AT440="SIM"), 1,0)</f>
        <v>0</v>
      </c>
      <c r="I431" s="139">
        <f>IF(AND('Ações'!$AC440="SIM", 'Ações'!AU440="SIM"), 1,0)</f>
        <v>0</v>
      </c>
      <c r="J431" s="139">
        <f>IF(AND('Ações'!$AC440="SIM", 'Ações'!AV440="SIM"), 1,0)</f>
        <v>0</v>
      </c>
      <c r="K431" s="139">
        <f>IF(AND('Ações'!$AC440="SIM", 'Ações'!AW440="SIM"), 1,0)</f>
        <v>0</v>
      </c>
      <c r="L431" s="139">
        <f>IF(AND('Ações'!$AC440="SIM", 'Ações'!AX440="SIM"), 1,0)</f>
        <v>0</v>
      </c>
      <c r="M431" s="139">
        <f>IF(AND('Ações'!$AD440="SIM", 'Ações'!AS440="SIM"), 1,0)</f>
        <v>0</v>
      </c>
      <c r="N431" s="139">
        <f>IF(AND('Ações'!$AD440="SIM", 'Ações'!AT440="SIM"), 1,0)</f>
        <v>0</v>
      </c>
      <c r="O431" s="139">
        <f>IF(AND('Ações'!$AD440="SIM", 'Ações'!AU440="SIM"), 1,0)</f>
        <v>0</v>
      </c>
      <c r="P431" s="139">
        <f>IF(AND('Ações'!$AD440="SIM", 'Ações'!AV440="SIM"), 1,0)</f>
        <v>0</v>
      </c>
      <c r="Q431" s="139">
        <f>IF(AND('Ações'!$AD440="SIM", 'Ações'!AW440="SIM"), 1,0)</f>
        <v>0</v>
      </c>
      <c r="R431" s="139">
        <f>IF(AND('Ações'!$AD440="SIM", 'Ações'!AX440="SIM"), 1,0)</f>
        <v>0</v>
      </c>
    </row>
    <row r="432">
      <c r="A432" s="139">
        <f>IF(AND('Ações'!AB441="SIM", 'Ações'!AS441="SIM"), 1,0)</f>
        <v>0</v>
      </c>
      <c r="B432" s="139">
        <f>IF(AND('Ações'!$AB441="SIM", 'Ações'!AT441="SIM"), 1,0)</f>
        <v>0</v>
      </c>
      <c r="C432" s="139">
        <f>IF(AND('Ações'!$AB441="SIM", 'Ações'!AU441="SIM"), 1,0)</f>
        <v>0</v>
      </c>
      <c r="D432" s="139">
        <f>IF(AND('Ações'!$AB441="SIM", 'Ações'!AV441="SIM"), 1,0)</f>
        <v>0</v>
      </c>
      <c r="E432" s="139">
        <f>IF(AND('Ações'!$AB441="SIM", 'Ações'!AW441="SIM"), 1,0)</f>
        <v>0</v>
      </c>
      <c r="F432" s="139">
        <f>IF(AND('Ações'!$AB441="SIM", 'Ações'!AX441="SIM"), 1,0)</f>
        <v>0</v>
      </c>
      <c r="G432" s="139">
        <f>IF(AND('Ações'!$AC441="SIM", 'Ações'!AS441="SIM"), 1,0)</f>
        <v>0</v>
      </c>
      <c r="H432" s="139">
        <f>IF(AND('Ações'!$AC441="SIM", 'Ações'!AT441="SIM"), 1,0)</f>
        <v>1</v>
      </c>
      <c r="I432" s="139">
        <f>IF(AND('Ações'!$AC441="SIM", 'Ações'!AU441="SIM"), 1,0)</f>
        <v>1</v>
      </c>
      <c r="J432" s="139">
        <f>IF(AND('Ações'!$AC441="SIM", 'Ações'!AV441="SIM"), 1,0)</f>
        <v>1</v>
      </c>
      <c r="K432" s="139">
        <f>IF(AND('Ações'!$AC441="SIM", 'Ações'!AW441="SIM"), 1,0)</f>
        <v>1</v>
      </c>
      <c r="L432" s="139">
        <f>IF(AND('Ações'!$AC441="SIM", 'Ações'!AX441="SIM"), 1,0)</f>
        <v>1</v>
      </c>
      <c r="M432" s="139">
        <f>IF(AND('Ações'!$AD441="SIM", 'Ações'!AS441="SIM"), 1,0)</f>
        <v>0</v>
      </c>
      <c r="N432" s="139">
        <f>IF(AND('Ações'!$AD441="SIM", 'Ações'!AT441="SIM"), 1,0)</f>
        <v>0</v>
      </c>
      <c r="O432" s="139">
        <f>IF(AND('Ações'!$AD441="SIM", 'Ações'!AU441="SIM"), 1,0)</f>
        <v>0</v>
      </c>
      <c r="P432" s="139">
        <f>IF(AND('Ações'!$AD441="SIM", 'Ações'!AV441="SIM"), 1,0)</f>
        <v>0</v>
      </c>
      <c r="Q432" s="139">
        <f>IF(AND('Ações'!$AD441="SIM", 'Ações'!AW441="SIM"), 1,0)</f>
        <v>0</v>
      </c>
      <c r="R432" s="139">
        <f>IF(AND('Ações'!$AD441="SIM", 'Ações'!AX441="SIM"), 1,0)</f>
        <v>0</v>
      </c>
    </row>
    <row r="433">
      <c r="A433" s="139">
        <f>IF(AND('Ações'!AB442="SIM", 'Ações'!AS442="SIM"), 1,0)</f>
        <v>1</v>
      </c>
      <c r="B433" s="139">
        <f>IF(AND('Ações'!$AB442="SIM", 'Ações'!AT442="SIM"), 1,0)</f>
        <v>1</v>
      </c>
      <c r="C433" s="139">
        <f>IF(AND('Ações'!$AB442="SIM", 'Ações'!AU442="SIM"), 1,0)</f>
        <v>1</v>
      </c>
      <c r="D433" s="139">
        <f>IF(AND('Ações'!$AB442="SIM", 'Ações'!AV442="SIM"), 1,0)</f>
        <v>1</v>
      </c>
      <c r="E433" s="139">
        <f>IF(AND('Ações'!$AB442="SIM", 'Ações'!AW442="SIM"), 1,0)</f>
        <v>1</v>
      </c>
      <c r="F433" s="139">
        <f>IF(AND('Ações'!$AB442="SIM", 'Ações'!AX442="SIM"), 1,0)</f>
        <v>0</v>
      </c>
      <c r="G433" s="139">
        <f>IF(AND('Ações'!$AC442="SIM", 'Ações'!AS442="SIM"), 1,0)</f>
        <v>1</v>
      </c>
      <c r="H433" s="139">
        <f>IF(AND('Ações'!$AC442="SIM", 'Ações'!AT442="SIM"), 1,0)</f>
        <v>1</v>
      </c>
      <c r="I433" s="139">
        <f>IF(AND('Ações'!$AC442="SIM", 'Ações'!AU442="SIM"), 1,0)</f>
        <v>1</v>
      </c>
      <c r="J433" s="139">
        <f>IF(AND('Ações'!$AC442="SIM", 'Ações'!AV442="SIM"), 1,0)</f>
        <v>1</v>
      </c>
      <c r="K433" s="139">
        <f>IF(AND('Ações'!$AC442="SIM", 'Ações'!AW442="SIM"), 1,0)</f>
        <v>1</v>
      </c>
      <c r="L433" s="139">
        <f>IF(AND('Ações'!$AC442="SIM", 'Ações'!AX442="SIM"), 1,0)</f>
        <v>0</v>
      </c>
      <c r="M433" s="139">
        <f>IF(AND('Ações'!$AD442="SIM", 'Ações'!AS442="SIM"), 1,0)</f>
        <v>1</v>
      </c>
      <c r="N433" s="139">
        <f>IF(AND('Ações'!$AD442="SIM", 'Ações'!AT442="SIM"), 1,0)</f>
        <v>1</v>
      </c>
      <c r="O433" s="139">
        <f>IF(AND('Ações'!$AD442="SIM", 'Ações'!AU442="SIM"), 1,0)</f>
        <v>1</v>
      </c>
      <c r="P433" s="139">
        <f>IF(AND('Ações'!$AD442="SIM", 'Ações'!AV442="SIM"), 1,0)</f>
        <v>1</v>
      </c>
      <c r="Q433" s="139">
        <f>IF(AND('Ações'!$AD442="SIM", 'Ações'!AW442="SIM"), 1,0)</f>
        <v>1</v>
      </c>
      <c r="R433" s="139">
        <f>IF(AND('Ações'!$AD442="SIM", 'Ações'!AX442="SIM"), 1,0)</f>
        <v>0</v>
      </c>
    </row>
    <row r="434">
      <c r="A434" s="139">
        <f>IF(AND('Ações'!AB443="SIM", 'Ações'!AS443="SIM"), 1,0)</f>
        <v>1</v>
      </c>
      <c r="B434" s="139">
        <f>IF(AND('Ações'!$AB443="SIM", 'Ações'!AT443="SIM"), 1,0)</f>
        <v>1</v>
      </c>
      <c r="C434" s="139">
        <f>IF(AND('Ações'!$AB443="SIM", 'Ações'!AU443="SIM"), 1,0)</f>
        <v>1</v>
      </c>
      <c r="D434" s="139">
        <f>IF(AND('Ações'!$AB443="SIM", 'Ações'!AV443="SIM"), 1,0)</f>
        <v>1</v>
      </c>
      <c r="E434" s="139">
        <f>IF(AND('Ações'!$AB443="SIM", 'Ações'!AW443="SIM"), 1,0)</f>
        <v>1</v>
      </c>
      <c r="F434" s="139">
        <f>IF(AND('Ações'!$AB443="SIM", 'Ações'!AX443="SIM"), 1,0)</f>
        <v>0</v>
      </c>
      <c r="G434" s="139">
        <f>IF(AND('Ações'!$AC443="SIM", 'Ações'!AS443="SIM"), 1,0)</f>
        <v>1</v>
      </c>
      <c r="H434" s="139">
        <f>IF(AND('Ações'!$AC443="SIM", 'Ações'!AT443="SIM"), 1,0)</f>
        <v>1</v>
      </c>
      <c r="I434" s="139">
        <f>IF(AND('Ações'!$AC443="SIM", 'Ações'!AU443="SIM"), 1,0)</f>
        <v>1</v>
      </c>
      <c r="J434" s="139">
        <f>IF(AND('Ações'!$AC443="SIM", 'Ações'!AV443="SIM"), 1,0)</f>
        <v>1</v>
      </c>
      <c r="K434" s="139">
        <f>IF(AND('Ações'!$AC443="SIM", 'Ações'!AW443="SIM"), 1,0)</f>
        <v>1</v>
      </c>
      <c r="L434" s="139">
        <f>IF(AND('Ações'!$AC443="SIM", 'Ações'!AX443="SIM"), 1,0)</f>
        <v>0</v>
      </c>
      <c r="M434" s="139">
        <f>IF(AND('Ações'!$AD443="SIM", 'Ações'!AS443="SIM"), 1,0)</f>
        <v>0</v>
      </c>
      <c r="N434" s="139">
        <f>IF(AND('Ações'!$AD443="SIM", 'Ações'!AT443="SIM"), 1,0)</f>
        <v>0</v>
      </c>
      <c r="O434" s="139">
        <f>IF(AND('Ações'!$AD443="SIM", 'Ações'!AU443="SIM"), 1,0)</f>
        <v>0</v>
      </c>
      <c r="P434" s="139">
        <f>IF(AND('Ações'!$AD443="SIM", 'Ações'!AV443="SIM"), 1,0)</f>
        <v>0</v>
      </c>
      <c r="Q434" s="139">
        <f>IF(AND('Ações'!$AD443="SIM", 'Ações'!AW443="SIM"), 1,0)</f>
        <v>0</v>
      </c>
      <c r="R434" s="139">
        <f>IF(AND('Ações'!$AD443="SIM", 'Ações'!AX443="SIM"), 1,0)</f>
        <v>0</v>
      </c>
    </row>
    <row r="435">
      <c r="A435" s="139">
        <f>IF(AND('Ações'!AB444="SIM", 'Ações'!AS444="SIM"), 1,0)</f>
        <v>1</v>
      </c>
      <c r="B435" s="139">
        <f>IF(AND('Ações'!$AB444="SIM", 'Ações'!AT444="SIM"), 1,0)</f>
        <v>1</v>
      </c>
      <c r="C435" s="139">
        <f>IF(AND('Ações'!$AB444="SIM", 'Ações'!AU444="SIM"), 1,0)</f>
        <v>1</v>
      </c>
      <c r="D435" s="139">
        <f>IF(AND('Ações'!$AB444="SIM", 'Ações'!AV444="SIM"), 1,0)</f>
        <v>1</v>
      </c>
      <c r="E435" s="139">
        <f>IF(AND('Ações'!$AB444="SIM", 'Ações'!AW444="SIM"), 1,0)</f>
        <v>1</v>
      </c>
      <c r="F435" s="139">
        <f>IF(AND('Ações'!$AB444="SIM", 'Ações'!AX444="SIM"), 1,0)</f>
        <v>0</v>
      </c>
      <c r="G435" s="139">
        <f>IF(AND('Ações'!$AC444="SIM", 'Ações'!AS444="SIM"), 1,0)</f>
        <v>1</v>
      </c>
      <c r="H435" s="139">
        <f>IF(AND('Ações'!$AC444="SIM", 'Ações'!AT444="SIM"), 1,0)</f>
        <v>1</v>
      </c>
      <c r="I435" s="139">
        <f>IF(AND('Ações'!$AC444="SIM", 'Ações'!AU444="SIM"), 1,0)</f>
        <v>1</v>
      </c>
      <c r="J435" s="139">
        <f>IF(AND('Ações'!$AC444="SIM", 'Ações'!AV444="SIM"), 1,0)</f>
        <v>1</v>
      </c>
      <c r="K435" s="139">
        <f>IF(AND('Ações'!$AC444="SIM", 'Ações'!AW444="SIM"), 1,0)</f>
        <v>1</v>
      </c>
      <c r="L435" s="139">
        <f>IF(AND('Ações'!$AC444="SIM", 'Ações'!AX444="SIM"), 1,0)</f>
        <v>0</v>
      </c>
      <c r="M435" s="139">
        <f>IF(AND('Ações'!$AD444="SIM", 'Ações'!AS444="SIM"), 1,0)</f>
        <v>0</v>
      </c>
      <c r="N435" s="139">
        <f>IF(AND('Ações'!$AD444="SIM", 'Ações'!AT444="SIM"), 1,0)</f>
        <v>0</v>
      </c>
      <c r="O435" s="139">
        <f>IF(AND('Ações'!$AD444="SIM", 'Ações'!AU444="SIM"), 1,0)</f>
        <v>0</v>
      </c>
      <c r="P435" s="139">
        <f>IF(AND('Ações'!$AD444="SIM", 'Ações'!AV444="SIM"), 1,0)</f>
        <v>0</v>
      </c>
      <c r="Q435" s="139">
        <f>IF(AND('Ações'!$AD444="SIM", 'Ações'!AW444="SIM"), 1,0)</f>
        <v>0</v>
      </c>
      <c r="R435" s="139">
        <f>IF(AND('Ações'!$AD444="SIM", 'Ações'!AX444="SIM"), 1,0)</f>
        <v>0</v>
      </c>
    </row>
    <row r="436">
      <c r="A436" s="139">
        <f>IF(AND('Ações'!AB446="SIM", 'Ações'!AS446="SIM"), 1,0)</f>
        <v>0</v>
      </c>
      <c r="B436" s="139">
        <f>IF(AND('Ações'!$AB446="SIM", 'Ações'!AT446="SIM"), 1,0)</f>
        <v>0</v>
      </c>
      <c r="C436" s="139">
        <f>IF(AND('Ações'!$AB446="SIM", 'Ações'!AU446="SIM"), 1,0)</f>
        <v>0</v>
      </c>
      <c r="D436" s="139">
        <f>IF(AND('Ações'!$AB446="SIM", 'Ações'!AV446="SIM"), 1,0)</f>
        <v>0</v>
      </c>
      <c r="E436" s="139">
        <f>IF(AND('Ações'!$AB446="SIM", 'Ações'!AW446="SIM"), 1,0)</f>
        <v>0</v>
      </c>
      <c r="F436" s="139">
        <f>IF(AND('Ações'!$AB446="SIM", 'Ações'!AX446="SIM"), 1,0)</f>
        <v>0</v>
      </c>
      <c r="G436" s="139">
        <f>IF(AND('Ações'!$AC446="SIM", 'Ações'!AS446="SIM"), 1,0)</f>
        <v>1</v>
      </c>
      <c r="H436" s="139">
        <f>IF(AND('Ações'!$AC446="SIM", 'Ações'!AT446="SIM"), 1,0)</f>
        <v>1</v>
      </c>
      <c r="I436" s="139">
        <f>IF(AND('Ações'!$AC446="SIM", 'Ações'!AU446="SIM"), 1,0)</f>
        <v>1</v>
      </c>
      <c r="J436" s="139">
        <f>IF(AND('Ações'!$AC446="SIM", 'Ações'!AV446="SIM"), 1,0)</f>
        <v>1</v>
      </c>
      <c r="K436" s="139">
        <f>IF(AND('Ações'!$AC446="SIM", 'Ações'!AW446="SIM"), 1,0)</f>
        <v>1</v>
      </c>
      <c r="L436" s="139">
        <f>IF(AND('Ações'!$AC446="SIM", 'Ações'!AX446="SIM"), 1,0)</f>
        <v>0</v>
      </c>
      <c r="M436" s="139">
        <f>IF(AND('Ações'!$AD446="SIM", 'Ações'!AS446="SIM"), 1,0)</f>
        <v>0</v>
      </c>
      <c r="N436" s="139">
        <f>IF(AND('Ações'!$AD446="SIM", 'Ações'!AT446="SIM"), 1,0)</f>
        <v>0</v>
      </c>
      <c r="O436" s="139">
        <f>IF(AND('Ações'!$AD446="SIM", 'Ações'!AU446="SIM"), 1,0)</f>
        <v>0</v>
      </c>
      <c r="P436" s="139">
        <f>IF(AND('Ações'!$AD446="SIM", 'Ações'!AV446="SIM"), 1,0)</f>
        <v>0</v>
      </c>
      <c r="Q436" s="139">
        <f>IF(AND('Ações'!$AD446="SIM", 'Ações'!AW446="SIM"), 1,0)</f>
        <v>0</v>
      </c>
      <c r="R436" s="139">
        <f>IF(AND('Ações'!$AD446="SIM", 'Ações'!AX446="SIM"), 1,0)</f>
        <v>0</v>
      </c>
    </row>
    <row r="437">
      <c r="A437" s="139">
        <f>IF(AND('Ações'!AB447="SIM", 'Ações'!AS447="SIM"), 1,0)</f>
        <v>0</v>
      </c>
      <c r="B437" s="139">
        <f>IF(AND('Ações'!$AB447="SIM", 'Ações'!AT447="SIM"), 1,0)</f>
        <v>0</v>
      </c>
      <c r="C437" s="139">
        <f>IF(AND('Ações'!$AB447="SIM", 'Ações'!AU447="SIM"), 1,0)</f>
        <v>0</v>
      </c>
      <c r="D437" s="139">
        <f>IF(AND('Ações'!$AB447="SIM", 'Ações'!AV447="SIM"), 1,0)</f>
        <v>0</v>
      </c>
      <c r="E437" s="139">
        <f>IF(AND('Ações'!$AB447="SIM", 'Ações'!AW447="SIM"), 1,0)</f>
        <v>0</v>
      </c>
      <c r="F437" s="139">
        <f>IF(AND('Ações'!$AB447="SIM", 'Ações'!AX447="SIM"), 1,0)</f>
        <v>0</v>
      </c>
      <c r="G437" s="139">
        <f>IF(AND('Ações'!$AC447="SIM", 'Ações'!AS447="SIM"), 1,0)</f>
        <v>1</v>
      </c>
      <c r="H437" s="139">
        <f>IF(AND('Ações'!$AC447="SIM", 'Ações'!AT447="SIM"), 1,0)</f>
        <v>1</v>
      </c>
      <c r="I437" s="139">
        <f>IF(AND('Ações'!$AC447="SIM", 'Ações'!AU447="SIM"), 1,0)</f>
        <v>1</v>
      </c>
      <c r="J437" s="139">
        <f>IF(AND('Ações'!$AC447="SIM", 'Ações'!AV447="SIM"), 1,0)</f>
        <v>1</v>
      </c>
      <c r="K437" s="139">
        <f>IF(AND('Ações'!$AC447="SIM", 'Ações'!AW447="SIM"), 1,0)</f>
        <v>1</v>
      </c>
      <c r="L437" s="139">
        <f>IF(AND('Ações'!$AC447="SIM", 'Ações'!AX447="SIM"), 1,0)</f>
        <v>0</v>
      </c>
      <c r="M437" s="139">
        <f>IF(AND('Ações'!$AD447="SIM", 'Ações'!AS447="SIM"), 1,0)</f>
        <v>0</v>
      </c>
      <c r="N437" s="139">
        <f>IF(AND('Ações'!$AD447="SIM", 'Ações'!AT447="SIM"), 1,0)</f>
        <v>0</v>
      </c>
      <c r="O437" s="139">
        <f>IF(AND('Ações'!$AD447="SIM", 'Ações'!AU447="SIM"), 1,0)</f>
        <v>0</v>
      </c>
      <c r="P437" s="139">
        <f>IF(AND('Ações'!$AD447="SIM", 'Ações'!AV447="SIM"), 1,0)</f>
        <v>0</v>
      </c>
      <c r="Q437" s="139">
        <f>IF(AND('Ações'!$AD447="SIM", 'Ações'!AW447="SIM"), 1,0)</f>
        <v>0</v>
      </c>
      <c r="R437" s="139">
        <f>IF(AND('Ações'!$AD447="SIM", 'Ações'!AX447="SIM"), 1,0)</f>
        <v>0</v>
      </c>
    </row>
    <row r="438">
      <c r="A438" s="139">
        <f>IF(AND('Ações'!AB448="SIM", 'Ações'!AS448="SIM"), 1,0)</f>
        <v>1</v>
      </c>
      <c r="B438" s="139">
        <f>IF(AND('Ações'!$AB448="SIM", 'Ações'!AT448="SIM"), 1,0)</f>
        <v>1</v>
      </c>
      <c r="C438" s="139">
        <f>IF(AND('Ações'!$AB448="SIM", 'Ações'!AU448="SIM"), 1,0)</f>
        <v>1</v>
      </c>
      <c r="D438" s="139">
        <f>IF(AND('Ações'!$AB448="SIM", 'Ações'!AV448="SIM"), 1,0)</f>
        <v>1</v>
      </c>
      <c r="E438" s="139">
        <f>IF(AND('Ações'!$AB448="SIM", 'Ações'!AW448="SIM"), 1,0)</f>
        <v>0</v>
      </c>
      <c r="F438" s="139">
        <f>IF(AND('Ações'!$AB448="SIM", 'Ações'!AX448="SIM"), 1,0)</f>
        <v>0</v>
      </c>
      <c r="G438" s="139">
        <f>IF(AND('Ações'!$AC448="SIM", 'Ações'!AS448="SIM"), 1,0)</f>
        <v>0</v>
      </c>
      <c r="H438" s="139">
        <f>IF(AND('Ações'!$AC448="SIM", 'Ações'!AT448="SIM"), 1,0)</f>
        <v>0</v>
      </c>
      <c r="I438" s="139">
        <f>IF(AND('Ações'!$AC448="SIM", 'Ações'!AU448="SIM"), 1,0)</f>
        <v>0</v>
      </c>
      <c r="J438" s="139">
        <f>IF(AND('Ações'!$AC448="SIM", 'Ações'!AV448="SIM"), 1,0)</f>
        <v>0</v>
      </c>
      <c r="K438" s="139">
        <f>IF(AND('Ações'!$AC448="SIM", 'Ações'!AW448="SIM"), 1,0)</f>
        <v>0</v>
      </c>
      <c r="L438" s="139">
        <f>IF(AND('Ações'!$AC448="SIM", 'Ações'!AX448="SIM"), 1,0)</f>
        <v>0</v>
      </c>
      <c r="M438" s="139">
        <f>IF(AND('Ações'!$AD448="SIM", 'Ações'!AS448="SIM"), 1,0)</f>
        <v>0</v>
      </c>
      <c r="N438" s="139">
        <f>IF(AND('Ações'!$AD448="SIM", 'Ações'!AT448="SIM"), 1,0)</f>
        <v>0</v>
      </c>
      <c r="O438" s="139">
        <f>IF(AND('Ações'!$AD448="SIM", 'Ações'!AU448="SIM"), 1,0)</f>
        <v>0</v>
      </c>
      <c r="P438" s="139">
        <f>IF(AND('Ações'!$AD448="SIM", 'Ações'!AV448="SIM"), 1,0)</f>
        <v>0</v>
      </c>
      <c r="Q438" s="139">
        <f>IF(AND('Ações'!$AD448="SIM", 'Ações'!AW448="SIM"), 1,0)</f>
        <v>0</v>
      </c>
      <c r="R438" s="139">
        <f>IF(AND('Ações'!$AD448="SIM", 'Ações'!AX448="SIM"), 1,0)</f>
        <v>0</v>
      </c>
    </row>
    <row r="439">
      <c r="A439" s="139">
        <f>IF(AND('Ações'!AB449="SIM", 'Ações'!AS449="SIM"), 1,0)</f>
        <v>1</v>
      </c>
      <c r="B439" s="139">
        <f>IF(AND('Ações'!$AB449="SIM", 'Ações'!AT449="SIM"), 1,0)</f>
        <v>1</v>
      </c>
      <c r="C439" s="139">
        <f>IF(AND('Ações'!$AB449="SIM", 'Ações'!AU449="SIM"), 1,0)</f>
        <v>1</v>
      </c>
      <c r="D439" s="139">
        <f>IF(AND('Ações'!$AB449="SIM", 'Ações'!AV449="SIM"), 1,0)</f>
        <v>1</v>
      </c>
      <c r="E439" s="139">
        <f>IF(AND('Ações'!$AB449="SIM", 'Ações'!AW449="SIM"), 1,0)</f>
        <v>0</v>
      </c>
      <c r="F439" s="139">
        <f>IF(AND('Ações'!$AB449="SIM", 'Ações'!AX449="SIM"), 1,0)</f>
        <v>0</v>
      </c>
      <c r="G439" s="139">
        <f>IF(AND('Ações'!$AC449="SIM", 'Ações'!AS449="SIM"), 1,0)</f>
        <v>1</v>
      </c>
      <c r="H439" s="139">
        <f>IF(AND('Ações'!$AC449="SIM", 'Ações'!AT449="SIM"), 1,0)</f>
        <v>1</v>
      </c>
      <c r="I439" s="139">
        <f>IF(AND('Ações'!$AC449="SIM", 'Ações'!AU449="SIM"), 1,0)</f>
        <v>1</v>
      </c>
      <c r="J439" s="139">
        <f>IF(AND('Ações'!$AC449="SIM", 'Ações'!AV449="SIM"), 1,0)</f>
        <v>1</v>
      </c>
      <c r="K439" s="139">
        <f>IF(AND('Ações'!$AC449="SIM", 'Ações'!AW449="SIM"), 1,0)</f>
        <v>0</v>
      </c>
      <c r="L439" s="139">
        <f>IF(AND('Ações'!$AC449="SIM", 'Ações'!AX449="SIM"), 1,0)</f>
        <v>0</v>
      </c>
      <c r="M439" s="139">
        <f>IF(AND('Ações'!$AD449="SIM", 'Ações'!AS449="SIM"), 1,0)</f>
        <v>1</v>
      </c>
      <c r="N439" s="139">
        <f>IF(AND('Ações'!$AD449="SIM", 'Ações'!AT449="SIM"), 1,0)</f>
        <v>1</v>
      </c>
      <c r="O439" s="139">
        <f>IF(AND('Ações'!$AD449="SIM", 'Ações'!AU449="SIM"), 1,0)</f>
        <v>1</v>
      </c>
      <c r="P439" s="139">
        <f>IF(AND('Ações'!$AD449="SIM", 'Ações'!AV449="SIM"), 1,0)</f>
        <v>1</v>
      </c>
      <c r="Q439" s="139">
        <f>IF(AND('Ações'!$AD449="SIM", 'Ações'!AW449="SIM"), 1,0)</f>
        <v>0</v>
      </c>
      <c r="R439" s="139">
        <f>IF(AND('Ações'!$AD449="SIM", 'Ações'!AX449="SIM"), 1,0)</f>
        <v>0</v>
      </c>
    </row>
    <row r="440">
      <c r="A440" s="139">
        <f>IF(AND('Ações'!AB450="SIM", 'Ações'!AS450="SIM"), 1,0)</f>
        <v>1</v>
      </c>
      <c r="B440" s="139">
        <f>IF(AND('Ações'!$AB450="SIM", 'Ações'!AT450="SIM"), 1,0)</f>
        <v>1</v>
      </c>
      <c r="C440" s="139">
        <f>IF(AND('Ações'!$AB450="SIM", 'Ações'!AU450="SIM"), 1,0)</f>
        <v>1</v>
      </c>
      <c r="D440" s="139">
        <f>IF(AND('Ações'!$AB450="SIM", 'Ações'!AV450="SIM"), 1,0)</f>
        <v>1</v>
      </c>
      <c r="E440" s="139">
        <f>IF(AND('Ações'!$AB450="SIM", 'Ações'!AW450="SIM"), 1,0)</f>
        <v>0</v>
      </c>
      <c r="F440" s="139">
        <f>IF(AND('Ações'!$AB450="SIM", 'Ações'!AX450="SIM"), 1,0)</f>
        <v>0</v>
      </c>
      <c r="G440" s="139">
        <f>IF(AND('Ações'!$AC450="SIM", 'Ações'!AS450="SIM"), 1,0)</f>
        <v>0</v>
      </c>
      <c r="H440" s="139">
        <f>IF(AND('Ações'!$AC450="SIM", 'Ações'!AT450="SIM"), 1,0)</f>
        <v>0</v>
      </c>
      <c r="I440" s="139">
        <f>IF(AND('Ações'!$AC450="SIM", 'Ações'!AU450="SIM"), 1,0)</f>
        <v>0</v>
      </c>
      <c r="J440" s="139">
        <f>IF(AND('Ações'!$AC450="SIM", 'Ações'!AV450="SIM"), 1,0)</f>
        <v>0</v>
      </c>
      <c r="K440" s="139">
        <f>IF(AND('Ações'!$AC450="SIM", 'Ações'!AW450="SIM"), 1,0)</f>
        <v>0</v>
      </c>
      <c r="L440" s="139">
        <f>IF(AND('Ações'!$AC450="SIM", 'Ações'!AX450="SIM"), 1,0)</f>
        <v>0</v>
      </c>
      <c r="M440" s="139">
        <f>IF(AND('Ações'!$AD450="SIM", 'Ações'!AS450="SIM"), 1,0)</f>
        <v>0</v>
      </c>
      <c r="N440" s="139">
        <f>IF(AND('Ações'!$AD450="SIM", 'Ações'!AT450="SIM"), 1,0)</f>
        <v>0</v>
      </c>
      <c r="O440" s="139">
        <f>IF(AND('Ações'!$AD450="SIM", 'Ações'!AU450="SIM"), 1,0)</f>
        <v>0</v>
      </c>
      <c r="P440" s="139">
        <f>IF(AND('Ações'!$AD450="SIM", 'Ações'!AV450="SIM"), 1,0)</f>
        <v>0</v>
      </c>
      <c r="Q440" s="139">
        <f>IF(AND('Ações'!$AD450="SIM", 'Ações'!AW450="SIM"), 1,0)</f>
        <v>0</v>
      </c>
      <c r="R440" s="139">
        <f>IF(AND('Ações'!$AD450="SIM", 'Ações'!AX450="SIM"), 1,0)</f>
        <v>0</v>
      </c>
    </row>
    <row r="441">
      <c r="A441" s="139">
        <f>IF(AND('Ações'!AB451="SIM", 'Ações'!AS451="SIM"), 1,0)</f>
        <v>0</v>
      </c>
      <c r="B441" s="139">
        <f>IF(AND('Ações'!$AB451="SIM", 'Ações'!AT451="SIM"), 1,0)</f>
        <v>1</v>
      </c>
      <c r="C441" s="139">
        <f>IF(AND('Ações'!$AB451="SIM", 'Ações'!AU451="SIM"), 1,0)</f>
        <v>1</v>
      </c>
      <c r="D441" s="139">
        <f>IF(AND('Ações'!$AB451="SIM", 'Ações'!AV451="SIM"), 1,0)</f>
        <v>1</v>
      </c>
      <c r="E441" s="139">
        <f>IF(AND('Ações'!$AB451="SIM", 'Ações'!AW451="SIM"), 1,0)</f>
        <v>1</v>
      </c>
      <c r="F441" s="139">
        <f>IF(AND('Ações'!$AB451="SIM", 'Ações'!AX451="SIM"), 1,0)</f>
        <v>0</v>
      </c>
      <c r="G441" s="139">
        <f>IF(AND('Ações'!$AC451="SIM", 'Ações'!AS451="SIM"), 1,0)</f>
        <v>0</v>
      </c>
      <c r="H441" s="139">
        <f>IF(AND('Ações'!$AC451="SIM", 'Ações'!AT451="SIM"), 1,0)</f>
        <v>0</v>
      </c>
      <c r="I441" s="139">
        <f>IF(AND('Ações'!$AC451="SIM", 'Ações'!AU451="SIM"), 1,0)</f>
        <v>0</v>
      </c>
      <c r="J441" s="139">
        <f>IF(AND('Ações'!$AC451="SIM", 'Ações'!AV451="SIM"), 1,0)</f>
        <v>0</v>
      </c>
      <c r="K441" s="139">
        <f>IF(AND('Ações'!$AC451="SIM", 'Ações'!AW451="SIM"), 1,0)</f>
        <v>0</v>
      </c>
      <c r="L441" s="139">
        <f>IF(AND('Ações'!$AC451="SIM", 'Ações'!AX451="SIM"), 1,0)</f>
        <v>0</v>
      </c>
      <c r="M441" s="139">
        <f>IF(AND('Ações'!$AD451="SIM", 'Ações'!AS451="SIM"), 1,0)</f>
        <v>0</v>
      </c>
      <c r="N441" s="139">
        <f>IF(AND('Ações'!$AD451="SIM", 'Ações'!AT451="SIM"), 1,0)</f>
        <v>0</v>
      </c>
      <c r="O441" s="139">
        <f>IF(AND('Ações'!$AD451="SIM", 'Ações'!AU451="SIM"), 1,0)</f>
        <v>0</v>
      </c>
      <c r="P441" s="139">
        <f>IF(AND('Ações'!$AD451="SIM", 'Ações'!AV451="SIM"), 1,0)</f>
        <v>0</v>
      </c>
      <c r="Q441" s="139">
        <f>IF(AND('Ações'!$AD451="SIM", 'Ações'!AW451="SIM"), 1,0)</f>
        <v>0</v>
      </c>
      <c r="R441" s="139">
        <f>IF(AND('Ações'!$AD451="SIM", 'Ações'!AX451="SIM"), 1,0)</f>
        <v>0</v>
      </c>
    </row>
    <row r="442">
      <c r="A442" s="139">
        <f>IF(AND('Ações'!AB452="SIM", 'Ações'!AS452="SIM"), 1,0)</f>
        <v>0</v>
      </c>
      <c r="B442" s="139">
        <f>IF(AND('Ações'!$AB452="SIM", 'Ações'!AT452="SIM"), 1,0)</f>
        <v>1</v>
      </c>
      <c r="C442" s="139">
        <f>IF(AND('Ações'!$AB452="SIM", 'Ações'!AU452="SIM"), 1,0)</f>
        <v>1</v>
      </c>
      <c r="D442" s="139">
        <f>IF(AND('Ações'!$AB452="SIM", 'Ações'!AV452="SIM"), 1,0)</f>
        <v>1</v>
      </c>
      <c r="E442" s="139">
        <f>IF(AND('Ações'!$AB452="SIM", 'Ações'!AW452="SIM"), 1,0)</f>
        <v>1</v>
      </c>
      <c r="F442" s="139">
        <f>IF(AND('Ações'!$AB452="SIM", 'Ações'!AX452="SIM"), 1,0)</f>
        <v>0</v>
      </c>
      <c r="G442" s="139">
        <f>IF(AND('Ações'!$AC452="SIM", 'Ações'!AS452="SIM"), 1,0)</f>
        <v>0</v>
      </c>
      <c r="H442" s="139">
        <f>IF(AND('Ações'!$AC452="SIM", 'Ações'!AT452="SIM"), 1,0)</f>
        <v>0</v>
      </c>
      <c r="I442" s="139">
        <f>IF(AND('Ações'!$AC452="SIM", 'Ações'!AU452="SIM"), 1,0)</f>
        <v>0</v>
      </c>
      <c r="J442" s="139">
        <f>IF(AND('Ações'!$AC452="SIM", 'Ações'!AV452="SIM"), 1,0)</f>
        <v>0</v>
      </c>
      <c r="K442" s="139">
        <f>IF(AND('Ações'!$AC452="SIM", 'Ações'!AW452="SIM"), 1,0)</f>
        <v>0</v>
      </c>
      <c r="L442" s="139">
        <f>IF(AND('Ações'!$AC452="SIM", 'Ações'!AX452="SIM"), 1,0)</f>
        <v>0</v>
      </c>
      <c r="M442" s="139">
        <f>IF(AND('Ações'!$AD452="SIM", 'Ações'!AS452="SIM"), 1,0)</f>
        <v>0</v>
      </c>
      <c r="N442" s="139">
        <f>IF(AND('Ações'!$AD452="SIM", 'Ações'!AT452="SIM"), 1,0)</f>
        <v>0</v>
      </c>
      <c r="O442" s="139">
        <f>IF(AND('Ações'!$AD452="SIM", 'Ações'!AU452="SIM"), 1,0)</f>
        <v>0</v>
      </c>
      <c r="P442" s="139">
        <f>IF(AND('Ações'!$AD452="SIM", 'Ações'!AV452="SIM"), 1,0)</f>
        <v>0</v>
      </c>
      <c r="Q442" s="139">
        <f>IF(AND('Ações'!$AD452="SIM", 'Ações'!AW452="SIM"), 1,0)</f>
        <v>0</v>
      </c>
      <c r="R442" s="139">
        <f>IF(AND('Ações'!$AD452="SIM", 'Ações'!AX452="SIM"), 1,0)</f>
        <v>0</v>
      </c>
    </row>
    <row r="443">
      <c r="A443" s="139">
        <f>IF(AND('Ações'!AB453="SIM", 'Ações'!AS453="SIM"), 1,0)</f>
        <v>0</v>
      </c>
      <c r="B443" s="139">
        <f>IF(AND('Ações'!$AB453="SIM", 'Ações'!AT453="SIM"), 1,0)</f>
        <v>1</v>
      </c>
      <c r="C443" s="139">
        <f>IF(AND('Ações'!$AB453="SIM", 'Ações'!AU453="SIM"), 1,0)</f>
        <v>1</v>
      </c>
      <c r="D443" s="139">
        <f>IF(AND('Ações'!$AB453="SIM", 'Ações'!AV453="SIM"), 1,0)</f>
        <v>1</v>
      </c>
      <c r="E443" s="139">
        <f>IF(AND('Ações'!$AB453="SIM", 'Ações'!AW453="SIM"), 1,0)</f>
        <v>1</v>
      </c>
      <c r="F443" s="139">
        <f>IF(AND('Ações'!$AB453="SIM", 'Ações'!AX453="SIM"), 1,0)</f>
        <v>0</v>
      </c>
      <c r="G443" s="139">
        <f>IF(AND('Ações'!$AC453="SIM", 'Ações'!AS453="SIM"), 1,0)</f>
        <v>0</v>
      </c>
      <c r="H443" s="139">
        <f>IF(AND('Ações'!$AC453="SIM", 'Ações'!AT453="SIM"), 1,0)</f>
        <v>0</v>
      </c>
      <c r="I443" s="139">
        <f>IF(AND('Ações'!$AC453="SIM", 'Ações'!AU453="SIM"), 1,0)</f>
        <v>0</v>
      </c>
      <c r="J443" s="139">
        <f>IF(AND('Ações'!$AC453="SIM", 'Ações'!AV453="SIM"), 1,0)</f>
        <v>0</v>
      </c>
      <c r="K443" s="139">
        <f>IF(AND('Ações'!$AC453="SIM", 'Ações'!AW453="SIM"), 1,0)</f>
        <v>0</v>
      </c>
      <c r="L443" s="139">
        <f>IF(AND('Ações'!$AC453="SIM", 'Ações'!AX453="SIM"), 1,0)</f>
        <v>0</v>
      </c>
      <c r="M443" s="139">
        <f>IF(AND('Ações'!$AD453="SIM", 'Ações'!AS453="SIM"), 1,0)</f>
        <v>0</v>
      </c>
      <c r="N443" s="139">
        <f>IF(AND('Ações'!$AD453="SIM", 'Ações'!AT453="SIM"), 1,0)</f>
        <v>0</v>
      </c>
      <c r="O443" s="139">
        <f>IF(AND('Ações'!$AD453="SIM", 'Ações'!AU453="SIM"), 1,0)</f>
        <v>0</v>
      </c>
      <c r="P443" s="139">
        <f>IF(AND('Ações'!$AD453="SIM", 'Ações'!AV453="SIM"), 1,0)</f>
        <v>0</v>
      </c>
      <c r="Q443" s="139">
        <f>IF(AND('Ações'!$AD453="SIM", 'Ações'!AW453="SIM"), 1,0)</f>
        <v>0</v>
      </c>
      <c r="R443" s="139">
        <f>IF(AND('Ações'!$AD453="SIM", 'Ações'!AX453="SIM"), 1,0)</f>
        <v>0</v>
      </c>
    </row>
    <row r="444">
      <c r="A444" s="139">
        <f>IF(AND('Ações'!AB454="SIM", 'Ações'!AS454="SIM"), 1,0)</f>
        <v>0</v>
      </c>
      <c r="B444" s="139">
        <f>IF(AND('Ações'!$AB454="SIM", 'Ações'!AT454="SIM"), 1,0)</f>
        <v>1</v>
      </c>
      <c r="C444" s="139">
        <f>IF(AND('Ações'!$AB454="SIM", 'Ações'!AU454="SIM"), 1,0)</f>
        <v>1</v>
      </c>
      <c r="D444" s="139">
        <f>IF(AND('Ações'!$AB454="SIM", 'Ações'!AV454="SIM"), 1,0)</f>
        <v>1</v>
      </c>
      <c r="E444" s="139">
        <f>IF(AND('Ações'!$AB454="SIM", 'Ações'!AW454="SIM"), 1,0)</f>
        <v>1</v>
      </c>
      <c r="F444" s="139">
        <f>IF(AND('Ações'!$AB454="SIM", 'Ações'!AX454="SIM"), 1,0)</f>
        <v>0</v>
      </c>
      <c r="G444" s="139">
        <f>IF(AND('Ações'!$AC454="SIM", 'Ações'!AS454="SIM"), 1,0)</f>
        <v>0</v>
      </c>
      <c r="H444" s="139">
        <f>IF(AND('Ações'!$AC454="SIM", 'Ações'!AT454="SIM"), 1,0)</f>
        <v>0</v>
      </c>
      <c r="I444" s="139">
        <f>IF(AND('Ações'!$AC454="SIM", 'Ações'!AU454="SIM"), 1,0)</f>
        <v>0</v>
      </c>
      <c r="J444" s="139">
        <f>IF(AND('Ações'!$AC454="SIM", 'Ações'!AV454="SIM"), 1,0)</f>
        <v>0</v>
      </c>
      <c r="K444" s="139">
        <f>IF(AND('Ações'!$AC454="SIM", 'Ações'!AW454="SIM"), 1,0)</f>
        <v>0</v>
      </c>
      <c r="L444" s="139">
        <f>IF(AND('Ações'!$AC454="SIM", 'Ações'!AX454="SIM"), 1,0)</f>
        <v>0</v>
      </c>
      <c r="M444" s="139">
        <f>IF(AND('Ações'!$AD454="SIM", 'Ações'!AS454="SIM"), 1,0)</f>
        <v>0</v>
      </c>
      <c r="N444" s="139">
        <f>IF(AND('Ações'!$AD454="SIM", 'Ações'!AT454="SIM"), 1,0)</f>
        <v>0</v>
      </c>
      <c r="O444" s="139">
        <f>IF(AND('Ações'!$AD454="SIM", 'Ações'!AU454="SIM"), 1,0)</f>
        <v>0</v>
      </c>
      <c r="P444" s="139">
        <f>IF(AND('Ações'!$AD454="SIM", 'Ações'!AV454="SIM"), 1,0)</f>
        <v>0</v>
      </c>
      <c r="Q444" s="139">
        <f>IF(AND('Ações'!$AD454="SIM", 'Ações'!AW454="SIM"), 1,0)</f>
        <v>0</v>
      </c>
      <c r="R444" s="139">
        <f>IF(AND('Ações'!$AD454="SIM", 'Ações'!AX454="SIM"), 1,0)</f>
        <v>0</v>
      </c>
    </row>
    <row r="445">
      <c r="A445" s="139">
        <f>IF(AND('Ações'!AB455="SIM", 'Ações'!AS455="SIM"), 1,0)</f>
        <v>0</v>
      </c>
      <c r="B445" s="139">
        <f>IF(AND('Ações'!$AB455="SIM", 'Ações'!AT455="SIM"), 1,0)</f>
        <v>1</v>
      </c>
      <c r="C445" s="139">
        <f>IF(AND('Ações'!$AB455="SIM", 'Ações'!AU455="SIM"), 1,0)</f>
        <v>1</v>
      </c>
      <c r="D445" s="139">
        <f>IF(AND('Ações'!$AB455="SIM", 'Ações'!AV455="SIM"), 1,0)</f>
        <v>1</v>
      </c>
      <c r="E445" s="139">
        <f>IF(AND('Ações'!$AB455="SIM", 'Ações'!AW455="SIM"), 1,0)</f>
        <v>1</v>
      </c>
      <c r="F445" s="139">
        <f>IF(AND('Ações'!$AB455="SIM", 'Ações'!AX455="SIM"), 1,0)</f>
        <v>0</v>
      </c>
      <c r="G445" s="139">
        <f>IF(AND('Ações'!$AC455="SIM", 'Ações'!AS455="SIM"), 1,0)</f>
        <v>0</v>
      </c>
      <c r="H445" s="139">
        <f>IF(AND('Ações'!$AC455="SIM", 'Ações'!AT455="SIM"), 1,0)</f>
        <v>0</v>
      </c>
      <c r="I445" s="139">
        <f>IF(AND('Ações'!$AC455="SIM", 'Ações'!AU455="SIM"), 1,0)</f>
        <v>0</v>
      </c>
      <c r="J445" s="139">
        <f>IF(AND('Ações'!$AC455="SIM", 'Ações'!AV455="SIM"), 1,0)</f>
        <v>0</v>
      </c>
      <c r="K445" s="139">
        <f>IF(AND('Ações'!$AC455="SIM", 'Ações'!AW455="SIM"), 1,0)</f>
        <v>0</v>
      </c>
      <c r="L445" s="139">
        <f>IF(AND('Ações'!$AC455="SIM", 'Ações'!AX455="SIM"), 1,0)</f>
        <v>0</v>
      </c>
      <c r="M445" s="139">
        <f>IF(AND('Ações'!$AD455="SIM", 'Ações'!AS455="SIM"), 1,0)</f>
        <v>0</v>
      </c>
      <c r="N445" s="139">
        <f>IF(AND('Ações'!$AD455="SIM", 'Ações'!AT455="SIM"), 1,0)</f>
        <v>0</v>
      </c>
      <c r="O445" s="139">
        <f>IF(AND('Ações'!$AD455="SIM", 'Ações'!AU455="SIM"), 1,0)</f>
        <v>0</v>
      </c>
      <c r="P445" s="139">
        <f>IF(AND('Ações'!$AD455="SIM", 'Ações'!AV455="SIM"), 1,0)</f>
        <v>0</v>
      </c>
      <c r="Q445" s="139">
        <f>IF(AND('Ações'!$AD455="SIM", 'Ações'!AW455="SIM"), 1,0)</f>
        <v>0</v>
      </c>
      <c r="R445" s="139">
        <f>IF(AND('Ações'!$AD455="SIM", 'Ações'!AX455="SIM"), 1,0)</f>
        <v>0</v>
      </c>
    </row>
    <row r="446">
      <c r="A446" s="139">
        <f>IF(AND('Ações'!AB456="SIM", 'Ações'!AS456="SIM"), 1,0)</f>
        <v>0</v>
      </c>
      <c r="B446" s="139">
        <f>IF(AND('Ações'!$AB456="SIM", 'Ações'!AT456="SIM"), 1,0)</f>
        <v>1</v>
      </c>
      <c r="C446" s="139">
        <f>IF(AND('Ações'!$AB456="SIM", 'Ações'!AU456="SIM"), 1,0)</f>
        <v>1</v>
      </c>
      <c r="D446" s="139">
        <f>IF(AND('Ações'!$AB456="SIM", 'Ações'!AV456="SIM"), 1,0)</f>
        <v>1</v>
      </c>
      <c r="E446" s="139">
        <f>IF(AND('Ações'!$AB456="SIM", 'Ações'!AW456="SIM"), 1,0)</f>
        <v>1</v>
      </c>
      <c r="F446" s="139">
        <f>IF(AND('Ações'!$AB456="SIM", 'Ações'!AX456="SIM"), 1,0)</f>
        <v>0</v>
      </c>
      <c r="G446" s="139">
        <f>IF(AND('Ações'!$AC456="SIM", 'Ações'!AS456="SIM"), 1,0)</f>
        <v>0</v>
      </c>
      <c r="H446" s="139">
        <f>IF(AND('Ações'!$AC456="SIM", 'Ações'!AT456="SIM"), 1,0)</f>
        <v>0</v>
      </c>
      <c r="I446" s="139">
        <f>IF(AND('Ações'!$AC456="SIM", 'Ações'!AU456="SIM"), 1,0)</f>
        <v>0</v>
      </c>
      <c r="J446" s="139">
        <f>IF(AND('Ações'!$AC456="SIM", 'Ações'!AV456="SIM"), 1,0)</f>
        <v>0</v>
      </c>
      <c r="K446" s="139">
        <f>IF(AND('Ações'!$AC456="SIM", 'Ações'!AW456="SIM"), 1,0)</f>
        <v>0</v>
      </c>
      <c r="L446" s="139">
        <f>IF(AND('Ações'!$AC456="SIM", 'Ações'!AX456="SIM"), 1,0)</f>
        <v>0</v>
      </c>
      <c r="M446" s="139">
        <f>IF(AND('Ações'!$AD456="SIM", 'Ações'!AS456="SIM"), 1,0)</f>
        <v>0</v>
      </c>
      <c r="N446" s="139">
        <f>IF(AND('Ações'!$AD456="SIM", 'Ações'!AT456="SIM"), 1,0)</f>
        <v>0</v>
      </c>
      <c r="O446" s="139">
        <f>IF(AND('Ações'!$AD456="SIM", 'Ações'!AU456="SIM"), 1,0)</f>
        <v>0</v>
      </c>
      <c r="P446" s="139">
        <f>IF(AND('Ações'!$AD456="SIM", 'Ações'!AV456="SIM"), 1,0)</f>
        <v>0</v>
      </c>
      <c r="Q446" s="139">
        <f>IF(AND('Ações'!$AD456="SIM", 'Ações'!AW456="SIM"), 1,0)</f>
        <v>0</v>
      </c>
      <c r="R446" s="139">
        <f>IF(AND('Ações'!$AD456="SIM", 'Ações'!AX456="SIM"), 1,0)</f>
        <v>0</v>
      </c>
    </row>
    <row r="447">
      <c r="A447" s="139">
        <f>IF(AND('Ações'!AB457="SIM", 'Ações'!AS457="SIM"), 1,0)</f>
        <v>0</v>
      </c>
      <c r="B447" s="139">
        <f>IF(AND('Ações'!$AB457="SIM", 'Ações'!AT457="SIM"), 1,0)</f>
        <v>1</v>
      </c>
      <c r="C447" s="139">
        <f>IF(AND('Ações'!$AB457="SIM", 'Ações'!AU457="SIM"), 1,0)</f>
        <v>1</v>
      </c>
      <c r="D447" s="139">
        <f>IF(AND('Ações'!$AB457="SIM", 'Ações'!AV457="SIM"), 1,0)</f>
        <v>1</v>
      </c>
      <c r="E447" s="139">
        <f>IF(AND('Ações'!$AB457="SIM", 'Ações'!AW457="SIM"), 1,0)</f>
        <v>1</v>
      </c>
      <c r="F447" s="139">
        <f>IF(AND('Ações'!$AB457="SIM", 'Ações'!AX457="SIM"), 1,0)</f>
        <v>0</v>
      </c>
      <c r="G447" s="139">
        <f>IF(AND('Ações'!$AC457="SIM", 'Ações'!AS457="SIM"), 1,0)</f>
        <v>0</v>
      </c>
      <c r="H447" s="139">
        <f>IF(AND('Ações'!$AC457="SIM", 'Ações'!AT457="SIM"), 1,0)</f>
        <v>1</v>
      </c>
      <c r="I447" s="139">
        <f>IF(AND('Ações'!$AC457="SIM", 'Ações'!AU457="SIM"), 1,0)</f>
        <v>1</v>
      </c>
      <c r="J447" s="139">
        <f>IF(AND('Ações'!$AC457="SIM", 'Ações'!AV457="SIM"), 1,0)</f>
        <v>1</v>
      </c>
      <c r="K447" s="139">
        <f>IF(AND('Ações'!$AC457="SIM", 'Ações'!AW457="SIM"), 1,0)</f>
        <v>1</v>
      </c>
      <c r="L447" s="139">
        <f>IF(AND('Ações'!$AC457="SIM", 'Ações'!AX457="SIM"), 1,0)</f>
        <v>0</v>
      </c>
      <c r="M447" s="139">
        <f>IF(AND('Ações'!$AD457="SIM", 'Ações'!AS457="SIM"), 1,0)</f>
        <v>0</v>
      </c>
      <c r="N447" s="139">
        <f>IF(AND('Ações'!$AD457="SIM", 'Ações'!AT457="SIM"), 1,0)</f>
        <v>0</v>
      </c>
      <c r="O447" s="139">
        <f>IF(AND('Ações'!$AD457="SIM", 'Ações'!AU457="SIM"), 1,0)</f>
        <v>0</v>
      </c>
      <c r="P447" s="139">
        <f>IF(AND('Ações'!$AD457="SIM", 'Ações'!AV457="SIM"), 1,0)</f>
        <v>0</v>
      </c>
      <c r="Q447" s="139">
        <f>IF(AND('Ações'!$AD457="SIM", 'Ações'!AW457="SIM"), 1,0)</f>
        <v>0</v>
      </c>
      <c r="R447" s="139">
        <f>IF(AND('Ações'!$AD457="SIM", 'Ações'!AX457="SIM"), 1,0)</f>
        <v>0</v>
      </c>
    </row>
    <row r="448">
      <c r="A448" s="139">
        <f>IF(AND('Ações'!AB458="SIM", 'Ações'!AS458="SIM"), 1,0)</f>
        <v>0</v>
      </c>
      <c r="B448" s="139">
        <f>IF(AND('Ações'!$AB458="SIM", 'Ações'!AT458="SIM"), 1,0)</f>
        <v>1</v>
      </c>
      <c r="C448" s="139">
        <f>IF(AND('Ações'!$AB458="SIM", 'Ações'!AU458="SIM"), 1,0)</f>
        <v>1</v>
      </c>
      <c r="D448" s="139">
        <f>IF(AND('Ações'!$AB458="SIM", 'Ações'!AV458="SIM"), 1,0)</f>
        <v>1</v>
      </c>
      <c r="E448" s="139">
        <f>IF(AND('Ações'!$AB458="SIM", 'Ações'!AW458="SIM"), 1,0)</f>
        <v>1</v>
      </c>
      <c r="F448" s="139">
        <f>IF(AND('Ações'!$AB458="SIM", 'Ações'!AX458="SIM"), 1,0)</f>
        <v>0</v>
      </c>
      <c r="G448" s="139">
        <f>IF(AND('Ações'!$AC458="SIM", 'Ações'!AS458="SIM"), 1,0)</f>
        <v>0</v>
      </c>
      <c r="H448" s="139">
        <f>IF(AND('Ações'!$AC458="SIM", 'Ações'!AT458="SIM"), 1,0)</f>
        <v>0</v>
      </c>
      <c r="I448" s="139">
        <f>IF(AND('Ações'!$AC458="SIM", 'Ações'!AU458="SIM"), 1,0)</f>
        <v>0</v>
      </c>
      <c r="J448" s="139">
        <f>IF(AND('Ações'!$AC458="SIM", 'Ações'!AV458="SIM"), 1,0)</f>
        <v>0</v>
      </c>
      <c r="K448" s="139">
        <f>IF(AND('Ações'!$AC458="SIM", 'Ações'!AW458="SIM"), 1,0)</f>
        <v>0</v>
      </c>
      <c r="L448" s="139">
        <f>IF(AND('Ações'!$AC458="SIM", 'Ações'!AX458="SIM"), 1,0)</f>
        <v>0</v>
      </c>
      <c r="M448" s="139">
        <f>IF(AND('Ações'!$AD458="SIM", 'Ações'!AS458="SIM"), 1,0)</f>
        <v>0</v>
      </c>
      <c r="N448" s="139">
        <f>IF(AND('Ações'!$AD458="SIM", 'Ações'!AT458="SIM"), 1,0)</f>
        <v>0</v>
      </c>
      <c r="O448" s="139">
        <f>IF(AND('Ações'!$AD458="SIM", 'Ações'!AU458="SIM"), 1,0)</f>
        <v>0</v>
      </c>
      <c r="P448" s="139">
        <f>IF(AND('Ações'!$AD458="SIM", 'Ações'!AV458="SIM"), 1,0)</f>
        <v>0</v>
      </c>
      <c r="Q448" s="139">
        <f>IF(AND('Ações'!$AD458="SIM", 'Ações'!AW458="SIM"), 1,0)</f>
        <v>0</v>
      </c>
      <c r="R448" s="139">
        <f>IF(AND('Ações'!$AD458="SIM", 'Ações'!AX458="SIM"), 1,0)</f>
        <v>0</v>
      </c>
    </row>
    <row r="449">
      <c r="A449" s="139">
        <f>IF(AND('Ações'!AB459="SIM", 'Ações'!AS459="SIM"), 1,0)</f>
        <v>1</v>
      </c>
      <c r="B449" s="139">
        <f>IF(AND('Ações'!$AB459="SIM", 'Ações'!AT459="SIM"), 1,0)</f>
        <v>1</v>
      </c>
      <c r="C449" s="139">
        <f>IF(AND('Ações'!$AB459="SIM", 'Ações'!AU459="SIM"), 1,0)</f>
        <v>1</v>
      </c>
      <c r="D449" s="139">
        <f>IF(AND('Ações'!$AB459="SIM", 'Ações'!AV459="SIM"), 1,0)</f>
        <v>1</v>
      </c>
      <c r="E449" s="139">
        <f>IF(AND('Ações'!$AB459="SIM", 'Ações'!AW459="SIM"), 1,0)</f>
        <v>1</v>
      </c>
      <c r="F449" s="139">
        <f>IF(AND('Ações'!$AB459="SIM", 'Ações'!AX459="SIM"), 1,0)</f>
        <v>0</v>
      </c>
      <c r="G449" s="139">
        <f>IF(AND('Ações'!$AC459="SIM", 'Ações'!AS459="SIM"), 1,0)</f>
        <v>0</v>
      </c>
      <c r="H449" s="139">
        <f>IF(AND('Ações'!$AC459="SIM", 'Ações'!AT459="SIM"), 1,0)</f>
        <v>0</v>
      </c>
      <c r="I449" s="139">
        <f>IF(AND('Ações'!$AC459="SIM", 'Ações'!AU459="SIM"), 1,0)</f>
        <v>0</v>
      </c>
      <c r="J449" s="139">
        <f>IF(AND('Ações'!$AC459="SIM", 'Ações'!AV459="SIM"), 1,0)</f>
        <v>0</v>
      </c>
      <c r="K449" s="139">
        <f>IF(AND('Ações'!$AC459="SIM", 'Ações'!AW459="SIM"), 1,0)</f>
        <v>0</v>
      </c>
      <c r="L449" s="139">
        <f>IF(AND('Ações'!$AC459="SIM", 'Ações'!AX459="SIM"), 1,0)</f>
        <v>0</v>
      </c>
      <c r="M449" s="139">
        <f>IF(AND('Ações'!$AD459="SIM", 'Ações'!AS459="SIM"), 1,0)</f>
        <v>0</v>
      </c>
      <c r="N449" s="139">
        <f>IF(AND('Ações'!$AD459="SIM", 'Ações'!AT459="SIM"), 1,0)</f>
        <v>0</v>
      </c>
      <c r="O449" s="139">
        <f>IF(AND('Ações'!$AD459="SIM", 'Ações'!AU459="SIM"), 1,0)</f>
        <v>0</v>
      </c>
      <c r="P449" s="139">
        <f>IF(AND('Ações'!$AD459="SIM", 'Ações'!AV459="SIM"), 1,0)</f>
        <v>0</v>
      </c>
      <c r="Q449" s="139">
        <f>IF(AND('Ações'!$AD459="SIM", 'Ações'!AW459="SIM"), 1,0)</f>
        <v>0</v>
      </c>
      <c r="R449" s="139">
        <f>IF(AND('Ações'!$AD459="SIM", 'Ações'!AX459="SIM"), 1,0)</f>
        <v>0</v>
      </c>
    </row>
    <row r="450">
      <c r="A450" s="139">
        <f>IF(AND('Ações'!AB460="SIM", 'Ações'!AS460="SIM"), 1,0)</f>
        <v>1</v>
      </c>
      <c r="B450" s="139">
        <f>IF(AND('Ações'!$AB460="SIM", 'Ações'!AT460="SIM"), 1,0)</f>
        <v>1</v>
      </c>
      <c r="C450" s="139">
        <f>IF(AND('Ações'!$AB460="SIM", 'Ações'!AU460="SIM"), 1,0)</f>
        <v>1</v>
      </c>
      <c r="D450" s="139">
        <f>IF(AND('Ações'!$AB460="SIM", 'Ações'!AV460="SIM"), 1,0)</f>
        <v>1</v>
      </c>
      <c r="E450" s="139">
        <f>IF(AND('Ações'!$AB460="SIM", 'Ações'!AW460="SIM"), 1,0)</f>
        <v>1</v>
      </c>
      <c r="F450" s="139">
        <f>IF(AND('Ações'!$AB460="SIM", 'Ações'!AX460="SIM"), 1,0)</f>
        <v>0</v>
      </c>
      <c r="G450" s="139">
        <f>IF(AND('Ações'!$AC460="SIM", 'Ações'!AS460="SIM"), 1,0)</f>
        <v>0</v>
      </c>
      <c r="H450" s="139">
        <f>IF(AND('Ações'!$AC460="SIM", 'Ações'!AT460="SIM"), 1,0)</f>
        <v>0</v>
      </c>
      <c r="I450" s="139">
        <f>IF(AND('Ações'!$AC460="SIM", 'Ações'!AU460="SIM"), 1,0)</f>
        <v>0</v>
      </c>
      <c r="J450" s="139">
        <f>IF(AND('Ações'!$AC460="SIM", 'Ações'!AV460="SIM"), 1,0)</f>
        <v>0</v>
      </c>
      <c r="K450" s="139">
        <f>IF(AND('Ações'!$AC460="SIM", 'Ações'!AW460="SIM"), 1,0)</f>
        <v>0</v>
      </c>
      <c r="L450" s="139">
        <f>IF(AND('Ações'!$AC460="SIM", 'Ações'!AX460="SIM"), 1,0)</f>
        <v>0</v>
      </c>
      <c r="M450" s="139">
        <f>IF(AND('Ações'!$AD460="SIM", 'Ações'!AS460="SIM"), 1,0)</f>
        <v>0</v>
      </c>
      <c r="N450" s="139">
        <f>IF(AND('Ações'!$AD460="SIM", 'Ações'!AT460="SIM"), 1,0)</f>
        <v>0</v>
      </c>
      <c r="O450" s="139">
        <f>IF(AND('Ações'!$AD460="SIM", 'Ações'!AU460="SIM"), 1,0)</f>
        <v>0</v>
      </c>
      <c r="P450" s="139">
        <f>IF(AND('Ações'!$AD460="SIM", 'Ações'!AV460="SIM"), 1,0)</f>
        <v>0</v>
      </c>
      <c r="Q450" s="139">
        <f>IF(AND('Ações'!$AD460="SIM", 'Ações'!AW460="SIM"), 1,0)</f>
        <v>0</v>
      </c>
      <c r="R450" s="139">
        <f>IF(AND('Ações'!$AD460="SIM", 'Ações'!AX460="SIM"), 1,0)</f>
        <v>0</v>
      </c>
    </row>
    <row r="451">
      <c r="A451" s="139">
        <f>IF(AND('Ações'!AB461="SIM", 'Ações'!AS461="SIM"), 1,0)</f>
        <v>1</v>
      </c>
      <c r="B451" s="139">
        <f>IF(AND('Ações'!$AB461="SIM", 'Ações'!AT461="SIM"), 1,0)</f>
        <v>1</v>
      </c>
      <c r="C451" s="139">
        <f>IF(AND('Ações'!$AB461="SIM", 'Ações'!AU461="SIM"), 1,0)</f>
        <v>1</v>
      </c>
      <c r="D451" s="139">
        <f>IF(AND('Ações'!$AB461="SIM", 'Ações'!AV461="SIM"), 1,0)</f>
        <v>1</v>
      </c>
      <c r="E451" s="139">
        <f>IF(AND('Ações'!$AB461="SIM", 'Ações'!AW461="SIM"), 1,0)</f>
        <v>1</v>
      </c>
      <c r="F451" s="139">
        <f>IF(AND('Ações'!$AB461="SIM", 'Ações'!AX461="SIM"), 1,0)</f>
        <v>0</v>
      </c>
      <c r="G451" s="139">
        <f>IF(AND('Ações'!$AC461="SIM", 'Ações'!AS461="SIM"), 1,0)</f>
        <v>0</v>
      </c>
      <c r="H451" s="139">
        <f>IF(AND('Ações'!$AC461="SIM", 'Ações'!AT461="SIM"), 1,0)</f>
        <v>0</v>
      </c>
      <c r="I451" s="139">
        <f>IF(AND('Ações'!$AC461="SIM", 'Ações'!AU461="SIM"), 1,0)</f>
        <v>0</v>
      </c>
      <c r="J451" s="139">
        <f>IF(AND('Ações'!$AC461="SIM", 'Ações'!AV461="SIM"), 1,0)</f>
        <v>0</v>
      </c>
      <c r="K451" s="139">
        <f>IF(AND('Ações'!$AC461="SIM", 'Ações'!AW461="SIM"), 1,0)</f>
        <v>0</v>
      </c>
      <c r="L451" s="139">
        <f>IF(AND('Ações'!$AC461="SIM", 'Ações'!AX461="SIM"), 1,0)</f>
        <v>0</v>
      </c>
      <c r="M451" s="139">
        <f>IF(AND('Ações'!$AD461="SIM", 'Ações'!AS461="SIM"), 1,0)</f>
        <v>0</v>
      </c>
      <c r="N451" s="139">
        <f>IF(AND('Ações'!$AD461="SIM", 'Ações'!AT461="SIM"), 1,0)</f>
        <v>0</v>
      </c>
      <c r="O451" s="139">
        <f>IF(AND('Ações'!$AD461="SIM", 'Ações'!AU461="SIM"), 1,0)</f>
        <v>0</v>
      </c>
      <c r="P451" s="139">
        <f>IF(AND('Ações'!$AD461="SIM", 'Ações'!AV461="SIM"), 1,0)</f>
        <v>0</v>
      </c>
      <c r="Q451" s="139">
        <f>IF(AND('Ações'!$AD461="SIM", 'Ações'!AW461="SIM"), 1,0)</f>
        <v>0</v>
      </c>
      <c r="R451" s="139">
        <f>IF(AND('Ações'!$AD461="SIM", 'Ações'!AX461="SIM"), 1,0)</f>
        <v>0</v>
      </c>
    </row>
    <row r="452">
      <c r="A452" s="139">
        <f>IF(AND('Ações'!AB462="SIM", 'Ações'!AS462="SIM"), 1,0)</f>
        <v>0</v>
      </c>
      <c r="B452" s="139">
        <f>IF(AND('Ações'!$AB462="SIM", 'Ações'!AT462="SIM"), 1,0)</f>
        <v>0</v>
      </c>
      <c r="C452" s="139">
        <f>IF(AND('Ações'!$AB462="SIM", 'Ações'!AU462="SIM"), 1,0)</f>
        <v>0</v>
      </c>
      <c r="D452" s="139">
        <f>IF(AND('Ações'!$AB462="SIM", 'Ações'!AV462="SIM"), 1,0)</f>
        <v>0</v>
      </c>
      <c r="E452" s="139">
        <f>IF(AND('Ações'!$AB462="SIM", 'Ações'!AW462="SIM"), 1,0)</f>
        <v>0</v>
      </c>
      <c r="F452" s="139">
        <f>IF(AND('Ações'!$AB462="SIM", 'Ações'!AX462="SIM"), 1,0)</f>
        <v>0</v>
      </c>
      <c r="G452" s="139">
        <f>IF(AND('Ações'!$AC462="SIM", 'Ações'!AS462="SIM"), 1,0)</f>
        <v>1</v>
      </c>
      <c r="H452" s="139">
        <f>IF(AND('Ações'!$AC462="SIM", 'Ações'!AT462="SIM"), 1,0)</f>
        <v>1</v>
      </c>
      <c r="I452" s="139">
        <f>IF(AND('Ações'!$AC462="SIM", 'Ações'!AU462="SIM"), 1,0)</f>
        <v>1</v>
      </c>
      <c r="J452" s="139">
        <f>IF(AND('Ações'!$AC462="SIM", 'Ações'!AV462="SIM"), 1,0)</f>
        <v>1</v>
      </c>
      <c r="K452" s="139">
        <f>IF(AND('Ações'!$AC462="SIM", 'Ações'!AW462="SIM"), 1,0)</f>
        <v>1</v>
      </c>
      <c r="L452" s="139">
        <f>IF(AND('Ações'!$AC462="SIM", 'Ações'!AX462="SIM"), 1,0)</f>
        <v>0</v>
      </c>
      <c r="M452" s="139">
        <f>IF(AND('Ações'!$AD462="SIM", 'Ações'!AS462="SIM"), 1,0)</f>
        <v>0</v>
      </c>
      <c r="N452" s="139">
        <f>IF(AND('Ações'!$AD462="SIM", 'Ações'!AT462="SIM"), 1,0)</f>
        <v>0</v>
      </c>
      <c r="O452" s="139">
        <f>IF(AND('Ações'!$AD462="SIM", 'Ações'!AU462="SIM"), 1,0)</f>
        <v>0</v>
      </c>
      <c r="P452" s="139">
        <f>IF(AND('Ações'!$AD462="SIM", 'Ações'!AV462="SIM"), 1,0)</f>
        <v>0</v>
      </c>
      <c r="Q452" s="139">
        <f>IF(AND('Ações'!$AD462="SIM", 'Ações'!AW462="SIM"), 1,0)</f>
        <v>0</v>
      </c>
      <c r="R452" s="139">
        <f>IF(AND('Ações'!$AD462="SIM", 'Ações'!AX462="SIM"), 1,0)</f>
        <v>0</v>
      </c>
    </row>
    <row r="453">
      <c r="A453" s="139">
        <f>IF(AND('Ações'!AB463="SIM", 'Ações'!AS463="SIM"), 1,0)</f>
        <v>0</v>
      </c>
      <c r="B453" s="139">
        <f>IF(AND('Ações'!$AB463="SIM", 'Ações'!AT463="SIM"), 1,0)</f>
        <v>1</v>
      </c>
      <c r="C453" s="139">
        <f>IF(AND('Ações'!$AB463="SIM", 'Ações'!AU463="SIM"), 1,0)</f>
        <v>1</v>
      </c>
      <c r="D453" s="139">
        <f>IF(AND('Ações'!$AB463="SIM", 'Ações'!AV463="SIM"), 1,0)</f>
        <v>1</v>
      </c>
      <c r="E453" s="139">
        <f>IF(AND('Ações'!$AB463="SIM", 'Ações'!AW463="SIM"), 1,0)</f>
        <v>1</v>
      </c>
      <c r="F453" s="139">
        <f>IF(AND('Ações'!$AB463="SIM", 'Ações'!AX463="SIM"), 1,0)</f>
        <v>0</v>
      </c>
      <c r="G453" s="139">
        <f>IF(AND('Ações'!$AC463="SIM", 'Ações'!AS463="SIM"), 1,0)</f>
        <v>0</v>
      </c>
      <c r="H453" s="139">
        <f>IF(AND('Ações'!$AC463="SIM", 'Ações'!AT463="SIM"), 1,0)</f>
        <v>0</v>
      </c>
      <c r="I453" s="139">
        <f>IF(AND('Ações'!$AC463="SIM", 'Ações'!AU463="SIM"), 1,0)</f>
        <v>0</v>
      </c>
      <c r="J453" s="139">
        <f>IF(AND('Ações'!$AC463="SIM", 'Ações'!AV463="SIM"), 1,0)</f>
        <v>0</v>
      </c>
      <c r="K453" s="139">
        <f>IF(AND('Ações'!$AC463="SIM", 'Ações'!AW463="SIM"), 1,0)</f>
        <v>0</v>
      </c>
      <c r="L453" s="139">
        <f>IF(AND('Ações'!$AC463="SIM", 'Ações'!AX463="SIM"), 1,0)</f>
        <v>0</v>
      </c>
      <c r="M453" s="139">
        <f>IF(AND('Ações'!$AD463="SIM", 'Ações'!AS463="SIM"), 1,0)</f>
        <v>0</v>
      </c>
      <c r="N453" s="139">
        <f>IF(AND('Ações'!$AD463="SIM", 'Ações'!AT463="SIM"), 1,0)</f>
        <v>0</v>
      </c>
      <c r="O453" s="139">
        <f>IF(AND('Ações'!$AD463="SIM", 'Ações'!AU463="SIM"), 1,0)</f>
        <v>0</v>
      </c>
      <c r="P453" s="139">
        <f>IF(AND('Ações'!$AD463="SIM", 'Ações'!AV463="SIM"), 1,0)</f>
        <v>0</v>
      </c>
      <c r="Q453" s="139">
        <f>IF(AND('Ações'!$AD463="SIM", 'Ações'!AW463="SIM"), 1,0)</f>
        <v>0</v>
      </c>
      <c r="R453" s="139">
        <f>IF(AND('Ações'!$AD463="SIM", 'Ações'!AX463="SIM"), 1,0)</f>
        <v>0</v>
      </c>
    </row>
    <row r="454">
      <c r="A454" s="139">
        <f>IF(AND('Ações'!AB464="SIM", 'Ações'!AS464="SIM"), 1,0)</f>
        <v>0</v>
      </c>
      <c r="B454" s="139">
        <f>IF(AND('Ações'!$AB464="SIM", 'Ações'!AT464="SIM"), 1,0)</f>
        <v>0</v>
      </c>
      <c r="C454" s="139">
        <f>IF(AND('Ações'!$AB464="SIM", 'Ações'!AU464="SIM"), 1,0)</f>
        <v>0</v>
      </c>
      <c r="D454" s="139">
        <f>IF(AND('Ações'!$AB464="SIM", 'Ações'!AV464="SIM"), 1,0)</f>
        <v>0</v>
      </c>
      <c r="E454" s="139">
        <f>IF(AND('Ações'!$AB464="SIM", 'Ações'!AW464="SIM"), 1,0)</f>
        <v>0</v>
      </c>
      <c r="F454" s="139">
        <f>IF(AND('Ações'!$AB464="SIM", 'Ações'!AX464="SIM"), 1,0)</f>
        <v>0</v>
      </c>
      <c r="G454" s="139">
        <f>IF(AND('Ações'!$AC464="SIM", 'Ações'!AS464="SIM"), 1,0)</f>
        <v>1</v>
      </c>
      <c r="H454" s="139">
        <f>IF(AND('Ações'!$AC464="SIM", 'Ações'!AT464="SIM"), 1,0)</f>
        <v>1</v>
      </c>
      <c r="I454" s="139">
        <f>IF(AND('Ações'!$AC464="SIM", 'Ações'!AU464="SIM"), 1,0)</f>
        <v>1</v>
      </c>
      <c r="J454" s="139">
        <f>IF(AND('Ações'!$AC464="SIM", 'Ações'!AV464="SIM"), 1,0)</f>
        <v>1</v>
      </c>
      <c r="K454" s="139">
        <f>IF(AND('Ações'!$AC464="SIM", 'Ações'!AW464="SIM"), 1,0)</f>
        <v>1</v>
      </c>
      <c r="L454" s="139">
        <f>IF(AND('Ações'!$AC464="SIM", 'Ações'!AX464="SIM"), 1,0)</f>
        <v>1</v>
      </c>
      <c r="M454" s="139">
        <f>IF(AND('Ações'!$AD464="SIM", 'Ações'!AS464="SIM"), 1,0)</f>
        <v>1</v>
      </c>
      <c r="N454" s="139">
        <f>IF(AND('Ações'!$AD464="SIM", 'Ações'!AT464="SIM"), 1,0)</f>
        <v>1</v>
      </c>
      <c r="O454" s="139">
        <f>IF(AND('Ações'!$AD464="SIM", 'Ações'!AU464="SIM"), 1,0)</f>
        <v>1</v>
      </c>
      <c r="P454" s="139">
        <f>IF(AND('Ações'!$AD464="SIM", 'Ações'!AV464="SIM"), 1,0)</f>
        <v>1</v>
      </c>
      <c r="Q454" s="139">
        <f>IF(AND('Ações'!$AD464="SIM", 'Ações'!AW464="SIM"), 1,0)</f>
        <v>1</v>
      </c>
      <c r="R454" s="139">
        <f>IF(AND('Ações'!$AD464="SIM", 'Ações'!AX464="SIM"), 1,0)</f>
        <v>1</v>
      </c>
    </row>
    <row r="455">
      <c r="A455" s="139">
        <f>IF(AND('Ações'!AB465="SIM", 'Ações'!AS465="SIM"), 1,0)</f>
        <v>1</v>
      </c>
      <c r="B455" s="139">
        <f>IF(AND('Ações'!$AB465="SIM", 'Ações'!AT465="SIM"), 1,0)</f>
        <v>1</v>
      </c>
      <c r="C455" s="139">
        <f>IF(AND('Ações'!$AB465="SIM", 'Ações'!AU465="SIM"), 1,0)</f>
        <v>1</v>
      </c>
      <c r="D455" s="139">
        <f>IF(AND('Ações'!$AB465="SIM", 'Ações'!AV465="SIM"), 1,0)</f>
        <v>1</v>
      </c>
      <c r="E455" s="139">
        <f>IF(AND('Ações'!$AB465="SIM", 'Ações'!AW465="SIM"), 1,0)</f>
        <v>1</v>
      </c>
      <c r="F455" s="139">
        <f>IF(AND('Ações'!$AB465="SIM", 'Ações'!AX465="SIM"), 1,0)</f>
        <v>1</v>
      </c>
      <c r="G455" s="139">
        <f>IF(AND('Ações'!$AC465="SIM", 'Ações'!AS465="SIM"), 1,0)</f>
        <v>0</v>
      </c>
      <c r="H455" s="139">
        <f>IF(AND('Ações'!$AC465="SIM", 'Ações'!AT465="SIM"), 1,0)</f>
        <v>0</v>
      </c>
      <c r="I455" s="139">
        <f>IF(AND('Ações'!$AC465="SIM", 'Ações'!AU465="SIM"), 1,0)</f>
        <v>0</v>
      </c>
      <c r="J455" s="139">
        <f>IF(AND('Ações'!$AC465="SIM", 'Ações'!AV465="SIM"), 1,0)</f>
        <v>0</v>
      </c>
      <c r="K455" s="139">
        <f>IF(AND('Ações'!$AC465="SIM", 'Ações'!AW465="SIM"), 1,0)</f>
        <v>0</v>
      </c>
      <c r="L455" s="139">
        <f>IF(AND('Ações'!$AC465="SIM", 'Ações'!AX465="SIM"), 1,0)</f>
        <v>0</v>
      </c>
      <c r="M455" s="139">
        <f>IF(AND('Ações'!$AD465="SIM", 'Ações'!AS465="SIM"), 1,0)</f>
        <v>0</v>
      </c>
      <c r="N455" s="139">
        <f>IF(AND('Ações'!$AD465="SIM", 'Ações'!AT465="SIM"), 1,0)</f>
        <v>0</v>
      </c>
      <c r="O455" s="139">
        <f>IF(AND('Ações'!$AD465="SIM", 'Ações'!AU465="SIM"), 1,0)</f>
        <v>0</v>
      </c>
      <c r="P455" s="139">
        <f>IF(AND('Ações'!$AD465="SIM", 'Ações'!AV465="SIM"), 1,0)</f>
        <v>0</v>
      </c>
      <c r="Q455" s="139">
        <f>IF(AND('Ações'!$AD465="SIM", 'Ações'!AW465="SIM"), 1,0)</f>
        <v>0</v>
      </c>
      <c r="R455" s="139">
        <f>IF(AND('Ações'!$AD465="SIM", 'Ações'!AX465="SIM"), 1,0)</f>
        <v>0</v>
      </c>
    </row>
    <row r="456">
      <c r="A456" s="139">
        <f>IF(AND('Ações'!AB466="SIM", 'Ações'!AS466="SIM"), 1,0)</f>
        <v>1</v>
      </c>
      <c r="B456" s="139">
        <f>IF(AND('Ações'!$AB466="SIM", 'Ações'!AT466="SIM"), 1,0)</f>
        <v>1</v>
      </c>
      <c r="C456" s="139">
        <f>IF(AND('Ações'!$AB466="SIM", 'Ações'!AU466="SIM"), 1,0)</f>
        <v>1</v>
      </c>
      <c r="D456" s="139">
        <f>IF(AND('Ações'!$AB466="SIM", 'Ações'!AV466="SIM"), 1,0)</f>
        <v>1</v>
      </c>
      <c r="E456" s="139">
        <f>IF(AND('Ações'!$AB466="SIM", 'Ações'!AW466="SIM"), 1,0)</f>
        <v>1</v>
      </c>
      <c r="F456" s="139">
        <f>IF(AND('Ações'!$AB466="SIM", 'Ações'!AX466="SIM"), 1,0)</f>
        <v>1</v>
      </c>
      <c r="G456" s="139">
        <f>IF(AND('Ações'!$AC466="SIM", 'Ações'!AS466="SIM"), 1,0)</f>
        <v>1</v>
      </c>
      <c r="H456" s="139">
        <f>IF(AND('Ações'!$AC466="SIM", 'Ações'!AT466="SIM"), 1,0)</f>
        <v>1</v>
      </c>
      <c r="I456" s="139">
        <f>IF(AND('Ações'!$AC466="SIM", 'Ações'!AU466="SIM"), 1,0)</f>
        <v>1</v>
      </c>
      <c r="J456" s="139">
        <f>IF(AND('Ações'!$AC466="SIM", 'Ações'!AV466="SIM"), 1,0)</f>
        <v>1</v>
      </c>
      <c r="K456" s="139">
        <f>IF(AND('Ações'!$AC466="SIM", 'Ações'!AW466="SIM"), 1,0)</f>
        <v>1</v>
      </c>
      <c r="L456" s="139">
        <f>IF(AND('Ações'!$AC466="SIM", 'Ações'!AX466="SIM"), 1,0)</f>
        <v>1</v>
      </c>
      <c r="M456" s="139">
        <f>IF(AND('Ações'!$AD466="SIM", 'Ações'!AS466="SIM"), 1,0)</f>
        <v>1</v>
      </c>
      <c r="N456" s="139">
        <f>IF(AND('Ações'!$AD466="SIM", 'Ações'!AT466="SIM"), 1,0)</f>
        <v>1</v>
      </c>
      <c r="O456" s="139">
        <f>IF(AND('Ações'!$AD466="SIM", 'Ações'!AU466="SIM"), 1,0)</f>
        <v>1</v>
      </c>
      <c r="P456" s="139">
        <f>IF(AND('Ações'!$AD466="SIM", 'Ações'!AV466="SIM"), 1,0)</f>
        <v>1</v>
      </c>
      <c r="Q456" s="139">
        <f>IF(AND('Ações'!$AD466="SIM", 'Ações'!AW466="SIM"), 1,0)</f>
        <v>1</v>
      </c>
      <c r="R456" s="139">
        <f>IF(AND('Ações'!$AD466="SIM", 'Ações'!AX466="SIM"), 1,0)</f>
        <v>1</v>
      </c>
    </row>
    <row r="457">
      <c r="A457" s="139">
        <f>IF(AND('Ações'!AB467="SIM", 'Ações'!AS467="SIM"), 1,0)</f>
        <v>1</v>
      </c>
      <c r="B457" s="139">
        <f>IF(AND('Ações'!$AB467="SIM", 'Ações'!AT467="SIM"), 1,0)</f>
        <v>1</v>
      </c>
      <c r="C457" s="139">
        <f>IF(AND('Ações'!$AB467="SIM", 'Ações'!AU467="SIM"), 1,0)</f>
        <v>1</v>
      </c>
      <c r="D457" s="139">
        <f>IF(AND('Ações'!$AB467="SIM", 'Ações'!AV467="SIM"), 1,0)</f>
        <v>1</v>
      </c>
      <c r="E457" s="139">
        <f>IF(AND('Ações'!$AB467="SIM", 'Ações'!AW467="SIM"), 1,0)</f>
        <v>1</v>
      </c>
      <c r="F457" s="139">
        <f>IF(AND('Ações'!$AB467="SIM", 'Ações'!AX467="SIM"), 1,0)</f>
        <v>1</v>
      </c>
      <c r="G457" s="139">
        <f>IF(AND('Ações'!$AC467="SIM", 'Ações'!AS467="SIM"), 1,0)</f>
        <v>0</v>
      </c>
      <c r="H457" s="139">
        <f>IF(AND('Ações'!$AC467="SIM", 'Ações'!AT467="SIM"), 1,0)</f>
        <v>0</v>
      </c>
      <c r="I457" s="139">
        <f>IF(AND('Ações'!$AC467="SIM", 'Ações'!AU467="SIM"), 1,0)</f>
        <v>0</v>
      </c>
      <c r="J457" s="139">
        <f>IF(AND('Ações'!$AC467="SIM", 'Ações'!AV467="SIM"), 1,0)</f>
        <v>0</v>
      </c>
      <c r="K457" s="139">
        <f>IF(AND('Ações'!$AC467="SIM", 'Ações'!AW467="SIM"), 1,0)</f>
        <v>0</v>
      </c>
      <c r="L457" s="139">
        <f>IF(AND('Ações'!$AC467="SIM", 'Ações'!AX467="SIM"), 1,0)</f>
        <v>0</v>
      </c>
      <c r="M457" s="139">
        <f>IF(AND('Ações'!$AD467="SIM", 'Ações'!AS467="SIM"), 1,0)</f>
        <v>0</v>
      </c>
      <c r="N457" s="139">
        <f>IF(AND('Ações'!$AD467="SIM", 'Ações'!AT467="SIM"), 1,0)</f>
        <v>0</v>
      </c>
      <c r="O457" s="139">
        <f>IF(AND('Ações'!$AD467="SIM", 'Ações'!AU467="SIM"), 1,0)</f>
        <v>0</v>
      </c>
      <c r="P457" s="139">
        <f>IF(AND('Ações'!$AD467="SIM", 'Ações'!AV467="SIM"), 1,0)</f>
        <v>0</v>
      </c>
      <c r="Q457" s="139">
        <f>IF(AND('Ações'!$AD467="SIM", 'Ações'!AW467="SIM"), 1,0)</f>
        <v>0</v>
      </c>
      <c r="R457" s="139">
        <f>IF(AND('Ações'!$AD467="SIM", 'Ações'!AX467="SIM"), 1,0)</f>
        <v>0</v>
      </c>
    </row>
    <row r="458">
      <c r="A458" s="139">
        <f>IF(AND('Ações'!AB468="SIM", 'Ações'!AS468="SIM"), 1,0)</f>
        <v>1</v>
      </c>
      <c r="B458" s="139">
        <f>IF(AND('Ações'!$AB468="SIM", 'Ações'!AT468="SIM"), 1,0)</f>
        <v>1</v>
      </c>
      <c r="C458" s="139">
        <f>IF(AND('Ações'!$AB468="SIM", 'Ações'!AU468="SIM"), 1,0)</f>
        <v>1</v>
      </c>
      <c r="D458" s="139">
        <f>IF(AND('Ações'!$AB468="SIM", 'Ações'!AV468="SIM"), 1,0)</f>
        <v>1</v>
      </c>
      <c r="E458" s="139">
        <f>IF(AND('Ações'!$AB468="SIM", 'Ações'!AW468="SIM"), 1,0)</f>
        <v>1</v>
      </c>
      <c r="F458" s="139">
        <f>IF(AND('Ações'!$AB468="SIM", 'Ações'!AX468="SIM"), 1,0)</f>
        <v>1</v>
      </c>
      <c r="G458" s="139">
        <f>IF(AND('Ações'!$AC468="SIM", 'Ações'!AS468="SIM"), 1,0)</f>
        <v>1</v>
      </c>
      <c r="H458" s="139">
        <f>IF(AND('Ações'!$AC468="SIM", 'Ações'!AT468="SIM"), 1,0)</f>
        <v>1</v>
      </c>
      <c r="I458" s="139">
        <f>IF(AND('Ações'!$AC468="SIM", 'Ações'!AU468="SIM"), 1,0)</f>
        <v>1</v>
      </c>
      <c r="J458" s="139">
        <f>IF(AND('Ações'!$AC468="SIM", 'Ações'!AV468="SIM"), 1,0)</f>
        <v>1</v>
      </c>
      <c r="K458" s="139">
        <f>IF(AND('Ações'!$AC468="SIM", 'Ações'!AW468="SIM"), 1,0)</f>
        <v>1</v>
      </c>
      <c r="L458" s="139">
        <f>IF(AND('Ações'!$AC468="SIM", 'Ações'!AX468="SIM"), 1,0)</f>
        <v>1</v>
      </c>
      <c r="M458" s="139">
        <f>IF(AND('Ações'!$AD468="SIM", 'Ações'!AS468="SIM"), 1,0)</f>
        <v>0</v>
      </c>
      <c r="N458" s="139">
        <f>IF(AND('Ações'!$AD468="SIM", 'Ações'!AT468="SIM"), 1,0)</f>
        <v>0</v>
      </c>
      <c r="O458" s="139">
        <f>IF(AND('Ações'!$AD468="SIM", 'Ações'!AU468="SIM"), 1,0)</f>
        <v>0</v>
      </c>
      <c r="P458" s="139">
        <f>IF(AND('Ações'!$AD468="SIM", 'Ações'!AV468="SIM"), 1,0)</f>
        <v>0</v>
      </c>
      <c r="Q458" s="139">
        <f>IF(AND('Ações'!$AD468="SIM", 'Ações'!AW468="SIM"), 1,0)</f>
        <v>0</v>
      </c>
      <c r="R458" s="139">
        <f>IF(AND('Ações'!$AD468="SIM", 'Ações'!AX468="SIM"), 1,0)</f>
        <v>0</v>
      </c>
    </row>
    <row r="459">
      <c r="A459" s="139">
        <f>IF(AND('Ações'!AB469="SIM", 'Ações'!AS469="SIM"), 1,0)</f>
        <v>1</v>
      </c>
      <c r="B459" s="139">
        <f>IF(AND('Ações'!$AB469="SIM", 'Ações'!AT469="SIM"), 1,0)</f>
        <v>1</v>
      </c>
      <c r="C459" s="139">
        <f>IF(AND('Ações'!$AB469="SIM", 'Ações'!AU469="SIM"), 1,0)</f>
        <v>1</v>
      </c>
      <c r="D459" s="139">
        <f>IF(AND('Ações'!$AB469="SIM", 'Ações'!AV469="SIM"), 1,0)</f>
        <v>1</v>
      </c>
      <c r="E459" s="139">
        <f>IF(AND('Ações'!$AB469="SIM", 'Ações'!AW469="SIM"), 1,0)</f>
        <v>1</v>
      </c>
      <c r="F459" s="139">
        <f>IF(AND('Ações'!$AB469="SIM", 'Ações'!AX469="SIM"), 1,0)</f>
        <v>1</v>
      </c>
      <c r="G459" s="139">
        <f>IF(AND('Ações'!$AC469="SIM", 'Ações'!AS469="SIM"), 1,0)</f>
        <v>1</v>
      </c>
      <c r="H459" s="139">
        <f>IF(AND('Ações'!$AC469="SIM", 'Ações'!AT469="SIM"), 1,0)</f>
        <v>1</v>
      </c>
      <c r="I459" s="139">
        <f>IF(AND('Ações'!$AC469="SIM", 'Ações'!AU469="SIM"), 1,0)</f>
        <v>1</v>
      </c>
      <c r="J459" s="139">
        <f>IF(AND('Ações'!$AC469="SIM", 'Ações'!AV469="SIM"), 1,0)</f>
        <v>1</v>
      </c>
      <c r="K459" s="139">
        <f>IF(AND('Ações'!$AC469="SIM", 'Ações'!AW469="SIM"), 1,0)</f>
        <v>1</v>
      </c>
      <c r="L459" s="139">
        <f>IF(AND('Ações'!$AC469="SIM", 'Ações'!AX469="SIM"), 1,0)</f>
        <v>1</v>
      </c>
      <c r="M459" s="139">
        <f>IF(AND('Ações'!$AD469="SIM", 'Ações'!AS469="SIM"), 1,0)</f>
        <v>0</v>
      </c>
      <c r="N459" s="139">
        <f>IF(AND('Ações'!$AD469="SIM", 'Ações'!AT469="SIM"), 1,0)</f>
        <v>0</v>
      </c>
      <c r="O459" s="139">
        <f>IF(AND('Ações'!$AD469="SIM", 'Ações'!AU469="SIM"), 1,0)</f>
        <v>0</v>
      </c>
      <c r="P459" s="139">
        <f>IF(AND('Ações'!$AD469="SIM", 'Ações'!AV469="SIM"), 1,0)</f>
        <v>0</v>
      </c>
      <c r="Q459" s="139">
        <f>IF(AND('Ações'!$AD469="SIM", 'Ações'!AW469="SIM"), 1,0)</f>
        <v>0</v>
      </c>
      <c r="R459" s="139">
        <f>IF(AND('Ações'!$AD469="SIM", 'Ações'!AX469="SIM"), 1,0)</f>
        <v>0</v>
      </c>
    </row>
    <row r="460">
      <c r="A460" s="139">
        <f>IF(AND('Ações'!AB470="SIM", 'Ações'!AS470="SIM"), 1,0)</f>
        <v>1</v>
      </c>
      <c r="B460" s="139">
        <f>IF(AND('Ações'!$AB470="SIM", 'Ações'!AT470="SIM"), 1,0)</f>
        <v>1</v>
      </c>
      <c r="C460" s="139">
        <f>IF(AND('Ações'!$AB470="SIM", 'Ações'!AU470="SIM"), 1,0)</f>
        <v>1</v>
      </c>
      <c r="D460" s="139">
        <f>IF(AND('Ações'!$AB470="SIM", 'Ações'!AV470="SIM"), 1,0)</f>
        <v>1</v>
      </c>
      <c r="E460" s="139">
        <f>IF(AND('Ações'!$AB470="SIM", 'Ações'!AW470="SIM"), 1,0)</f>
        <v>1</v>
      </c>
      <c r="F460" s="139">
        <f>IF(AND('Ações'!$AB470="SIM", 'Ações'!AX470="SIM"), 1,0)</f>
        <v>1</v>
      </c>
      <c r="G460" s="139">
        <f>IF(AND('Ações'!$AC470="SIM", 'Ações'!AS470="SIM"), 1,0)</f>
        <v>1</v>
      </c>
      <c r="H460" s="139">
        <f>IF(AND('Ações'!$AC470="SIM", 'Ações'!AT470="SIM"), 1,0)</f>
        <v>1</v>
      </c>
      <c r="I460" s="139">
        <f>IF(AND('Ações'!$AC470="SIM", 'Ações'!AU470="SIM"), 1,0)</f>
        <v>1</v>
      </c>
      <c r="J460" s="139">
        <f>IF(AND('Ações'!$AC470="SIM", 'Ações'!AV470="SIM"), 1,0)</f>
        <v>1</v>
      </c>
      <c r="K460" s="139">
        <f>IF(AND('Ações'!$AC470="SIM", 'Ações'!AW470="SIM"), 1,0)</f>
        <v>1</v>
      </c>
      <c r="L460" s="139">
        <f>IF(AND('Ações'!$AC470="SIM", 'Ações'!AX470="SIM"), 1,0)</f>
        <v>1</v>
      </c>
      <c r="M460" s="139">
        <f>IF(AND('Ações'!$AD470="SIM", 'Ações'!AS470="SIM"), 1,0)</f>
        <v>0</v>
      </c>
      <c r="N460" s="139">
        <f>IF(AND('Ações'!$AD470="SIM", 'Ações'!AT470="SIM"), 1,0)</f>
        <v>0</v>
      </c>
      <c r="O460" s="139">
        <f>IF(AND('Ações'!$AD470="SIM", 'Ações'!AU470="SIM"), 1,0)</f>
        <v>0</v>
      </c>
      <c r="P460" s="139">
        <f>IF(AND('Ações'!$AD470="SIM", 'Ações'!AV470="SIM"), 1,0)</f>
        <v>0</v>
      </c>
      <c r="Q460" s="139">
        <f>IF(AND('Ações'!$AD470="SIM", 'Ações'!AW470="SIM"), 1,0)</f>
        <v>0</v>
      </c>
      <c r="R460" s="139">
        <f>IF(AND('Ações'!$AD470="SIM", 'Ações'!AX470="SIM"), 1,0)</f>
        <v>0</v>
      </c>
    </row>
    <row r="461">
      <c r="A461" s="139">
        <f>IF(AND('Ações'!AB471="SIM", 'Ações'!AS471="SIM"), 1,0)</f>
        <v>0</v>
      </c>
      <c r="B461" s="139">
        <f>IF(AND('Ações'!$AB471="SIM", 'Ações'!AT471="SIM"), 1,0)</f>
        <v>0</v>
      </c>
      <c r="C461" s="139">
        <f>IF(AND('Ações'!$AB471="SIM", 'Ações'!AU471="SIM"), 1,0)</f>
        <v>0</v>
      </c>
      <c r="D461" s="139">
        <f>IF(AND('Ações'!$AB471="SIM", 'Ações'!AV471="SIM"), 1,0)</f>
        <v>0</v>
      </c>
      <c r="E461" s="139">
        <f>IF(AND('Ações'!$AB471="SIM", 'Ações'!AW471="SIM"), 1,0)</f>
        <v>0</v>
      </c>
      <c r="F461" s="139">
        <f>IF(AND('Ações'!$AB471="SIM", 'Ações'!AX471="SIM"), 1,0)</f>
        <v>0</v>
      </c>
      <c r="G461" s="139">
        <f>IF(AND('Ações'!$AC471="SIM", 'Ações'!AS471="SIM"), 1,0)</f>
        <v>1</v>
      </c>
      <c r="H461" s="139">
        <f>IF(AND('Ações'!$AC471="SIM", 'Ações'!AT471="SIM"), 1,0)</f>
        <v>1</v>
      </c>
      <c r="I461" s="139">
        <f>IF(AND('Ações'!$AC471="SIM", 'Ações'!AU471="SIM"), 1,0)</f>
        <v>1</v>
      </c>
      <c r="J461" s="139">
        <f>IF(AND('Ações'!$AC471="SIM", 'Ações'!AV471="SIM"), 1,0)</f>
        <v>1</v>
      </c>
      <c r="K461" s="139">
        <f>IF(AND('Ações'!$AC471="SIM", 'Ações'!AW471="SIM"), 1,0)</f>
        <v>1</v>
      </c>
      <c r="L461" s="139">
        <f>IF(AND('Ações'!$AC471="SIM", 'Ações'!AX471="SIM"), 1,0)</f>
        <v>1</v>
      </c>
      <c r="M461" s="139">
        <f>IF(AND('Ações'!$AD471="SIM", 'Ações'!AS471="SIM"), 1,0)</f>
        <v>1</v>
      </c>
      <c r="N461" s="139">
        <f>IF(AND('Ações'!$AD471="SIM", 'Ações'!AT471="SIM"), 1,0)</f>
        <v>1</v>
      </c>
      <c r="O461" s="139">
        <f>IF(AND('Ações'!$AD471="SIM", 'Ações'!AU471="SIM"), 1,0)</f>
        <v>1</v>
      </c>
      <c r="P461" s="139">
        <f>IF(AND('Ações'!$AD471="SIM", 'Ações'!AV471="SIM"), 1,0)</f>
        <v>1</v>
      </c>
      <c r="Q461" s="139">
        <f>IF(AND('Ações'!$AD471="SIM", 'Ações'!AW471="SIM"), 1,0)</f>
        <v>1</v>
      </c>
      <c r="R461" s="139">
        <f>IF(AND('Ações'!$AD471="SIM", 'Ações'!AX471="SIM"), 1,0)</f>
        <v>1</v>
      </c>
    </row>
    <row r="462">
      <c r="A462" s="139">
        <f>IF(AND('Ações'!AB472="SIM", 'Ações'!AS472="SIM"), 1,0)</f>
        <v>0</v>
      </c>
      <c r="B462" s="139">
        <f>IF(AND('Ações'!$AB472="SIM", 'Ações'!AT472="SIM"), 1,0)</f>
        <v>0</v>
      </c>
      <c r="C462" s="139">
        <f>IF(AND('Ações'!$AB472="SIM", 'Ações'!AU472="SIM"), 1,0)</f>
        <v>0</v>
      </c>
      <c r="D462" s="139">
        <f>IF(AND('Ações'!$AB472="SIM", 'Ações'!AV472="SIM"), 1,0)</f>
        <v>0</v>
      </c>
      <c r="E462" s="139">
        <f>IF(AND('Ações'!$AB472="SIM", 'Ações'!AW472="SIM"), 1,0)</f>
        <v>0</v>
      </c>
      <c r="F462" s="139">
        <f>IF(AND('Ações'!$AB472="SIM", 'Ações'!AX472="SIM"), 1,0)</f>
        <v>0</v>
      </c>
      <c r="G462" s="139">
        <f>IF(AND('Ações'!$AC472="SIM", 'Ações'!AS472="SIM"), 1,0)</f>
        <v>1</v>
      </c>
      <c r="H462" s="139">
        <f>IF(AND('Ações'!$AC472="SIM", 'Ações'!AT472="SIM"), 1,0)</f>
        <v>1</v>
      </c>
      <c r="I462" s="139">
        <f>IF(AND('Ações'!$AC472="SIM", 'Ações'!AU472="SIM"), 1,0)</f>
        <v>1</v>
      </c>
      <c r="J462" s="139">
        <f>IF(AND('Ações'!$AC472="SIM", 'Ações'!AV472="SIM"), 1,0)</f>
        <v>1</v>
      </c>
      <c r="K462" s="139">
        <f>IF(AND('Ações'!$AC472="SIM", 'Ações'!AW472="SIM"), 1,0)</f>
        <v>1</v>
      </c>
      <c r="L462" s="139">
        <f>IF(AND('Ações'!$AC472="SIM", 'Ações'!AX472="SIM"), 1,0)</f>
        <v>1</v>
      </c>
      <c r="M462" s="139">
        <f>IF(AND('Ações'!$AD472="SIM", 'Ações'!AS472="SIM"), 1,0)</f>
        <v>0</v>
      </c>
      <c r="N462" s="139">
        <f>IF(AND('Ações'!$AD472="SIM", 'Ações'!AT472="SIM"), 1,0)</f>
        <v>0</v>
      </c>
      <c r="O462" s="139">
        <f>IF(AND('Ações'!$AD472="SIM", 'Ações'!AU472="SIM"), 1,0)</f>
        <v>0</v>
      </c>
      <c r="P462" s="139">
        <f>IF(AND('Ações'!$AD472="SIM", 'Ações'!AV472="SIM"), 1,0)</f>
        <v>0</v>
      </c>
      <c r="Q462" s="139">
        <f>IF(AND('Ações'!$AD472="SIM", 'Ações'!AW472="SIM"), 1,0)</f>
        <v>0</v>
      </c>
      <c r="R462" s="139">
        <f>IF(AND('Ações'!$AD472="SIM", 'Ações'!AX472="SIM"), 1,0)</f>
        <v>0</v>
      </c>
    </row>
    <row r="463">
      <c r="A463" s="139">
        <f>IF(AND('Ações'!AB473="SIM", 'Ações'!AS473="SIM"), 1,0)</f>
        <v>1</v>
      </c>
      <c r="B463" s="139">
        <f>IF(AND('Ações'!$AB473="SIM", 'Ações'!AT473="SIM"), 1,0)</f>
        <v>1</v>
      </c>
      <c r="C463" s="139">
        <f>IF(AND('Ações'!$AB473="SIM", 'Ações'!AU473="SIM"), 1,0)</f>
        <v>1</v>
      </c>
      <c r="D463" s="139">
        <f>IF(AND('Ações'!$AB473="SIM", 'Ações'!AV473="SIM"), 1,0)</f>
        <v>1</v>
      </c>
      <c r="E463" s="139">
        <f>IF(AND('Ações'!$AB473="SIM", 'Ações'!AW473="SIM"), 1,0)</f>
        <v>1</v>
      </c>
      <c r="F463" s="139">
        <f>IF(AND('Ações'!$AB473="SIM", 'Ações'!AX473="SIM"), 1,0)</f>
        <v>1</v>
      </c>
      <c r="G463" s="139">
        <f>IF(AND('Ações'!$AC473="SIM", 'Ações'!AS473="SIM"), 1,0)</f>
        <v>1</v>
      </c>
      <c r="H463" s="139">
        <f>IF(AND('Ações'!$AC473="SIM", 'Ações'!AT473="SIM"), 1,0)</f>
        <v>1</v>
      </c>
      <c r="I463" s="139">
        <f>IF(AND('Ações'!$AC473="SIM", 'Ações'!AU473="SIM"), 1,0)</f>
        <v>1</v>
      </c>
      <c r="J463" s="139">
        <f>IF(AND('Ações'!$AC473="SIM", 'Ações'!AV473="SIM"), 1,0)</f>
        <v>1</v>
      </c>
      <c r="K463" s="139">
        <f>IF(AND('Ações'!$AC473="SIM", 'Ações'!AW473="SIM"), 1,0)</f>
        <v>1</v>
      </c>
      <c r="L463" s="139">
        <f>IF(AND('Ações'!$AC473="SIM", 'Ações'!AX473="SIM"), 1,0)</f>
        <v>1</v>
      </c>
      <c r="M463" s="139">
        <f>IF(AND('Ações'!$AD473="SIM", 'Ações'!AS473="SIM"), 1,0)</f>
        <v>0</v>
      </c>
      <c r="N463" s="139">
        <f>IF(AND('Ações'!$AD473="SIM", 'Ações'!AT473="SIM"), 1,0)</f>
        <v>0</v>
      </c>
      <c r="O463" s="139">
        <f>IF(AND('Ações'!$AD473="SIM", 'Ações'!AU473="SIM"), 1,0)</f>
        <v>0</v>
      </c>
      <c r="P463" s="139">
        <f>IF(AND('Ações'!$AD473="SIM", 'Ações'!AV473="SIM"), 1,0)</f>
        <v>0</v>
      </c>
      <c r="Q463" s="139">
        <f>IF(AND('Ações'!$AD473="SIM", 'Ações'!AW473="SIM"), 1,0)</f>
        <v>0</v>
      </c>
      <c r="R463" s="139">
        <f>IF(AND('Ações'!$AD473="SIM", 'Ações'!AX473="SIM"), 1,0)</f>
        <v>0</v>
      </c>
    </row>
    <row r="464">
      <c r="A464" s="139">
        <f>IF(AND('Ações'!AB474="SIM", 'Ações'!AS474="SIM"), 1,0)</f>
        <v>0</v>
      </c>
      <c r="B464" s="139">
        <f>IF(AND('Ações'!$AB474="SIM", 'Ações'!AT474="SIM"), 1,0)</f>
        <v>0</v>
      </c>
      <c r="C464" s="139">
        <f>IF(AND('Ações'!$AB474="SIM", 'Ações'!AU474="SIM"), 1,0)</f>
        <v>0</v>
      </c>
      <c r="D464" s="139">
        <f>IF(AND('Ações'!$AB474="SIM", 'Ações'!AV474="SIM"), 1,0)</f>
        <v>0</v>
      </c>
      <c r="E464" s="139">
        <f>IF(AND('Ações'!$AB474="SIM", 'Ações'!AW474="SIM"), 1,0)</f>
        <v>0</v>
      </c>
      <c r="F464" s="139">
        <f>IF(AND('Ações'!$AB474="SIM", 'Ações'!AX474="SIM"), 1,0)</f>
        <v>0</v>
      </c>
      <c r="G464" s="139">
        <f>IF(AND('Ações'!$AC474="SIM", 'Ações'!AS474="SIM"), 1,0)</f>
        <v>1</v>
      </c>
      <c r="H464" s="139">
        <f>IF(AND('Ações'!$AC474="SIM", 'Ações'!AT474="SIM"), 1,0)</f>
        <v>1</v>
      </c>
      <c r="I464" s="139">
        <f>IF(AND('Ações'!$AC474="SIM", 'Ações'!AU474="SIM"), 1,0)</f>
        <v>1</v>
      </c>
      <c r="J464" s="139">
        <f>IF(AND('Ações'!$AC474="SIM", 'Ações'!AV474="SIM"), 1,0)</f>
        <v>1</v>
      </c>
      <c r="K464" s="139">
        <f>IF(AND('Ações'!$AC474="SIM", 'Ações'!AW474="SIM"), 1,0)</f>
        <v>1</v>
      </c>
      <c r="L464" s="139">
        <f>IF(AND('Ações'!$AC474="SIM", 'Ações'!AX474="SIM"), 1,0)</f>
        <v>1</v>
      </c>
      <c r="M464" s="139">
        <f>IF(AND('Ações'!$AD474="SIM", 'Ações'!AS474="SIM"), 1,0)</f>
        <v>1</v>
      </c>
      <c r="N464" s="139">
        <f>IF(AND('Ações'!$AD474="SIM", 'Ações'!AT474="SIM"), 1,0)</f>
        <v>1</v>
      </c>
      <c r="O464" s="139">
        <f>IF(AND('Ações'!$AD474="SIM", 'Ações'!AU474="SIM"), 1,0)</f>
        <v>1</v>
      </c>
      <c r="P464" s="139">
        <f>IF(AND('Ações'!$AD474="SIM", 'Ações'!AV474="SIM"), 1,0)</f>
        <v>1</v>
      </c>
      <c r="Q464" s="139">
        <f>IF(AND('Ações'!$AD474="SIM", 'Ações'!AW474="SIM"), 1,0)</f>
        <v>1</v>
      </c>
      <c r="R464" s="139">
        <f>IF(AND('Ações'!$AD474="SIM", 'Ações'!AX474="SIM"), 1,0)</f>
        <v>1</v>
      </c>
    </row>
    <row r="465">
      <c r="A465" s="139">
        <f>IF(AND('Ações'!AB475="SIM", 'Ações'!AS475="SIM"), 1,0)</f>
        <v>1</v>
      </c>
      <c r="B465" s="139">
        <f>IF(AND('Ações'!$AB475="SIM", 'Ações'!AT475="SIM"), 1,0)</f>
        <v>1</v>
      </c>
      <c r="C465" s="139">
        <f>IF(AND('Ações'!$AB475="SIM", 'Ações'!AU475="SIM"), 1,0)</f>
        <v>1</v>
      </c>
      <c r="D465" s="139">
        <f>IF(AND('Ações'!$AB475="SIM", 'Ações'!AV475="SIM"), 1,0)</f>
        <v>1</v>
      </c>
      <c r="E465" s="139">
        <f>IF(AND('Ações'!$AB475="SIM", 'Ações'!AW475="SIM"), 1,0)</f>
        <v>1</v>
      </c>
      <c r="F465" s="139">
        <f>IF(AND('Ações'!$AB475="SIM", 'Ações'!AX475="SIM"), 1,0)</f>
        <v>1</v>
      </c>
      <c r="G465" s="139">
        <f>IF(AND('Ações'!$AC475="SIM", 'Ações'!AS475="SIM"), 1,0)</f>
        <v>1</v>
      </c>
      <c r="H465" s="139">
        <f>IF(AND('Ações'!$AC475="SIM", 'Ações'!AT475="SIM"), 1,0)</f>
        <v>1</v>
      </c>
      <c r="I465" s="139">
        <f>IF(AND('Ações'!$AC475="SIM", 'Ações'!AU475="SIM"), 1,0)</f>
        <v>1</v>
      </c>
      <c r="J465" s="139">
        <f>IF(AND('Ações'!$AC475="SIM", 'Ações'!AV475="SIM"), 1,0)</f>
        <v>1</v>
      </c>
      <c r="K465" s="139">
        <f>IF(AND('Ações'!$AC475="SIM", 'Ações'!AW475="SIM"), 1,0)</f>
        <v>1</v>
      </c>
      <c r="L465" s="139">
        <f>IF(AND('Ações'!$AC475="SIM", 'Ações'!AX475="SIM"), 1,0)</f>
        <v>1</v>
      </c>
      <c r="M465" s="139">
        <f>IF(AND('Ações'!$AD475="SIM", 'Ações'!AS475="SIM"), 1,0)</f>
        <v>1</v>
      </c>
      <c r="N465" s="139">
        <f>IF(AND('Ações'!$AD475="SIM", 'Ações'!AT475="SIM"), 1,0)</f>
        <v>1</v>
      </c>
      <c r="O465" s="139">
        <f>IF(AND('Ações'!$AD475="SIM", 'Ações'!AU475="SIM"), 1,0)</f>
        <v>1</v>
      </c>
      <c r="P465" s="139">
        <f>IF(AND('Ações'!$AD475="SIM", 'Ações'!AV475="SIM"), 1,0)</f>
        <v>1</v>
      </c>
      <c r="Q465" s="139">
        <f>IF(AND('Ações'!$AD475="SIM", 'Ações'!AW475="SIM"), 1,0)</f>
        <v>1</v>
      </c>
      <c r="R465" s="139">
        <f>IF(AND('Ações'!$AD475="SIM", 'Ações'!AX475="SIM"), 1,0)</f>
        <v>1</v>
      </c>
    </row>
    <row r="466">
      <c r="A466" s="139">
        <f>IF(AND('Ações'!AB476="SIM", 'Ações'!AS476="SIM"), 1,0)</f>
        <v>1</v>
      </c>
      <c r="B466" s="139">
        <f>IF(AND('Ações'!$AB476="SIM", 'Ações'!AT476="SIM"), 1,0)</f>
        <v>1</v>
      </c>
      <c r="C466" s="139">
        <f>IF(AND('Ações'!$AB476="SIM", 'Ações'!AU476="SIM"), 1,0)</f>
        <v>1</v>
      </c>
      <c r="D466" s="139">
        <f>IF(AND('Ações'!$AB476="SIM", 'Ações'!AV476="SIM"), 1,0)</f>
        <v>1</v>
      </c>
      <c r="E466" s="139">
        <f>IF(AND('Ações'!$AB476="SIM", 'Ações'!AW476="SIM"), 1,0)</f>
        <v>1</v>
      </c>
      <c r="F466" s="139">
        <f>IF(AND('Ações'!$AB476="SIM", 'Ações'!AX476="SIM"), 1,0)</f>
        <v>1</v>
      </c>
      <c r="G466" s="139">
        <f>IF(AND('Ações'!$AC476="SIM", 'Ações'!AS476="SIM"), 1,0)</f>
        <v>1</v>
      </c>
      <c r="H466" s="139">
        <f>IF(AND('Ações'!$AC476="SIM", 'Ações'!AT476="SIM"), 1,0)</f>
        <v>1</v>
      </c>
      <c r="I466" s="139">
        <f>IF(AND('Ações'!$AC476="SIM", 'Ações'!AU476="SIM"), 1,0)</f>
        <v>1</v>
      </c>
      <c r="J466" s="139">
        <f>IF(AND('Ações'!$AC476="SIM", 'Ações'!AV476="SIM"), 1,0)</f>
        <v>1</v>
      </c>
      <c r="K466" s="139">
        <f>IF(AND('Ações'!$AC476="SIM", 'Ações'!AW476="SIM"), 1,0)</f>
        <v>1</v>
      </c>
      <c r="L466" s="139">
        <f>IF(AND('Ações'!$AC476="SIM", 'Ações'!AX476="SIM"), 1,0)</f>
        <v>1</v>
      </c>
      <c r="M466" s="139">
        <f>IF(AND('Ações'!$AD476="SIM", 'Ações'!AS476="SIM"), 1,0)</f>
        <v>0</v>
      </c>
      <c r="N466" s="139">
        <f>IF(AND('Ações'!$AD476="SIM", 'Ações'!AT476="SIM"), 1,0)</f>
        <v>0</v>
      </c>
      <c r="O466" s="139">
        <f>IF(AND('Ações'!$AD476="SIM", 'Ações'!AU476="SIM"), 1,0)</f>
        <v>0</v>
      </c>
      <c r="P466" s="139">
        <f>IF(AND('Ações'!$AD476="SIM", 'Ações'!AV476="SIM"), 1,0)</f>
        <v>0</v>
      </c>
      <c r="Q466" s="139">
        <f>IF(AND('Ações'!$AD476="SIM", 'Ações'!AW476="SIM"), 1,0)</f>
        <v>0</v>
      </c>
      <c r="R466" s="139">
        <f>IF(AND('Ações'!$AD476="SIM", 'Ações'!AX476="SIM"), 1,0)</f>
        <v>0</v>
      </c>
    </row>
    <row r="467">
      <c r="A467" s="139">
        <f>IF(AND('Ações'!AB477="SIM", 'Ações'!AS477="SIM"), 1,0)</f>
        <v>1</v>
      </c>
      <c r="B467" s="139">
        <f>IF(AND('Ações'!$AB477="SIM", 'Ações'!AT477="SIM"), 1,0)</f>
        <v>1</v>
      </c>
      <c r="C467" s="139">
        <f>IF(AND('Ações'!$AB477="SIM", 'Ações'!AU477="SIM"), 1,0)</f>
        <v>1</v>
      </c>
      <c r="D467" s="139">
        <f>IF(AND('Ações'!$AB477="SIM", 'Ações'!AV477="SIM"), 1,0)</f>
        <v>1</v>
      </c>
      <c r="E467" s="139">
        <f>IF(AND('Ações'!$AB477="SIM", 'Ações'!AW477="SIM"), 1,0)</f>
        <v>1</v>
      </c>
      <c r="F467" s="139">
        <f>IF(AND('Ações'!$AB477="SIM", 'Ações'!AX477="SIM"), 1,0)</f>
        <v>1</v>
      </c>
      <c r="G467" s="139">
        <f>IF(AND('Ações'!$AC477="SIM", 'Ações'!AS477="SIM"), 1,0)</f>
        <v>1</v>
      </c>
      <c r="H467" s="139">
        <f>IF(AND('Ações'!$AC477="SIM", 'Ações'!AT477="SIM"), 1,0)</f>
        <v>1</v>
      </c>
      <c r="I467" s="139">
        <f>IF(AND('Ações'!$AC477="SIM", 'Ações'!AU477="SIM"), 1,0)</f>
        <v>1</v>
      </c>
      <c r="J467" s="139">
        <f>IF(AND('Ações'!$AC477="SIM", 'Ações'!AV477="SIM"), 1,0)</f>
        <v>1</v>
      </c>
      <c r="K467" s="139">
        <f>IF(AND('Ações'!$AC477="SIM", 'Ações'!AW477="SIM"), 1,0)</f>
        <v>1</v>
      </c>
      <c r="L467" s="139">
        <f>IF(AND('Ações'!$AC477="SIM", 'Ações'!AX477="SIM"), 1,0)</f>
        <v>1</v>
      </c>
      <c r="M467" s="139">
        <f>IF(AND('Ações'!$AD477="SIM", 'Ações'!AS477="SIM"), 1,0)</f>
        <v>1</v>
      </c>
      <c r="N467" s="139">
        <f>IF(AND('Ações'!$AD477="SIM", 'Ações'!AT477="SIM"), 1,0)</f>
        <v>1</v>
      </c>
      <c r="O467" s="139">
        <f>IF(AND('Ações'!$AD477="SIM", 'Ações'!AU477="SIM"), 1,0)</f>
        <v>1</v>
      </c>
      <c r="P467" s="139">
        <f>IF(AND('Ações'!$AD477="SIM", 'Ações'!AV477="SIM"), 1,0)</f>
        <v>1</v>
      </c>
      <c r="Q467" s="139">
        <f>IF(AND('Ações'!$AD477="SIM", 'Ações'!AW477="SIM"), 1,0)</f>
        <v>1</v>
      </c>
      <c r="R467" s="139">
        <f>IF(AND('Ações'!$AD477="SIM", 'Ações'!AX477="SIM"), 1,0)</f>
        <v>1</v>
      </c>
    </row>
    <row r="468">
      <c r="A468" s="139">
        <f>IF(AND('Ações'!AB478="SIM", 'Ações'!AS478="SIM"), 1,0)</f>
        <v>0</v>
      </c>
      <c r="B468" s="139">
        <f>IF(AND('Ações'!$AB478="SIM", 'Ações'!AT478="SIM"), 1,0)</f>
        <v>1</v>
      </c>
      <c r="C468" s="139">
        <f>IF(AND('Ações'!$AB478="SIM", 'Ações'!AU478="SIM"), 1,0)</f>
        <v>1</v>
      </c>
      <c r="D468" s="139">
        <f>IF(AND('Ações'!$AB478="SIM", 'Ações'!AV478="SIM"), 1,0)</f>
        <v>1</v>
      </c>
      <c r="E468" s="139">
        <f>IF(AND('Ações'!$AB478="SIM", 'Ações'!AW478="SIM"), 1,0)</f>
        <v>1</v>
      </c>
      <c r="F468" s="139">
        <f>IF(AND('Ações'!$AB478="SIM", 'Ações'!AX478="SIM"), 1,0)</f>
        <v>1</v>
      </c>
      <c r="G468" s="139">
        <f>IF(AND('Ações'!$AC478="SIM", 'Ações'!AS478="SIM"), 1,0)</f>
        <v>0</v>
      </c>
      <c r="H468" s="139">
        <f>IF(AND('Ações'!$AC478="SIM", 'Ações'!AT478="SIM"), 1,0)</f>
        <v>0</v>
      </c>
      <c r="I468" s="139">
        <f>IF(AND('Ações'!$AC478="SIM", 'Ações'!AU478="SIM"), 1,0)</f>
        <v>0</v>
      </c>
      <c r="J468" s="139">
        <f>IF(AND('Ações'!$AC478="SIM", 'Ações'!AV478="SIM"), 1,0)</f>
        <v>0</v>
      </c>
      <c r="K468" s="139">
        <f>IF(AND('Ações'!$AC478="SIM", 'Ações'!AW478="SIM"), 1,0)</f>
        <v>0</v>
      </c>
      <c r="L468" s="139">
        <f>IF(AND('Ações'!$AC478="SIM", 'Ações'!AX478="SIM"), 1,0)</f>
        <v>0</v>
      </c>
      <c r="M468" s="139">
        <f>IF(AND('Ações'!$AD478="SIM", 'Ações'!AS478="SIM"), 1,0)</f>
        <v>0</v>
      </c>
      <c r="N468" s="139">
        <f>IF(AND('Ações'!$AD478="SIM", 'Ações'!AT478="SIM"), 1,0)</f>
        <v>0</v>
      </c>
      <c r="O468" s="139">
        <f>IF(AND('Ações'!$AD478="SIM", 'Ações'!AU478="SIM"), 1,0)</f>
        <v>0</v>
      </c>
      <c r="P468" s="139">
        <f>IF(AND('Ações'!$AD478="SIM", 'Ações'!AV478="SIM"), 1,0)</f>
        <v>0</v>
      </c>
      <c r="Q468" s="139">
        <f>IF(AND('Ações'!$AD478="SIM", 'Ações'!AW478="SIM"), 1,0)</f>
        <v>0</v>
      </c>
      <c r="R468" s="139">
        <f>IF(AND('Ações'!$AD478="SIM", 'Ações'!AX478="SIM"), 1,0)</f>
        <v>0</v>
      </c>
    </row>
    <row r="469">
      <c r="A469" s="139">
        <f>IF(AND('Ações'!AB479="SIM", 'Ações'!AS479="SIM"), 1,0)</f>
        <v>0</v>
      </c>
      <c r="B469" s="139">
        <f>IF(AND('Ações'!$AB479="SIM", 'Ações'!AT479="SIM"), 1,0)</f>
        <v>1</v>
      </c>
      <c r="C469" s="139">
        <f>IF(AND('Ações'!$AB479="SIM", 'Ações'!AU479="SIM"), 1,0)</f>
        <v>1</v>
      </c>
      <c r="D469" s="139">
        <f>IF(AND('Ações'!$AB479="SIM", 'Ações'!AV479="SIM"), 1,0)</f>
        <v>1</v>
      </c>
      <c r="E469" s="139">
        <f>IF(AND('Ações'!$AB479="SIM", 'Ações'!AW479="SIM"), 1,0)</f>
        <v>1</v>
      </c>
      <c r="F469" s="139">
        <f>IF(AND('Ações'!$AB479="SIM", 'Ações'!AX479="SIM"), 1,0)</f>
        <v>1</v>
      </c>
      <c r="G469" s="139">
        <f>IF(AND('Ações'!$AC479="SIM", 'Ações'!AS479="SIM"), 1,0)</f>
        <v>0</v>
      </c>
      <c r="H469" s="139">
        <f>IF(AND('Ações'!$AC479="SIM", 'Ações'!AT479="SIM"), 1,0)</f>
        <v>0</v>
      </c>
      <c r="I469" s="139">
        <f>IF(AND('Ações'!$AC479="SIM", 'Ações'!AU479="SIM"), 1,0)</f>
        <v>0</v>
      </c>
      <c r="J469" s="139">
        <f>IF(AND('Ações'!$AC479="SIM", 'Ações'!AV479="SIM"), 1,0)</f>
        <v>0</v>
      </c>
      <c r="K469" s="139">
        <f>IF(AND('Ações'!$AC479="SIM", 'Ações'!AW479="SIM"), 1,0)</f>
        <v>0</v>
      </c>
      <c r="L469" s="139">
        <f>IF(AND('Ações'!$AC479="SIM", 'Ações'!AX479="SIM"), 1,0)</f>
        <v>0</v>
      </c>
      <c r="M469" s="139">
        <f>IF(AND('Ações'!$AD479="SIM", 'Ações'!AS479="SIM"), 1,0)</f>
        <v>0</v>
      </c>
      <c r="N469" s="139">
        <f>IF(AND('Ações'!$AD479="SIM", 'Ações'!AT479="SIM"), 1,0)</f>
        <v>0</v>
      </c>
      <c r="O469" s="139">
        <f>IF(AND('Ações'!$AD479="SIM", 'Ações'!AU479="SIM"), 1,0)</f>
        <v>0</v>
      </c>
      <c r="P469" s="139">
        <f>IF(AND('Ações'!$AD479="SIM", 'Ações'!AV479="SIM"), 1,0)</f>
        <v>0</v>
      </c>
      <c r="Q469" s="139">
        <f>IF(AND('Ações'!$AD479="SIM", 'Ações'!AW479="SIM"), 1,0)</f>
        <v>0</v>
      </c>
      <c r="R469" s="139">
        <f>IF(AND('Ações'!$AD479="SIM", 'Ações'!AX479="SIM"), 1,0)</f>
        <v>0</v>
      </c>
    </row>
    <row r="470">
      <c r="A470" s="139">
        <f>IF(AND('Ações'!AB480="SIM", 'Ações'!AS480="SIM"), 1,0)</f>
        <v>0</v>
      </c>
      <c r="B470" s="139">
        <f>IF(AND('Ações'!$AB480="SIM", 'Ações'!AT480="SIM"), 1,0)</f>
        <v>1</v>
      </c>
      <c r="C470" s="139">
        <f>IF(AND('Ações'!$AB480="SIM", 'Ações'!AU480="SIM"), 1,0)</f>
        <v>1</v>
      </c>
      <c r="D470" s="139">
        <f>IF(AND('Ações'!$AB480="SIM", 'Ações'!AV480="SIM"), 1,0)</f>
        <v>1</v>
      </c>
      <c r="E470" s="139">
        <f>IF(AND('Ações'!$AB480="SIM", 'Ações'!AW480="SIM"), 1,0)</f>
        <v>1</v>
      </c>
      <c r="F470" s="139">
        <f>IF(AND('Ações'!$AB480="SIM", 'Ações'!AX480="SIM"), 1,0)</f>
        <v>1</v>
      </c>
      <c r="G470" s="139">
        <f>IF(AND('Ações'!$AC480="SIM", 'Ações'!AS480="SIM"), 1,0)</f>
        <v>0</v>
      </c>
      <c r="H470" s="139">
        <f>IF(AND('Ações'!$AC480="SIM", 'Ações'!AT480="SIM"), 1,0)</f>
        <v>0</v>
      </c>
      <c r="I470" s="139">
        <f>IF(AND('Ações'!$AC480="SIM", 'Ações'!AU480="SIM"), 1,0)</f>
        <v>0</v>
      </c>
      <c r="J470" s="139">
        <f>IF(AND('Ações'!$AC480="SIM", 'Ações'!AV480="SIM"), 1,0)</f>
        <v>0</v>
      </c>
      <c r="K470" s="139">
        <f>IF(AND('Ações'!$AC480="SIM", 'Ações'!AW480="SIM"), 1,0)</f>
        <v>0</v>
      </c>
      <c r="L470" s="139">
        <f>IF(AND('Ações'!$AC480="SIM", 'Ações'!AX480="SIM"), 1,0)</f>
        <v>0</v>
      </c>
      <c r="M470" s="139">
        <f>IF(AND('Ações'!$AD480="SIM", 'Ações'!AS480="SIM"), 1,0)</f>
        <v>0</v>
      </c>
      <c r="N470" s="139">
        <f>IF(AND('Ações'!$AD480="SIM", 'Ações'!AT480="SIM"), 1,0)</f>
        <v>0</v>
      </c>
      <c r="O470" s="139">
        <f>IF(AND('Ações'!$AD480="SIM", 'Ações'!AU480="SIM"), 1,0)</f>
        <v>0</v>
      </c>
      <c r="P470" s="139">
        <f>IF(AND('Ações'!$AD480="SIM", 'Ações'!AV480="SIM"), 1,0)</f>
        <v>0</v>
      </c>
      <c r="Q470" s="139">
        <f>IF(AND('Ações'!$AD480="SIM", 'Ações'!AW480="SIM"), 1,0)</f>
        <v>0</v>
      </c>
      <c r="R470" s="139">
        <f>IF(AND('Ações'!$AD480="SIM", 'Ações'!AX480="SIM"), 1,0)</f>
        <v>0</v>
      </c>
    </row>
    <row r="471">
      <c r="A471" s="139">
        <f>IF(AND('Ações'!AB481="SIM", 'Ações'!AS481="SIM"), 1,0)</f>
        <v>0</v>
      </c>
      <c r="B471" s="139">
        <f>IF(AND('Ações'!$AB481="SIM", 'Ações'!AT481="SIM"), 1,0)</f>
        <v>1</v>
      </c>
      <c r="C471" s="139">
        <f>IF(AND('Ações'!$AB481="SIM", 'Ações'!AU481="SIM"), 1,0)</f>
        <v>1</v>
      </c>
      <c r="D471" s="139">
        <f>IF(AND('Ações'!$AB481="SIM", 'Ações'!AV481="SIM"), 1,0)</f>
        <v>1</v>
      </c>
      <c r="E471" s="139">
        <f>IF(AND('Ações'!$AB481="SIM", 'Ações'!AW481="SIM"), 1,0)</f>
        <v>1</v>
      </c>
      <c r="F471" s="139">
        <f>IF(AND('Ações'!$AB481="SIM", 'Ações'!AX481="SIM"), 1,0)</f>
        <v>1</v>
      </c>
      <c r="G471" s="139">
        <f>IF(AND('Ações'!$AC481="SIM", 'Ações'!AS481="SIM"), 1,0)</f>
        <v>0</v>
      </c>
      <c r="H471" s="139">
        <f>IF(AND('Ações'!$AC481="SIM", 'Ações'!AT481="SIM"), 1,0)</f>
        <v>0</v>
      </c>
      <c r="I471" s="139">
        <f>IF(AND('Ações'!$AC481="SIM", 'Ações'!AU481="SIM"), 1,0)</f>
        <v>0</v>
      </c>
      <c r="J471" s="139">
        <f>IF(AND('Ações'!$AC481="SIM", 'Ações'!AV481="SIM"), 1,0)</f>
        <v>0</v>
      </c>
      <c r="K471" s="139">
        <f>IF(AND('Ações'!$AC481="SIM", 'Ações'!AW481="SIM"), 1,0)</f>
        <v>0</v>
      </c>
      <c r="L471" s="139">
        <f>IF(AND('Ações'!$AC481="SIM", 'Ações'!AX481="SIM"), 1,0)</f>
        <v>0</v>
      </c>
      <c r="M471" s="139">
        <f>IF(AND('Ações'!$AD481="SIM", 'Ações'!AS481="SIM"), 1,0)</f>
        <v>0</v>
      </c>
      <c r="N471" s="139">
        <f>IF(AND('Ações'!$AD481="SIM", 'Ações'!AT481="SIM"), 1,0)</f>
        <v>0</v>
      </c>
      <c r="O471" s="139">
        <f>IF(AND('Ações'!$AD481="SIM", 'Ações'!AU481="SIM"), 1,0)</f>
        <v>0</v>
      </c>
      <c r="P471" s="139">
        <f>IF(AND('Ações'!$AD481="SIM", 'Ações'!AV481="SIM"), 1,0)</f>
        <v>0</v>
      </c>
      <c r="Q471" s="139">
        <f>IF(AND('Ações'!$AD481="SIM", 'Ações'!AW481="SIM"), 1,0)</f>
        <v>0</v>
      </c>
      <c r="R471" s="139">
        <f>IF(AND('Ações'!$AD481="SIM", 'Ações'!AX481="SIM"), 1,0)</f>
        <v>0</v>
      </c>
    </row>
    <row r="472">
      <c r="A472" s="139">
        <f>IF(AND('Ações'!AB482="SIM", 'Ações'!AS482="SIM"), 1,0)</f>
        <v>0</v>
      </c>
      <c r="B472" s="139">
        <f>IF(AND('Ações'!$AB482="SIM", 'Ações'!AT482="SIM"), 1,0)</f>
        <v>1</v>
      </c>
      <c r="C472" s="139">
        <f>IF(AND('Ações'!$AB482="SIM", 'Ações'!AU482="SIM"), 1,0)</f>
        <v>1</v>
      </c>
      <c r="D472" s="139">
        <f>IF(AND('Ações'!$AB482="SIM", 'Ações'!AV482="SIM"), 1,0)</f>
        <v>1</v>
      </c>
      <c r="E472" s="139">
        <f>IF(AND('Ações'!$AB482="SIM", 'Ações'!AW482="SIM"), 1,0)</f>
        <v>1</v>
      </c>
      <c r="F472" s="139">
        <f>IF(AND('Ações'!$AB482="SIM", 'Ações'!AX482="SIM"), 1,0)</f>
        <v>1</v>
      </c>
      <c r="G472" s="139">
        <f>IF(AND('Ações'!$AC482="SIM", 'Ações'!AS482="SIM"), 1,0)</f>
        <v>0</v>
      </c>
      <c r="H472" s="139">
        <f>IF(AND('Ações'!$AC482="SIM", 'Ações'!AT482="SIM"), 1,0)</f>
        <v>0</v>
      </c>
      <c r="I472" s="139">
        <f>IF(AND('Ações'!$AC482="SIM", 'Ações'!AU482="SIM"), 1,0)</f>
        <v>0</v>
      </c>
      <c r="J472" s="139">
        <f>IF(AND('Ações'!$AC482="SIM", 'Ações'!AV482="SIM"), 1,0)</f>
        <v>0</v>
      </c>
      <c r="K472" s="139">
        <f>IF(AND('Ações'!$AC482="SIM", 'Ações'!AW482="SIM"), 1,0)</f>
        <v>0</v>
      </c>
      <c r="L472" s="139">
        <f>IF(AND('Ações'!$AC482="SIM", 'Ações'!AX482="SIM"), 1,0)</f>
        <v>0</v>
      </c>
      <c r="M472" s="139">
        <f>IF(AND('Ações'!$AD482="SIM", 'Ações'!AS482="SIM"), 1,0)</f>
        <v>0</v>
      </c>
      <c r="N472" s="139">
        <f>IF(AND('Ações'!$AD482="SIM", 'Ações'!AT482="SIM"), 1,0)</f>
        <v>0</v>
      </c>
      <c r="O472" s="139">
        <f>IF(AND('Ações'!$AD482="SIM", 'Ações'!AU482="SIM"), 1,0)</f>
        <v>0</v>
      </c>
      <c r="P472" s="139">
        <f>IF(AND('Ações'!$AD482="SIM", 'Ações'!AV482="SIM"), 1,0)</f>
        <v>0</v>
      </c>
      <c r="Q472" s="139">
        <f>IF(AND('Ações'!$AD482="SIM", 'Ações'!AW482="SIM"), 1,0)</f>
        <v>0</v>
      </c>
      <c r="R472" s="139">
        <f>IF(AND('Ações'!$AD482="SIM", 'Ações'!AX482="SIM"), 1,0)</f>
        <v>0</v>
      </c>
    </row>
    <row r="473">
      <c r="A473" s="139">
        <f>IF(AND('Ações'!AB483="SIM", 'Ações'!AS483="SIM"), 1,0)</f>
        <v>0</v>
      </c>
      <c r="B473" s="139">
        <f>IF(AND('Ações'!$AB483="SIM", 'Ações'!AT483="SIM"), 1,0)</f>
        <v>1</v>
      </c>
      <c r="C473" s="139">
        <f>IF(AND('Ações'!$AB483="SIM", 'Ações'!AU483="SIM"), 1,0)</f>
        <v>1</v>
      </c>
      <c r="D473" s="139">
        <f>IF(AND('Ações'!$AB483="SIM", 'Ações'!AV483="SIM"), 1,0)</f>
        <v>1</v>
      </c>
      <c r="E473" s="139">
        <f>IF(AND('Ações'!$AB483="SIM", 'Ações'!AW483="SIM"), 1,0)</f>
        <v>1</v>
      </c>
      <c r="F473" s="139">
        <f>IF(AND('Ações'!$AB483="SIM", 'Ações'!AX483="SIM"), 1,0)</f>
        <v>1</v>
      </c>
      <c r="G473" s="139">
        <f>IF(AND('Ações'!$AC483="SIM", 'Ações'!AS483="SIM"), 1,0)</f>
        <v>0</v>
      </c>
      <c r="H473" s="139">
        <f>IF(AND('Ações'!$AC483="SIM", 'Ações'!AT483="SIM"), 1,0)</f>
        <v>0</v>
      </c>
      <c r="I473" s="139">
        <f>IF(AND('Ações'!$AC483="SIM", 'Ações'!AU483="SIM"), 1,0)</f>
        <v>0</v>
      </c>
      <c r="J473" s="139">
        <f>IF(AND('Ações'!$AC483="SIM", 'Ações'!AV483="SIM"), 1,0)</f>
        <v>0</v>
      </c>
      <c r="K473" s="139">
        <f>IF(AND('Ações'!$AC483="SIM", 'Ações'!AW483="SIM"), 1,0)</f>
        <v>0</v>
      </c>
      <c r="L473" s="139">
        <f>IF(AND('Ações'!$AC483="SIM", 'Ações'!AX483="SIM"), 1,0)</f>
        <v>0</v>
      </c>
      <c r="M473" s="139">
        <f>IF(AND('Ações'!$AD483="SIM", 'Ações'!AS483="SIM"), 1,0)</f>
        <v>0</v>
      </c>
      <c r="N473" s="139">
        <f>IF(AND('Ações'!$AD483="SIM", 'Ações'!AT483="SIM"), 1,0)</f>
        <v>0</v>
      </c>
      <c r="O473" s="139">
        <f>IF(AND('Ações'!$AD483="SIM", 'Ações'!AU483="SIM"), 1,0)</f>
        <v>0</v>
      </c>
      <c r="P473" s="139">
        <f>IF(AND('Ações'!$AD483="SIM", 'Ações'!AV483="SIM"), 1,0)</f>
        <v>0</v>
      </c>
      <c r="Q473" s="139">
        <f>IF(AND('Ações'!$AD483="SIM", 'Ações'!AW483="SIM"), 1,0)</f>
        <v>0</v>
      </c>
      <c r="R473" s="139">
        <f>IF(AND('Ações'!$AD483="SIM", 'Ações'!AX483="SIM"), 1,0)</f>
        <v>0</v>
      </c>
    </row>
    <row r="474">
      <c r="A474" s="139">
        <f>IF(AND('Ações'!AB484="SIM", 'Ações'!AS484="SIM"), 1,0)</f>
        <v>0</v>
      </c>
      <c r="B474" s="139">
        <f>IF(AND('Ações'!$AB484="SIM", 'Ações'!AT484="SIM"), 1,0)</f>
        <v>1</v>
      </c>
      <c r="C474" s="139">
        <f>IF(AND('Ações'!$AB484="SIM", 'Ações'!AU484="SIM"), 1,0)</f>
        <v>1</v>
      </c>
      <c r="D474" s="139">
        <f>IF(AND('Ações'!$AB484="SIM", 'Ações'!AV484="SIM"), 1,0)</f>
        <v>1</v>
      </c>
      <c r="E474" s="139">
        <f>IF(AND('Ações'!$AB484="SIM", 'Ações'!AW484="SIM"), 1,0)</f>
        <v>1</v>
      </c>
      <c r="F474" s="139">
        <f>IF(AND('Ações'!$AB484="SIM", 'Ações'!AX484="SIM"), 1,0)</f>
        <v>1</v>
      </c>
      <c r="G474" s="139">
        <f>IF(AND('Ações'!$AC484="SIM", 'Ações'!AS484="SIM"), 1,0)</f>
        <v>0</v>
      </c>
      <c r="H474" s="139">
        <f>IF(AND('Ações'!$AC484="SIM", 'Ações'!AT484="SIM"), 1,0)</f>
        <v>0</v>
      </c>
      <c r="I474" s="139">
        <f>IF(AND('Ações'!$AC484="SIM", 'Ações'!AU484="SIM"), 1,0)</f>
        <v>0</v>
      </c>
      <c r="J474" s="139">
        <f>IF(AND('Ações'!$AC484="SIM", 'Ações'!AV484="SIM"), 1,0)</f>
        <v>0</v>
      </c>
      <c r="K474" s="139">
        <f>IF(AND('Ações'!$AC484="SIM", 'Ações'!AW484="SIM"), 1,0)</f>
        <v>0</v>
      </c>
      <c r="L474" s="139">
        <f>IF(AND('Ações'!$AC484="SIM", 'Ações'!AX484="SIM"), 1,0)</f>
        <v>0</v>
      </c>
      <c r="M474" s="139">
        <f>IF(AND('Ações'!$AD484="SIM", 'Ações'!AS484="SIM"), 1,0)</f>
        <v>0</v>
      </c>
      <c r="N474" s="139">
        <f>IF(AND('Ações'!$AD484="SIM", 'Ações'!AT484="SIM"), 1,0)</f>
        <v>0</v>
      </c>
      <c r="O474" s="139">
        <f>IF(AND('Ações'!$AD484="SIM", 'Ações'!AU484="SIM"), 1,0)</f>
        <v>0</v>
      </c>
      <c r="P474" s="139">
        <f>IF(AND('Ações'!$AD484="SIM", 'Ações'!AV484="SIM"), 1,0)</f>
        <v>0</v>
      </c>
      <c r="Q474" s="139">
        <f>IF(AND('Ações'!$AD484="SIM", 'Ações'!AW484="SIM"), 1,0)</f>
        <v>0</v>
      </c>
      <c r="R474" s="139">
        <f>IF(AND('Ações'!$AD484="SIM", 'Ações'!AX484="SIM"), 1,0)</f>
        <v>0</v>
      </c>
    </row>
    <row r="475">
      <c r="A475" s="139">
        <f>IF(AND('Ações'!AB485="SIM", 'Ações'!AS485="SIM"), 1,0)</f>
        <v>0</v>
      </c>
      <c r="B475" s="139">
        <f>IF(AND('Ações'!$AB485="SIM", 'Ações'!AT485="SIM"), 1,0)</f>
        <v>1</v>
      </c>
      <c r="C475" s="139">
        <f>IF(AND('Ações'!$AB485="SIM", 'Ações'!AU485="SIM"), 1,0)</f>
        <v>1</v>
      </c>
      <c r="D475" s="139">
        <f>IF(AND('Ações'!$AB485="SIM", 'Ações'!AV485="SIM"), 1,0)</f>
        <v>1</v>
      </c>
      <c r="E475" s="139">
        <f>IF(AND('Ações'!$AB485="SIM", 'Ações'!AW485="SIM"), 1,0)</f>
        <v>1</v>
      </c>
      <c r="F475" s="139">
        <f>IF(AND('Ações'!$AB485="SIM", 'Ações'!AX485="SIM"), 1,0)</f>
        <v>1</v>
      </c>
      <c r="G475" s="139">
        <f>IF(AND('Ações'!$AC485="SIM", 'Ações'!AS485="SIM"), 1,0)</f>
        <v>0</v>
      </c>
      <c r="H475" s="139">
        <f>IF(AND('Ações'!$AC485="SIM", 'Ações'!AT485="SIM"), 1,0)</f>
        <v>0</v>
      </c>
      <c r="I475" s="139">
        <f>IF(AND('Ações'!$AC485="SIM", 'Ações'!AU485="SIM"), 1,0)</f>
        <v>0</v>
      </c>
      <c r="J475" s="139">
        <f>IF(AND('Ações'!$AC485="SIM", 'Ações'!AV485="SIM"), 1,0)</f>
        <v>0</v>
      </c>
      <c r="K475" s="139">
        <f>IF(AND('Ações'!$AC485="SIM", 'Ações'!AW485="SIM"), 1,0)</f>
        <v>0</v>
      </c>
      <c r="L475" s="139">
        <f>IF(AND('Ações'!$AC485="SIM", 'Ações'!AX485="SIM"), 1,0)</f>
        <v>0</v>
      </c>
      <c r="M475" s="139">
        <f>IF(AND('Ações'!$AD485="SIM", 'Ações'!AS485="SIM"), 1,0)</f>
        <v>0</v>
      </c>
      <c r="N475" s="139">
        <f>IF(AND('Ações'!$AD485="SIM", 'Ações'!AT485="SIM"), 1,0)</f>
        <v>0</v>
      </c>
      <c r="O475" s="139">
        <f>IF(AND('Ações'!$AD485="SIM", 'Ações'!AU485="SIM"), 1,0)</f>
        <v>0</v>
      </c>
      <c r="P475" s="139">
        <f>IF(AND('Ações'!$AD485="SIM", 'Ações'!AV485="SIM"), 1,0)</f>
        <v>0</v>
      </c>
      <c r="Q475" s="139">
        <f>IF(AND('Ações'!$AD485="SIM", 'Ações'!AW485="SIM"), 1,0)</f>
        <v>0</v>
      </c>
      <c r="R475" s="139">
        <f>IF(AND('Ações'!$AD485="SIM", 'Ações'!AX485="SIM"), 1,0)</f>
        <v>0</v>
      </c>
    </row>
    <row r="476">
      <c r="A476" s="139">
        <f>IF(AND('Ações'!AB486="SIM", 'Ações'!AS486="SIM"), 1,0)</f>
        <v>0</v>
      </c>
      <c r="B476" s="139">
        <f>IF(AND('Ações'!$AB486="SIM", 'Ações'!AT486="SIM"), 1,0)</f>
        <v>1</v>
      </c>
      <c r="C476" s="139">
        <f>IF(AND('Ações'!$AB486="SIM", 'Ações'!AU486="SIM"), 1,0)</f>
        <v>1</v>
      </c>
      <c r="D476" s="139">
        <f>IF(AND('Ações'!$AB486="SIM", 'Ações'!AV486="SIM"), 1,0)</f>
        <v>1</v>
      </c>
      <c r="E476" s="139">
        <f>IF(AND('Ações'!$AB486="SIM", 'Ações'!AW486="SIM"), 1,0)</f>
        <v>1</v>
      </c>
      <c r="F476" s="139">
        <f>IF(AND('Ações'!$AB486="SIM", 'Ações'!AX486="SIM"), 1,0)</f>
        <v>1</v>
      </c>
      <c r="G476" s="139">
        <f>IF(AND('Ações'!$AC486="SIM", 'Ações'!AS486="SIM"), 1,0)</f>
        <v>0</v>
      </c>
      <c r="H476" s="139">
        <f>IF(AND('Ações'!$AC486="SIM", 'Ações'!AT486="SIM"), 1,0)</f>
        <v>0</v>
      </c>
      <c r="I476" s="139">
        <f>IF(AND('Ações'!$AC486="SIM", 'Ações'!AU486="SIM"), 1,0)</f>
        <v>0</v>
      </c>
      <c r="J476" s="139">
        <f>IF(AND('Ações'!$AC486="SIM", 'Ações'!AV486="SIM"), 1,0)</f>
        <v>0</v>
      </c>
      <c r="K476" s="139">
        <f>IF(AND('Ações'!$AC486="SIM", 'Ações'!AW486="SIM"), 1,0)</f>
        <v>0</v>
      </c>
      <c r="L476" s="139">
        <f>IF(AND('Ações'!$AC486="SIM", 'Ações'!AX486="SIM"), 1,0)</f>
        <v>0</v>
      </c>
      <c r="M476" s="139">
        <f>IF(AND('Ações'!$AD486="SIM", 'Ações'!AS486="SIM"), 1,0)</f>
        <v>0</v>
      </c>
      <c r="N476" s="139">
        <f>IF(AND('Ações'!$AD486="SIM", 'Ações'!AT486="SIM"), 1,0)</f>
        <v>0</v>
      </c>
      <c r="O476" s="139">
        <f>IF(AND('Ações'!$AD486="SIM", 'Ações'!AU486="SIM"), 1,0)</f>
        <v>0</v>
      </c>
      <c r="P476" s="139">
        <f>IF(AND('Ações'!$AD486="SIM", 'Ações'!AV486="SIM"), 1,0)</f>
        <v>0</v>
      </c>
      <c r="Q476" s="139">
        <f>IF(AND('Ações'!$AD486="SIM", 'Ações'!AW486="SIM"), 1,0)</f>
        <v>0</v>
      </c>
      <c r="R476" s="139">
        <f>IF(AND('Ações'!$AD486="SIM", 'Ações'!AX486="SIM"), 1,0)</f>
        <v>0</v>
      </c>
    </row>
    <row r="477">
      <c r="A477" s="139">
        <f>IF(AND('Ações'!AB487="SIM", 'Ações'!AS487="SIM"), 1,0)</f>
        <v>0</v>
      </c>
      <c r="B477" s="139">
        <f>IF(AND('Ações'!$AB487="SIM", 'Ações'!AT487="SIM"), 1,0)</f>
        <v>1</v>
      </c>
      <c r="C477" s="139">
        <f>IF(AND('Ações'!$AB487="SIM", 'Ações'!AU487="SIM"), 1,0)</f>
        <v>1</v>
      </c>
      <c r="D477" s="139">
        <f>IF(AND('Ações'!$AB487="SIM", 'Ações'!AV487="SIM"), 1,0)</f>
        <v>1</v>
      </c>
      <c r="E477" s="139">
        <f>IF(AND('Ações'!$AB487="SIM", 'Ações'!AW487="SIM"), 1,0)</f>
        <v>1</v>
      </c>
      <c r="F477" s="139">
        <f>IF(AND('Ações'!$AB487="SIM", 'Ações'!AX487="SIM"), 1,0)</f>
        <v>1</v>
      </c>
      <c r="G477" s="139">
        <f>IF(AND('Ações'!$AC487="SIM", 'Ações'!AS487="SIM"), 1,0)</f>
        <v>0</v>
      </c>
      <c r="H477" s="139">
        <f>IF(AND('Ações'!$AC487="SIM", 'Ações'!AT487="SIM"), 1,0)</f>
        <v>0</v>
      </c>
      <c r="I477" s="139">
        <f>IF(AND('Ações'!$AC487="SIM", 'Ações'!AU487="SIM"), 1,0)</f>
        <v>0</v>
      </c>
      <c r="J477" s="139">
        <f>IF(AND('Ações'!$AC487="SIM", 'Ações'!AV487="SIM"), 1,0)</f>
        <v>0</v>
      </c>
      <c r="K477" s="139">
        <f>IF(AND('Ações'!$AC487="SIM", 'Ações'!AW487="SIM"), 1,0)</f>
        <v>0</v>
      </c>
      <c r="L477" s="139">
        <f>IF(AND('Ações'!$AC487="SIM", 'Ações'!AX487="SIM"), 1,0)</f>
        <v>0</v>
      </c>
      <c r="M477" s="139">
        <f>IF(AND('Ações'!$AD487="SIM", 'Ações'!AS487="SIM"), 1,0)</f>
        <v>0</v>
      </c>
      <c r="N477" s="139">
        <f>IF(AND('Ações'!$AD487="SIM", 'Ações'!AT487="SIM"), 1,0)</f>
        <v>0</v>
      </c>
      <c r="O477" s="139">
        <f>IF(AND('Ações'!$AD487="SIM", 'Ações'!AU487="SIM"), 1,0)</f>
        <v>0</v>
      </c>
      <c r="P477" s="139">
        <f>IF(AND('Ações'!$AD487="SIM", 'Ações'!AV487="SIM"), 1,0)</f>
        <v>0</v>
      </c>
      <c r="Q477" s="139">
        <f>IF(AND('Ações'!$AD487="SIM", 'Ações'!AW487="SIM"), 1,0)</f>
        <v>0</v>
      </c>
      <c r="R477" s="139">
        <f>IF(AND('Ações'!$AD487="SIM", 'Ações'!AX487="SIM"), 1,0)</f>
        <v>0</v>
      </c>
    </row>
    <row r="478">
      <c r="A478" s="139">
        <f>IF(AND('Ações'!AB488="SIM", 'Ações'!AS488="SIM"), 1,0)</f>
        <v>0</v>
      </c>
      <c r="B478" s="139">
        <f>IF(AND('Ações'!$AB488="SIM", 'Ações'!AT488="SIM"), 1,0)</f>
        <v>0</v>
      </c>
      <c r="C478" s="139">
        <f>IF(AND('Ações'!$AB488="SIM", 'Ações'!AU488="SIM"), 1,0)</f>
        <v>0</v>
      </c>
      <c r="D478" s="139">
        <f>IF(AND('Ações'!$AB488="SIM", 'Ações'!AV488="SIM"), 1,0)</f>
        <v>0</v>
      </c>
      <c r="E478" s="139">
        <f>IF(AND('Ações'!$AB488="SIM", 'Ações'!AW488="SIM"), 1,0)</f>
        <v>0</v>
      </c>
      <c r="F478" s="139">
        <f>IF(AND('Ações'!$AB488="SIM", 'Ações'!AX488="SIM"), 1,0)</f>
        <v>0</v>
      </c>
      <c r="G478" s="139">
        <f>IF(AND('Ações'!$AC488="SIM", 'Ações'!AS488="SIM"), 1,0)</f>
        <v>0</v>
      </c>
      <c r="H478" s="139">
        <f>IF(AND('Ações'!$AC488="SIM", 'Ações'!AT488="SIM"), 1,0)</f>
        <v>1</v>
      </c>
      <c r="I478" s="139">
        <f>IF(AND('Ações'!$AC488="SIM", 'Ações'!AU488="SIM"), 1,0)</f>
        <v>1</v>
      </c>
      <c r="J478" s="139">
        <f>IF(AND('Ações'!$AC488="SIM", 'Ações'!AV488="SIM"), 1,0)</f>
        <v>1</v>
      </c>
      <c r="K478" s="139">
        <f>IF(AND('Ações'!$AC488="SIM", 'Ações'!AW488="SIM"), 1,0)</f>
        <v>1</v>
      </c>
      <c r="L478" s="139">
        <f>IF(AND('Ações'!$AC488="SIM", 'Ações'!AX488="SIM"), 1,0)</f>
        <v>1</v>
      </c>
      <c r="M478" s="139">
        <f>IF(AND('Ações'!$AD488="SIM", 'Ações'!AS488="SIM"), 1,0)</f>
        <v>0</v>
      </c>
      <c r="N478" s="139">
        <f>IF(AND('Ações'!$AD488="SIM", 'Ações'!AT488="SIM"), 1,0)</f>
        <v>0</v>
      </c>
      <c r="O478" s="139">
        <f>IF(AND('Ações'!$AD488="SIM", 'Ações'!AU488="SIM"), 1,0)</f>
        <v>0</v>
      </c>
      <c r="P478" s="139">
        <f>IF(AND('Ações'!$AD488="SIM", 'Ações'!AV488="SIM"), 1,0)</f>
        <v>0</v>
      </c>
      <c r="Q478" s="139">
        <f>IF(AND('Ações'!$AD488="SIM", 'Ações'!AW488="SIM"), 1,0)</f>
        <v>0</v>
      </c>
      <c r="R478" s="139">
        <f>IF(AND('Ações'!$AD488="SIM", 'Ações'!AX488="SIM"), 1,0)</f>
        <v>0</v>
      </c>
    </row>
    <row r="479">
      <c r="A479" s="139">
        <f>IF(AND('Ações'!AB489="SIM", 'Ações'!AS489="SIM"), 1,0)</f>
        <v>0</v>
      </c>
      <c r="B479" s="139">
        <f>IF(AND('Ações'!$AB489="SIM", 'Ações'!AT489="SIM"), 1,0)</f>
        <v>0</v>
      </c>
      <c r="C479" s="139">
        <f>IF(AND('Ações'!$AB489="SIM", 'Ações'!AU489="SIM"), 1,0)</f>
        <v>0</v>
      </c>
      <c r="D479" s="139">
        <f>IF(AND('Ações'!$AB489="SIM", 'Ações'!AV489="SIM"), 1,0)</f>
        <v>0</v>
      </c>
      <c r="E479" s="139">
        <f>IF(AND('Ações'!$AB489="SIM", 'Ações'!AW489="SIM"), 1,0)</f>
        <v>0</v>
      </c>
      <c r="F479" s="139">
        <f>IF(AND('Ações'!$AB489="SIM", 'Ações'!AX489="SIM"), 1,0)</f>
        <v>0</v>
      </c>
      <c r="G479" s="139">
        <f>IF(AND('Ações'!$AC489="SIM", 'Ações'!AS489="SIM"), 1,0)</f>
        <v>1</v>
      </c>
      <c r="H479" s="139">
        <f>IF(AND('Ações'!$AC489="SIM", 'Ações'!AT489="SIM"), 1,0)</f>
        <v>1</v>
      </c>
      <c r="I479" s="139">
        <f>IF(AND('Ações'!$AC489="SIM", 'Ações'!AU489="SIM"), 1,0)</f>
        <v>1</v>
      </c>
      <c r="J479" s="139">
        <f>IF(AND('Ações'!$AC489="SIM", 'Ações'!AV489="SIM"), 1,0)</f>
        <v>1</v>
      </c>
      <c r="K479" s="139">
        <f>IF(AND('Ações'!$AC489="SIM", 'Ações'!AW489="SIM"), 1,0)</f>
        <v>1</v>
      </c>
      <c r="L479" s="139">
        <f>IF(AND('Ações'!$AC489="SIM", 'Ações'!AX489="SIM"), 1,0)</f>
        <v>0</v>
      </c>
      <c r="M479" s="139">
        <f>IF(AND('Ações'!$AD489="SIM", 'Ações'!AS489="SIM"), 1,0)</f>
        <v>0</v>
      </c>
      <c r="N479" s="139">
        <f>IF(AND('Ações'!$AD489="SIM", 'Ações'!AT489="SIM"), 1,0)</f>
        <v>0</v>
      </c>
      <c r="O479" s="139">
        <f>IF(AND('Ações'!$AD489="SIM", 'Ações'!AU489="SIM"), 1,0)</f>
        <v>0</v>
      </c>
      <c r="P479" s="139">
        <f>IF(AND('Ações'!$AD489="SIM", 'Ações'!AV489="SIM"), 1,0)</f>
        <v>0</v>
      </c>
      <c r="Q479" s="139">
        <f>IF(AND('Ações'!$AD489="SIM", 'Ações'!AW489="SIM"), 1,0)</f>
        <v>0</v>
      </c>
      <c r="R479" s="139">
        <f>IF(AND('Ações'!$AD489="SIM", 'Ações'!AX489="SIM"), 1,0)</f>
        <v>0</v>
      </c>
    </row>
    <row r="480">
      <c r="A480" s="139">
        <f>IF(AND('Ações'!AB490="SIM", 'Ações'!AS490="SIM"), 1,0)</f>
        <v>1</v>
      </c>
      <c r="B480" s="139">
        <f>IF(AND('Ações'!$AB490="SIM", 'Ações'!AT490="SIM"), 1,0)</f>
        <v>1</v>
      </c>
      <c r="C480" s="139">
        <f>IF(AND('Ações'!$AB490="SIM", 'Ações'!AU490="SIM"), 1,0)</f>
        <v>1</v>
      </c>
      <c r="D480" s="139">
        <f>IF(AND('Ações'!$AB490="SIM", 'Ações'!AV490="SIM"), 1,0)</f>
        <v>1</v>
      </c>
      <c r="E480" s="139">
        <f>IF(AND('Ações'!$AB490="SIM", 'Ações'!AW490="SIM"), 1,0)</f>
        <v>1</v>
      </c>
      <c r="F480" s="139">
        <f>IF(AND('Ações'!$AB490="SIM", 'Ações'!AX490="SIM"), 1,0)</f>
        <v>0</v>
      </c>
      <c r="G480" s="139">
        <f>IF(AND('Ações'!$AC490="SIM", 'Ações'!AS490="SIM"), 1,0)</f>
        <v>0</v>
      </c>
      <c r="H480" s="139">
        <f>IF(AND('Ações'!$AC490="SIM", 'Ações'!AT490="SIM"), 1,0)</f>
        <v>0</v>
      </c>
      <c r="I480" s="139">
        <f>IF(AND('Ações'!$AC490="SIM", 'Ações'!AU490="SIM"), 1,0)</f>
        <v>0</v>
      </c>
      <c r="J480" s="139">
        <f>IF(AND('Ações'!$AC490="SIM", 'Ações'!AV490="SIM"), 1,0)</f>
        <v>0</v>
      </c>
      <c r="K480" s="139">
        <f>IF(AND('Ações'!$AC490="SIM", 'Ações'!AW490="SIM"), 1,0)</f>
        <v>0</v>
      </c>
      <c r="L480" s="139">
        <f>IF(AND('Ações'!$AC490="SIM", 'Ações'!AX490="SIM"), 1,0)</f>
        <v>0</v>
      </c>
      <c r="M480" s="139">
        <f>IF(AND('Ações'!$AD490="SIM", 'Ações'!AS490="SIM"), 1,0)</f>
        <v>0</v>
      </c>
      <c r="N480" s="139">
        <f>IF(AND('Ações'!$AD490="SIM", 'Ações'!AT490="SIM"), 1,0)</f>
        <v>0</v>
      </c>
      <c r="O480" s="139">
        <f>IF(AND('Ações'!$AD490="SIM", 'Ações'!AU490="SIM"), 1,0)</f>
        <v>0</v>
      </c>
      <c r="P480" s="139">
        <f>IF(AND('Ações'!$AD490="SIM", 'Ações'!AV490="SIM"), 1,0)</f>
        <v>0</v>
      </c>
      <c r="Q480" s="139">
        <f>IF(AND('Ações'!$AD490="SIM", 'Ações'!AW490="SIM"), 1,0)</f>
        <v>0</v>
      </c>
      <c r="R480" s="139">
        <f>IF(AND('Ações'!$AD490="SIM", 'Ações'!AX490="SIM"), 1,0)</f>
        <v>0</v>
      </c>
    </row>
    <row r="481">
      <c r="A481" s="139">
        <f>IF(AND('Ações'!AB491="SIM", 'Ações'!AS491="SIM"), 1,0)</f>
        <v>1</v>
      </c>
      <c r="B481" s="139">
        <f>IF(AND('Ações'!$AB491="SIM", 'Ações'!AT491="SIM"), 1,0)</f>
        <v>1</v>
      </c>
      <c r="C481" s="139">
        <f>IF(AND('Ações'!$AB491="SIM", 'Ações'!AU491="SIM"), 1,0)</f>
        <v>1</v>
      </c>
      <c r="D481" s="139">
        <f>IF(AND('Ações'!$AB491="SIM", 'Ações'!AV491="SIM"), 1,0)</f>
        <v>1</v>
      </c>
      <c r="E481" s="139">
        <f>IF(AND('Ações'!$AB491="SIM", 'Ações'!AW491="SIM"), 1,0)</f>
        <v>1</v>
      </c>
      <c r="F481" s="139">
        <f>IF(AND('Ações'!$AB491="SIM", 'Ações'!AX491="SIM"), 1,0)</f>
        <v>0</v>
      </c>
      <c r="G481" s="139">
        <f>IF(AND('Ações'!$AC491="SIM", 'Ações'!AS491="SIM"), 1,0)</f>
        <v>1</v>
      </c>
      <c r="H481" s="139">
        <f>IF(AND('Ações'!$AC491="SIM", 'Ações'!AT491="SIM"), 1,0)</f>
        <v>1</v>
      </c>
      <c r="I481" s="139">
        <f>IF(AND('Ações'!$AC491="SIM", 'Ações'!AU491="SIM"), 1,0)</f>
        <v>1</v>
      </c>
      <c r="J481" s="139">
        <f>IF(AND('Ações'!$AC491="SIM", 'Ações'!AV491="SIM"), 1,0)</f>
        <v>1</v>
      </c>
      <c r="K481" s="139">
        <f>IF(AND('Ações'!$AC491="SIM", 'Ações'!AW491="SIM"), 1,0)</f>
        <v>1</v>
      </c>
      <c r="L481" s="139">
        <f>IF(AND('Ações'!$AC491="SIM", 'Ações'!AX491="SIM"), 1,0)</f>
        <v>0</v>
      </c>
      <c r="M481" s="139">
        <f>IF(AND('Ações'!$AD491="SIM", 'Ações'!AS491="SIM"), 1,0)</f>
        <v>1</v>
      </c>
      <c r="N481" s="139">
        <f>IF(AND('Ações'!$AD491="SIM", 'Ações'!AT491="SIM"), 1,0)</f>
        <v>1</v>
      </c>
      <c r="O481" s="139">
        <f>IF(AND('Ações'!$AD491="SIM", 'Ações'!AU491="SIM"), 1,0)</f>
        <v>1</v>
      </c>
      <c r="P481" s="139">
        <f>IF(AND('Ações'!$AD491="SIM", 'Ações'!AV491="SIM"), 1,0)</f>
        <v>1</v>
      </c>
      <c r="Q481" s="139">
        <f>IF(AND('Ações'!$AD491="SIM", 'Ações'!AW491="SIM"), 1,0)</f>
        <v>1</v>
      </c>
      <c r="R481" s="139">
        <f>IF(AND('Ações'!$AD491="SIM", 'Ações'!AX491="SIM"), 1,0)</f>
        <v>0</v>
      </c>
    </row>
    <row r="482">
      <c r="A482" s="139">
        <f>IF(AND('Ações'!AB492="SIM", 'Ações'!AS492="SIM"), 1,0)</f>
        <v>1</v>
      </c>
      <c r="B482" s="139">
        <f>IF(AND('Ações'!$AB492="SIM", 'Ações'!AT492="SIM"), 1,0)</f>
        <v>1</v>
      </c>
      <c r="C482" s="139">
        <f>IF(AND('Ações'!$AB492="SIM", 'Ações'!AU492="SIM"), 1,0)</f>
        <v>1</v>
      </c>
      <c r="D482" s="139">
        <f>IF(AND('Ações'!$AB492="SIM", 'Ações'!AV492="SIM"), 1,0)</f>
        <v>1</v>
      </c>
      <c r="E482" s="139">
        <f>IF(AND('Ações'!$AB492="SIM", 'Ações'!AW492="SIM"), 1,0)</f>
        <v>1</v>
      </c>
      <c r="F482" s="139">
        <f>IF(AND('Ações'!$AB492="SIM", 'Ações'!AX492="SIM"), 1,0)</f>
        <v>0</v>
      </c>
      <c r="G482" s="139">
        <f>IF(AND('Ações'!$AC492="SIM", 'Ações'!AS492="SIM"), 1,0)</f>
        <v>0</v>
      </c>
      <c r="H482" s="139">
        <f>IF(AND('Ações'!$AC492="SIM", 'Ações'!AT492="SIM"), 1,0)</f>
        <v>0</v>
      </c>
      <c r="I482" s="139">
        <f>IF(AND('Ações'!$AC492="SIM", 'Ações'!AU492="SIM"), 1,0)</f>
        <v>0</v>
      </c>
      <c r="J482" s="139">
        <f>IF(AND('Ações'!$AC492="SIM", 'Ações'!AV492="SIM"), 1,0)</f>
        <v>0</v>
      </c>
      <c r="K482" s="139">
        <f>IF(AND('Ações'!$AC492="SIM", 'Ações'!AW492="SIM"), 1,0)</f>
        <v>0</v>
      </c>
      <c r="L482" s="139">
        <f>IF(AND('Ações'!$AC492="SIM", 'Ações'!AX492="SIM"), 1,0)</f>
        <v>0</v>
      </c>
      <c r="M482" s="139">
        <f>IF(AND('Ações'!$AD492="SIM", 'Ações'!AS492="SIM"), 1,0)</f>
        <v>0</v>
      </c>
      <c r="N482" s="139">
        <f>IF(AND('Ações'!$AD492="SIM", 'Ações'!AT492="SIM"), 1,0)</f>
        <v>0</v>
      </c>
      <c r="O482" s="139">
        <f>IF(AND('Ações'!$AD492="SIM", 'Ações'!AU492="SIM"), 1,0)</f>
        <v>0</v>
      </c>
      <c r="P482" s="139">
        <f>IF(AND('Ações'!$AD492="SIM", 'Ações'!AV492="SIM"), 1,0)</f>
        <v>0</v>
      </c>
      <c r="Q482" s="139">
        <f>IF(AND('Ações'!$AD492="SIM", 'Ações'!AW492="SIM"), 1,0)</f>
        <v>0</v>
      </c>
      <c r="R482" s="139">
        <f>IF(AND('Ações'!$AD492="SIM", 'Ações'!AX492="SIM"), 1,0)</f>
        <v>0</v>
      </c>
    </row>
    <row r="483">
      <c r="A483" s="139">
        <f>IF(AND('Ações'!AB493="SIM", 'Ações'!AS493="SIM"), 1,0)</f>
        <v>0</v>
      </c>
      <c r="B483" s="139">
        <f>IF(AND('Ações'!$AB493="SIM", 'Ações'!AT493="SIM"), 1,0)</f>
        <v>0</v>
      </c>
      <c r="C483" s="139">
        <f>IF(AND('Ações'!$AB493="SIM", 'Ações'!AU493="SIM"), 1,0)</f>
        <v>0</v>
      </c>
      <c r="D483" s="139">
        <f>IF(AND('Ações'!$AB493="SIM", 'Ações'!AV493="SIM"), 1,0)</f>
        <v>0</v>
      </c>
      <c r="E483" s="139">
        <f>IF(AND('Ações'!$AB493="SIM", 'Ações'!AW493="SIM"), 1,0)</f>
        <v>0</v>
      </c>
      <c r="F483" s="139">
        <f>IF(AND('Ações'!$AB493="SIM", 'Ações'!AX493="SIM"), 1,0)</f>
        <v>0</v>
      </c>
      <c r="G483" s="139">
        <f>IF(AND('Ações'!$AC493="SIM", 'Ações'!AS493="SIM"), 1,0)</f>
        <v>1</v>
      </c>
      <c r="H483" s="139">
        <f>IF(AND('Ações'!$AC493="SIM", 'Ações'!AT493="SIM"), 1,0)</f>
        <v>1</v>
      </c>
      <c r="I483" s="139">
        <f>IF(AND('Ações'!$AC493="SIM", 'Ações'!AU493="SIM"), 1,0)</f>
        <v>1</v>
      </c>
      <c r="J483" s="139">
        <f>IF(AND('Ações'!$AC493="SIM", 'Ações'!AV493="SIM"), 1,0)</f>
        <v>1</v>
      </c>
      <c r="K483" s="139">
        <f>IF(AND('Ações'!$AC493="SIM", 'Ações'!AW493="SIM"), 1,0)</f>
        <v>1</v>
      </c>
      <c r="L483" s="139">
        <f>IF(AND('Ações'!$AC493="SIM", 'Ações'!AX493="SIM"), 1,0)</f>
        <v>0</v>
      </c>
      <c r="M483" s="139">
        <f>IF(AND('Ações'!$AD493="SIM", 'Ações'!AS493="SIM"), 1,0)</f>
        <v>1</v>
      </c>
      <c r="N483" s="139">
        <f>IF(AND('Ações'!$AD493="SIM", 'Ações'!AT493="SIM"), 1,0)</f>
        <v>1</v>
      </c>
      <c r="O483" s="139">
        <f>IF(AND('Ações'!$AD493="SIM", 'Ações'!AU493="SIM"), 1,0)</f>
        <v>1</v>
      </c>
      <c r="P483" s="139">
        <f>IF(AND('Ações'!$AD493="SIM", 'Ações'!AV493="SIM"), 1,0)</f>
        <v>1</v>
      </c>
      <c r="Q483" s="139">
        <f>IF(AND('Ações'!$AD493="SIM", 'Ações'!AW493="SIM"), 1,0)</f>
        <v>1</v>
      </c>
      <c r="R483" s="139">
        <f>IF(AND('Ações'!$AD493="SIM", 'Ações'!AX493="SIM"), 1,0)</f>
        <v>0</v>
      </c>
    </row>
    <row r="484">
      <c r="A484" s="139">
        <f>IF(AND('Ações'!AB494="SIM", 'Ações'!AS494="SIM"), 1,0)</f>
        <v>1</v>
      </c>
      <c r="B484" s="139">
        <f>IF(AND('Ações'!$AB494="SIM", 'Ações'!AT494="SIM"), 1,0)</f>
        <v>1</v>
      </c>
      <c r="C484" s="139">
        <f>IF(AND('Ações'!$AB494="SIM", 'Ações'!AU494="SIM"), 1,0)</f>
        <v>1</v>
      </c>
      <c r="D484" s="139">
        <f>IF(AND('Ações'!$AB494="SIM", 'Ações'!AV494="SIM"), 1,0)</f>
        <v>1</v>
      </c>
      <c r="E484" s="139">
        <f>IF(AND('Ações'!$AB494="SIM", 'Ações'!AW494="SIM"), 1,0)</f>
        <v>1</v>
      </c>
      <c r="F484" s="139">
        <f>IF(AND('Ações'!$AB494="SIM", 'Ações'!AX494="SIM"), 1,0)</f>
        <v>0</v>
      </c>
      <c r="G484" s="139">
        <f>IF(AND('Ações'!$AC494="SIM", 'Ações'!AS494="SIM"), 1,0)</f>
        <v>0</v>
      </c>
      <c r="H484" s="139">
        <f>IF(AND('Ações'!$AC494="SIM", 'Ações'!AT494="SIM"), 1,0)</f>
        <v>0</v>
      </c>
      <c r="I484" s="139">
        <f>IF(AND('Ações'!$AC494="SIM", 'Ações'!AU494="SIM"), 1,0)</f>
        <v>0</v>
      </c>
      <c r="J484" s="139">
        <f>IF(AND('Ações'!$AC494="SIM", 'Ações'!AV494="SIM"), 1,0)</f>
        <v>0</v>
      </c>
      <c r="K484" s="139">
        <f>IF(AND('Ações'!$AC494="SIM", 'Ações'!AW494="SIM"), 1,0)</f>
        <v>0</v>
      </c>
      <c r="L484" s="139">
        <f>IF(AND('Ações'!$AC494="SIM", 'Ações'!AX494="SIM"), 1,0)</f>
        <v>0</v>
      </c>
      <c r="M484" s="139">
        <f>IF(AND('Ações'!$AD494="SIM", 'Ações'!AS494="SIM"), 1,0)</f>
        <v>0</v>
      </c>
      <c r="N484" s="139">
        <f>IF(AND('Ações'!$AD494="SIM", 'Ações'!AT494="SIM"), 1,0)</f>
        <v>0</v>
      </c>
      <c r="O484" s="139">
        <f>IF(AND('Ações'!$AD494="SIM", 'Ações'!AU494="SIM"), 1,0)</f>
        <v>0</v>
      </c>
      <c r="P484" s="139">
        <f>IF(AND('Ações'!$AD494="SIM", 'Ações'!AV494="SIM"), 1,0)</f>
        <v>0</v>
      </c>
      <c r="Q484" s="139">
        <f>IF(AND('Ações'!$AD494="SIM", 'Ações'!AW494="SIM"), 1,0)</f>
        <v>0</v>
      </c>
      <c r="R484" s="139">
        <f>IF(AND('Ações'!$AD494="SIM", 'Ações'!AX494="SIM"), 1,0)</f>
        <v>0</v>
      </c>
    </row>
    <row r="485">
      <c r="A485" s="139">
        <f>IF(AND('Ações'!AB495="SIM", 'Ações'!AS495="SIM"), 1,0)</f>
        <v>0</v>
      </c>
      <c r="B485" s="139">
        <f>IF(AND('Ações'!$AB495="SIM", 'Ações'!AT495="SIM"), 1,0)</f>
        <v>0</v>
      </c>
      <c r="C485" s="139">
        <f>IF(AND('Ações'!$AB495="SIM", 'Ações'!AU495="SIM"), 1,0)</f>
        <v>0</v>
      </c>
      <c r="D485" s="139">
        <f>IF(AND('Ações'!$AB495="SIM", 'Ações'!AV495="SIM"), 1,0)</f>
        <v>0</v>
      </c>
      <c r="E485" s="139">
        <f>IF(AND('Ações'!$AB495="SIM", 'Ações'!AW495="SIM"), 1,0)</f>
        <v>0</v>
      </c>
      <c r="F485" s="139">
        <f>IF(AND('Ações'!$AB495="SIM", 'Ações'!AX495="SIM"), 1,0)</f>
        <v>0</v>
      </c>
      <c r="G485" s="139">
        <f>IF(AND('Ações'!$AC495="SIM", 'Ações'!AS495="SIM"), 1,0)</f>
        <v>1</v>
      </c>
      <c r="H485" s="139">
        <f>IF(AND('Ações'!$AC495="SIM", 'Ações'!AT495="SIM"), 1,0)</f>
        <v>1</v>
      </c>
      <c r="I485" s="139">
        <f>IF(AND('Ações'!$AC495="SIM", 'Ações'!AU495="SIM"), 1,0)</f>
        <v>1</v>
      </c>
      <c r="J485" s="139">
        <f>IF(AND('Ações'!$AC495="SIM", 'Ações'!AV495="SIM"), 1,0)</f>
        <v>1</v>
      </c>
      <c r="K485" s="139">
        <f>IF(AND('Ações'!$AC495="SIM", 'Ações'!AW495="SIM"), 1,0)</f>
        <v>1</v>
      </c>
      <c r="L485" s="139">
        <f>IF(AND('Ações'!$AC495="SIM", 'Ações'!AX495="SIM"), 1,0)</f>
        <v>0</v>
      </c>
      <c r="M485" s="139">
        <f>IF(AND('Ações'!$AD495="SIM", 'Ações'!AS495="SIM"), 1,0)</f>
        <v>1</v>
      </c>
      <c r="N485" s="139">
        <f>IF(AND('Ações'!$AD495="SIM", 'Ações'!AT495="SIM"), 1,0)</f>
        <v>1</v>
      </c>
      <c r="O485" s="139">
        <f>IF(AND('Ações'!$AD495="SIM", 'Ações'!AU495="SIM"), 1,0)</f>
        <v>1</v>
      </c>
      <c r="P485" s="139">
        <f>IF(AND('Ações'!$AD495="SIM", 'Ações'!AV495="SIM"), 1,0)</f>
        <v>1</v>
      </c>
      <c r="Q485" s="139">
        <f>IF(AND('Ações'!$AD495="SIM", 'Ações'!AW495="SIM"), 1,0)</f>
        <v>1</v>
      </c>
      <c r="R485" s="139">
        <f>IF(AND('Ações'!$AD495="SIM", 'Ações'!AX495="SIM"), 1,0)</f>
        <v>0</v>
      </c>
    </row>
    <row r="486">
      <c r="A486" s="139">
        <f>IF(AND('Ações'!AB496="SIM", 'Ações'!AS496="SIM"), 1,0)</f>
        <v>0</v>
      </c>
      <c r="B486" s="139">
        <f>IF(AND('Ações'!$AB496="SIM", 'Ações'!AT496="SIM"), 1,0)</f>
        <v>0</v>
      </c>
      <c r="C486" s="139">
        <f>IF(AND('Ações'!$AB496="SIM", 'Ações'!AU496="SIM"), 1,0)</f>
        <v>0</v>
      </c>
      <c r="D486" s="139">
        <f>IF(AND('Ações'!$AB496="SIM", 'Ações'!AV496="SIM"), 1,0)</f>
        <v>0</v>
      </c>
      <c r="E486" s="139">
        <f>IF(AND('Ações'!$AB496="SIM", 'Ações'!AW496="SIM"), 1,0)</f>
        <v>0</v>
      </c>
      <c r="F486" s="139">
        <f>IF(AND('Ações'!$AB496="SIM", 'Ações'!AX496="SIM"), 1,0)</f>
        <v>0</v>
      </c>
      <c r="G486" s="139">
        <f>IF(AND('Ações'!$AC496="SIM", 'Ações'!AS496="SIM"), 1,0)</f>
        <v>1</v>
      </c>
      <c r="H486" s="139">
        <f>IF(AND('Ações'!$AC496="SIM", 'Ações'!AT496="SIM"), 1,0)</f>
        <v>1</v>
      </c>
      <c r="I486" s="139">
        <f>IF(AND('Ações'!$AC496="SIM", 'Ações'!AU496="SIM"), 1,0)</f>
        <v>1</v>
      </c>
      <c r="J486" s="139">
        <f>IF(AND('Ações'!$AC496="SIM", 'Ações'!AV496="SIM"), 1,0)</f>
        <v>1</v>
      </c>
      <c r="K486" s="139">
        <f>IF(AND('Ações'!$AC496="SIM", 'Ações'!AW496="SIM"), 1,0)</f>
        <v>1</v>
      </c>
      <c r="L486" s="139">
        <f>IF(AND('Ações'!$AC496="SIM", 'Ações'!AX496="SIM"), 1,0)</f>
        <v>0</v>
      </c>
      <c r="M486" s="139">
        <f>IF(AND('Ações'!$AD496="SIM", 'Ações'!AS496="SIM"), 1,0)</f>
        <v>0</v>
      </c>
      <c r="N486" s="139">
        <f>IF(AND('Ações'!$AD496="SIM", 'Ações'!AT496="SIM"), 1,0)</f>
        <v>0</v>
      </c>
      <c r="O486" s="139">
        <f>IF(AND('Ações'!$AD496="SIM", 'Ações'!AU496="SIM"), 1,0)</f>
        <v>0</v>
      </c>
      <c r="P486" s="139">
        <f>IF(AND('Ações'!$AD496="SIM", 'Ações'!AV496="SIM"), 1,0)</f>
        <v>0</v>
      </c>
      <c r="Q486" s="139">
        <f>IF(AND('Ações'!$AD496="SIM", 'Ações'!AW496="SIM"), 1,0)</f>
        <v>0</v>
      </c>
      <c r="R486" s="139">
        <f>IF(AND('Ações'!$AD496="SIM", 'Ações'!AX496="SIM"), 1,0)</f>
        <v>0</v>
      </c>
    </row>
    <row r="487">
      <c r="A487" s="139">
        <f>IF(AND('Ações'!AB497="SIM", 'Ações'!AS497="SIM"), 1,0)</f>
        <v>1</v>
      </c>
      <c r="B487" s="139">
        <f>IF(AND('Ações'!$AB497="SIM", 'Ações'!AT497="SIM"), 1,0)</f>
        <v>1</v>
      </c>
      <c r="C487" s="139">
        <f>IF(AND('Ações'!$AB497="SIM", 'Ações'!AU497="SIM"), 1,0)</f>
        <v>1</v>
      </c>
      <c r="D487" s="139">
        <f>IF(AND('Ações'!$AB497="SIM", 'Ações'!AV497="SIM"), 1,0)</f>
        <v>1</v>
      </c>
      <c r="E487" s="139">
        <f>IF(AND('Ações'!$AB497="SIM", 'Ações'!AW497="SIM"), 1,0)</f>
        <v>1</v>
      </c>
      <c r="F487" s="139">
        <f>IF(AND('Ações'!$AB497="SIM", 'Ações'!AX497="SIM"), 1,0)</f>
        <v>1</v>
      </c>
      <c r="G487" s="139">
        <f>IF(AND('Ações'!$AC497="SIM", 'Ações'!AS497="SIM"), 1,0)</f>
        <v>0</v>
      </c>
      <c r="H487" s="139">
        <f>IF(AND('Ações'!$AC497="SIM", 'Ações'!AT497="SIM"), 1,0)</f>
        <v>0</v>
      </c>
      <c r="I487" s="139">
        <f>IF(AND('Ações'!$AC497="SIM", 'Ações'!AU497="SIM"), 1,0)</f>
        <v>0</v>
      </c>
      <c r="J487" s="139">
        <f>IF(AND('Ações'!$AC497="SIM", 'Ações'!AV497="SIM"), 1,0)</f>
        <v>0</v>
      </c>
      <c r="K487" s="139">
        <f>IF(AND('Ações'!$AC497="SIM", 'Ações'!AW497="SIM"), 1,0)</f>
        <v>0</v>
      </c>
      <c r="L487" s="139">
        <f>IF(AND('Ações'!$AC497="SIM", 'Ações'!AX497="SIM"), 1,0)</f>
        <v>0</v>
      </c>
      <c r="M487" s="139">
        <f>IF(AND('Ações'!$AD497="SIM", 'Ações'!AS497="SIM"), 1,0)</f>
        <v>0</v>
      </c>
      <c r="N487" s="139">
        <f>IF(AND('Ações'!$AD497="SIM", 'Ações'!AT497="SIM"), 1,0)</f>
        <v>0</v>
      </c>
      <c r="O487" s="139">
        <f>IF(AND('Ações'!$AD497="SIM", 'Ações'!AU497="SIM"), 1,0)</f>
        <v>0</v>
      </c>
      <c r="P487" s="139">
        <f>IF(AND('Ações'!$AD497="SIM", 'Ações'!AV497="SIM"), 1,0)</f>
        <v>0</v>
      </c>
      <c r="Q487" s="139">
        <f>IF(AND('Ações'!$AD497="SIM", 'Ações'!AW497="SIM"), 1,0)</f>
        <v>0</v>
      </c>
      <c r="R487" s="139">
        <f>IF(AND('Ações'!$AD497="SIM", 'Ações'!AX497="SIM"), 1,0)</f>
        <v>0</v>
      </c>
    </row>
    <row r="488">
      <c r="A488" s="139">
        <f>IF(AND('Ações'!AB498="SIM", 'Ações'!AS498="SIM"), 1,0)</f>
        <v>1</v>
      </c>
      <c r="B488" s="139">
        <f>IF(AND('Ações'!$AB498="SIM", 'Ações'!AT498="SIM"), 1,0)</f>
        <v>1</v>
      </c>
      <c r="C488" s="139">
        <f>IF(AND('Ações'!$AB498="SIM", 'Ações'!AU498="SIM"), 1,0)</f>
        <v>1</v>
      </c>
      <c r="D488" s="139">
        <f>IF(AND('Ações'!$AB498="SIM", 'Ações'!AV498="SIM"), 1,0)</f>
        <v>1</v>
      </c>
      <c r="E488" s="139">
        <f>IF(AND('Ações'!$AB498="SIM", 'Ações'!AW498="SIM"), 1,0)</f>
        <v>1</v>
      </c>
      <c r="F488" s="139">
        <f>IF(AND('Ações'!$AB498="SIM", 'Ações'!AX498="SIM"), 1,0)</f>
        <v>1</v>
      </c>
      <c r="G488" s="139">
        <f>IF(AND('Ações'!$AC498="SIM", 'Ações'!AS498="SIM"), 1,0)</f>
        <v>0</v>
      </c>
      <c r="H488" s="139">
        <f>IF(AND('Ações'!$AC498="SIM", 'Ações'!AT498="SIM"), 1,0)</f>
        <v>0</v>
      </c>
      <c r="I488" s="139">
        <f>IF(AND('Ações'!$AC498="SIM", 'Ações'!AU498="SIM"), 1,0)</f>
        <v>0</v>
      </c>
      <c r="J488" s="139">
        <f>IF(AND('Ações'!$AC498="SIM", 'Ações'!AV498="SIM"), 1,0)</f>
        <v>0</v>
      </c>
      <c r="K488" s="139">
        <f>IF(AND('Ações'!$AC498="SIM", 'Ações'!AW498="SIM"), 1,0)</f>
        <v>0</v>
      </c>
      <c r="L488" s="139">
        <f>IF(AND('Ações'!$AC498="SIM", 'Ações'!AX498="SIM"), 1,0)</f>
        <v>0</v>
      </c>
      <c r="M488" s="139">
        <f>IF(AND('Ações'!$AD498="SIM", 'Ações'!AS498="SIM"), 1,0)</f>
        <v>0</v>
      </c>
      <c r="N488" s="139">
        <f>IF(AND('Ações'!$AD498="SIM", 'Ações'!AT498="SIM"), 1,0)</f>
        <v>0</v>
      </c>
      <c r="O488" s="139">
        <f>IF(AND('Ações'!$AD498="SIM", 'Ações'!AU498="SIM"), 1,0)</f>
        <v>0</v>
      </c>
      <c r="P488" s="139">
        <f>IF(AND('Ações'!$AD498="SIM", 'Ações'!AV498="SIM"), 1,0)</f>
        <v>0</v>
      </c>
      <c r="Q488" s="139">
        <f>IF(AND('Ações'!$AD498="SIM", 'Ações'!AW498="SIM"), 1,0)</f>
        <v>0</v>
      </c>
      <c r="R488" s="139">
        <f>IF(AND('Ações'!$AD498="SIM", 'Ações'!AX498="SIM"), 1,0)</f>
        <v>0</v>
      </c>
    </row>
    <row r="489">
      <c r="A489" s="139">
        <f>IF(AND('Ações'!AB499="SIM", 'Ações'!AS499="SIM"), 1,0)</f>
        <v>0</v>
      </c>
      <c r="B489" s="139">
        <f>IF(AND('Ações'!$AB499="SIM", 'Ações'!AT499="SIM"), 1,0)</f>
        <v>0</v>
      </c>
      <c r="C489" s="139">
        <f>IF(AND('Ações'!$AB499="SIM", 'Ações'!AU499="SIM"), 1,0)</f>
        <v>0</v>
      </c>
      <c r="D489" s="139">
        <f>IF(AND('Ações'!$AB499="SIM", 'Ações'!AV499="SIM"), 1,0)</f>
        <v>0</v>
      </c>
      <c r="E489" s="139">
        <f>IF(AND('Ações'!$AB499="SIM", 'Ações'!AW499="SIM"), 1,0)</f>
        <v>0</v>
      </c>
      <c r="F489" s="139">
        <f>IF(AND('Ações'!$AB499="SIM", 'Ações'!AX499="SIM"), 1,0)</f>
        <v>0</v>
      </c>
      <c r="G489" s="139">
        <f>IF(AND('Ações'!$AC499="SIM", 'Ações'!AS499="SIM"), 1,0)</f>
        <v>1</v>
      </c>
      <c r="H489" s="139">
        <f>IF(AND('Ações'!$AC499="SIM", 'Ações'!AT499="SIM"), 1,0)</f>
        <v>1</v>
      </c>
      <c r="I489" s="139">
        <f>IF(AND('Ações'!$AC499="SIM", 'Ações'!AU499="SIM"), 1,0)</f>
        <v>1</v>
      </c>
      <c r="J489" s="139">
        <f>IF(AND('Ações'!$AC499="SIM", 'Ações'!AV499="SIM"), 1,0)</f>
        <v>1</v>
      </c>
      <c r="K489" s="139">
        <f>IF(AND('Ações'!$AC499="SIM", 'Ações'!AW499="SIM"), 1,0)</f>
        <v>1</v>
      </c>
      <c r="L489" s="139">
        <f>IF(AND('Ações'!$AC499="SIM", 'Ações'!AX499="SIM"), 1,0)</f>
        <v>1</v>
      </c>
      <c r="M489" s="139">
        <f>IF(AND('Ações'!$AD499="SIM", 'Ações'!AS499="SIM"), 1,0)</f>
        <v>1</v>
      </c>
      <c r="N489" s="139">
        <f>IF(AND('Ações'!$AD499="SIM", 'Ações'!AT499="SIM"), 1,0)</f>
        <v>1</v>
      </c>
      <c r="O489" s="139">
        <f>IF(AND('Ações'!$AD499="SIM", 'Ações'!AU499="SIM"), 1,0)</f>
        <v>1</v>
      </c>
      <c r="P489" s="139">
        <f>IF(AND('Ações'!$AD499="SIM", 'Ações'!AV499="SIM"), 1,0)</f>
        <v>1</v>
      </c>
      <c r="Q489" s="139">
        <f>IF(AND('Ações'!$AD499="SIM", 'Ações'!AW499="SIM"), 1,0)</f>
        <v>1</v>
      </c>
      <c r="R489" s="139">
        <f>IF(AND('Ações'!$AD499="SIM", 'Ações'!AX499="SIM"), 1,0)</f>
        <v>1</v>
      </c>
    </row>
    <row r="490">
      <c r="A490" s="139">
        <f>IF(AND('Ações'!AB500="SIM", 'Ações'!AS500="SIM"), 1,0)</f>
        <v>0</v>
      </c>
      <c r="B490" s="139">
        <f>IF(AND('Ações'!$AB500="SIM", 'Ações'!AT500="SIM"), 1,0)</f>
        <v>0</v>
      </c>
      <c r="C490" s="139">
        <f>IF(AND('Ações'!$AB500="SIM", 'Ações'!AU500="SIM"), 1,0)</f>
        <v>0</v>
      </c>
      <c r="D490" s="139">
        <f>IF(AND('Ações'!$AB500="SIM", 'Ações'!AV500="SIM"), 1,0)</f>
        <v>0</v>
      </c>
      <c r="E490" s="139">
        <f>IF(AND('Ações'!$AB500="SIM", 'Ações'!AW500="SIM"), 1,0)</f>
        <v>0</v>
      </c>
      <c r="F490" s="139">
        <f>IF(AND('Ações'!$AB500="SIM", 'Ações'!AX500="SIM"), 1,0)</f>
        <v>0</v>
      </c>
      <c r="G490" s="139">
        <f>IF(AND('Ações'!$AC500="SIM", 'Ações'!AS500="SIM"), 1,0)</f>
        <v>1</v>
      </c>
      <c r="H490" s="139">
        <f>IF(AND('Ações'!$AC500="SIM", 'Ações'!AT500="SIM"), 1,0)</f>
        <v>1</v>
      </c>
      <c r="I490" s="139">
        <f>IF(AND('Ações'!$AC500="SIM", 'Ações'!AU500="SIM"), 1,0)</f>
        <v>1</v>
      </c>
      <c r="J490" s="139">
        <f>IF(AND('Ações'!$AC500="SIM", 'Ações'!AV500="SIM"), 1,0)</f>
        <v>1</v>
      </c>
      <c r="K490" s="139">
        <f>IF(AND('Ações'!$AC500="SIM", 'Ações'!AW500="SIM"), 1,0)</f>
        <v>1</v>
      </c>
      <c r="L490" s="139">
        <f>IF(AND('Ações'!$AC500="SIM", 'Ações'!AX500="SIM"), 1,0)</f>
        <v>1</v>
      </c>
      <c r="M490" s="139">
        <f>IF(AND('Ações'!$AD500="SIM", 'Ações'!AS500="SIM"), 1,0)</f>
        <v>0</v>
      </c>
      <c r="N490" s="139">
        <f>IF(AND('Ações'!$AD500="SIM", 'Ações'!AT500="SIM"), 1,0)</f>
        <v>0</v>
      </c>
      <c r="O490" s="139">
        <f>IF(AND('Ações'!$AD500="SIM", 'Ações'!AU500="SIM"), 1,0)</f>
        <v>0</v>
      </c>
      <c r="P490" s="139">
        <f>IF(AND('Ações'!$AD500="SIM", 'Ações'!AV500="SIM"), 1,0)</f>
        <v>0</v>
      </c>
      <c r="Q490" s="139">
        <f>IF(AND('Ações'!$AD500="SIM", 'Ações'!AW500="SIM"), 1,0)</f>
        <v>0</v>
      </c>
      <c r="R490" s="139">
        <f>IF(AND('Ações'!$AD500="SIM", 'Ações'!AX500="SIM"), 1,0)</f>
        <v>0</v>
      </c>
    </row>
    <row r="491">
      <c r="A491" s="139">
        <f>IF(AND('Ações'!AB501="SIM", 'Ações'!AS501="SIM"), 1,0)</f>
        <v>1</v>
      </c>
      <c r="B491" s="139">
        <f>IF(AND('Ações'!$AB501="SIM", 'Ações'!AT501="SIM"), 1,0)</f>
        <v>1</v>
      </c>
      <c r="C491" s="139">
        <f>IF(AND('Ações'!$AB501="SIM", 'Ações'!AU501="SIM"), 1,0)</f>
        <v>1</v>
      </c>
      <c r="D491" s="139">
        <f>IF(AND('Ações'!$AB501="SIM", 'Ações'!AV501="SIM"), 1,0)</f>
        <v>1</v>
      </c>
      <c r="E491" s="139">
        <f>IF(AND('Ações'!$AB501="SIM", 'Ações'!AW501="SIM"), 1,0)</f>
        <v>1</v>
      </c>
      <c r="F491" s="139">
        <f>IF(AND('Ações'!$AB501="SIM", 'Ações'!AX501="SIM"), 1,0)</f>
        <v>1</v>
      </c>
      <c r="G491" s="139">
        <f>IF(AND('Ações'!$AC501="SIM", 'Ações'!AS501="SIM"), 1,0)</f>
        <v>0</v>
      </c>
      <c r="H491" s="139">
        <f>IF(AND('Ações'!$AC501="SIM", 'Ações'!AT501="SIM"), 1,0)</f>
        <v>0</v>
      </c>
      <c r="I491" s="139">
        <f>IF(AND('Ações'!$AC501="SIM", 'Ações'!AU501="SIM"), 1,0)</f>
        <v>0</v>
      </c>
      <c r="J491" s="139">
        <f>IF(AND('Ações'!$AC501="SIM", 'Ações'!AV501="SIM"), 1,0)</f>
        <v>0</v>
      </c>
      <c r="K491" s="139">
        <f>IF(AND('Ações'!$AC501="SIM", 'Ações'!AW501="SIM"), 1,0)</f>
        <v>0</v>
      </c>
      <c r="L491" s="139">
        <f>IF(AND('Ações'!$AC501="SIM", 'Ações'!AX501="SIM"), 1,0)</f>
        <v>0</v>
      </c>
      <c r="M491" s="139">
        <f>IF(AND('Ações'!$AD501="SIM", 'Ações'!AS501="SIM"), 1,0)</f>
        <v>0</v>
      </c>
      <c r="N491" s="139">
        <f>IF(AND('Ações'!$AD501="SIM", 'Ações'!AT501="SIM"), 1,0)</f>
        <v>0</v>
      </c>
      <c r="O491" s="139">
        <f>IF(AND('Ações'!$AD501="SIM", 'Ações'!AU501="SIM"), 1,0)</f>
        <v>0</v>
      </c>
      <c r="P491" s="139">
        <f>IF(AND('Ações'!$AD501="SIM", 'Ações'!AV501="SIM"), 1,0)</f>
        <v>0</v>
      </c>
      <c r="Q491" s="139">
        <f>IF(AND('Ações'!$AD501="SIM", 'Ações'!AW501="SIM"), 1,0)</f>
        <v>0</v>
      </c>
      <c r="R491" s="139">
        <f>IF(AND('Ações'!$AD501="SIM", 'Ações'!AX501="SIM"), 1,0)</f>
        <v>0</v>
      </c>
    </row>
    <row r="492">
      <c r="A492" s="139">
        <f>IF(AND('Ações'!AB502="SIM", 'Ações'!AS502="SIM"), 1,0)</f>
        <v>0</v>
      </c>
      <c r="B492" s="139">
        <f>IF(AND('Ações'!$AB502="SIM", 'Ações'!AT502="SIM"), 1,0)</f>
        <v>0</v>
      </c>
      <c r="C492" s="139">
        <f>IF(AND('Ações'!$AB502="SIM", 'Ações'!AU502="SIM"), 1,0)</f>
        <v>0</v>
      </c>
      <c r="D492" s="139">
        <f>IF(AND('Ações'!$AB502="SIM", 'Ações'!AV502="SIM"), 1,0)</f>
        <v>0</v>
      </c>
      <c r="E492" s="139">
        <f>IF(AND('Ações'!$AB502="SIM", 'Ações'!AW502="SIM"), 1,0)</f>
        <v>0</v>
      </c>
      <c r="F492" s="139">
        <f>IF(AND('Ações'!$AB502="SIM", 'Ações'!AX502="SIM"), 1,0)</f>
        <v>0</v>
      </c>
      <c r="G492" s="139">
        <f>IF(AND('Ações'!$AC502="SIM", 'Ações'!AS502="SIM"), 1,0)</f>
        <v>1</v>
      </c>
      <c r="H492" s="139">
        <f>IF(AND('Ações'!$AC502="SIM", 'Ações'!AT502="SIM"), 1,0)</f>
        <v>1</v>
      </c>
      <c r="I492" s="139">
        <f>IF(AND('Ações'!$AC502="SIM", 'Ações'!AU502="SIM"), 1,0)</f>
        <v>1</v>
      </c>
      <c r="J492" s="139">
        <f>IF(AND('Ações'!$AC502="SIM", 'Ações'!AV502="SIM"), 1,0)</f>
        <v>1</v>
      </c>
      <c r="K492" s="139">
        <f>IF(AND('Ações'!$AC502="SIM", 'Ações'!AW502="SIM"), 1,0)</f>
        <v>1</v>
      </c>
      <c r="L492" s="139">
        <f>IF(AND('Ações'!$AC502="SIM", 'Ações'!AX502="SIM"), 1,0)</f>
        <v>1</v>
      </c>
      <c r="M492" s="139">
        <f>IF(AND('Ações'!$AD502="SIM", 'Ações'!AS502="SIM"), 1,0)</f>
        <v>0</v>
      </c>
      <c r="N492" s="139">
        <f>IF(AND('Ações'!$AD502="SIM", 'Ações'!AT502="SIM"), 1,0)</f>
        <v>0</v>
      </c>
      <c r="O492" s="139">
        <f>IF(AND('Ações'!$AD502="SIM", 'Ações'!AU502="SIM"), 1,0)</f>
        <v>0</v>
      </c>
      <c r="P492" s="139">
        <f>IF(AND('Ações'!$AD502="SIM", 'Ações'!AV502="SIM"), 1,0)</f>
        <v>0</v>
      </c>
      <c r="Q492" s="139">
        <f>IF(AND('Ações'!$AD502="SIM", 'Ações'!AW502="SIM"), 1,0)</f>
        <v>0</v>
      </c>
      <c r="R492" s="139">
        <f>IF(AND('Ações'!$AD502="SIM", 'Ações'!AX502="SIM"), 1,0)</f>
        <v>0</v>
      </c>
    </row>
    <row r="493">
      <c r="A493" s="139">
        <f>IF(AND('Ações'!AB503="SIM", 'Ações'!AS503="SIM"), 1,0)</f>
        <v>0</v>
      </c>
      <c r="B493" s="139">
        <f>IF(AND('Ações'!$AB503="SIM", 'Ações'!AT503="SIM"), 1,0)</f>
        <v>0</v>
      </c>
      <c r="C493" s="139">
        <f>IF(AND('Ações'!$AB503="SIM", 'Ações'!AU503="SIM"), 1,0)</f>
        <v>0</v>
      </c>
      <c r="D493" s="139">
        <f>IF(AND('Ações'!$AB503="SIM", 'Ações'!AV503="SIM"), 1,0)</f>
        <v>0</v>
      </c>
      <c r="E493" s="139">
        <f>IF(AND('Ações'!$AB503="SIM", 'Ações'!AW503="SIM"), 1,0)</f>
        <v>0</v>
      </c>
      <c r="F493" s="139">
        <f>IF(AND('Ações'!$AB503="SIM", 'Ações'!AX503="SIM"), 1,0)</f>
        <v>0</v>
      </c>
      <c r="G493" s="139">
        <f>IF(AND('Ações'!$AC503="SIM", 'Ações'!AS503="SIM"), 1,0)</f>
        <v>1</v>
      </c>
      <c r="H493" s="139">
        <f>IF(AND('Ações'!$AC503="SIM", 'Ações'!AT503="SIM"), 1,0)</f>
        <v>1</v>
      </c>
      <c r="I493" s="139">
        <f>IF(AND('Ações'!$AC503="SIM", 'Ações'!AU503="SIM"), 1,0)</f>
        <v>1</v>
      </c>
      <c r="J493" s="139">
        <f>IF(AND('Ações'!$AC503="SIM", 'Ações'!AV503="SIM"), 1,0)</f>
        <v>1</v>
      </c>
      <c r="K493" s="139">
        <f>IF(AND('Ações'!$AC503="SIM", 'Ações'!AW503="SIM"), 1,0)</f>
        <v>1</v>
      </c>
      <c r="L493" s="139">
        <f>IF(AND('Ações'!$AC503="SIM", 'Ações'!AX503="SIM"), 1,0)</f>
        <v>1</v>
      </c>
      <c r="M493" s="139">
        <f>IF(AND('Ações'!$AD503="SIM", 'Ações'!AS503="SIM"), 1,0)</f>
        <v>0</v>
      </c>
      <c r="N493" s="139">
        <f>IF(AND('Ações'!$AD503="SIM", 'Ações'!AT503="SIM"), 1,0)</f>
        <v>0</v>
      </c>
      <c r="O493" s="139">
        <f>IF(AND('Ações'!$AD503="SIM", 'Ações'!AU503="SIM"), 1,0)</f>
        <v>0</v>
      </c>
      <c r="P493" s="139">
        <f>IF(AND('Ações'!$AD503="SIM", 'Ações'!AV503="SIM"), 1,0)</f>
        <v>0</v>
      </c>
      <c r="Q493" s="139">
        <f>IF(AND('Ações'!$AD503="SIM", 'Ações'!AW503="SIM"), 1,0)</f>
        <v>0</v>
      </c>
      <c r="R493" s="139">
        <f>IF(AND('Ações'!$AD503="SIM", 'Ações'!AX503="SIM"), 1,0)</f>
        <v>0</v>
      </c>
    </row>
    <row r="494">
      <c r="A494" s="139">
        <f>IF(AND('Ações'!AB504="SIM", 'Ações'!AS504="SIM"), 1,0)</f>
        <v>0</v>
      </c>
      <c r="B494" s="139">
        <f>IF(AND('Ações'!$AB504="SIM", 'Ações'!AT504="SIM"), 1,0)</f>
        <v>0</v>
      </c>
      <c r="C494" s="139">
        <f>IF(AND('Ações'!$AB504="SIM", 'Ações'!AU504="SIM"), 1,0)</f>
        <v>0</v>
      </c>
      <c r="D494" s="139">
        <f>IF(AND('Ações'!$AB504="SIM", 'Ações'!AV504="SIM"), 1,0)</f>
        <v>0</v>
      </c>
      <c r="E494" s="139">
        <f>IF(AND('Ações'!$AB504="SIM", 'Ações'!AW504="SIM"), 1,0)</f>
        <v>0</v>
      </c>
      <c r="F494" s="139">
        <f>IF(AND('Ações'!$AB504="SIM", 'Ações'!AX504="SIM"), 1,0)</f>
        <v>0</v>
      </c>
      <c r="G494" s="139">
        <f>IF(AND('Ações'!$AC504="SIM", 'Ações'!AS504="SIM"), 1,0)</f>
        <v>1</v>
      </c>
      <c r="H494" s="139">
        <f>IF(AND('Ações'!$AC504="SIM", 'Ações'!AT504="SIM"), 1,0)</f>
        <v>1</v>
      </c>
      <c r="I494" s="139">
        <f>IF(AND('Ações'!$AC504="SIM", 'Ações'!AU504="SIM"), 1,0)</f>
        <v>1</v>
      </c>
      <c r="J494" s="139">
        <f>IF(AND('Ações'!$AC504="SIM", 'Ações'!AV504="SIM"), 1,0)</f>
        <v>1</v>
      </c>
      <c r="K494" s="139">
        <f>IF(AND('Ações'!$AC504="SIM", 'Ações'!AW504="SIM"), 1,0)</f>
        <v>1</v>
      </c>
      <c r="L494" s="139">
        <f>IF(AND('Ações'!$AC504="SIM", 'Ações'!AX504="SIM"), 1,0)</f>
        <v>1</v>
      </c>
      <c r="M494" s="139">
        <f>IF(AND('Ações'!$AD504="SIM", 'Ações'!AS504="SIM"), 1,0)</f>
        <v>0</v>
      </c>
      <c r="N494" s="139">
        <f>IF(AND('Ações'!$AD504="SIM", 'Ações'!AT504="SIM"), 1,0)</f>
        <v>0</v>
      </c>
      <c r="O494" s="139">
        <f>IF(AND('Ações'!$AD504="SIM", 'Ações'!AU504="SIM"), 1,0)</f>
        <v>0</v>
      </c>
      <c r="P494" s="139">
        <f>IF(AND('Ações'!$AD504="SIM", 'Ações'!AV504="SIM"), 1,0)</f>
        <v>0</v>
      </c>
      <c r="Q494" s="139">
        <f>IF(AND('Ações'!$AD504="SIM", 'Ações'!AW504="SIM"), 1,0)</f>
        <v>0</v>
      </c>
      <c r="R494" s="139">
        <f>IF(AND('Ações'!$AD504="SIM", 'Ações'!AX504="SIM"), 1,0)</f>
        <v>0</v>
      </c>
    </row>
    <row r="495">
      <c r="A495" s="139">
        <f>IF(AND('Ações'!AB505="SIM", 'Ações'!AS505="SIM"), 1,0)</f>
        <v>0</v>
      </c>
      <c r="B495" s="139">
        <f>IF(AND('Ações'!$AB505="SIM", 'Ações'!AT505="SIM"), 1,0)</f>
        <v>0</v>
      </c>
      <c r="C495" s="139">
        <f>IF(AND('Ações'!$AB505="SIM", 'Ações'!AU505="SIM"), 1,0)</f>
        <v>0</v>
      </c>
      <c r="D495" s="139">
        <f>IF(AND('Ações'!$AB505="SIM", 'Ações'!AV505="SIM"), 1,0)</f>
        <v>0</v>
      </c>
      <c r="E495" s="139">
        <f>IF(AND('Ações'!$AB505="SIM", 'Ações'!AW505="SIM"), 1,0)</f>
        <v>0</v>
      </c>
      <c r="F495" s="139">
        <f>IF(AND('Ações'!$AB505="SIM", 'Ações'!AX505="SIM"), 1,0)</f>
        <v>0</v>
      </c>
      <c r="G495" s="139">
        <f>IF(AND('Ações'!$AC505="SIM", 'Ações'!AS505="SIM"), 1,0)</f>
        <v>1</v>
      </c>
      <c r="H495" s="139">
        <f>IF(AND('Ações'!$AC505="SIM", 'Ações'!AT505="SIM"), 1,0)</f>
        <v>1</v>
      </c>
      <c r="I495" s="139">
        <f>IF(AND('Ações'!$AC505="SIM", 'Ações'!AU505="SIM"), 1,0)</f>
        <v>1</v>
      </c>
      <c r="J495" s="139">
        <f>IF(AND('Ações'!$AC505="SIM", 'Ações'!AV505="SIM"), 1,0)</f>
        <v>1</v>
      </c>
      <c r="K495" s="139">
        <f>IF(AND('Ações'!$AC505="SIM", 'Ações'!AW505="SIM"), 1,0)</f>
        <v>1</v>
      </c>
      <c r="L495" s="139">
        <f>IF(AND('Ações'!$AC505="SIM", 'Ações'!AX505="SIM"), 1,0)</f>
        <v>1</v>
      </c>
      <c r="M495" s="139">
        <f>IF(AND('Ações'!$AD505="SIM", 'Ações'!AS505="SIM"), 1,0)</f>
        <v>0</v>
      </c>
      <c r="N495" s="139">
        <f>IF(AND('Ações'!$AD505="SIM", 'Ações'!AT505="SIM"), 1,0)</f>
        <v>0</v>
      </c>
      <c r="O495" s="139">
        <f>IF(AND('Ações'!$AD505="SIM", 'Ações'!AU505="SIM"), 1,0)</f>
        <v>0</v>
      </c>
      <c r="P495" s="139">
        <f>IF(AND('Ações'!$AD505="SIM", 'Ações'!AV505="SIM"), 1,0)</f>
        <v>0</v>
      </c>
      <c r="Q495" s="139">
        <f>IF(AND('Ações'!$AD505="SIM", 'Ações'!AW505="SIM"), 1,0)</f>
        <v>0</v>
      </c>
      <c r="R495" s="139">
        <f>IF(AND('Ações'!$AD505="SIM", 'Ações'!AX505="SIM"), 1,0)</f>
        <v>0</v>
      </c>
    </row>
    <row r="496">
      <c r="A496" s="139">
        <f>IF(AND('Ações'!AB506="SIM", 'Ações'!AS506="SIM"), 1,0)</f>
        <v>0</v>
      </c>
      <c r="B496" s="139">
        <f>IF(AND('Ações'!$AB506="SIM", 'Ações'!AT506="SIM"), 1,0)</f>
        <v>0</v>
      </c>
      <c r="C496" s="139">
        <f>IF(AND('Ações'!$AB506="SIM", 'Ações'!AU506="SIM"), 1,0)</f>
        <v>0</v>
      </c>
      <c r="D496" s="139">
        <f>IF(AND('Ações'!$AB506="SIM", 'Ações'!AV506="SIM"), 1,0)</f>
        <v>0</v>
      </c>
      <c r="E496" s="139">
        <f>IF(AND('Ações'!$AB506="SIM", 'Ações'!AW506="SIM"), 1,0)</f>
        <v>0</v>
      </c>
      <c r="F496" s="139">
        <f>IF(AND('Ações'!$AB506="SIM", 'Ações'!AX506="SIM"), 1,0)</f>
        <v>0</v>
      </c>
      <c r="G496" s="139">
        <f>IF(AND('Ações'!$AC506="SIM", 'Ações'!AS506="SIM"), 1,0)</f>
        <v>1</v>
      </c>
      <c r="H496" s="139">
        <f>IF(AND('Ações'!$AC506="SIM", 'Ações'!AT506="SIM"), 1,0)</f>
        <v>1</v>
      </c>
      <c r="I496" s="139">
        <f>IF(AND('Ações'!$AC506="SIM", 'Ações'!AU506="SIM"), 1,0)</f>
        <v>1</v>
      </c>
      <c r="J496" s="139">
        <f>IF(AND('Ações'!$AC506="SIM", 'Ações'!AV506="SIM"), 1,0)</f>
        <v>1</v>
      </c>
      <c r="K496" s="139">
        <f>IF(AND('Ações'!$AC506="SIM", 'Ações'!AW506="SIM"), 1,0)</f>
        <v>1</v>
      </c>
      <c r="L496" s="139">
        <f>IF(AND('Ações'!$AC506="SIM", 'Ações'!AX506="SIM"), 1,0)</f>
        <v>1</v>
      </c>
      <c r="M496" s="139">
        <f>IF(AND('Ações'!$AD506="SIM", 'Ações'!AS506="SIM"), 1,0)</f>
        <v>0</v>
      </c>
      <c r="N496" s="139">
        <f>IF(AND('Ações'!$AD506="SIM", 'Ações'!AT506="SIM"), 1,0)</f>
        <v>0</v>
      </c>
      <c r="O496" s="139">
        <f>IF(AND('Ações'!$AD506="SIM", 'Ações'!AU506="SIM"), 1,0)</f>
        <v>0</v>
      </c>
      <c r="P496" s="139">
        <f>IF(AND('Ações'!$AD506="SIM", 'Ações'!AV506="SIM"), 1,0)</f>
        <v>0</v>
      </c>
      <c r="Q496" s="139">
        <f>IF(AND('Ações'!$AD506="SIM", 'Ações'!AW506="SIM"), 1,0)</f>
        <v>0</v>
      </c>
      <c r="R496" s="139">
        <f>IF(AND('Ações'!$AD506="SIM", 'Ações'!AX506="SIM"), 1,0)</f>
        <v>0</v>
      </c>
    </row>
    <row r="497">
      <c r="A497" s="139">
        <f>IF(AND('Ações'!AB507="SIM", 'Ações'!AS507="SIM"), 1,0)</f>
        <v>1</v>
      </c>
      <c r="B497" s="139">
        <f>IF(AND('Ações'!$AB507="SIM", 'Ações'!AT507="SIM"), 1,0)</f>
        <v>1</v>
      </c>
      <c r="C497" s="139">
        <f>IF(AND('Ações'!$AB507="SIM", 'Ações'!AU507="SIM"), 1,0)</f>
        <v>1</v>
      </c>
      <c r="D497" s="139">
        <f>IF(AND('Ações'!$AB507="SIM", 'Ações'!AV507="SIM"), 1,0)</f>
        <v>1</v>
      </c>
      <c r="E497" s="139">
        <f>IF(AND('Ações'!$AB507="SIM", 'Ações'!AW507="SIM"), 1,0)</f>
        <v>1</v>
      </c>
      <c r="F497" s="139">
        <f>IF(AND('Ações'!$AB507="SIM", 'Ações'!AX507="SIM"), 1,0)</f>
        <v>1</v>
      </c>
      <c r="G497" s="139">
        <f>IF(AND('Ações'!$AC507="SIM", 'Ações'!AS507="SIM"), 1,0)</f>
        <v>1</v>
      </c>
      <c r="H497" s="139">
        <f>IF(AND('Ações'!$AC507="SIM", 'Ações'!AT507="SIM"), 1,0)</f>
        <v>1</v>
      </c>
      <c r="I497" s="139">
        <f>IF(AND('Ações'!$AC507="SIM", 'Ações'!AU507="SIM"), 1,0)</f>
        <v>1</v>
      </c>
      <c r="J497" s="139">
        <f>IF(AND('Ações'!$AC507="SIM", 'Ações'!AV507="SIM"), 1,0)</f>
        <v>1</v>
      </c>
      <c r="K497" s="139">
        <f>IF(AND('Ações'!$AC507="SIM", 'Ações'!AW507="SIM"), 1,0)</f>
        <v>1</v>
      </c>
      <c r="L497" s="139">
        <f>IF(AND('Ações'!$AC507="SIM", 'Ações'!AX507="SIM"), 1,0)</f>
        <v>1</v>
      </c>
      <c r="M497" s="139">
        <f>IF(AND('Ações'!$AD507="SIM", 'Ações'!AS507="SIM"), 1,0)</f>
        <v>0</v>
      </c>
      <c r="N497" s="139">
        <f>IF(AND('Ações'!$AD507="SIM", 'Ações'!AT507="SIM"), 1,0)</f>
        <v>0</v>
      </c>
      <c r="O497" s="139">
        <f>IF(AND('Ações'!$AD507="SIM", 'Ações'!AU507="SIM"), 1,0)</f>
        <v>0</v>
      </c>
      <c r="P497" s="139">
        <f>IF(AND('Ações'!$AD507="SIM", 'Ações'!AV507="SIM"), 1,0)</f>
        <v>0</v>
      </c>
      <c r="Q497" s="139">
        <f>IF(AND('Ações'!$AD507="SIM", 'Ações'!AW507="SIM"), 1,0)</f>
        <v>0</v>
      </c>
      <c r="R497" s="139">
        <f>IF(AND('Ações'!$AD507="SIM", 'Ações'!AX507="SIM"), 1,0)</f>
        <v>0</v>
      </c>
    </row>
    <row r="498">
      <c r="A498" s="139">
        <f>IF(AND('Ações'!AB508="SIM", 'Ações'!AS508="SIM"), 1,0)</f>
        <v>1</v>
      </c>
      <c r="B498" s="139">
        <f>IF(AND('Ações'!$AB508="SIM", 'Ações'!AT508="SIM"), 1,0)</f>
        <v>1</v>
      </c>
      <c r="C498" s="139">
        <f>IF(AND('Ações'!$AB508="SIM", 'Ações'!AU508="SIM"), 1,0)</f>
        <v>1</v>
      </c>
      <c r="D498" s="139">
        <f>IF(AND('Ações'!$AB508="SIM", 'Ações'!AV508="SIM"), 1,0)</f>
        <v>1</v>
      </c>
      <c r="E498" s="139">
        <f>IF(AND('Ações'!$AB508="SIM", 'Ações'!AW508="SIM"), 1,0)</f>
        <v>1</v>
      </c>
      <c r="F498" s="139">
        <f>IF(AND('Ações'!$AB508="SIM", 'Ações'!AX508="SIM"), 1,0)</f>
        <v>1</v>
      </c>
      <c r="G498" s="139">
        <f>IF(AND('Ações'!$AC508="SIM", 'Ações'!AS508="SIM"), 1,0)</f>
        <v>1</v>
      </c>
      <c r="H498" s="139">
        <f>IF(AND('Ações'!$AC508="SIM", 'Ações'!AT508="SIM"), 1,0)</f>
        <v>1</v>
      </c>
      <c r="I498" s="139">
        <f>IF(AND('Ações'!$AC508="SIM", 'Ações'!AU508="SIM"), 1,0)</f>
        <v>1</v>
      </c>
      <c r="J498" s="139">
        <f>IF(AND('Ações'!$AC508="SIM", 'Ações'!AV508="SIM"), 1,0)</f>
        <v>1</v>
      </c>
      <c r="K498" s="139">
        <f>IF(AND('Ações'!$AC508="SIM", 'Ações'!AW508="SIM"), 1,0)</f>
        <v>1</v>
      </c>
      <c r="L498" s="139">
        <f>IF(AND('Ações'!$AC508="SIM", 'Ações'!AX508="SIM"), 1,0)</f>
        <v>1</v>
      </c>
      <c r="M498" s="139">
        <f>IF(AND('Ações'!$AD508="SIM", 'Ações'!AS508="SIM"), 1,0)</f>
        <v>0</v>
      </c>
      <c r="N498" s="139">
        <f>IF(AND('Ações'!$AD508="SIM", 'Ações'!AT508="SIM"), 1,0)</f>
        <v>0</v>
      </c>
      <c r="O498" s="139">
        <f>IF(AND('Ações'!$AD508="SIM", 'Ações'!AU508="SIM"), 1,0)</f>
        <v>0</v>
      </c>
      <c r="P498" s="139">
        <f>IF(AND('Ações'!$AD508="SIM", 'Ações'!AV508="SIM"), 1,0)</f>
        <v>0</v>
      </c>
      <c r="Q498" s="139">
        <f>IF(AND('Ações'!$AD508="SIM", 'Ações'!AW508="SIM"), 1,0)</f>
        <v>0</v>
      </c>
      <c r="R498" s="139">
        <f>IF(AND('Ações'!$AD508="SIM", 'Ações'!AX508="SIM"), 1,0)</f>
        <v>0</v>
      </c>
    </row>
    <row r="499">
      <c r="A499" s="139">
        <f>IF(AND('Ações'!AB509="SIM", 'Ações'!AS509="SIM"), 1,0)</f>
        <v>1</v>
      </c>
      <c r="B499" s="139">
        <f>IF(AND('Ações'!$AB509="SIM", 'Ações'!AT509="SIM"), 1,0)</f>
        <v>1</v>
      </c>
      <c r="C499" s="139">
        <f>IF(AND('Ações'!$AB509="SIM", 'Ações'!AU509="SIM"), 1,0)</f>
        <v>1</v>
      </c>
      <c r="D499" s="139">
        <f>IF(AND('Ações'!$AB509="SIM", 'Ações'!AV509="SIM"), 1,0)</f>
        <v>1</v>
      </c>
      <c r="E499" s="139">
        <f>IF(AND('Ações'!$AB509="SIM", 'Ações'!AW509="SIM"), 1,0)</f>
        <v>1</v>
      </c>
      <c r="F499" s="139">
        <f>IF(AND('Ações'!$AB509="SIM", 'Ações'!AX509="SIM"), 1,0)</f>
        <v>1</v>
      </c>
      <c r="G499" s="139">
        <f>IF(AND('Ações'!$AC509="SIM", 'Ações'!AS509="SIM"), 1,0)</f>
        <v>0</v>
      </c>
      <c r="H499" s="139">
        <f>IF(AND('Ações'!$AC509="SIM", 'Ações'!AT509="SIM"), 1,0)</f>
        <v>0</v>
      </c>
      <c r="I499" s="139">
        <f>IF(AND('Ações'!$AC509="SIM", 'Ações'!AU509="SIM"), 1,0)</f>
        <v>0</v>
      </c>
      <c r="J499" s="139">
        <f>IF(AND('Ações'!$AC509="SIM", 'Ações'!AV509="SIM"), 1,0)</f>
        <v>0</v>
      </c>
      <c r="K499" s="139">
        <f>IF(AND('Ações'!$AC509="SIM", 'Ações'!AW509="SIM"), 1,0)</f>
        <v>0</v>
      </c>
      <c r="L499" s="139">
        <f>IF(AND('Ações'!$AC509="SIM", 'Ações'!AX509="SIM"), 1,0)</f>
        <v>0</v>
      </c>
      <c r="M499" s="139">
        <f>IF(AND('Ações'!$AD509="SIM", 'Ações'!AS509="SIM"), 1,0)</f>
        <v>0</v>
      </c>
      <c r="N499" s="139">
        <f>IF(AND('Ações'!$AD509="SIM", 'Ações'!AT509="SIM"), 1,0)</f>
        <v>0</v>
      </c>
      <c r="O499" s="139">
        <f>IF(AND('Ações'!$AD509="SIM", 'Ações'!AU509="SIM"), 1,0)</f>
        <v>0</v>
      </c>
      <c r="P499" s="139">
        <f>IF(AND('Ações'!$AD509="SIM", 'Ações'!AV509="SIM"), 1,0)</f>
        <v>0</v>
      </c>
      <c r="Q499" s="139">
        <f>IF(AND('Ações'!$AD509="SIM", 'Ações'!AW509="SIM"), 1,0)</f>
        <v>0</v>
      </c>
      <c r="R499" s="139">
        <f>IF(AND('Ações'!$AD509="SIM", 'Ações'!AX509="SIM"), 1,0)</f>
        <v>0</v>
      </c>
    </row>
    <row r="500">
      <c r="A500" s="139">
        <f>IF(AND('Ações'!AB510="SIM", 'Ações'!AS510="SIM"), 1,0)</f>
        <v>0</v>
      </c>
      <c r="B500" s="139">
        <f>IF(AND('Ações'!$AB510="SIM", 'Ações'!AT510="SIM"), 1,0)</f>
        <v>0</v>
      </c>
      <c r="C500" s="139">
        <f>IF(AND('Ações'!$AB510="SIM", 'Ações'!AU510="SIM"), 1,0)</f>
        <v>0</v>
      </c>
      <c r="D500" s="139">
        <f>IF(AND('Ações'!$AB510="SIM", 'Ações'!AV510="SIM"), 1,0)</f>
        <v>0</v>
      </c>
      <c r="E500" s="139">
        <f>IF(AND('Ações'!$AB510="SIM", 'Ações'!AW510="SIM"), 1,0)</f>
        <v>0</v>
      </c>
      <c r="F500" s="139">
        <f>IF(AND('Ações'!$AB510="SIM", 'Ações'!AX510="SIM"), 1,0)</f>
        <v>0</v>
      </c>
      <c r="G500" s="139">
        <f>IF(AND('Ações'!$AC510="SIM", 'Ações'!AS510="SIM"), 1,0)</f>
        <v>1</v>
      </c>
      <c r="H500" s="139">
        <f>IF(AND('Ações'!$AC510="SIM", 'Ações'!AT510="SIM"), 1,0)</f>
        <v>1</v>
      </c>
      <c r="I500" s="139">
        <f>IF(AND('Ações'!$AC510="SIM", 'Ações'!AU510="SIM"), 1,0)</f>
        <v>1</v>
      </c>
      <c r="J500" s="139">
        <f>IF(AND('Ações'!$AC510="SIM", 'Ações'!AV510="SIM"), 1,0)</f>
        <v>1</v>
      </c>
      <c r="K500" s="139">
        <f>IF(AND('Ações'!$AC510="SIM", 'Ações'!AW510="SIM"), 1,0)</f>
        <v>1</v>
      </c>
      <c r="L500" s="139">
        <f>IF(AND('Ações'!$AC510="SIM", 'Ações'!AX510="SIM"), 1,0)</f>
        <v>1</v>
      </c>
      <c r="M500" s="139">
        <f>IF(AND('Ações'!$AD510="SIM", 'Ações'!AS510="SIM"), 1,0)</f>
        <v>0</v>
      </c>
      <c r="N500" s="139">
        <f>IF(AND('Ações'!$AD510="SIM", 'Ações'!AT510="SIM"), 1,0)</f>
        <v>0</v>
      </c>
      <c r="O500" s="139">
        <f>IF(AND('Ações'!$AD510="SIM", 'Ações'!AU510="SIM"), 1,0)</f>
        <v>0</v>
      </c>
      <c r="P500" s="139">
        <f>IF(AND('Ações'!$AD510="SIM", 'Ações'!AV510="SIM"), 1,0)</f>
        <v>0</v>
      </c>
      <c r="Q500" s="139">
        <f>IF(AND('Ações'!$AD510="SIM", 'Ações'!AW510="SIM"), 1,0)</f>
        <v>0</v>
      </c>
      <c r="R500" s="139">
        <f>IF(AND('Ações'!$AD510="SIM", 'Ações'!AX510="SIM"), 1,0)</f>
        <v>0</v>
      </c>
    </row>
    <row r="501">
      <c r="A501" s="139">
        <f>IF(AND('Ações'!AB511="SIM", 'Ações'!AS511="SIM"), 1,0)</f>
        <v>1</v>
      </c>
      <c r="B501" s="139">
        <f>IF(AND('Ações'!$AB511="SIM", 'Ações'!AT511="SIM"), 1,0)</f>
        <v>1</v>
      </c>
      <c r="C501" s="139">
        <f>IF(AND('Ações'!$AB511="SIM", 'Ações'!AU511="SIM"), 1,0)</f>
        <v>1</v>
      </c>
      <c r="D501" s="139">
        <f>IF(AND('Ações'!$AB511="SIM", 'Ações'!AV511="SIM"), 1,0)</f>
        <v>1</v>
      </c>
      <c r="E501" s="139">
        <f>IF(AND('Ações'!$AB511="SIM", 'Ações'!AW511="SIM"), 1,0)</f>
        <v>1</v>
      </c>
      <c r="F501" s="139">
        <f>IF(AND('Ações'!$AB511="SIM", 'Ações'!AX511="SIM"), 1,0)</f>
        <v>1</v>
      </c>
      <c r="G501" s="139">
        <f>IF(AND('Ações'!$AC511="SIM", 'Ações'!AS511="SIM"), 1,0)</f>
        <v>1</v>
      </c>
      <c r="H501" s="139">
        <f>IF(AND('Ações'!$AC511="SIM", 'Ações'!AT511="SIM"), 1,0)</f>
        <v>1</v>
      </c>
      <c r="I501" s="139">
        <f>IF(AND('Ações'!$AC511="SIM", 'Ações'!AU511="SIM"), 1,0)</f>
        <v>1</v>
      </c>
      <c r="J501" s="139">
        <f>IF(AND('Ações'!$AC511="SIM", 'Ações'!AV511="SIM"), 1,0)</f>
        <v>1</v>
      </c>
      <c r="K501" s="139">
        <f>IF(AND('Ações'!$AC511="SIM", 'Ações'!AW511="SIM"), 1,0)</f>
        <v>1</v>
      </c>
      <c r="L501" s="139">
        <f>IF(AND('Ações'!$AC511="SIM", 'Ações'!AX511="SIM"), 1,0)</f>
        <v>1</v>
      </c>
      <c r="M501" s="139">
        <f>IF(AND('Ações'!$AD511="SIM", 'Ações'!AS511="SIM"), 1,0)</f>
        <v>0</v>
      </c>
      <c r="N501" s="139">
        <f>IF(AND('Ações'!$AD511="SIM", 'Ações'!AT511="SIM"), 1,0)</f>
        <v>0</v>
      </c>
      <c r="O501" s="139">
        <f>IF(AND('Ações'!$AD511="SIM", 'Ações'!AU511="SIM"), 1,0)</f>
        <v>0</v>
      </c>
      <c r="P501" s="139">
        <f>IF(AND('Ações'!$AD511="SIM", 'Ações'!AV511="SIM"), 1,0)</f>
        <v>0</v>
      </c>
      <c r="Q501" s="139">
        <f>IF(AND('Ações'!$AD511="SIM", 'Ações'!AW511="SIM"), 1,0)</f>
        <v>0</v>
      </c>
      <c r="R501" s="139">
        <f>IF(AND('Ações'!$AD511="SIM", 'Ações'!AX511="SIM"), 1,0)</f>
        <v>0</v>
      </c>
    </row>
    <row r="502">
      <c r="A502" s="139">
        <f>IF(AND('Ações'!AB512="SIM", 'Ações'!AS512="SIM"), 1,0)</f>
        <v>1</v>
      </c>
      <c r="B502" s="139">
        <f>IF(AND('Ações'!$AB512="SIM", 'Ações'!AT512="SIM"), 1,0)</f>
        <v>1</v>
      </c>
      <c r="C502" s="139">
        <f>IF(AND('Ações'!$AB512="SIM", 'Ações'!AU512="SIM"), 1,0)</f>
        <v>1</v>
      </c>
      <c r="D502" s="139">
        <f>IF(AND('Ações'!$AB512="SIM", 'Ações'!AV512="SIM"), 1,0)</f>
        <v>1</v>
      </c>
      <c r="E502" s="139">
        <f>IF(AND('Ações'!$AB512="SIM", 'Ações'!AW512="SIM"), 1,0)</f>
        <v>1</v>
      </c>
      <c r="F502" s="139">
        <f>IF(AND('Ações'!$AB512="SIM", 'Ações'!AX512="SIM"), 1,0)</f>
        <v>1</v>
      </c>
      <c r="G502" s="139">
        <f>IF(AND('Ações'!$AC512="SIM", 'Ações'!AS512="SIM"), 1,0)</f>
        <v>1</v>
      </c>
      <c r="H502" s="139">
        <f>IF(AND('Ações'!$AC512="SIM", 'Ações'!AT512="SIM"), 1,0)</f>
        <v>1</v>
      </c>
      <c r="I502" s="139">
        <f>IF(AND('Ações'!$AC512="SIM", 'Ações'!AU512="SIM"), 1,0)</f>
        <v>1</v>
      </c>
      <c r="J502" s="139">
        <f>IF(AND('Ações'!$AC512="SIM", 'Ações'!AV512="SIM"), 1,0)</f>
        <v>1</v>
      </c>
      <c r="K502" s="139">
        <f>IF(AND('Ações'!$AC512="SIM", 'Ações'!AW512="SIM"), 1,0)</f>
        <v>1</v>
      </c>
      <c r="L502" s="139">
        <f>IF(AND('Ações'!$AC512="SIM", 'Ações'!AX512="SIM"), 1,0)</f>
        <v>1</v>
      </c>
      <c r="M502" s="139">
        <f>IF(AND('Ações'!$AD512="SIM", 'Ações'!AS512="SIM"), 1,0)</f>
        <v>1</v>
      </c>
      <c r="N502" s="139">
        <f>IF(AND('Ações'!$AD512="SIM", 'Ações'!AT512="SIM"), 1,0)</f>
        <v>1</v>
      </c>
      <c r="O502" s="139">
        <f>IF(AND('Ações'!$AD512="SIM", 'Ações'!AU512="SIM"), 1,0)</f>
        <v>1</v>
      </c>
      <c r="P502" s="139">
        <f>IF(AND('Ações'!$AD512="SIM", 'Ações'!AV512="SIM"), 1,0)</f>
        <v>1</v>
      </c>
      <c r="Q502" s="139">
        <f>IF(AND('Ações'!$AD512="SIM", 'Ações'!AW512="SIM"), 1,0)</f>
        <v>1</v>
      </c>
      <c r="R502" s="139">
        <f>IF(AND('Ações'!$AD512="SIM", 'Ações'!AX512="SIM"), 1,0)</f>
        <v>1</v>
      </c>
    </row>
    <row r="503">
      <c r="A503" s="139">
        <f>IF(AND('Ações'!AB513="SIM", 'Ações'!AS513="SIM"), 1,0)</f>
        <v>0</v>
      </c>
      <c r="B503" s="139">
        <f>IF(AND('Ações'!$AB513="SIM", 'Ações'!AT513="SIM"), 1,0)</f>
        <v>1</v>
      </c>
      <c r="C503" s="139">
        <f>IF(AND('Ações'!$AB513="SIM", 'Ações'!AU513="SIM"), 1,0)</f>
        <v>1</v>
      </c>
      <c r="D503" s="139">
        <f>IF(AND('Ações'!$AB513="SIM", 'Ações'!AV513="SIM"), 1,0)</f>
        <v>1</v>
      </c>
      <c r="E503" s="139">
        <f>IF(AND('Ações'!$AB513="SIM", 'Ações'!AW513="SIM"), 1,0)</f>
        <v>1</v>
      </c>
      <c r="F503" s="139">
        <f>IF(AND('Ações'!$AB513="SIM", 'Ações'!AX513="SIM"), 1,0)</f>
        <v>1</v>
      </c>
      <c r="G503" s="139">
        <f>IF(AND('Ações'!$AC513="SIM", 'Ações'!AS513="SIM"), 1,0)</f>
        <v>0</v>
      </c>
      <c r="H503" s="139">
        <f>IF(AND('Ações'!$AC513="SIM", 'Ações'!AT513="SIM"), 1,0)</f>
        <v>1</v>
      </c>
      <c r="I503" s="139">
        <f>IF(AND('Ações'!$AC513="SIM", 'Ações'!AU513="SIM"), 1,0)</f>
        <v>1</v>
      </c>
      <c r="J503" s="139">
        <f>IF(AND('Ações'!$AC513="SIM", 'Ações'!AV513="SIM"), 1,0)</f>
        <v>1</v>
      </c>
      <c r="K503" s="139">
        <f>IF(AND('Ações'!$AC513="SIM", 'Ações'!AW513="SIM"), 1,0)</f>
        <v>1</v>
      </c>
      <c r="L503" s="139">
        <f>IF(AND('Ações'!$AC513="SIM", 'Ações'!AX513="SIM"), 1,0)</f>
        <v>1</v>
      </c>
      <c r="M503" s="139">
        <f>IF(AND('Ações'!$AD513="SIM", 'Ações'!AS513="SIM"), 1,0)</f>
        <v>0</v>
      </c>
      <c r="N503" s="139">
        <f>IF(AND('Ações'!$AD513="SIM", 'Ações'!AT513="SIM"), 1,0)</f>
        <v>0</v>
      </c>
      <c r="O503" s="139">
        <f>IF(AND('Ações'!$AD513="SIM", 'Ações'!AU513="SIM"), 1,0)</f>
        <v>0</v>
      </c>
      <c r="P503" s="139">
        <f>IF(AND('Ações'!$AD513="SIM", 'Ações'!AV513="SIM"), 1,0)</f>
        <v>0</v>
      </c>
      <c r="Q503" s="139">
        <f>IF(AND('Ações'!$AD513="SIM", 'Ações'!AW513="SIM"), 1,0)</f>
        <v>0</v>
      </c>
      <c r="R503" s="139">
        <f>IF(AND('Ações'!$AD513="SIM", 'Ações'!AX513="SIM"), 1,0)</f>
        <v>0</v>
      </c>
    </row>
    <row r="504">
      <c r="A504" s="139">
        <f>IF(AND('Ações'!AB514="SIM", 'Ações'!AS514="SIM"), 1,0)</f>
        <v>0</v>
      </c>
      <c r="B504" s="139">
        <f>IF(AND('Ações'!$AB514="SIM", 'Ações'!AT514="SIM"), 1,0)</f>
        <v>0</v>
      </c>
      <c r="C504" s="139">
        <f>IF(AND('Ações'!$AB514="SIM", 'Ações'!AU514="SIM"), 1,0)</f>
        <v>1</v>
      </c>
      <c r="D504" s="139">
        <f>IF(AND('Ações'!$AB514="SIM", 'Ações'!AV514="SIM"), 1,0)</f>
        <v>1</v>
      </c>
      <c r="E504" s="139">
        <f>IF(AND('Ações'!$AB514="SIM", 'Ações'!AW514="SIM"), 1,0)</f>
        <v>1</v>
      </c>
      <c r="F504" s="139">
        <f>IF(AND('Ações'!$AB514="SIM", 'Ações'!AX514="SIM"), 1,0)</f>
        <v>0</v>
      </c>
      <c r="G504" s="139">
        <f>IF(AND('Ações'!$AC514="SIM", 'Ações'!AS514="SIM"), 1,0)</f>
        <v>0</v>
      </c>
      <c r="H504" s="139">
        <f>IF(AND('Ações'!$AC514="SIM", 'Ações'!AT514="SIM"), 1,0)</f>
        <v>0</v>
      </c>
      <c r="I504" s="139">
        <f>IF(AND('Ações'!$AC514="SIM", 'Ações'!AU514="SIM"), 1,0)</f>
        <v>0</v>
      </c>
      <c r="J504" s="139">
        <f>IF(AND('Ações'!$AC514="SIM", 'Ações'!AV514="SIM"), 1,0)</f>
        <v>0</v>
      </c>
      <c r="K504" s="139">
        <f>IF(AND('Ações'!$AC514="SIM", 'Ações'!AW514="SIM"), 1,0)</f>
        <v>0</v>
      </c>
      <c r="L504" s="139">
        <f>IF(AND('Ações'!$AC514="SIM", 'Ações'!AX514="SIM"), 1,0)</f>
        <v>0</v>
      </c>
      <c r="M504" s="139">
        <f>IF(AND('Ações'!$AD514="SIM", 'Ações'!AS514="SIM"), 1,0)</f>
        <v>0</v>
      </c>
      <c r="N504" s="139">
        <f>IF(AND('Ações'!$AD514="SIM", 'Ações'!AT514="SIM"), 1,0)</f>
        <v>0</v>
      </c>
      <c r="O504" s="139">
        <f>IF(AND('Ações'!$AD514="SIM", 'Ações'!AU514="SIM"), 1,0)</f>
        <v>0</v>
      </c>
      <c r="P504" s="139">
        <f>IF(AND('Ações'!$AD514="SIM", 'Ações'!AV514="SIM"), 1,0)</f>
        <v>0</v>
      </c>
      <c r="Q504" s="139">
        <f>IF(AND('Ações'!$AD514="SIM", 'Ações'!AW514="SIM"), 1,0)</f>
        <v>0</v>
      </c>
      <c r="R504" s="139">
        <f>IF(AND('Ações'!$AD514="SIM", 'Ações'!AX514="SIM"), 1,0)</f>
        <v>0</v>
      </c>
    </row>
    <row r="505">
      <c r="A505" s="139">
        <f>IF(AND('Ações'!AB515="SIM", 'Ações'!AS515="SIM"), 1,0)</f>
        <v>0</v>
      </c>
      <c r="B505" s="139">
        <f>IF(AND('Ações'!$AB515="SIM", 'Ações'!AT515="SIM"), 1,0)</f>
        <v>0</v>
      </c>
      <c r="C505" s="139">
        <f>IF(AND('Ações'!$AB515="SIM", 'Ações'!AU515="SIM"), 1,0)</f>
        <v>1</v>
      </c>
      <c r="D505" s="139">
        <f>IF(AND('Ações'!$AB515="SIM", 'Ações'!AV515="SIM"), 1,0)</f>
        <v>1</v>
      </c>
      <c r="E505" s="139">
        <f>IF(AND('Ações'!$AB515="SIM", 'Ações'!AW515="SIM"), 1,0)</f>
        <v>1</v>
      </c>
      <c r="F505" s="139">
        <f>IF(AND('Ações'!$AB515="SIM", 'Ações'!AX515="SIM"), 1,0)</f>
        <v>0</v>
      </c>
      <c r="G505" s="139">
        <f>IF(AND('Ações'!$AC515="SIM", 'Ações'!AS515="SIM"), 1,0)</f>
        <v>0</v>
      </c>
      <c r="H505" s="139">
        <f>IF(AND('Ações'!$AC515="SIM", 'Ações'!AT515="SIM"), 1,0)</f>
        <v>0</v>
      </c>
      <c r="I505" s="139">
        <f>IF(AND('Ações'!$AC515="SIM", 'Ações'!AU515="SIM"), 1,0)</f>
        <v>0</v>
      </c>
      <c r="J505" s="139">
        <f>IF(AND('Ações'!$AC515="SIM", 'Ações'!AV515="SIM"), 1,0)</f>
        <v>0</v>
      </c>
      <c r="K505" s="139">
        <f>IF(AND('Ações'!$AC515="SIM", 'Ações'!AW515="SIM"), 1,0)</f>
        <v>0</v>
      </c>
      <c r="L505" s="139">
        <f>IF(AND('Ações'!$AC515="SIM", 'Ações'!AX515="SIM"), 1,0)</f>
        <v>0</v>
      </c>
      <c r="M505" s="139">
        <f>IF(AND('Ações'!$AD515="SIM", 'Ações'!AS515="SIM"), 1,0)</f>
        <v>0</v>
      </c>
      <c r="N505" s="139">
        <f>IF(AND('Ações'!$AD515="SIM", 'Ações'!AT515="SIM"), 1,0)</f>
        <v>0</v>
      </c>
      <c r="O505" s="139">
        <f>IF(AND('Ações'!$AD515="SIM", 'Ações'!AU515="SIM"), 1,0)</f>
        <v>0</v>
      </c>
      <c r="P505" s="139">
        <f>IF(AND('Ações'!$AD515="SIM", 'Ações'!AV515="SIM"), 1,0)</f>
        <v>0</v>
      </c>
      <c r="Q505" s="139">
        <f>IF(AND('Ações'!$AD515="SIM", 'Ações'!AW515="SIM"), 1,0)</f>
        <v>0</v>
      </c>
      <c r="R505" s="139">
        <f>IF(AND('Ações'!$AD515="SIM", 'Ações'!AX515="SIM"), 1,0)</f>
        <v>0</v>
      </c>
    </row>
    <row r="506">
      <c r="A506" s="139">
        <f>IF(AND('Ações'!AB516="SIM", 'Ações'!AS516="SIM"), 1,0)</f>
        <v>0</v>
      </c>
      <c r="B506" s="139">
        <f>IF(AND('Ações'!$AB516="SIM", 'Ações'!AT516="SIM"), 1,0)</f>
        <v>0</v>
      </c>
      <c r="C506" s="139">
        <f>IF(AND('Ações'!$AB516="SIM", 'Ações'!AU516="SIM"), 1,0)</f>
        <v>1</v>
      </c>
      <c r="D506" s="139">
        <f>IF(AND('Ações'!$AB516="SIM", 'Ações'!AV516="SIM"), 1,0)</f>
        <v>1</v>
      </c>
      <c r="E506" s="139">
        <f>IF(AND('Ações'!$AB516="SIM", 'Ações'!AW516="SIM"), 1,0)</f>
        <v>1</v>
      </c>
      <c r="F506" s="139">
        <f>IF(AND('Ações'!$AB516="SIM", 'Ações'!AX516="SIM"), 1,0)</f>
        <v>0</v>
      </c>
      <c r="G506" s="139">
        <f>IF(AND('Ações'!$AC516="SIM", 'Ações'!AS516="SIM"), 1,0)</f>
        <v>0</v>
      </c>
      <c r="H506" s="139">
        <f>IF(AND('Ações'!$AC516="SIM", 'Ações'!AT516="SIM"), 1,0)</f>
        <v>0</v>
      </c>
      <c r="I506" s="139">
        <f>IF(AND('Ações'!$AC516="SIM", 'Ações'!AU516="SIM"), 1,0)</f>
        <v>0</v>
      </c>
      <c r="J506" s="139">
        <f>IF(AND('Ações'!$AC516="SIM", 'Ações'!AV516="SIM"), 1,0)</f>
        <v>0</v>
      </c>
      <c r="K506" s="139">
        <f>IF(AND('Ações'!$AC516="SIM", 'Ações'!AW516="SIM"), 1,0)</f>
        <v>0</v>
      </c>
      <c r="L506" s="139">
        <f>IF(AND('Ações'!$AC516="SIM", 'Ações'!AX516="SIM"), 1,0)</f>
        <v>0</v>
      </c>
      <c r="M506" s="139">
        <f>IF(AND('Ações'!$AD516="SIM", 'Ações'!AS516="SIM"), 1,0)</f>
        <v>0</v>
      </c>
      <c r="N506" s="139">
        <f>IF(AND('Ações'!$AD516="SIM", 'Ações'!AT516="SIM"), 1,0)</f>
        <v>0</v>
      </c>
      <c r="O506" s="139">
        <f>IF(AND('Ações'!$AD516="SIM", 'Ações'!AU516="SIM"), 1,0)</f>
        <v>0</v>
      </c>
      <c r="P506" s="139">
        <f>IF(AND('Ações'!$AD516="SIM", 'Ações'!AV516="SIM"), 1,0)</f>
        <v>0</v>
      </c>
      <c r="Q506" s="139">
        <f>IF(AND('Ações'!$AD516="SIM", 'Ações'!AW516="SIM"), 1,0)</f>
        <v>0</v>
      </c>
      <c r="R506" s="139">
        <f>IF(AND('Ações'!$AD516="SIM", 'Ações'!AX516="SIM"), 1,0)</f>
        <v>0</v>
      </c>
    </row>
    <row r="507">
      <c r="A507" s="139">
        <f>IF(AND('Ações'!AB517="SIM", 'Ações'!AS517="SIM"), 1,0)</f>
        <v>0</v>
      </c>
      <c r="B507" s="139">
        <f>IF(AND('Ações'!$AB517="SIM", 'Ações'!AT517="SIM"), 1,0)</f>
        <v>0</v>
      </c>
      <c r="C507" s="139">
        <f>IF(AND('Ações'!$AB517="SIM", 'Ações'!AU517="SIM"), 1,0)</f>
        <v>1</v>
      </c>
      <c r="D507" s="139">
        <f>IF(AND('Ações'!$AB517="SIM", 'Ações'!AV517="SIM"), 1,0)</f>
        <v>1</v>
      </c>
      <c r="E507" s="139">
        <f>IF(AND('Ações'!$AB517="SIM", 'Ações'!AW517="SIM"), 1,0)</f>
        <v>1</v>
      </c>
      <c r="F507" s="139">
        <f>IF(AND('Ações'!$AB517="SIM", 'Ações'!AX517="SIM"), 1,0)</f>
        <v>0</v>
      </c>
      <c r="G507" s="139">
        <f>IF(AND('Ações'!$AC517="SIM", 'Ações'!AS517="SIM"), 1,0)</f>
        <v>0</v>
      </c>
      <c r="H507" s="139">
        <f>IF(AND('Ações'!$AC517="SIM", 'Ações'!AT517="SIM"), 1,0)</f>
        <v>0</v>
      </c>
      <c r="I507" s="139">
        <f>IF(AND('Ações'!$AC517="SIM", 'Ações'!AU517="SIM"), 1,0)</f>
        <v>0</v>
      </c>
      <c r="J507" s="139">
        <f>IF(AND('Ações'!$AC517="SIM", 'Ações'!AV517="SIM"), 1,0)</f>
        <v>0</v>
      </c>
      <c r="K507" s="139">
        <f>IF(AND('Ações'!$AC517="SIM", 'Ações'!AW517="SIM"), 1,0)</f>
        <v>0</v>
      </c>
      <c r="L507" s="139">
        <f>IF(AND('Ações'!$AC517="SIM", 'Ações'!AX517="SIM"), 1,0)</f>
        <v>0</v>
      </c>
      <c r="M507" s="139">
        <f>IF(AND('Ações'!$AD517="SIM", 'Ações'!AS517="SIM"), 1,0)</f>
        <v>0</v>
      </c>
      <c r="N507" s="139">
        <f>IF(AND('Ações'!$AD517="SIM", 'Ações'!AT517="SIM"), 1,0)</f>
        <v>0</v>
      </c>
      <c r="O507" s="139">
        <f>IF(AND('Ações'!$AD517="SIM", 'Ações'!AU517="SIM"), 1,0)</f>
        <v>0</v>
      </c>
      <c r="P507" s="139">
        <f>IF(AND('Ações'!$AD517="SIM", 'Ações'!AV517="SIM"), 1,0)</f>
        <v>0</v>
      </c>
      <c r="Q507" s="139">
        <f>IF(AND('Ações'!$AD517="SIM", 'Ações'!AW517="SIM"), 1,0)</f>
        <v>0</v>
      </c>
      <c r="R507" s="139">
        <f>IF(AND('Ações'!$AD517="SIM", 'Ações'!AX517="SIM"), 1,0)</f>
        <v>0</v>
      </c>
    </row>
    <row r="508">
      <c r="A508" s="139">
        <f>IF(AND('Ações'!AB518="SIM", 'Ações'!AS518="SIM"), 1,0)</f>
        <v>0</v>
      </c>
      <c r="B508" s="139">
        <f>IF(AND('Ações'!$AB518="SIM", 'Ações'!AT518="SIM"), 1,0)</f>
        <v>0</v>
      </c>
      <c r="C508" s="139">
        <f>IF(AND('Ações'!$AB518="SIM", 'Ações'!AU518="SIM"), 1,0)</f>
        <v>1</v>
      </c>
      <c r="D508" s="139">
        <f>IF(AND('Ações'!$AB518="SIM", 'Ações'!AV518="SIM"), 1,0)</f>
        <v>1</v>
      </c>
      <c r="E508" s="139">
        <f>IF(AND('Ações'!$AB518="SIM", 'Ações'!AW518="SIM"), 1,0)</f>
        <v>1</v>
      </c>
      <c r="F508" s="139">
        <f>IF(AND('Ações'!$AB518="SIM", 'Ações'!AX518="SIM"), 1,0)</f>
        <v>0</v>
      </c>
      <c r="G508" s="139">
        <f>IF(AND('Ações'!$AC518="SIM", 'Ações'!AS518="SIM"), 1,0)</f>
        <v>0</v>
      </c>
      <c r="H508" s="139">
        <f>IF(AND('Ações'!$AC518="SIM", 'Ações'!AT518="SIM"), 1,0)</f>
        <v>0</v>
      </c>
      <c r="I508" s="139">
        <f>IF(AND('Ações'!$AC518="SIM", 'Ações'!AU518="SIM"), 1,0)</f>
        <v>0</v>
      </c>
      <c r="J508" s="139">
        <f>IF(AND('Ações'!$AC518="SIM", 'Ações'!AV518="SIM"), 1,0)</f>
        <v>0</v>
      </c>
      <c r="K508" s="139">
        <f>IF(AND('Ações'!$AC518="SIM", 'Ações'!AW518="SIM"), 1,0)</f>
        <v>0</v>
      </c>
      <c r="L508" s="139">
        <f>IF(AND('Ações'!$AC518="SIM", 'Ações'!AX518="SIM"), 1,0)</f>
        <v>0</v>
      </c>
      <c r="M508" s="139">
        <f>IF(AND('Ações'!$AD518="SIM", 'Ações'!AS518="SIM"), 1,0)</f>
        <v>0</v>
      </c>
      <c r="N508" s="139">
        <f>IF(AND('Ações'!$AD518="SIM", 'Ações'!AT518="SIM"), 1,0)</f>
        <v>0</v>
      </c>
      <c r="O508" s="139">
        <f>IF(AND('Ações'!$AD518="SIM", 'Ações'!AU518="SIM"), 1,0)</f>
        <v>0</v>
      </c>
      <c r="P508" s="139">
        <f>IF(AND('Ações'!$AD518="SIM", 'Ações'!AV518="SIM"), 1,0)</f>
        <v>0</v>
      </c>
      <c r="Q508" s="139">
        <f>IF(AND('Ações'!$AD518="SIM", 'Ações'!AW518="SIM"), 1,0)</f>
        <v>0</v>
      </c>
      <c r="R508" s="139">
        <f>IF(AND('Ações'!$AD518="SIM", 'Ações'!AX518="SIM"), 1,0)</f>
        <v>0</v>
      </c>
    </row>
    <row r="509">
      <c r="A509" s="139">
        <f>IF(AND('Ações'!AB519="SIM", 'Ações'!AS519="SIM"), 1,0)</f>
        <v>0</v>
      </c>
      <c r="B509" s="139">
        <f>IF(AND('Ações'!$AB519="SIM", 'Ações'!AT519="SIM"), 1,0)</f>
        <v>0</v>
      </c>
      <c r="C509" s="139">
        <f>IF(AND('Ações'!$AB519="SIM", 'Ações'!AU519="SIM"), 1,0)</f>
        <v>1</v>
      </c>
      <c r="D509" s="139">
        <f>IF(AND('Ações'!$AB519="SIM", 'Ações'!AV519="SIM"), 1,0)</f>
        <v>1</v>
      </c>
      <c r="E509" s="139">
        <f>IF(AND('Ações'!$AB519="SIM", 'Ações'!AW519="SIM"), 1,0)</f>
        <v>1</v>
      </c>
      <c r="F509" s="139">
        <f>IF(AND('Ações'!$AB519="SIM", 'Ações'!AX519="SIM"), 1,0)</f>
        <v>0</v>
      </c>
      <c r="G509" s="139">
        <f>IF(AND('Ações'!$AC519="SIM", 'Ações'!AS519="SIM"), 1,0)</f>
        <v>0</v>
      </c>
      <c r="H509" s="139">
        <f>IF(AND('Ações'!$AC519="SIM", 'Ações'!AT519="SIM"), 1,0)</f>
        <v>0</v>
      </c>
      <c r="I509" s="139">
        <f>IF(AND('Ações'!$AC519="SIM", 'Ações'!AU519="SIM"), 1,0)</f>
        <v>0</v>
      </c>
      <c r="J509" s="139">
        <f>IF(AND('Ações'!$AC519="SIM", 'Ações'!AV519="SIM"), 1,0)</f>
        <v>0</v>
      </c>
      <c r="K509" s="139">
        <f>IF(AND('Ações'!$AC519="SIM", 'Ações'!AW519="SIM"), 1,0)</f>
        <v>0</v>
      </c>
      <c r="L509" s="139">
        <f>IF(AND('Ações'!$AC519="SIM", 'Ações'!AX519="SIM"), 1,0)</f>
        <v>0</v>
      </c>
      <c r="M509" s="139">
        <f>IF(AND('Ações'!$AD519="SIM", 'Ações'!AS519="SIM"), 1,0)</f>
        <v>0</v>
      </c>
      <c r="N509" s="139">
        <f>IF(AND('Ações'!$AD519="SIM", 'Ações'!AT519="SIM"), 1,0)</f>
        <v>0</v>
      </c>
      <c r="O509" s="139">
        <f>IF(AND('Ações'!$AD519="SIM", 'Ações'!AU519="SIM"), 1,0)</f>
        <v>0</v>
      </c>
      <c r="P509" s="139">
        <f>IF(AND('Ações'!$AD519="SIM", 'Ações'!AV519="SIM"), 1,0)</f>
        <v>0</v>
      </c>
      <c r="Q509" s="139">
        <f>IF(AND('Ações'!$AD519="SIM", 'Ações'!AW519="SIM"), 1,0)</f>
        <v>0</v>
      </c>
      <c r="R509" s="139">
        <f>IF(AND('Ações'!$AD519="SIM", 'Ações'!AX519="SIM"), 1,0)</f>
        <v>0</v>
      </c>
    </row>
    <row r="510">
      <c r="A510" s="139">
        <f>IF(AND('Ações'!AB520="SIM", 'Ações'!AS520="SIM"), 1,0)</f>
        <v>0</v>
      </c>
      <c r="B510" s="139">
        <f>IF(AND('Ações'!$AB520="SIM", 'Ações'!AT520="SIM"), 1,0)</f>
        <v>0</v>
      </c>
      <c r="C510" s="139">
        <f>IF(AND('Ações'!$AB520="SIM", 'Ações'!AU520="SIM"), 1,0)</f>
        <v>1</v>
      </c>
      <c r="D510" s="139">
        <f>IF(AND('Ações'!$AB520="SIM", 'Ações'!AV520="SIM"), 1,0)</f>
        <v>1</v>
      </c>
      <c r="E510" s="139">
        <f>IF(AND('Ações'!$AB520="SIM", 'Ações'!AW520="SIM"), 1,0)</f>
        <v>1</v>
      </c>
      <c r="F510" s="139">
        <f>IF(AND('Ações'!$AB520="SIM", 'Ações'!AX520="SIM"), 1,0)</f>
        <v>0</v>
      </c>
      <c r="G510" s="139">
        <f>IF(AND('Ações'!$AC520="SIM", 'Ações'!AS520="SIM"), 1,0)</f>
        <v>0</v>
      </c>
      <c r="H510" s="139">
        <f>IF(AND('Ações'!$AC520="SIM", 'Ações'!AT520="SIM"), 1,0)</f>
        <v>0</v>
      </c>
      <c r="I510" s="139">
        <f>IF(AND('Ações'!$AC520="SIM", 'Ações'!AU520="SIM"), 1,0)</f>
        <v>0</v>
      </c>
      <c r="J510" s="139">
        <f>IF(AND('Ações'!$AC520="SIM", 'Ações'!AV520="SIM"), 1,0)</f>
        <v>0</v>
      </c>
      <c r="K510" s="139">
        <f>IF(AND('Ações'!$AC520="SIM", 'Ações'!AW520="SIM"), 1,0)</f>
        <v>0</v>
      </c>
      <c r="L510" s="139">
        <f>IF(AND('Ações'!$AC520="SIM", 'Ações'!AX520="SIM"), 1,0)</f>
        <v>0</v>
      </c>
      <c r="M510" s="139">
        <f>IF(AND('Ações'!$AD520="SIM", 'Ações'!AS520="SIM"), 1,0)</f>
        <v>0</v>
      </c>
      <c r="N510" s="139">
        <f>IF(AND('Ações'!$AD520="SIM", 'Ações'!AT520="SIM"), 1,0)</f>
        <v>0</v>
      </c>
      <c r="O510" s="139">
        <f>IF(AND('Ações'!$AD520="SIM", 'Ações'!AU520="SIM"), 1,0)</f>
        <v>0</v>
      </c>
      <c r="P510" s="139">
        <f>IF(AND('Ações'!$AD520="SIM", 'Ações'!AV520="SIM"), 1,0)</f>
        <v>0</v>
      </c>
      <c r="Q510" s="139">
        <f>IF(AND('Ações'!$AD520="SIM", 'Ações'!AW520="SIM"), 1,0)</f>
        <v>0</v>
      </c>
      <c r="R510" s="139">
        <f>IF(AND('Ações'!$AD520="SIM", 'Ações'!AX520="SIM"), 1,0)</f>
        <v>0</v>
      </c>
    </row>
    <row r="511">
      <c r="A511" s="139">
        <f>IF(AND('Ações'!AB521="SIM", 'Ações'!AS521="SIM"), 1,0)</f>
        <v>0</v>
      </c>
      <c r="B511" s="139">
        <f>IF(AND('Ações'!$AB521="SIM", 'Ações'!AT521="SIM"), 1,0)</f>
        <v>0</v>
      </c>
      <c r="C511" s="139">
        <f>IF(AND('Ações'!$AB521="SIM", 'Ações'!AU521="SIM"), 1,0)</f>
        <v>0</v>
      </c>
      <c r="D511" s="139">
        <f>IF(AND('Ações'!$AB521="SIM", 'Ações'!AV521="SIM"), 1,0)</f>
        <v>0</v>
      </c>
      <c r="E511" s="139">
        <f>IF(AND('Ações'!$AB521="SIM", 'Ações'!AW521="SIM"), 1,0)</f>
        <v>0</v>
      </c>
      <c r="F511" s="139">
        <f>IF(AND('Ações'!$AB521="SIM", 'Ações'!AX521="SIM"), 1,0)</f>
        <v>0</v>
      </c>
      <c r="G511" s="139">
        <f>IF(AND('Ações'!$AC521="SIM", 'Ações'!AS521="SIM"), 1,0)</f>
        <v>0</v>
      </c>
      <c r="H511" s="139">
        <f>IF(AND('Ações'!$AC521="SIM", 'Ações'!AT521="SIM"), 1,0)</f>
        <v>0</v>
      </c>
      <c r="I511" s="139">
        <f>IF(AND('Ações'!$AC521="SIM", 'Ações'!AU521="SIM"), 1,0)</f>
        <v>1</v>
      </c>
      <c r="J511" s="139">
        <f>IF(AND('Ações'!$AC521="SIM", 'Ações'!AV521="SIM"), 1,0)</f>
        <v>1</v>
      </c>
      <c r="K511" s="139">
        <f>IF(AND('Ações'!$AC521="SIM", 'Ações'!AW521="SIM"), 1,0)</f>
        <v>1</v>
      </c>
      <c r="L511" s="139">
        <f>IF(AND('Ações'!$AC521="SIM", 'Ações'!AX521="SIM"), 1,0)</f>
        <v>0</v>
      </c>
      <c r="M511" s="139">
        <f>IF(AND('Ações'!$AD521="SIM", 'Ações'!AS521="SIM"), 1,0)</f>
        <v>0</v>
      </c>
      <c r="N511" s="139">
        <f>IF(AND('Ações'!$AD521="SIM", 'Ações'!AT521="SIM"), 1,0)</f>
        <v>0</v>
      </c>
      <c r="O511" s="139">
        <f>IF(AND('Ações'!$AD521="SIM", 'Ações'!AU521="SIM"), 1,0)</f>
        <v>0</v>
      </c>
      <c r="P511" s="139">
        <f>IF(AND('Ações'!$AD521="SIM", 'Ações'!AV521="SIM"), 1,0)</f>
        <v>0</v>
      </c>
      <c r="Q511" s="139">
        <f>IF(AND('Ações'!$AD521="SIM", 'Ações'!AW521="SIM"), 1,0)</f>
        <v>0</v>
      </c>
      <c r="R511" s="139">
        <f>IF(AND('Ações'!$AD521="SIM", 'Ações'!AX521="SIM"), 1,0)</f>
        <v>0</v>
      </c>
    </row>
    <row r="512">
      <c r="A512" s="139">
        <f>IF(AND('Ações'!AB522="SIM", 'Ações'!AS522="SIM"), 1,0)</f>
        <v>0</v>
      </c>
      <c r="B512" s="139">
        <f>IF(AND('Ações'!$AB522="SIM", 'Ações'!AT522="SIM"), 1,0)</f>
        <v>0</v>
      </c>
      <c r="C512" s="139">
        <f>IF(AND('Ações'!$AB522="SIM", 'Ações'!AU522="SIM"), 1,0)</f>
        <v>1</v>
      </c>
      <c r="D512" s="139">
        <f>IF(AND('Ações'!$AB522="SIM", 'Ações'!AV522="SIM"), 1,0)</f>
        <v>1</v>
      </c>
      <c r="E512" s="139">
        <f>IF(AND('Ações'!$AB522="SIM", 'Ações'!AW522="SIM"), 1,0)</f>
        <v>1</v>
      </c>
      <c r="F512" s="139">
        <f>IF(AND('Ações'!$AB522="SIM", 'Ações'!AX522="SIM"), 1,0)</f>
        <v>1</v>
      </c>
      <c r="G512" s="139">
        <f>IF(AND('Ações'!$AC522="SIM", 'Ações'!AS522="SIM"), 1,0)</f>
        <v>0</v>
      </c>
      <c r="H512" s="139">
        <f>IF(AND('Ações'!$AC522="SIM", 'Ações'!AT522="SIM"), 1,0)</f>
        <v>0</v>
      </c>
      <c r="I512" s="139">
        <f>IF(AND('Ações'!$AC522="SIM", 'Ações'!AU522="SIM"), 1,0)</f>
        <v>0</v>
      </c>
      <c r="J512" s="139">
        <f>IF(AND('Ações'!$AC522="SIM", 'Ações'!AV522="SIM"), 1,0)</f>
        <v>0</v>
      </c>
      <c r="K512" s="139">
        <f>IF(AND('Ações'!$AC522="SIM", 'Ações'!AW522="SIM"), 1,0)</f>
        <v>0</v>
      </c>
      <c r="L512" s="139">
        <f>IF(AND('Ações'!$AC522="SIM", 'Ações'!AX522="SIM"), 1,0)</f>
        <v>0</v>
      </c>
      <c r="M512" s="139">
        <f>IF(AND('Ações'!$AD522="SIM", 'Ações'!AS522="SIM"), 1,0)</f>
        <v>0</v>
      </c>
      <c r="N512" s="139">
        <f>IF(AND('Ações'!$AD522="SIM", 'Ações'!AT522="SIM"), 1,0)</f>
        <v>0</v>
      </c>
      <c r="O512" s="139">
        <f>IF(AND('Ações'!$AD522="SIM", 'Ações'!AU522="SIM"), 1,0)</f>
        <v>0</v>
      </c>
      <c r="P512" s="139">
        <f>IF(AND('Ações'!$AD522="SIM", 'Ações'!AV522="SIM"), 1,0)</f>
        <v>0</v>
      </c>
      <c r="Q512" s="139">
        <f>IF(AND('Ações'!$AD522="SIM", 'Ações'!AW522="SIM"), 1,0)</f>
        <v>0</v>
      </c>
      <c r="R512" s="139">
        <f>IF(AND('Ações'!$AD522="SIM", 'Ações'!AX522="SIM"), 1,0)</f>
        <v>0</v>
      </c>
    </row>
    <row r="513">
      <c r="A513" s="139">
        <f>IF(AND('Ações'!AB523="SIM", 'Ações'!AS523="SIM"), 1,0)</f>
        <v>0</v>
      </c>
      <c r="B513" s="139">
        <f>IF(AND('Ações'!$AB523="SIM", 'Ações'!AT523="SIM"), 1,0)</f>
        <v>0</v>
      </c>
      <c r="C513" s="139">
        <f>IF(AND('Ações'!$AB523="SIM", 'Ações'!AU523="SIM"), 1,0)</f>
        <v>1</v>
      </c>
      <c r="D513" s="139">
        <f>IF(AND('Ações'!$AB523="SIM", 'Ações'!AV523="SIM"), 1,0)</f>
        <v>1</v>
      </c>
      <c r="E513" s="139">
        <f>IF(AND('Ações'!$AB523="SIM", 'Ações'!AW523="SIM"), 1,0)</f>
        <v>1</v>
      </c>
      <c r="F513" s="139">
        <f>IF(AND('Ações'!$AB523="SIM", 'Ações'!AX523="SIM"), 1,0)</f>
        <v>1</v>
      </c>
      <c r="G513" s="139">
        <f>IF(AND('Ações'!$AC523="SIM", 'Ações'!AS523="SIM"), 1,0)</f>
        <v>0</v>
      </c>
      <c r="H513" s="139">
        <f>IF(AND('Ações'!$AC523="SIM", 'Ações'!AT523="SIM"), 1,0)</f>
        <v>0</v>
      </c>
      <c r="I513" s="139">
        <f>IF(AND('Ações'!$AC523="SIM", 'Ações'!AU523="SIM"), 1,0)</f>
        <v>0</v>
      </c>
      <c r="J513" s="139">
        <f>IF(AND('Ações'!$AC523="SIM", 'Ações'!AV523="SIM"), 1,0)</f>
        <v>0</v>
      </c>
      <c r="K513" s="139">
        <f>IF(AND('Ações'!$AC523="SIM", 'Ações'!AW523="SIM"), 1,0)</f>
        <v>0</v>
      </c>
      <c r="L513" s="139">
        <f>IF(AND('Ações'!$AC523="SIM", 'Ações'!AX523="SIM"), 1,0)</f>
        <v>0</v>
      </c>
      <c r="M513" s="139">
        <f>IF(AND('Ações'!$AD523="SIM", 'Ações'!AS523="SIM"), 1,0)</f>
        <v>0</v>
      </c>
      <c r="N513" s="139">
        <f>IF(AND('Ações'!$AD523="SIM", 'Ações'!AT523="SIM"), 1,0)</f>
        <v>0</v>
      </c>
      <c r="O513" s="139">
        <f>IF(AND('Ações'!$AD523="SIM", 'Ações'!AU523="SIM"), 1,0)</f>
        <v>0</v>
      </c>
      <c r="P513" s="139">
        <f>IF(AND('Ações'!$AD523="SIM", 'Ações'!AV523="SIM"), 1,0)</f>
        <v>0</v>
      </c>
      <c r="Q513" s="139">
        <f>IF(AND('Ações'!$AD523="SIM", 'Ações'!AW523="SIM"), 1,0)</f>
        <v>0</v>
      </c>
      <c r="R513" s="139">
        <f>IF(AND('Ações'!$AD523="SIM", 'Ações'!AX523="SIM"), 1,0)</f>
        <v>0</v>
      </c>
    </row>
    <row r="514">
      <c r="A514" s="139">
        <f>IF(AND('Ações'!AB524="SIM", 'Ações'!AS524="SIM"), 1,0)</f>
        <v>0</v>
      </c>
      <c r="B514" s="139">
        <f>IF(AND('Ações'!$AB524="SIM", 'Ações'!AT524="SIM"), 1,0)</f>
        <v>0</v>
      </c>
      <c r="C514" s="139">
        <f>IF(AND('Ações'!$AB524="SIM", 'Ações'!AU524="SIM"), 1,0)</f>
        <v>1</v>
      </c>
      <c r="D514" s="139">
        <f>IF(AND('Ações'!$AB524="SIM", 'Ações'!AV524="SIM"), 1,0)</f>
        <v>1</v>
      </c>
      <c r="E514" s="139">
        <f>IF(AND('Ações'!$AB524="SIM", 'Ações'!AW524="SIM"), 1,0)</f>
        <v>1</v>
      </c>
      <c r="F514" s="139">
        <f>IF(AND('Ações'!$AB524="SIM", 'Ações'!AX524="SIM"), 1,0)</f>
        <v>1</v>
      </c>
      <c r="G514" s="139">
        <f>IF(AND('Ações'!$AC524="SIM", 'Ações'!AS524="SIM"), 1,0)</f>
        <v>0</v>
      </c>
      <c r="H514" s="139">
        <f>IF(AND('Ações'!$AC524="SIM", 'Ações'!AT524="SIM"), 1,0)</f>
        <v>0</v>
      </c>
      <c r="I514" s="139">
        <f>IF(AND('Ações'!$AC524="SIM", 'Ações'!AU524="SIM"), 1,0)</f>
        <v>0</v>
      </c>
      <c r="J514" s="139">
        <f>IF(AND('Ações'!$AC524="SIM", 'Ações'!AV524="SIM"), 1,0)</f>
        <v>0</v>
      </c>
      <c r="K514" s="139">
        <f>IF(AND('Ações'!$AC524="SIM", 'Ações'!AW524="SIM"), 1,0)</f>
        <v>0</v>
      </c>
      <c r="L514" s="139">
        <f>IF(AND('Ações'!$AC524="SIM", 'Ações'!AX524="SIM"), 1,0)</f>
        <v>0</v>
      </c>
      <c r="M514" s="139">
        <f>IF(AND('Ações'!$AD524="SIM", 'Ações'!AS524="SIM"), 1,0)</f>
        <v>0</v>
      </c>
      <c r="N514" s="139">
        <f>IF(AND('Ações'!$AD524="SIM", 'Ações'!AT524="SIM"), 1,0)</f>
        <v>0</v>
      </c>
      <c r="O514" s="139">
        <f>IF(AND('Ações'!$AD524="SIM", 'Ações'!AU524="SIM"), 1,0)</f>
        <v>0</v>
      </c>
      <c r="P514" s="139">
        <f>IF(AND('Ações'!$AD524="SIM", 'Ações'!AV524="SIM"), 1,0)</f>
        <v>0</v>
      </c>
      <c r="Q514" s="139">
        <f>IF(AND('Ações'!$AD524="SIM", 'Ações'!AW524="SIM"), 1,0)</f>
        <v>0</v>
      </c>
      <c r="R514" s="139">
        <f>IF(AND('Ações'!$AD524="SIM", 'Ações'!AX524="SIM"), 1,0)</f>
        <v>0</v>
      </c>
    </row>
    <row r="515">
      <c r="A515" s="139">
        <f>IF(AND('Ações'!AB525="SIM", 'Ações'!AS525="SIM"), 1,0)</f>
        <v>0</v>
      </c>
      <c r="B515" s="139">
        <f>IF(AND('Ações'!$AB525="SIM", 'Ações'!AT525="SIM"), 1,0)</f>
        <v>0</v>
      </c>
      <c r="C515" s="139">
        <f>IF(AND('Ações'!$AB525="SIM", 'Ações'!AU525="SIM"), 1,0)</f>
        <v>1</v>
      </c>
      <c r="D515" s="139">
        <f>IF(AND('Ações'!$AB525="SIM", 'Ações'!AV525="SIM"), 1,0)</f>
        <v>1</v>
      </c>
      <c r="E515" s="139">
        <f>IF(AND('Ações'!$AB525="SIM", 'Ações'!AW525="SIM"), 1,0)</f>
        <v>1</v>
      </c>
      <c r="F515" s="139">
        <f>IF(AND('Ações'!$AB525="SIM", 'Ações'!AX525="SIM"), 1,0)</f>
        <v>1</v>
      </c>
      <c r="G515" s="139">
        <f>IF(AND('Ações'!$AC525="SIM", 'Ações'!AS525="SIM"), 1,0)</f>
        <v>0</v>
      </c>
      <c r="H515" s="139">
        <f>IF(AND('Ações'!$AC525="SIM", 'Ações'!AT525="SIM"), 1,0)</f>
        <v>0</v>
      </c>
      <c r="I515" s="139">
        <f>IF(AND('Ações'!$AC525="SIM", 'Ações'!AU525="SIM"), 1,0)</f>
        <v>0</v>
      </c>
      <c r="J515" s="139">
        <f>IF(AND('Ações'!$AC525="SIM", 'Ações'!AV525="SIM"), 1,0)</f>
        <v>0</v>
      </c>
      <c r="K515" s="139">
        <f>IF(AND('Ações'!$AC525="SIM", 'Ações'!AW525="SIM"), 1,0)</f>
        <v>0</v>
      </c>
      <c r="L515" s="139">
        <f>IF(AND('Ações'!$AC525="SIM", 'Ações'!AX525="SIM"), 1,0)</f>
        <v>0</v>
      </c>
      <c r="M515" s="139">
        <f>IF(AND('Ações'!$AD525="SIM", 'Ações'!AS525="SIM"), 1,0)</f>
        <v>0</v>
      </c>
      <c r="N515" s="139">
        <f>IF(AND('Ações'!$AD525="SIM", 'Ações'!AT525="SIM"), 1,0)</f>
        <v>0</v>
      </c>
      <c r="O515" s="139">
        <f>IF(AND('Ações'!$AD525="SIM", 'Ações'!AU525="SIM"), 1,0)</f>
        <v>0</v>
      </c>
      <c r="P515" s="139">
        <f>IF(AND('Ações'!$AD525="SIM", 'Ações'!AV525="SIM"), 1,0)</f>
        <v>0</v>
      </c>
      <c r="Q515" s="139">
        <f>IF(AND('Ações'!$AD525="SIM", 'Ações'!AW525="SIM"), 1,0)</f>
        <v>0</v>
      </c>
      <c r="R515" s="139">
        <f>IF(AND('Ações'!$AD525="SIM", 'Ações'!AX525="SIM"), 1,0)</f>
        <v>0</v>
      </c>
    </row>
    <row r="516">
      <c r="A516" s="139">
        <f>IF(AND('Ações'!AB526="SIM", 'Ações'!AS526="SIM"), 1,0)</f>
        <v>0</v>
      </c>
      <c r="B516" s="139">
        <f>IF(AND('Ações'!$AB526="SIM", 'Ações'!AT526="SIM"), 1,0)</f>
        <v>0</v>
      </c>
      <c r="C516" s="139">
        <f>IF(AND('Ações'!$AB526="SIM", 'Ações'!AU526="SIM"), 1,0)</f>
        <v>1</v>
      </c>
      <c r="D516" s="139">
        <f>IF(AND('Ações'!$AB526="SIM", 'Ações'!AV526="SIM"), 1,0)</f>
        <v>1</v>
      </c>
      <c r="E516" s="139">
        <f>IF(AND('Ações'!$AB526="SIM", 'Ações'!AW526="SIM"), 1,0)</f>
        <v>1</v>
      </c>
      <c r="F516" s="139">
        <f>IF(AND('Ações'!$AB526="SIM", 'Ações'!AX526="SIM"), 1,0)</f>
        <v>1</v>
      </c>
      <c r="G516" s="139">
        <f>IF(AND('Ações'!$AC526="SIM", 'Ações'!AS526="SIM"), 1,0)</f>
        <v>0</v>
      </c>
      <c r="H516" s="139">
        <f>IF(AND('Ações'!$AC526="SIM", 'Ações'!AT526="SIM"), 1,0)</f>
        <v>0</v>
      </c>
      <c r="I516" s="139">
        <f>IF(AND('Ações'!$AC526="SIM", 'Ações'!AU526="SIM"), 1,0)</f>
        <v>0</v>
      </c>
      <c r="J516" s="139">
        <f>IF(AND('Ações'!$AC526="SIM", 'Ações'!AV526="SIM"), 1,0)</f>
        <v>0</v>
      </c>
      <c r="K516" s="139">
        <f>IF(AND('Ações'!$AC526="SIM", 'Ações'!AW526="SIM"), 1,0)</f>
        <v>0</v>
      </c>
      <c r="L516" s="139">
        <f>IF(AND('Ações'!$AC526="SIM", 'Ações'!AX526="SIM"), 1,0)</f>
        <v>0</v>
      </c>
      <c r="M516" s="139">
        <f>IF(AND('Ações'!$AD526="SIM", 'Ações'!AS526="SIM"), 1,0)</f>
        <v>0</v>
      </c>
      <c r="N516" s="139">
        <f>IF(AND('Ações'!$AD526="SIM", 'Ações'!AT526="SIM"), 1,0)</f>
        <v>0</v>
      </c>
      <c r="O516" s="139">
        <f>IF(AND('Ações'!$AD526="SIM", 'Ações'!AU526="SIM"), 1,0)</f>
        <v>0</v>
      </c>
      <c r="P516" s="139">
        <f>IF(AND('Ações'!$AD526="SIM", 'Ações'!AV526="SIM"), 1,0)</f>
        <v>0</v>
      </c>
      <c r="Q516" s="139">
        <f>IF(AND('Ações'!$AD526="SIM", 'Ações'!AW526="SIM"), 1,0)</f>
        <v>0</v>
      </c>
      <c r="R516" s="139">
        <f>IF(AND('Ações'!$AD526="SIM", 'Ações'!AX526="SIM"), 1,0)</f>
        <v>0</v>
      </c>
    </row>
    <row r="517">
      <c r="A517" s="139">
        <f>IF(AND('Ações'!AB527="SIM", 'Ações'!AS527="SIM"), 1,0)</f>
        <v>0</v>
      </c>
      <c r="B517" s="139">
        <f>IF(AND('Ações'!$AB527="SIM", 'Ações'!AT527="SIM"), 1,0)</f>
        <v>0</v>
      </c>
      <c r="C517" s="139">
        <f>IF(AND('Ações'!$AB527="SIM", 'Ações'!AU527="SIM"), 1,0)</f>
        <v>0</v>
      </c>
      <c r="D517" s="139">
        <f>IF(AND('Ações'!$AB527="SIM", 'Ações'!AV527="SIM"), 1,0)</f>
        <v>0</v>
      </c>
      <c r="E517" s="139">
        <f>IF(AND('Ações'!$AB527="SIM", 'Ações'!AW527="SIM"), 1,0)</f>
        <v>0</v>
      </c>
      <c r="F517" s="139">
        <f>IF(AND('Ações'!$AB527="SIM", 'Ações'!AX527="SIM"), 1,0)</f>
        <v>0</v>
      </c>
      <c r="G517" s="139">
        <f>IF(AND('Ações'!$AC527="SIM", 'Ações'!AS527="SIM"), 1,0)</f>
        <v>0</v>
      </c>
      <c r="H517" s="139">
        <f>IF(AND('Ações'!$AC527="SIM", 'Ações'!AT527="SIM"), 1,0)</f>
        <v>0</v>
      </c>
      <c r="I517" s="139">
        <f>IF(AND('Ações'!$AC527="SIM", 'Ações'!AU527="SIM"), 1,0)</f>
        <v>1</v>
      </c>
      <c r="J517" s="139">
        <f>IF(AND('Ações'!$AC527="SIM", 'Ações'!AV527="SIM"), 1,0)</f>
        <v>1</v>
      </c>
      <c r="K517" s="139">
        <f>IF(AND('Ações'!$AC527="SIM", 'Ações'!AW527="SIM"), 1,0)</f>
        <v>1</v>
      </c>
      <c r="L517" s="139">
        <f>IF(AND('Ações'!$AC527="SIM", 'Ações'!AX527="SIM"), 1,0)</f>
        <v>1</v>
      </c>
      <c r="M517" s="139">
        <f>IF(AND('Ações'!$AD527="SIM", 'Ações'!AS527="SIM"), 1,0)</f>
        <v>0</v>
      </c>
      <c r="N517" s="139">
        <f>IF(AND('Ações'!$AD527="SIM", 'Ações'!AT527="SIM"), 1,0)</f>
        <v>0</v>
      </c>
      <c r="O517" s="139">
        <f>IF(AND('Ações'!$AD527="SIM", 'Ações'!AU527="SIM"), 1,0)</f>
        <v>0</v>
      </c>
      <c r="P517" s="139">
        <f>IF(AND('Ações'!$AD527="SIM", 'Ações'!AV527="SIM"), 1,0)</f>
        <v>0</v>
      </c>
      <c r="Q517" s="139">
        <f>IF(AND('Ações'!$AD527="SIM", 'Ações'!AW527="SIM"), 1,0)</f>
        <v>0</v>
      </c>
      <c r="R517" s="139">
        <f>IF(AND('Ações'!$AD527="SIM", 'Ações'!AX527="SIM"), 1,0)</f>
        <v>0</v>
      </c>
    </row>
    <row r="518">
      <c r="A518" s="139">
        <f>IF(AND('Ações'!AB528="SIM", 'Ações'!AS528="SIM"), 1,0)</f>
        <v>1</v>
      </c>
      <c r="B518" s="139">
        <f>IF(AND('Ações'!$AB528="SIM", 'Ações'!AT528="SIM"), 1,0)</f>
        <v>1</v>
      </c>
      <c r="C518" s="139">
        <f>IF(AND('Ações'!$AB528="SIM", 'Ações'!AU528="SIM"), 1,0)</f>
        <v>1</v>
      </c>
      <c r="D518" s="139">
        <f>IF(AND('Ações'!$AB528="SIM", 'Ações'!AV528="SIM"), 1,0)</f>
        <v>1</v>
      </c>
      <c r="E518" s="139">
        <f>IF(AND('Ações'!$AB528="SIM", 'Ações'!AW528="SIM"), 1,0)</f>
        <v>1</v>
      </c>
      <c r="F518" s="139">
        <f>IF(AND('Ações'!$AB528="SIM", 'Ações'!AX528="SIM"), 1,0)</f>
        <v>1</v>
      </c>
      <c r="G518" s="139">
        <f>IF(AND('Ações'!$AC528="SIM", 'Ações'!AS528="SIM"), 1,0)</f>
        <v>0</v>
      </c>
      <c r="H518" s="139">
        <f>IF(AND('Ações'!$AC528="SIM", 'Ações'!AT528="SIM"), 1,0)</f>
        <v>0</v>
      </c>
      <c r="I518" s="139">
        <f>IF(AND('Ações'!$AC528="SIM", 'Ações'!AU528="SIM"), 1,0)</f>
        <v>0</v>
      </c>
      <c r="J518" s="139">
        <f>IF(AND('Ações'!$AC528="SIM", 'Ações'!AV528="SIM"), 1,0)</f>
        <v>0</v>
      </c>
      <c r="K518" s="139">
        <f>IF(AND('Ações'!$AC528="SIM", 'Ações'!AW528="SIM"), 1,0)</f>
        <v>0</v>
      </c>
      <c r="L518" s="139">
        <f>IF(AND('Ações'!$AC528="SIM", 'Ações'!AX528="SIM"), 1,0)</f>
        <v>0</v>
      </c>
      <c r="M518" s="139">
        <f>IF(AND('Ações'!$AD528="SIM", 'Ações'!AS528="SIM"), 1,0)</f>
        <v>0</v>
      </c>
      <c r="N518" s="139">
        <f>IF(AND('Ações'!$AD528="SIM", 'Ações'!AT528="SIM"), 1,0)</f>
        <v>0</v>
      </c>
      <c r="O518" s="139">
        <f>IF(AND('Ações'!$AD528="SIM", 'Ações'!AU528="SIM"), 1,0)</f>
        <v>0</v>
      </c>
      <c r="P518" s="139">
        <f>IF(AND('Ações'!$AD528="SIM", 'Ações'!AV528="SIM"), 1,0)</f>
        <v>0</v>
      </c>
      <c r="Q518" s="139">
        <f>IF(AND('Ações'!$AD528="SIM", 'Ações'!AW528="SIM"), 1,0)</f>
        <v>0</v>
      </c>
      <c r="R518" s="139">
        <f>IF(AND('Ações'!$AD528="SIM", 'Ações'!AX528="SIM"), 1,0)</f>
        <v>0</v>
      </c>
    </row>
    <row r="519">
      <c r="A519" s="139">
        <f>IF(AND('Ações'!AB529="SIM", 'Ações'!AS529="SIM"), 1,0)</f>
        <v>1</v>
      </c>
      <c r="B519" s="139">
        <f>IF(AND('Ações'!$AB529="SIM", 'Ações'!AT529="SIM"), 1,0)</f>
        <v>1</v>
      </c>
      <c r="C519" s="139">
        <f>IF(AND('Ações'!$AB529="SIM", 'Ações'!AU529="SIM"), 1,0)</f>
        <v>1</v>
      </c>
      <c r="D519" s="139">
        <f>IF(AND('Ações'!$AB529="SIM", 'Ações'!AV529="SIM"), 1,0)</f>
        <v>1</v>
      </c>
      <c r="E519" s="139">
        <f>IF(AND('Ações'!$AB529="SIM", 'Ações'!AW529="SIM"), 1,0)</f>
        <v>1</v>
      </c>
      <c r="F519" s="139">
        <f>IF(AND('Ações'!$AB529="SIM", 'Ações'!AX529="SIM"), 1,0)</f>
        <v>1</v>
      </c>
      <c r="G519" s="139">
        <f>IF(AND('Ações'!$AC529="SIM", 'Ações'!AS529="SIM"), 1,0)</f>
        <v>0</v>
      </c>
      <c r="H519" s="139">
        <f>IF(AND('Ações'!$AC529="SIM", 'Ações'!AT529="SIM"), 1,0)</f>
        <v>0</v>
      </c>
      <c r="I519" s="139">
        <f>IF(AND('Ações'!$AC529="SIM", 'Ações'!AU529="SIM"), 1,0)</f>
        <v>0</v>
      </c>
      <c r="J519" s="139">
        <f>IF(AND('Ações'!$AC529="SIM", 'Ações'!AV529="SIM"), 1,0)</f>
        <v>0</v>
      </c>
      <c r="K519" s="139">
        <f>IF(AND('Ações'!$AC529="SIM", 'Ações'!AW529="SIM"), 1,0)</f>
        <v>0</v>
      </c>
      <c r="L519" s="139">
        <f>IF(AND('Ações'!$AC529="SIM", 'Ações'!AX529="SIM"), 1,0)</f>
        <v>0</v>
      </c>
      <c r="M519" s="139">
        <f>IF(AND('Ações'!$AD529="SIM", 'Ações'!AS529="SIM"), 1,0)</f>
        <v>0</v>
      </c>
      <c r="N519" s="139">
        <f>IF(AND('Ações'!$AD529="SIM", 'Ações'!AT529="SIM"), 1,0)</f>
        <v>0</v>
      </c>
      <c r="O519" s="139">
        <f>IF(AND('Ações'!$AD529="SIM", 'Ações'!AU529="SIM"), 1,0)</f>
        <v>0</v>
      </c>
      <c r="P519" s="139">
        <f>IF(AND('Ações'!$AD529="SIM", 'Ações'!AV529="SIM"), 1,0)</f>
        <v>0</v>
      </c>
      <c r="Q519" s="139">
        <f>IF(AND('Ações'!$AD529="SIM", 'Ações'!AW529="SIM"), 1,0)</f>
        <v>0</v>
      </c>
      <c r="R519" s="139">
        <f>IF(AND('Ações'!$AD529="SIM", 'Ações'!AX529="SIM"), 1,0)</f>
        <v>0</v>
      </c>
    </row>
    <row r="520">
      <c r="A520" s="139">
        <f>IF(AND('Ações'!AB530="SIM", 'Ações'!AS530="SIM"), 1,0)</f>
        <v>1</v>
      </c>
      <c r="B520" s="139">
        <f>IF(AND('Ações'!$AB530="SIM", 'Ações'!AT530="SIM"), 1,0)</f>
        <v>1</v>
      </c>
      <c r="C520" s="139">
        <f>IF(AND('Ações'!$AB530="SIM", 'Ações'!AU530="SIM"), 1,0)</f>
        <v>1</v>
      </c>
      <c r="D520" s="139">
        <f>IF(AND('Ações'!$AB530="SIM", 'Ações'!AV530="SIM"), 1,0)</f>
        <v>1</v>
      </c>
      <c r="E520" s="139">
        <f>IF(AND('Ações'!$AB530="SIM", 'Ações'!AW530="SIM"), 1,0)</f>
        <v>1</v>
      </c>
      <c r="F520" s="139">
        <f>IF(AND('Ações'!$AB530="SIM", 'Ações'!AX530="SIM"), 1,0)</f>
        <v>1</v>
      </c>
      <c r="G520" s="139">
        <f>IF(AND('Ações'!$AC530="SIM", 'Ações'!AS530="SIM"), 1,0)</f>
        <v>0</v>
      </c>
      <c r="H520" s="139">
        <f>IF(AND('Ações'!$AC530="SIM", 'Ações'!AT530="SIM"), 1,0)</f>
        <v>0</v>
      </c>
      <c r="I520" s="139">
        <f>IF(AND('Ações'!$AC530="SIM", 'Ações'!AU530="SIM"), 1,0)</f>
        <v>0</v>
      </c>
      <c r="J520" s="139">
        <f>IF(AND('Ações'!$AC530="SIM", 'Ações'!AV530="SIM"), 1,0)</f>
        <v>0</v>
      </c>
      <c r="K520" s="139">
        <f>IF(AND('Ações'!$AC530="SIM", 'Ações'!AW530="SIM"), 1,0)</f>
        <v>0</v>
      </c>
      <c r="L520" s="139">
        <f>IF(AND('Ações'!$AC530="SIM", 'Ações'!AX530="SIM"), 1,0)</f>
        <v>0</v>
      </c>
      <c r="M520" s="139">
        <f>IF(AND('Ações'!$AD530="SIM", 'Ações'!AS530="SIM"), 1,0)</f>
        <v>0</v>
      </c>
      <c r="N520" s="139">
        <f>IF(AND('Ações'!$AD530="SIM", 'Ações'!AT530="SIM"), 1,0)</f>
        <v>0</v>
      </c>
      <c r="O520" s="139">
        <f>IF(AND('Ações'!$AD530="SIM", 'Ações'!AU530="SIM"), 1,0)</f>
        <v>0</v>
      </c>
      <c r="P520" s="139">
        <f>IF(AND('Ações'!$AD530="SIM", 'Ações'!AV530="SIM"), 1,0)</f>
        <v>0</v>
      </c>
      <c r="Q520" s="139">
        <f>IF(AND('Ações'!$AD530="SIM", 'Ações'!AW530="SIM"), 1,0)</f>
        <v>0</v>
      </c>
      <c r="R520" s="139">
        <f>IF(AND('Ações'!$AD530="SIM", 'Ações'!AX530="SIM"), 1,0)</f>
        <v>0</v>
      </c>
    </row>
    <row r="521">
      <c r="A521" s="139">
        <f>IF(AND('Ações'!AB531="SIM", 'Ações'!AS531="SIM"), 1,0)</f>
        <v>1</v>
      </c>
      <c r="B521" s="139">
        <f>IF(AND('Ações'!$AB531="SIM", 'Ações'!AT531="SIM"), 1,0)</f>
        <v>1</v>
      </c>
      <c r="C521" s="139">
        <f>IF(AND('Ações'!$AB531="SIM", 'Ações'!AU531="SIM"), 1,0)</f>
        <v>1</v>
      </c>
      <c r="D521" s="139">
        <f>IF(AND('Ações'!$AB531="SIM", 'Ações'!AV531="SIM"), 1,0)</f>
        <v>1</v>
      </c>
      <c r="E521" s="139">
        <f>IF(AND('Ações'!$AB531="SIM", 'Ações'!AW531="SIM"), 1,0)</f>
        <v>1</v>
      </c>
      <c r="F521" s="139">
        <f>IF(AND('Ações'!$AB531="SIM", 'Ações'!AX531="SIM"), 1,0)</f>
        <v>1</v>
      </c>
      <c r="G521" s="139">
        <f>IF(AND('Ações'!$AC531="SIM", 'Ações'!AS531="SIM"), 1,0)</f>
        <v>0</v>
      </c>
      <c r="H521" s="139">
        <f>IF(AND('Ações'!$AC531="SIM", 'Ações'!AT531="SIM"), 1,0)</f>
        <v>0</v>
      </c>
      <c r="I521" s="139">
        <f>IF(AND('Ações'!$AC531="SIM", 'Ações'!AU531="SIM"), 1,0)</f>
        <v>0</v>
      </c>
      <c r="J521" s="139">
        <f>IF(AND('Ações'!$AC531="SIM", 'Ações'!AV531="SIM"), 1,0)</f>
        <v>0</v>
      </c>
      <c r="K521" s="139">
        <f>IF(AND('Ações'!$AC531="SIM", 'Ações'!AW531="SIM"), 1,0)</f>
        <v>0</v>
      </c>
      <c r="L521" s="139">
        <f>IF(AND('Ações'!$AC531="SIM", 'Ações'!AX531="SIM"), 1,0)</f>
        <v>0</v>
      </c>
      <c r="M521" s="139">
        <f>IF(AND('Ações'!$AD531="SIM", 'Ações'!AS531="SIM"), 1,0)</f>
        <v>0</v>
      </c>
      <c r="N521" s="139">
        <f>IF(AND('Ações'!$AD531="SIM", 'Ações'!AT531="SIM"), 1,0)</f>
        <v>0</v>
      </c>
      <c r="O521" s="139">
        <f>IF(AND('Ações'!$AD531="SIM", 'Ações'!AU531="SIM"), 1,0)</f>
        <v>0</v>
      </c>
      <c r="P521" s="139">
        <f>IF(AND('Ações'!$AD531="SIM", 'Ações'!AV531="SIM"), 1,0)</f>
        <v>0</v>
      </c>
      <c r="Q521" s="139">
        <f>IF(AND('Ações'!$AD531="SIM", 'Ações'!AW531="SIM"), 1,0)</f>
        <v>0</v>
      </c>
      <c r="R521" s="139">
        <f>IF(AND('Ações'!$AD531="SIM", 'Ações'!AX531="SIM"), 1,0)</f>
        <v>0</v>
      </c>
    </row>
    <row r="522">
      <c r="A522" s="139">
        <f>IF(AND('Ações'!AB532="SIM", 'Ações'!AS532="SIM"), 1,0)</f>
        <v>1</v>
      </c>
      <c r="B522" s="139">
        <f>IF(AND('Ações'!$AB532="SIM", 'Ações'!AT532="SIM"), 1,0)</f>
        <v>1</v>
      </c>
      <c r="C522" s="139">
        <f>IF(AND('Ações'!$AB532="SIM", 'Ações'!AU532="SIM"), 1,0)</f>
        <v>1</v>
      </c>
      <c r="D522" s="139">
        <f>IF(AND('Ações'!$AB532="SIM", 'Ações'!AV532="SIM"), 1,0)</f>
        <v>1</v>
      </c>
      <c r="E522" s="139">
        <f>IF(AND('Ações'!$AB532="SIM", 'Ações'!AW532="SIM"), 1,0)</f>
        <v>1</v>
      </c>
      <c r="F522" s="139">
        <f>IF(AND('Ações'!$AB532="SIM", 'Ações'!AX532="SIM"), 1,0)</f>
        <v>1</v>
      </c>
      <c r="G522" s="139">
        <f>IF(AND('Ações'!$AC532="SIM", 'Ações'!AS532="SIM"), 1,0)</f>
        <v>1</v>
      </c>
      <c r="H522" s="139">
        <f>IF(AND('Ações'!$AC532="SIM", 'Ações'!AT532="SIM"), 1,0)</f>
        <v>1</v>
      </c>
      <c r="I522" s="139">
        <f>IF(AND('Ações'!$AC532="SIM", 'Ações'!AU532="SIM"), 1,0)</f>
        <v>1</v>
      </c>
      <c r="J522" s="139">
        <f>IF(AND('Ações'!$AC532="SIM", 'Ações'!AV532="SIM"), 1,0)</f>
        <v>1</v>
      </c>
      <c r="K522" s="139">
        <f>IF(AND('Ações'!$AC532="SIM", 'Ações'!AW532="SIM"), 1,0)</f>
        <v>1</v>
      </c>
      <c r="L522" s="139">
        <f>IF(AND('Ações'!$AC532="SIM", 'Ações'!AX532="SIM"), 1,0)</f>
        <v>1</v>
      </c>
      <c r="M522" s="139">
        <f>IF(AND('Ações'!$AD532="SIM", 'Ações'!AS532="SIM"), 1,0)</f>
        <v>0</v>
      </c>
      <c r="N522" s="139">
        <f>IF(AND('Ações'!$AD532="SIM", 'Ações'!AT532="SIM"), 1,0)</f>
        <v>0</v>
      </c>
      <c r="O522" s="139">
        <f>IF(AND('Ações'!$AD532="SIM", 'Ações'!AU532="SIM"), 1,0)</f>
        <v>0</v>
      </c>
      <c r="P522" s="139">
        <f>IF(AND('Ações'!$AD532="SIM", 'Ações'!AV532="SIM"), 1,0)</f>
        <v>0</v>
      </c>
      <c r="Q522" s="139">
        <f>IF(AND('Ações'!$AD532="SIM", 'Ações'!AW532="SIM"), 1,0)</f>
        <v>0</v>
      </c>
      <c r="R522" s="139">
        <f>IF(AND('Ações'!$AD532="SIM", 'Ações'!AX532="SIM"), 1,0)</f>
        <v>0</v>
      </c>
    </row>
    <row r="523">
      <c r="A523" s="139">
        <f>IF(AND('Ações'!AB533="SIM", 'Ações'!AS533="SIM"), 1,0)</f>
        <v>1</v>
      </c>
      <c r="B523" s="139">
        <f>IF(AND('Ações'!$AB533="SIM", 'Ações'!AT533="SIM"), 1,0)</f>
        <v>1</v>
      </c>
      <c r="C523" s="139">
        <f>IF(AND('Ações'!$AB533="SIM", 'Ações'!AU533="SIM"), 1,0)</f>
        <v>1</v>
      </c>
      <c r="D523" s="139">
        <f>IF(AND('Ações'!$AB533="SIM", 'Ações'!AV533="SIM"), 1,0)</f>
        <v>1</v>
      </c>
      <c r="E523" s="139">
        <f>IF(AND('Ações'!$AB533="SIM", 'Ações'!AW533="SIM"), 1,0)</f>
        <v>1</v>
      </c>
      <c r="F523" s="139">
        <f>IF(AND('Ações'!$AB533="SIM", 'Ações'!AX533="SIM"), 1,0)</f>
        <v>1</v>
      </c>
      <c r="G523" s="139">
        <f>IF(AND('Ações'!$AC533="SIM", 'Ações'!AS533="SIM"), 1,0)</f>
        <v>0</v>
      </c>
      <c r="H523" s="139">
        <f>IF(AND('Ações'!$AC533="SIM", 'Ações'!AT533="SIM"), 1,0)</f>
        <v>0</v>
      </c>
      <c r="I523" s="139">
        <f>IF(AND('Ações'!$AC533="SIM", 'Ações'!AU533="SIM"), 1,0)</f>
        <v>0</v>
      </c>
      <c r="J523" s="139">
        <f>IF(AND('Ações'!$AC533="SIM", 'Ações'!AV533="SIM"), 1,0)</f>
        <v>0</v>
      </c>
      <c r="K523" s="139">
        <f>IF(AND('Ações'!$AC533="SIM", 'Ações'!AW533="SIM"), 1,0)</f>
        <v>0</v>
      </c>
      <c r="L523" s="139">
        <f>IF(AND('Ações'!$AC533="SIM", 'Ações'!AX533="SIM"), 1,0)</f>
        <v>0</v>
      </c>
      <c r="M523" s="139">
        <f>IF(AND('Ações'!$AD533="SIM", 'Ações'!AS533="SIM"), 1,0)</f>
        <v>0</v>
      </c>
      <c r="N523" s="139">
        <f>IF(AND('Ações'!$AD533="SIM", 'Ações'!AT533="SIM"), 1,0)</f>
        <v>0</v>
      </c>
      <c r="O523" s="139">
        <f>IF(AND('Ações'!$AD533="SIM", 'Ações'!AU533="SIM"), 1,0)</f>
        <v>0</v>
      </c>
      <c r="P523" s="139">
        <f>IF(AND('Ações'!$AD533="SIM", 'Ações'!AV533="SIM"), 1,0)</f>
        <v>0</v>
      </c>
      <c r="Q523" s="139">
        <f>IF(AND('Ações'!$AD533="SIM", 'Ações'!AW533="SIM"), 1,0)</f>
        <v>0</v>
      </c>
      <c r="R523" s="139">
        <f>IF(AND('Ações'!$AD533="SIM", 'Ações'!AX533="SIM"), 1,0)</f>
        <v>0</v>
      </c>
    </row>
    <row r="524">
      <c r="A524" s="139">
        <f>IF(AND('Ações'!AB534="SIM", 'Ações'!AS534="SIM"), 1,0)</f>
        <v>0</v>
      </c>
      <c r="B524" s="139">
        <f>IF(AND('Ações'!$AB534="SIM", 'Ações'!AT534="SIM"), 1,0)</f>
        <v>0</v>
      </c>
      <c r="C524" s="139">
        <f>IF(AND('Ações'!$AB534="SIM", 'Ações'!AU534="SIM"), 1,0)</f>
        <v>0</v>
      </c>
      <c r="D524" s="139">
        <f>IF(AND('Ações'!$AB534="SIM", 'Ações'!AV534="SIM"), 1,0)</f>
        <v>0</v>
      </c>
      <c r="E524" s="139">
        <f>IF(AND('Ações'!$AB534="SIM", 'Ações'!AW534="SIM"), 1,0)</f>
        <v>0</v>
      </c>
      <c r="F524" s="139">
        <f>IF(AND('Ações'!$AB534="SIM", 'Ações'!AX534="SIM"), 1,0)</f>
        <v>0</v>
      </c>
      <c r="G524" s="139">
        <f>IF(AND('Ações'!$AC534="SIM", 'Ações'!AS534="SIM"), 1,0)</f>
        <v>1</v>
      </c>
      <c r="H524" s="139">
        <f>IF(AND('Ações'!$AC534="SIM", 'Ações'!AT534="SIM"), 1,0)</f>
        <v>1</v>
      </c>
      <c r="I524" s="139">
        <f>IF(AND('Ações'!$AC534="SIM", 'Ações'!AU534="SIM"), 1,0)</f>
        <v>1</v>
      </c>
      <c r="J524" s="139">
        <f>IF(AND('Ações'!$AC534="SIM", 'Ações'!AV534="SIM"), 1,0)</f>
        <v>1</v>
      </c>
      <c r="K524" s="139">
        <f>IF(AND('Ações'!$AC534="SIM", 'Ações'!AW534="SIM"), 1,0)</f>
        <v>1</v>
      </c>
      <c r="L524" s="139">
        <f>IF(AND('Ações'!$AC534="SIM", 'Ações'!AX534="SIM"), 1,0)</f>
        <v>1</v>
      </c>
      <c r="M524" s="139">
        <f>IF(AND('Ações'!$AD534="SIM", 'Ações'!AS534="SIM"), 1,0)</f>
        <v>0</v>
      </c>
      <c r="N524" s="139">
        <f>IF(AND('Ações'!$AD534="SIM", 'Ações'!AT534="SIM"), 1,0)</f>
        <v>0</v>
      </c>
      <c r="O524" s="139">
        <f>IF(AND('Ações'!$AD534="SIM", 'Ações'!AU534="SIM"), 1,0)</f>
        <v>0</v>
      </c>
      <c r="P524" s="139">
        <f>IF(AND('Ações'!$AD534="SIM", 'Ações'!AV534="SIM"), 1,0)</f>
        <v>0</v>
      </c>
      <c r="Q524" s="139">
        <f>IF(AND('Ações'!$AD534="SIM", 'Ações'!AW534="SIM"), 1,0)</f>
        <v>0</v>
      </c>
      <c r="R524" s="139">
        <f>IF(AND('Ações'!$AD534="SIM", 'Ações'!AX534="SIM"), 1,0)</f>
        <v>0</v>
      </c>
    </row>
    <row r="525">
      <c r="A525" s="139">
        <f>IF(AND('Ações'!AB535="SIM", 'Ações'!AS535="SIM"), 1,0)</f>
        <v>1</v>
      </c>
      <c r="B525" s="139">
        <f>IF(AND('Ações'!$AB535="SIM", 'Ações'!AT535="SIM"), 1,0)</f>
        <v>1</v>
      </c>
      <c r="C525" s="139">
        <f>IF(AND('Ações'!$AB535="SIM", 'Ações'!AU535="SIM"), 1,0)</f>
        <v>1</v>
      </c>
      <c r="D525" s="139">
        <f>IF(AND('Ações'!$AB535="SIM", 'Ações'!AV535="SIM"), 1,0)</f>
        <v>1</v>
      </c>
      <c r="E525" s="139">
        <f>IF(AND('Ações'!$AB535="SIM", 'Ações'!AW535="SIM"), 1,0)</f>
        <v>1</v>
      </c>
      <c r="F525" s="139">
        <f>IF(AND('Ações'!$AB535="SIM", 'Ações'!AX535="SIM"), 1,0)</f>
        <v>1</v>
      </c>
      <c r="G525" s="139">
        <f>IF(AND('Ações'!$AC535="SIM", 'Ações'!AS535="SIM"), 1,0)</f>
        <v>1</v>
      </c>
      <c r="H525" s="139">
        <f>IF(AND('Ações'!$AC535="SIM", 'Ações'!AT535="SIM"), 1,0)</f>
        <v>1</v>
      </c>
      <c r="I525" s="139">
        <f>IF(AND('Ações'!$AC535="SIM", 'Ações'!AU535="SIM"), 1,0)</f>
        <v>1</v>
      </c>
      <c r="J525" s="139">
        <f>IF(AND('Ações'!$AC535="SIM", 'Ações'!AV535="SIM"), 1,0)</f>
        <v>1</v>
      </c>
      <c r="K525" s="139">
        <f>IF(AND('Ações'!$AC535="SIM", 'Ações'!AW535="SIM"), 1,0)</f>
        <v>1</v>
      </c>
      <c r="L525" s="139">
        <f>IF(AND('Ações'!$AC535="SIM", 'Ações'!AX535="SIM"), 1,0)</f>
        <v>1</v>
      </c>
      <c r="M525" s="139">
        <f>IF(AND('Ações'!$AD535="SIM", 'Ações'!AS535="SIM"), 1,0)</f>
        <v>0</v>
      </c>
      <c r="N525" s="139">
        <f>IF(AND('Ações'!$AD535="SIM", 'Ações'!AT535="SIM"), 1,0)</f>
        <v>0</v>
      </c>
      <c r="O525" s="139">
        <f>IF(AND('Ações'!$AD535="SIM", 'Ações'!AU535="SIM"), 1,0)</f>
        <v>0</v>
      </c>
      <c r="P525" s="139">
        <f>IF(AND('Ações'!$AD535="SIM", 'Ações'!AV535="SIM"), 1,0)</f>
        <v>0</v>
      </c>
      <c r="Q525" s="139">
        <f>IF(AND('Ações'!$AD535="SIM", 'Ações'!AW535="SIM"), 1,0)</f>
        <v>0</v>
      </c>
      <c r="R525" s="139">
        <f>IF(AND('Ações'!$AD535="SIM", 'Ações'!AX535="SIM"), 1,0)</f>
        <v>0</v>
      </c>
    </row>
    <row r="526">
      <c r="A526" s="139">
        <f>IF(AND('Ações'!AB536="SIM", 'Ações'!AS536="SIM"), 1,0)</f>
        <v>0</v>
      </c>
      <c r="B526" s="139">
        <f>IF(AND('Ações'!$AB536="SIM", 'Ações'!AT536="SIM"), 1,0)</f>
        <v>0</v>
      </c>
      <c r="C526" s="139">
        <f>IF(AND('Ações'!$AB536="SIM", 'Ações'!AU536="SIM"), 1,0)</f>
        <v>1</v>
      </c>
      <c r="D526" s="139">
        <f>IF(AND('Ações'!$AB536="SIM", 'Ações'!AV536="SIM"), 1,0)</f>
        <v>1</v>
      </c>
      <c r="E526" s="139">
        <f>IF(AND('Ações'!$AB536="SIM", 'Ações'!AW536="SIM"), 1,0)</f>
        <v>1</v>
      </c>
      <c r="F526" s="139">
        <f>IF(AND('Ações'!$AB536="SIM", 'Ações'!AX536="SIM"), 1,0)</f>
        <v>1</v>
      </c>
      <c r="G526" s="139">
        <f>IF(AND('Ações'!$AC536="SIM", 'Ações'!AS536="SIM"), 1,0)</f>
        <v>0</v>
      </c>
      <c r="H526" s="139">
        <f>IF(AND('Ações'!$AC536="SIM", 'Ações'!AT536="SIM"), 1,0)</f>
        <v>0</v>
      </c>
      <c r="I526" s="139">
        <f>IF(AND('Ações'!$AC536="SIM", 'Ações'!AU536="SIM"), 1,0)</f>
        <v>0</v>
      </c>
      <c r="J526" s="139">
        <f>IF(AND('Ações'!$AC536="SIM", 'Ações'!AV536="SIM"), 1,0)</f>
        <v>0</v>
      </c>
      <c r="K526" s="139">
        <f>IF(AND('Ações'!$AC536="SIM", 'Ações'!AW536="SIM"), 1,0)</f>
        <v>0</v>
      </c>
      <c r="L526" s="139">
        <f>IF(AND('Ações'!$AC536="SIM", 'Ações'!AX536="SIM"), 1,0)</f>
        <v>0</v>
      </c>
      <c r="M526" s="139">
        <f>IF(AND('Ações'!$AD536="SIM", 'Ações'!AS536="SIM"), 1,0)</f>
        <v>0</v>
      </c>
      <c r="N526" s="139">
        <f>IF(AND('Ações'!$AD536="SIM", 'Ações'!AT536="SIM"), 1,0)</f>
        <v>0</v>
      </c>
      <c r="O526" s="139">
        <f>IF(AND('Ações'!$AD536="SIM", 'Ações'!AU536="SIM"), 1,0)</f>
        <v>0</v>
      </c>
      <c r="P526" s="139">
        <f>IF(AND('Ações'!$AD536="SIM", 'Ações'!AV536="SIM"), 1,0)</f>
        <v>0</v>
      </c>
      <c r="Q526" s="139">
        <f>IF(AND('Ações'!$AD536="SIM", 'Ações'!AW536="SIM"), 1,0)</f>
        <v>0</v>
      </c>
      <c r="R526" s="139">
        <f>IF(AND('Ações'!$AD536="SIM", 'Ações'!AX536="SIM"), 1,0)</f>
        <v>0</v>
      </c>
    </row>
    <row r="527">
      <c r="A527" s="139">
        <f>IF(AND('Ações'!AB537="SIM", 'Ações'!AS537="SIM"), 1,0)</f>
        <v>0</v>
      </c>
      <c r="B527" s="139">
        <f>IF(AND('Ações'!$AB537="SIM", 'Ações'!AT537="SIM"), 1,0)</f>
        <v>0</v>
      </c>
      <c r="C527" s="139">
        <f>IF(AND('Ações'!$AB537="SIM", 'Ações'!AU537="SIM"), 1,0)</f>
        <v>1</v>
      </c>
      <c r="D527" s="139">
        <f>IF(AND('Ações'!$AB537="SIM", 'Ações'!AV537="SIM"), 1,0)</f>
        <v>1</v>
      </c>
      <c r="E527" s="139">
        <f>IF(AND('Ações'!$AB537="SIM", 'Ações'!AW537="SIM"), 1,0)</f>
        <v>1</v>
      </c>
      <c r="F527" s="139">
        <f>IF(AND('Ações'!$AB537="SIM", 'Ações'!AX537="SIM"), 1,0)</f>
        <v>1</v>
      </c>
      <c r="G527" s="139">
        <f>IF(AND('Ações'!$AC537="SIM", 'Ações'!AS537="SIM"), 1,0)</f>
        <v>0</v>
      </c>
      <c r="H527" s="139">
        <f>IF(AND('Ações'!$AC537="SIM", 'Ações'!AT537="SIM"), 1,0)</f>
        <v>0</v>
      </c>
      <c r="I527" s="139">
        <f>IF(AND('Ações'!$AC537="SIM", 'Ações'!AU537="SIM"), 1,0)</f>
        <v>1</v>
      </c>
      <c r="J527" s="139">
        <f>IF(AND('Ações'!$AC537="SIM", 'Ações'!AV537="SIM"), 1,0)</f>
        <v>1</v>
      </c>
      <c r="K527" s="139">
        <f>IF(AND('Ações'!$AC537="SIM", 'Ações'!AW537="SIM"), 1,0)</f>
        <v>1</v>
      </c>
      <c r="L527" s="139">
        <f>IF(AND('Ações'!$AC537="SIM", 'Ações'!AX537="SIM"), 1,0)</f>
        <v>1</v>
      </c>
      <c r="M527" s="139">
        <f>IF(AND('Ações'!$AD537="SIM", 'Ações'!AS537="SIM"), 1,0)</f>
        <v>0</v>
      </c>
      <c r="N527" s="139">
        <f>IF(AND('Ações'!$AD537="SIM", 'Ações'!AT537="SIM"), 1,0)</f>
        <v>0</v>
      </c>
      <c r="O527" s="139">
        <f>IF(AND('Ações'!$AD537="SIM", 'Ações'!AU537="SIM"), 1,0)</f>
        <v>0</v>
      </c>
      <c r="P527" s="139">
        <f>IF(AND('Ações'!$AD537="SIM", 'Ações'!AV537="SIM"), 1,0)</f>
        <v>0</v>
      </c>
      <c r="Q527" s="139">
        <f>IF(AND('Ações'!$AD537="SIM", 'Ações'!AW537="SIM"), 1,0)</f>
        <v>0</v>
      </c>
      <c r="R527" s="139">
        <f>IF(AND('Ações'!$AD537="SIM", 'Ações'!AX537="SIM"), 1,0)</f>
        <v>0</v>
      </c>
    </row>
    <row r="528">
      <c r="A528" s="139">
        <f>IF(AND('Ações'!AB538="SIM", 'Ações'!AS538="SIM"), 1,0)</f>
        <v>0</v>
      </c>
      <c r="B528" s="139">
        <f>IF(AND('Ações'!$AB538="SIM", 'Ações'!AT538="SIM"), 1,0)</f>
        <v>0</v>
      </c>
      <c r="C528" s="139">
        <f>IF(AND('Ações'!$AB538="SIM", 'Ações'!AU538="SIM"), 1,0)</f>
        <v>1</v>
      </c>
      <c r="D528" s="139">
        <f>IF(AND('Ações'!$AB538="SIM", 'Ações'!AV538="SIM"), 1,0)</f>
        <v>1</v>
      </c>
      <c r="E528" s="139">
        <f>IF(AND('Ações'!$AB538="SIM", 'Ações'!AW538="SIM"), 1,0)</f>
        <v>1</v>
      </c>
      <c r="F528" s="139">
        <f>IF(AND('Ações'!$AB538="SIM", 'Ações'!AX538="SIM"), 1,0)</f>
        <v>1</v>
      </c>
      <c r="G528" s="139">
        <f>IF(AND('Ações'!$AC538="SIM", 'Ações'!AS538="SIM"), 1,0)</f>
        <v>0</v>
      </c>
      <c r="H528" s="139">
        <f>IF(AND('Ações'!$AC538="SIM", 'Ações'!AT538="SIM"), 1,0)</f>
        <v>0</v>
      </c>
      <c r="I528" s="139">
        <f>IF(AND('Ações'!$AC538="SIM", 'Ações'!AU538="SIM"), 1,0)</f>
        <v>0</v>
      </c>
      <c r="J528" s="139">
        <f>IF(AND('Ações'!$AC538="SIM", 'Ações'!AV538="SIM"), 1,0)</f>
        <v>0</v>
      </c>
      <c r="K528" s="139">
        <f>IF(AND('Ações'!$AC538="SIM", 'Ações'!AW538="SIM"), 1,0)</f>
        <v>0</v>
      </c>
      <c r="L528" s="139">
        <f>IF(AND('Ações'!$AC538="SIM", 'Ações'!AX538="SIM"), 1,0)</f>
        <v>0</v>
      </c>
      <c r="M528" s="139">
        <f>IF(AND('Ações'!$AD538="SIM", 'Ações'!AS538="SIM"), 1,0)</f>
        <v>0</v>
      </c>
      <c r="N528" s="139">
        <f>IF(AND('Ações'!$AD538="SIM", 'Ações'!AT538="SIM"), 1,0)</f>
        <v>0</v>
      </c>
      <c r="O528" s="139">
        <f>IF(AND('Ações'!$AD538="SIM", 'Ações'!AU538="SIM"), 1,0)</f>
        <v>0</v>
      </c>
      <c r="P528" s="139">
        <f>IF(AND('Ações'!$AD538="SIM", 'Ações'!AV538="SIM"), 1,0)</f>
        <v>0</v>
      </c>
      <c r="Q528" s="139">
        <f>IF(AND('Ações'!$AD538="SIM", 'Ações'!AW538="SIM"), 1,0)</f>
        <v>0</v>
      </c>
      <c r="R528" s="139">
        <f>IF(AND('Ações'!$AD538="SIM", 'Ações'!AX538="SIM"), 1,0)</f>
        <v>0</v>
      </c>
    </row>
    <row r="529">
      <c r="A529" s="139">
        <f>IF(AND('Ações'!AB539="SIM", 'Ações'!AS539="SIM"), 1,0)</f>
        <v>0</v>
      </c>
      <c r="B529" s="139">
        <f>IF(AND('Ações'!$AB539="SIM", 'Ações'!AT539="SIM"), 1,0)</f>
        <v>0</v>
      </c>
      <c r="C529" s="139">
        <f>IF(AND('Ações'!$AB539="SIM", 'Ações'!AU539="SIM"), 1,0)</f>
        <v>1</v>
      </c>
      <c r="D529" s="139">
        <f>IF(AND('Ações'!$AB539="SIM", 'Ações'!AV539="SIM"), 1,0)</f>
        <v>1</v>
      </c>
      <c r="E529" s="139">
        <f>IF(AND('Ações'!$AB539="SIM", 'Ações'!AW539="SIM"), 1,0)</f>
        <v>1</v>
      </c>
      <c r="F529" s="139">
        <f>IF(AND('Ações'!$AB539="SIM", 'Ações'!AX539="SIM"), 1,0)</f>
        <v>1</v>
      </c>
      <c r="G529" s="139">
        <f>IF(AND('Ações'!$AC539="SIM", 'Ações'!AS539="SIM"), 1,0)</f>
        <v>0</v>
      </c>
      <c r="H529" s="139">
        <f>IF(AND('Ações'!$AC539="SIM", 'Ações'!AT539="SIM"), 1,0)</f>
        <v>0</v>
      </c>
      <c r="I529" s="139">
        <f>IF(AND('Ações'!$AC539="SIM", 'Ações'!AU539="SIM"), 1,0)</f>
        <v>0</v>
      </c>
      <c r="J529" s="139">
        <f>IF(AND('Ações'!$AC539="SIM", 'Ações'!AV539="SIM"), 1,0)</f>
        <v>0</v>
      </c>
      <c r="K529" s="139">
        <f>IF(AND('Ações'!$AC539="SIM", 'Ações'!AW539="SIM"), 1,0)</f>
        <v>0</v>
      </c>
      <c r="L529" s="139">
        <f>IF(AND('Ações'!$AC539="SIM", 'Ações'!AX539="SIM"), 1,0)</f>
        <v>0</v>
      </c>
      <c r="M529" s="139">
        <f>IF(AND('Ações'!$AD539="SIM", 'Ações'!AS539="SIM"), 1,0)</f>
        <v>0</v>
      </c>
      <c r="N529" s="139">
        <f>IF(AND('Ações'!$AD539="SIM", 'Ações'!AT539="SIM"), 1,0)</f>
        <v>0</v>
      </c>
      <c r="O529" s="139">
        <f>IF(AND('Ações'!$AD539="SIM", 'Ações'!AU539="SIM"), 1,0)</f>
        <v>0</v>
      </c>
      <c r="P529" s="139">
        <f>IF(AND('Ações'!$AD539="SIM", 'Ações'!AV539="SIM"), 1,0)</f>
        <v>0</v>
      </c>
      <c r="Q529" s="139">
        <f>IF(AND('Ações'!$AD539="SIM", 'Ações'!AW539="SIM"), 1,0)</f>
        <v>0</v>
      </c>
      <c r="R529" s="139">
        <f>IF(AND('Ações'!$AD539="SIM", 'Ações'!AX539="SIM"), 1,0)</f>
        <v>0</v>
      </c>
    </row>
    <row r="530">
      <c r="A530" s="139">
        <f>IF(AND('Ações'!AB540="SIM", 'Ações'!AS540="SIM"), 1,0)</f>
        <v>0</v>
      </c>
      <c r="B530" s="139">
        <f>IF(AND('Ações'!$AB540="SIM", 'Ações'!AT540="SIM"), 1,0)</f>
        <v>0</v>
      </c>
      <c r="C530" s="139">
        <f>IF(AND('Ações'!$AB540="SIM", 'Ações'!AU540="SIM"), 1,0)</f>
        <v>1</v>
      </c>
      <c r="D530" s="139">
        <f>IF(AND('Ações'!$AB540="SIM", 'Ações'!AV540="SIM"), 1,0)</f>
        <v>1</v>
      </c>
      <c r="E530" s="139">
        <f>IF(AND('Ações'!$AB540="SIM", 'Ações'!AW540="SIM"), 1,0)</f>
        <v>1</v>
      </c>
      <c r="F530" s="139">
        <f>IF(AND('Ações'!$AB540="SIM", 'Ações'!AX540="SIM"), 1,0)</f>
        <v>1</v>
      </c>
      <c r="G530" s="139">
        <f>IF(AND('Ações'!$AC540="SIM", 'Ações'!AS540="SIM"), 1,0)</f>
        <v>0</v>
      </c>
      <c r="H530" s="139">
        <f>IF(AND('Ações'!$AC540="SIM", 'Ações'!AT540="SIM"), 1,0)</f>
        <v>0</v>
      </c>
      <c r="I530" s="139">
        <f>IF(AND('Ações'!$AC540="SIM", 'Ações'!AU540="SIM"), 1,0)</f>
        <v>0</v>
      </c>
      <c r="J530" s="139">
        <f>IF(AND('Ações'!$AC540="SIM", 'Ações'!AV540="SIM"), 1,0)</f>
        <v>0</v>
      </c>
      <c r="K530" s="139">
        <f>IF(AND('Ações'!$AC540="SIM", 'Ações'!AW540="SIM"), 1,0)</f>
        <v>0</v>
      </c>
      <c r="L530" s="139">
        <f>IF(AND('Ações'!$AC540="SIM", 'Ações'!AX540="SIM"), 1,0)</f>
        <v>0</v>
      </c>
      <c r="M530" s="139">
        <f>IF(AND('Ações'!$AD540="SIM", 'Ações'!AS540="SIM"), 1,0)</f>
        <v>0</v>
      </c>
      <c r="N530" s="139">
        <f>IF(AND('Ações'!$AD540="SIM", 'Ações'!AT540="SIM"), 1,0)</f>
        <v>0</v>
      </c>
      <c r="O530" s="139">
        <f>IF(AND('Ações'!$AD540="SIM", 'Ações'!AU540="SIM"), 1,0)</f>
        <v>0</v>
      </c>
      <c r="P530" s="139">
        <f>IF(AND('Ações'!$AD540="SIM", 'Ações'!AV540="SIM"), 1,0)</f>
        <v>0</v>
      </c>
      <c r="Q530" s="139">
        <f>IF(AND('Ações'!$AD540="SIM", 'Ações'!AW540="SIM"), 1,0)</f>
        <v>0</v>
      </c>
      <c r="R530" s="139">
        <f>IF(AND('Ações'!$AD540="SIM", 'Ações'!AX540="SIM"), 1,0)</f>
        <v>0</v>
      </c>
    </row>
    <row r="531">
      <c r="A531" s="139">
        <f>IF(AND('Ações'!AB541="SIM", 'Ações'!AS541="SIM"), 1,0)</f>
        <v>0</v>
      </c>
      <c r="B531" s="139">
        <f>IF(AND('Ações'!$AB541="SIM", 'Ações'!AT541="SIM"), 1,0)</f>
        <v>0</v>
      </c>
      <c r="C531" s="139">
        <f>IF(AND('Ações'!$AB541="SIM", 'Ações'!AU541="SIM"), 1,0)</f>
        <v>1</v>
      </c>
      <c r="D531" s="139">
        <f>IF(AND('Ações'!$AB541="SIM", 'Ações'!AV541="SIM"), 1,0)</f>
        <v>1</v>
      </c>
      <c r="E531" s="139">
        <f>IF(AND('Ações'!$AB541="SIM", 'Ações'!AW541="SIM"), 1,0)</f>
        <v>1</v>
      </c>
      <c r="F531" s="139">
        <f>IF(AND('Ações'!$AB541="SIM", 'Ações'!AX541="SIM"), 1,0)</f>
        <v>1</v>
      </c>
      <c r="G531" s="139">
        <f>IF(AND('Ações'!$AC541="SIM", 'Ações'!AS541="SIM"), 1,0)</f>
        <v>0</v>
      </c>
      <c r="H531" s="139">
        <f>IF(AND('Ações'!$AC541="SIM", 'Ações'!AT541="SIM"), 1,0)</f>
        <v>0</v>
      </c>
      <c r="I531" s="139">
        <f>IF(AND('Ações'!$AC541="SIM", 'Ações'!AU541="SIM"), 1,0)</f>
        <v>0</v>
      </c>
      <c r="J531" s="139">
        <f>IF(AND('Ações'!$AC541="SIM", 'Ações'!AV541="SIM"), 1,0)</f>
        <v>0</v>
      </c>
      <c r="K531" s="139">
        <f>IF(AND('Ações'!$AC541="SIM", 'Ações'!AW541="SIM"), 1,0)</f>
        <v>0</v>
      </c>
      <c r="L531" s="139">
        <f>IF(AND('Ações'!$AC541="SIM", 'Ações'!AX541="SIM"), 1,0)</f>
        <v>0</v>
      </c>
      <c r="M531" s="139">
        <f>IF(AND('Ações'!$AD541="SIM", 'Ações'!AS541="SIM"), 1,0)</f>
        <v>0</v>
      </c>
      <c r="N531" s="139">
        <f>IF(AND('Ações'!$AD541="SIM", 'Ações'!AT541="SIM"), 1,0)</f>
        <v>0</v>
      </c>
      <c r="O531" s="139">
        <f>IF(AND('Ações'!$AD541="SIM", 'Ações'!AU541="SIM"), 1,0)</f>
        <v>0</v>
      </c>
      <c r="P531" s="139">
        <f>IF(AND('Ações'!$AD541="SIM", 'Ações'!AV541="SIM"), 1,0)</f>
        <v>0</v>
      </c>
      <c r="Q531" s="139">
        <f>IF(AND('Ações'!$AD541="SIM", 'Ações'!AW541="SIM"), 1,0)</f>
        <v>0</v>
      </c>
      <c r="R531" s="139">
        <f>IF(AND('Ações'!$AD541="SIM", 'Ações'!AX541="SIM"), 1,0)</f>
        <v>0</v>
      </c>
    </row>
    <row r="532">
      <c r="A532" s="139">
        <f>IF(AND('Ações'!AB542="SIM", 'Ações'!AS542="SIM"), 1,0)</f>
        <v>0</v>
      </c>
      <c r="B532" s="139">
        <f>IF(AND('Ações'!$AB542="SIM", 'Ações'!AT542="SIM"), 1,0)</f>
        <v>0</v>
      </c>
      <c r="C532" s="139">
        <f>IF(AND('Ações'!$AB542="SIM", 'Ações'!AU542="SIM"), 1,0)</f>
        <v>1</v>
      </c>
      <c r="D532" s="139">
        <f>IF(AND('Ações'!$AB542="SIM", 'Ações'!AV542="SIM"), 1,0)</f>
        <v>1</v>
      </c>
      <c r="E532" s="139">
        <f>IF(AND('Ações'!$AB542="SIM", 'Ações'!AW542="SIM"), 1,0)</f>
        <v>1</v>
      </c>
      <c r="F532" s="139">
        <f>IF(AND('Ações'!$AB542="SIM", 'Ações'!AX542="SIM"), 1,0)</f>
        <v>1</v>
      </c>
      <c r="G532" s="139">
        <f>IF(AND('Ações'!$AC542="SIM", 'Ações'!AS542="SIM"), 1,0)</f>
        <v>0</v>
      </c>
      <c r="H532" s="139">
        <f>IF(AND('Ações'!$AC542="SIM", 'Ações'!AT542="SIM"), 1,0)</f>
        <v>0</v>
      </c>
      <c r="I532" s="139">
        <f>IF(AND('Ações'!$AC542="SIM", 'Ações'!AU542="SIM"), 1,0)</f>
        <v>0</v>
      </c>
      <c r="J532" s="139">
        <f>IF(AND('Ações'!$AC542="SIM", 'Ações'!AV542="SIM"), 1,0)</f>
        <v>0</v>
      </c>
      <c r="K532" s="139">
        <f>IF(AND('Ações'!$AC542="SIM", 'Ações'!AW542="SIM"), 1,0)</f>
        <v>0</v>
      </c>
      <c r="L532" s="139">
        <f>IF(AND('Ações'!$AC542="SIM", 'Ações'!AX542="SIM"), 1,0)</f>
        <v>0</v>
      </c>
      <c r="M532" s="139">
        <f>IF(AND('Ações'!$AD542="SIM", 'Ações'!AS542="SIM"), 1,0)</f>
        <v>0</v>
      </c>
      <c r="N532" s="139">
        <f>IF(AND('Ações'!$AD542="SIM", 'Ações'!AT542="SIM"), 1,0)</f>
        <v>0</v>
      </c>
      <c r="O532" s="139">
        <f>IF(AND('Ações'!$AD542="SIM", 'Ações'!AU542="SIM"), 1,0)</f>
        <v>0</v>
      </c>
      <c r="P532" s="139">
        <f>IF(AND('Ações'!$AD542="SIM", 'Ações'!AV542="SIM"), 1,0)</f>
        <v>0</v>
      </c>
      <c r="Q532" s="139">
        <f>IF(AND('Ações'!$AD542="SIM", 'Ações'!AW542="SIM"), 1,0)</f>
        <v>0</v>
      </c>
      <c r="R532" s="139">
        <f>IF(AND('Ações'!$AD542="SIM", 'Ações'!AX542="SIM"), 1,0)</f>
        <v>0</v>
      </c>
    </row>
    <row r="533">
      <c r="A533" s="139">
        <f>IF(AND('Ações'!AB543="SIM", 'Ações'!AS543="SIM"), 1,0)</f>
        <v>0</v>
      </c>
      <c r="B533" s="139">
        <f>IF(AND('Ações'!$AB543="SIM", 'Ações'!AT543="SIM"), 1,0)</f>
        <v>0</v>
      </c>
      <c r="C533" s="139">
        <f>IF(AND('Ações'!$AB543="SIM", 'Ações'!AU543="SIM"), 1,0)</f>
        <v>1</v>
      </c>
      <c r="D533" s="139">
        <f>IF(AND('Ações'!$AB543="SIM", 'Ações'!AV543="SIM"), 1,0)</f>
        <v>1</v>
      </c>
      <c r="E533" s="139">
        <f>IF(AND('Ações'!$AB543="SIM", 'Ações'!AW543="SIM"), 1,0)</f>
        <v>1</v>
      </c>
      <c r="F533" s="139">
        <f>IF(AND('Ações'!$AB543="SIM", 'Ações'!AX543="SIM"), 1,0)</f>
        <v>1</v>
      </c>
      <c r="G533" s="139">
        <f>IF(AND('Ações'!$AC543="SIM", 'Ações'!AS543="SIM"), 1,0)</f>
        <v>0</v>
      </c>
      <c r="H533" s="139">
        <f>IF(AND('Ações'!$AC543="SIM", 'Ações'!AT543="SIM"), 1,0)</f>
        <v>0</v>
      </c>
      <c r="I533" s="139">
        <f>IF(AND('Ações'!$AC543="SIM", 'Ações'!AU543="SIM"), 1,0)</f>
        <v>0</v>
      </c>
      <c r="J533" s="139">
        <f>IF(AND('Ações'!$AC543="SIM", 'Ações'!AV543="SIM"), 1,0)</f>
        <v>0</v>
      </c>
      <c r="K533" s="139">
        <f>IF(AND('Ações'!$AC543="SIM", 'Ações'!AW543="SIM"), 1,0)</f>
        <v>0</v>
      </c>
      <c r="L533" s="139">
        <f>IF(AND('Ações'!$AC543="SIM", 'Ações'!AX543="SIM"), 1,0)</f>
        <v>0</v>
      </c>
      <c r="M533" s="139">
        <f>IF(AND('Ações'!$AD543="SIM", 'Ações'!AS543="SIM"), 1,0)</f>
        <v>0</v>
      </c>
      <c r="N533" s="139">
        <f>IF(AND('Ações'!$AD543="SIM", 'Ações'!AT543="SIM"), 1,0)</f>
        <v>0</v>
      </c>
      <c r="O533" s="139">
        <f>IF(AND('Ações'!$AD543="SIM", 'Ações'!AU543="SIM"), 1,0)</f>
        <v>0</v>
      </c>
      <c r="P533" s="139">
        <f>IF(AND('Ações'!$AD543="SIM", 'Ações'!AV543="SIM"), 1,0)</f>
        <v>0</v>
      </c>
      <c r="Q533" s="139">
        <f>IF(AND('Ações'!$AD543="SIM", 'Ações'!AW543="SIM"), 1,0)</f>
        <v>0</v>
      </c>
      <c r="R533" s="139">
        <f>IF(AND('Ações'!$AD543="SIM", 'Ações'!AX543="SIM"), 1,0)</f>
        <v>0</v>
      </c>
    </row>
    <row r="534">
      <c r="A534" s="139">
        <f>IF(AND('Ações'!AB544="SIM", 'Ações'!AS544="SIM"), 1,0)</f>
        <v>0</v>
      </c>
      <c r="B534" s="139">
        <f>IF(AND('Ações'!$AB544="SIM", 'Ações'!AT544="SIM"), 1,0)</f>
        <v>0</v>
      </c>
      <c r="C534" s="139">
        <f>IF(AND('Ações'!$AB544="SIM", 'Ações'!AU544="SIM"), 1,0)</f>
        <v>1</v>
      </c>
      <c r="D534" s="139">
        <f>IF(AND('Ações'!$AB544="SIM", 'Ações'!AV544="SIM"), 1,0)</f>
        <v>1</v>
      </c>
      <c r="E534" s="139">
        <f>IF(AND('Ações'!$AB544="SIM", 'Ações'!AW544="SIM"), 1,0)</f>
        <v>1</v>
      </c>
      <c r="F534" s="139">
        <f>IF(AND('Ações'!$AB544="SIM", 'Ações'!AX544="SIM"), 1,0)</f>
        <v>1</v>
      </c>
      <c r="G534" s="139">
        <f>IF(AND('Ações'!$AC544="SIM", 'Ações'!AS544="SIM"), 1,0)</f>
        <v>0</v>
      </c>
      <c r="H534" s="139">
        <f>IF(AND('Ações'!$AC544="SIM", 'Ações'!AT544="SIM"), 1,0)</f>
        <v>0</v>
      </c>
      <c r="I534" s="139">
        <f>IF(AND('Ações'!$AC544="SIM", 'Ações'!AU544="SIM"), 1,0)</f>
        <v>0</v>
      </c>
      <c r="J534" s="139">
        <f>IF(AND('Ações'!$AC544="SIM", 'Ações'!AV544="SIM"), 1,0)</f>
        <v>0</v>
      </c>
      <c r="K534" s="139">
        <f>IF(AND('Ações'!$AC544="SIM", 'Ações'!AW544="SIM"), 1,0)</f>
        <v>0</v>
      </c>
      <c r="L534" s="139">
        <f>IF(AND('Ações'!$AC544="SIM", 'Ações'!AX544="SIM"), 1,0)</f>
        <v>0</v>
      </c>
      <c r="M534" s="139">
        <f>IF(AND('Ações'!$AD544="SIM", 'Ações'!AS544="SIM"), 1,0)</f>
        <v>0</v>
      </c>
      <c r="N534" s="139">
        <f>IF(AND('Ações'!$AD544="SIM", 'Ações'!AT544="SIM"), 1,0)</f>
        <v>0</v>
      </c>
      <c r="O534" s="139">
        <f>IF(AND('Ações'!$AD544="SIM", 'Ações'!AU544="SIM"), 1,0)</f>
        <v>0</v>
      </c>
      <c r="P534" s="139">
        <f>IF(AND('Ações'!$AD544="SIM", 'Ações'!AV544="SIM"), 1,0)</f>
        <v>0</v>
      </c>
      <c r="Q534" s="139">
        <f>IF(AND('Ações'!$AD544="SIM", 'Ações'!AW544="SIM"), 1,0)</f>
        <v>0</v>
      </c>
      <c r="R534" s="139">
        <f>IF(AND('Ações'!$AD544="SIM", 'Ações'!AX544="SIM"), 1,0)</f>
        <v>0</v>
      </c>
    </row>
    <row r="535">
      <c r="A535" s="139">
        <f>IF(AND('Ações'!AB545="SIM", 'Ações'!AS545="SIM"), 1,0)</f>
        <v>0</v>
      </c>
      <c r="B535" s="139">
        <f>IF(AND('Ações'!$AB545="SIM", 'Ações'!AT545="SIM"), 1,0)</f>
        <v>0</v>
      </c>
      <c r="C535" s="139">
        <f>IF(AND('Ações'!$AB545="SIM", 'Ações'!AU545="SIM"), 1,0)</f>
        <v>1</v>
      </c>
      <c r="D535" s="139">
        <f>IF(AND('Ações'!$AB545="SIM", 'Ações'!AV545="SIM"), 1,0)</f>
        <v>1</v>
      </c>
      <c r="E535" s="139">
        <f>IF(AND('Ações'!$AB545="SIM", 'Ações'!AW545="SIM"), 1,0)</f>
        <v>1</v>
      </c>
      <c r="F535" s="139">
        <f>IF(AND('Ações'!$AB545="SIM", 'Ações'!AX545="SIM"), 1,0)</f>
        <v>1</v>
      </c>
      <c r="G535" s="139">
        <f>IF(AND('Ações'!$AC545="SIM", 'Ações'!AS545="SIM"), 1,0)</f>
        <v>0</v>
      </c>
      <c r="H535" s="139">
        <f>IF(AND('Ações'!$AC545="SIM", 'Ações'!AT545="SIM"), 1,0)</f>
        <v>0</v>
      </c>
      <c r="I535" s="139">
        <f>IF(AND('Ações'!$AC545="SIM", 'Ações'!AU545="SIM"), 1,0)</f>
        <v>0</v>
      </c>
      <c r="J535" s="139">
        <f>IF(AND('Ações'!$AC545="SIM", 'Ações'!AV545="SIM"), 1,0)</f>
        <v>0</v>
      </c>
      <c r="K535" s="139">
        <f>IF(AND('Ações'!$AC545="SIM", 'Ações'!AW545="SIM"), 1,0)</f>
        <v>0</v>
      </c>
      <c r="L535" s="139">
        <f>IF(AND('Ações'!$AC545="SIM", 'Ações'!AX545="SIM"), 1,0)</f>
        <v>0</v>
      </c>
      <c r="M535" s="139">
        <f>IF(AND('Ações'!$AD545="SIM", 'Ações'!AS545="SIM"), 1,0)</f>
        <v>0</v>
      </c>
      <c r="N535" s="139">
        <f>IF(AND('Ações'!$AD545="SIM", 'Ações'!AT545="SIM"), 1,0)</f>
        <v>0</v>
      </c>
      <c r="O535" s="139">
        <f>IF(AND('Ações'!$AD545="SIM", 'Ações'!AU545="SIM"), 1,0)</f>
        <v>0</v>
      </c>
      <c r="P535" s="139">
        <f>IF(AND('Ações'!$AD545="SIM", 'Ações'!AV545="SIM"), 1,0)</f>
        <v>0</v>
      </c>
      <c r="Q535" s="139">
        <f>IF(AND('Ações'!$AD545="SIM", 'Ações'!AW545="SIM"), 1,0)</f>
        <v>0</v>
      </c>
      <c r="R535" s="139">
        <f>IF(AND('Ações'!$AD545="SIM", 'Ações'!AX545="SIM"), 1,0)</f>
        <v>0</v>
      </c>
    </row>
    <row r="536">
      <c r="A536" s="139">
        <f>IF(AND('Ações'!AB546="SIM", 'Ações'!AS546="SIM"), 1,0)</f>
        <v>0</v>
      </c>
      <c r="B536" s="139">
        <f>IF(AND('Ações'!$AB546="SIM", 'Ações'!AT546="SIM"), 1,0)</f>
        <v>0</v>
      </c>
      <c r="C536" s="139">
        <f>IF(AND('Ações'!$AB546="SIM", 'Ações'!AU546="SIM"), 1,0)</f>
        <v>1</v>
      </c>
      <c r="D536" s="139">
        <f>IF(AND('Ações'!$AB546="SIM", 'Ações'!AV546="SIM"), 1,0)</f>
        <v>1</v>
      </c>
      <c r="E536" s="139">
        <f>IF(AND('Ações'!$AB546="SIM", 'Ações'!AW546="SIM"), 1,0)</f>
        <v>1</v>
      </c>
      <c r="F536" s="139">
        <f>IF(AND('Ações'!$AB546="SIM", 'Ações'!AX546="SIM"), 1,0)</f>
        <v>1</v>
      </c>
      <c r="G536" s="139">
        <f>IF(AND('Ações'!$AC546="SIM", 'Ações'!AS546="SIM"), 1,0)</f>
        <v>0</v>
      </c>
      <c r="H536" s="139">
        <f>IF(AND('Ações'!$AC546="SIM", 'Ações'!AT546="SIM"), 1,0)</f>
        <v>0</v>
      </c>
      <c r="I536" s="139">
        <f>IF(AND('Ações'!$AC546="SIM", 'Ações'!AU546="SIM"), 1,0)</f>
        <v>0</v>
      </c>
      <c r="J536" s="139">
        <f>IF(AND('Ações'!$AC546="SIM", 'Ações'!AV546="SIM"), 1,0)</f>
        <v>0</v>
      </c>
      <c r="K536" s="139">
        <f>IF(AND('Ações'!$AC546="SIM", 'Ações'!AW546="SIM"), 1,0)</f>
        <v>0</v>
      </c>
      <c r="L536" s="139">
        <f>IF(AND('Ações'!$AC546="SIM", 'Ações'!AX546="SIM"), 1,0)</f>
        <v>0</v>
      </c>
      <c r="M536" s="139">
        <f>IF(AND('Ações'!$AD546="SIM", 'Ações'!AS546="SIM"), 1,0)</f>
        <v>0</v>
      </c>
      <c r="N536" s="139">
        <f>IF(AND('Ações'!$AD546="SIM", 'Ações'!AT546="SIM"), 1,0)</f>
        <v>0</v>
      </c>
      <c r="O536" s="139">
        <f>IF(AND('Ações'!$AD546="SIM", 'Ações'!AU546="SIM"), 1,0)</f>
        <v>0</v>
      </c>
      <c r="P536" s="139">
        <f>IF(AND('Ações'!$AD546="SIM", 'Ações'!AV546="SIM"), 1,0)</f>
        <v>0</v>
      </c>
      <c r="Q536" s="139">
        <f>IF(AND('Ações'!$AD546="SIM", 'Ações'!AW546="SIM"), 1,0)</f>
        <v>0</v>
      </c>
      <c r="R536" s="139">
        <f>IF(AND('Ações'!$AD546="SIM", 'Ações'!AX546="SIM"), 1,0)</f>
        <v>0</v>
      </c>
    </row>
    <row r="537">
      <c r="A537" s="139">
        <f>IF(AND('Ações'!AB547="SIM", 'Ações'!AS547="SIM"), 1,0)</f>
        <v>0</v>
      </c>
      <c r="B537" s="139">
        <f>IF(AND('Ações'!$AB547="SIM", 'Ações'!AT547="SIM"), 1,0)</f>
        <v>0</v>
      </c>
      <c r="C537" s="139">
        <f>IF(AND('Ações'!$AB547="SIM", 'Ações'!AU547="SIM"), 1,0)</f>
        <v>1</v>
      </c>
      <c r="D537" s="139">
        <f>IF(AND('Ações'!$AB547="SIM", 'Ações'!AV547="SIM"), 1,0)</f>
        <v>1</v>
      </c>
      <c r="E537" s="139">
        <f>IF(AND('Ações'!$AB547="SIM", 'Ações'!AW547="SIM"), 1,0)</f>
        <v>1</v>
      </c>
      <c r="F537" s="139">
        <f>IF(AND('Ações'!$AB547="SIM", 'Ações'!AX547="SIM"), 1,0)</f>
        <v>1</v>
      </c>
      <c r="G537" s="139">
        <f>IF(AND('Ações'!$AC547="SIM", 'Ações'!AS547="SIM"), 1,0)</f>
        <v>0</v>
      </c>
      <c r="H537" s="139">
        <f>IF(AND('Ações'!$AC547="SIM", 'Ações'!AT547="SIM"), 1,0)</f>
        <v>0</v>
      </c>
      <c r="I537" s="139">
        <f>IF(AND('Ações'!$AC547="SIM", 'Ações'!AU547="SIM"), 1,0)</f>
        <v>0</v>
      </c>
      <c r="J537" s="139">
        <f>IF(AND('Ações'!$AC547="SIM", 'Ações'!AV547="SIM"), 1,0)</f>
        <v>0</v>
      </c>
      <c r="K537" s="139">
        <f>IF(AND('Ações'!$AC547="SIM", 'Ações'!AW547="SIM"), 1,0)</f>
        <v>0</v>
      </c>
      <c r="L537" s="139">
        <f>IF(AND('Ações'!$AC547="SIM", 'Ações'!AX547="SIM"), 1,0)</f>
        <v>0</v>
      </c>
      <c r="M537" s="139">
        <f>IF(AND('Ações'!$AD547="SIM", 'Ações'!AS547="SIM"), 1,0)</f>
        <v>0</v>
      </c>
      <c r="N537" s="139">
        <f>IF(AND('Ações'!$AD547="SIM", 'Ações'!AT547="SIM"), 1,0)</f>
        <v>0</v>
      </c>
      <c r="O537" s="139">
        <f>IF(AND('Ações'!$AD547="SIM", 'Ações'!AU547="SIM"), 1,0)</f>
        <v>0</v>
      </c>
      <c r="P537" s="139">
        <f>IF(AND('Ações'!$AD547="SIM", 'Ações'!AV547="SIM"), 1,0)</f>
        <v>0</v>
      </c>
      <c r="Q537" s="139">
        <f>IF(AND('Ações'!$AD547="SIM", 'Ações'!AW547="SIM"), 1,0)</f>
        <v>0</v>
      </c>
      <c r="R537" s="139">
        <f>IF(AND('Ações'!$AD547="SIM", 'Ações'!AX547="SIM"), 1,0)</f>
        <v>0</v>
      </c>
    </row>
    <row r="538">
      <c r="A538" s="139">
        <f>IF(AND('Ações'!AB548="SIM", 'Ações'!AS548="SIM"), 1,0)</f>
        <v>0</v>
      </c>
      <c r="B538" s="139">
        <f>IF(AND('Ações'!$AB548="SIM", 'Ações'!AT548="SIM"), 1,0)</f>
        <v>0</v>
      </c>
      <c r="C538" s="139">
        <f>IF(AND('Ações'!$AB548="SIM", 'Ações'!AU548="SIM"), 1,0)</f>
        <v>1</v>
      </c>
      <c r="D538" s="139">
        <f>IF(AND('Ações'!$AB548="SIM", 'Ações'!AV548="SIM"), 1,0)</f>
        <v>1</v>
      </c>
      <c r="E538" s="139">
        <f>IF(AND('Ações'!$AB548="SIM", 'Ações'!AW548="SIM"), 1,0)</f>
        <v>1</v>
      </c>
      <c r="F538" s="139">
        <f>IF(AND('Ações'!$AB548="SIM", 'Ações'!AX548="SIM"), 1,0)</f>
        <v>1</v>
      </c>
      <c r="G538" s="139">
        <f>IF(AND('Ações'!$AC548="SIM", 'Ações'!AS548="SIM"), 1,0)</f>
        <v>0</v>
      </c>
      <c r="H538" s="139">
        <f>IF(AND('Ações'!$AC548="SIM", 'Ações'!AT548="SIM"), 1,0)</f>
        <v>0</v>
      </c>
      <c r="I538" s="139">
        <f>IF(AND('Ações'!$AC548="SIM", 'Ações'!AU548="SIM"), 1,0)</f>
        <v>0</v>
      </c>
      <c r="J538" s="139">
        <f>IF(AND('Ações'!$AC548="SIM", 'Ações'!AV548="SIM"), 1,0)</f>
        <v>0</v>
      </c>
      <c r="K538" s="139">
        <f>IF(AND('Ações'!$AC548="SIM", 'Ações'!AW548="SIM"), 1,0)</f>
        <v>0</v>
      </c>
      <c r="L538" s="139">
        <f>IF(AND('Ações'!$AC548="SIM", 'Ações'!AX548="SIM"), 1,0)</f>
        <v>0</v>
      </c>
      <c r="M538" s="139">
        <f>IF(AND('Ações'!$AD548="SIM", 'Ações'!AS548="SIM"), 1,0)</f>
        <v>0</v>
      </c>
      <c r="N538" s="139">
        <f>IF(AND('Ações'!$AD548="SIM", 'Ações'!AT548="SIM"), 1,0)</f>
        <v>0</v>
      </c>
      <c r="O538" s="139">
        <f>IF(AND('Ações'!$AD548="SIM", 'Ações'!AU548="SIM"), 1,0)</f>
        <v>0</v>
      </c>
      <c r="P538" s="139">
        <f>IF(AND('Ações'!$AD548="SIM", 'Ações'!AV548="SIM"), 1,0)</f>
        <v>0</v>
      </c>
      <c r="Q538" s="139">
        <f>IF(AND('Ações'!$AD548="SIM", 'Ações'!AW548="SIM"), 1,0)</f>
        <v>0</v>
      </c>
      <c r="R538" s="139">
        <f>IF(AND('Ações'!$AD548="SIM", 'Ações'!AX548="SIM"), 1,0)</f>
        <v>0</v>
      </c>
    </row>
    <row r="539">
      <c r="A539" s="139">
        <f>IF(AND('Ações'!AB549="SIM", 'Ações'!AS549="SIM"), 1,0)</f>
        <v>0</v>
      </c>
      <c r="B539" s="139">
        <f>IF(AND('Ações'!$AB549="SIM", 'Ações'!AT549="SIM"), 1,0)</f>
        <v>0</v>
      </c>
      <c r="C539" s="139">
        <f>IF(AND('Ações'!$AB549="SIM", 'Ações'!AU549="SIM"), 1,0)</f>
        <v>1</v>
      </c>
      <c r="D539" s="139">
        <f>IF(AND('Ações'!$AB549="SIM", 'Ações'!AV549="SIM"), 1,0)</f>
        <v>1</v>
      </c>
      <c r="E539" s="139">
        <f>IF(AND('Ações'!$AB549="SIM", 'Ações'!AW549="SIM"), 1,0)</f>
        <v>1</v>
      </c>
      <c r="F539" s="139">
        <f>IF(AND('Ações'!$AB549="SIM", 'Ações'!AX549="SIM"), 1,0)</f>
        <v>1</v>
      </c>
      <c r="G539" s="139">
        <f>IF(AND('Ações'!$AC549="SIM", 'Ações'!AS549="SIM"), 1,0)</f>
        <v>0</v>
      </c>
      <c r="H539" s="139">
        <f>IF(AND('Ações'!$AC549="SIM", 'Ações'!AT549="SIM"), 1,0)</f>
        <v>0</v>
      </c>
      <c r="I539" s="139">
        <f>IF(AND('Ações'!$AC549="SIM", 'Ações'!AU549="SIM"), 1,0)</f>
        <v>0</v>
      </c>
      <c r="J539" s="139">
        <f>IF(AND('Ações'!$AC549="SIM", 'Ações'!AV549="SIM"), 1,0)</f>
        <v>0</v>
      </c>
      <c r="K539" s="139">
        <f>IF(AND('Ações'!$AC549="SIM", 'Ações'!AW549="SIM"), 1,0)</f>
        <v>0</v>
      </c>
      <c r="L539" s="139">
        <f>IF(AND('Ações'!$AC549="SIM", 'Ações'!AX549="SIM"), 1,0)</f>
        <v>0</v>
      </c>
      <c r="M539" s="139">
        <f>IF(AND('Ações'!$AD549="SIM", 'Ações'!AS549="SIM"), 1,0)</f>
        <v>0</v>
      </c>
      <c r="N539" s="139">
        <f>IF(AND('Ações'!$AD549="SIM", 'Ações'!AT549="SIM"), 1,0)</f>
        <v>0</v>
      </c>
      <c r="O539" s="139">
        <f>IF(AND('Ações'!$AD549="SIM", 'Ações'!AU549="SIM"), 1,0)</f>
        <v>0</v>
      </c>
      <c r="P539" s="139">
        <f>IF(AND('Ações'!$AD549="SIM", 'Ações'!AV549="SIM"), 1,0)</f>
        <v>0</v>
      </c>
      <c r="Q539" s="139">
        <f>IF(AND('Ações'!$AD549="SIM", 'Ações'!AW549="SIM"), 1,0)</f>
        <v>0</v>
      </c>
      <c r="R539" s="139">
        <f>IF(AND('Ações'!$AD549="SIM", 'Ações'!AX549="SIM"), 1,0)</f>
        <v>0</v>
      </c>
    </row>
    <row r="540">
      <c r="A540" s="139">
        <f>IF(AND('Ações'!AB550="SIM", 'Ações'!AS550="SIM"), 1,0)</f>
        <v>0</v>
      </c>
      <c r="B540" s="139">
        <f>IF(AND('Ações'!$AB550="SIM", 'Ações'!AT550="SIM"), 1,0)</f>
        <v>0</v>
      </c>
      <c r="C540" s="139">
        <f>IF(AND('Ações'!$AB550="SIM", 'Ações'!AU550="SIM"), 1,0)</f>
        <v>1</v>
      </c>
      <c r="D540" s="139">
        <f>IF(AND('Ações'!$AB550="SIM", 'Ações'!AV550="SIM"), 1,0)</f>
        <v>1</v>
      </c>
      <c r="E540" s="139">
        <f>IF(AND('Ações'!$AB550="SIM", 'Ações'!AW550="SIM"), 1,0)</f>
        <v>1</v>
      </c>
      <c r="F540" s="139">
        <f>IF(AND('Ações'!$AB550="SIM", 'Ações'!AX550="SIM"), 1,0)</f>
        <v>1</v>
      </c>
      <c r="G540" s="139">
        <f>IF(AND('Ações'!$AC550="SIM", 'Ações'!AS550="SIM"), 1,0)</f>
        <v>0</v>
      </c>
      <c r="H540" s="139">
        <f>IF(AND('Ações'!$AC550="SIM", 'Ações'!AT550="SIM"), 1,0)</f>
        <v>0</v>
      </c>
      <c r="I540" s="139">
        <f>IF(AND('Ações'!$AC550="SIM", 'Ações'!AU550="SIM"), 1,0)</f>
        <v>0</v>
      </c>
      <c r="J540" s="139">
        <f>IF(AND('Ações'!$AC550="SIM", 'Ações'!AV550="SIM"), 1,0)</f>
        <v>0</v>
      </c>
      <c r="K540" s="139">
        <f>IF(AND('Ações'!$AC550="SIM", 'Ações'!AW550="SIM"), 1,0)</f>
        <v>0</v>
      </c>
      <c r="L540" s="139">
        <f>IF(AND('Ações'!$AC550="SIM", 'Ações'!AX550="SIM"), 1,0)</f>
        <v>0</v>
      </c>
      <c r="M540" s="139">
        <f>IF(AND('Ações'!$AD550="SIM", 'Ações'!AS550="SIM"), 1,0)</f>
        <v>0</v>
      </c>
      <c r="N540" s="139">
        <f>IF(AND('Ações'!$AD550="SIM", 'Ações'!AT550="SIM"), 1,0)</f>
        <v>0</v>
      </c>
      <c r="O540" s="139">
        <f>IF(AND('Ações'!$AD550="SIM", 'Ações'!AU550="SIM"), 1,0)</f>
        <v>0</v>
      </c>
      <c r="P540" s="139">
        <f>IF(AND('Ações'!$AD550="SIM", 'Ações'!AV550="SIM"), 1,0)</f>
        <v>0</v>
      </c>
      <c r="Q540" s="139">
        <f>IF(AND('Ações'!$AD550="SIM", 'Ações'!AW550="SIM"), 1,0)</f>
        <v>0</v>
      </c>
      <c r="R540" s="139">
        <f>IF(AND('Ações'!$AD550="SIM", 'Ações'!AX550="SIM"), 1,0)</f>
        <v>0</v>
      </c>
    </row>
    <row r="541">
      <c r="A541" s="139">
        <f>IF(AND('Ações'!AB551="SIM", 'Ações'!AS551="SIM"), 1,0)</f>
        <v>0</v>
      </c>
      <c r="B541" s="139">
        <f>IF(AND('Ações'!$AB551="SIM", 'Ações'!AT551="SIM"), 1,0)</f>
        <v>0</v>
      </c>
      <c r="C541" s="139">
        <f>IF(AND('Ações'!$AB551="SIM", 'Ações'!AU551="SIM"), 1,0)</f>
        <v>0</v>
      </c>
      <c r="D541" s="139">
        <f>IF(AND('Ações'!$AB551="SIM", 'Ações'!AV551="SIM"), 1,0)</f>
        <v>0</v>
      </c>
      <c r="E541" s="139">
        <f>IF(AND('Ações'!$AB551="SIM", 'Ações'!AW551="SIM"), 1,0)</f>
        <v>0</v>
      </c>
      <c r="F541" s="139">
        <f>IF(AND('Ações'!$AB551="SIM", 'Ações'!AX551="SIM"), 1,0)</f>
        <v>0</v>
      </c>
      <c r="G541" s="139">
        <f>IF(AND('Ações'!$AC551="SIM", 'Ações'!AS551="SIM"), 1,0)</f>
        <v>0</v>
      </c>
      <c r="H541" s="139">
        <f>IF(AND('Ações'!$AC551="SIM", 'Ações'!AT551="SIM"), 1,0)</f>
        <v>0</v>
      </c>
      <c r="I541" s="139">
        <f>IF(AND('Ações'!$AC551="SIM", 'Ações'!AU551="SIM"), 1,0)</f>
        <v>1</v>
      </c>
      <c r="J541" s="139">
        <f>IF(AND('Ações'!$AC551="SIM", 'Ações'!AV551="SIM"), 1,0)</f>
        <v>1</v>
      </c>
      <c r="K541" s="139">
        <f>IF(AND('Ações'!$AC551="SIM", 'Ações'!AW551="SIM"), 1,0)</f>
        <v>1</v>
      </c>
      <c r="L541" s="139">
        <f>IF(AND('Ações'!$AC551="SIM", 'Ações'!AX551="SIM"), 1,0)</f>
        <v>1</v>
      </c>
      <c r="M541" s="139">
        <f>IF(AND('Ações'!$AD551="SIM", 'Ações'!AS551="SIM"), 1,0)</f>
        <v>0</v>
      </c>
      <c r="N541" s="139">
        <f>IF(AND('Ações'!$AD551="SIM", 'Ações'!AT551="SIM"), 1,0)</f>
        <v>0</v>
      </c>
      <c r="O541" s="139">
        <f>IF(AND('Ações'!$AD551="SIM", 'Ações'!AU551="SIM"), 1,0)</f>
        <v>0</v>
      </c>
      <c r="P541" s="139">
        <f>IF(AND('Ações'!$AD551="SIM", 'Ações'!AV551="SIM"), 1,0)</f>
        <v>0</v>
      </c>
      <c r="Q541" s="139">
        <f>IF(AND('Ações'!$AD551="SIM", 'Ações'!AW551="SIM"), 1,0)</f>
        <v>0</v>
      </c>
      <c r="R541" s="139">
        <f>IF(AND('Ações'!$AD551="SIM", 'Ações'!AX551="SIM"), 1,0)</f>
        <v>0</v>
      </c>
    </row>
    <row r="542">
      <c r="A542" s="139">
        <f>IF(AND('Ações'!AB552="SIM", 'Ações'!AS552="SIM"), 1,0)</f>
        <v>0</v>
      </c>
      <c r="B542" s="139">
        <f>IF(AND('Ações'!$AB552="SIM", 'Ações'!AT552="SIM"), 1,0)</f>
        <v>0</v>
      </c>
      <c r="C542" s="139">
        <f>IF(AND('Ações'!$AB552="SIM", 'Ações'!AU552="SIM"), 1,0)</f>
        <v>0</v>
      </c>
      <c r="D542" s="139">
        <f>IF(AND('Ações'!$AB552="SIM", 'Ações'!AV552="SIM"), 1,0)</f>
        <v>0</v>
      </c>
      <c r="E542" s="139">
        <f>IF(AND('Ações'!$AB552="SIM", 'Ações'!AW552="SIM"), 1,0)</f>
        <v>0</v>
      </c>
      <c r="F542" s="139">
        <f>IF(AND('Ações'!$AB552="SIM", 'Ações'!AX552="SIM"), 1,0)</f>
        <v>0</v>
      </c>
      <c r="G542" s="139">
        <f>IF(AND('Ações'!$AC552="SIM", 'Ações'!AS552="SIM"), 1,0)</f>
        <v>0</v>
      </c>
      <c r="H542" s="139">
        <f>IF(AND('Ações'!$AC552="SIM", 'Ações'!AT552="SIM"), 1,0)</f>
        <v>0</v>
      </c>
      <c r="I542" s="139">
        <f>IF(AND('Ações'!$AC552="SIM", 'Ações'!AU552="SIM"), 1,0)</f>
        <v>1</v>
      </c>
      <c r="J542" s="139">
        <f>IF(AND('Ações'!$AC552="SIM", 'Ações'!AV552="SIM"), 1,0)</f>
        <v>1</v>
      </c>
      <c r="K542" s="139">
        <f>IF(AND('Ações'!$AC552="SIM", 'Ações'!AW552="SIM"), 1,0)</f>
        <v>1</v>
      </c>
      <c r="L542" s="139">
        <f>IF(AND('Ações'!$AC552="SIM", 'Ações'!AX552="SIM"), 1,0)</f>
        <v>1</v>
      </c>
      <c r="M542" s="139">
        <f>IF(AND('Ações'!$AD552="SIM", 'Ações'!AS552="SIM"), 1,0)</f>
        <v>0</v>
      </c>
      <c r="N542" s="139">
        <f>IF(AND('Ações'!$AD552="SIM", 'Ações'!AT552="SIM"), 1,0)</f>
        <v>0</v>
      </c>
      <c r="O542" s="139">
        <f>IF(AND('Ações'!$AD552="SIM", 'Ações'!AU552="SIM"), 1,0)</f>
        <v>0</v>
      </c>
      <c r="P542" s="139">
        <f>IF(AND('Ações'!$AD552="SIM", 'Ações'!AV552="SIM"), 1,0)</f>
        <v>0</v>
      </c>
      <c r="Q542" s="139">
        <f>IF(AND('Ações'!$AD552="SIM", 'Ações'!AW552="SIM"), 1,0)</f>
        <v>0</v>
      </c>
      <c r="R542" s="139">
        <f>IF(AND('Ações'!$AD552="SIM", 'Ações'!AX552="SIM"), 1,0)</f>
        <v>0</v>
      </c>
    </row>
    <row r="543">
      <c r="A543" s="139">
        <f>IF(AND('Ações'!AB553="SIM", 'Ações'!AS553="SIM"), 1,0)</f>
        <v>0</v>
      </c>
      <c r="B543" s="139">
        <f>IF(AND('Ações'!$AB553="SIM", 'Ações'!AT553="SIM"), 1,0)</f>
        <v>0</v>
      </c>
      <c r="C543" s="139">
        <f>IF(AND('Ações'!$AB553="SIM", 'Ações'!AU553="SIM"), 1,0)</f>
        <v>0</v>
      </c>
      <c r="D543" s="139">
        <f>IF(AND('Ações'!$AB553="SIM", 'Ações'!AV553="SIM"), 1,0)</f>
        <v>1</v>
      </c>
      <c r="E543" s="139">
        <f>IF(AND('Ações'!$AB553="SIM", 'Ações'!AW553="SIM"), 1,0)</f>
        <v>1</v>
      </c>
      <c r="F543" s="139">
        <f>IF(AND('Ações'!$AB553="SIM", 'Ações'!AX553="SIM"), 1,0)</f>
        <v>1</v>
      </c>
      <c r="G543" s="139">
        <f>IF(AND('Ações'!$AC553="SIM", 'Ações'!AS553="SIM"), 1,0)</f>
        <v>0</v>
      </c>
      <c r="H543" s="139">
        <f>IF(AND('Ações'!$AC553="SIM", 'Ações'!AT553="SIM"), 1,0)</f>
        <v>0</v>
      </c>
      <c r="I543" s="139">
        <f>IF(AND('Ações'!$AC553="SIM", 'Ações'!AU553="SIM"), 1,0)</f>
        <v>0</v>
      </c>
      <c r="J543" s="139">
        <f>IF(AND('Ações'!$AC553="SIM", 'Ações'!AV553="SIM"), 1,0)</f>
        <v>0</v>
      </c>
      <c r="K543" s="139">
        <f>IF(AND('Ações'!$AC553="SIM", 'Ações'!AW553="SIM"), 1,0)</f>
        <v>0</v>
      </c>
      <c r="L543" s="139">
        <f>IF(AND('Ações'!$AC553="SIM", 'Ações'!AX553="SIM"), 1,0)</f>
        <v>0</v>
      </c>
      <c r="M543" s="139">
        <f>IF(AND('Ações'!$AD553="SIM", 'Ações'!AS553="SIM"), 1,0)</f>
        <v>0</v>
      </c>
      <c r="N543" s="139">
        <f>IF(AND('Ações'!$AD553="SIM", 'Ações'!AT553="SIM"), 1,0)</f>
        <v>0</v>
      </c>
      <c r="O543" s="139">
        <f>IF(AND('Ações'!$AD553="SIM", 'Ações'!AU553="SIM"), 1,0)</f>
        <v>0</v>
      </c>
      <c r="P543" s="139">
        <f>IF(AND('Ações'!$AD553="SIM", 'Ações'!AV553="SIM"), 1,0)</f>
        <v>0</v>
      </c>
      <c r="Q543" s="139">
        <f>IF(AND('Ações'!$AD553="SIM", 'Ações'!AW553="SIM"), 1,0)</f>
        <v>0</v>
      </c>
      <c r="R543" s="139">
        <f>IF(AND('Ações'!$AD553="SIM", 'Ações'!AX553="SIM"), 1,0)</f>
        <v>0</v>
      </c>
    </row>
    <row r="544">
      <c r="A544" s="139">
        <f>IF(AND('Ações'!AB554="SIM", 'Ações'!AS554="SIM"), 1,0)</f>
        <v>0</v>
      </c>
      <c r="B544" s="139">
        <f>IF(AND('Ações'!$AB554="SIM", 'Ações'!AT554="SIM"), 1,0)</f>
        <v>0</v>
      </c>
      <c r="C544" s="139">
        <f>IF(AND('Ações'!$AB554="SIM", 'Ações'!AU554="SIM"), 1,0)</f>
        <v>0</v>
      </c>
      <c r="D544" s="139">
        <f>IF(AND('Ações'!$AB554="SIM", 'Ações'!AV554="SIM"), 1,0)</f>
        <v>1</v>
      </c>
      <c r="E544" s="139">
        <f>IF(AND('Ações'!$AB554="SIM", 'Ações'!AW554="SIM"), 1,0)</f>
        <v>1</v>
      </c>
      <c r="F544" s="139">
        <f>IF(AND('Ações'!$AB554="SIM", 'Ações'!AX554="SIM"), 1,0)</f>
        <v>1</v>
      </c>
      <c r="G544" s="139">
        <f>IF(AND('Ações'!$AC554="SIM", 'Ações'!AS554="SIM"), 1,0)</f>
        <v>0</v>
      </c>
      <c r="H544" s="139">
        <f>IF(AND('Ações'!$AC554="SIM", 'Ações'!AT554="SIM"), 1,0)</f>
        <v>0</v>
      </c>
      <c r="I544" s="139">
        <f>IF(AND('Ações'!$AC554="SIM", 'Ações'!AU554="SIM"), 1,0)</f>
        <v>0</v>
      </c>
      <c r="J544" s="139">
        <f>IF(AND('Ações'!$AC554="SIM", 'Ações'!AV554="SIM"), 1,0)</f>
        <v>0</v>
      </c>
      <c r="K544" s="139">
        <f>IF(AND('Ações'!$AC554="SIM", 'Ações'!AW554="SIM"), 1,0)</f>
        <v>0</v>
      </c>
      <c r="L544" s="139">
        <f>IF(AND('Ações'!$AC554="SIM", 'Ações'!AX554="SIM"), 1,0)</f>
        <v>0</v>
      </c>
      <c r="M544" s="139">
        <f>IF(AND('Ações'!$AD554="SIM", 'Ações'!AS554="SIM"), 1,0)</f>
        <v>0</v>
      </c>
      <c r="N544" s="139">
        <f>IF(AND('Ações'!$AD554="SIM", 'Ações'!AT554="SIM"), 1,0)</f>
        <v>0</v>
      </c>
      <c r="O544" s="139">
        <f>IF(AND('Ações'!$AD554="SIM", 'Ações'!AU554="SIM"), 1,0)</f>
        <v>0</v>
      </c>
      <c r="P544" s="139">
        <f>IF(AND('Ações'!$AD554="SIM", 'Ações'!AV554="SIM"), 1,0)</f>
        <v>0</v>
      </c>
      <c r="Q544" s="139">
        <f>IF(AND('Ações'!$AD554="SIM", 'Ações'!AW554="SIM"), 1,0)</f>
        <v>0</v>
      </c>
      <c r="R544" s="139">
        <f>IF(AND('Ações'!$AD554="SIM", 'Ações'!AX554="SIM"), 1,0)</f>
        <v>0</v>
      </c>
    </row>
    <row r="545">
      <c r="A545" s="139">
        <f>IF(AND('Ações'!AB555="SIM", 'Ações'!AS555="SIM"), 1,0)</f>
        <v>0</v>
      </c>
      <c r="B545" s="139">
        <f>IF(AND('Ações'!$AB555="SIM", 'Ações'!AT555="SIM"), 1,0)</f>
        <v>0</v>
      </c>
      <c r="C545" s="139">
        <f>IF(AND('Ações'!$AB555="SIM", 'Ações'!AU555="SIM"), 1,0)</f>
        <v>0</v>
      </c>
      <c r="D545" s="139">
        <f>IF(AND('Ações'!$AB555="SIM", 'Ações'!AV555="SIM"), 1,0)</f>
        <v>1</v>
      </c>
      <c r="E545" s="139">
        <f>IF(AND('Ações'!$AB555="SIM", 'Ações'!AW555="SIM"), 1,0)</f>
        <v>1</v>
      </c>
      <c r="F545" s="139">
        <f>IF(AND('Ações'!$AB555="SIM", 'Ações'!AX555="SIM"), 1,0)</f>
        <v>1</v>
      </c>
      <c r="G545" s="139">
        <f>IF(AND('Ações'!$AC555="SIM", 'Ações'!AS555="SIM"), 1,0)</f>
        <v>0</v>
      </c>
      <c r="H545" s="139">
        <f>IF(AND('Ações'!$AC555="SIM", 'Ações'!AT555="SIM"), 1,0)</f>
        <v>0</v>
      </c>
      <c r="I545" s="139">
        <f>IF(AND('Ações'!$AC555="SIM", 'Ações'!AU555="SIM"), 1,0)</f>
        <v>0</v>
      </c>
      <c r="J545" s="139">
        <f>IF(AND('Ações'!$AC555="SIM", 'Ações'!AV555="SIM"), 1,0)</f>
        <v>0</v>
      </c>
      <c r="K545" s="139">
        <f>IF(AND('Ações'!$AC555="SIM", 'Ações'!AW555="SIM"), 1,0)</f>
        <v>0</v>
      </c>
      <c r="L545" s="139">
        <f>IF(AND('Ações'!$AC555="SIM", 'Ações'!AX555="SIM"), 1,0)</f>
        <v>0</v>
      </c>
      <c r="M545" s="139">
        <f>IF(AND('Ações'!$AD555="SIM", 'Ações'!AS555="SIM"), 1,0)</f>
        <v>0</v>
      </c>
      <c r="N545" s="139">
        <f>IF(AND('Ações'!$AD555="SIM", 'Ações'!AT555="SIM"), 1,0)</f>
        <v>0</v>
      </c>
      <c r="O545" s="139">
        <f>IF(AND('Ações'!$AD555="SIM", 'Ações'!AU555="SIM"), 1,0)</f>
        <v>0</v>
      </c>
      <c r="P545" s="139">
        <f>IF(AND('Ações'!$AD555="SIM", 'Ações'!AV555="SIM"), 1,0)</f>
        <v>0</v>
      </c>
      <c r="Q545" s="139">
        <f>IF(AND('Ações'!$AD555="SIM", 'Ações'!AW555="SIM"), 1,0)</f>
        <v>0</v>
      </c>
      <c r="R545" s="139">
        <f>IF(AND('Ações'!$AD555="SIM", 'Ações'!AX555="SIM"), 1,0)</f>
        <v>0</v>
      </c>
    </row>
    <row r="546">
      <c r="A546" s="139">
        <f>IF(AND('Ações'!AB556="SIM", 'Ações'!AS556="SIM"), 1,0)</f>
        <v>0</v>
      </c>
      <c r="B546" s="139">
        <f>IF(AND('Ações'!$AB556="SIM", 'Ações'!AT556="SIM"), 1,0)</f>
        <v>0</v>
      </c>
      <c r="C546" s="139">
        <f>IF(AND('Ações'!$AB556="SIM", 'Ações'!AU556="SIM"), 1,0)</f>
        <v>0</v>
      </c>
      <c r="D546" s="139">
        <f>IF(AND('Ações'!$AB556="SIM", 'Ações'!AV556="SIM"), 1,0)</f>
        <v>1</v>
      </c>
      <c r="E546" s="139">
        <f>IF(AND('Ações'!$AB556="SIM", 'Ações'!AW556="SIM"), 1,0)</f>
        <v>1</v>
      </c>
      <c r="F546" s="139">
        <f>IF(AND('Ações'!$AB556="SIM", 'Ações'!AX556="SIM"), 1,0)</f>
        <v>1</v>
      </c>
      <c r="G546" s="139">
        <f>IF(AND('Ações'!$AC556="SIM", 'Ações'!AS556="SIM"), 1,0)</f>
        <v>0</v>
      </c>
      <c r="H546" s="139">
        <f>IF(AND('Ações'!$AC556="SIM", 'Ações'!AT556="SIM"), 1,0)</f>
        <v>0</v>
      </c>
      <c r="I546" s="139">
        <f>IF(AND('Ações'!$AC556="SIM", 'Ações'!AU556="SIM"), 1,0)</f>
        <v>0</v>
      </c>
      <c r="J546" s="139">
        <f>IF(AND('Ações'!$AC556="SIM", 'Ações'!AV556="SIM"), 1,0)</f>
        <v>0</v>
      </c>
      <c r="K546" s="139">
        <f>IF(AND('Ações'!$AC556="SIM", 'Ações'!AW556="SIM"), 1,0)</f>
        <v>0</v>
      </c>
      <c r="L546" s="139">
        <f>IF(AND('Ações'!$AC556="SIM", 'Ações'!AX556="SIM"), 1,0)</f>
        <v>0</v>
      </c>
      <c r="M546" s="139">
        <f>IF(AND('Ações'!$AD556="SIM", 'Ações'!AS556="SIM"), 1,0)</f>
        <v>0</v>
      </c>
      <c r="N546" s="139">
        <f>IF(AND('Ações'!$AD556="SIM", 'Ações'!AT556="SIM"), 1,0)</f>
        <v>0</v>
      </c>
      <c r="O546" s="139">
        <f>IF(AND('Ações'!$AD556="SIM", 'Ações'!AU556="SIM"), 1,0)</f>
        <v>0</v>
      </c>
      <c r="P546" s="139">
        <f>IF(AND('Ações'!$AD556="SIM", 'Ações'!AV556="SIM"), 1,0)</f>
        <v>0</v>
      </c>
      <c r="Q546" s="139">
        <f>IF(AND('Ações'!$AD556="SIM", 'Ações'!AW556="SIM"), 1,0)</f>
        <v>0</v>
      </c>
      <c r="R546" s="139">
        <f>IF(AND('Ações'!$AD556="SIM", 'Ações'!AX556="SIM"), 1,0)</f>
        <v>0</v>
      </c>
    </row>
    <row r="547">
      <c r="A547" s="139">
        <f>IF(AND('Ações'!AB557="SIM", 'Ações'!AS557="SIM"), 1,0)</f>
        <v>0</v>
      </c>
      <c r="B547" s="139">
        <f>IF(AND('Ações'!$AB557="SIM", 'Ações'!AT557="SIM"), 1,0)</f>
        <v>0</v>
      </c>
      <c r="C547" s="139">
        <f>IF(AND('Ações'!$AB557="SIM", 'Ações'!AU557="SIM"), 1,0)</f>
        <v>0</v>
      </c>
      <c r="D547" s="139">
        <f>IF(AND('Ações'!$AB557="SIM", 'Ações'!AV557="SIM"), 1,0)</f>
        <v>1</v>
      </c>
      <c r="E547" s="139">
        <f>IF(AND('Ações'!$AB557="SIM", 'Ações'!AW557="SIM"), 1,0)</f>
        <v>1</v>
      </c>
      <c r="F547" s="139">
        <f>IF(AND('Ações'!$AB557="SIM", 'Ações'!AX557="SIM"), 1,0)</f>
        <v>1</v>
      </c>
      <c r="G547" s="139">
        <f>IF(AND('Ações'!$AC557="SIM", 'Ações'!AS557="SIM"), 1,0)</f>
        <v>0</v>
      </c>
      <c r="H547" s="139">
        <f>IF(AND('Ações'!$AC557="SIM", 'Ações'!AT557="SIM"), 1,0)</f>
        <v>0</v>
      </c>
      <c r="I547" s="139">
        <f>IF(AND('Ações'!$AC557="SIM", 'Ações'!AU557="SIM"), 1,0)</f>
        <v>0</v>
      </c>
      <c r="J547" s="139">
        <f>IF(AND('Ações'!$AC557="SIM", 'Ações'!AV557="SIM"), 1,0)</f>
        <v>0</v>
      </c>
      <c r="K547" s="139">
        <f>IF(AND('Ações'!$AC557="SIM", 'Ações'!AW557="SIM"), 1,0)</f>
        <v>0</v>
      </c>
      <c r="L547" s="139">
        <f>IF(AND('Ações'!$AC557="SIM", 'Ações'!AX557="SIM"), 1,0)</f>
        <v>0</v>
      </c>
      <c r="M547" s="139">
        <f>IF(AND('Ações'!$AD557="SIM", 'Ações'!AS557="SIM"), 1,0)</f>
        <v>0</v>
      </c>
      <c r="N547" s="139">
        <f>IF(AND('Ações'!$AD557="SIM", 'Ações'!AT557="SIM"), 1,0)</f>
        <v>0</v>
      </c>
      <c r="O547" s="139">
        <f>IF(AND('Ações'!$AD557="SIM", 'Ações'!AU557="SIM"), 1,0)</f>
        <v>0</v>
      </c>
      <c r="P547" s="139">
        <f>IF(AND('Ações'!$AD557="SIM", 'Ações'!AV557="SIM"), 1,0)</f>
        <v>0</v>
      </c>
      <c r="Q547" s="139">
        <f>IF(AND('Ações'!$AD557="SIM", 'Ações'!AW557="SIM"), 1,0)</f>
        <v>0</v>
      </c>
      <c r="R547" s="139">
        <f>IF(AND('Ações'!$AD557="SIM", 'Ações'!AX557="SIM"), 1,0)</f>
        <v>0</v>
      </c>
    </row>
    <row r="548">
      <c r="A548" s="139">
        <f>IF(AND('Ações'!AB558="SIM", 'Ações'!AS558="SIM"), 1,0)</f>
        <v>0</v>
      </c>
      <c r="B548" s="139">
        <f>IF(AND('Ações'!$AB558="SIM", 'Ações'!AT558="SIM"), 1,0)</f>
        <v>0</v>
      </c>
      <c r="C548" s="139">
        <f>IF(AND('Ações'!$AB558="SIM", 'Ações'!AU558="SIM"), 1,0)</f>
        <v>0</v>
      </c>
      <c r="D548" s="139">
        <f>IF(AND('Ações'!$AB558="SIM", 'Ações'!AV558="SIM"), 1,0)</f>
        <v>1</v>
      </c>
      <c r="E548" s="139">
        <f>IF(AND('Ações'!$AB558="SIM", 'Ações'!AW558="SIM"), 1,0)</f>
        <v>1</v>
      </c>
      <c r="F548" s="139">
        <f>IF(AND('Ações'!$AB558="SIM", 'Ações'!AX558="SIM"), 1,0)</f>
        <v>1</v>
      </c>
      <c r="G548" s="139">
        <f>IF(AND('Ações'!$AC558="SIM", 'Ações'!AS558="SIM"), 1,0)</f>
        <v>0</v>
      </c>
      <c r="H548" s="139">
        <f>IF(AND('Ações'!$AC558="SIM", 'Ações'!AT558="SIM"), 1,0)</f>
        <v>0</v>
      </c>
      <c r="I548" s="139">
        <f>IF(AND('Ações'!$AC558="SIM", 'Ações'!AU558="SIM"), 1,0)</f>
        <v>0</v>
      </c>
      <c r="J548" s="139">
        <f>IF(AND('Ações'!$AC558="SIM", 'Ações'!AV558="SIM"), 1,0)</f>
        <v>0</v>
      </c>
      <c r="K548" s="139">
        <f>IF(AND('Ações'!$AC558="SIM", 'Ações'!AW558="SIM"), 1,0)</f>
        <v>0</v>
      </c>
      <c r="L548" s="139">
        <f>IF(AND('Ações'!$AC558="SIM", 'Ações'!AX558="SIM"), 1,0)</f>
        <v>0</v>
      </c>
      <c r="M548" s="139">
        <f>IF(AND('Ações'!$AD558="SIM", 'Ações'!AS558="SIM"), 1,0)</f>
        <v>0</v>
      </c>
      <c r="N548" s="139">
        <f>IF(AND('Ações'!$AD558="SIM", 'Ações'!AT558="SIM"), 1,0)</f>
        <v>0</v>
      </c>
      <c r="O548" s="139">
        <f>IF(AND('Ações'!$AD558="SIM", 'Ações'!AU558="SIM"), 1,0)</f>
        <v>0</v>
      </c>
      <c r="P548" s="139">
        <f>IF(AND('Ações'!$AD558="SIM", 'Ações'!AV558="SIM"), 1,0)</f>
        <v>0</v>
      </c>
      <c r="Q548" s="139">
        <f>IF(AND('Ações'!$AD558="SIM", 'Ações'!AW558="SIM"), 1,0)</f>
        <v>0</v>
      </c>
      <c r="R548" s="139">
        <f>IF(AND('Ações'!$AD558="SIM", 'Ações'!AX558="SIM"), 1,0)</f>
        <v>0</v>
      </c>
    </row>
    <row r="549">
      <c r="A549" s="139">
        <f>IF(AND('Ações'!AB559="SIM", 'Ações'!AS559="SIM"), 1,0)</f>
        <v>0</v>
      </c>
      <c r="B549" s="139">
        <f>IF(AND('Ações'!$AB559="SIM", 'Ações'!AT559="SIM"), 1,0)</f>
        <v>0</v>
      </c>
      <c r="C549" s="139">
        <f>IF(AND('Ações'!$AB559="SIM", 'Ações'!AU559="SIM"), 1,0)</f>
        <v>0</v>
      </c>
      <c r="D549" s="139">
        <f>IF(AND('Ações'!$AB559="SIM", 'Ações'!AV559="SIM"), 1,0)</f>
        <v>1</v>
      </c>
      <c r="E549" s="139">
        <f>IF(AND('Ações'!$AB559="SIM", 'Ações'!AW559="SIM"), 1,0)</f>
        <v>1</v>
      </c>
      <c r="F549" s="139">
        <f>IF(AND('Ações'!$AB559="SIM", 'Ações'!AX559="SIM"), 1,0)</f>
        <v>1</v>
      </c>
      <c r="G549" s="139">
        <f>IF(AND('Ações'!$AC559="SIM", 'Ações'!AS559="SIM"), 1,0)</f>
        <v>0</v>
      </c>
      <c r="H549" s="139">
        <f>IF(AND('Ações'!$AC559="SIM", 'Ações'!AT559="SIM"), 1,0)</f>
        <v>0</v>
      </c>
      <c r="I549" s="139">
        <f>IF(AND('Ações'!$AC559="SIM", 'Ações'!AU559="SIM"), 1,0)</f>
        <v>0</v>
      </c>
      <c r="J549" s="139">
        <f>IF(AND('Ações'!$AC559="SIM", 'Ações'!AV559="SIM"), 1,0)</f>
        <v>0</v>
      </c>
      <c r="K549" s="139">
        <f>IF(AND('Ações'!$AC559="SIM", 'Ações'!AW559="SIM"), 1,0)</f>
        <v>0</v>
      </c>
      <c r="L549" s="139">
        <f>IF(AND('Ações'!$AC559="SIM", 'Ações'!AX559="SIM"), 1,0)</f>
        <v>0</v>
      </c>
      <c r="M549" s="139">
        <f>IF(AND('Ações'!$AD559="SIM", 'Ações'!AS559="SIM"), 1,0)</f>
        <v>0</v>
      </c>
      <c r="N549" s="139">
        <f>IF(AND('Ações'!$AD559="SIM", 'Ações'!AT559="SIM"), 1,0)</f>
        <v>0</v>
      </c>
      <c r="O549" s="139">
        <f>IF(AND('Ações'!$AD559="SIM", 'Ações'!AU559="SIM"), 1,0)</f>
        <v>0</v>
      </c>
      <c r="P549" s="139">
        <f>IF(AND('Ações'!$AD559="SIM", 'Ações'!AV559="SIM"), 1,0)</f>
        <v>0</v>
      </c>
      <c r="Q549" s="139">
        <f>IF(AND('Ações'!$AD559="SIM", 'Ações'!AW559="SIM"), 1,0)</f>
        <v>0</v>
      </c>
      <c r="R549" s="139">
        <f>IF(AND('Ações'!$AD559="SIM", 'Ações'!AX559="SIM"), 1,0)</f>
        <v>0</v>
      </c>
    </row>
    <row r="550">
      <c r="A550" s="139">
        <f>IF(AND('Ações'!AB560="SIM", 'Ações'!AS560="SIM"), 1,0)</f>
        <v>0</v>
      </c>
      <c r="B550" s="139">
        <f>IF(AND('Ações'!$AB560="SIM", 'Ações'!AT560="SIM"), 1,0)</f>
        <v>0</v>
      </c>
      <c r="C550" s="139">
        <f>IF(AND('Ações'!$AB560="SIM", 'Ações'!AU560="SIM"), 1,0)</f>
        <v>0</v>
      </c>
      <c r="D550" s="139">
        <f>IF(AND('Ações'!$AB560="SIM", 'Ações'!AV560="SIM"), 1,0)</f>
        <v>1</v>
      </c>
      <c r="E550" s="139">
        <f>IF(AND('Ações'!$AB560="SIM", 'Ações'!AW560="SIM"), 1,0)</f>
        <v>1</v>
      </c>
      <c r="F550" s="139">
        <f>IF(AND('Ações'!$AB560="SIM", 'Ações'!AX560="SIM"), 1,0)</f>
        <v>1</v>
      </c>
      <c r="G550" s="139">
        <f>IF(AND('Ações'!$AC560="SIM", 'Ações'!AS560="SIM"), 1,0)</f>
        <v>0</v>
      </c>
      <c r="H550" s="139">
        <f>IF(AND('Ações'!$AC560="SIM", 'Ações'!AT560="SIM"), 1,0)</f>
        <v>0</v>
      </c>
      <c r="I550" s="139">
        <f>IF(AND('Ações'!$AC560="SIM", 'Ações'!AU560="SIM"), 1,0)</f>
        <v>0</v>
      </c>
      <c r="J550" s="139">
        <f>IF(AND('Ações'!$AC560="SIM", 'Ações'!AV560="SIM"), 1,0)</f>
        <v>0</v>
      </c>
      <c r="K550" s="139">
        <f>IF(AND('Ações'!$AC560="SIM", 'Ações'!AW560="SIM"), 1,0)</f>
        <v>0</v>
      </c>
      <c r="L550" s="139">
        <f>IF(AND('Ações'!$AC560="SIM", 'Ações'!AX560="SIM"), 1,0)</f>
        <v>0</v>
      </c>
      <c r="M550" s="139">
        <f>IF(AND('Ações'!$AD560="SIM", 'Ações'!AS560="SIM"), 1,0)</f>
        <v>0</v>
      </c>
      <c r="N550" s="139">
        <f>IF(AND('Ações'!$AD560="SIM", 'Ações'!AT560="SIM"), 1,0)</f>
        <v>0</v>
      </c>
      <c r="O550" s="139">
        <f>IF(AND('Ações'!$AD560="SIM", 'Ações'!AU560="SIM"), 1,0)</f>
        <v>0</v>
      </c>
      <c r="P550" s="139">
        <f>IF(AND('Ações'!$AD560="SIM", 'Ações'!AV560="SIM"), 1,0)</f>
        <v>0</v>
      </c>
      <c r="Q550" s="139">
        <f>IF(AND('Ações'!$AD560="SIM", 'Ações'!AW560="SIM"), 1,0)</f>
        <v>0</v>
      </c>
      <c r="R550" s="139">
        <f>IF(AND('Ações'!$AD560="SIM", 'Ações'!AX560="SIM"), 1,0)</f>
        <v>0</v>
      </c>
    </row>
    <row r="551">
      <c r="A551" s="139">
        <f>IF(AND('Ações'!AB561="SIM", 'Ações'!AS561="SIM"), 1,0)</f>
        <v>0</v>
      </c>
      <c r="B551" s="139">
        <f>IF(AND('Ações'!$AB561="SIM", 'Ações'!AT561="SIM"), 1,0)</f>
        <v>0</v>
      </c>
      <c r="C551" s="139">
        <f>IF(AND('Ações'!$AB561="SIM", 'Ações'!AU561="SIM"), 1,0)</f>
        <v>0</v>
      </c>
      <c r="D551" s="139">
        <f>IF(AND('Ações'!$AB561="SIM", 'Ações'!AV561="SIM"), 1,0)</f>
        <v>1</v>
      </c>
      <c r="E551" s="139">
        <f>IF(AND('Ações'!$AB561="SIM", 'Ações'!AW561="SIM"), 1,0)</f>
        <v>1</v>
      </c>
      <c r="F551" s="139">
        <f>IF(AND('Ações'!$AB561="SIM", 'Ações'!AX561="SIM"), 1,0)</f>
        <v>1</v>
      </c>
      <c r="G551" s="139">
        <f>IF(AND('Ações'!$AC561="SIM", 'Ações'!AS561="SIM"), 1,0)</f>
        <v>0</v>
      </c>
      <c r="H551" s="139">
        <f>IF(AND('Ações'!$AC561="SIM", 'Ações'!AT561="SIM"), 1,0)</f>
        <v>0</v>
      </c>
      <c r="I551" s="139">
        <f>IF(AND('Ações'!$AC561="SIM", 'Ações'!AU561="SIM"), 1,0)</f>
        <v>0</v>
      </c>
      <c r="J551" s="139">
        <f>IF(AND('Ações'!$AC561="SIM", 'Ações'!AV561="SIM"), 1,0)</f>
        <v>0</v>
      </c>
      <c r="K551" s="139">
        <f>IF(AND('Ações'!$AC561="SIM", 'Ações'!AW561="SIM"), 1,0)</f>
        <v>0</v>
      </c>
      <c r="L551" s="139">
        <f>IF(AND('Ações'!$AC561="SIM", 'Ações'!AX561="SIM"), 1,0)</f>
        <v>0</v>
      </c>
      <c r="M551" s="139">
        <f>IF(AND('Ações'!$AD561="SIM", 'Ações'!AS561="SIM"), 1,0)</f>
        <v>0</v>
      </c>
      <c r="N551" s="139">
        <f>IF(AND('Ações'!$AD561="SIM", 'Ações'!AT561="SIM"), 1,0)</f>
        <v>0</v>
      </c>
      <c r="O551" s="139">
        <f>IF(AND('Ações'!$AD561="SIM", 'Ações'!AU561="SIM"), 1,0)</f>
        <v>0</v>
      </c>
      <c r="P551" s="139">
        <f>IF(AND('Ações'!$AD561="SIM", 'Ações'!AV561="SIM"), 1,0)</f>
        <v>0</v>
      </c>
      <c r="Q551" s="139">
        <f>IF(AND('Ações'!$AD561="SIM", 'Ações'!AW561="SIM"), 1,0)</f>
        <v>0</v>
      </c>
      <c r="R551" s="139">
        <f>IF(AND('Ações'!$AD561="SIM", 'Ações'!AX561="SIM"), 1,0)</f>
        <v>0</v>
      </c>
    </row>
    <row r="552">
      <c r="A552" s="139">
        <f>IF(AND('Ações'!AB562="SIM", 'Ações'!AS562="SIM"), 1,0)</f>
        <v>0</v>
      </c>
      <c r="B552" s="139">
        <f>IF(AND('Ações'!$AB562="SIM", 'Ações'!AT562="SIM"), 1,0)</f>
        <v>0</v>
      </c>
      <c r="C552" s="139">
        <f>IF(AND('Ações'!$AB562="SIM", 'Ações'!AU562="SIM"), 1,0)</f>
        <v>0</v>
      </c>
      <c r="D552" s="139">
        <f>IF(AND('Ações'!$AB562="SIM", 'Ações'!AV562="SIM"), 1,0)</f>
        <v>1</v>
      </c>
      <c r="E552" s="139">
        <f>IF(AND('Ações'!$AB562="SIM", 'Ações'!AW562="SIM"), 1,0)</f>
        <v>1</v>
      </c>
      <c r="F552" s="139">
        <f>IF(AND('Ações'!$AB562="SIM", 'Ações'!AX562="SIM"), 1,0)</f>
        <v>1</v>
      </c>
      <c r="G552" s="139">
        <f>IF(AND('Ações'!$AC562="SIM", 'Ações'!AS562="SIM"), 1,0)</f>
        <v>0</v>
      </c>
      <c r="H552" s="139">
        <f>IF(AND('Ações'!$AC562="SIM", 'Ações'!AT562="SIM"), 1,0)</f>
        <v>0</v>
      </c>
      <c r="I552" s="139">
        <f>IF(AND('Ações'!$AC562="SIM", 'Ações'!AU562="SIM"), 1,0)</f>
        <v>0</v>
      </c>
      <c r="J552" s="139">
        <f>IF(AND('Ações'!$AC562="SIM", 'Ações'!AV562="SIM"), 1,0)</f>
        <v>0</v>
      </c>
      <c r="K552" s="139">
        <f>IF(AND('Ações'!$AC562="SIM", 'Ações'!AW562="SIM"), 1,0)</f>
        <v>0</v>
      </c>
      <c r="L552" s="139">
        <f>IF(AND('Ações'!$AC562="SIM", 'Ações'!AX562="SIM"), 1,0)</f>
        <v>0</v>
      </c>
      <c r="M552" s="139">
        <f>IF(AND('Ações'!$AD562="SIM", 'Ações'!AS562="SIM"), 1,0)</f>
        <v>0</v>
      </c>
      <c r="N552" s="139">
        <f>IF(AND('Ações'!$AD562="SIM", 'Ações'!AT562="SIM"), 1,0)</f>
        <v>0</v>
      </c>
      <c r="O552" s="139">
        <f>IF(AND('Ações'!$AD562="SIM", 'Ações'!AU562="SIM"), 1,0)</f>
        <v>0</v>
      </c>
      <c r="P552" s="139">
        <f>IF(AND('Ações'!$AD562="SIM", 'Ações'!AV562="SIM"), 1,0)</f>
        <v>0</v>
      </c>
      <c r="Q552" s="139">
        <f>IF(AND('Ações'!$AD562="SIM", 'Ações'!AW562="SIM"), 1,0)</f>
        <v>0</v>
      </c>
      <c r="R552" s="139">
        <f>IF(AND('Ações'!$AD562="SIM", 'Ações'!AX562="SIM"), 1,0)</f>
        <v>0</v>
      </c>
    </row>
    <row r="553">
      <c r="A553" s="139" t="str">
        <f t="shared" ref="A553:R553" si="6">IF(AND(#REF!="SIM", #REF!="SIM"), 1,0)</f>
        <v>#REF!</v>
      </c>
      <c r="B553" s="139" t="str">
        <f t="shared" si="6"/>
        <v>#REF!</v>
      </c>
      <c r="C553" s="139" t="str">
        <f t="shared" si="6"/>
        <v>#REF!</v>
      </c>
      <c r="D553" s="139" t="str">
        <f t="shared" si="6"/>
        <v>#REF!</v>
      </c>
      <c r="E553" s="139" t="str">
        <f t="shared" si="6"/>
        <v>#REF!</v>
      </c>
      <c r="F553" s="139" t="str">
        <f t="shared" si="6"/>
        <v>#REF!</v>
      </c>
      <c r="G553" s="139" t="str">
        <f t="shared" si="6"/>
        <v>#REF!</v>
      </c>
      <c r="H553" s="139" t="str">
        <f t="shared" si="6"/>
        <v>#REF!</v>
      </c>
      <c r="I553" s="139" t="str">
        <f t="shared" si="6"/>
        <v>#REF!</v>
      </c>
      <c r="J553" s="139" t="str">
        <f t="shared" si="6"/>
        <v>#REF!</v>
      </c>
      <c r="K553" s="139" t="str">
        <f t="shared" si="6"/>
        <v>#REF!</v>
      </c>
      <c r="L553" s="139" t="str">
        <f t="shared" si="6"/>
        <v>#REF!</v>
      </c>
      <c r="M553" s="139" t="str">
        <f t="shared" si="6"/>
        <v>#REF!</v>
      </c>
      <c r="N553" s="139" t="str">
        <f t="shared" si="6"/>
        <v>#REF!</v>
      </c>
      <c r="O553" s="139" t="str">
        <f t="shared" si="6"/>
        <v>#REF!</v>
      </c>
      <c r="P553" s="139" t="str">
        <f t="shared" si="6"/>
        <v>#REF!</v>
      </c>
      <c r="Q553" s="139" t="str">
        <f t="shared" si="6"/>
        <v>#REF!</v>
      </c>
      <c r="R553" s="139" t="str">
        <f t="shared" si="6"/>
        <v>#REF!</v>
      </c>
    </row>
    <row r="554">
      <c r="A554" s="139">
        <f>IF(AND('Ações'!AB563="SIM", 'Ações'!AS563="SIM"), 1,0)</f>
        <v>0</v>
      </c>
      <c r="B554" s="139">
        <f>IF(AND('Ações'!$AB563="SIM", 'Ações'!AT563="SIM"), 1,0)</f>
        <v>0</v>
      </c>
      <c r="C554" s="139">
        <f>IF(AND('Ações'!$AB563="SIM", 'Ações'!AU563="SIM"), 1,0)</f>
        <v>0</v>
      </c>
      <c r="D554" s="139">
        <f>IF(AND('Ações'!$AB563="SIM", 'Ações'!AV563="SIM"), 1,0)</f>
        <v>1</v>
      </c>
      <c r="E554" s="139">
        <f>IF(AND('Ações'!$AB563="SIM", 'Ações'!AW563="SIM"), 1,0)</f>
        <v>1</v>
      </c>
      <c r="F554" s="139">
        <f>IF(AND('Ações'!$AB563="SIM", 'Ações'!AX563="SIM"), 1,0)</f>
        <v>1</v>
      </c>
      <c r="G554" s="139">
        <f>IF(AND('Ações'!$AC563="SIM", 'Ações'!AS563="SIM"), 1,0)</f>
        <v>0</v>
      </c>
      <c r="H554" s="139">
        <f>IF(AND('Ações'!$AC563="SIM", 'Ações'!AT563="SIM"), 1,0)</f>
        <v>0</v>
      </c>
      <c r="I554" s="139">
        <f>IF(AND('Ações'!$AC563="SIM", 'Ações'!AU563="SIM"), 1,0)</f>
        <v>0</v>
      </c>
      <c r="J554" s="139">
        <f>IF(AND('Ações'!$AC563="SIM", 'Ações'!AV563="SIM"), 1,0)</f>
        <v>0</v>
      </c>
      <c r="K554" s="139">
        <f>IF(AND('Ações'!$AC563="SIM", 'Ações'!AW563="SIM"), 1,0)</f>
        <v>0</v>
      </c>
      <c r="L554" s="139">
        <f>IF(AND('Ações'!$AC563="SIM", 'Ações'!AX563="SIM"), 1,0)</f>
        <v>0</v>
      </c>
      <c r="M554" s="139">
        <f>IF(AND('Ações'!$AD563="SIM", 'Ações'!AS563="SIM"), 1,0)</f>
        <v>0</v>
      </c>
      <c r="N554" s="139">
        <f>IF(AND('Ações'!$AD563="SIM", 'Ações'!AT563="SIM"), 1,0)</f>
        <v>0</v>
      </c>
      <c r="O554" s="139">
        <f>IF(AND('Ações'!$AD563="SIM", 'Ações'!AU563="SIM"), 1,0)</f>
        <v>0</v>
      </c>
      <c r="P554" s="139">
        <f>IF(AND('Ações'!$AD563="SIM", 'Ações'!AV563="SIM"), 1,0)</f>
        <v>0</v>
      </c>
      <c r="Q554" s="139">
        <f>IF(AND('Ações'!$AD563="SIM", 'Ações'!AW563="SIM"), 1,0)</f>
        <v>0</v>
      </c>
      <c r="R554" s="139">
        <f>IF(AND('Ações'!$AD563="SIM", 'Ações'!AX563="SIM"), 1,0)</f>
        <v>0</v>
      </c>
    </row>
    <row r="555">
      <c r="A555" s="139">
        <f>IF(AND('Ações'!AB564="SIM", 'Ações'!AS564="SIM"), 1,0)</f>
        <v>0</v>
      </c>
      <c r="B555" s="139">
        <f>IF(AND('Ações'!$AB564="SIM", 'Ações'!AT564="SIM"), 1,0)</f>
        <v>0</v>
      </c>
      <c r="C555" s="139">
        <f>IF(AND('Ações'!$AB564="SIM", 'Ações'!AU564="SIM"), 1,0)</f>
        <v>0</v>
      </c>
      <c r="D555" s="139">
        <f>IF(AND('Ações'!$AB564="SIM", 'Ações'!AV564="SIM"), 1,0)</f>
        <v>1</v>
      </c>
      <c r="E555" s="139">
        <f>IF(AND('Ações'!$AB564="SIM", 'Ações'!AW564="SIM"), 1,0)</f>
        <v>1</v>
      </c>
      <c r="F555" s="139">
        <f>IF(AND('Ações'!$AB564="SIM", 'Ações'!AX564="SIM"), 1,0)</f>
        <v>1</v>
      </c>
      <c r="G555" s="139">
        <f>IF(AND('Ações'!$AC564="SIM", 'Ações'!AS564="SIM"), 1,0)</f>
        <v>0</v>
      </c>
      <c r="H555" s="139">
        <f>IF(AND('Ações'!$AC564="SIM", 'Ações'!AT564="SIM"), 1,0)</f>
        <v>0</v>
      </c>
      <c r="I555" s="139">
        <f>IF(AND('Ações'!$AC564="SIM", 'Ações'!AU564="SIM"), 1,0)</f>
        <v>0</v>
      </c>
      <c r="J555" s="139">
        <f>IF(AND('Ações'!$AC564="SIM", 'Ações'!AV564="SIM"), 1,0)</f>
        <v>0</v>
      </c>
      <c r="K555" s="139">
        <f>IF(AND('Ações'!$AC564="SIM", 'Ações'!AW564="SIM"), 1,0)</f>
        <v>0</v>
      </c>
      <c r="L555" s="139">
        <f>IF(AND('Ações'!$AC564="SIM", 'Ações'!AX564="SIM"), 1,0)</f>
        <v>0</v>
      </c>
      <c r="M555" s="139">
        <f>IF(AND('Ações'!$AD564="SIM", 'Ações'!AS564="SIM"), 1,0)</f>
        <v>0</v>
      </c>
      <c r="N555" s="139">
        <f>IF(AND('Ações'!$AD564="SIM", 'Ações'!AT564="SIM"), 1,0)</f>
        <v>0</v>
      </c>
      <c r="O555" s="139">
        <f>IF(AND('Ações'!$AD564="SIM", 'Ações'!AU564="SIM"), 1,0)</f>
        <v>0</v>
      </c>
      <c r="P555" s="139">
        <f>IF(AND('Ações'!$AD564="SIM", 'Ações'!AV564="SIM"), 1,0)</f>
        <v>0</v>
      </c>
      <c r="Q555" s="139">
        <f>IF(AND('Ações'!$AD564="SIM", 'Ações'!AW564="SIM"), 1,0)</f>
        <v>0</v>
      </c>
      <c r="R555" s="139">
        <f>IF(AND('Ações'!$AD564="SIM", 'Ações'!AX564="SIM"), 1,0)</f>
        <v>0</v>
      </c>
    </row>
    <row r="556">
      <c r="A556" s="139">
        <f>IF(AND('Ações'!AB565="SIM", 'Ações'!AS565="SIM"), 1,0)</f>
        <v>0</v>
      </c>
      <c r="B556" s="139">
        <f>IF(AND('Ações'!$AB565="SIM", 'Ações'!AT565="SIM"), 1,0)</f>
        <v>0</v>
      </c>
      <c r="C556" s="139">
        <f>IF(AND('Ações'!$AB565="SIM", 'Ações'!AU565="SIM"), 1,0)</f>
        <v>0</v>
      </c>
      <c r="D556" s="139">
        <f>IF(AND('Ações'!$AB565="SIM", 'Ações'!AV565="SIM"), 1,0)</f>
        <v>1</v>
      </c>
      <c r="E556" s="139">
        <f>IF(AND('Ações'!$AB565="SIM", 'Ações'!AW565="SIM"), 1,0)</f>
        <v>1</v>
      </c>
      <c r="F556" s="139">
        <f>IF(AND('Ações'!$AB565="SIM", 'Ações'!AX565="SIM"), 1,0)</f>
        <v>1</v>
      </c>
      <c r="G556" s="139">
        <f>IF(AND('Ações'!$AC565="SIM", 'Ações'!AS565="SIM"), 1,0)</f>
        <v>0</v>
      </c>
      <c r="H556" s="139">
        <f>IF(AND('Ações'!$AC565="SIM", 'Ações'!AT565="SIM"), 1,0)</f>
        <v>0</v>
      </c>
      <c r="I556" s="139">
        <f>IF(AND('Ações'!$AC565="SIM", 'Ações'!AU565="SIM"), 1,0)</f>
        <v>0</v>
      </c>
      <c r="J556" s="139">
        <f>IF(AND('Ações'!$AC565="SIM", 'Ações'!AV565="SIM"), 1,0)</f>
        <v>0</v>
      </c>
      <c r="K556" s="139">
        <f>IF(AND('Ações'!$AC565="SIM", 'Ações'!AW565="SIM"), 1,0)</f>
        <v>0</v>
      </c>
      <c r="L556" s="139">
        <f>IF(AND('Ações'!$AC565="SIM", 'Ações'!AX565="SIM"), 1,0)</f>
        <v>0</v>
      </c>
      <c r="M556" s="139">
        <f>IF(AND('Ações'!$AD565="SIM", 'Ações'!AS565="SIM"), 1,0)</f>
        <v>0</v>
      </c>
      <c r="N556" s="139">
        <f>IF(AND('Ações'!$AD565="SIM", 'Ações'!AT565="SIM"), 1,0)</f>
        <v>0</v>
      </c>
      <c r="O556" s="139">
        <f>IF(AND('Ações'!$AD565="SIM", 'Ações'!AU565="SIM"), 1,0)</f>
        <v>0</v>
      </c>
      <c r="P556" s="139">
        <f>IF(AND('Ações'!$AD565="SIM", 'Ações'!AV565="SIM"), 1,0)</f>
        <v>0</v>
      </c>
      <c r="Q556" s="139">
        <f>IF(AND('Ações'!$AD565="SIM", 'Ações'!AW565="SIM"), 1,0)</f>
        <v>0</v>
      </c>
      <c r="R556" s="139">
        <f>IF(AND('Ações'!$AD565="SIM", 'Ações'!AX565="SIM"), 1,0)</f>
        <v>0</v>
      </c>
    </row>
    <row r="557">
      <c r="A557" s="139">
        <f>IF(AND('Ações'!AB566="SIM", 'Ações'!AS566="SIM"), 1,0)</f>
        <v>0</v>
      </c>
      <c r="B557" s="139">
        <f>IF(AND('Ações'!$AB566="SIM", 'Ações'!AT566="SIM"), 1,0)</f>
        <v>0</v>
      </c>
      <c r="C557" s="139">
        <f>IF(AND('Ações'!$AB566="SIM", 'Ações'!AU566="SIM"), 1,0)</f>
        <v>0</v>
      </c>
      <c r="D557" s="139">
        <f>IF(AND('Ações'!$AB566="SIM", 'Ações'!AV566="SIM"), 1,0)</f>
        <v>1</v>
      </c>
      <c r="E557" s="139">
        <f>IF(AND('Ações'!$AB566="SIM", 'Ações'!AW566="SIM"), 1,0)</f>
        <v>1</v>
      </c>
      <c r="F557" s="139">
        <f>IF(AND('Ações'!$AB566="SIM", 'Ações'!AX566="SIM"), 1,0)</f>
        <v>1</v>
      </c>
      <c r="G557" s="139">
        <f>IF(AND('Ações'!$AC566="SIM", 'Ações'!AS566="SIM"), 1,0)</f>
        <v>0</v>
      </c>
      <c r="H557" s="139">
        <f>IF(AND('Ações'!$AC566="SIM", 'Ações'!AT566="SIM"), 1,0)</f>
        <v>0</v>
      </c>
      <c r="I557" s="139">
        <f>IF(AND('Ações'!$AC566="SIM", 'Ações'!AU566="SIM"), 1,0)</f>
        <v>0</v>
      </c>
      <c r="J557" s="139">
        <f>IF(AND('Ações'!$AC566="SIM", 'Ações'!AV566="SIM"), 1,0)</f>
        <v>0</v>
      </c>
      <c r="K557" s="139">
        <f>IF(AND('Ações'!$AC566="SIM", 'Ações'!AW566="SIM"), 1,0)</f>
        <v>0</v>
      </c>
      <c r="L557" s="139">
        <f>IF(AND('Ações'!$AC566="SIM", 'Ações'!AX566="SIM"), 1,0)</f>
        <v>0</v>
      </c>
      <c r="M557" s="139">
        <f>IF(AND('Ações'!$AD566="SIM", 'Ações'!AS566="SIM"), 1,0)</f>
        <v>0</v>
      </c>
      <c r="N557" s="139">
        <f>IF(AND('Ações'!$AD566="SIM", 'Ações'!AT566="SIM"), 1,0)</f>
        <v>0</v>
      </c>
      <c r="O557" s="139">
        <f>IF(AND('Ações'!$AD566="SIM", 'Ações'!AU566="SIM"), 1,0)</f>
        <v>0</v>
      </c>
      <c r="P557" s="139">
        <f>IF(AND('Ações'!$AD566="SIM", 'Ações'!AV566="SIM"), 1,0)</f>
        <v>0</v>
      </c>
      <c r="Q557" s="139">
        <f>IF(AND('Ações'!$AD566="SIM", 'Ações'!AW566="SIM"), 1,0)</f>
        <v>0</v>
      </c>
      <c r="R557" s="139">
        <f>IF(AND('Ações'!$AD566="SIM", 'Ações'!AX566="SIM"), 1,0)</f>
        <v>0</v>
      </c>
    </row>
    <row r="558">
      <c r="A558" s="139">
        <f>IF(AND('Ações'!AB567="SIM", 'Ações'!AS567="SIM"), 1,0)</f>
        <v>0</v>
      </c>
      <c r="B558" s="139">
        <f>IF(AND('Ações'!$AB567="SIM", 'Ações'!AT567="SIM"), 1,0)</f>
        <v>0</v>
      </c>
      <c r="C558" s="139">
        <f>IF(AND('Ações'!$AB567="SIM", 'Ações'!AU567="SIM"), 1,0)</f>
        <v>0</v>
      </c>
      <c r="D558" s="139">
        <f>IF(AND('Ações'!$AB567="SIM", 'Ações'!AV567="SIM"), 1,0)</f>
        <v>1</v>
      </c>
      <c r="E558" s="139">
        <f>IF(AND('Ações'!$AB567="SIM", 'Ações'!AW567="SIM"), 1,0)</f>
        <v>1</v>
      </c>
      <c r="F558" s="139">
        <f>IF(AND('Ações'!$AB567="SIM", 'Ações'!AX567="SIM"), 1,0)</f>
        <v>1</v>
      </c>
      <c r="G558" s="139">
        <f>IF(AND('Ações'!$AC567="SIM", 'Ações'!AS567="SIM"), 1,0)</f>
        <v>0</v>
      </c>
      <c r="H558" s="139">
        <f>IF(AND('Ações'!$AC567="SIM", 'Ações'!AT567="SIM"), 1,0)</f>
        <v>0</v>
      </c>
      <c r="I558" s="139">
        <f>IF(AND('Ações'!$AC567="SIM", 'Ações'!AU567="SIM"), 1,0)</f>
        <v>0</v>
      </c>
      <c r="J558" s="139">
        <f>IF(AND('Ações'!$AC567="SIM", 'Ações'!AV567="SIM"), 1,0)</f>
        <v>0</v>
      </c>
      <c r="K558" s="139">
        <f>IF(AND('Ações'!$AC567="SIM", 'Ações'!AW567="SIM"), 1,0)</f>
        <v>0</v>
      </c>
      <c r="L558" s="139">
        <f>IF(AND('Ações'!$AC567="SIM", 'Ações'!AX567="SIM"), 1,0)</f>
        <v>0</v>
      </c>
      <c r="M558" s="139">
        <f>IF(AND('Ações'!$AD567="SIM", 'Ações'!AS567="SIM"), 1,0)</f>
        <v>0</v>
      </c>
      <c r="N558" s="139">
        <f>IF(AND('Ações'!$AD567="SIM", 'Ações'!AT567="SIM"), 1,0)</f>
        <v>0</v>
      </c>
      <c r="O558" s="139">
        <f>IF(AND('Ações'!$AD567="SIM", 'Ações'!AU567="SIM"), 1,0)</f>
        <v>0</v>
      </c>
      <c r="P558" s="139">
        <f>IF(AND('Ações'!$AD567="SIM", 'Ações'!AV567="SIM"), 1,0)</f>
        <v>0</v>
      </c>
      <c r="Q558" s="139">
        <f>IF(AND('Ações'!$AD567="SIM", 'Ações'!AW567="SIM"), 1,0)</f>
        <v>0</v>
      </c>
      <c r="R558" s="139">
        <f>IF(AND('Ações'!$AD567="SIM", 'Ações'!AX567="SIM"), 1,0)</f>
        <v>0</v>
      </c>
    </row>
    <row r="559">
      <c r="A559" s="139">
        <f>IF(AND('Ações'!AB568="SIM", 'Ações'!AS568="SIM"), 1,0)</f>
        <v>0</v>
      </c>
      <c r="B559" s="139">
        <f>IF(AND('Ações'!$AB568="SIM", 'Ações'!AT568="SIM"), 1,0)</f>
        <v>0</v>
      </c>
      <c r="C559" s="139">
        <f>IF(AND('Ações'!$AB568="SIM", 'Ações'!AU568="SIM"), 1,0)</f>
        <v>0</v>
      </c>
      <c r="D559" s="139">
        <f>IF(AND('Ações'!$AB568="SIM", 'Ações'!AV568="SIM"), 1,0)</f>
        <v>1</v>
      </c>
      <c r="E559" s="139">
        <f>IF(AND('Ações'!$AB568="SIM", 'Ações'!AW568="SIM"), 1,0)</f>
        <v>1</v>
      </c>
      <c r="F559" s="139">
        <f>IF(AND('Ações'!$AB568="SIM", 'Ações'!AX568="SIM"), 1,0)</f>
        <v>1</v>
      </c>
      <c r="G559" s="139">
        <f>IF(AND('Ações'!$AC568="SIM", 'Ações'!AS568="SIM"), 1,0)</f>
        <v>0</v>
      </c>
      <c r="H559" s="139">
        <f>IF(AND('Ações'!$AC568="SIM", 'Ações'!AT568="SIM"), 1,0)</f>
        <v>0</v>
      </c>
      <c r="I559" s="139">
        <f>IF(AND('Ações'!$AC568="SIM", 'Ações'!AU568="SIM"), 1,0)</f>
        <v>0</v>
      </c>
      <c r="J559" s="139">
        <f>IF(AND('Ações'!$AC568="SIM", 'Ações'!AV568="SIM"), 1,0)</f>
        <v>0</v>
      </c>
      <c r="K559" s="139">
        <f>IF(AND('Ações'!$AC568="SIM", 'Ações'!AW568="SIM"), 1,0)</f>
        <v>0</v>
      </c>
      <c r="L559" s="139">
        <f>IF(AND('Ações'!$AC568="SIM", 'Ações'!AX568="SIM"), 1,0)</f>
        <v>0</v>
      </c>
      <c r="M559" s="139">
        <f>IF(AND('Ações'!$AD568="SIM", 'Ações'!AS568="SIM"), 1,0)</f>
        <v>0</v>
      </c>
      <c r="N559" s="139">
        <f>IF(AND('Ações'!$AD568="SIM", 'Ações'!AT568="SIM"), 1,0)</f>
        <v>0</v>
      </c>
      <c r="O559" s="139">
        <f>IF(AND('Ações'!$AD568="SIM", 'Ações'!AU568="SIM"), 1,0)</f>
        <v>0</v>
      </c>
      <c r="P559" s="139">
        <f>IF(AND('Ações'!$AD568="SIM", 'Ações'!AV568="SIM"), 1,0)</f>
        <v>0</v>
      </c>
      <c r="Q559" s="139">
        <f>IF(AND('Ações'!$AD568="SIM", 'Ações'!AW568="SIM"), 1,0)</f>
        <v>0</v>
      </c>
      <c r="R559" s="139">
        <f>IF(AND('Ações'!$AD568="SIM", 'Ações'!AX568="SIM"), 1,0)</f>
        <v>0</v>
      </c>
    </row>
    <row r="560">
      <c r="A560" s="139">
        <f>IF(AND('Ações'!AB569="SIM", 'Ações'!AS569="SIM"), 1,0)</f>
        <v>0</v>
      </c>
      <c r="B560" s="139">
        <f>IF(AND('Ações'!$AB569="SIM", 'Ações'!AT569="SIM"), 1,0)</f>
        <v>0</v>
      </c>
      <c r="C560" s="139">
        <f>IF(AND('Ações'!$AB569="SIM", 'Ações'!AU569="SIM"), 1,0)</f>
        <v>0</v>
      </c>
      <c r="D560" s="139">
        <f>IF(AND('Ações'!$AB569="SIM", 'Ações'!AV569="SIM"), 1,0)</f>
        <v>1</v>
      </c>
      <c r="E560" s="139">
        <f>IF(AND('Ações'!$AB569="SIM", 'Ações'!AW569="SIM"), 1,0)</f>
        <v>1</v>
      </c>
      <c r="F560" s="139">
        <f>IF(AND('Ações'!$AB569="SIM", 'Ações'!AX569="SIM"), 1,0)</f>
        <v>1</v>
      </c>
      <c r="G560" s="139">
        <f>IF(AND('Ações'!$AC569="SIM", 'Ações'!AS569="SIM"), 1,0)</f>
        <v>0</v>
      </c>
      <c r="H560" s="139">
        <f>IF(AND('Ações'!$AC569="SIM", 'Ações'!AT569="SIM"), 1,0)</f>
        <v>0</v>
      </c>
      <c r="I560" s="139">
        <f>IF(AND('Ações'!$AC569="SIM", 'Ações'!AU569="SIM"), 1,0)</f>
        <v>0</v>
      </c>
      <c r="J560" s="139">
        <f>IF(AND('Ações'!$AC569="SIM", 'Ações'!AV569="SIM"), 1,0)</f>
        <v>0</v>
      </c>
      <c r="K560" s="139">
        <f>IF(AND('Ações'!$AC569="SIM", 'Ações'!AW569="SIM"), 1,0)</f>
        <v>0</v>
      </c>
      <c r="L560" s="139">
        <f>IF(AND('Ações'!$AC569="SIM", 'Ações'!AX569="SIM"), 1,0)</f>
        <v>0</v>
      </c>
      <c r="M560" s="139">
        <f>IF(AND('Ações'!$AD569="SIM", 'Ações'!AS569="SIM"), 1,0)</f>
        <v>0</v>
      </c>
      <c r="N560" s="139">
        <f>IF(AND('Ações'!$AD569="SIM", 'Ações'!AT569="SIM"), 1,0)</f>
        <v>0</v>
      </c>
      <c r="O560" s="139">
        <f>IF(AND('Ações'!$AD569="SIM", 'Ações'!AU569="SIM"), 1,0)</f>
        <v>0</v>
      </c>
      <c r="P560" s="139">
        <f>IF(AND('Ações'!$AD569="SIM", 'Ações'!AV569="SIM"), 1,0)</f>
        <v>0</v>
      </c>
      <c r="Q560" s="139">
        <f>IF(AND('Ações'!$AD569="SIM", 'Ações'!AW569="SIM"), 1,0)</f>
        <v>0</v>
      </c>
      <c r="R560" s="139">
        <f>IF(AND('Ações'!$AD569="SIM", 'Ações'!AX569="SIM"), 1,0)</f>
        <v>0</v>
      </c>
    </row>
    <row r="561">
      <c r="A561" s="139">
        <f>IF(AND('Ações'!AB570="SIM", 'Ações'!AS570="SIM"), 1,0)</f>
        <v>0</v>
      </c>
      <c r="B561" s="139">
        <f>IF(AND('Ações'!$AB570="SIM", 'Ações'!AT570="SIM"), 1,0)</f>
        <v>0</v>
      </c>
      <c r="C561" s="139">
        <f>IF(AND('Ações'!$AB570="SIM", 'Ações'!AU570="SIM"), 1,0)</f>
        <v>0</v>
      </c>
      <c r="D561" s="139">
        <f>IF(AND('Ações'!$AB570="SIM", 'Ações'!AV570="SIM"), 1,0)</f>
        <v>0</v>
      </c>
      <c r="E561" s="139">
        <f>IF(AND('Ações'!$AB570="SIM", 'Ações'!AW570="SIM"), 1,0)</f>
        <v>1</v>
      </c>
      <c r="F561" s="139">
        <f>IF(AND('Ações'!$AB570="SIM", 'Ações'!AX570="SIM"), 1,0)</f>
        <v>1</v>
      </c>
      <c r="G561" s="139">
        <f>IF(AND('Ações'!$AC570="SIM", 'Ações'!AS570="SIM"), 1,0)</f>
        <v>0</v>
      </c>
      <c r="H561" s="139">
        <f>IF(AND('Ações'!$AC570="SIM", 'Ações'!AT570="SIM"), 1,0)</f>
        <v>0</v>
      </c>
      <c r="I561" s="139">
        <f>IF(AND('Ações'!$AC570="SIM", 'Ações'!AU570="SIM"), 1,0)</f>
        <v>0</v>
      </c>
      <c r="J561" s="139">
        <f>IF(AND('Ações'!$AC570="SIM", 'Ações'!AV570="SIM"), 1,0)</f>
        <v>0</v>
      </c>
      <c r="K561" s="139">
        <f>IF(AND('Ações'!$AC570="SIM", 'Ações'!AW570="SIM"), 1,0)</f>
        <v>0</v>
      </c>
      <c r="L561" s="139">
        <f>IF(AND('Ações'!$AC570="SIM", 'Ações'!AX570="SIM"), 1,0)</f>
        <v>0</v>
      </c>
      <c r="M561" s="139">
        <f>IF(AND('Ações'!$AD570="SIM", 'Ações'!AS570="SIM"), 1,0)</f>
        <v>0</v>
      </c>
      <c r="N561" s="139">
        <f>IF(AND('Ações'!$AD570="SIM", 'Ações'!AT570="SIM"), 1,0)</f>
        <v>0</v>
      </c>
      <c r="O561" s="139">
        <f>IF(AND('Ações'!$AD570="SIM", 'Ações'!AU570="SIM"), 1,0)</f>
        <v>0</v>
      </c>
      <c r="P561" s="139">
        <f>IF(AND('Ações'!$AD570="SIM", 'Ações'!AV570="SIM"), 1,0)</f>
        <v>0</v>
      </c>
      <c r="Q561" s="139">
        <f>IF(AND('Ações'!$AD570="SIM", 'Ações'!AW570="SIM"), 1,0)</f>
        <v>0</v>
      </c>
      <c r="R561" s="139">
        <f>IF(AND('Ações'!$AD570="SIM", 'Ações'!AX570="SIM"), 1,0)</f>
        <v>0</v>
      </c>
    </row>
    <row r="562">
      <c r="A562" s="139">
        <f>IF(AND('Ações'!AB571="SIM", 'Ações'!AS571="SIM"), 1,0)</f>
        <v>0</v>
      </c>
      <c r="B562" s="139">
        <f>IF(AND('Ações'!$AB571="SIM", 'Ações'!AT571="SIM"), 1,0)</f>
        <v>0</v>
      </c>
      <c r="C562" s="139">
        <f>IF(AND('Ações'!$AB571="SIM", 'Ações'!AU571="SIM"), 1,0)</f>
        <v>0</v>
      </c>
      <c r="D562" s="139">
        <f>IF(AND('Ações'!$AB571="SIM", 'Ações'!AV571="SIM"), 1,0)</f>
        <v>0</v>
      </c>
      <c r="E562" s="139">
        <f>IF(AND('Ações'!$AB571="SIM", 'Ações'!AW571="SIM"), 1,0)</f>
        <v>1</v>
      </c>
      <c r="F562" s="139">
        <f>IF(AND('Ações'!$AB571="SIM", 'Ações'!AX571="SIM"), 1,0)</f>
        <v>1</v>
      </c>
      <c r="G562" s="139">
        <f>IF(AND('Ações'!$AC571="SIM", 'Ações'!AS571="SIM"), 1,0)</f>
        <v>0</v>
      </c>
      <c r="H562" s="139">
        <f>IF(AND('Ações'!$AC571="SIM", 'Ações'!AT571="SIM"), 1,0)</f>
        <v>0</v>
      </c>
      <c r="I562" s="139">
        <f>IF(AND('Ações'!$AC571="SIM", 'Ações'!AU571="SIM"), 1,0)</f>
        <v>0</v>
      </c>
      <c r="J562" s="139">
        <f>IF(AND('Ações'!$AC571="SIM", 'Ações'!AV571="SIM"), 1,0)</f>
        <v>0</v>
      </c>
      <c r="K562" s="139">
        <f>IF(AND('Ações'!$AC571="SIM", 'Ações'!AW571="SIM"), 1,0)</f>
        <v>0</v>
      </c>
      <c r="L562" s="139">
        <f>IF(AND('Ações'!$AC571="SIM", 'Ações'!AX571="SIM"), 1,0)</f>
        <v>0</v>
      </c>
      <c r="M562" s="139">
        <f>IF(AND('Ações'!$AD571="SIM", 'Ações'!AS571="SIM"), 1,0)</f>
        <v>0</v>
      </c>
      <c r="N562" s="139">
        <f>IF(AND('Ações'!$AD571="SIM", 'Ações'!AT571="SIM"), 1,0)</f>
        <v>0</v>
      </c>
      <c r="O562" s="139">
        <f>IF(AND('Ações'!$AD571="SIM", 'Ações'!AU571="SIM"), 1,0)</f>
        <v>0</v>
      </c>
      <c r="P562" s="139">
        <f>IF(AND('Ações'!$AD571="SIM", 'Ações'!AV571="SIM"), 1,0)</f>
        <v>0</v>
      </c>
      <c r="Q562" s="139">
        <f>IF(AND('Ações'!$AD571="SIM", 'Ações'!AW571="SIM"), 1,0)</f>
        <v>0</v>
      </c>
      <c r="R562" s="139">
        <f>IF(AND('Ações'!$AD571="SIM", 'Ações'!AX571="SIM"), 1,0)</f>
        <v>0</v>
      </c>
    </row>
    <row r="563">
      <c r="A563" s="139">
        <f>IF(AND('Ações'!AB572="SIM", 'Ações'!AS572="SIM"), 1,0)</f>
        <v>0</v>
      </c>
      <c r="B563" s="139">
        <f>IF(AND('Ações'!$AB572="SIM", 'Ações'!AT572="SIM"), 1,0)</f>
        <v>0</v>
      </c>
      <c r="C563" s="139">
        <f>IF(AND('Ações'!$AB572="SIM", 'Ações'!AU572="SIM"), 1,0)</f>
        <v>0</v>
      </c>
      <c r="D563" s="139">
        <f>IF(AND('Ações'!$AB572="SIM", 'Ações'!AV572="SIM"), 1,0)</f>
        <v>0</v>
      </c>
      <c r="E563" s="139">
        <f>IF(AND('Ações'!$AB572="SIM", 'Ações'!AW572="SIM"), 1,0)</f>
        <v>1</v>
      </c>
      <c r="F563" s="139">
        <f>IF(AND('Ações'!$AB572="SIM", 'Ações'!AX572="SIM"), 1,0)</f>
        <v>1</v>
      </c>
      <c r="G563" s="139">
        <f>IF(AND('Ações'!$AC572="SIM", 'Ações'!AS572="SIM"), 1,0)</f>
        <v>0</v>
      </c>
      <c r="H563" s="139">
        <f>IF(AND('Ações'!$AC572="SIM", 'Ações'!AT572="SIM"), 1,0)</f>
        <v>0</v>
      </c>
      <c r="I563" s="139">
        <f>IF(AND('Ações'!$AC572="SIM", 'Ações'!AU572="SIM"), 1,0)</f>
        <v>0</v>
      </c>
      <c r="J563" s="139">
        <f>IF(AND('Ações'!$AC572="SIM", 'Ações'!AV572="SIM"), 1,0)</f>
        <v>0</v>
      </c>
      <c r="K563" s="139">
        <f>IF(AND('Ações'!$AC572="SIM", 'Ações'!AW572="SIM"), 1,0)</f>
        <v>0</v>
      </c>
      <c r="L563" s="139">
        <f>IF(AND('Ações'!$AC572="SIM", 'Ações'!AX572="SIM"), 1,0)</f>
        <v>0</v>
      </c>
      <c r="M563" s="139">
        <f>IF(AND('Ações'!$AD572="SIM", 'Ações'!AS572="SIM"), 1,0)</f>
        <v>0</v>
      </c>
      <c r="N563" s="139">
        <f>IF(AND('Ações'!$AD572="SIM", 'Ações'!AT572="SIM"), 1,0)</f>
        <v>0</v>
      </c>
      <c r="O563" s="139">
        <f>IF(AND('Ações'!$AD572="SIM", 'Ações'!AU572="SIM"), 1,0)</f>
        <v>0</v>
      </c>
      <c r="P563" s="139">
        <f>IF(AND('Ações'!$AD572="SIM", 'Ações'!AV572="SIM"), 1,0)</f>
        <v>0</v>
      </c>
      <c r="Q563" s="139">
        <f>IF(AND('Ações'!$AD572="SIM", 'Ações'!AW572="SIM"), 1,0)</f>
        <v>0</v>
      </c>
      <c r="R563" s="139">
        <f>IF(AND('Ações'!$AD572="SIM", 'Ações'!AX572="SIM"), 1,0)</f>
        <v>0</v>
      </c>
    </row>
    <row r="564">
      <c r="A564" s="139">
        <f>IF(AND('Ações'!AB573="SIM", 'Ações'!AS573="SIM"), 1,0)</f>
        <v>0</v>
      </c>
      <c r="B564" s="139">
        <f>IF(AND('Ações'!$AB573="SIM", 'Ações'!AT573="SIM"), 1,0)</f>
        <v>0</v>
      </c>
      <c r="C564" s="139">
        <f>IF(AND('Ações'!$AB573="SIM", 'Ações'!AU573="SIM"), 1,0)</f>
        <v>0</v>
      </c>
      <c r="D564" s="139">
        <f>IF(AND('Ações'!$AB573="SIM", 'Ações'!AV573="SIM"), 1,0)</f>
        <v>0</v>
      </c>
      <c r="E564" s="139">
        <f>IF(AND('Ações'!$AB573="SIM", 'Ações'!AW573="SIM"), 1,0)</f>
        <v>1</v>
      </c>
      <c r="F564" s="139">
        <f>IF(AND('Ações'!$AB573="SIM", 'Ações'!AX573="SIM"), 1,0)</f>
        <v>1</v>
      </c>
      <c r="G564" s="139">
        <f>IF(AND('Ações'!$AC573="SIM", 'Ações'!AS573="SIM"), 1,0)</f>
        <v>0</v>
      </c>
      <c r="H564" s="139">
        <f>IF(AND('Ações'!$AC573="SIM", 'Ações'!AT573="SIM"), 1,0)</f>
        <v>0</v>
      </c>
      <c r="I564" s="139">
        <f>IF(AND('Ações'!$AC573="SIM", 'Ações'!AU573="SIM"), 1,0)</f>
        <v>0</v>
      </c>
      <c r="J564" s="139">
        <f>IF(AND('Ações'!$AC573="SIM", 'Ações'!AV573="SIM"), 1,0)</f>
        <v>0</v>
      </c>
      <c r="K564" s="139">
        <f>IF(AND('Ações'!$AC573="SIM", 'Ações'!AW573="SIM"), 1,0)</f>
        <v>0</v>
      </c>
      <c r="L564" s="139">
        <f>IF(AND('Ações'!$AC573="SIM", 'Ações'!AX573="SIM"), 1,0)</f>
        <v>0</v>
      </c>
      <c r="M564" s="139">
        <f>IF(AND('Ações'!$AD573="SIM", 'Ações'!AS573="SIM"), 1,0)</f>
        <v>0</v>
      </c>
      <c r="N564" s="139">
        <f>IF(AND('Ações'!$AD573="SIM", 'Ações'!AT573="SIM"), 1,0)</f>
        <v>0</v>
      </c>
      <c r="O564" s="139">
        <f>IF(AND('Ações'!$AD573="SIM", 'Ações'!AU573="SIM"), 1,0)</f>
        <v>0</v>
      </c>
      <c r="P564" s="139">
        <f>IF(AND('Ações'!$AD573="SIM", 'Ações'!AV573="SIM"), 1,0)</f>
        <v>0</v>
      </c>
      <c r="Q564" s="139">
        <f>IF(AND('Ações'!$AD573="SIM", 'Ações'!AW573="SIM"), 1,0)</f>
        <v>0</v>
      </c>
      <c r="R564" s="139">
        <f>IF(AND('Ações'!$AD573="SIM", 'Ações'!AX573="SIM"), 1,0)</f>
        <v>0</v>
      </c>
    </row>
    <row r="565">
      <c r="A565" s="139">
        <f>IF(AND('Ações'!AB574="SIM", 'Ações'!AS574="SIM"), 1,0)</f>
        <v>1</v>
      </c>
      <c r="B565" s="139">
        <f>IF(AND('Ações'!$AB574="SIM", 'Ações'!AT574="SIM"), 1,0)</f>
        <v>0</v>
      </c>
      <c r="C565" s="139">
        <f>IF(AND('Ações'!$AB574="SIM", 'Ações'!AU574="SIM"), 1,0)</f>
        <v>0</v>
      </c>
      <c r="D565" s="139">
        <f>IF(AND('Ações'!$AB574="SIM", 'Ações'!AV574="SIM"), 1,0)</f>
        <v>0</v>
      </c>
      <c r="E565" s="139">
        <f>IF(AND('Ações'!$AB574="SIM", 'Ações'!AW574="SIM"), 1,0)</f>
        <v>0</v>
      </c>
      <c r="F565" s="139">
        <f>IF(AND('Ações'!$AB574="SIM", 'Ações'!AX574="SIM"), 1,0)</f>
        <v>0</v>
      </c>
      <c r="G565" s="139">
        <f>IF(AND('Ações'!$AC574="SIM", 'Ações'!AS574="SIM"), 1,0)</f>
        <v>1</v>
      </c>
      <c r="H565" s="139">
        <f>IF(AND('Ações'!$AC574="SIM", 'Ações'!AT574="SIM"), 1,0)</f>
        <v>0</v>
      </c>
      <c r="I565" s="139">
        <f>IF(AND('Ações'!$AC574="SIM", 'Ações'!AU574="SIM"), 1,0)</f>
        <v>0</v>
      </c>
      <c r="J565" s="139">
        <f>IF(AND('Ações'!$AC574="SIM", 'Ações'!AV574="SIM"), 1,0)</f>
        <v>0</v>
      </c>
      <c r="K565" s="139">
        <f>IF(AND('Ações'!$AC574="SIM", 'Ações'!AW574="SIM"), 1,0)</f>
        <v>0</v>
      </c>
      <c r="L565" s="139">
        <f>IF(AND('Ações'!$AC574="SIM", 'Ações'!AX574="SIM"), 1,0)</f>
        <v>0</v>
      </c>
      <c r="M565" s="139">
        <f>IF(AND('Ações'!$AD574="SIM", 'Ações'!AS574="SIM"), 1,0)</f>
        <v>0</v>
      </c>
      <c r="N565" s="139">
        <f>IF(AND('Ações'!$AD574="SIM", 'Ações'!AT574="SIM"), 1,0)</f>
        <v>0</v>
      </c>
      <c r="O565" s="139">
        <f>IF(AND('Ações'!$AD574="SIM", 'Ações'!AU574="SIM"), 1,0)</f>
        <v>0</v>
      </c>
      <c r="P565" s="139">
        <f>IF(AND('Ações'!$AD574="SIM", 'Ações'!AV574="SIM"), 1,0)</f>
        <v>0</v>
      </c>
      <c r="Q565" s="139">
        <f>IF(AND('Ações'!$AD574="SIM", 'Ações'!AW574="SIM"), 1,0)</f>
        <v>0</v>
      </c>
      <c r="R565" s="139">
        <f>IF(AND('Ações'!$AD574="SIM", 'Ações'!AX574="SIM"), 1,0)</f>
        <v>0</v>
      </c>
    </row>
    <row r="566">
      <c r="A566" s="139">
        <f>IF(AND('Ações'!AB575="SIM", 'Ações'!AS575="SIM"), 1,0)</f>
        <v>0</v>
      </c>
      <c r="B566" s="139">
        <f>IF(AND('Ações'!$AB575="SIM", 'Ações'!AT575="SIM"), 1,0)</f>
        <v>0</v>
      </c>
      <c r="C566" s="139">
        <f>IF(AND('Ações'!$AB575="SIM", 'Ações'!AU575="SIM"), 1,0)</f>
        <v>0</v>
      </c>
      <c r="D566" s="139">
        <f>IF(AND('Ações'!$AB575="SIM", 'Ações'!AV575="SIM"), 1,0)</f>
        <v>0</v>
      </c>
      <c r="E566" s="139">
        <f>IF(AND('Ações'!$AB575="SIM", 'Ações'!AW575="SIM"), 1,0)</f>
        <v>0</v>
      </c>
      <c r="F566" s="139">
        <f>IF(AND('Ações'!$AB575="SIM", 'Ações'!AX575="SIM"), 1,0)</f>
        <v>0</v>
      </c>
      <c r="G566" s="139">
        <f>IF(AND('Ações'!$AC575="SIM", 'Ações'!AS575="SIM"), 1,0)</f>
        <v>1</v>
      </c>
      <c r="H566" s="139">
        <f>IF(AND('Ações'!$AC575="SIM", 'Ações'!AT575="SIM"), 1,0)</f>
        <v>0</v>
      </c>
      <c r="I566" s="139">
        <f>IF(AND('Ações'!$AC575="SIM", 'Ações'!AU575="SIM"), 1,0)</f>
        <v>0</v>
      </c>
      <c r="J566" s="139">
        <f>IF(AND('Ações'!$AC575="SIM", 'Ações'!AV575="SIM"), 1,0)</f>
        <v>0</v>
      </c>
      <c r="K566" s="139">
        <f>IF(AND('Ações'!$AC575="SIM", 'Ações'!AW575="SIM"), 1,0)</f>
        <v>0</v>
      </c>
      <c r="L566" s="139">
        <f>IF(AND('Ações'!$AC575="SIM", 'Ações'!AX575="SIM"), 1,0)</f>
        <v>0</v>
      </c>
      <c r="M566" s="139">
        <f>IF(AND('Ações'!$AD575="SIM", 'Ações'!AS575="SIM"), 1,0)</f>
        <v>0</v>
      </c>
      <c r="N566" s="139">
        <f>IF(AND('Ações'!$AD575="SIM", 'Ações'!AT575="SIM"), 1,0)</f>
        <v>0</v>
      </c>
      <c r="O566" s="139">
        <f>IF(AND('Ações'!$AD575="SIM", 'Ações'!AU575="SIM"), 1,0)</f>
        <v>0</v>
      </c>
      <c r="P566" s="139">
        <f>IF(AND('Ações'!$AD575="SIM", 'Ações'!AV575="SIM"), 1,0)</f>
        <v>0</v>
      </c>
      <c r="Q566" s="139">
        <f>IF(AND('Ações'!$AD575="SIM", 'Ações'!AW575="SIM"), 1,0)</f>
        <v>0</v>
      </c>
      <c r="R566" s="139">
        <f>IF(AND('Ações'!$AD575="SIM", 'Ações'!AX575="SIM"), 1,0)</f>
        <v>0</v>
      </c>
    </row>
    <row r="567">
      <c r="A567" s="139">
        <f>IF(AND('Ações'!AB576="SIM", 'Ações'!AS576="SIM"), 1,0)</f>
        <v>0</v>
      </c>
      <c r="B567" s="139">
        <f>IF(AND('Ações'!$AB576="SIM", 'Ações'!AT576="SIM"), 1,0)</f>
        <v>0</v>
      </c>
      <c r="C567" s="139">
        <f>IF(AND('Ações'!$AB576="SIM", 'Ações'!AU576="SIM"), 1,0)</f>
        <v>0</v>
      </c>
      <c r="D567" s="139">
        <f>IF(AND('Ações'!$AB576="SIM", 'Ações'!AV576="SIM"), 1,0)</f>
        <v>0</v>
      </c>
      <c r="E567" s="139">
        <f>IF(AND('Ações'!$AB576="SIM", 'Ações'!AW576="SIM"), 1,0)</f>
        <v>0</v>
      </c>
      <c r="F567" s="139">
        <f>IF(AND('Ações'!$AB576="SIM", 'Ações'!AX576="SIM"), 1,0)</f>
        <v>0</v>
      </c>
      <c r="G567" s="139">
        <f>IF(AND('Ações'!$AC576="SIM", 'Ações'!AS576="SIM"), 1,0)</f>
        <v>1</v>
      </c>
      <c r="H567" s="139">
        <f>IF(AND('Ações'!$AC576="SIM", 'Ações'!AT576="SIM"), 1,0)</f>
        <v>0</v>
      </c>
      <c r="I567" s="139">
        <f>IF(AND('Ações'!$AC576="SIM", 'Ações'!AU576="SIM"), 1,0)</f>
        <v>0</v>
      </c>
      <c r="J567" s="139">
        <f>IF(AND('Ações'!$AC576="SIM", 'Ações'!AV576="SIM"), 1,0)</f>
        <v>0</v>
      </c>
      <c r="K567" s="139">
        <f>IF(AND('Ações'!$AC576="SIM", 'Ações'!AW576="SIM"), 1,0)</f>
        <v>0</v>
      </c>
      <c r="L567" s="139">
        <f>IF(AND('Ações'!$AC576="SIM", 'Ações'!AX576="SIM"), 1,0)</f>
        <v>0</v>
      </c>
      <c r="M567" s="139">
        <f>IF(AND('Ações'!$AD576="SIM", 'Ações'!AS576="SIM"), 1,0)</f>
        <v>0</v>
      </c>
      <c r="N567" s="139">
        <f>IF(AND('Ações'!$AD576="SIM", 'Ações'!AT576="SIM"), 1,0)</f>
        <v>0</v>
      </c>
      <c r="O567" s="139">
        <f>IF(AND('Ações'!$AD576="SIM", 'Ações'!AU576="SIM"), 1,0)</f>
        <v>0</v>
      </c>
      <c r="P567" s="139">
        <f>IF(AND('Ações'!$AD576="SIM", 'Ações'!AV576="SIM"), 1,0)</f>
        <v>0</v>
      </c>
      <c r="Q567" s="139">
        <f>IF(AND('Ações'!$AD576="SIM", 'Ações'!AW576="SIM"), 1,0)</f>
        <v>0</v>
      </c>
      <c r="R567" s="139">
        <f>IF(AND('Ações'!$AD576="SIM", 'Ações'!AX576="SIM"), 1,0)</f>
        <v>0</v>
      </c>
    </row>
    <row r="568">
      <c r="A568" s="139">
        <f>IF(AND('Ações'!AB577="SIM", 'Ações'!AS577="SIM"), 1,0)</f>
        <v>0</v>
      </c>
      <c r="B568" s="139">
        <f>IF(AND('Ações'!$AB577="SIM", 'Ações'!AT577="SIM"), 1,0)</f>
        <v>0</v>
      </c>
      <c r="C568" s="139">
        <f>IF(AND('Ações'!$AB577="SIM", 'Ações'!AU577="SIM"), 1,0)</f>
        <v>0</v>
      </c>
      <c r="D568" s="139">
        <f>IF(AND('Ações'!$AB577="SIM", 'Ações'!AV577="SIM"), 1,0)</f>
        <v>0</v>
      </c>
      <c r="E568" s="139">
        <f>IF(AND('Ações'!$AB577="SIM", 'Ações'!AW577="SIM"), 1,0)</f>
        <v>1</v>
      </c>
      <c r="F568" s="139">
        <f>IF(AND('Ações'!$AB577="SIM", 'Ações'!AX577="SIM"), 1,0)</f>
        <v>1</v>
      </c>
      <c r="G568" s="139">
        <f>IF(AND('Ações'!$AC577="SIM", 'Ações'!AS577="SIM"), 1,0)</f>
        <v>0</v>
      </c>
      <c r="H568" s="139">
        <f>IF(AND('Ações'!$AC577="SIM", 'Ações'!AT577="SIM"), 1,0)</f>
        <v>0</v>
      </c>
      <c r="I568" s="139">
        <f>IF(AND('Ações'!$AC577="SIM", 'Ações'!AU577="SIM"), 1,0)</f>
        <v>0</v>
      </c>
      <c r="J568" s="139">
        <f>IF(AND('Ações'!$AC577="SIM", 'Ações'!AV577="SIM"), 1,0)</f>
        <v>0</v>
      </c>
      <c r="K568" s="139">
        <f>IF(AND('Ações'!$AC577="SIM", 'Ações'!AW577="SIM"), 1,0)</f>
        <v>0</v>
      </c>
      <c r="L568" s="139">
        <f>IF(AND('Ações'!$AC577="SIM", 'Ações'!AX577="SIM"), 1,0)</f>
        <v>0</v>
      </c>
      <c r="M568" s="139">
        <f>IF(AND('Ações'!$AD577="SIM", 'Ações'!AS577="SIM"), 1,0)</f>
        <v>0</v>
      </c>
      <c r="N568" s="139">
        <f>IF(AND('Ações'!$AD577="SIM", 'Ações'!AT577="SIM"), 1,0)</f>
        <v>0</v>
      </c>
      <c r="O568" s="139">
        <f>IF(AND('Ações'!$AD577="SIM", 'Ações'!AU577="SIM"), 1,0)</f>
        <v>0</v>
      </c>
      <c r="P568" s="139">
        <f>IF(AND('Ações'!$AD577="SIM", 'Ações'!AV577="SIM"), 1,0)</f>
        <v>0</v>
      </c>
      <c r="Q568" s="139">
        <f>IF(AND('Ações'!$AD577="SIM", 'Ações'!AW577="SIM"), 1,0)</f>
        <v>0</v>
      </c>
      <c r="R568" s="139">
        <f>IF(AND('Ações'!$AD577="SIM", 'Ações'!AX577="SIM"), 1,0)</f>
        <v>0</v>
      </c>
    </row>
    <row r="569">
      <c r="A569" s="139">
        <f>IF(AND('Ações'!AB578="SIM", 'Ações'!AS578="SIM"), 1,0)</f>
        <v>0</v>
      </c>
      <c r="B569" s="139">
        <f>IF(AND('Ações'!$AB578="SIM", 'Ações'!AT578="SIM"), 1,0)</f>
        <v>0</v>
      </c>
      <c r="C569" s="139">
        <f>IF(AND('Ações'!$AB578="SIM", 'Ações'!AU578="SIM"), 1,0)</f>
        <v>0</v>
      </c>
      <c r="D569" s="139">
        <f>IF(AND('Ações'!$AB578="SIM", 'Ações'!AV578="SIM"), 1,0)</f>
        <v>0</v>
      </c>
      <c r="E569" s="139">
        <f>IF(AND('Ações'!$AB578="SIM", 'Ações'!AW578="SIM"), 1,0)</f>
        <v>1</v>
      </c>
      <c r="F569" s="139">
        <f>IF(AND('Ações'!$AB578="SIM", 'Ações'!AX578="SIM"), 1,0)</f>
        <v>1</v>
      </c>
      <c r="G569" s="139">
        <f>IF(AND('Ações'!$AC578="SIM", 'Ações'!AS578="SIM"), 1,0)</f>
        <v>0</v>
      </c>
      <c r="H569" s="139">
        <f>IF(AND('Ações'!$AC578="SIM", 'Ações'!AT578="SIM"), 1,0)</f>
        <v>0</v>
      </c>
      <c r="I569" s="139">
        <f>IF(AND('Ações'!$AC578="SIM", 'Ações'!AU578="SIM"), 1,0)</f>
        <v>0</v>
      </c>
      <c r="J569" s="139">
        <f>IF(AND('Ações'!$AC578="SIM", 'Ações'!AV578="SIM"), 1,0)</f>
        <v>0</v>
      </c>
      <c r="K569" s="139">
        <f>IF(AND('Ações'!$AC578="SIM", 'Ações'!AW578="SIM"), 1,0)</f>
        <v>0</v>
      </c>
      <c r="L569" s="139">
        <f>IF(AND('Ações'!$AC578="SIM", 'Ações'!AX578="SIM"), 1,0)</f>
        <v>0</v>
      </c>
      <c r="M569" s="139">
        <f>IF(AND('Ações'!$AD578="SIM", 'Ações'!AS578="SIM"), 1,0)</f>
        <v>0</v>
      </c>
      <c r="N569" s="139">
        <f>IF(AND('Ações'!$AD578="SIM", 'Ações'!AT578="SIM"), 1,0)</f>
        <v>0</v>
      </c>
      <c r="O569" s="139">
        <f>IF(AND('Ações'!$AD578="SIM", 'Ações'!AU578="SIM"), 1,0)</f>
        <v>0</v>
      </c>
      <c r="P569" s="139">
        <f>IF(AND('Ações'!$AD578="SIM", 'Ações'!AV578="SIM"), 1,0)</f>
        <v>0</v>
      </c>
      <c r="Q569" s="139">
        <f>IF(AND('Ações'!$AD578="SIM", 'Ações'!AW578="SIM"), 1,0)</f>
        <v>0</v>
      </c>
      <c r="R569" s="139">
        <f>IF(AND('Ações'!$AD578="SIM", 'Ações'!AX578="SIM"), 1,0)</f>
        <v>0</v>
      </c>
    </row>
    <row r="570">
      <c r="A570" s="139">
        <f>IF(AND('Ações'!AB579="SIM", 'Ações'!AS579="SIM"), 1,0)</f>
        <v>0</v>
      </c>
      <c r="B570" s="139">
        <f>IF(AND('Ações'!$AB579="SIM", 'Ações'!AT579="SIM"), 1,0)</f>
        <v>0</v>
      </c>
      <c r="C570" s="139">
        <f>IF(AND('Ações'!$AB579="SIM", 'Ações'!AU579="SIM"), 1,0)</f>
        <v>0</v>
      </c>
      <c r="D570" s="139">
        <f>IF(AND('Ações'!$AB579="SIM", 'Ações'!AV579="SIM"), 1,0)</f>
        <v>0</v>
      </c>
      <c r="E570" s="139">
        <f>IF(AND('Ações'!$AB579="SIM", 'Ações'!AW579="SIM"), 1,0)</f>
        <v>1</v>
      </c>
      <c r="F570" s="139">
        <f>IF(AND('Ações'!$AB579="SIM", 'Ações'!AX579="SIM"), 1,0)</f>
        <v>1</v>
      </c>
      <c r="G570" s="139">
        <f>IF(AND('Ações'!$AC579="SIM", 'Ações'!AS579="SIM"), 1,0)</f>
        <v>0</v>
      </c>
      <c r="H570" s="139">
        <f>IF(AND('Ações'!$AC579="SIM", 'Ações'!AT579="SIM"), 1,0)</f>
        <v>0</v>
      </c>
      <c r="I570" s="139">
        <f>IF(AND('Ações'!$AC579="SIM", 'Ações'!AU579="SIM"), 1,0)</f>
        <v>0</v>
      </c>
      <c r="J570" s="139">
        <f>IF(AND('Ações'!$AC579="SIM", 'Ações'!AV579="SIM"), 1,0)</f>
        <v>0</v>
      </c>
      <c r="K570" s="139">
        <f>IF(AND('Ações'!$AC579="SIM", 'Ações'!AW579="SIM"), 1,0)</f>
        <v>0</v>
      </c>
      <c r="L570" s="139">
        <f>IF(AND('Ações'!$AC579="SIM", 'Ações'!AX579="SIM"), 1,0)</f>
        <v>0</v>
      </c>
      <c r="M570" s="139">
        <f>IF(AND('Ações'!$AD579="SIM", 'Ações'!AS579="SIM"), 1,0)</f>
        <v>0</v>
      </c>
      <c r="N570" s="139">
        <f>IF(AND('Ações'!$AD579="SIM", 'Ações'!AT579="SIM"), 1,0)</f>
        <v>0</v>
      </c>
      <c r="O570" s="139">
        <f>IF(AND('Ações'!$AD579="SIM", 'Ações'!AU579="SIM"), 1,0)</f>
        <v>0</v>
      </c>
      <c r="P570" s="139">
        <f>IF(AND('Ações'!$AD579="SIM", 'Ações'!AV579="SIM"), 1,0)</f>
        <v>0</v>
      </c>
      <c r="Q570" s="139">
        <f>IF(AND('Ações'!$AD579="SIM", 'Ações'!AW579="SIM"), 1,0)</f>
        <v>0</v>
      </c>
      <c r="R570" s="139">
        <f>IF(AND('Ações'!$AD579="SIM", 'Ações'!AX579="SIM"), 1,0)</f>
        <v>0</v>
      </c>
    </row>
    <row r="571">
      <c r="A571" s="139">
        <f>IF(AND('Ações'!AB580="SIM", 'Ações'!AS580="SIM"), 1,0)</f>
        <v>0</v>
      </c>
      <c r="B571" s="139">
        <f>IF(AND('Ações'!$AB580="SIM", 'Ações'!AT580="SIM"), 1,0)</f>
        <v>0</v>
      </c>
      <c r="C571" s="139">
        <f>IF(AND('Ações'!$AB580="SIM", 'Ações'!AU580="SIM"), 1,0)</f>
        <v>0</v>
      </c>
      <c r="D571" s="139">
        <f>IF(AND('Ações'!$AB580="SIM", 'Ações'!AV580="SIM"), 1,0)</f>
        <v>1</v>
      </c>
      <c r="E571" s="139">
        <f>IF(AND('Ações'!$AB580="SIM", 'Ações'!AW580="SIM"), 1,0)</f>
        <v>1</v>
      </c>
      <c r="F571" s="139">
        <f>IF(AND('Ações'!$AB580="SIM", 'Ações'!AX580="SIM"), 1,0)</f>
        <v>1</v>
      </c>
      <c r="G571" s="139">
        <f>IF(AND('Ações'!$AC580="SIM", 'Ações'!AS580="SIM"), 1,0)</f>
        <v>0</v>
      </c>
      <c r="H571" s="139">
        <f>IF(AND('Ações'!$AC580="SIM", 'Ações'!AT580="SIM"), 1,0)</f>
        <v>0</v>
      </c>
      <c r="I571" s="139">
        <f>IF(AND('Ações'!$AC580="SIM", 'Ações'!AU580="SIM"), 1,0)</f>
        <v>0</v>
      </c>
      <c r="J571" s="139">
        <f>IF(AND('Ações'!$AC580="SIM", 'Ações'!AV580="SIM"), 1,0)</f>
        <v>0</v>
      </c>
      <c r="K571" s="139">
        <f>IF(AND('Ações'!$AC580="SIM", 'Ações'!AW580="SIM"), 1,0)</f>
        <v>0</v>
      </c>
      <c r="L571" s="139">
        <f>IF(AND('Ações'!$AC580="SIM", 'Ações'!AX580="SIM"), 1,0)</f>
        <v>0</v>
      </c>
      <c r="M571" s="139">
        <f>IF(AND('Ações'!$AD580="SIM", 'Ações'!AS580="SIM"), 1,0)</f>
        <v>0</v>
      </c>
      <c r="N571" s="139">
        <f>IF(AND('Ações'!$AD580="SIM", 'Ações'!AT580="SIM"), 1,0)</f>
        <v>0</v>
      </c>
      <c r="O571" s="139">
        <f>IF(AND('Ações'!$AD580="SIM", 'Ações'!AU580="SIM"), 1,0)</f>
        <v>0</v>
      </c>
      <c r="P571" s="139">
        <f>IF(AND('Ações'!$AD580="SIM", 'Ações'!AV580="SIM"), 1,0)</f>
        <v>0</v>
      </c>
      <c r="Q571" s="139">
        <f>IF(AND('Ações'!$AD580="SIM", 'Ações'!AW580="SIM"), 1,0)</f>
        <v>0</v>
      </c>
      <c r="R571" s="139">
        <f>IF(AND('Ações'!$AD580="SIM", 'Ações'!AX580="SIM"), 1,0)</f>
        <v>0</v>
      </c>
    </row>
    <row r="572">
      <c r="A572" s="139">
        <f>IF(AND('Ações'!AB581="SIM", 'Ações'!AS581="SIM"), 1,0)</f>
        <v>0</v>
      </c>
      <c r="B572" s="139">
        <f>IF(AND('Ações'!$AB581="SIM", 'Ações'!AT581="SIM"), 1,0)</f>
        <v>0</v>
      </c>
      <c r="C572" s="139">
        <f>IF(AND('Ações'!$AB581="SIM", 'Ações'!AU581="SIM"), 1,0)</f>
        <v>0</v>
      </c>
      <c r="D572" s="139">
        <f>IF(AND('Ações'!$AB581="SIM", 'Ações'!AV581="SIM"), 1,0)</f>
        <v>1</v>
      </c>
      <c r="E572" s="139">
        <f>IF(AND('Ações'!$AB581="SIM", 'Ações'!AW581="SIM"), 1,0)</f>
        <v>1</v>
      </c>
      <c r="F572" s="139">
        <f>IF(AND('Ações'!$AB581="SIM", 'Ações'!AX581="SIM"), 1,0)</f>
        <v>1</v>
      </c>
      <c r="G572" s="139">
        <f>IF(AND('Ações'!$AC581="SIM", 'Ações'!AS581="SIM"), 1,0)</f>
        <v>0</v>
      </c>
      <c r="H572" s="139">
        <f>IF(AND('Ações'!$AC581="SIM", 'Ações'!AT581="SIM"), 1,0)</f>
        <v>0</v>
      </c>
      <c r="I572" s="139">
        <f>IF(AND('Ações'!$AC581="SIM", 'Ações'!AU581="SIM"), 1,0)</f>
        <v>0</v>
      </c>
      <c r="J572" s="139">
        <f>IF(AND('Ações'!$AC581="SIM", 'Ações'!AV581="SIM"), 1,0)</f>
        <v>0</v>
      </c>
      <c r="K572" s="139">
        <f>IF(AND('Ações'!$AC581="SIM", 'Ações'!AW581="SIM"), 1,0)</f>
        <v>0</v>
      </c>
      <c r="L572" s="139">
        <f>IF(AND('Ações'!$AC581="SIM", 'Ações'!AX581="SIM"), 1,0)</f>
        <v>0</v>
      </c>
      <c r="M572" s="139">
        <f>IF(AND('Ações'!$AD581="SIM", 'Ações'!AS581="SIM"), 1,0)</f>
        <v>0</v>
      </c>
      <c r="N572" s="139">
        <f>IF(AND('Ações'!$AD581="SIM", 'Ações'!AT581="SIM"), 1,0)</f>
        <v>0</v>
      </c>
      <c r="O572" s="139">
        <f>IF(AND('Ações'!$AD581="SIM", 'Ações'!AU581="SIM"), 1,0)</f>
        <v>0</v>
      </c>
      <c r="P572" s="139">
        <f>IF(AND('Ações'!$AD581="SIM", 'Ações'!AV581="SIM"), 1,0)</f>
        <v>0</v>
      </c>
      <c r="Q572" s="139">
        <f>IF(AND('Ações'!$AD581="SIM", 'Ações'!AW581="SIM"), 1,0)</f>
        <v>0</v>
      </c>
      <c r="R572" s="139">
        <f>IF(AND('Ações'!$AD581="SIM", 'Ações'!AX581="SIM"), 1,0)</f>
        <v>0</v>
      </c>
    </row>
    <row r="573">
      <c r="A573" s="139">
        <f>IF(AND('Ações'!AB582="SIM", 'Ações'!AS582="SIM"), 1,0)</f>
        <v>0</v>
      </c>
      <c r="B573" s="139">
        <f>IF(AND('Ações'!$AB582="SIM", 'Ações'!AT582="SIM"), 1,0)</f>
        <v>0</v>
      </c>
      <c r="C573" s="139">
        <f>IF(AND('Ações'!$AB582="SIM", 'Ações'!AU582="SIM"), 1,0)</f>
        <v>0</v>
      </c>
      <c r="D573" s="139">
        <f>IF(AND('Ações'!$AB582="SIM", 'Ações'!AV582="SIM"), 1,0)</f>
        <v>1</v>
      </c>
      <c r="E573" s="139">
        <f>IF(AND('Ações'!$AB582="SIM", 'Ações'!AW582="SIM"), 1,0)</f>
        <v>1</v>
      </c>
      <c r="F573" s="139">
        <f>IF(AND('Ações'!$AB582="SIM", 'Ações'!AX582="SIM"), 1,0)</f>
        <v>1</v>
      </c>
      <c r="G573" s="139">
        <f>IF(AND('Ações'!$AC582="SIM", 'Ações'!AS582="SIM"), 1,0)</f>
        <v>0</v>
      </c>
      <c r="H573" s="139">
        <f>IF(AND('Ações'!$AC582="SIM", 'Ações'!AT582="SIM"), 1,0)</f>
        <v>0</v>
      </c>
      <c r="I573" s="139">
        <f>IF(AND('Ações'!$AC582="SIM", 'Ações'!AU582="SIM"), 1,0)</f>
        <v>0</v>
      </c>
      <c r="J573" s="139">
        <f>IF(AND('Ações'!$AC582="SIM", 'Ações'!AV582="SIM"), 1,0)</f>
        <v>0</v>
      </c>
      <c r="K573" s="139">
        <f>IF(AND('Ações'!$AC582="SIM", 'Ações'!AW582="SIM"), 1,0)</f>
        <v>0</v>
      </c>
      <c r="L573" s="139">
        <f>IF(AND('Ações'!$AC582="SIM", 'Ações'!AX582="SIM"), 1,0)</f>
        <v>0</v>
      </c>
      <c r="M573" s="139">
        <f>IF(AND('Ações'!$AD582="SIM", 'Ações'!AS582="SIM"), 1,0)</f>
        <v>0</v>
      </c>
      <c r="N573" s="139">
        <f>IF(AND('Ações'!$AD582="SIM", 'Ações'!AT582="SIM"), 1,0)</f>
        <v>0</v>
      </c>
      <c r="O573" s="139">
        <f>IF(AND('Ações'!$AD582="SIM", 'Ações'!AU582="SIM"), 1,0)</f>
        <v>0</v>
      </c>
      <c r="P573" s="139">
        <f>IF(AND('Ações'!$AD582="SIM", 'Ações'!AV582="SIM"), 1,0)</f>
        <v>0</v>
      </c>
      <c r="Q573" s="139">
        <f>IF(AND('Ações'!$AD582="SIM", 'Ações'!AW582="SIM"), 1,0)</f>
        <v>0</v>
      </c>
      <c r="R573" s="139">
        <f>IF(AND('Ações'!$AD582="SIM", 'Ações'!AX582="SIM"), 1,0)</f>
        <v>0</v>
      </c>
    </row>
    <row r="574">
      <c r="A574" s="139">
        <f>IF(AND('Ações'!AB583="SIM", 'Ações'!AS583="SIM"), 1,0)</f>
        <v>1</v>
      </c>
      <c r="B574" s="139">
        <f>IF(AND('Ações'!$AB583="SIM", 'Ações'!AT583="SIM"), 1,0)</f>
        <v>0</v>
      </c>
      <c r="C574" s="139">
        <f>IF(AND('Ações'!$AB583="SIM", 'Ações'!AU583="SIM"), 1,0)</f>
        <v>0</v>
      </c>
      <c r="D574" s="139">
        <f>IF(AND('Ações'!$AB583="SIM", 'Ações'!AV583="SIM"), 1,0)</f>
        <v>0</v>
      </c>
      <c r="E574" s="139">
        <f>IF(AND('Ações'!$AB583="SIM", 'Ações'!AW583="SIM"), 1,0)</f>
        <v>1</v>
      </c>
      <c r="F574" s="139">
        <f>IF(AND('Ações'!$AB583="SIM", 'Ações'!AX583="SIM"), 1,0)</f>
        <v>1</v>
      </c>
      <c r="G574" s="139">
        <f>IF(AND('Ações'!$AC583="SIM", 'Ações'!AS583="SIM"), 1,0)</f>
        <v>1</v>
      </c>
      <c r="H574" s="139">
        <f>IF(AND('Ações'!$AC583="SIM", 'Ações'!AT583="SIM"), 1,0)</f>
        <v>0</v>
      </c>
      <c r="I574" s="139">
        <f>IF(AND('Ações'!$AC583="SIM", 'Ações'!AU583="SIM"), 1,0)</f>
        <v>0</v>
      </c>
      <c r="J574" s="139">
        <f>IF(AND('Ações'!$AC583="SIM", 'Ações'!AV583="SIM"), 1,0)</f>
        <v>0</v>
      </c>
      <c r="K574" s="139">
        <f>IF(AND('Ações'!$AC583="SIM", 'Ações'!AW583="SIM"), 1,0)</f>
        <v>1</v>
      </c>
      <c r="L574" s="139">
        <f>IF(AND('Ações'!$AC583="SIM", 'Ações'!AX583="SIM"), 1,0)</f>
        <v>1</v>
      </c>
      <c r="M574" s="139">
        <f>IF(AND('Ações'!$AD583="SIM", 'Ações'!AS583="SIM"), 1,0)</f>
        <v>0</v>
      </c>
      <c r="N574" s="139">
        <f>IF(AND('Ações'!$AD583="SIM", 'Ações'!AT583="SIM"), 1,0)</f>
        <v>0</v>
      </c>
      <c r="O574" s="139">
        <f>IF(AND('Ações'!$AD583="SIM", 'Ações'!AU583="SIM"), 1,0)</f>
        <v>0</v>
      </c>
      <c r="P574" s="139">
        <f>IF(AND('Ações'!$AD583="SIM", 'Ações'!AV583="SIM"), 1,0)</f>
        <v>0</v>
      </c>
      <c r="Q574" s="139">
        <f>IF(AND('Ações'!$AD583="SIM", 'Ações'!AW583="SIM"), 1,0)</f>
        <v>0</v>
      </c>
      <c r="R574" s="139">
        <f>IF(AND('Ações'!$AD583="SIM", 'Ações'!AX583="SIM"), 1,0)</f>
        <v>0</v>
      </c>
    </row>
    <row r="575">
      <c r="A575" s="139">
        <f>IF(AND('Ações'!AB584="SIM", 'Ações'!AS584="SIM"), 1,0)</f>
        <v>1</v>
      </c>
      <c r="B575" s="139">
        <f>IF(AND('Ações'!$AB584="SIM", 'Ações'!AT584="SIM"), 1,0)</f>
        <v>0</v>
      </c>
      <c r="C575" s="139">
        <f>IF(AND('Ações'!$AB584="SIM", 'Ações'!AU584="SIM"), 1,0)</f>
        <v>0</v>
      </c>
      <c r="D575" s="139">
        <f>IF(AND('Ações'!$AB584="SIM", 'Ações'!AV584="SIM"), 1,0)</f>
        <v>0</v>
      </c>
      <c r="E575" s="139">
        <f>IF(AND('Ações'!$AB584="SIM", 'Ações'!AW584="SIM"), 1,0)</f>
        <v>1</v>
      </c>
      <c r="F575" s="139">
        <f>IF(AND('Ações'!$AB584="SIM", 'Ações'!AX584="SIM"), 1,0)</f>
        <v>1</v>
      </c>
      <c r="G575" s="139">
        <f>IF(AND('Ações'!$AC584="SIM", 'Ações'!AS584="SIM"), 1,0)</f>
        <v>0</v>
      </c>
      <c r="H575" s="139">
        <f>IF(AND('Ações'!$AC584="SIM", 'Ações'!AT584="SIM"), 1,0)</f>
        <v>0</v>
      </c>
      <c r="I575" s="139">
        <f>IF(AND('Ações'!$AC584="SIM", 'Ações'!AU584="SIM"), 1,0)</f>
        <v>0</v>
      </c>
      <c r="J575" s="139">
        <f>IF(AND('Ações'!$AC584="SIM", 'Ações'!AV584="SIM"), 1,0)</f>
        <v>0</v>
      </c>
      <c r="K575" s="139">
        <f>IF(AND('Ações'!$AC584="SIM", 'Ações'!AW584="SIM"), 1,0)</f>
        <v>0</v>
      </c>
      <c r="L575" s="139">
        <f>IF(AND('Ações'!$AC584="SIM", 'Ações'!AX584="SIM"), 1,0)</f>
        <v>0</v>
      </c>
      <c r="M575" s="139">
        <f>IF(AND('Ações'!$AD584="SIM", 'Ações'!AS584="SIM"), 1,0)</f>
        <v>0</v>
      </c>
      <c r="N575" s="139">
        <f>IF(AND('Ações'!$AD584="SIM", 'Ações'!AT584="SIM"), 1,0)</f>
        <v>0</v>
      </c>
      <c r="O575" s="139">
        <f>IF(AND('Ações'!$AD584="SIM", 'Ações'!AU584="SIM"), 1,0)</f>
        <v>0</v>
      </c>
      <c r="P575" s="139">
        <f>IF(AND('Ações'!$AD584="SIM", 'Ações'!AV584="SIM"), 1,0)</f>
        <v>0</v>
      </c>
      <c r="Q575" s="139">
        <f>IF(AND('Ações'!$AD584="SIM", 'Ações'!AW584="SIM"), 1,0)</f>
        <v>0</v>
      </c>
      <c r="R575" s="139">
        <f>IF(AND('Ações'!$AD584="SIM", 'Ações'!AX584="SIM"), 1,0)</f>
        <v>0</v>
      </c>
    </row>
    <row r="576">
      <c r="A576" s="139">
        <f>IF(AND('Ações'!AB585="SIM", 'Ações'!AS585="SIM"), 1,0)</f>
        <v>1</v>
      </c>
      <c r="B576" s="139">
        <f>IF(AND('Ações'!$AB585="SIM", 'Ações'!AT585="SIM"), 1,0)</f>
        <v>0</v>
      </c>
      <c r="C576" s="139">
        <f>IF(AND('Ações'!$AB585="SIM", 'Ações'!AU585="SIM"), 1,0)</f>
        <v>0</v>
      </c>
      <c r="D576" s="139">
        <f>IF(AND('Ações'!$AB585="SIM", 'Ações'!AV585="SIM"), 1,0)</f>
        <v>0</v>
      </c>
      <c r="E576" s="139">
        <f>IF(AND('Ações'!$AB585="SIM", 'Ações'!AW585="SIM"), 1,0)</f>
        <v>1</v>
      </c>
      <c r="F576" s="139">
        <f>IF(AND('Ações'!$AB585="SIM", 'Ações'!AX585="SIM"), 1,0)</f>
        <v>1</v>
      </c>
      <c r="G576" s="139">
        <f>IF(AND('Ações'!$AC585="SIM", 'Ações'!AS585="SIM"), 1,0)</f>
        <v>0</v>
      </c>
      <c r="H576" s="139">
        <f>IF(AND('Ações'!$AC585="SIM", 'Ações'!AT585="SIM"), 1,0)</f>
        <v>0</v>
      </c>
      <c r="I576" s="139">
        <f>IF(AND('Ações'!$AC585="SIM", 'Ações'!AU585="SIM"), 1,0)</f>
        <v>0</v>
      </c>
      <c r="J576" s="139">
        <f>IF(AND('Ações'!$AC585="SIM", 'Ações'!AV585="SIM"), 1,0)</f>
        <v>0</v>
      </c>
      <c r="K576" s="139">
        <f>IF(AND('Ações'!$AC585="SIM", 'Ações'!AW585="SIM"), 1,0)</f>
        <v>0</v>
      </c>
      <c r="L576" s="139">
        <f>IF(AND('Ações'!$AC585="SIM", 'Ações'!AX585="SIM"), 1,0)</f>
        <v>0</v>
      </c>
      <c r="M576" s="139">
        <f>IF(AND('Ações'!$AD585="SIM", 'Ações'!AS585="SIM"), 1,0)</f>
        <v>0</v>
      </c>
      <c r="N576" s="139">
        <f>IF(AND('Ações'!$AD585="SIM", 'Ações'!AT585="SIM"), 1,0)</f>
        <v>0</v>
      </c>
      <c r="O576" s="139">
        <f>IF(AND('Ações'!$AD585="SIM", 'Ações'!AU585="SIM"), 1,0)</f>
        <v>0</v>
      </c>
      <c r="P576" s="139">
        <f>IF(AND('Ações'!$AD585="SIM", 'Ações'!AV585="SIM"), 1,0)</f>
        <v>0</v>
      </c>
      <c r="Q576" s="139">
        <f>IF(AND('Ações'!$AD585="SIM", 'Ações'!AW585="SIM"), 1,0)</f>
        <v>0</v>
      </c>
      <c r="R576" s="139">
        <f>IF(AND('Ações'!$AD585="SIM", 'Ações'!AX585="SIM"), 1,0)</f>
        <v>0</v>
      </c>
    </row>
    <row r="577">
      <c r="A577" s="139">
        <f>IF(AND('Ações'!AB586="SIM", 'Ações'!AS586="SIM"), 1,0)</f>
        <v>1</v>
      </c>
      <c r="B577" s="139">
        <f>IF(AND('Ações'!$AB586="SIM", 'Ações'!AT586="SIM"), 1,0)</f>
        <v>0</v>
      </c>
      <c r="C577" s="139">
        <f>IF(AND('Ações'!$AB586="SIM", 'Ações'!AU586="SIM"), 1,0)</f>
        <v>0</v>
      </c>
      <c r="D577" s="139">
        <f>IF(AND('Ações'!$AB586="SIM", 'Ações'!AV586="SIM"), 1,0)</f>
        <v>0</v>
      </c>
      <c r="E577" s="139">
        <f>IF(AND('Ações'!$AB586="SIM", 'Ações'!AW586="SIM"), 1,0)</f>
        <v>1</v>
      </c>
      <c r="F577" s="139">
        <f>IF(AND('Ações'!$AB586="SIM", 'Ações'!AX586="SIM"), 1,0)</f>
        <v>1</v>
      </c>
      <c r="G577" s="139">
        <f>IF(AND('Ações'!$AC586="SIM", 'Ações'!AS586="SIM"), 1,0)</f>
        <v>0</v>
      </c>
      <c r="H577" s="139">
        <f>IF(AND('Ações'!$AC586="SIM", 'Ações'!AT586="SIM"), 1,0)</f>
        <v>0</v>
      </c>
      <c r="I577" s="139">
        <f>IF(AND('Ações'!$AC586="SIM", 'Ações'!AU586="SIM"), 1,0)</f>
        <v>0</v>
      </c>
      <c r="J577" s="139">
        <f>IF(AND('Ações'!$AC586="SIM", 'Ações'!AV586="SIM"), 1,0)</f>
        <v>0</v>
      </c>
      <c r="K577" s="139">
        <f>IF(AND('Ações'!$AC586="SIM", 'Ações'!AW586="SIM"), 1,0)</f>
        <v>0</v>
      </c>
      <c r="L577" s="139">
        <f>IF(AND('Ações'!$AC586="SIM", 'Ações'!AX586="SIM"), 1,0)</f>
        <v>0</v>
      </c>
      <c r="M577" s="139">
        <f>IF(AND('Ações'!$AD586="SIM", 'Ações'!AS586="SIM"), 1,0)</f>
        <v>0</v>
      </c>
      <c r="N577" s="139">
        <f>IF(AND('Ações'!$AD586="SIM", 'Ações'!AT586="SIM"), 1,0)</f>
        <v>0</v>
      </c>
      <c r="O577" s="139">
        <f>IF(AND('Ações'!$AD586="SIM", 'Ações'!AU586="SIM"), 1,0)</f>
        <v>0</v>
      </c>
      <c r="P577" s="139">
        <f>IF(AND('Ações'!$AD586="SIM", 'Ações'!AV586="SIM"), 1,0)</f>
        <v>0</v>
      </c>
      <c r="Q577" s="139">
        <f>IF(AND('Ações'!$AD586="SIM", 'Ações'!AW586="SIM"), 1,0)</f>
        <v>0</v>
      </c>
      <c r="R577" s="139">
        <f>IF(AND('Ações'!$AD586="SIM", 'Ações'!AX586="SIM"), 1,0)</f>
        <v>0</v>
      </c>
    </row>
    <row r="578">
      <c r="A578" s="139">
        <f>IF(AND('Ações'!AB587="SIM", 'Ações'!AS587="SIM"), 1,0)</f>
        <v>0</v>
      </c>
      <c r="B578" s="139">
        <f>IF(AND('Ações'!$AB587="SIM", 'Ações'!AT587="SIM"), 1,0)</f>
        <v>0</v>
      </c>
      <c r="C578" s="139">
        <f>IF(AND('Ações'!$AB587="SIM", 'Ações'!AU587="SIM"), 1,0)</f>
        <v>0</v>
      </c>
      <c r="D578" s="139">
        <f>IF(AND('Ações'!$AB587="SIM", 'Ações'!AV587="SIM"), 1,0)</f>
        <v>1</v>
      </c>
      <c r="E578" s="139">
        <f>IF(AND('Ações'!$AB587="SIM", 'Ações'!AW587="SIM"), 1,0)</f>
        <v>1</v>
      </c>
      <c r="F578" s="139">
        <f>IF(AND('Ações'!$AB587="SIM", 'Ações'!AX587="SIM"), 1,0)</f>
        <v>1</v>
      </c>
      <c r="G578" s="139">
        <f>IF(AND('Ações'!$AC587="SIM", 'Ações'!AS587="SIM"), 1,0)</f>
        <v>0</v>
      </c>
      <c r="H578" s="139">
        <f>IF(AND('Ações'!$AC587="SIM", 'Ações'!AT587="SIM"), 1,0)</f>
        <v>0</v>
      </c>
      <c r="I578" s="139">
        <f>IF(AND('Ações'!$AC587="SIM", 'Ações'!AU587="SIM"), 1,0)</f>
        <v>0</v>
      </c>
      <c r="J578" s="139">
        <f>IF(AND('Ações'!$AC587="SIM", 'Ações'!AV587="SIM"), 1,0)</f>
        <v>1</v>
      </c>
      <c r="K578" s="139">
        <f>IF(AND('Ações'!$AC587="SIM", 'Ações'!AW587="SIM"), 1,0)</f>
        <v>1</v>
      </c>
      <c r="L578" s="139">
        <f>IF(AND('Ações'!$AC587="SIM", 'Ações'!AX587="SIM"), 1,0)</f>
        <v>1</v>
      </c>
      <c r="M578" s="139">
        <f>IF(AND('Ações'!$AD587="SIM", 'Ações'!AS587="SIM"), 1,0)</f>
        <v>0</v>
      </c>
      <c r="N578" s="139">
        <f>IF(AND('Ações'!$AD587="SIM", 'Ações'!AT587="SIM"), 1,0)</f>
        <v>0</v>
      </c>
      <c r="O578" s="139">
        <f>IF(AND('Ações'!$AD587="SIM", 'Ações'!AU587="SIM"), 1,0)</f>
        <v>0</v>
      </c>
      <c r="P578" s="139">
        <f>IF(AND('Ações'!$AD587="SIM", 'Ações'!AV587="SIM"), 1,0)</f>
        <v>0</v>
      </c>
      <c r="Q578" s="139">
        <f>IF(AND('Ações'!$AD587="SIM", 'Ações'!AW587="SIM"), 1,0)</f>
        <v>0</v>
      </c>
      <c r="R578" s="139">
        <f>IF(AND('Ações'!$AD587="SIM", 'Ações'!AX587="SIM"), 1,0)</f>
        <v>0</v>
      </c>
    </row>
    <row r="579">
      <c r="A579" s="139">
        <f>IF(AND('Ações'!AB588="SIM", 'Ações'!AS588="SIM"), 1,0)</f>
        <v>0</v>
      </c>
      <c r="B579" s="139">
        <f>IF(AND('Ações'!$AB588="SIM", 'Ações'!AT588="SIM"), 1,0)</f>
        <v>0</v>
      </c>
      <c r="C579" s="139">
        <f>IF(AND('Ações'!$AB588="SIM", 'Ações'!AU588="SIM"), 1,0)</f>
        <v>0</v>
      </c>
      <c r="D579" s="139">
        <f>IF(AND('Ações'!$AB588="SIM", 'Ações'!AV588="SIM"), 1,0)</f>
        <v>1</v>
      </c>
      <c r="E579" s="139">
        <f>IF(AND('Ações'!$AB588="SIM", 'Ações'!AW588="SIM"), 1,0)</f>
        <v>1</v>
      </c>
      <c r="F579" s="139">
        <f>IF(AND('Ações'!$AB588="SIM", 'Ações'!AX588="SIM"), 1,0)</f>
        <v>1</v>
      </c>
      <c r="G579" s="139">
        <f>IF(AND('Ações'!$AC588="SIM", 'Ações'!AS588="SIM"), 1,0)</f>
        <v>0</v>
      </c>
      <c r="H579" s="139">
        <f>IF(AND('Ações'!$AC588="SIM", 'Ações'!AT588="SIM"), 1,0)</f>
        <v>0</v>
      </c>
      <c r="I579" s="139">
        <f>IF(AND('Ações'!$AC588="SIM", 'Ações'!AU588="SIM"), 1,0)</f>
        <v>0</v>
      </c>
      <c r="J579" s="139">
        <f>IF(AND('Ações'!$AC588="SIM", 'Ações'!AV588="SIM"), 1,0)</f>
        <v>0</v>
      </c>
      <c r="K579" s="139">
        <f>IF(AND('Ações'!$AC588="SIM", 'Ações'!AW588="SIM"), 1,0)</f>
        <v>0</v>
      </c>
      <c r="L579" s="139">
        <f>IF(AND('Ações'!$AC588="SIM", 'Ações'!AX588="SIM"), 1,0)</f>
        <v>0</v>
      </c>
      <c r="M579" s="139">
        <f>IF(AND('Ações'!$AD588="SIM", 'Ações'!AS588="SIM"), 1,0)</f>
        <v>0</v>
      </c>
      <c r="N579" s="139">
        <f>IF(AND('Ações'!$AD588="SIM", 'Ações'!AT588="SIM"), 1,0)</f>
        <v>0</v>
      </c>
      <c r="O579" s="139">
        <f>IF(AND('Ações'!$AD588="SIM", 'Ações'!AU588="SIM"), 1,0)</f>
        <v>0</v>
      </c>
      <c r="P579" s="139">
        <f>IF(AND('Ações'!$AD588="SIM", 'Ações'!AV588="SIM"), 1,0)</f>
        <v>0</v>
      </c>
      <c r="Q579" s="139">
        <f>IF(AND('Ações'!$AD588="SIM", 'Ações'!AW588="SIM"), 1,0)</f>
        <v>0</v>
      </c>
      <c r="R579" s="139">
        <f>IF(AND('Ações'!$AD588="SIM", 'Ações'!AX588="SIM"), 1,0)</f>
        <v>0</v>
      </c>
    </row>
    <row r="580">
      <c r="A580" s="139">
        <f>IF(AND('Ações'!AB589="SIM", 'Ações'!AS589="SIM"), 1,0)</f>
        <v>0</v>
      </c>
      <c r="B580" s="139">
        <f>IF(AND('Ações'!$AB589="SIM", 'Ações'!AT589="SIM"), 1,0)</f>
        <v>0</v>
      </c>
      <c r="C580" s="139">
        <f>IF(AND('Ações'!$AB589="SIM", 'Ações'!AU589="SIM"), 1,0)</f>
        <v>0</v>
      </c>
      <c r="D580" s="139">
        <f>IF(AND('Ações'!$AB589="SIM", 'Ações'!AV589="SIM"), 1,0)</f>
        <v>0</v>
      </c>
      <c r="E580" s="139">
        <f>IF(AND('Ações'!$AB589="SIM", 'Ações'!AW589="SIM"), 1,0)</f>
        <v>0</v>
      </c>
      <c r="F580" s="139">
        <f>IF(AND('Ações'!$AB589="SIM", 'Ações'!AX589="SIM"), 1,0)</f>
        <v>0</v>
      </c>
      <c r="G580" s="139">
        <f>IF(AND('Ações'!$AC589="SIM", 'Ações'!AS589="SIM"), 1,0)</f>
        <v>0</v>
      </c>
      <c r="H580" s="139">
        <f>IF(AND('Ações'!$AC589="SIM", 'Ações'!AT589="SIM"), 1,0)</f>
        <v>0</v>
      </c>
      <c r="I580" s="139">
        <f>IF(AND('Ações'!$AC589="SIM", 'Ações'!AU589="SIM"), 1,0)</f>
        <v>0</v>
      </c>
      <c r="J580" s="139">
        <f>IF(AND('Ações'!$AC589="SIM", 'Ações'!AV589="SIM"), 1,0)</f>
        <v>1</v>
      </c>
      <c r="K580" s="139">
        <f>IF(AND('Ações'!$AC589="SIM", 'Ações'!AW589="SIM"), 1,0)</f>
        <v>1</v>
      </c>
      <c r="L580" s="139">
        <f>IF(AND('Ações'!$AC589="SIM", 'Ações'!AX589="SIM"), 1,0)</f>
        <v>1</v>
      </c>
      <c r="M580" s="139">
        <f>IF(AND('Ações'!$AD589="SIM", 'Ações'!AS589="SIM"), 1,0)</f>
        <v>0</v>
      </c>
      <c r="N580" s="139">
        <f>IF(AND('Ações'!$AD589="SIM", 'Ações'!AT589="SIM"), 1,0)</f>
        <v>0</v>
      </c>
      <c r="O580" s="139">
        <f>IF(AND('Ações'!$AD589="SIM", 'Ações'!AU589="SIM"), 1,0)</f>
        <v>0</v>
      </c>
      <c r="P580" s="139">
        <f>IF(AND('Ações'!$AD589="SIM", 'Ações'!AV589="SIM"), 1,0)</f>
        <v>1</v>
      </c>
      <c r="Q580" s="139">
        <f>IF(AND('Ações'!$AD589="SIM", 'Ações'!AW589="SIM"), 1,0)</f>
        <v>1</v>
      </c>
      <c r="R580" s="139">
        <f>IF(AND('Ações'!$AD589="SIM", 'Ações'!AX589="SIM"), 1,0)</f>
        <v>1</v>
      </c>
    </row>
    <row r="581">
      <c r="A581" s="139">
        <f>IF(AND('Ações'!AB590="SIM", 'Ações'!AS590="SIM"), 1,0)</f>
        <v>0</v>
      </c>
      <c r="B581" s="139">
        <f>IF(AND('Ações'!$AB590="SIM", 'Ações'!AT590="SIM"), 1,0)</f>
        <v>0</v>
      </c>
      <c r="C581" s="139">
        <f>IF(AND('Ações'!$AB590="SIM", 'Ações'!AU590="SIM"), 1,0)</f>
        <v>0</v>
      </c>
      <c r="D581" s="139">
        <f>IF(AND('Ações'!$AB590="SIM", 'Ações'!AV590="SIM"), 1,0)</f>
        <v>0</v>
      </c>
      <c r="E581" s="139">
        <f>IF(AND('Ações'!$AB590="SIM", 'Ações'!AW590="SIM"), 1,0)</f>
        <v>0</v>
      </c>
      <c r="F581" s="139">
        <f>IF(AND('Ações'!$AB590="SIM", 'Ações'!AX590="SIM"), 1,0)</f>
        <v>0</v>
      </c>
      <c r="G581" s="139">
        <f>IF(AND('Ações'!$AC590="SIM", 'Ações'!AS590="SIM"), 1,0)</f>
        <v>0</v>
      </c>
      <c r="H581" s="139">
        <f>IF(AND('Ações'!$AC590="SIM", 'Ações'!AT590="SIM"), 1,0)</f>
        <v>0</v>
      </c>
      <c r="I581" s="139">
        <f>IF(AND('Ações'!$AC590="SIM", 'Ações'!AU590="SIM"), 1,0)</f>
        <v>0</v>
      </c>
      <c r="J581" s="139">
        <f>IF(AND('Ações'!$AC590="SIM", 'Ações'!AV590="SIM"), 1,0)</f>
        <v>1</v>
      </c>
      <c r="K581" s="139">
        <f>IF(AND('Ações'!$AC590="SIM", 'Ações'!AW590="SIM"), 1,0)</f>
        <v>1</v>
      </c>
      <c r="L581" s="139">
        <f>IF(AND('Ações'!$AC590="SIM", 'Ações'!AX590="SIM"), 1,0)</f>
        <v>1</v>
      </c>
      <c r="M581" s="139">
        <f>IF(AND('Ações'!$AD590="SIM", 'Ações'!AS590="SIM"), 1,0)</f>
        <v>0</v>
      </c>
      <c r="N581" s="139">
        <f>IF(AND('Ações'!$AD590="SIM", 'Ações'!AT590="SIM"), 1,0)</f>
        <v>0</v>
      </c>
      <c r="O581" s="139">
        <f>IF(AND('Ações'!$AD590="SIM", 'Ações'!AU590="SIM"), 1,0)</f>
        <v>0</v>
      </c>
      <c r="P581" s="139">
        <f>IF(AND('Ações'!$AD590="SIM", 'Ações'!AV590="SIM"), 1,0)</f>
        <v>1</v>
      </c>
      <c r="Q581" s="139">
        <f>IF(AND('Ações'!$AD590="SIM", 'Ações'!AW590="SIM"), 1,0)</f>
        <v>1</v>
      </c>
      <c r="R581" s="139">
        <f>IF(AND('Ações'!$AD590="SIM", 'Ações'!AX590="SIM"), 1,0)</f>
        <v>1</v>
      </c>
    </row>
    <row r="582">
      <c r="A582" s="139">
        <f>IF(AND('Ações'!AB591="SIM", 'Ações'!AS591="SIM"), 1,0)</f>
        <v>0</v>
      </c>
      <c r="B582" s="139">
        <f>IF(AND('Ações'!$AB591="SIM", 'Ações'!AT591="SIM"), 1,0)</f>
        <v>0</v>
      </c>
      <c r="C582" s="139">
        <f>IF(AND('Ações'!$AB591="SIM", 'Ações'!AU591="SIM"), 1,0)</f>
        <v>0</v>
      </c>
      <c r="D582" s="139">
        <f>IF(AND('Ações'!$AB591="SIM", 'Ações'!AV591="SIM"), 1,0)</f>
        <v>1</v>
      </c>
      <c r="E582" s="139">
        <f>IF(AND('Ações'!$AB591="SIM", 'Ações'!AW591="SIM"), 1,0)</f>
        <v>1</v>
      </c>
      <c r="F582" s="139">
        <f>IF(AND('Ações'!$AB591="SIM", 'Ações'!AX591="SIM"), 1,0)</f>
        <v>1</v>
      </c>
      <c r="G582" s="139">
        <f>IF(AND('Ações'!$AC591="SIM", 'Ações'!AS591="SIM"), 1,0)</f>
        <v>0</v>
      </c>
      <c r="H582" s="139">
        <f>IF(AND('Ações'!$AC591="SIM", 'Ações'!AT591="SIM"), 1,0)</f>
        <v>0</v>
      </c>
      <c r="I582" s="139">
        <f>IF(AND('Ações'!$AC591="SIM", 'Ações'!AU591="SIM"), 1,0)</f>
        <v>0</v>
      </c>
      <c r="J582" s="139">
        <f>IF(AND('Ações'!$AC591="SIM", 'Ações'!AV591="SIM"), 1,0)</f>
        <v>1</v>
      </c>
      <c r="K582" s="139">
        <f>IF(AND('Ações'!$AC591="SIM", 'Ações'!AW591="SIM"), 1,0)</f>
        <v>1</v>
      </c>
      <c r="L582" s="139">
        <f>IF(AND('Ações'!$AC591="SIM", 'Ações'!AX591="SIM"), 1,0)</f>
        <v>1</v>
      </c>
      <c r="M582" s="139">
        <f>IF(AND('Ações'!$AD591="SIM", 'Ações'!AS591="SIM"), 1,0)</f>
        <v>0</v>
      </c>
      <c r="N582" s="139">
        <f>IF(AND('Ações'!$AD591="SIM", 'Ações'!AT591="SIM"), 1,0)</f>
        <v>0</v>
      </c>
      <c r="O582" s="139">
        <f>IF(AND('Ações'!$AD591="SIM", 'Ações'!AU591="SIM"), 1,0)</f>
        <v>0</v>
      </c>
      <c r="P582" s="139">
        <f>IF(AND('Ações'!$AD591="SIM", 'Ações'!AV591="SIM"), 1,0)</f>
        <v>0</v>
      </c>
      <c r="Q582" s="139">
        <f>IF(AND('Ações'!$AD591="SIM", 'Ações'!AW591="SIM"), 1,0)</f>
        <v>0</v>
      </c>
      <c r="R582" s="139">
        <f>IF(AND('Ações'!$AD591="SIM", 'Ações'!AX591="SIM"), 1,0)</f>
        <v>0</v>
      </c>
    </row>
    <row r="583">
      <c r="A583" s="139">
        <f>IF(AND('Ações'!AB592="SIM", 'Ações'!AS592="SIM"), 1,0)</f>
        <v>0</v>
      </c>
      <c r="B583" s="139">
        <f>IF(AND('Ações'!$AB592="SIM", 'Ações'!AT592="SIM"), 1,0)</f>
        <v>0</v>
      </c>
      <c r="C583" s="139">
        <f>IF(AND('Ações'!$AB592="SIM", 'Ações'!AU592="SIM"), 1,0)</f>
        <v>0</v>
      </c>
      <c r="D583" s="139">
        <f>IF(AND('Ações'!$AB592="SIM", 'Ações'!AV592="SIM"), 1,0)</f>
        <v>1</v>
      </c>
      <c r="E583" s="139">
        <f>IF(AND('Ações'!$AB592="SIM", 'Ações'!AW592="SIM"), 1,0)</f>
        <v>1</v>
      </c>
      <c r="F583" s="139">
        <f>IF(AND('Ações'!$AB592="SIM", 'Ações'!AX592="SIM"), 1,0)</f>
        <v>1</v>
      </c>
      <c r="G583" s="139">
        <f>IF(AND('Ações'!$AC592="SIM", 'Ações'!AS592="SIM"), 1,0)</f>
        <v>0</v>
      </c>
      <c r="H583" s="139">
        <f>IF(AND('Ações'!$AC592="SIM", 'Ações'!AT592="SIM"), 1,0)</f>
        <v>0</v>
      </c>
      <c r="I583" s="139">
        <f>IF(AND('Ações'!$AC592="SIM", 'Ações'!AU592="SIM"), 1,0)</f>
        <v>0</v>
      </c>
      <c r="J583" s="139">
        <f>IF(AND('Ações'!$AC592="SIM", 'Ações'!AV592="SIM"), 1,0)</f>
        <v>0</v>
      </c>
      <c r="K583" s="139">
        <f>IF(AND('Ações'!$AC592="SIM", 'Ações'!AW592="SIM"), 1,0)</f>
        <v>0</v>
      </c>
      <c r="L583" s="139">
        <f>IF(AND('Ações'!$AC592="SIM", 'Ações'!AX592="SIM"), 1,0)</f>
        <v>0</v>
      </c>
      <c r="M583" s="139">
        <f>IF(AND('Ações'!$AD592="SIM", 'Ações'!AS592="SIM"), 1,0)</f>
        <v>0</v>
      </c>
      <c r="N583" s="139">
        <f>IF(AND('Ações'!$AD592="SIM", 'Ações'!AT592="SIM"), 1,0)</f>
        <v>0</v>
      </c>
      <c r="O583" s="139">
        <f>IF(AND('Ações'!$AD592="SIM", 'Ações'!AU592="SIM"), 1,0)</f>
        <v>0</v>
      </c>
      <c r="P583" s="139">
        <f>IF(AND('Ações'!$AD592="SIM", 'Ações'!AV592="SIM"), 1,0)</f>
        <v>0</v>
      </c>
      <c r="Q583" s="139">
        <f>IF(AND('Ações'!$AD592="SIM", 'Ações'!AW592="SIM"), 1,0)</f>
        <v>0</v>
      </c>
      <c r="R583" s="139">
        <f>IF(AND('Ações'!$AD592="SIM", 'Ações'!AX592="SIM"), 1,0)</f>
        <v>0</v>
      </c>
    </row>
    <row r="584">
      <c r="A584" s="139">
        <f>IF(AND('Ações'!AB593="SIM", 'Ações'!AS593="SIM"), 1,0)</f>
        <v>0</v>
      </c>
      <c r="B584" s="139">
        <f>IF(AND('Ações'!$AB593="SIM", 'Ações'!AT593="SIM"), 1,0)</f>
        <v>0</v>
      </c>
      <c r="C584" s="139">
        <f>IF(AND('Ações'!$AB593="SIM", 'Ações'!AU593="SIM"), 1,0)</f>
        <v>0</v>
      </c>
      <c r="D584" s="139">
        <f>IF(AND('Ações'!$AB593="SIM", 'Ações'!AV593="SIM"), 1,0)</f>
        <v>1</v>
      </c>
      <c r="E584" s="139">
        <f>IF(AND('Ações'!$AB593="SIM", 'Ações'!AW593="SIM"), 1,0)</f>
        <v>1</v>
      </c>
      <c r="F584" s="139">
        <f>IF(AND('Ações'!$AB593="SIM", 'Ações'!AX593="SIM"), 1,0)</f>
        <v>1</v>
      </c>
      <c r="G584" s="139">
        <f>IF(AND('Ações'!$AC593="SIM", 'Ações'!AS593="SIM"), 1,0)</f>
        <v>0</v>
      </c>
      <c r="H584" s="139">
        <f>IF(AND('Ações'!$AC593="SIM", 'Ações'!AT593="SIM"), 1,0)</f>
        <v>0</v>
      </c>
      <c r="I584" s="139">
        <f>IF(AND('Ações'!$AC593="SIM", 'Ações'!AU593="SIM"), 1,0)</f>
        <v>0</v>
      </c>
      <c r="J584" s="139">
        <f>IF(AND('Ações'!$AC593="SIM", 'Ações'!AV593="SIM"), 1,0)</f>
        <v>0</v>
      </c>
      <c r="K584" s="139">
        <f>IF(AND('Ações'!$AC593="SIM", 'Ações'!AW593="SIM"), 1,0)</f>
        <v>0</v>
      </c>
      <c r="L584" s="139">
        <f>IF(AND('Ações'!$AC593="SIM", 'Ações'!AX593="SIM"), 1,0)</f>
        <v>0</v>
      </c>
      <c r="M584" s="139">
        <f>IF(AND('Ações'!$AD593="SIM", 'Ações'!AS593="SIM"), 1,0)</f>
        <v>0</v>
      </c>
      <c r="N584" s="139">
        <f>IF(AND('Ações'!$AD593="SIM", 'Ações'!AT593="SIM"), 1,0)</f>
        <v>0</v>
      </c>
      <c r="O584" s="139">
        <f>IF(AND('Ações'!$AD593="SIM", 'Ações'!AU593="SIM"), 1,0)</f>
        <v>0</v>
      </c>
      <c r="P584" s="139">
        <f>IF(AND('Ações'!$AD593="SIM", 'Ações'!AV593="SIM"), 1,0)</f>
        <v>0</v>
      </c>
      <c r="Q584" s="139">
        <f>IF(AND('Ações'!$AD593="SIM", 'Ações'!AW593="SIM"), 1,0)</f>
        <v>0</v>
      </c>
      <c r="R584" s="139">
        <f>IF(AND('Ações'!$AD593="SIM", 'Ações'!AX593="SIM"), 1,0)</f>
        <v>0</v>
      </c>
    </row>
    <row r="585">
      <c r="A585" s="139">
        <f>IF(AND('Ações'!AB594="SIM", 'Ações'!AS594="SIM"), 1,0)</f>
        <v>0</v>
      </c>
      <c r="B585" s="139">
        <f>IF(AND('Ações'!$AB594="SIM", 'Ações'!AT594="SIM"), 1,0)</f>
        <v>0</v>
      </c>
      <c r="C585" s="139">
        <f>IF(AND('Ações'!$AB594="SIM", 'Ações'!AU594="SIM"), 1,0)</f>
        <v>0</v>
      </c>
      <c r="D585" s="139">
        <f>IF(AND('Ações'!$AB594="SIM", 'Ações'!AV594="SIM"), 1,0)</f>
        <v>0</v>
      </c>
      <c r="E585" s="139">
        <f>IF(AND('Ações'!$AB594="SIM", 'Ações'!AW594="SIM"), 1,0)</f>
        <v>0</v>
      </c>
      <c r="F585" s="139">
        <f>IF(AND('Ações'!$AB594="SIM", 'Ações'!AX594="SIM"), 1,0)</f>
        <v>0</v>
      </c>
      <c r="G585" s="139">
        <f>IF(AND('Ações'!$AC594="SIM", 'Ações'!AS594="SIM"), 1,0)</f>
        <v>0</v>
      </c>
      <c r="H585" s="139">
        <f>IF(AND('Ações'!$AC594="SIM", 'Ações'!AT594="SIM"), 1,0)</f>
        <v>0</v>
      </c>
      <c r="I585" s="139">
        <f>IF(AND('Ações'!$AC594="SIM", 'Ações'!AU594="SIM"), 1,0)</f>
        <v>0</v>
      </c>
      <c r="J585" s="139">
        <f>IF(AND('Ações'!$AC594="SIM", 'Ações'!AV594="SIM"), 1,0)</f>
        <v>1</v>
      </c>
      <c r="K585" s="139">
        <f>IF(AND('Ações'!$AC594="SIM", 'Ações'!AW594="SIM"), 1,0)</f>
        <v>1</v>
      </c>
      <c r="L585" s="139">
        <f>IF(AND('Ações'!$AC594="SIM", 'Ações'!AX594="SIM"), 1,0)</f>
        <v>1</v>
      </c>
      <c r="M585" s="139">
        <f>IF(AND('Ações'!$AD594="SIM", 'Ações'!AS594="SIM"), 1,0)</f>
        <v>0</v>
      </c>
      <c r="N585" s="139">
        <f>IF(AND('Ações'!$AD594="SIM", 'Ações'!AT594="SIM"), 1,0)</f>
        <v>0</v>
      </c>
      <c r="O585" s="139">
        <f>IF(AND('Ações'!$AD594="SIM", 'Ações'!AU594="SIM"), 1,0)</f>
        <v>0</v>
      </c>
      <c r="P585" s="139">
        <f>IF(AND('Ações'!$AD594="SIM", 'Ações'!AV594="SIM"), 1,0)</f>
        <v>1</v>
      </c>
      <c r="Q585" s="139">
        <f>IF(AND('Ações'!$AD594="SIM", 'Ações'!AW594="SIM"), 1,0)</f>
        <v>1</v>
      </c>
      <c r="R585" s="139">
        <f>IF(AND('Ações'!$AD594="SIM", 'Ações'!AX594="SIM"), 1,0)</f>
        <v>1</v>
      </c>
    </row>
    <row r="586">
      <c r="A586" s="139">
        <f>IF(AND('Ações'!AB595="SIM", 'Ações'!AS595="SIM"), 1,0)</f>
        <v>0</v>
      </c>
      <c r="B586" s="139">
        <f>IF(AND('Ações'!$AB595="SIM", 'Ações'!AT595="SIM"), 1,0)</f>
        <v>0</v>
      </c>
      <c r="C586" s="139">
        <f>IF(AND('Ações'!$AB595="SIM", 'Ações'!AU595="SIM"), 1,0)</f>
        <v>0</v>
      </c>
      <c r="D586" s="139">
        <f>IF(AND('Ações'!$AB595="SIM", 'Ações'!AV595="SIM"), 1,0)</f>
        <v>1</v>
      </c>
      <c r="E586" s="139">
        <f>IF(AND('Ações'!$AB595="SIM", 'Ações'!AW595="SIM"), 1,0)</f>
        <v>1</v>
      </c>
      <c r="F586" s="139">
        <f>IF(AND('Ações'!$AB595="SIM", 'Ações'!AX595="SIM"), 1,0)</f>
        <v>1</v>
      </c>
      <c r="G586" s="139">
        <f>IF(AND('Ações'!$AC595="SIM", 'Ações'!AS595="SIM"), 1,0)</f>
        <v>0</v>
      </c>
      <c r="H586" s="139">
        <f>IF(AND('Ações'!$AC595="SIM", 'Ações'!AT595="SIM"), 1,0)</f>
        <v>0</v>
      </c>
      <c r="I586" s="139">
        <f>IF(AND('Ações'!$AC595="SIM", 'Ações'!AU595="SIM"), 1,0)</f>
        <v>0</v>
      </c>
      <c r="J586" s="139">
        <f>IF(AND('Ações'!$AC595="SIM", 'Ações'!AV595="SIM"), 1,0)</f>
        <v>1</v>
      </c>
      <c r="K586" s="139">
        <f>IF(AND('Ações'!$AC595="SIM", 'Ações'!AW595="SIM"), 1,0)</f>
        <v>1</v>
      </c>
      <c r="L586" s="139">
        <f>IF(AND('Ações'!$AC595="SIM", 'Ações'!AX595="SIM"), 1,0)</f>
        <v>1</v>
      </c>
      <c r="M586" s="139">
        <f>IF(AND('Ações'!$AD595="SIM", 'Ações'!AS595="SIM"), 1,0)</f>
        <v>0</v>
      </c>
      <c r="N586" s="139">
        <f>IF(AND('Ações'!$AD595="SIM", 'Ações'!AT595="SIM"), 1,0)</f>
        <v>0</v>
      </c>
      <c r="O586" s="139">
        <f>IF(AND('Ações'!$AD595="SIM", 'Ações'!AU595="SIM"), 1,0)</f>
        <v>0</v>
      </c>
      <c r="P586" s="139">
        <f>IF(AND('Ações'!$AD595="SIM", 'Ações'!AV595="SIM"), 1,0)</f>
        <v>0</v>
      </c>
      <c r="Q586" s="139">
        <f>IF(AND('Ações'!$AD595="SIM", 'Ações'!AW595="SIM"), 1,0)</f>
        <v>0</v>
      </c>
      <c r="R586" s="139">
        <f>IF(AND('Ações'!$AD595="SIM", 'Ações'!AX595="SIM"), 1,0)</f>
        <v>0</v>
      </c>
    </row>
    <row r="587">
      <c r="A587" s="139">
        <f>IF(AND('Ações'!AB596="SIM", 'Ações'!AS596="SIM"), 1,0)</f>
        <v>0</v>
      </c>
      <c r="B587" s="139">
        <f>IF(AND('Ações'!$AB596="SIM", 'Ações'!AT596="SIM"), 1,0)</f>
        <v>0</v>
      </c>
      <c r="C587" s="139">
        <f>IF(AND('Ações'!$AB596="SIM", 'Ações'!AU596="SIM"), 1,0)</f>
        <v>0</v>
      </c>
      <c r="D587" s="139">
        <f>IF(AND('Ações'!$AB596="SIM", 'Ações'!AV596="SIM"), 1,0)</f>
        <v>1</v>
      </c>
      <c r="E587" s="139">
        <f>IF(AND('Ações'!$AB596="SIM", 'Ações'!AW596="SIM"), 1,0)</f>
        <v>1</v>
      </c>
      <c r="F587" s="139">
        <f>IF(AND('Ações'!$AB596="SIM", 'Ações'!AX596="SIM"), 1,0)</f>
        <v>1</v>
      </c>
      <c r="G587" s="139">
        <f>IF(AND('Ações'!$AC596="SIM", 'Ações'!AS596="SIM"), 1,0)</f>
        <v>0</v>
      </c>
      <c r="H587" s="139">
        <f>IF(AND('Ações'!$AC596="SIM", 'Ações'!AT596="SIM"), 1,0)</f>
        <v>0</v>
      </c>
      <c r="I587" s="139">
        <f>IF(AND('Ações'!$AC596="SIM", 'Ações'!AU596="SIM"), 1,0)</f>
        <v>0</v>
      </c>
      <c r="J587" s="139">
        <f>IF(AND('Ações'!$AC596="SIM", 'Ações'!AV596="SIM"), 1,0)</f>
        <v>0</v>
      </c>
      <c r="K587" s="139">
        <f>IF(AND('Ações'!$AC596="SIM", 'Ações'!AW596="SIM"), 1,0)</f>
        <v>0</v>
      </c>
      <c r="L587" s="139">
        <f>IF(AND('Ações'!$AC596="SIM", 'Ações'!AX596="SIM"), 1,0)</f>
        <v>0</v>
      </c>
      <c r="M587" s="139">
        <f>IF(AND('Ações'!$AD596="SIM", 'Ações'!AS596="SIM"), 1,0)</f>
        <v>0</v>
      </c>
      <c r="N587" s="139">
        <f>IF(AND('Ações'!$AD596="SIM", 'Ações'!AT596="SIM"), 1,0)</f>
        <v>0</v>
      </c>
      <c r="O587" s="139">
        <f>IF(AND('Ações'!$AD596="SIM", 'Ações'!AU596="SIM"), 1,0)</f>
        <v>0</v>
      </c>
      <c r="P587" s="139">
        <f>IF(AND('Ações'!$AD596="SIM", 'Ações'!AV596="SIM"), 1,0)</f>
        <v>0</v>
      </c>
      <c r="Q587" s="139">
        <f>IF(AND('Ações'!$AD596="SIM", 'Ações'!AW596="SIM"), 1,0)</f>
        <v>0</v>
      </c>
      <c r="R587" s="139">
        <f>IF(AND('Ações'!$AD596="SIM", 'Ações'!AX596="SIM"), 1,0)</f>
        <v>0</v>
      </c>
    </row>
    <row r="588">
      <c r="A588" s="139">
        <f>IF(AND('Ações'!AB597="SIM", 'Ações'!AS597="SIM"), 1,0)</f>
        <v>0</v>
      </c>
      <c r="B588" s="139">
        <f>IF(AND('Ações'!$AB597="SIM", 'Ações'!AT597="SIM"), 1,0)</f>
        <v>0</v>
      </c>
      <c r="C588" s="139">
        <f>IF(AND('Ações'!$AB597="SIM", 'Ações'!AU597="SIM"), 1,0)</f>
        <v>0</v>
      </c>
      <c r="D588" s="139">
        <f>IF(AND('Ações'!$AB597="SIM", 'Ações'!AV597="SIM"), 1,0)</f>
        <v>1</v>
      </c>
      <c r="E588" s="139">
        <f>IF(AND('Ações'!$AB597="SIM", 'Ações'!AW597="SIM"), 1,0)</f>
        <v>1</v>
      </c>
      <c r="F588" s="139">
        <f>IF(AND('Ações'!$AB597="SIM", 'Ações'!AX597="SIM"), 1,0)</f>
        <v>1</v>
      </c>
      <c r="G588" s="139">
        <f>IF(AND('Ações'!$AC597="SIM", 'Ações'!AS597="SIM"), 1,0)</f>
        <v>0</v>
      </c>
      <c r="H588" s="139">
        <f>IF(AND('Ações'!$AC597="SIM", 'Ações'!AT597="SIM"), 1,0)</f>
        <v>0</v>
      </c>
      <c r="I588" s="139">
        <f>IF(AND('Ações'!$AC597="SIM", 'Ações'!AU597="SIM"), 1,0)</f>
        <v>0</v>
      </c>
      <c r="J588" s="139">
        <f>IF(AND('Ações'!$AC597="SIM", 'Ações'!AV597="SIM"), 1,0)</f>
        <v>0</v>
      </c>
      <c r="K588" s="139">
        <f>IF(AND('Ações'!$AC597="SIM", 'Ações'!AW597="SIM"), 1,0)</f>
        <v>0</v>
      </c>
      <c r="L588" s="139">
        <f>IF(AND('Ações'!$AC597="SIM", 'Ações'!AX597="SIM"), 1,0)</f>
        <v>0</v>
      </c>
      <c r="M588" s="139">
        <f>IF(AND('Ações'!$AD597="SIM", 'Ações'!AS597="SIM"), 1,0)</f>
        <v>0</v>
      </c>
      <c r="N588" s="139">
        <f>IF(AND('Ações'!$AD597="SIM", 'Ações'!AT597="SIM"), 1,0)</f>
        <v>0</v>
      </c>
      <c r="O588" s="139">
        <f>IF(AND('Ações'!$AD597="SIM", 'Ações'!AU597="SIM"), 1,0)</f>
        <v>0</v>
      </c>
      <c r="P588" s="139">
        <f>IF(AND('Ações'!$AD597="SIM", 'Ações'!AV597="SIM"), 1,0)</f>
        <v>0</v>
      </c>
      <c r="Q588" s="139">
        <f>IF(AND('Ações'!$AD597="SIM", 'Ações'!AW597="SIM"), 1,0)</f>
        <v>0</v>
      </c>
      <c r="R588" s="139">
        <f>IF(AND('Ações'!$AD597="SIM", 'Ações'!AX597="SIM"), 1,0)</f>
        <v>0</v>
      </c>
    </row>
    <row r="589">
      <c r="A589" s="139">
        <f>IF(AND('Ações'!AB598="SIM", 'Ações'!AS598="SIM"), 1,0)</f>
        <v>0</v>
      </c>
      <c r="B589" s="139">
        <f>IF(AND('Ações'!$AB598="SIM", 'Ações'!AT598="SIM"), 1,0)</f>
        <v>0</v>
      </c>
      <c r="C589" s="139">
        <f>IF(AND('Ações'!$AB598="SIM", 'Ações'!AU598="SIM"), 1,0)</f>
        <v>0</v>
      </c>
      <c r="D589" s="139">
        <f>IF(AND('Ações'!$AB598="SIM", 'Ações'!AV598="SIM"), 1,0)</f>
        <v>1</v>
      </c>
      <c r="E589" s="139">
        <f>IF(AND('Ações'!$AB598="SIM", 'Ações'!AW598="SIM"), 1,0)</f>
        <v>1</v>
      </c>
      <c r="F589" s="139">
        <f>IF(AND('Ações'!$AB598="SIM", 'Ações'!AX598="SIM"), 1,0)</f>
        <v>1</v>
      </c>
      <c r="G589" s="139">
        <f>IF(AND('Ações'!$AC598="SIM", 'Ações'!AS598="SIM"), 1,0)</f>
        <v>0</v>
      </c>
      <c r="H589" s="139">
        <f>IF(AND('Ações'!$AC598="SIM", 'Ações'!AT598="SIM"), 1,0)</f>
        <v>0</v>
      </c>
      <c r="I589" s="139">
        <f>IF(AND('Ações'!$AC598="SIM", 'Ações'!AU598="SIM"), 1,0)</f>
        <v>0</v>
      </c>
      <c r="J589" s="139">
        <f>IF(AND('Ações'!$AC598="SIM", 'Ações'!AV598="SIM"), 1,0)</f>
        <v>0</v>
      </c>
      <c r="K589" s="139">
        <f>IF(AND('Ações'!$AC598="SIM", 'Ações'!AW598="SIM"), 1,0)</f>
        <v>0</v>
      </c>
      <c r="L589" s="139">
        <f>IF(AND('Ações'!$AC598="SIM", 'Ações'!AX598="SIM"), 1,0)</f>
        <v>0</v>
      </c>
      <c r="M589" s="139">
        <f>IF(AND('Ações'!$AD598="SIM", 'Ações'!AS598="SIM"), 1,0)</f>
        <v>0</v>
      </c>
      <c r="N589" s="139">
        <f>IF(AND('Ações'!$AD598="SIM", 'Ações'!AT598="SIM"), 1,0)</f>
        <v>0</v>
      </c>
      <c r="O589" s="139">
        <f>IF(AND('Ações'!$AD598="SIM", 'Ações'!AU598="SIM"), 1,0)</f>
        <v>0</v>
      </c>
      <c r="P589" s="139">
        <f>IF(AND('Ações'!$AD598="SIM", 'Ações'!AV598="SIM"), 1,0)</f>
        <v>0</v>
      </c>
      <c r="Q589" s="139">
        <f>IF(AND('Ações'!$AD598="SIM", 'Ações'!AW598="SIM"), 1,0)</f>
        <v>0</v>
      </c>
      <c r="R589" s="139">
        <f>IF(AND('Ações'!$AD598="SIM", 'Ações'!AX598="SIM"), 1,0)</f>
        <v>0</v>
      </c>
    </row>
    <row r="590">
      <c r="A590" s="139">
        <f>IF(AND('Ações'!AB599="SIM", 'Ações'!AS599="SIM"), 1,0)</f>
        <v>0</v>
      </c>
      <c r="B590" s="139">
        <f>IF(AND('Ações'!$AB599="SIM", 'Ações'!AT599="SIM"), 1,0)</f>
        <v>0</v>
      </c>
      <c r="C590" s="139">
        <f>IF(AND('Ações'!$AB599="SIM", 'Ações'!AU599="SIM"), 1,0)</f>
        <v>0</v>
      </c>
      <c r="D590" s="139">
        <f>IF(AND('Ações'!$AB599="SIM", 'Ações'!AV599="SIM"), 1,0)</f>
        <v>1</v>
      </c>
      <c r="E590" s="139">
        <f>IF(AND('Ações'!$AB599="SIM", 'Ações'!AW599="SIM"), 1,0)</f>
        <v>1</v>
      </c>
      <c r="F590" s="139">
        <f>IF(AND('Ações'!$AB599="SIM", 'Ações'!AX599="SIM"), 1,0)</f>
        <v>1</v>
      </c>
      <c r="G590" s="139">
        <f>IF(AND('Ações'!$AC599="SIM", 'Ações'!AS599="SIM"), 1,0)</f>
        <v>0</v>
      </c>
      <c r="H590" s="139">
        <f>IF(AND('Ações'!$AC599="SIM", 'Ações'!AT599="SIM"), 1,0)</f>
        <v>0</v>
      </c>
      <c r="I590" s="139">
        <f>IF(AND('Ações'!$AC599="SIM", 'Ações'!AU599="SIM"), 1,0)</f>
        <v>0</v>
      </c>
      <c r="J590" s="139">
        <f>IF(AND('Ações'!$AC599="SIM", 'Ações'!AV599="SIM"), 1,0)</f>
        <v>0</v>
      </c>
      <c r="K590" s="139">
        <f>IF(AND('Ações'!$AC599="SIM", 'Ações'!AW599="SIM"), 1,0)</f>
        <v>0</v>
      </c>
      <c r="L590" s="139">
        <f>IF(AND('Ações'!$AC599="SIM", 'Ações'!AX599="SIM"), 1,0)</f>
        <v>0</v>
      </c>
      <c r="M590" s="139">
        <f>IF(AND('Ações'!$AD599="SIM", 'Ações'!AS599="SIM"), 1,0)</f>
        <v>0</v>
      </c>
      <c r="N590" s="139">
        <f>IF(AND('Ações'!$AD599="SIM", 'Ações'!AT599="SIM"), 1,0)</f>
        <v>0</v>
      </c>
      <c r="O590" s="139">
        <f>IF(AND('Ações'!$AD599="SIM", 'Ações'!AU599="SIM"), 1,0)</f>
        <v>0</v>
      </c>
      <c r="P590" s="139">
        <f>IF(AND('Ações'!$AD599="SIM", 'Ações'!AV599="SIM"), 1,0)</f>
        <v>0</v>
      </c>
      <c r="Q590" s="139">
        <f>IF(AND('Ações'!$AD599="SIM", 'Ações'!AW599="SIM"), 1,0)</f>
        <v>0</v>
      </c>
      <c r="R590" s="139">
        <f>IF(AND('Ações'!$AD599="SIM", 'Ações'!AX599="SIM"), 1,0)</f>
        <v>0</v>
      </c>
    </row>
    <row r="591">
      <c r="A591" s="139">
        <f>IF(AND('Ações'!AB600="SIM", 'Ações'!AS600="SIM"), 1,0)</f>
        <v>0</v>
      </c>
      <c r="B591" s="139">
        <f>IF(AND('Ações'!$AB600="SIM", 'Ações'!AT600="SIM"), 1,0)</f>
        <v>0</v>
      </c>
      <c r="C591" s="139">
        <f>IF(AND('Ações'!$AB600="SIM", 'Ações'!AU600="SIM"), 1,0)</f>
        <v>0</v>
      </c>
      <c r="D591" s="139">
        <f>IF(AND('Ações'!$AB600="SIM", 'Ações'!AV600="SIM"), 1,0)</f>
        <v>1</v>
      </c>
      <c r="E591" s="139">
        <f>IF(AND('Ações'!$AB600="SIM", 'Ações'!AW600="SIM"), 1,0)</f>
        <v>1</v>
      </c>
      <c r="F591" s="139">
        <f>IF(AND('Ações'!$AB600="SIM", 'Ações'!AX600="SIM"), 1,0)</f>
        <v>1</v>
      </c>
      <c r="G591" s="139">
        <f>IF(AND('Ações'!$AC600="SIM", 'Ações'!AS600="SIM"), 1,0)</f>
        <v>0</v>
      </c>
      <c r="H591" s="139">
        <f>IF(AND('Ações'!$AC600="SIM", 'Ações'!AT600="SIM"), 1,0)</f>
        <v>0</v>
      </c>
      <c r="I591" s="139">
        <f>IF(AND('Ações'!$AC600="SIM", 'Ações'!AU600="SIM"), 1,0)</f>
        <v>0</v>
      </c>
      <c r="J591" s="139">
        <f>IF(AND('Ações'!$AC600="SIM", 'Ações'!AV600="SIM"), 1,0)</f>
        <v>0</v>
      </c>
      <c r="K591" s="139">
        <f>IF(AND('Ações'!$AC600="SIM", 'Ações'!AW600="SIM"), 1,0)</f>
        <v>0</v>
      </c>
      <c r="L591" s="139">
        <f>IF(AND('Ações'!$AC600="SIM", 'Ações'!AX600="SIM"), 1,0)</f>
        <v>0</v>
      </c>
      <c r="M591" s="139">
        <f>IF(AND('Ações'!$AD600="SIM", 'Ações'!AS600="SIM"), 1,0)</f>
        <v>0</v>
      </c>
      <c r="N591" s="139">
        <f>IF(AND('Ações'!$AD600="SIM", 'Ações'!AT600="SIM"), 1,0)</f>
        <v>0</v>
      </c>
      <c r="O591" s="139">
        <f>IF(AND('Ações'!$AD600="SIM", 'Ações'!AU600="SIM"), 1,0)</f>
        <v>0</v>
      </c>
      <c r="P591" s="139">
        <f>IF(AND('Ações'!$AD600="SIM", 'Ações'!AV600="SIM"), 1,0)</f>
        <v>0</v>
      </c>
      <c r="Q591" s="139">
        <f>IF(AND('Ações'!$AD600="SIM", 'Ações'!AW600="SIM"), 1,0)</f>
        <v>0</v>
      </c>
      <c r="R591" s="139">
        <f>IF(AND('Ações'!$AD600="SIM", 'Ações'!AX600="SIM"), 1,0)</f>
        <v>0</v>
      </c>
    </row>
    <row r="592">
      <c r="A592" s="139">
        <f>IF(AND('Ações'!AB601="SIM", 'Ações'!AS601="SIM"), 1,0)</f>
        <v>0</v>
      </c>
      <c r="B592" s="139">
        <f>IF(AND('Ações'!$AB601="SIM", 'Ações'!AT601="SIM"), 1,0)</f>
        <v>0</v>
      </c>
      <c r="C592" s="139">
        <f>IF(AND('Ações'!$AB601="SIM", 'Ações'!AU601="SIM"), 1,0)</f>
        <v>0</v>
      </c>
      <c r="D592" s="139">
        <f>IF(AND('Ações'!$AB601="SIM", 'Ações'!AV601="SIM"), 1,0)</f>
        <v>1</v>
      </c>
      <c r="E592" s="139">
        <f>IF(AND('Ações'!$AB601="SIM", 'Ações'!AW601="SIM"), 1,0)</f>
        <v>1</v>
      </c>
      <c r="F592" s="139">
        <f>IF(AND('Ações'!$AB601="SIM", 'Ações'!AX601="SIM"), 1,0)</f>
        <v>1</v>
      </c>
      <c r="G592" s="139">
        <f>IF(AND('Ações'!$AC601="SIM", 'Ações'!AS601="SIM"), 1,0)</f>
        <v>0</v>
      </c>
      <c r="H592" s="139">
        <f>IF(AND('Ações'!$AC601="SIM", 'Ações'!AT601="SIM"), 1,0)</f>
        <v>0</v>
      </c>
      <c r="I592" s="139">
        <f>IF(AND('Ações'!$AC601="SIM", 'Ações'!AU601="SIM"), 1,0)</f>
        <v>0</v>
      </c>
      <c r="J592" s="139">
        <f>IF(AND('Ações'!$AC601="SIM", 'Ações'!AV601="SIM"), 1,0)</f>
        <v>0</v>
      </c>
      <c r="K592" s="139">
        <f>IF(AND('Ações'!$AC601="SIM", 'Ações'!AW601="SIM"), 1,0)</f>
        <v>0</v>
      </c>
      <c r="L592" s="139">
        <f>IF(AND('Ações'!$AC601="SIM", 'Ações'!AX601="SIM"), 1,0)</f>
        <v>0</v>
      </c>
      <c r="M592" s="139">
        <f>IF(AND('Ações'!$AD601="SIM", 'Ações'!AS601="SIM"), 1,0)</f>
        <v>0</v>
      </c>
      <c r="N592" s="139">
        <f>IF(AND('Ações'!$AD601="SIM", 'Ações'!AT601="SIM"), 1,0)</f>
        <v>0</v>
      </c>
      <c r="O592" s="139">
        <f>IF(AND('Ações'!$AD601="SIM", 'Ações'!AU601="SIM"), 1,0)</f>
        <v>0</v>
      </c>
      <c r="P592" s="139">
        <f>IF(AND('Ações'!$AD601="SIM", 'Ações'!AV601="SIM"), 1,0)</f>
        <v>0</v>
      </c>
      <c r="Q592" s="139">
        <f>IF(AND('Ações'!$AD601="SIM", 'Ações'!AW601="SIM"), 1,0)</f>
        <v>0</v>
      </c>
      <c r="R592" s="139">
        <f>IF(AND('Ações'!$AD601="SIM", 'Ações'!AX601="SIM"), 1,0)</f>
        <v>0</v>
      </c>
    </row>
    <row r="593">
      <c r="A593" s="139">
        <f>IF(AND('Ações'!AB602="SIM", 'Ações'!AS602="SIM"), 1,0)</f>
        <v>0</v>
      </c>
      <c r="B593" s="139">
        <f>IF(AND('Ações'!$AB602="SIM", 'Ações'!AT602="SIM"), 1,0)</f>
        <v>0</v>
      </c>
      <c r="C593" s="139">
        <f>IF(AND('Ações'!$AB602="SIM", 'Ações'!AU602="SIM"), 1,0)</f>
        <v>0</v>
      </c>
      <c r="D593" s="139">
        <f>IF(AND('Ações'!$AB602="SIM", 'Ações'!AV602="SIM"), 1,0)</f>
        <v>1</v>
      </c>
      <c r="E593" s="139">
        <f>IF(AND('Ações'!$AB602="SIM", 'Ações'!AW602="SIM"), 1,0)</f>
        <v>1</v>
      </c>
      <c r="F593" s="139">
        <f>IF(AND('Ações'!$AB602="SIM", 'Ações'!AX602="SIM"), 1,0)</f>
        <v>1</v>
      </c>
      <c r="G593" s="139">
        <f>IF(AND('Ações'!$AC602="SIM", 'Ações'!AS602="SIM"), 1,0)</f>
        <v>0</v>
      </c>
      <c r="H593" s="139">
        <f>IF(AND('Ações'!$AC602="SIM", 'Ações'!AT602="SIM"), 1,0)</f>
        <v>0</v>
      </c>
      <c r="I593" s="139">
        <f>IF(AND('Ações'!$AC602="SIM", 'Ações'!AU602="SIM"), 1,0)</f>
        <v>0</v>
      </c>
      <c r="J593" s="139">
        <f>IF(AND('Ações'!$AC602="SIM", 'Ações'!AV602="SIM"), 1,0)</f>
        <v>0</v>
      </c>
      <c r="K593" s="139">
        <f>IF(AND('Ações'!$AC602="SIM", 'Ações'!AW602="SIM"), 1,0)</f>
        <v>0</v>
      </c>
      <c r="L593" s="139">
        <f>IF(AND('Ações'!$AC602="SIM", 'Ações'!AX602="SIM"), 1,0)</f>
        <v>0</v>
      </c>
      <c r="M593" s="139">
        <f>IF(AND('Ações'!$AD602="SIM", 'Ações'!AS602="SIM"), 1,0)</f>
        <v>0</v>
      </c>
      <c r="N593" s="139">
        <f>IF(AND('Ações'!$AD602="SIM", 'Ações'!AT602="SIM"), 1,0)</f>
        <v>0</v>
      </c>
      <c r="O593" s="139">
        <f>IF(AND('Ações'!$AD602="SIM", 'Ações'!AU602="SIM"), 1,0)</f>
        <v>0</v>
      </c>
      <c r="P593" s="139">
        <f>IF(AND('Ações'!$AD602="SIM", 'Ações'!AV602="SIM"), 1,0)</f>
        <v>0</v>
      </c>
      <c r="Q593" s="139">
        <f>IF(AND('Ações'!$AD602="SIM", 'Ações'!AW602="SIM"), 1,0)</f>
        <v>0</v>
      </c>
      <c r="R593" s="139">
        <f>IF(AND('Ações'!$AD602="SIM", 'Ações'!AX602="SIM"), 1,0)</f>
        <v>0</v>
      </c>
    </row>
    <row r="594">
      <c r="A594" s="139">
        <f>IF(AND('Ações'!AB603="SIM", 'Ações'!AS603="SIM"), 1,0)</f>
        <v>0</v>
      </c>
      <c r="B594" s="139">
        <f>IF(AND('Ações'!$AB603="SIM", 'Ações'!AT603="SIM"), 1,0)</f>
        <v>0</v>
      </c>
      <c r="C594" s="139">
        <f>IF(AND('Ações'!$AB603="SIM", 'Ações'!AU603="SIM"), 1,0)</f>
        <v>0</v>
      </c>
      <c r="D594" s="139">
        <f>IF(AND('Ações'!$AB603="SIM", 'Ações'!AV603="SIM"), 1,0)</f>
        <v>1</v>
      </c>
      <c r="E594" s="139">
        <f>IF(AND('Ações'!$AB603="SIM", 'Ações'!AW603="SIM"), 1,0)</f>
        <v>1</v>
      </c>
      <c r="F594" s="139">
        <f>IF(AND('Ações'!$AB603="SIM", 'Ações'!AX603="SIM"), 1,0)</f>
        <v>1</v>
      </c>
      <c r="G594" s="139">
        <f>IF(AND('Ações'!$AC603="SIM", 'Ações'!AS603="SIM"), 1,0)</f>
        <v>0</v>
      </c>
      <c r="H594" s="139">
        <f>IF(AND('Ações'!$AC603="SIM", 'Ações'!AT603="SIM"), 1,0)</f>
        <v>0</v>
      </c>
      <c r="I594" s="139">
        <f>IF(AND('Ações'!$AC603="SIM", 'Ações'!AU603="SIM"), 1,0)</f>
        <v>0</v>
      </c>
      <c r="J594" s="139">
        <f>IF(AND('Ações'!$AC603="SIM", 'Ações'!AV603="SIM"), 1,0)</f>
        <v>0</v>
      </c>
      <c r="K594" s="139">
        <f>IF(AND('Ações'!$AC603="SIM", 'Ações'!AW603="SIM"), 1,0)</f>
        <v>0</v>
      </c>
      <c r="L594" s="139">
        <f>IF(AND('Ações'!$AC603="SIM", 'Ações'!AX603="SIM"), 1,0)</f>
        <v>0</v>
      </c>
      <c r="M594" s="139">
        <f>IF(AND('Ações'!$AD603="SIM", 'Ações'!AS603="SIM"), 1,0)</f>
        <v>0</v>
      </c>
      <c r="N594" s="139">
        <f>IF(AND('Ações'!$AD603="SIM", 'Ações'!AT603="SIM"), 1,0)</f>
        <v>0</v>
      </c>
      <c r="O594" s="139">
        <f>IF(AND('Ações'!$AD603="SIM", 'Ações'!AU603="SIM"), 1,0)</f>
        <v>0</v>
      </c>
      <c r="P594" s="139">
        <f>IF(AND('Ações'!$AD603="SIM", 'Ações'!AV603="SIM"), 1,0)</f>
        <v>0</v>
      </c>
      <c r="Q594" s="139">
        <f>IF(AND('Ações'!$AD603="SIM", 'Ações'!AW603="SIM"), 1,0)</f>
        <v>0</v>
      </c>
      <c r="R594" s="139">
        <f>IF(AND('Ações'!$AD603="SIM", 'Ações'!AX603="SIM"), 1,0)</f>
        <v>0</v>
      </c>
    </row>
    <row r="595">
      <c r="A595" s="139">
        <f>IF(AND('Ações'!AB604="SIM", 'Ações'!AS604="SIM"), 1,0)</f>
        <v>0</v>
      </c>
      <c r="B595" s="139">
        <f>IF(AND('Ações'!$AB604="SIM", 'Ações'!AT604="SIM"), 1,0)</f>
        <v>0</v>
      </c>
      <c r="C595" s="139">
        <f>IF(AND('Ações'!$AB604="SIM", 'Ações'!AU604="SIM"), 1,0)</f>
        <v>0</v>
      </c>
      <c r="D595" s="139">
        <f>IF(AND('Ações'!$AB604="SIM", 'Ações'!AV604="SIM"), 1,0)</f>
        <v>1</v>
      </c>
      <c r="E595" s="139">
        <f>IF(AND('Ações'!$AB604="SIM", 'Ações'!AW604="SIM"), 1,0)</f>
        <v>1</v>
      </c>
      <c r="F595" s="139">
        <f>IF(AND('Ações'!$AB604="SIM", 'Ações'!AX604="SIM"), 1,0)</f>
        <v>1</v>
      </c>
      <c r="G595" s="139">
        <f>IF(AND('Ações'!$AC604="SIM", 'Ações'!AS604="SIM"), 1,0)</f>
        <v>0</v>
      </c>
      <c r="H595" s="139">
        <f>IF(AND('Ações'!$AC604="SIM", 'Ações'!AT604="SIM"), 1,0)</f>
        <v>0</v>
      </c>
      <c r="I595" s="139">
        <f>IF(AND('Ações'!$AC604="SIM", 'Ações'!AU604="SIM"), 1,0)</f>
        <v>0</v>
      </c>
      <c r="J595" s="139">
        <f>IF(AND('Ações'!$AC604="SIM", 'Ações'!AV604="SIM"), 1,0)</f>
        <v>0</v>
      </c>
      <c r="K595" s="139">
        <f>IF(AND('Ações'!$AC604="SIM", 'Ações'!AW604="SIM"), 1,0)</f>
        <v>0</v>
      </c>
      <c r="L595" s="139">
        <f>IF(AND('Ações'!$AC604="SIM", 'Ações'!AX604="SIM"), 1,0)</f>
        <v>0</v>
      </c>
      <c r="M595" s="139">
        <f>IF(AND('Ações'!$AD604="SIM", 'Ações'!AS604="SIM"), 1,0)</f>
        <v>0</v>
      </c>
      <c r="N595" s="139">
        <f>IF(AND('Ações'!$AD604="SIM", 'Ações'!AT604="SIM"), 1,0)</f>
        <v>0</v>
      </c>
      <c r="O595" s="139">
        <f>IF(AND('Ações'!$AD604="SIM", 'Ações'!AU604="SIM"), 1,0)</f>
        <v>0</v>
      </c>
      <c r="P595" s="139">
        <f>IF(AND('Ações'!$AD604="SIM", 'Ações'!AV604="SIM"), 1,0)</f>
        <v>0</v>
      </c>
      <c r="Q595" s="139">
        <f>IF(AND('Ações'!$AD604="SIM", 'Ações'!AW604="SIM"), 1,0)</f>
        <v>0</v>
      </c>
      <c r="R595" s="139">
        <f>IF(AND('Ações'!$AD604="SIM", 'Ações'!AX604="SIM"), 1,0)</f>
        <v>0</v>
      </c>
    </row>
    <row r="596">
      <c r="A596" s="139">
        <f>IF(AND('Ações'!AB605="SIM", 'Ações'!AS605="SIM"), 1,0)</f>
        <v>0</v>
      </c>
      <c r="B596" s="139">
        <f>IF(AND('Ações'!$AB605="SIM", 'Ações'!AT605="SIM"), 1,0)</f>
        <v>0</v>
      </c>
      <c r="C596" s="139">
        <f>IF(AND('Ações'!$AB605="SIM", 'Ações'!AU605="SIM"), 1,0)</f>
        <v>0</v>
      </c>
      <c r="D596" s="139">
        <f>IF(AND('Ações'!$AB605="SIM", 'Ações'!AV605="SIM"), 1,0)</f>
        <v>1</v>
      </c>
      <c r="E596" s="139">
        <f>IF(AND('Ações'!$AB605="SIM", 'Ações'!AW605="SIM"), 1,0)</f>
        <v>1</v>
      </c>
      <c r="F596" s="139">
        <f>IF(AND('Ações'!$AB605="SIM", 'Ações'!AX605="SIM"), 1,0)</f>
        <v>1</v>
      </c>
      <c r="G596" s="139">
        <f>IF(AND('Ações'!$AC605="SIM", 'Ações'!AS605="SIM"), 1,0)</f>
        <v>0</v>
      </c>
      <c r="H596" s="139">
        <f>IF(AND('Ações'!$AC605="SIM", 'Ações'!AT605="SIM"), 1,0)</f>
        <v>0</v>
      </c>
      <c r="I596" s="139">
        <f>IF(AND('Ações'!$AC605="SIM", 'Ações'!AU605="SIM"), 1,0)</f>
        <v>0</v>
      </c>
      <c r="J596" s="139">
        <f>IF(AND('Ações'!$AC605="SIM", 'Ações'!AV605="SIM"), 1,0)</f>
        <v>1</v>
      </c>
      <c r="K596" s="139">
        <f>IF(AND('Ações'!$AC605="SIM", 'Ações'!AW605="SIM"), 1,0)</f>
        <v>1</v>
      </c>
      <c r="L596" s="139">
        <f>IF(AND('Ações'!$AC605="SIM", 'Ações'!AX605="SIM"), 1,0)</f>
        <v>1</v>
      </c>
      <c r="M596" s="139">
        <f>IF(AND('Ações'!$AD605="SIM", 'Ações'!AS605="SIM"), 1,0)</f>
        <v>0</v>
      </c>
      <c r="N596" s="139">
        <f>IF(AND('Ações'!$AD605="SIM", 'Ações'!AT605="SIM"), 1,0)</f>
        <v>0</v>
      </c>
      <c r="O596" s="139">
        <f>IF(AND('Ações'!$AD605="SIM", 'Ações'!AU605="SIM"), 1,0)</f>
        <v>0</v>
      </c>
      <c r="P596" s="139">
        <f>IF(AND('Ações'!$AD605="SIM", 'Ações'!AV605="SIM"), 1,0)</f>
        <v>0</v>
      </c>
      <c r="Q596" s="139">
        <f>IF(AND('Ações'!$AD605="SIM", 'Ações'!AW605="SIM"), 1,0)</f>
        <v>0</v>
      </c>
      <c r="R596" s="139">
        <f>IF(AND('Ações'!$AD605="SIM", 'Ações'!AX605="SIM"), 1,0)</f>
        <v>0</v>
      </c>
    </row>
    <row r="597">
      <c r="A597" s="139">
        <f>IF(AND('Ações'!AB606="SIM", 'Ações'!AS606="SIM"), 1,0)</f>
        <v>0</v>
      </c>
      <c r="B597" s="139">
        <f>IF(AND('Ações'!$AB606="SIM", 'Ações'!AT606="SIM"), 1,0)</f>
        <v>0</v>
      </c>
      <c r="C597" s="139">
        <f>IF(AND('Ações'!$AB606="SIM", 'Ações'!AU606="SIM"), 1,0)</f>
        <v>0</v>
      </c>
      <c r="D597" s="139">
        <f>IF(AND('Ações'!$AB606="SIM", 'Ações'!AV606="SIM"), 1,0)</f>
        <v>1</v>
      </c>
      <c r="E597" s="139">
        <f>IF(AND('Ações'!$AB606="SIM", 'Ações'!AW606="SIM"), 1,0)</f>
        <v>1</v>
      </c>
      <c r="F597" s="139">
        <f>IF(AND('Ações'!$AB606="SIM", 'Ações'!AX606="SIM"), 1,0)</f>
        <v>1</v>
      </c>
      <c r="G597" s="139">
        <f>IF(AND('Ações'!$AC606="SIM", 'Ações'!AS606="SIM"), 1,0)</f>
        <v>0</v>
      </c>
      <c r="H597" s="139">
        <f>IF(AND('Ações'!$AC606="SIM", 'Ações'!AT606="SIM"), 1,0)</f>
        <v>0</v>
      </c>
      <c r="I597" s="139">
        <f>IF(AND('Ações'!$AC606="SIM", 'Ações'!AU606="SIM"), 1,0)</f>
        <v>0</v>
      </c>
      <c r="J597" s="139">
        <f>IF(AND('Ações'!$AC606="SIM", 'Ações'!AV606="SIM"), 1,0)</f>
        <v>0</v>
      </c>
      <c r="K597" s="139">
        <f>IF(AND('Ações'!$AC606="SIM", 'Ações'!AW606="SIM"), 1,0)</f>
        <v>0</v>
      </c>
      <c r="L597" s="139">
        <f>IF(AND('Ações'!$AC606="SIM", 'Ações'!AX606="SIM"), 1,0)</f>
        <v>0</v>
      </c>
      <c r="M597" s="139">
        <f>IF(AND('Ações'!$AD606="SIM", 'Ações'!AS606="SIM"), 1,0)</f>
        <v>0</v>
      </c>
      <c r="N597" s="139">
        <f>IF(AND('Ações'!$AD606="SIM", 'Ações'!AT606="SIM"), 1,0)</f>
        <v>0</v>
      </c>
      <c r="O597" s="139">
        <f>IF(AND('Ações'!$AD606="SIM", 'Ações'!AU606="SIM"), 1,0)</f>
        <v>0</v>
      </c>
      <c r="P597" s="139">
        <f>IF(AND('Ações'!$AD606="SIM", 'Ações'!AV606="SIM"), 1,0)</f>
        <v>0</v>
      </c>
      <c r="Q597" s="139">
        <f>IF(AND('Ações'!$AD606="SIM", 'Ações'!AW606="SIM"), 1,0)</f>
        <v>0</v>
      </c>
      <c r="R597" s="139">
        <f>IF(AND('Ações'!$AD606="SIM", 'Ações'!AX606="SIM"), 1,0)</f>
        <v>0</v>
      </c>
    </row>
    <row r="598">
      <c r="A598" s="139">
        <f>IF(AND('Ações'!AB607="SIM", 'Ações'!AS607="SIM"), 1,0)</f>
        <v>0</v>
      </c>
      <c r="B598" s="139">
        <f>IF(AND('Ações'!$AB607="SIM", 'Ações'!AT607="SIM"), 1,0)</f>
        <v>0</v>
      </c>
      <c r="C598" s="139">
        <f>IF(AND('Ações'!$AB607="SIM", 'Ações'!AU607="SIM"), 1,0)</f>
        <v>0</v>
      </c>
      <c r="D598" s="139">
        <f>IF(AND('Ações'!$AB607="SIM", 'Ações'!AV607="SIM"), 1,0)</f>
        <v>1</v>
      </c>
      <c r="E598" s="139">
        <f>IF(AND('Ações'!$AB607="SIM", 'Ações'!AW607="SIM"), 1,0)</f>
        <v>1</v>
      </c>
      <c r="F598" s="139">
        <f>IF(AND('Ações'!$AB607="SIM", 'Ações'!AX607="SIM"), 1,0)</f>
        <v>1</v>
      </c>
      <c r="G598" s="139">
        <f>IF(AND('Ações'!$AC607="SIM", 'Ações'!AS607="SIM"), 1,0)</f>
        <v>0</v>
      </c>
      <c r="H598" s="139">
        <f>IF(AND('Ações'!$AC607="SIM", 'Ações'!AT607="SIM"), 1,0)</f>
        <v>0</v>
      </c>
      <c r="I598" s="139">
        <f>IF(AND('Ações'!$AC607="SIM", 'Ações'!AU607="SIM"), 1,0)</f>
        <v>0</v>
      </c>
      <c r="J598" s="139">
        <f>IF(AND('Ações'!$AC607="SIM", 'Ações'!AV607="SIM"), 1,0)</f>
        <v>0</v>
      </c>
      <c r="K598" s="139">
        <f>IF(AND('Ações'!$AC607="SIM", 'Ações'!AW607="SIM"), 1,0)</f>
        <v>0</v>
      </c>
      <c r="L598" s="139">
        <f>IF(AND('Ações'!$AC607="SIM", 'Ações'!AX607="SIM"), 1,0)</f>
        <v>0</v>
      </c>
      <c r="M598" s="139">
        <f>IF(AND('Ações'!$AD607="SIM", 'Ações'!AS607="SIM"), 1,0)</f>
        <v>0</v>
      </c>
      <c r="N598" s="139">
        <f>IF(AND('Ações'!$AD607="SIM", 'Ações'!AT607="SIM"), 1,0)</f>
        <v>0</v>
      </c>
      <c r="O598" s="139">
        <f>IF(AND('Ações'!$AD607="SIM", 'Ações'!AU607="SIM"), 1,0)</f>
        <v>0</v>
      </c>
      <c r="P598" s="139">
        <f>IF(AND('Ações'!$AD607="SIM", 'Ações'!AV607="SIM"), 1,0)</f>
        <v>0</v>
      </c>
      <c r="Q598" s="139">
        <f>IF(AND('Ações'!$AD607="SIM", 'Ações'!AW607="SIM"), 1,0)</f>
        <v>0</v>
      </c>
      <c r="R598" s="139">
        <f>IF(AND('Ações'!$AD607="SIM", 'Ações'!AX607="SIM"), 1,0)</f>
        <v>0</v>
      </c>
    </row>
    <row r="599">
      <c r="A599" s="139">
        <f>IF(AND('Ações'!AB608="SIM", 'Ações'!AS608="SIM"), 1,0)</f>
        <v>0</v>
      </c>
      <c r="B599" s="139">
        <f>IF(AND('Ações'!$AB608="SIM", 'Ações'!AT608="SIM"), 1,0)</f>
        <v>0</v>
      </c>
      <c r="C599" s="139">
        <f>IF(AND('Ações'!$AB608="SIM", 'Ações'!AU608="SIM"), 1,0)</f>
        <v>0</v>
      </c>
      <c r="D599" s="139">
        <f>IF(AND('Ações'!$AB608="SIM", 'Ações'!AV608="SIM"), 1,0)</f>
        <v>1</v>
      </c>
      <c r="E599" s="139">
        <f>IF(AND('Ações'!$AB608="SIM", 'Ações'!AW608="SIM"), 1,0)</f>
        <v>1</v>
      </c>
      <c r="F599" s="139">
        <f>IF(AND('Ações'!$AB608="SIM", 'Ações'!AX608="SIM"), 1,0)</f>
        <v>1</v>
      </c>
      <c r="G599" s="139">
        <f>IF(AND('Ações'!$AC608="SIM", 'Ações'!AS608="SIM"), 1,0)</f>
        <v>0</v>
      </c>
      <c r="H599" s="139">
        <f>IF(AND('Ações'!$AC608="SIM", 'Ações'!AT608="SIM"), 1,0)</f>
        <v>0</v>
      </c>
      <c r="I599" s="139">
        <f>IF(AND('Ações'!$AC608="SIM", 'Ações'!AU608="SIM"), 1,0)</f>
        <v>0</v>
      </c>
      <c r="J599" s="139">
        <f>IF(AND('Ações'!$AC608="SIM", 'Ações'!AV608="SIM"), 1,0)</f>
        <v>0</v>
      </c>
      <c r="K599" s="139">
        <f>IF(AND('Ações'!$AC608="SIM", 'Ações'!AW608="SIM"), 1,0)</f>
        <v>0</v>
      </c>
      <c r="L599" s="139">
        <f>IF(AND('Ações'!$AC608="SIM", 'Ações'!AX608="SIM"), 1,0)</f>
        <v>0</v>
      </c>
      <c r="M599" s="139">
        <f>IF(AND('Ações'!$AD608="SIM", 'Ações'!AS608="SIM"), 1,0)</f>
        <v>0</v>
      </c>
      <c r="N599" s="139">
        <f>IF(AND('Ações'!$AD608="SIM", 'Ações'!AT608="SIM"), 1,0)</f>
        <v>0</v>
      </c>
      <c r="O599" s="139">
        <f>IF(AND('Ações'!$AD608="SIM", 'Ações'!AU608="SIM"), 1,0)</f>
        <v>0</v>
      </c>
      <c r="P599" s="139">
        <f>IF(AND('Ações'!$AD608="SIM", 'Ações'!AV608="SIM"), 1,0)</f>
        <v>0</v>
      </c>
      <c r="Q599" s="139">
        <f>IF(AND('Ações'!$AD608="SIM", 'Ações'!AW608="SIM"), 1,0)</f>
        <v>0</v>
      </c>
      <c r="R599" s="139">
        <f>IF(AND('Ações'!$AD608="SIM", 'Ações'!AX608="SIM"), 1,0)</f>
        <v>0</v>
      </c>
    </row>
    <row r="600">
      <c r="A600" s="139">
        <f>IF(AND('Ações'!AB609="SIM", 'Ações'!AS609="SIM"), 1,0)</f>
        <v>0</v>
      </c>
      <c r="B600" s="139">
        <f>IF(AND('Ações'!$AB609="SIM", 'Ações'!AT609="SIM"), 1,0)</f>
        <v>0</v>
      </c>
      <c r="C600" s="139">
        <f>IF(AND('Ações'!$AB609="SIM", 'Ações'!AU609="SIM"), 1,0)</f>
        <v>0</v>
      </c>
      <c r="D600" s="139">
        <f>IF(AND('Ações'!$AB609="SIM", 'Ações'!AV609="SIM"), 1,0)</f>
        <v>1</v>
      </c>
      <c r="E600" s="139">
        <f>IF(AND('Ações'!$AB609="SIM", 'Ações'!AW609="SIM"), 1,0)</f>
        <v>1</v>
      </c>
      <c r="F600" s="139">
        <f>IF(AND('Ações'!$AB609="SIM", 'Ações'!AX609="SIM"), 1,0)</f>
        <v>1</v>
      </c>
      <c r="G600" s="139">
        <f>IF(AND('Ações'!$AC609="SIM", 'Ações'!AS609="SIM"), 1,0)</f>
        <v>0</v>
      </c>
      <c r="H600" s="139">
        <f>IF(AND('Ações'!$AC609="SIM", 'Ações'!AT609="SIM"), 1,0)</f>
        <v>0</v>
      </c>
      <c r="I600" s="139">
        <f>IF(AND('Ações'!$AC609="SIM", 'Ações'!AU609="SIM"), 1,0)</f>
        <v>0</v>
      </c>
      <c r="J600" s="139">
        <f>IF(AND('Ações'!$AC609="SIM", 'Ações'!AV609="SIM"), 1,0)</f>
        <v>0</v>
      </c>
      <c r="K600" s="139">
        <f>IF(AND('Ações'!$AC609="SIM", 'Ações'!AW609="SIM"), 1,0)</f>
        <v>0</v>
      </c>
      <c r="L600" s="139">
        <f>IF(AND('Ações'!$AC609="SIM", 'Ações'!AX609="SIM"), 1,0)</f>
        <v>0</v>
      </c>
      <c r="M600" s="139">
        <f>IF(AND('Ações'!$AD609="SIM", 'Ações'!AS609="SIM"), 1,0)</f>
        <v>0</v>
      </c>
      <c r="N600" s="139">
        <f>IF(AND('Ações'!$AD609="SIM", 'Ações'!AT609="SIM"), 1,0)</f>
        <v>0</v>
      </c>
      <c r="O600" s="139">
        <f>IF(AND('Ações'!$AD609="SIM", 'Ações'!AU609="SIM"), 1,0)</f>
        <v>0</v>
      </c>
      <c r="P600" s="139">
        <f>IF(AND('Ações'!$AD609="SIM", 'Ações'!AV609="SIM"), 1,0)</f>
        <v>0</v>
      </c>
      <c r="Q600" s="139">
        <f>IF(AND('Ações'!$AD609="SIM", 'Ações'!AW609="SIM"), 1,0)</f>
        <v>0</v>
      </c>
      <c r="R600" s="139">
        <f>IF(AND('Ações'!$AD609="SIM", 'Ações'!AX609="SIM"), 1,0)</f>
        <v>0</v>
      </c>
    </row>
    <row r="601">
      <c r="A601" s="139">
        <f>IF(AND('Ações'!AB610="SIM", 'Ações'!AS610="SIM"), 1,0)</f>
        <v>0</v>
      </c>
      <c r="B601" s="139">
        <f>IF(AND('Ações'!$AB610="SIM", 'Ações'!AT610="SIM"), 1,0)</f>
        <v>0</v>
      </c>
      <c r="C601" s="139">
        <f>IF(AND('Ações'!$AB610="SIM", 'Ações'!AU610="SIM"), 1,0)</f>
        <v>0</v>
      </c>
      <c r="D601" s="139">
        <f>IF(AND('Ações'!$AB610="SIM", 'Ações'!AV610="SIM"), 1,0)</f>
        <v>1</v>
      </c>
      <c r="E601" s="139">
        <f>IF(AND('Ações'!$AB610="SIM", 'Ações'!AW610="SIM"), 1,0)</f>
        <v>1</v>
      </c>
      <c r="F601" s="139">
        <f>IF(AND('Ações'!$AB610="SIM", 'Ações'!AX610="SIM"), 1,0)</f>
        <v>1</v>
      </c>
      <c r="G601" s="139">
        <f>IF(AND('Ações'!$AC610="SIM", 'Ações'!AS610="SIM"), 1,0)</f>
        <v>0</v>
      </c>
      <c r="H601" s="139">
        <f>IF(AND('Ações'!$AC610="SIM", 'Ações'!AT610="SIM"), 1,0)</f>
        <v>0</v>
      </c>
      <c r="I601" s="139">
        <f>IF(AND('Ações'!$AC610="SIM", 'Ações'!AU610="SIM"), 1,0)</f>
        <v>0</v>
      </c>
      <c r="J601" s="139">
        <f>IF(AND('Ações'!$AC610="SIM", 'Ações'!AV610="SIM"), 1,0)</f>
        <v>0</v>
      </c>
      <c r="K601" s="139">
        <f>IF(AND('Ações'!$AC610="SIM", 'Ações'!AW610="SIM"), 1,0)</f>
        <v>0</v>
      </c>
      <c r="L601" s="139">
        <f>IF(AND('Ações'!$AC610="SIM", 'Ações'!AX610="SIM"), 1,0)</f>
        <v>0</v>
      </c>
      <c r="M601" s="139">
        <f>IF(AND('Ações'!$AD610="SIM", 'Ações'!AS610="SIM"), 1,0)</f>
        <v>0</v>
      </c>
      <c r="N601" s="139">
        <f>IF(AND('Ações'!$AD610="SIM", 'Ações'!AT610="SIM"), 1,0)</f>
        <v>0</v>
      </c>
      <c r="O601" s="139">
        <f>IF(AND('Ações'!$AD610="SIM", 'Ações'!AU610="SIM"), 1,0)</f>
        <v>0</v>
      </c>
      <c r="P601" s="139">
        <f>IF(AND('Ações'!$AD610="SIM", 'Ações'!AV610="SIM"), 1,0)</f>
        <v>0</v>
      </c>
      <c r="Q601" s="139">
        <f>IF(AND('Ações'!$AD610="SIM", 'Ações'!AW610="SIM"), 1,0)</f>
        <v>0</v>
      </c>
      <c r="R601" s="139">
        <f>IF(AND('Ações'!$AD610="SIM", 'Ações'!AX610="SIM"), 1,0)</f>
        <v>0</v>
      </c>
    </row>
    <row r="602">
      <c r="A602" s="139">
        <f>IF(AND('Ações'!AB611="SIM", 'Ações'!AS611="SIM"), 1,0)</f>
        <v>0</v>
      </c>
      <c r="B602" s="139">
        <f>IF(AND('Ações'!$AB611="SIM", 'Ações'!AT611="SIM"), 1,0)</f>
        <v>0</v>
      </c>
      <c r="C602" s="139">
        <f>IF(AND('Ações'!$AB611="SIM", 'Ações'!AU611="SIM"), 1,0)</f>
        <v>0</v>
      </c>
      <c r="D602" s="139">
        <f>IF(AND('Ações'!$AB611="SIM", 'Ações'!AV611="SIM"), 1,0)</f>
        <v>1</v>
      </c>
      <c r="E602" s="139">
        <f>IF(AND('Ações'!$AB611="SIM", 'Ações'!AW611="SIM"), 1,0)</f>
        <v>1</v>
      </c>
      <c r="F602" s="139">
        <f>IF(AND('Ações'!$AB611="SIM", 'Ações'!AX611="SIM"), 1,0)</f>
        <v>1</v>
      </c>
      <c r="G602" s="139">
        <f>IF(AND('Ações'!$AC611="SIM", 'Ações'!AS611="SIM"), 1,0)</f>
        <v>0</v>
      </c>
      <c r="H602" s="139">
        <f>IF(AND('Ações'!$AC611="SIM", 'Ações'!AT611="SIM"), 1,0)</f>
        <v>0</v>
      </c>
      <c r="I602" s="139">
        <f>IF(AND('Ações'!$AC611="SIM", 'Ações'!AU611="SIM"), 1,0)</f>
        <v>0</v>
      </c>
      <c r="J602" s="139">
        <f>IF(AND('Ações'!$AC611="SIM", 'Ações'!AV611="SIM"), 1,0)</f>
        <v>0</v>
      </c>
      <c r="K602" s="139">
        <f>IF(AND('Ações'!$AC611="SIM", 'Ações'!AW611="SIM"), 1,0)</f>
        <v>0</v>
      </c>
      <c r="L602" s="139">
        <f>IF(AND('Ações'!$AC611="SIM", 'Ações'!AX611="SIM"), 1,0)</f>
        <v>0</v>
      </c>
      <c r="M602" s="139">
        <f>IF(AND('Ações'!$AD611="SIM", 'Ações'!AS611="SIM"), 1,0)</f>
        <v>0</v>
      </c>
      <c r="N602" s="139">
        <f>IF(AND('Ações'!$AD611="SIM", 'Ações'!AT611="SIM"), 1,0)</f>
        <v>0</v>
      </c>
      <c r="O602" s="139">
        <f>IF(AND('Ações'!$AD611="SIM", 'Ações'!AU611="SIM"), 1,0)</f>
        <v>0</v>
      </c>
      <c r="P602" s="139">
        <f>IF(AND('Ações'!$AD611="SIM", 'Ações'!AV611="SIM"), 1,0)</f>
        <v>0</v>
      </c>
      <c r="Q602" s="139">
        <f>IF(AND('Ações'!$AD611="SIM", 'Ações'!AW611="SIM"), 1,0)</f>
        <v>0</v>
      </c>
      <c r="R602" s="139">
        <f>IF(AND('Ações'!$AD611="SIM", 'Ações'!AX611="SIM"), 1,0)</f>
        <v>0</v>
      </c>
    </row>
    <row r="603">
      <c r="A603" s="139">
        <f>IF(AND('Ações'!AB612="SIM", 'Ações'!AS612="SIM"), 1,0)</f>
        <v>0</v>
      </c>
      <c r="B603" s="139">
        <f>IF(AND('Ações'!$AB612="SIM", 'Ações'!AT612="SIM"), 1,0)</f>
        <v>0</v>
      </c>
      <c r="C603" s="139">
        <f>IF(AND('Ações'!$AB612="SIM", 'Ações'!AU612="SIM"), 1,0)</f>
        <v>0</v>
      </c>
      <c r="D603" s="139">
        <f>IF(AND('Ações'!$AB612="SIM", 'Ações'!AV612="SIM"), 1,0)</f>
        <v>1</v>
      </c>
      <c r="E603" s="139">
        <f>IF(AND('Ações'!$AB612="SIM", 'Ações'!AW612="SIM"), 1,0)</f>
        <v>1</v>
      </c>
      <c r="F603" s="139">
        <f>IF(AND('Ações'!$AB612="SIM", 'Ações'!AX612="SIM"), 1,0)</f>
        <v>1</v>
      </c>
      <c r="G603" s="139">
        <f>IF(AND('Ações'!$AC612="SIM", 'Ações'!AS612="SIM"), 1,0)</f>
        <v>0</v>
      </c>
      <c r="H603" s="139">
        <f>IF(AND('Ações'!$AC612="SIM", 'Ações'!AT612="SIM"), 1,0)</f>
        <v>0</v>
      </c>
      <c r="I603" s="139">
        <f>IF(AND('Ações'!$AC612="SIM", 'Ações'!AU612="SIM"), 1,0)</f>
        <v>0</v>
      </c>
      <c r="J603" s="139">
        <f>IF(AND('Ações'!$AC612="SIM", 'Ações'!AV612="SIM"), 1,0)</f>
        <v>1</v>
      </c>
      <c r="K603" s="139">
        <f>IF(AND('Ações'!$AC612="SIM", 'Ações'!AW612="SIM"), 1,0)</f>
        <v>1</v>
      </c>
      <c r="L603" s="139">
        <f>IF(AND('Ações'!$AC612="SIM", 'Ações'!AX612="SIM"), 1,0)</f>
        <v>1</v>
      </c>
      <c r="M603" s="139">
        <f>IF(AND('Ações'!$AD612="SIM", 'Ações'!AS612="SIM"), 1,0)</f>
        <v>0</v>
      </c>
      <c r="N603" s="139">
        <f>IF(AND('Ações'!$AD612="SIM", 'Ações'!AT612="SIM"), 1,0)</f>
        <v>0</v>
      </c>
      <c r="O603" s="139">
        <f>IF(AND('Ações'!$AD612="SIM", 'Ações'!AU612="SIM"), 1,0)</f>
        <v>0</v>
      </c>
      <c r="P603" s="139">
        <f>IF(AND('Ações'!$AD612="SIM", 'Ações'!AV612="SIM"), 1,0)</f>
        <v>0</v>
      </c>
      <c r="Q603" s="139">
        <f>IF(AND('Ações'!$AD612="SIM", 'Ações'!AW612="SIM"), 1,0)</f>
        <v>0</v>
      </c>
      <c r="R603" s="139">
        <f>IF(AND('Ações'!$AD612="SIM", 'Ações'!AX612="SIM"), 1,0)</f>
        <v>0</v>
      </c>
    </row>
    <row r="604">
      <c r="A604" s="139">
        <f>IF(AND('Ações'!AB613="SIM", 'Ações'!AS613="SIM"), 1,0)</f>
        <v>0</v>
      </c>
      <c r="B604" s="139">
        <f>IF(AND('Ações'!$AB613="SIM", 'Ações'!AT613="SIM"), 1,0)</f>
        <v>0</v>
      </c>
      <c r="C604" s="139">
        <f>IF(AND('Ações'!$AB613="SIM", 'Ações'!AU613="SIM"), 1,0)</f>
        <v>0</v>
      </c>
      <c r="D604" s="139">
        <f>IF(AND('Ações'!$AB613="SIM", 'Ações'!AV613="SIM"), 1,0)</f>
        <v>1</v>
      </c>
      <c r="E604" s="139">
        <f>IF(AND('Ações'!$AB613="SIM", 'Ações'!AW613="SIM"), 1,0)</f>
        <v>1</v>
      </c>
      <c r="F604" s="139">
        <f>IF(AND('Ações'!$AB613="SIM", 'Ações'!AX613="SIM"), 1,0)</f>
        <v>1</v>
      </c>
      <c r="G604" s="139">
        <f>IF(AND('Ações'!$AC613="SIM", 'Ações'!AS613="SIM"), 1,0)</f>
        <v>0</v>
      </c>
      <c r="H604" s="139">
        <f>IF(AND('Ações'!$AC613="SIM", 'Ações'!AT613="SIM"), 1,0)</f>
        <v>0</v>
      </c>
      <c r="I604" s="139">
        <f>IF(AND('Ações'!$AC613="SIM", 'Ações'!AU613="SIM"), 1,0)</f>
        <v>0</v>
      </c>
      <c r="J604" s="139">
        <f>IF(AND('Ações'!$AC613="SIM", 'Ações'!AV613="SIM"), 1,0)</f>
        <v>1</v>
      </c>
      <c r="K604" s="139">
        <f>IF(AND('Ações'!$AC613="SIM", 'Ações'!AW613="SIM"), 1,0)</f>
        <v>1</v>
      </c>
      <c r="L604" s="139">
        <f>IF(AND('Ações'!$AC613="SIM", 'Ações'!AX613="SIM"), 1,0)</f>
        <v>1</v>
      </c>
      <c r="M604" s="139">
        <f>IF(AND('Ações'!$AD613="SIM", 'Ações'!AS613="SIM"), 1,0)</f>
        <v>0</v>
      </c>
      <c r="N604" s="139">
        <f>IF(AND('Ações'!$AD613="SIM", 'Ações'!AT613="SIM"), 1,0)</f>
        <v>0</v>
      </c>
      <c r="O604" s="139">
        <f>IF(AND('Ações'!$AD613="SIM", 'Ações'!AU613="SIM"), 1,0)</f>
        <v>0</v>
      </c>
      <c r="P604" s="139">
        <f>IF(AND('Ações'!$AD613="SIM", 'Ações'!AV613="SIM"), 1,0)</f>
        <v>0</v>
      </c>
      <c r="Q604" s="139">
        <f>IF(AND('Ações'!$AD613="SIM", 'Ações'!AW613="SIM"), 1,0)</f>
        <v>0</v>
      </c>
      <c r="R604" s="139">
        <f>IF(AND('Ações'!$AD613="SIM", 'Ações'!AX613="SIM"), 1,0)</f>
        <v>0</v>
      </c>
    </row>
    <row r="605">
      <c r="A605" s="139">
        <f>IF(AND('Ações'!AB614="SIM", 'Ações'!AS614="SIM"), 1,0)</f>
        <v>0</v>
      </c>
      <c r="B605" s="139">
        <f>IF(AND('Ações'!$AB614="SIM", 'Ações'!AT614="SIM"), 1,0)</f>
        <v>0</v>
      </c>
      <c r="C605" s="139">
        <f>IF(AND('Ações'!$AB614="SIM", 'Ações'!AU614="SIM"), 1,0)</f>
        <v>0</v>
      </c>
      <c r="D605" s="139">
        <f>IF(AND('Ações'!$AB614="SIM", 'Ações'!AV614="SIM"), 1,0)</f>
        <v>1</v>
      </c>
      <c r="E605" s="139">
        <f>IF(AND('Ações'!$AB614="SIM", 'Ações'!AW614="SIM"), 1,0)</f>
        <v>1</v>
      </c>
      <c r="F605" s="139">
        <f>IF(AND('Ações'!$AB614="SIM", 'Ações'!AX614="SIM"), 1,0)</f>
        <v>1</v>
      </c>
      <c r="G605" s="139">
        <f>IF(AND('Ações'!$AC614="SIM", 'Ações'!AS614="SIM"), 1,0)</f>
        <v>0</v>
      </c>
      <c r="H605" s="139">
        <f>IF(AND('Ações'!$AC614="SIM", 'Ações'!AT614="SIM"), 1,0)</f>
        <v>0</v>
      </c>
      <c r="I605" s="139">
        <f>IF(AND('Ações'!$AC614="SIM", 'Ações'!AU614="SIM"), 1,0)</f>
        <v>0</v>
      </c>
      <c r="J605" s="139">
        <f>IF(AND('Ações'!$AC614="SIM", 'Ações'!AV614="SIM"), 1,0)</f>
        <v>1</v>
      </c>
      <c r="K605" s="139">
        <f>IF(AND('Ações'!$AC614="SIM", 'Ações'!AW614="SIM"), 1,0)</f>
        <v>1</v>
      </c>
      <c r="L605" s="139">
        <f>IF(AND('Ações'!$AC614="SIM", 'Ações'!AX614="SIM"), 1,0)</f>
        <v>1</v>
      </c>
      <c r="M605" s="139">
        <f>IF(AND('Ações'!$AD614="SIM", 'Ações'!AS614="SIM"), 1,0)</f>
        <v>0</v>
      </c>
      <c r="N605" s="139">
        <f>IF(AND('Ações'!$AD614="SIM", 'Ações'!AT614="SIM"), 1,0)</f>
        <v>0</v>
      </c>
      <c r="O605" s="139">
        <f>IF(AND('Ações'!$AD614="SIM", 'Ações'!AU614="SIM"), 1,0)</f>
        <v>0</v>
      </c>
      <c r="P605" s="139">
        <f>IF(AND('Ações'!$AD614="SIM", 'Ações'!AV614="SIM"), 1,0)</f>
        <v>0</v>
      </c>
      <c r="Q605" s="139">
        <f>IF(AND('Ações'!$AD614="SIM", 'Ações'!AW614="SIM"), 1,0)</f>
        <v>0</v>
      </c>
      <c r="R605" s="139">
        <f>IF(AND('Ações'!$AD614="SIM", 'Ações'!AX614="SIM"), 1,0)</f>
        <v>0</v>
      </c>
    </row>
    <row r="606">
      <c r="A606" s="139">
        <f>IF(AND('Ações'!AB615="SIM", 'Ações'!AS615="SIM"), 1,0)</f>
        <v>0</v>
      </c>
      <c r="B606" s="139">
        <f>IF(AND('Ações'!$AB615="SIM", 'Ações'!AT615="SIM"), 1,0)</f>
        <v>0</v>
      </c>
      <c r="C606" s="139">
        <f>IF(AND('Ações'!$AB615="SIM", 'Ações'!AU615="SIM"), 1,0)</f>
        <v>0</v>
      </c>
      <c r="D606" s="139">
        <f>IF(AND('Ações'!$AB615="SIM", 'Ações'!AV615="SIM"), 1,0)</f>
        <v>1</v>
      </c>
      <c r="E606" s="139">
        <f>IF(AND('Ações'!$AB615="SIM", 'Ações'!AW615="SIM"), 1,0)</f>
        <v>1</v>
      </c>
      <c r="F606" s="139">
        <f>IF(AND('Ações'!$AB615="SIM", 'Ações'!AX615="SIM"), 1,0)</f>
        <v>1</v>
      </c>
      <c r="G606" s="139">
        <f>IF(AND('Ações'!$AC615="SIM", 'Ações'!AS615="SIM"), 1,0)</f>
        <v>0</v>
      </c>
      <c r="H606" s="139">
        <f>IF(AND('Ações'!$AC615="SIM", 'Ações'!AT615="SIM"), 1,0)</f>
        <v>0</v>
      </c>
      <c r="I606" s="139">
        <f>IF(AND('Ações'!$AC615="SIM", 'Ações'!AU615="SIM"), 1,0)</f>
        <v>0</v>
      </c>
      <c r="J606" s="139">
        <f>IF(AND('Ações'!$AC615="SIM", 'Ações'!AV615="SIM"), 1,0)</f>
        <v>1</v>
      </c>
      <c r="K606" s="139">
        <f>IF(AND('Ações'!$AC615="SIM", 'Ações'!AW615="SIM"), 1,0)</f>
        <v>1</v>
      </c>
      <c r="L606" s="139">
        <f>IF(AND('Ações'!$AC615="SIM", 'Ações'!AX615="SIM"), 1,0)</f>
        <v>1</v>
      </c>
      <c r="M606" s="139">
        <f>IF(AND('Ações'!$AD615="SIM", 'Ações'!AS615="SIM"), 1,0)</f>
        <v>0</v>
      </c>
      <c r="N606" s="139">
        <f>IF(AND('Ações'!$AD615="SIM", 'Ações'!AT615="SIM"), 1,0)</f>
        <v>0</v>
      </c>
      <c r="O606" s="139">
        <f>IF(AND('Ações'!$AD615="SIM", 'Ações'!AU615="SIM"), 1,0)</f>
        <v>0</v>
      </c>
      <c r="P606" s="139">
        <f>IF(AND('Ações'!$AD615="SIM", 'Ações'!AV615="SIM"), 1,0)</f>
        <v>0</v>
      </c>
      <c r="Q606" s="139">
        <f>IF(AND('Ações'!$AD615="SIM", 'Ações'!AW615="SIM"), 1,0)</f>
        <v>0</v>
      </c>
      <c r="R606" s="139">
        <f>IF(AND('Ações'!$AD615="SIM", 'Ações'!AX615="SIM"), 1,0)</f>
        <v>0</v>
      </c>
    </row>
    <row r="607">
      <c r="A607" s="139" t="str">
        <f t="shared" ref="A607:R607" si="7">IF(AND(#REF!="SIM", #REF!="SIM"), 1,0)</f>
        <v>#REF!</v>
      </c>
      <c r="B607" s="139" t="str">
        <f t="shared" si="7"/>
        <v>#REF!</v>
      </c>
      <c r="C607" s="139" t="str">
        <f t="shared" si="7"/>
        <v>#REF!</v>
      </c>
      <c r="D607" s="139" t="str">
        <f t="shared" si="7"/>
        <v>#REF!</v>
      </c>
      <c r="E607" s="139" t="str">
        <f t="shared" si="7"/>
        <v>#REF!</v>
      </c>
      <c r="F607" s="139" t="str">
        <f t="shared" si="7"/>
        <v>#REF!</v>
      </c>
      <c r="G607" s="139" t="str">
        <f t="shared" si="7"/>
        <v>#REF!</v>
      </c>
      <c r="H607" s="139" t="str">
        <f t="shared" si="7"/>
        <v>#REF!</v>
      </c>
      <c r="I607" s="139" t="str">
        <f t="shared" si="7"/>
        <v>#REF!</v>
      </c>
      <c r="J607" s="139" t="str">
        <f t="shared" si="7"/>
        <v>#REF!</v>
      </c>
      <c r="K607" s="139" t="str">
        <f t="shared" si="7"/>
        <v>#REF!</v>
      </c>
      <c r="L607" s="139" t="str">
        <f t="shared" si="7"/>
        <v>#REF!</v>
      </c>
      <c r="M607" s="139" t="str">
        <f t="shared" si="7"/>
        <v>#REF!</v>
      </c>
      <c r="N607" s="139" t="str">
        <f t="shared" si="7"/>
        <v>#REF!</v>
      </c>
      <c r="O607" s="139" t="str">
        <f t="shared" si="7"/>
        <v>#REF!</v>
      </c>
      <c r="P607" s="139" t="str">
        <f t="shared" si="7"/>
        <v>#REF!</v>
      </c>
      <c r="Q607" s="139" t="str">
        <f t="shared" si="7"/>
        <v>#REF!</v>
      </c>
      <c r="R607" s="139" t="str">
        <f t="shared" si="7"/>
        <v>#REF!</v>
      </c>
    </row>
    <row r="608">
      <c r="A608" s="139">
        <f>IF(AND('Ações'!AB616="SIM", 'Ações'!AS616="SIM"), 1,0)</f>
        <v>0</v>
      </c>
      <c r="B608" s="139">
        <f>IF(AND('Ações'!$AB616="SIM", 'Ações'!AT616="SIM"), 1,0)</f>
        <v>0</v>
      </c>
      <c r="C608" s="139">
        <f>IF(AND('Ações'!$AB616="SIM", 'Ações'!AU616="SIM"), 1,0)</f>
        <v>0</v>
      </c>
      <c r="D608" s="139">
        <f>IF(AND('Ações'!$AB616="SIM", 'Ações'!AV616="SIM"), 1,0)</f>
        <v>1</v>
      </c>
      <c r="E608" s="139">
        <f>IF(AND('Ações'!$AB616="SIM", 'Ações'!AW616="SIM"), 1,0)</f>
        <v>1</v>
      </c>
      <c r="F608" s="139">
        <f>IF(AND('Ações'!$AB616="SIM", 'Ações'!AX616="SIM"), 1,0)</f>
        <v>1</v>
      </c>
      <c r="G608" s="139">
        <f>IF(AND('Ações'!$AC616="SIM", 'Ações'!AS616="SIM"), 1,0)</f>
        <v>0</v>
      </c>
      <c r="H608" s="139">
        <f>IF(AND('Ações'!$AC616="SIM", 'Ações'!AT616="SIM"), 1,0)</f>
        <v>0</v>
      </c>
      <c r="I608" s="139">
        <f>IF(AND('Ações'!$AC616="SIM", 'Ações'!AU616="SIM"), 1,0)</f>
        <v>0</v>
      </c>
      <c r="J608" s="139">
        <f>IF(AND('Ações'!$AC616="SIM", 'Ações'!AV616="SIM"), 1,0)</f>
        <v>0</v>
      </c>
      <c r="K608" s="139">
        <f>IF(AND('Ações'!$AC616="SIM", 'Ações'!AW616="SIM"), 1,0)</f>
        <v>0</v>
      </c>
      <c r="L608" s="139">
        <f>IF(AND('Ações'!$AC616="SIM", 'Ações'!AX616="SIM"), 1,0)</f>
        <v>0</v>
      </c>
      <c r="M608" s="139">
        <f>IF(AND('Ações'!$AD616="SIM", 'Ações'!AS616="SIM"), 1,0)</f>
        <v>0</v>
      </c>
      <c r="N608" s="139">
        <f>IF(AND('Ações'!$AD616="SIM", 'Ações'!AT616="SIM"), 1,0)</f>
        <v>0</v>
      </c>
      <c r="O608" s="139">
        <f>IF(AND('Ações'!$AD616="SIM", 'Ações'!AU616="SIM"), 1,0)</f>
        <v>0</v>
      </c>
      <c r="P608" s="139">
        <f>IF(AND('Ações'!$AD616="SIM", 'Ações'!AV616="SIM"), 1,0)</f>
        <v>0</v>
      </c>
      <c r="Q608" s="139">
        <f>IF(AND('Ações'!$AD616="SIM", 'Ações'!AW616="SIM"), 1,0)</f>
        <v>0</v>
      </c>
      <c r="R608" s="139">
        <f>IF(AND('Ações'!$AD616="SIM", 'Ações'!AX616="SIM"), 1,0)</f>
        <v>0</v>
      </c>
    </row>
    <row r="609">
      <c r="A609" s="139">
        <f>IF(AND('Ações'!AB617="SIM", 'Ações'!AS617="SIM"), 1,0)</f>
        <v>0</v>
      </c>
      <c r="B609" s="139">
        <f>IF(AND('Ações'!$AB617="SIM", 'Ações'!AT617="SIM"), 1,0)</f>
        <v>0</v>
      </c>
      <c r="C609" s="139">
        <f>IF(AND('Ações'!$AB617="SIM", 'Ações'!AU617="SIM"), 1,0)</f>
        <v>0</v>
      </c>
      <c r="D609" s="139">
        <f>IF(AND('Ações'!$AB617="SIM", 'Ações'!AV617="SIM"), 1,0)</f>
        <v>1</v>
      </c>
      <c r="E609" s="139">
        <f>IF(AND('Ações'!$AB617="SIM", 'Ações'!AW617="SIM"), 1,0)</f>
        <v>1</v>
      </c>
      <c r="F609" s="139">
        <f>IF(AND('Ações'!$AB617="SIM", 'Ações'!AX617="SIM"), 1,0)</f>
        <v>1</v>
      </c>
      <c r="G609" s="139">
        <f>IF(AND('Ações'!$AC617="SIM", 'Ações'!AS617="SIM"), 1,0)</f>
        <v>0</v>
      </c>
      <c r="H609" s="139">
        <f>IF(AND('Ações'!$AC617="SIM", 'Ações'!AT617="SIM"), 1,0)</f>
        <v>0</v>
      </c>
      <c r="I609" s="139">
        <f>IF(AND('Ações'!$AC617="SIM", 'Ações'!AU617="SIM"), 1,0)</f>
        <v>0</v>
      </c>
      <c r="J609" s="139">
        <f>IF(AND('Ações'!$AC617="SIM", 'Ações'!AV617="SIM"), 1,0)</f>
        <v>0</v>
      </c>
      <c r="K609" s="139">
        <f>IF(AND('Ações'!$AC617="SIM", 'Ações'!AW617="SIM"), 1,0)</f>
        <v>0</v>
      </c>
      <c r="L609" s="139">
        <f>IF(AND('Ações'!$AC617="SIM", 'Ações'!AX617="SIM"), 1,0)</f>
        <v>0</v>
      </c>
      <c r="M609" s="139">
        <f>IF(AND('Ações'!$AD617="SIM", 'Ações'!AS617="SIM"), 1,0)</f>
        <v>0</v>
      </c>
      <c r="N609" s="139">
        <f>IF(AND('Ações'!$AD617="SIM", 'Ações'!AT617="SIM"), 1,0)</f>
        <v>0</v>
      </c>
      <c r="O609" s="139">
        <f>IF(AND('Ações'!$AD617="SIM", 'Ações'!AU617="SIM"), 1,0)</f>
        <v>0</v>
      </c>
      <c r="P609" s="139">
        <f>IF(AND('Ações'!$AD617="SIM", 'Ações'!AV617="SIM"), 1,0)</f>
        <v>0</v>
      </c>
      <c r="Q609" s="139">
        <f>IF(AND('Ações'!$AD617="SIM", 'Ações'!AW617="SIM"), 1,0)</f>
        <v>0</v>
      </c>
      <c r="R609" s="139">
        <f>IF(AND('Ações'!$AD617="SIM", 'Ações'!AX617="SIM"), 1,0)</f>
        <v>0</v>
      </c>
    </row>
    <row r="610">
      <c r="A610" s="139">
        <f>IF(AND('Ações'!AB618="SIM", 'Ações'!AS618="SIM"), 1,0)</f>
        <v>0</v>
      </c>
      <c r="B610" s="139">
        <f>IF(AND('Ações'!$AB618="SIM", 'Ações'!AT618="SIM"), 1,0)</f>
        <v>0</v>
      </c>
      <c r="C610" s="139">
        <f>IF(AND('Ações'!$AB618="SIM", 'Ações'!AU618="SIM"), 1,0)</f>
        <v>0</v>
      </c>
      <c r="D610" s="139">
        <f>IF(AND('Ações'!$AB618="SIM", 'Ações'!AV618="SIM"), 1,0)</f>
        <v>1</v>
      </c>
      <c r="E610" s="139">
        <f>IF(AND('Ações'!$AB618="SIM", 'Ações'!AW618="SIM"), 1,0)</f>
        <v>1</v>
      </c>
      <c r="F610" s="139">
        <f>IF(AND('Ações'!$AB618="SIM", 'Ações'!AX618="SIM"), 1,0)</f>
        <v>1</v>
      </c>
      <c r="G610" s="139">
        <f>IF(AND('Ações'!$AC618="SIM", 'Ações'!AS618="SIM"), 1,0)</f>
        <v>0</v>
      </c>
      <c r="H610" s="139">
        <f>IF(AND('Ações'!$AC618="SIM", 'Ações'!AT618="SIM"), 1,0)</f>
        <v>0</v>
      </c>
      <c r="I610" s="139">
        <f>IF(AND('Ações'!$AC618="SIM", 'Ações'!AU618="SIM"), 1,0)</f>
        <v>0</v>
      </c>
      <c r="J610" s="139">
        <f>IF(AND('Ações'!$AC618="SIM", 'Ações'!AV618="SIM"), 1,0)</f>
        <v>0</v>
      </c>
      <c r="K610" s="139">
        <f>IF(AND('Ações'!$AC618="SIM", 'Ações'!AW618="SIM"), 1,0)</f>
        <v>0</v>
      </c>
      <c r="L610" s="139">
        <f>IF(AND('Ações'!$AC618="SIM", 'Ações'!AX618="SIM"), 1,0)</f>
        <v>0</v>
      </c>
      <c r="M610" s="139">
        <f>IF(AND('Ações'!$AD618="SIM", 'Ações'!AS618="SIM"), 1,0)</f>
        <v>0</v>
      </c>
      <c r="N610" s="139">
        <f>IF(AND('Ações'!$AD618="SIM", 'Ações'!AT618="SIM"), 1,0)</f>
        <v>0</v>
      </c>
      <c r="O610" s="139">
        <f>IF(AND('Ações'!$AD618="SIM", 'Ações'!AU618="SIM"), 1,0)</f>
        <v>0</v>
      </c>
      <c r="P610" s="139">
        <f>IF(AND('Ações'!$AD618="SIM", 'Ações'!AV618="SIM"), 1,0)</f>
        <v>0</v>
      </c>
      <c r="Q610" s="139">
        <f>IF(AND('Ações'!$AD618="SIM", 'Ações'!AW618="SIM"), 1,0)</f>
        <v>0</v>
      </c>
      <c r="R610" s="139">
        <f>IF(AND('Ações'!$AD618="SIM", 'Ações'!AX618="SIM"), 1,0)</f>
        <v>0</v>
      </c>
    </row>
    <row r="611">
      <c r="A611" s="139">
        <f>IF(AND('Ações'!AB619="SIM", 'Ações'!AS619="SIM"), 1,0)</f>
        <v>0</v>
      </c>
      <c r="B611" s="139">
        <f>IF(AND('Ações'!$AB619="SIM", 'Ações'!AT619="SIM"), 1,0)</f>
        <v>0</v>
      </c>
      <c r="C611" s="139">
        <f>IF(AND('Ações'!$AB619="SIM", 'Ações'!AU619="SIM"), 1,0)</f>
        <v>0</v>
      </c>
      <c r="D611" s="139">
        <f>IF(AND('Ações'!$AB619="SIM", 'Ações'!AV619="SIM"), 1,0)</f>
        <v>1</v>
      </c>
      <c r="E611" s="139">
        <f>IF(AND('Ações'!$AB619="SIM", 'Ações'!AW619="SIM"), 1,0)</f>
        <v>1</v>
      </c>
      <c r="F611" s="139">
        <f>IF(AND('Ações'!$AB619="SIM", 'Ações'!AX619="SIM"), 1,0)</f>
        <v>1</v>
      </c>
      <c r="G611" s="139">
        <f>IF(AND('Ações'!$AC619="SIM", 'Ações'!AS619="SIM"), 1,0)</f>
        <v>0</v>
      </c>
      <c r="H611" s="139">
        <f>IF(AND('Ações'!$AC619="SIM", 'Ações'!AT619="SIM"), 1,0)</f>
        <v>0</v>
      </c>
      <c r="I611" s="139">
        <f>IF(AND('Ações'!$AC619="SIM", 'Ações'!AU619="SIM"), 1,0)</f>
        <v>0</v>
      </c>
      <c r="J611" s="139">
        <f>IF(AND('Ações'!$AC619="SIM", 'Ações'!AV619="SIM"), 1,0)</f>
        <v>1</v>
      </c>
      <c r="K611" s="139">
        <f>IF(AND('Ações'!$AC619="SIM", 'Ações'!AW619="SIM"), 1,0)</f>
        <v>1</v>
      </c>
      <c r="L611" s="139">
        <f>IF(AND('Ações'!$AC619="SIM", 'Ações'!AX619="SIM"), 1,0)</f>
        <v>1</v>
      </c>
      <c r="M611" s="139">
        <f>IF(AND('Ações'!$AD619="SIM", 'Ações'!AS619="SIM"), 1,0)</f>
        <v>0</v>
      </c>
      <c r="N611" s="139">
        <f>IF(AND('Ações'!$AD619="SIM", 'Ações'!AT619="SIM"), 1,0)</f>
        <v>0</v>
      </c>
      <c r="O611" s="139">
        <f>IF(AND('Ações'!$AD619="SIM", 'Ações'!AU619="SIM"), 1,0)</f>
        <v>0</v>
      </c>
      <c r="P611" s="139">
        <f>IF(AND('Ações'!$AD619="SIM", 'Ações'!AV619="SIM"), 1,0)</f>
        <v>0</v>
      </c>
      <c r="Q611" s="139">
        <f>IF(AND('Ações'!$AD619="SIM", 'Ações'!AW619="SIM"), 1,0)</f>
        <v>0</v>
      </c>
      <c r="R611" s="139">
        <f>IF(AND('Ações'!$AD619="SIM", 'Ações'!AX619="SIM"), 1,0)</f>
        <v>0</v>
      </c>
    </row>
    <row r="612">
      <c r="A612" s="139">
        <f>IF(AND('Ações'!AB620="SIM", 'Ações'!AS620="SIM"), 1,0)</f>
        <v>0</v>
      </c>
      <c r="B612" s="139">
        <f>IF(AND('Ações'!$AB620="SIM", 'Ações'!AT620="SIM"), 1,0)</f>
        <v>0</v>
      </c>
      <c r="C612" s="139">
        <f>IF(AND('Ações'!$AB620="SIM", 'Ações'!AU620="SIM"), 1,0)</f>
        <v>0</v>
      </c>
      <c r="D612" s="139">
        <f>IF(AND('Ações'!$AB620="SIM", 'Ações'!AV620="SIM"), 1,0)</f>
        <v>0</v>
      </c>
      <c r="E612" s="139">
        <f>IF(AND('Ações'!$AB620="SIM", 'Ações'!AW620="SIM"), 1,0)</f>
        <v>0</v>
      </c>
      <c r="F612" s="139">
        <f>IF(AND('Ações'!$AB620="SIM", 'Ações'!AX620="SIM"), 1,0)</f>
        <v>0</v>
      </c>
      <c r="G612" s="139">
        <f>IF(AND('Ações'!$AC620="SIM", 'Ações'!AS620="SIM"), 1,0)</f>
        <v>0</v>
      </c>
      <c r="H612" s="139">
        <f>IF(AND('Ações'!$AC620="SIM", 'Ações'!AT620="SIM"), 1,0)</f>
        <v>0</v>
      </c>
      <c r="I612" s="139">
        <f>IF(AND('Ações'!$AC620="SIM", 'Ações'!AU620="SIM"), 1,0)</f>
        <v>0</v>
      </c>
      <c r="J612" s="139">
        <f>IF(AND('Ações'!$AC620="SIM", 'Ações'!AV620="SIM"), 1,0)</f>
        <v>1</v>
      </c>
      <c r="K612" s="139">
        <f>IF(AND('Ações'!$AC620="SIM", 'Ações'!AW620="SIM"), 1,0)</f>
        <v>1</v>
      </c>
      <c r="L612" s="139">
        <f>IF(AND('Ações'!$AC620="SIM", 'Ações'!AX620="SIM"), 1,0)</f>
        <v>1</v>
      </c>
      <c r="M612" s="139">
        <f>IF(AND('Ações'!$AD620="SIM", 'Ações'!AS620="SIM"), 1,0)</f>
        <v>0</v>
      </c>
      <c r="N612" s="139">
        <f>IF(AND('Ações'!$AD620="SIM", 'Ações'!AT620="SIM"), 1,0)</f>
        <v>0</v>
      </c>
      <c r="O612" s="139">
        <f>IF(AND('Ações'!$AD620="SIM", 'Ações'!AU620="SIM"), 1,0)</f>
        <v>0</v>
      </c>
      <c r="P612" s="139">
        <f>IF(AND('Ações'!$AD620="SIM", 'Ações'!AV620="SIM"), 1,0)</f>
        <v>1</v>
      </c>
      <c r="Q612" s="139">
        <f>IF(AND('Ações'!$AD620="SIM", 'Ações'!AW620="SIM"), 1,0)</f>
        <v>1</v>
      </c>
      <c r="R612" s="139">
        <f>IF(AND('Ações'!$AD620="SIM", 'Ações'!AX620="SIM"), 1,0)</f>
        <v>1</v>
      </c>
    </row>
    <row r="613">
      <c r="A613" s="139">
        <f>IF(AND('Ações'!AB621="SIM", 'Ações'!AS621="SIM"), 1,0)</f>
        <v>0</v>
      </c>
      <c r="B613" s="139">
        <f>IF(AND('Ações'!$AB621="SIM", 'Ações'!AT621="SIM"), 1,0)</f>
        <v>0</v>
      </c>
      <c r="C613" s="139">
        <f>IF(AND('Ações'!$AB621="SIM", 'Ações'!AU621="SIM"), 1,0)</f>
        <v>0</v>
      </c>
      <c r="D613" s="139">
        <f>IF(AND('Ações'!$AB621="SIM", 'Ações'!AV621="SIM"), 1,0)</f>
        <v>1</v>
      </c>
      <c r="E613" s="139">
        <f>IF(AND('Ações'!$AB621="SIM", 'Ações'!AW621="SIM"), 1,0)</f>
        <v>1</v>
      </c>
      <c r="F613" s="139">
        <f>IF(AND('Ações'!$AB621="SIM", 'Ações'!AX621="SIM"), 1,0)</f>
        <v>1</v>
      </c>
      <c r="G613" s="139">
        <f>IF(AND('Ações'!$AC621="SIM", 'Ações'!AS621="SIM"), 1,0)</f>
        <v>0</v>
      </c>
      <c r="H613" s="139">
        <f>IF(AND('Ações'!$AC621="SIM", 'Ações'!AT621="SIM"), 1,0)</f>
        <v>0</v>
      </c>
      <c r="I613" s="139">
        <f>IF(AND('Ações'!$AC621="SIM", 'Ações'!AU621="SIM"), 1,0)</f>
        <v>0</v>
      </c>
      <c r="J613" s="139">
        <f>IF(AND('Ações'!$AC621="SIM", 'Ações'!AV621="SIM"), 1,0)</f>
        <v>0</v>
      </c>
      <c r="K613" s="139">
        <f>IF(AND('Ações'!$AC621="SIM", 'Ações'!AW621="SIM"), 1,0)</f>
        <v>0</v>
      </c>
      <c r="L613" s="139">
        <f>IF(AND('Ações'!$AC621="SIM", 'Ações'!AX621="SIM"), 1,0)</f>
        <v>0</v>
      </c>
      <c r="M613" s="139">
        <f>IF(AND('Ações'!$AD621="SIM", 'Ações'!AS621="SIM"), 1,0)</f>
        <v>0</v>
      </c>
      <c r="N613" s="139">
        <f>IF(AND('Ações'!$AD621="SIM", 'Ações'!AT621="SIM"), 1,0)</f>
        <v>0</v>
      </c>
      <c r="O613" s="139">
        <f>IF(AND('Ações'!$AD621="SIM", 'Ações'!AU621="SIM"), 1,0)</f>
        <v>0</v>
      </c>
      <c r="P613" s="139">
        <f>IF(AND('Ações'!$AD621="SIM", 'Ações'!AV621="SIM"), 1,0)</f>
        <v>0</v>
      </c>
      <c r="Q613" s="139">
        <f>IF(AND('Ações'!$AD621="SIM", 'Ações'!AW621="SIM"), 1,0)</f>
        <v>0</v>
      </c>
      <c r="R613" s="139">
        <f>IF(AND('Ações'!$AD621="SIM", 'Ações'!AX621="SIM"), 1,0)</f>
        <v>0</v>
      </c>
    </row>
    <row r="614">
      <c r="A614" s="139">
        <f>IF(AND('Ações'!AB622="SIM", 'Ações'!AS622="SIM"), 1,0)</f>
        <v>0</v>
      </c>
      <c r="B614" s="139">
        <f>IF(AND('Ações'!$AB622="SIM", 'Ações'!AT622="SIM"), 1,0)</f>
        <v>0</v>
      </c>
      <c r="C614" s="139">
        <f>IF(AND('Ações'!$AB622="SIM", 'Ações'!AU622="SIM"), 1,0)</f>
        <v>0</v>
      </c>
      <c r="D614" s="139">
        <f>IF(AND('Ações'!$AB622="SIM", 'Ações'!AV622="SIM"), 1,0)</f>
        <v>0</v>
      </c>
      <c r="E614" s="139">
        <f>IF(AND('Ações'!$AB622="SIM", 'Ações'!AW622="SIM"), 1,0)</f>
        <v>0</v>
      </c>
      <c r="F614" s="139">
        <f>IF(AND('Ações'!$AB622="SIM", 'Ações'!AX622="SIM"), 1,0)</f>
        <v>0</v>
      </c>
      <c r="G614" s="139">
        <f>IF(AND('Ações'!$AC622="SIM", 'Ações'!AS622="SIM"), 1,0)</f>
        <v>0</v>
      </c>
      <c r="H614" s="139">
        <f>IF(AND('Ações'!$AC622="SIM", 'Ações'!AT622="SIM"), 1,0)</f>
        <v>0</v>
      </c>
      <c r="I614" s="139">
        <f>IF(AND('Ações'!$AC622="SIM", 'Ações'!AU622="SIM"), 1,0)</f>
        <v>0</v>
      </c>
      <c r="J614" s="139">
        <f>IF(AND('Ações'!$AC622="SIM", 'Ações'!AV622="SIM"), 1,0)</f>
        <v>1</v>
      </c>
      <c r="K614" s="139">
        <f>IF(AND('Ações'!$AC622="SIM", 'Ações'!AW622="SIM"), 1,0)</f>
        <v>1</v>
      </c>
      <c r="L614" s="139">
        <f>IF(AND('Ações'!$AC622="SIM", 'Ações'!AX622="SIM"), 1,0)</f>
        <v>1</v>
      </c>
      <c r="M614" s="139">
        <f>IF(AND('Ações'!$AD622="SIM", 'Ações'!AS622="SIM"), 1,0)</f>
        <v>0</v>
      </c>
      <c r="N614" s="139">
        <f>IF(AND('Ações'!$AD622="SIM", 'Ações'!AT622="SIM"), 1,0)</f>
        <v>0</v>
      </c>
      <c r="O614" s="139">
        <f>IF(AND('Ações'!$AD622="SIM", 'Ações'!AU622="SIM"), 1,0)</f>
        <v>0</v>
      </c>
      <c r="P614" s="139">
        <f>IF(AND('Ações'!$AD622="SIM", 'Ações'!AV622="SIM"), 1,0)</f>
        <v>0</v>
      </c>
      <c r="Q614" s="139">
        <f>IF(AND('Ações'!$AD622="SIM", 'Ações'!AW622="SIM"), 1,0)</f>
        <v>0</v>
      </c>
      <c r="R614" s="139">
        <f>IF(AND('Ações'!$AD622="SIM", 'Ações'!AX622="SIM"), 1,0)</f>
        <v>0</v>
      </c>
    </row>
    <row r="615">
      <c r="A615" s="139">
        <f>IF(AND('Ações'!AB623="SIM", 'Ações'!AS623="SIM"), 1,0)</f>
        <v>0</v>
      </c>
      <c r="B615" s="139">
        <f>IF(AND('Ações'!$AB623="SIM", 'Ações'!AT623="SIM"), 1,0)</f>
        <v>0</v>
      </c>
      <c r="C615" s="139">
        <f>IF(AND('Ações'!$AB623="SIM", 'Ações'!AU623="SIM"), 1,0)</f>
        <v>0</v>
      </c>
      <c r="D615" s="139">
        <f>IF(AND('Ações'!$AB623="SIM", 'Ações'!AV623="SIM"), 1,0)</f>
        <v>1</v>
      </c>
      <c r="E615" s="139">
        <f>IF(AND('Ações'!$AB623="SIM", 'Ações'!AW623="SIM"), 1,0)</f>
        <v>1</v>
      </c>
      <c r="F615" s="139">
        <f>IF(AND('Ações'!$AB623="SIM", 'Ações'!AX623="SIM"), 1,0)</f>
        <v>1</v>
      </c>
      <c r="G615" s="139">
        <f>IF(AND('Ações'!$AC623="SIM", 'Ações'!AS623="SIM"), 1,0)</f>
        <v>0</v>
      </c>
      <c r="H615" s="139">
        <f>IF(AND('Ações'!$AC623="SIM", 'Ações'!AT623="SIM"), 1,0)</f>
        <v>0</v>
      </c>
      <c r="I615" s="139">
        <f>IF(AND('Ações'!$AC623="SIM", 'Ações'!AU623="SIM"), 1,0)</f>
        <v>0</v>
      </c>
      <c r="J615" s="139">
        <f>IF(AND('Ações'!$AC623="SIM", 'Ações'!AV623="SIM"), 1,0)</f>
        <v>1</v>
      </c>
      <c r="K615" s="139">
        <f>IF(AND('Ações'!$AC623="SIM", 'Ações'!AW623="SIM"), 1,0)</f>
        <v>1</v>
      </c>
      <c r="L615" s="139">
        <f>IF(AND('Ações'!$AC623="SIM", 'Ações'!AX623="SIM"), 1,0)</f>
        <v>1</v>
      </c>
      <c r="M615" s="139">
        <f>IF(AND('Ações'!$AD623="SIM", 'Ações'!AS623="SIM"), 1,0)</f>
        <v>0</v>
      </c>
      <c r="N615" s="139">
        <f>IF(AND('Ações'!$AD623="SIM", 'Ações'!AT623="SIM"), 1,0)</f>
        <v>0</v>
      </c>
      <c r="O615" s="139">
        <f>IF(AND('Ações'!$AD623="SIM", 'Ações'!AU623="SIM"), 1,0)</f>
        <v>0</v>
      </c>
      <c r="P615" s="139">
        <f>IF(AND('Ações'!$AD623="SIM", 'Ações'!AV623="SIM"), 1,0)</f>
        <v>0</v>
      </c>
      <c r="Q615" s="139">
        <f>IF(AND('Ações'!$AD623="SIM", 'Ações'!AW623="SIM"), 1,0)</f>
        <v>0</v>
      </c>
      <c r="R615" s="139">
        <f>IF(AND('Ações'!$AD623="SIM", 'Ações'!AX623="SIM"), 1,0)</f>
        <v>0</v>
      </c>
    </row>
    <row r="616">
      <c r="A616" s="139">
        <f>IF(AND('Ações'!AB624="SIM", 'Ações'!AS624="SIM"), 1,0)</f>
        <v>0</v>
      </c>
      <c r="B616" s="139">
        <f>IF(AND('Ações'!$AB624="SIM", 'Ações'!AT624="SIM"), 1,0)</f>
        <v>0</v>
      </c>
      <c r="C616" s="139">
        <f>IF(AND('Ações'!$AB624="SIM", 'Ações'!AU624="SIM"), 1,0)</f>
        <v>0</v>
      </c>
      <c r="D616" s="139">
        <f>IF(AND('Ações'!$AB624="SIM", 'Ações'!AV624="SIM"), 1,0)</f>
        <v>1</v>
      </c>
      <c r="E616" s="139">
        <f>IF(AND('Ações'!$AB624="SIM", 'Ações'!AW624="SIM"), 1,0)</f>
        <v>1</v>
      </c>
      <c r="F616" s="139">
        <f>IF(AND('Ações'!$AB624="SIM", 'Ações'!AX624="SIM"), 1,0)</f>
        <v>1</v>
      </c>
      <c r="G616" s="139">
        <f>IF(AND('Ações'!$AC624="SIM", 'Ações'!AS624="SIM"), 1,0)</f>
        <v>0</v>
      </c>
      <c r="H616" s="139">
        <f>IF(AND('Ações'!$AC624="SIM", 'Ações'!AT624="SIM"), 1,0)</f>
        <v>0</v>
      </c>
      <c r="I616" s="139">
        <f>IF(AND('Ações'!$AC624="SIM", 'Ações'!AU624="SIM"), 1,0)</f>
        <v>0</v>
      </c>
      <c r="J616" s="139">
        <f>IF(AND('Ações'!$AC624="SIM", 'Ações'!AV624="SIM"), 1,0)</f>
        <v>0</v>
      </c>
      <c r="K616" s="139">
        <f>IF(AND('Ações'!$AC624="SIM", 'Ações'!AW624="SIM"), 1,0)</f>
        <v>0</v>
      </c>
      <c r="L616" s="139">
        <f>IF(AND('Ações'!$AC624="SIM", 'Ações'!AX624="SIM"), 1,0)</f>
        <v>0</v>
      </c>
      <c r="M616" s="139">
        <f>IF(AND('Ações'!$AD624="SIM", 'Ações'!AS624="SIM"), 1,0)</f>
        <v>0</v>
      </c>
      <c r="N616" s="139">
        <f>IF(AND('Ações'!$AD624="SIM", 'Ações'!AT624="SIM"), 1,0)</f>
        <v>0</v>
      </c>
      <c r="O616" s="139">
        <f>IF(AND('Ações'!$AD624="SIM", 'Ações'!AU624="SIM"), 1,0)</f>
        <v>0</v>
      </c>
      <c r="P616" s="139">
        <f>IF(AND('Ações'!$AD624="SIM", 'Ações'!AV624="SIM"), 1,0)</f>
        <v>0</v>
      </c>
      <c r="Q616" s="139">
        <f>IF(AND('Ações'!$AD624="SIM", 'Ações'!AW624="SIM"), 1,0)</f>
        <v>0</v>
      </c>
      <c r="R616" s="139">
        <f>IF(AND('Ações'!$AD624="SIM", 'Ações'!AX624="SIM"), 1,0)</f>
        <v>0</v>
      </c>
    </row>
    <row r="617">
      <c r="A617" s="139">
        <f>IF(AND('Ações'!AB625="SIM", 'Ações'!AS625="SIM"), 1,0)</f>
        <v>0</v>
      </c>
      <c r="B617" s="139">
        <f>IF(AND('Ações'!$AB625="SIM", 'Ações'!AT625="SIM"), 1,0)</f>
        <v>0</v>
      </c>
      <c r="C617" s="139">
        <f>IF(AND('Ações'!$AB625="SIM", 'Ações'!AU625="SIM"), 1,0)</f>
        <v>0</v>
      </c>
      <c r="D617" s="139">
        <f>IF(AND('Ações'!$AB625="SIM", 'Ações'!AV625="SIM"), 1,0)</f>
        <v>1</v>
      </c>
      <c r="E617" s="139">
        <f>IF(AND('Ações'!$AB625="SIM", 'Ações'!AW625="SIM"), 1,0)</f>
        <v>1</v>
      </c>
      <c r="F617" s="139">
        <f>IF(AND('Ações'!$AB625="SIM", 'Ações'!AX625="SIM"), 1,0)</f>
        <v>1</v>
      </c>
      <c r="G617" s="139">
        <f>IF(AND('Ações'!$AC625="SIM", 'Ações'!AS625="SIM"), 1,0)</f>
        <v>0</v>
      </c>
      <c r="H617" s="139">
        <f>IF(AND('Ações'!$AC625="SIM", 'Ações'!AT625="SIM"), 1,0)</f>
        <v>0</v>
      </c>
      <c r="I617" s="139">
        <f>IF(AND('Ações'!$AC625="SIM", 'Ações'!AU625="SIM"), 1,0)</f>
        <v>0</v>
      </c>
      <c r="J617" s="139">
        <f>IF(AND('Ações'!$AC625="SIM", 'Ações'!AV625="SIM"), 1,0)</f>
        <v>0</v>
      </c>
      <c r="K617" s="139">
        <f>IF(AND('Ações'!$AC625="SIM", 'Ações'!AW625="SIM"), 1,0)</f>
        <v>0</v>
      </c>
      <c r="L617" s="139">
        <f>IF(AND('Ações'!$AC625="SIM", 'Ações'!AX625="SIM"), 1,0)</f>
        <v>0</v>
      </c>
      <c r="M617" s="139">
        <f>IF(AND('Ações'!$AD625="SIM", 'Ações'!AS625="SIM"), 1,0)</f>
        <v>0</v>
      </c>
      <c r="N617" s="139">
        <f>IF(AND('Ações'!$AD625="SIM", 'Ações'!AT625="SIM"), 1,0)</f>
        <v>0</v>
      </c>
      <c r="O617" s="139">
        <f>IF(AND('Ações'!$AD625="SIM", 'Ações'!AU625="SIM"), 1,0)</f>
        <v>0</v>
      </c>
      <c r="P617" s="139">
        <f>IF(AND('Ações'!$AD625="SIM", 'Ações'!AV625="SIM"), 1,0)</f>
        <v>0</v>
      </c>
      <c r="Q617" s="139">
        <f>IF(AND('Ações'!$AD625="SIM", 'Ações'!AW625="SIM"), 1,0)</f>
        <v>0</v>
      </c>
      <c r="R617" s="139">
        <f>IF(AND('Ações'!$AD625="SIM", 'Ações'!AX625="SIM"), 1,0)</f>
        <v>0</v>
      </c>
    </row>
    <row r="618">
      <c r="A618" s="139">
        <f>IF(AND('Ações'!AB626="SIM", 'Ações'!AS626="SIM"), 1,0)</f>
        <v>0</v>
      </c>
      <c r="B618" s="139">
        <f>IF(AND('Ações'!$AB626="SIM", 'Ações'!AT626="SIM"), 1,0)</f>
        <v>0</v>
      </c>
      <c r="C618" s="139">
        <f>IF(AND('Ações'!$AB626="SIM", 'Ações'!AU626="SIM"), 1,0)</f>
        <v>0</v>
      </c>
      <c r="D618" s="139">
        <f>IF(AND('Ações'!$AB626="SIM", 'Ações'!AV626="SIM"), 1,0)</f>
        <v>1</v>
      </c>
      <c r="E618" s="139">
        <f>IF(AND('Ações'!$AB626="SIM", 'Ações'!AW626="SIM"), 1,0)</f>
        <v>1</v>
      </c>
      <c r="F618" s="139">
        <f>IF(AND('Ações'!$AB626="SIM", 'Ações'!AX626="SIM"), 1,0)</f>
        <v>1</v>
      </c>
      <c r="G618" s="139">
        <f>IF(AND('Ações'!$AC626="SIM", 'Ações'!AS626="SIM"), 1,0)</f>
        <v>0</v>
      </c>
      <c r="H618" s="139">
        <f>IF(AND('Ações'!$AC626="SIM", 'Ações'!AT626="SIM"), 1,0)</f>
        <v>0</v>
      </c>
      <c r="I618" s="139">
        <f>IF(AND('Ações'!$AC626="SIM", 'Ações'!AU626="SIM"), 1,0)</f>
        <v>0</v>
      </c>
      <c r="J618" s="139">
        <f>IF(AND('Ações'!$AC626="SIM", 'Ações'!AV626="SIM"), 1,0)</f>
        <v>0</v>
      </c>
      <c r="K618" s="139">
        <f>IF(AND('Ações'!$AC626="SIM", 'Ações'!AW626="SIM"), 1,0)</f>
        <v>0</v>
      </c>
      <c r="L618" s="139">
        <f>IF(AND('Ações'!$AC626="SIM", 'Ações'!AX626="SIM"), 1,0)</f>
        <v>0</v>
      </c>
      <c r="M618" s="139">
        <f>IF(AND('Ações'!$AD626="SIM", 'Ações'!AS626="SIM"), 1,0)</f>
        <v>0</v>
      </c>
      <c r="N618" s="139">
        <f>IF(AND('Ações'!$AD626="SIM", 'Ações'!AT626="SIM"), 1,0)</f>
        <v>0</v>
      </c>
      <c r="O618" s="139">
        <f>IF(AND('Ações'!$AD626="SIM", 'Ações'!AU626="SIM"), 1,0)</f>
        <v>0</v>
      </c>
      <c r="P618" s="139">
        <f>IF(AND('Ações'!$AD626="SIM", 'Ações'!AV626="SIM"), 1,0)</f>
        <v>0</v>
      </c>
      <c r="Q618" s="139">
        <f>IF(AND('Ações'!$AD626="SIM", 'Ações'!AW626="SIM"), 1,0)</f>
        <v>0</v>
      </c>
      <c r="R618" s="139">
        <f>IF(AND('Ações'!$AD626="SIM", 'Ações'!AX626="SIM"), 1,0)</f>
        <v>0</v>
      </c>
    </row>
    <row r="619">
      <c r="A619" s="139">
        <f>IF(AND('Ações'!AB627="SIM", 'Ações'!AS627="SIM"), 1,0)</f>
        <v>0</v>
      </c>
      <c r="B619" s="139">
        <f>IF(AND('Ações'!$AB627="SIM", 'Ações'!AT627="SIM"), 1,0)</f>
        <v>0</v>
      </c>
      <c r="C619" s="139">
        <f>IF(AND('Ações'!$AB627="SIM", 'Ações'!AU627="SIM"), 1,0)</f>
        <v>0</v>
      </c>
      <c r="D619" s="139">
        <f>IF(AND('Ações'!$AB627="SIM", 'Ações'!AV627="SIM"), 1,0)</f>
        <v>1</v>
      </c>
      <c r="E619" s="139">
        <f>IF(AND('Ações'!$AB627="SIM", 'Ações'!AW627="SIM"), 1,0)</f>
        <v>1</v>
      </c>
      <c r="F619" s="139">
        <f>IF(AND('Ações'!$AB627="SIM", 'Ações'!AX627="SIM"), 1,0)</f>
        <v>1</v>
      </c>
      <c r="G619" s="139">
        <f>IF(AND('Ações'!$AC627="SIM", 'Ações'!AS627="SIM"), 1,0)</f>
        <v>0</v>
      </c>
      <c r="H619" s="139">
        <f>IF(AND('Ações'!$AC627="SIM", 'Ações'!AT627="SIM"), 1,0)</f>
        <v>0</v>
      </c>
      <c r="I619" s="139">
        <f>IF(AND('Ações'!$AC627="SIM", 'Ações'!AU627="SIM"), 1,0)</f>
        <v>0</v>
      </c>
      <c r="J619" s="139">
        <f>IF(AND('Ações'!$AC627="SIM", 'Ações'!AV627="SIM"), 1,0)</f>
        <v>1</v>
      </c>
      <c r="K619" s="139">
        <f>IF(AND('Ações'!$AC627="SIM", 'Ações'!AW627="SIM"), 1,0)</f>
        <v>1</v>
      </c>
      <c r="L619" s="139">
        <f>IF(AND('Ações'!$AC627="SIM", 'Ações'!AX627="SIM"), 1,0)</f>
        <v>1</v>
      </c>
      <c r="M619" s="139">
        <f>IF(AND('Ações'!$AD627="SIM", 'Ações'!AS627="SIM"), 1,0)</f>
        <v>0</v>
      </c>
      <c r="N619" s="139">
        <f>IF(AND('Ações'!$AD627="SIM", 'Ações'!AT627="SIM"), 1,0)</f>
        <v>0</v>
      </c>
      <c r="O619" s="139">
        <f>IF(AND('Ações'!$AD627="SIM", 'Ações'!AU627="SIM"), 1,0)</f>
        <v>0</v>
      </c>
      <c r="P619" s="139">
        <f>IF(AND('Ações'!$AD627="SIM", 'Ações'!AV627="SIM"), 1,0)</f>
        <v>0</v>
      </c>
      <c r="Q619" s="139">
        <f>IF(AND('Ações'!$AD627="SIM", 'Ações'!AW627="SIM"), 1,0)</f>
        <v>0</v>
      </c>
      <c r="R619" s="139">
        <f>IF(AND('Ações'!$AD627="SIM", 'Ações'!AX627="SIM"), 1,0)</f>
        <v>0</v>
      </c>
    </row>
    <row r="620">
      <c r="A620" s="139">
        <f>IF(AND('Ações'!AB628="SIM", 'Ações'!AS628="SIM"), 1,0)</f>
        <v>0</v>
      </c>
      <c r="B620" s="139">
        <f>IF(AND('Ações'!$AB628="SIM", 'Ações'!AT628="SIM"), 1,0)</f>
        <v>0</v>
      </c>
      <c r="C620" s="139">
        <f>IF(AND('Ações'!$AB628="SIM", 'Ações'!AU628="SIM"), 1,0)</f>
        <v>0</v>
      </c>
      <c r="D620" s="139">
        <f>IF(AND('Ações'!$AB628="SIM", 'Ações'!AV628="SIM"), 1,0)</f>
        <v>1</v>
      </c>
      <c r="E620" s="139">
        <f>IF(AND('Ações'!$AB628="SIM", 'Ações'!AW628="SIM"), 1,0)</f>
        <v>1</v>
      </c>
      <c r="F620" s="139">
        <f>IF(AND('Ações'!$AB628="SIM", 'Ações'!AX628="SIM"), 1,0)</f>
        <v>1</v>
      </c>
      <c r="G620" s="139">
        <f>IF(AND('Ações'!$AC628="SIM", 'Ações'!AS628="SIM"), 1,0)</f>
        <v>0</v>
      </c>
      <c r="H620" s="139">
        <f>IF(AND('Ações'!$AC628="SIM", 'Ações'!AT628="SIM"), 1,0)</f>
        <v>0</v>
      </c>
      <c r="I620" s="139">
        <f>IF(AND('Ações'!$AC628="SIM", 'Ações'!AU628="SIM"), 1,0)</f>
        <v>0</v>
      </c>
      <c r="J620" s="139">
        <f>IF(AND('Ações'!$AC628="SIM", 'Ações'!AV628="SIM"), 1,0)</f>
        <v>0</v>
      </c>
      <c r="K620" s="139">
        <f>IF(AND('Ações'!$AC628="SIM", 'Ações'!AW628="SIM"), 1,0)</f>
        <v>0</v>
      </c>
      <c r="L620" s="139">
        <f>IF(AND('Ações'!$AC628="SIM", 'Ações'!AX628="SIM"), 1,0)</f>
        <v>0</v>
      </c>
      <c r="M620" s="139">
        <f>IF(AND('Ações'!$AD628="SIM", 'Ações'!AS628="SIM"), 1,0)</f>
        <v>0</v>
      </c>
      <c r="N620" s="139">
        <f>IF(AND('Ações'!$AD628="SIM", 'Ações'!AT628="SIM"), 1,0)</f>
        <v>0</v>
      </c>
      <c r="O620" s="139">
        <f>IF(AND('Ações'!$AD628="SIM", 'Ações'!AU628="SIM"), 1,0)</f>
        <v>0</v>
      </c>
      <c r="P620" s="139">
        <f>IF(AND('Ações'!$AD628="SIM", 'Ações'!AV628="SIM"), 1,0)</f>
        <v>0</v>
      </c>
      <c r="Q620" s="139">
        <f>IF(AND('Ações'!$AD628="SIM", 'Ações'!AW628="SIM"), 1,0)</f>
        <v>0</v>
      </c>
      <c r="R620" s="139">
        <f>IF(AND('Ações'!$AD628="SIM", 'Ações'!AX628="SIM"), 1,0)</f>
        <v>0</v>
      </c>
    </row>
    <row r="621">
      <c r="A621" s="139">
        <f>IF(AND('Ações'!AB629="SIM", 'Ações'!AS629="SIM"), 1,0)</f>
        <v>0</v>
      </c>
      <c r="B621" s="139">
        <f>IF(AND('Ações'!$AB629="SIM", 'Ações'!AT629="SIM"), 1,0)</f>
        <v>0</v>
      </c>
      <c r="C621" s="139">
        <f>IF(AND('Ações'!$AB629="SIM", 'Ações'!AU629="SIM"), 1,0)</f>
        <v>0</v>
      </c>
      <c r="D621" s="139">
        <f>IF(AND('Ações'!$AB629="SIM", 'Ações'!AV629="SIM"), 1,0)</f>
        <v>1</v>
      </c>
      <c r="E621" s="139">
        <f>IF(AND('Ações'!$AB629="SIM", 'Ações'!AW629="SIM"), 1,0)</f>
        <v>1</v>
      </c>
      <c r="F621" s="139">
        <f>IF(AND('Ações'!$AB629="SIM", 'Ações'!AX629="SIM"), 1,0)</f>
        <v>1</v>
      </c>
      <c r="G621" s="139">
        <f>IF(AND('Ações'!$AC629="SIM", 'Ações'!AS629="SIM"), 1,0)</f>
        <v>0</v>
      </c>
      <c r="H621" s="139">
        <f>IF(AND('Ações'!$AC629="SIM", 'Ações'!AT629="SIM"), 1,0)</f>
        <v>0</v>
      </c>
      <c r="I621" s="139">
        <f>IF(AND('Ações'!$AC629="SIM", 'Ações'!AU629="SIM"), 1,0)</f>
        <v>0</v>
      </c>
      <c r="J621" s="139">
        <f>IF(AND('Ações'!$AC629="SIM", 'Ações'!AV629="SIM"), 1,0)</f>
        <v>0</v>
      </c>
      <c r="K621" s="139">
        <f>IF(AND('Ações'!$AC629="SIM", 'Ações'!AW629="SIM"), 1,0)</f>
        <v>0</v>
      </c>
      <c r="L621" s="139">
        <f>IF(AND('Ações'!$AC629="SIM", 'Ações'!AX629="SIM"), 1,0)</f>
        <v>0</v>
      </c>
      <c r="M621" s="139">
        <f>IF(AND('Ações'!$AD629="SIM", 'Ações'!AS629="SIM"), 1,0)</f>
        <v>0</v>
      </c>
      <c r="N621" s="139">
        <f>IF(AND('Ações'!$AD629="SIM", 'Ações'!AT629="SIM"), 1,0)</f>
        <v>0</v>
      </c>
      <c r="O621" s="139">
        <f>IF(AND('Ações'!$AD629="SIM", 'Ações'!AU629="SIM"), 1,0)</f>
        <v>0</v>
      </c>
      <c r="P621" s="139">
        <f>IF(AND('Ações'!$AD629="SIM", 'Ações'!AV629="SIM"), 1,0)</f>
        <v>0</v>
      </c>
      <c r="Q621" s="139">
        <f>IF(AND('Ações'!$AD629="SIM", 'Ações'!AW629="SIM"), 1,0)</f>
        <v>0</v>
      </c>
      <c r="R621" s="139">
        <f>IF(AND('Ações'!$AD629="SIM", 'Ações'!AX629="SIM"), 1,0)</f>
        <v>0</v>
      </c>
    </row>
    <row r="622">
      <c r="A622" s="139">
        <f>IF(AND('Ações'!AB630="SIM", 'Ações'!AS630="SIM"), 1,0)</f>
        <v>0</v>
      </c>
      <c r="B622" s="139">
        <f>IF(AND('Ações'!$AB630="SIM", 'Ações'!AT630="SIM"), 1,0)</f>
        <v>0</v>
      </c>
      <c r="C622" s="139">
        <f>IF(AND('Ações'!$AB630="SIM", 'Ações'!AU630="SIM"), 1,0)</f>
        <v>0</v>
      </c>
      <c r="D622" s="139">
        <f>IF(AND('Ações'!$AB630="SIM", 'Ações'!AV630="SIM"), 1,0)</f>
        <v>1</v>
      </c>
      <c r="E622" s="139">
        <f>IF(AND('Ações'!$AB630="SIM", 'Ações'!AW630="SIM"), 1,0)</f>
        <v>1</v>
      </c>
      <c r="F622" s="139">
        <f>IF(AND('Ações'!$AB630="SIM", 'Ações'!AX630="SIM"), 1,0)</f>
        <v>1</v>
      </c>
      <c r="G622" s="139">
        <f>IF(AND('Ações'!$AC630="SIM", 'Ações'!AS630="SIM"), 1,0)</f>
        <v>0</v>
      </c>
      <c r="H622" s="139">
        <f>IF(AND('Ações'!$AC630="SIM", 'Ações'!AT630="SIM"), 1,0)</f>
        <v>0</v>
      </c>
      <c r="I622" s="139">
        <f>IF(AND('Ações'!$AC630="SIM", 'Ações'!AU630="SIM"), 1,0)</f>
        <v>0</v>
      </c>
      <c r="J622" s="139">
        <f>IF(AND('Ações'!$AC630="SIM", 'Ações'!AV630="SIM"), 1,0)</f>
        <v>0</v>
      </c>
      <c r="K622" s="139">
        <f>IF(AND('Ações'!$AC630="SIM", 'Ações'!AW630="SIM"), 1,0)</f>
        <v>0</v>
      </c>
      <c r="L622" s="139">
        <f>IF(AND('Ações'!$AC630="SIM", 'Ações'!AX630="SIM"), 1,0)</f>
        <v>0</v>
      </c>
      <c r="M622" s="139">
        <f>IF(AND('Ações'!$AD630="SIM", 'Ações'!AS630="SIM"), 1,0)</f>
        <v>0</v>
      </c>
      <c r="N622" s="139">
        <f>IF(AND('Ações'!$AD630="SIM", 'Ações'!AT630="SIM"), 1,0)</f>
        <v>0</v>
      </c>
      <c r="O622" s="139">
        <f>IF(AND('Ações'!$AD630="SIM", 'Ações'!AU630="SIM"), 1,0)</f>
        <v>0</v>
      </c>
      <c r="P622" s="139">
        <f>IF(AND('Ações'!$AD630="SIM", 'Ações'!AV630="SIM"), 1,0)</f>
        <v>0</v>
      </c>
      <c r="Q622" s="139">
        <f>IF(AND('Ações'!$AD630="SIM", 'Ações'!AW630="SIM"), 1,0)</f>
        <v>0</v>
      </c>
      <c r="R622" s="139">
        <f>IF(AND('Ações'!$AD630="SIM", 'Ações'!AX630="SIM"), 1,0)</f>
        <v>0</v>
      </c>
    </row>
    <row r="623">
      <c r="A623" s="139">
        <f>IF(AND('Ações'!AB631="SIM", 'Ações'!AS631="SIM"), 1,0)</f>
        <v>0</v>
      </c>
      <c r="B623" s="139">
        <f>IF(AND('Ações'!$AB631="SIM", 'Ações'!AT631="SIM"), 1,0)</f>
        <v>0</v>
      </c>
      <c r="C623" s="139">
        <f>IF(AND('Ações'!$AB631="SIM", 'Ações'!AU631="SIM"), 1,0)</f>
        <v>0</v>
      </c>
      <c r="D623" s="139">
        <f>IF(AND('Ações'!$AB631="SIM", 'Ações'!AV631="SIM"), 1,0)</f>
        <v>1</v>
      </c>
      <c r="E623" s="139">
        <f>IF(AND('Ações'!$AB631="SIM", 'Ações'!AW631="SIM"), 1,0)</f>
        <v>1</v>
      </c>
      <c r="F623" s="139">
        <f>IF(AND('Ações'!$AB631="SIM", 'Ações'!AX631="SIM"), 1,0)</f>
        <v>1</v>
      </c>
      <c r="G623" s="139">
        <f>IF(AND('Ações'!$AC631="SIM", 'Ações'!AS631="SIM"), 1,0)</f>
        <v>0</v>
      </c>
      <c r="H623" s="139">
        <f>IF(AND('Ações'!$AC631="SIM", 'Ações'!AT631="SIM"), 1,0)</f>
        <v>0</v>
      </c>
      <c r="I623" s="139">
        <f>IF(AND('Ações'!$AC631="SIM", 'Ações'!AU631="SIM"), 1,0)</f>
        <v>0</v>
      </c>
      <c r="J623" s="139">
        <f>IF(AND('Ações'!$AC631="SIM", 'Ações'!AV631="SIM"), 1,0)</f>
        <v>0</v>
      </c>
      <c r="K623" s="139">
        <f>IF(AND('Ações'!$AC631="SIM", 'Ações'!AW631="SIM"), 1,0)</f>
        <v>0</v>
      </c>
      <c r="L623" s="139">
        <f>IF(AND('Ações'!$AC631="SIM", 'Ações'!AX631="SIM"), 1,0)</f>
        <v>0</v>
      </c>
      <c r="M623" s="139">
        <f>IF(AND('Ações'!$AD631="SIM", 'Ações'!AS631="SIM"), 1,0)</f>
        <v>0</v>
      </c>
      <c r="N623" s="139">
        <f>IF(AND('Ações'!$AD631="SIM", 'Ações'!AT631="SIM"), 1,0)</f>
        <v>0</v>
      </c>
      <c r="O623" s="139">
        <f>IF(AND('Ações'!$AD631="SIM", 'Ações'!AU631="SIM"), 1,0)</f>
        <v>0</v>
      </c>
      <c r="P623" s="139">
        <f>IF(AND('Ações'!$AD631="SIM", 'Ações'!AV631="SIM"), 1,0)</f>
        <v>0</v>
      </c>
      <c r="Q623" s="139">
        <f>IF(AND('Ações'!$AD631="SIM", 'Ações'!AW631="SIM"), 1,0)</f>
        <v>0</v>
      </c>
      <c r="R623" s="139">
        <f>IF(AND('Ações'!$AD631="SIM", 'Ações'!AX631="SIM"), 1,0)</f>
        <v>0</v>
      </c>
    </row>
    <row r="624">
      <c r="A624" s="139">
        <f>IF(AND('Ações'!AB632="SIM", 'Ações'!AS632="SIM"), 1,0)</f>
        <v>0</v>
      </c>
      <c r="B624" s="139">
        <f>IF(AND('Ações'!$AB632="SIM", 'Ações'!AT632="SIM"), 1,0)</f>
        <v>0</v>
      </c>
      <c r="C624" s="139">
        <f>IF(AND('Ações'!$AB632="SIM", 'Ações'!AU632="SIM"), 1,0)</f>
        <v>0</v>
      </c>
      <c r="D624" s="139">
        <f>IF(AND('Ações'!$AB632="SIM", 'Ações'!AV632="SIM"), 1,0)</f>
        <v>1</v>
      </c>
      <c r="E624" s="139">
        <f>IF(AND('Ações'!$AB632="SIM", 'Ações'!AW632="SIM"), 1,0)</f>
        <v>1</v>
      </c>
      <c r="F624" s="139">
        <f>IF(AND('Ações'!$AB632="SIM", 'Ações'!AX632="SIM"), 1,0)</f>
        <v>1</v>
      </c>
      <c r="G624" s="139">
        <f>IF(AND('Ações'!$AC632="SIM", 'Ações'!AS632="SIM"), 1,0)</f>
        <v>0</v>
      </c>
      <c r="H624" s="139">
        <f>IF(AND('Ações'!$AC632="SIM", 'Ações'!AT632="SIM"), 1,0)</f>
        <v>0</v>
      </c>
      <c r="I624" s="139">
        <f>IF(AND('Ações'!$AC632="SIM", 'Ações'!AU632="SIM"), 1,0)</f>
        <v>0</v>
      </c>
      <c r="J624" s="139">
        <f>IF(AND('Ações'!$AC632="SIM", 'Ações'!AV632="SIM"), 1,0)</f>
        <v>0</v>
      </c>
      <c r="K624" s="139">
        <f>IF(AND('Ações'!$AC632="SIM", 'Ações'!AW632="SIM"), 1,0)</f>
        <v>0</v>
      </c>
      <c r="L624" s="139">
        <f>IF(AND('Ações'!$AC632="SIM", 'Ações'!AX632="SIM"), 1,0)</f>
        <v>0</v>
      </c>
      <c r="M624" s="139">
        <f>IF(AND('Ações'!$AD632="SIM", 'Ações'!AS632="SIM"), 1,0)</f>
        <v>0</v>
      </c>
      <c r="N624" s="139">
        <f>IF(AND('Ações'!$AD632="SIM", 'Ações'!AT632="SIM"), 1,0)</f>
        <v>0</v>
      </c>
      <c r="O624" s="139">
        <f>IF(AND('Ações'!$AD632="SIM", 'Ações'!AU632="SIM"), 1,0)</f>
        <v>0</v>
      </c>
      <c r="P624" s="139">
        <f>IF(AND('Ações'!$AD632="SIM", 'Ações'!AV632="SIM"), 1,0)</f>
        <v>0</v>
      </c>
      <c r="Q624" s="139">
        <f>IF(AND('Ações'!$AD632="SIM", 'Ações'!AW632="SIM"), 1,0)</f>
        <v>0</v>
      </c>
      <c r="R624" s="139">
        <f>IF(AND('Ações'!$AD632="SIM", 'Ações'!AX632="SIM"), 1,0)</f>
        <v>0</v>
      </c>
    </row>
    <row r="625">
      <c r="A625" s="139">
        <f>IF(AND('Ações'!AB633="SIM", 'Ações'!AS633="SIM"), 1,0)</f>
        <v>0</v>
      </c>
      <c r="B625" s="139">
        <f>IF(AND('Ações'!$AB633="SIM", 'Ações'!AT633="SIM"), 1,0)</f>
        <v>0</v>
      </c>
      <c r="C625" s="139">
        <f>IF(AND('Ações'!$AB633="SIM", 'Ações'!AU633="SIM"), 1,0)</f>
        <v>0</v>
      </c>
      <c r="D625" s="139">
        <f>IF(AND('Ações'!$AB633="SIM", 'Ações'!AV633="SIM"), 1,0)</f>
        <v>1</v>
      </c>
      <c r="E625" s="139">
        <f>IF(AND('Ações'!$AB633="SIM", 'Ações'!AW633="SIM"), 1,0)</f>
        <v>1</v>
      </c>
      <c r="F625" s="139">
        <f>IF(AND('Ações'!$AB633="SIM", 'Ações'!AX633="SIM"), 1,0)</f>
        <v>1</v>
      </c>
      <c r="G625" s="139">
        <f>IF(AND('Ações'!$AC633="SIM", 'Ações'!AS633="SIM"), 1,0)</f>
        <v>0</v>
      </c>
      <c r="H625" s="139">
        <f>IF(AND('Ações'!$AC633="SIM", 'Ações'!AT633="SIM"), 1,0)</f>
        <v>0</v>
      </c>
      <c r="I625" s="139">
        <f>IF(AND('Ações'!$AC633="SIM", 'Ações'!AU633="SIM"), 1,0)</f>
        <v>0</v>
      </c>
      <c r="J625" s="139">
        <f>IF(AND('Ações'!$AC633="SIM", 'Ações'!AV633="SIM"), 1,0)</f>
        <v>0</v>
      </c>
      <c r="K625" s="139">
        <f>IF(AND('Ações'!$AC633="SIM", 'Ações'!AW633="SIM"), 1,0)</f>
        <v>0</v>
      </c>
      <c r="L625" s="139">
        <f>IF(AND('Ações'!$AC633="SIM", 'Ações'!AX633="SIM"), 1,0)</f>
        <v>0</v>
      </c>
      <c r="M625" s="139">
        <f>IF(AND('Ações'!$AD633="SIM", 'Ações'!AS633="SIM"), 1,0)</f>
        <v>0</v>
      </c>
      <c r="N625" s="139">
        <f>IF(AND('Ações'!$AD633="SIM", 'Ações'!AT633="SIM"), 1,0)</f>
        <v>0</v>
      </c>
      <c r="O625" s="139">
        <f>IF(AND('Ações'!$AD633="SIM", 'Ações'!AU633="SIM"), 1,0)</f>
        <v>0</v>
      </c>
      <c r="P625" s="139">
        <f>IF(AND('Ações'!$AD633="SIM", 'Ações'!AV633="SIM"), 1,0)</f>
        <v>0</v>
      </c>
      <c r="Q625" s="139">
        <f>IF(AND('Ações'!$AD633="SIM", 'Ações'!AW633="SIM"), 1,0)</f>
        <v>0</v>
      </c>
      <c r="R625" s="139">
        <f>IF(AND('Ações'!$AD633="SIM", 'Ações'!AX633="SIM"), 1,0)</f>
        <v>0</v>
      </c>
    </row>
    <row r="626">
      <c r="A626" s="139">
        <f>IF(AND('Ações'!AB634="SIM", 'Ações'!AS634="SIM"), 1,0)</f>
        <v>0</v>
      </c>
      <c r="B626" s="139">
        <f>IF(AND('Ações'!$AB634="SIM", 'Ações'!AT634="SIM"), 1,0)</f>
        <v>0</v>
      </c>
      <c r="C626" s="139">
        <f>IF(AND('Ações'!$AB634="SIM", 'Ações'!AU634="SIM"), 1,0)</f>
        <v>0</v>
      </c>
      <c r="D626" s="139">
        <f>IF(AND('Ações'!$AB634="SIM", 'Ações'!AV634="SIM"), 1,0)</f>
        <v>1</v>
      </c>
      <c r="E626" s="139">
        <f>IF(AND('Ações'!$AB634="SIM", 'Ações'!AW634="SIM"), 1,0)</f>
        <v>1</v>
      </c>
      <c r="F626" s="139">
        <f>IF(AND('Ações'!$AB634="SIM", 'Ações'!AX634="SIM"), 1,0)</f>
        <v>1</v>
      </c>
      <c r="G626" s="139">
        <f>IF(AND('Ações'!$AC634="SIM", 'Ações'!AS634="SIM"), 1,0)</f>
        <v>0</v>
      </c>
      <c r="H626" s="139">
        <f>IF(AND('Ações'!$AC634="SIM", 'Ações'!AT634="SIM"), 1,0)</f>
        <v>0</v>
      </c>
      <c r="I626" s="139">
        <f>IF(AND('Ações'!$AC634="SIM", 'Ações'!AU634="SIM"), 1,0)</f>
        <v>0</v>
      </c>
      <c r="J626" s="139">
        <f>IF(AND('Ações'!$AC634="SIM", 'Ações'!AV634="SIM"), 1,0)</f>
        <v>0</v>
      </c>
      <c r="K626" s="139">
        <f>IF(AND('Ações'!$AC634="SIM", 'Ações'!AW634="SIM"), 1,0)</f>
        <v>0</v>
      </c>
      <c r="L626" s="139">
        <f>IF(AND('Ações'!$AC634="SIM", 'Ações'!AX634="SIM"), 1,0)</f>
        <v>0</v>
      </c>
      <c r="M626" s="139">
        <f>IF(AND('Ações'!$AD634="SIM", 'Ações'!AS634="SIM"), 1,0)</f>
        <v>0</v>
      </c>
      <c r="N626" s="139">
        <f>IF(AND('Ações'!$AD634="SIM", 'Ações'!AT634="SIM"), 1,0)</f>
        <v>0</v>
      </c>
      <c r="O626" s="139">
        <f>IF(AND('Ações'!$AD634="SIM", 'Ações'!AU634="SIM"), 1,0)</f>
        <v>0</v>
      </c>
      <c r="P626" s="139">
        <f>IF(AND('Ações'!$AD634="SIM", 'Ações'!AV634="SIM"), 1,0)</f>
        <v>0</v>
      </c>
      <c r="Q626" s="139">
        <f>IF(AND('Ações'!$AD634="SIM", 'Ações'!AW634="SIM"), 1,0)</f>
        <v>0</v>
      </c>
      <c r="R626" s="139">
        <f>IF(AND('Ações'!$AD634="SIM", 'Ações'!AX634="SIM"), 1,0)</f>
        <v>0</v>
      </c>
    </row>
    <row r="627">
      <c r="A627" s="139">
        <f>IF(AND('Ações'!AB635="SIM", 'Ações'!AS635="SIM"), 1,0)</f>
        <v>0</v>
      </c>
      <c r="B627" s="139">
        <f>IF(AND('Ações'!$AB635="SIM", 'Ações'!AT635="SIM"), 1,0)</f>
        <v>0</v>
      </c>
      <c r="C627" s="139">
        <f>IF(AND('Ações'!$AB635="SIM", 'Ações'!AU635="SIM"), 1,0)</f>
        <v>0</v>
      </c>
      <c r="D627" s="139">
        <f>IF(AND('Ações'!$AB635="SIM", 'Ações'!AV635="SIM"), 1,0)</f>
        <v>1</v>
      </c>
      <c r="E627" s="139">
        <f>IF(AND('Ações'!$AB635="SIM", 'Ações'!AW635="SIM"), 1,0)</f>
        <v>1</v>
      </c>
      <c r="F627" s="139">
        <f>IF(AND('Ações'!$AB635="SIM", 'Ações'!AX635="SIM"), 1,0)</f>
        <v>1</v>
      </c>
      <c r="G627" s="139">
        <f>IF(AND('Ações'!$AC635="SIM", 'Ações'!AS635="SIM"), 1,0)</f>
        <v>0</v>
      </c>
      <c r="H627" s="139">
        <f>IF(AND('Ações'!$AC635="SIM", 'Ações'!AT635="SIM"), 1,0)</f>
        <v>0</v>
      </c>
      <c r="I627" s="139">
        <f>IF(AND('Ações'!$AC635="SIM", 'Ações'!AU635="SIM"), 1,0)</f>
        <v>0</v>
      </c>
      <c r="J627" s="139">
        <f>IF(AND('Ações'!$AC635="SIM", 'Ações'!AV635="SIM"), 1,0)</f>
        <v>1</v>
      </c>
      <c r="K627" s="139">
        <f>IF(AND('Ações'!$AC635="SIM", 'Ações'!AW635="SIM"), 1,0)</f>
        <v>1</v>
      </c>
      <c r="L627" s="139">
        <f>IF(AND('Ações'!$AC635="SIM", 'Ações'!AX635="SIM"), 1,0)</f>
        <v>1</v>
      </c>
      <c r="M627" s="139">
        <f>IF(AND('Ações'!$AD635="SIM", 'Ações'!AS635="SIM"), 1,0)</f>
        <v>0</v>
      </c>
      <c r="N627" s="139">
        <f>IF(AND('Ações'!$AD635="SIM", 'Ações'!AT635="SIM"), 1,0)</f>
        <v>0</v>
      </c>
      <c r="O627" s="139">
        <f>IF(AND('Ações'!$AD635="SIM", 'Ações'!AU635="SIM"), 1,0)</f>
        <v>0</v>
      </c>
      <c r="P627" s="139">
        <f>IF(AND('Ações'!$AD635="SIM", 'Ações'!AV635="SIM"), 1,0)</f>
        <v>0</v>
      </c>
      <c r="Q627" s="139">
        <f>IF(AND('Ações'!$AD635="SIM", 'Ações'!AW635="SIM"), 1,0)</f>
        <v>0</v>
      </c>
      <c r="R627" s="139">
        <f>IF(AND('Ações'!$AD635="SIM", 'Ações'!AX635="SIM"), 1,0)</f>
        <v>0</v>
      </c>
    </row>
    <row r="628">
      <c r="A628" s="139">
        <f>IF(AND('Ações'!AB636="SIM", 'Ações'!AS636="SIM"), 1,0)</f>
        <v>0</v>
      </c>
      <c r="B628" s="139">
        <f>IF(AND('Ações'!$AB636="SIM", 'Ações'!AT636="SIM"), 1,0)</f>
        <v>0</v>
      </c>
      <c r="C628" s="139">
        <f>IF(AND('Ações'!$AB636="SIM", 'Ações'!AU636="SIM"), 1,0)</f>
        <v>0</v>
      </c>
      <c r="D628" s="139">
        <f>IF(AND('Ações'!$AB636="SIM", 'Ações'!AV636="SIM"), 1,0)</f>
        <v>1</v>
      </c>
      <c r="E628" s="139">
        <f>IF(AND('Ações'!$AB636="SIM", 'Ações'!AW636="SIM"), 1,0)</f>
        <v>1</v>
      </c>
      <c r="F628" s="139">
        <f>IF(AND('Ações'!$AB636="SIM", 'Ações'!AX636="SIM"), 1,0)</f>
        <v>1</v>
      </c>
      <c r="G628" s="139">
        <f>IF(AND('Ações'!$AC636="SIM", 'Ações'!AS636="SIM"), 1,0)</f>
        <v>0</v>
      </c>
      <c r="H628" s="139">
        <f>IF(AND('Ações'!$AC636="SIM", 'Ações'!AT636="SIM"), 1,0)</f>
        <v>0</v>
      </c>
      <c r="I628" s="139">
        <f>IF(AND('Ações'!$AC636="SIM", 'Ações'!AU636="SIM"), 1,0)</f>
        <v>0</v>
      </c>
      <c r="J628" s="139">
        <f>IF(AND('Ações'!$AC636="SIM", 'Ações'!AV636="SIM"), 1,0)</f>
        <v>0</v>
      </c>
      <c r="K628" s="139">
        <f>IF(AND('Ações'!$AC636="SIM", 'Ações'!AW636="SIM"), 1,0)</f>
        <v>0</v>
      </c>
      <c r="L628" s="139">
        <f>IF(AND('Ações'!$AC636="SIM", 'Ações'!AX636="SIM"), 1,0)</f>
        <v>0</v>
      </c>
      <c r="M628" s="139">
        <f>IF(AND('Ações'!$AD636="SIM", 'Ações'!AS636="SIM"), 1,0)</f>
        <v>0</v>
      </c>
      <c r="N628" s="139">
        <f>IF(AND('Ações'!$AD636="SIM", 'Ações'!AT636="SIM"), 1,0)</f>
        <v>0</v>
      </c>
      <c r="O628" s="139">
        <f>IF(AND('Ações'!$AD636="SIM", 'Ações'!AU636="SIM"), 1,0)</f>
        <v>0</v>
      </c>
      <c r="P628" s="139">
        <f>IF(AND('Ações'!$AD636="SIM", 'Ações'!AV636="SIM"), 1,0)</f>
        <v>0</v>
      </c>
      <c r="Q628" s="139">
        <f>IF(AND('Ações'!$AD636="SIM", 'Ações'!AW636="SIM"), 1,0)</f>
        <v>0</v>
      </c>
      <c r="R628" s="139">
        <f>IF(AND('Ações'!$AD636="SIM", 'Ações'!AX636="SIM"), 1,0)</f>
        <v>0</v>
      </c>
    </row>
    <row r="629">
      <c r="A629" s="139">
        <f>IF(AND('Ações'!AB637="SIM", 'Ações'!AS637="SIM"), 1,0)</f>
        <v>0</v>
      </c>
      <c r="B629" s="139">
        <f>IF(AND('Ações'!$AB637="SIM", 'Ações'!AT637="SIM"), 1,0)</f>
        <v>0</v>
      </c>
      <c r="C629" s="139">
        <f>IF(AND('Ações'!$AB637="SIM", 'Ações'!AU637="SIM"), 1,0)</f>
        <v>0</v>
      </c>
      <c r="D629" s="139">
        <f>IF(AND('Ações'!$AB637="SIM", 'Ações'!AV637="SIM"), 1,0)</f>
        <v>1</v>
      </c>
      <c r="E629" s="139">
        <f>IF(AND('Ações'!$AB637="SIM", 'Ações'!AW637="SIM"), 1,0)</f>
        <v>1</v>
      </c>
      <c r="F629" s="139">
        <f>IF(AND('Ações'!$AB637="SIM", 'Ações'!AX637="SIM"), 1,0)</f>
        <v>1</v>
      </c>
      <c r="G629" s="139">
        <f>IF(AND('Ações'!$AC637="SIM", 'Ações'!AS637="SIM"), 1,0)</f>
        <v>0</v>
      </c>
      <c r="H629" s="139">
        <f>IF(AND('Ações'!$AC637="SIM", 'Ações'!AT637="SIM"), 1,0)</f>
        <v>0</v>
      </c>
      <c r="I629" s="139">
        <f>IF(AND('Ações'!$AC637="SIM", 'Ações'!AU637="SIM"), 1,0)</f>
        <v>0</v>
      </c>
      <c r="J629" s="139">
        <f>IF(AND('Ações'!$AC637="SIM", 'Ações'!AV637="SIM"), 1,0)</f>
        <v>0</v>
      </c>
      <c r="K629" s="139">
        <f>IF(AND('Ações'!$AC637="SIM", 'Ações'!AW637="SIM"), 1,0)</f>
        <v>0</v>
      </c>
      <c r="L629" s="139">
        <f>IF(AND('Ações'!$AC637="SIM", 'Ações'!AX637="SIM"), 1,0)</f>
        <v>0</v>
      </c>
      <c r="M629" s="139">
        <f>IF(AND('Ações'!$AD637="SIM", 'Ações'!AS637="SIM"), 1,0)</f>
        <v>0</v>
      </c>
      <c r="N629" s="139">
        <f>IF(AND('Ações'!$AD637="SIM", 'Ações'!AT637="SIM"), 1,0)</f>
        <v>0</v>
      </c>
      <c r="O629" s="139">
        <f>IF(AND('Ações'!$AD637="SIM", 'Ações'!AU637="SIM"), 1,0)</f>
        <v>0</v>
      </c>
      <c r="P629" s="139">
        <f>IF(AND('Ações'!$AD637="SIM", 'Ações'!AV637="SIM"), 1,0)</f>
        <v>0</v>
      </c>
      <c r="Q629" s="139">
        <f>IF(AND('Ações'!$AD637="SIM", 'Ações'!AW637="SIM"), 1,0)</f>
        <v>0</v>
      </c>
      <c r="R629" s="139">
        <f>IF(AND('Ações'!$AD637="SIM", 'Ações'!AX637="SIM"), 1,0)</f>
        <v>0</v>
      </c>
    </row>
    <row r="630">
      <c r="A630" s="139">
        <f>IF(AND('Ações'!AB638="SIM", 'Ações'!AS638="SIM"), 1,0)</f>
        <v>0</v>
      </c>
      <c r="B630" s="139">
        <f>IF(AND('Ações'!$AB638="SIM", 'Ações'!AT638="SIM"), 1,0)</f>
        <v>0</v>
      </c>
      <c r="C630" s="139">
        <f>IF(AND('Ações'!$AB638="SIM", 'Ações'!AU638="SIM"), 1,0)</f>
        <v>0</v>
      </c>
      <c r="D630" s="139">
        <f>IF(AND('Ações'!$AB638="SIM", 'Ações'!AV638="SIM"), 1,0)</f>
        <v>0</v>
      </c>
      <c r="E630" s="139">
        <f>IF(AND('Ações'!$AB638="SIM", 'Ações'!AW638="SIM"), 1,0)</f>
        <v>1</v>
      </c>
      <c r="F630" s="139">
        <f>IF(AND('Ações'!$AB638="SIM", 'Ações'!AX638="SIM"), 1,0)</f>
        <v>1</v>
      </c>
      <c r="G630" s="139">
        <f>IF(AND('Ações'!$AC638="SIM", 'Ações'!AS638="SIM"), 1,0)</f>
        <v>0</v>
      </c>
      <c r="H630" s="139">
        <f>IF(AND('Ações'!$AC638="SIM", 'Ações'!AT638="SIM"), 1,0)</f>
        <v>0</v>
      </c>
      <c r="I630" s="139">
        <f>IF(AND('Ações'!$AC638="SIM", 'Ações'!AU638="SIM"), 1,0)</f>
        <v>0</v>
      </c>
      <c r="J630" s="139">
        <f>IF(AND('Ações'!$AC638="SIM", 'Ações'!AV638="SIM"), 1,0)</f>
        <v>0</v>
      </c>
      <c r="K630" s="139">
        <f>IF(AND('Ações'!$AC638="SIM", 'Ações'!AW638="SIM"), 1,0)</f>
        <v>0</v>
      </c>
      <c r="L630" s="139">
        <f>IF(AND('Ações'!$AC638="SIM", 'Ações'!AX638="SIM"), 1,0)</f>
        <v>0</v>
      </c>
      <c r="M630" s="139">
        <f>IF(AND('Ações'!$AD638="SIM", 'Ações'!AS638="SIM"), 1,0)</f>
        <v>0</v>
      </c>
      <c r="N630" s="139">
        <f>IF(AND('Ações'!$AD638="SIM", 'Ações'!AT638="SIM"), 1,0)</f>
        <v>0</v>
      </c>
      <c r="O630" s="139">
        <f>IF(AND('Ações'!$AD638="SIM", 'Ações'!AU638="SIM"), 1,0)</f>
        <v>0</v>
      </c>
      <c r="P630" s="139">
        <f>IF(AND('Ações'!$AD638="SIM", 'Ações'!AV638="SIM"), 1,0)</f>
        <v>0</v>
      </c>
      <c r="Q630" s="139">
        <f>IF(AND('Ações'!$AD638="SIM", 'Ações'!AW638="SIM"), 1,0)</f>
        <v>0</v>
      </c>
      <c r="R630" s="139">
        <f>IF(AND('Ações'!$AD638="SIM", 'Ações'!AX638="SIM"), 1,0)</f>
        <v>0</v>
      </c>
    </row>
    <row r="631">
      <c r="A631" s="139">
        <f>IF(AND('Ações'!AB639="SIM", 'Ações'!AS639="SIM"), 1,0)</f>
        <v>0</v>
      </c>
      <c r="B631" s="139">
        <f>IF(AND('Ações'!$AB639="SIM", 'Ações'!AT639="SIM"), 1,0)</f>
        <v>0</v>
      </c>
      <c r="C631" s="139">
        <f>IF(AND('Ações'!$AB639="SIM", 'Ações'!AU639="SIM"), 1,0)</f>
        <v>0</v>
      </c>
      <c r="D631" s="139">
        <f>IF(AND('Ações'!$AB639="SIM", 'Ações'!AV639="SIM"), 1,0)</f>
        <v>0</v>
      </c>
      <c r="E631" s="139">
        <f>IF(AND('Ações'!$AB639="SIM", 'Ações'!AW639="SIM"), 1,0)</f>
        <v>1</v>
      </c>
      <c r="F631" s="139">
        <f>IF(AND('Ações'!$AB639="SIM", 'Ações'!AX639="SIM"), 1,0)</f>
        <v>1</v>
      </c>
      <c r="G631" s="139">
        <f>IF(AND('Ações'!$AC639="SIM", 'Ações'!AS639="SIM"), 1,0)</f>
        <v>0</v>
      </c>
      <c r="H631" s="139">
        <f>IF(AND('Ações'!$AC639="SIM", 'Ações'!AT639="SIM"), 1,0)</f>
        <v>0</v>
      </c>
      <c r="I631" s="139">
        <f>IF(AND('Ações'!$AC639="SIM", 'Ações'!AU639="SIM"), 1,0)</f>
        <v>0</v>
      </c>
      <c r="J631" s="139">
        <f>IF(AND('Ações'!$AC639="SIM", 'Ações'!AV639="SIM"), 1,0)</f>
        <v>0</v>
      </c>
      <c r="K631" s="139">
        <f>IF(AND('Ações'!$AC639="SIM", 'Ações'!AW639="SIM"), 1,0)</f>
        <v>0</v>
      </c>
      <c r="L631" s="139">
        <f>IF(AND('Ações'!$AC639="SIM", 'Ações'!AX639="SIM"), 1,0)</f>
        <v>0</v>
      </c>
      <c r="M631" s="139">
        <f>IF(AND('Ações'!$AD639="SIM", 'Ações'!AS639="SIM"), 1,0)</f>
        <v>0</v>
      </c>
      <c r="N631" s="139">
        <f>IF(AND('Ações'!$AD639="SIM", 'Ações'!AT639="SIM"), 1,0)</f>
        <v>0</v>
      </c>
      <c r="O631" s="139">
        <f>IF(AND('Ações'!$AD639="SIM", 'Ações'!AU639="SIM"), 1,0)</f>
        <v>0</v>
      </c>
      <c r="P631" s="139">
        <f>IF(AND('Ações'!$AD639="SIM", 'Ações'!AV639="SIM"), 1,0)</f>
        <v>0</v>
      </c>
      <c r="Q631" s="139">
        <f>IF(AND('Ações'!$AD639="SIM", 'Ações'!AW639="SIM"), 1,0)</f>
        <v>0</v>
      </c>
      <c r="R631" s="139">
        <f>IF(AND('Ações'!$AD639="SIM", 'Ações'!AX639="SIM"), 1,0)</f>
        <v>0</v>
      </c>
    </row>
    <row r="632">
      <c r="A632" s="139">
        <f>IF(AND('Ações'!AB640="SIM", 'Ações'!AS640="SIM"), 1,0)</f>
        <v>1</v>
      </c>
      <c r="B632" s="139">
        <f>IF(AND('Ações'!$AB640="SIM", 'Ações'!AT640="SIM"), 1,0)</f>
        <v>1</v>
      </c>
      <c r="C632" s="139">
        <f>IF(AND('Ações'!$AB640="SIM", 'Ações'!AU640="SIM"), 1,0)</f>
        <v>1</v>
      </c>
      <c r="D632" s="139">
        <f>IF(AND('Ações'!$AB640="SIM", 'Ações'!AV640="SIM"), 1,0)</f>
        <v>1</v>
      </c>
      <c r="E632" s="139">
        <f>IF(AND('Ações'!$AB640="SIM", 'Ações'!AW640="SIM"), 1,0)</f>
        <v>1</v>
      </c>
      <c r="F632" s="139">
        <f>IF(AND('Ações'!$AB640="SIM", 'Ações'!AX640="SIM"), 1,0)</f>
        <v>1</v>
      </c>
      <c r="G632" s="139">
        <f>IF(AND('Ações'!$AC640="SIM", 'Ações'!AS640="SIM"), 1,0)</f>
        <v>0</v>
      </c>
      <c r="H632" s="139">
        <f>IF(AND('Ações'!$AC640="SIM", 'Ações'!AT640="SIM"), 1,0)</f>
        <v>0</v>
      </c>
      <c r="I632" s="139">
        <f>IF(AND('Ações'!$AC640="SIM", 'Ações'!AU640="SIM"), 1,0)</f>
        <v>0</v>
      </c>
      <c r="J632" s="139">
        <f>IF(AND('Ações'!$AC640="SIM", 'Ações'!AV640="SIM"), 1,0)</f>
        <v>0</v>
      </c>
      <c r="K632" s="139">
        <f>IF(AND('Ações'!$AC640="SIM", 'Ações'!AW640="SIM"), 1,0)</f>
        <v>0</v>
      </c>
      <c r="L632" s="139">
        <f>IF(AND('Ações'!$AC640="SIM", 'Ações'!AX640="SIM"), 1,0)</f>
        <v>0</v>
      </c>
      <c r="M632" s="139">
        <f>IF(AND('Ações'!$AD640="SIM", 'Ações'!AS640="SIM"), 1,0)</f>
        <v>0</v>
      </c>
      <c r="N632" s="139">
        <f>IF(AND('Ações'!$AD640="SIM", 'Ações'!AT640="SIM"), 1,0)</f>
        <v>0</v>
      </c>
      <c r="O632" s="139">
        <f>IF(AND('Ações'!$AD640="SIM", 'Ações'!AU640="SIM"), 1,0)</f>
        <v>0</v>
      </c>
      <c r="P632" s="139">
        <f>IF(AND('Ações'!$AD640="SIM", 'Ações'!AV640="SIM"), 1,0)</f>
        <v>0</v>
      </c>
      <c r="Q632" s="139">
        <f>IF(AND('Ações'!$AD640="SIM", 'Ações'!AW640="SIM"), 1,0)</f>
        <v>0</v>
      </c>
      <c r="R632" s="139">
        <f>IF(AND('Ações'!$AD640="SIM", 'Ações'!AX640="SIM"), 1,0)</f>
        <v>0</v>
      </c>
    </row>
    <row r="633">
      <c r="A633" s="139">
        <f>IF(AND('Ações'!AB641="SIM", 'Ações'!AS641="SIM"), 1,0)</f>
        <v>0</v>
      </c>
      <c r="B633" s="139">
        <f>IF(AND('Ações'!$AB641="SIM", 'Ações'!AT641="SIM"), 1,0)</f>
        <v>0</v>
      </c>
      <c r="C633" s="139">
        <f>IF(AND('Ações'!$AB641="SIM", 'Ações'!AU641="SIM"), 1,0)</f>
        <v>0</v>
      </c>
      <c r="D633" s="139">
        <f>IF(AND('Ações'!$AB641="SIM", 'Ações'!AV641="SIM"), 1,0)</f>
        <v>0</v>
      </c>
      <c r="E633" s="139">
        <f>IF(AND('Ações'!$AB641="SIM", 'Ações'!AW641="SIM"), 1,0)</f>
        <v>0</v>
      </c>
      <c r="F633" s="139">
        <f>IF(AND('Ações'!$AB641="SIM", 'Ações'!AX641="SIM"), 1,0)</f>
        <v>0</v>
      </c>
      <c r="G633" s="139">
        <f>IF(AND('Ações'!$AC641="SIM", 'Ações'!AS641="SIM"), 1,0)</f>
        <v>1</v>
      </c>
      <c r="H633" s="139">
        <f>IF(AND('Ações'!$AC641="SIM", 'Ações'!AT641="SIM"), 1,0)</f>
        <v>1</v>
      </c>
      <c r="I633" s="139">
        <f>IF(AND('Ações'!$AC641="SIM", 'Ações'!AU641="SIM"), 1,0)</f>
        <v>1</v>
      </c>
      <c r="J633" s="139">
        <f>IF(AND('Ações'!$AC641="SIM", 'Ações'!AV641="SIM"), 1,0)</f>
        <v>1</v>
      </c>
      <c r="K633" s="139">
        <f>IF(AND('Ações'!$AC641="SIM", 'Ações'!AW641="SIM"), 1,0)</f>
        <v>1</v>
      </c>
      <c r="L633" s="139">
        <f>IF(AND('Ações'!$AC641="SIM", 'Ações'!AX641="SIM"), 1,0)</f>
        <v>1</v>
      </c>
      <c r="M633" s="139">
        <f>IF(AND('Ações'!$AD641="SIM", 'Ações'!AS641="SIM"), 1,0)</f>
        <v>0</v>
      </c>
      <c r="N633" s="139">
        <f>IF(AND('Ações'!$AD641="SIM", 'Ações'!AT641="SIM"), 1,0)</f>
        <v>0</v>
      </c>
      <c r="O633" s="139">
        <f>IF(AND('Ações'!$AD641="SIM", 'Ações'!AU641="SIM"), 1,0)</f>
        <v>0</v>
      </c>
      <c r="P633" s="139">
        <f>IF(AND('Ações'!$AD641="SIM", 'Ações'!AV641="SIM"), 1,0)</f>
        <v>0</v>
      </c>
      <c r="Q633" s="139">
        <f>IF(AND('Ações'!$AD641="SIM", 'Ações'!AW641="SIM"), 1,0)</f>
        <v>0</v>
      </c>
      <c r="R633" s="139">
        <f>IF(AND('Ações'!$AD641="SIM", 'Ações'!AX641="SIM"), 1,0)</f>
        <v>0</v>
      </c>
    </row>
    <row r="634">
      <c r="A634" s="139">
        <f>IF(AND('Ações'!AB642="SIM", 'Ações'!AS642="SIM"), 1,0)</f>
        <v>0</v>
      </c>
      <c r="B634" s="139">
        <f>IF(AND('Ações'!$AB642="SIM", 'Ações'!AT642="SIM"), 1,0)</f>
        <v>0</v>
      </c>
      <c r="C634" s="139">
        <f>IF(AND('Ações'!$AB642="SIM", 'Ações'!AU642="SIM"), 1,0)</f>
        <v>0</v>
      </c>
      <c r="D634" s="139">
        <f>IF(AND('Ações'!$AB642="SIM", 'Ações'!AV642="SIM"), 1,0)</f>
        <v>0</v>
      </c>
      <c r="E634" s="139">
        <f>IF(AND('Ações'!$AB642="SIM", 'Ações'!AW642="SIM"), 1,0)</f>
        <v>1</v>
      </c>
      <c r="F634" s="139">
        <f>IF(AND('Ações'!$AB642="SIM", 'Ações'!AX642="SIM"), 1,0)</f>
        <v>1</v>
      </c>
      <c r="G634" s="139">
        <f>IF(AND('Ações'!$AC642="SIM", 'Ações'!AS642="SIM"), 1,0)</f>
        <v>0</v>
      </c>
      <c r="H634" s="139">
        <f>IF(AND('Ações'!$AC642="SIM", 'Ações'!AT642="SIM"), 1,0)</f>
        <v>0</v>
      </c>
      <c r="I634" s="139">
        <f>IF(AND('Ações'!$AC642="SIM", 'Ações'!AU642="SIM"), 1,0)</f>
        <v>0</v>
      </c>
      <c r="J634" s="139">
        <f>IF(AND('Ações'!$AC642="SIM", 'Ações'!AV642="SIM"), 1,0)</f>
        <v>0</v>
      </c>
      <c r="K634" s="139">
        <f>IF(AND('Ações'!$AC642="SIM", 'Ações'!AW642="SIM"), 1,0)</f>
        <v>0</v>
      </c>
      <c r="L634" s="139">
        <f>IF(AND('Ações'!$AC642="SIM", 'Ações'!AX642="SIM"), 1,0)</f>
        <v>0</v>
      </c>
      <c r="M634" s="139">
        <f>IF(AND('Ações'!$AD642="SIM", 'Ações'!AS642="SIM"), 1,0)</f>
        <v>0</v>
      </c>
      <c r="N634" s="139">
        <f>IF(AND('Ações'!$AD642="SIM", 'Ações'!AT642="SIM"), 1,0)</f>
        <v>0</v>
      </c>
      <c r="O634" s="139">
        <f>IF(AND('Ações'!$AD642="SIM", 'Ações'!AU642="SIM"), 1,0)</f>
        <v>0</v>
      </c>
      <c r="P634" s="139">
        <f>IF(AND('Ações'!$AD642="SIM", 'Ações'!AV642="SIM"), 1,0)</f>
        <v>0</v>
      </c>
      <c r="Q634" s="139">
        <f>IF(AND('Ações'!$AD642="SIM", 'Ações'!AW642="SIM"), 1,0)</f>
        <v>0</v>
      </c>
      <c r="R634" s="139">
        <f>IF(AND('Ações'!$AD642="SIM", 'Ações'!AX642="SIM"), 1,0)</f>
        <v>0</v>
      </c>
    </row>
    <row r="635">
      <c r="A635" s="139">
        <f>IF(AND('Ações'!AB643="SIM", 'Ações'!AS643="SIM"), 1,0)</f>
        <v>0</v>
      </c>
      <c r="B635" s="139">
        <f>IF(AND('Ações'!$AB643="SIM", 'Ações'!AT643="SIM"), 1,0)</f>
        <v>0</v>
      </c>
      <c r="C635" s="139">
        <f>IF(AND('Ações'!$AB643="SIM", 'Ações'!AU643="SIM"), 1,0)</f>
        <v>0</v>
      </c>
      <c r="D635" s="139">
        <f>IF(AND('Ações'!$AB643="SIM", 'Ações'!AV643="SIM"), 1,0)</f>
        <v>0</v>
      </c>
      <c r="E635" s="139">
        <f>IF(AND('Ações'!$AB643="SIM", 'Ações'!AW643="SIM"), 1,0)</f>
        <v>1</v>
      </c>
      <c r="F635" s="139">
        <f>IF(AND('Ações'!$AB643="SIM", 'Ações'!AX643="SIM"), 1,0)</f>
        <v>1</v>
      </c>
      <c r="G635" s="139">
        <f>IF(AND('Ações'!$AC643="SIM", 'Ações'!AS643="SIM"), 1,0)</f>
        <v>0</v>
      </c>
      <c r="H635" s="139">
        <f>IF(AND('Ações'!$AC643="SIM", 'Ações'!AT643="SIM"), 1,0)</f>
        <v>0</v>
      </c>
      <c r="I635" s="139">
        <f>IF(AND('Ações'!$AC643="SIM", 'Ações'!AU643="SIM"), 1,0)</f>
        <v>0</v>
      </c>
      <c r="J635" s="139">
        <f>IF(AND('Ações'!$AC643="SIM", 'Ações'!AV643="SIM"), 1,0)</f>
        <v>0</v>
      </c>
      <c r="K635" s="139">
        <f>IF(AND('Ações'!$AC643="SIM", 'Ações'!AW643="SIM"), 1,0)</f>
        <v>0</v>
      </c>
      <c r="L635" s="139">
        <f>IF(AND('Ações'!$AC643="SIM", 'Ações'!AX643="SIM"), 1,0)</f>
        <v>0</v>
      </c>
      <c r="M635" s="139">
        <f>IF(AND('Ações'!$AD643="SIM", 'Ações'!AS643="SIM"), 1,0)</f>
        <v>0</v>
      </c>
      <c r="N635" s="139">
        <f>IF(AND('Ações'!$AD643="SIM", 'Ações'!AT643="SIM"), 1,0)</f>
        <v>0</v>
      </c>
      <c r="O635" s="139">
        <f>IF(AND('Ações'!$AD643="SIM", 'Ações'!AU643="SIM"), 1,0)</f>
        <v>0</v>
      </c>
      <c r="P635" s="139">
        <f>IF(AND('Ações'!$AD643="SIM", 'Ações'!AV643="SIM"), 1,0)</f>
        <v>0</v>
      </c>
      <c r="Q635" s="139">
        <f>IF(AND('Ações'!$AD643="SIM", 'Ações'!AW643="SIM"), 1,0)</f>
        <v>0</v>
      </c>
      <c r="R635" s="139">
        <f>IF(AND('Ações'!$AD643="SIM", 'Ações'!AX643="SIM"), 1,0)</f>
        <v>0</v>
      </c>
    </row>
    <row r="636">
      <c r="A636" s="139">
        <f>IF(AND('Ações'!AB644="SIM", 'Ações'!AS644="SIM"), 1,0)</f>
        <v>0</v>
      </c>
      <c r="B636" s="139">
        <f>IF(AND('Ações'!$AB644="SIM", 'Ações'!AT644="SIM"), 1,0)</f>
        <v>0</v>
      </c>
      <c r="C636" s="139">
        <f>IF(AND('Ações'!$AB644="SIM", 'Ações'!AU644="SIM"), 1,0)</f>
        <v>0</v>
      </c>
      <c r="D636" s="139">
        <f>IF(AND('Ações'!$AB644="SIM", 'Ações'!AV644="SIM"), 1,0)</f>
        <v>0</v>
      </c>
      <c r="E636" s="139">
        <f>IF(AND('Ações'!$AB644="SIM", 'Ações'!AW644="SIM"), 1,0)</f>
        <v>1</v>
      </c>
      <c r="F636" s="139">
        <f>IF(AND('Ações'!$AB644="SIM", 'Ações'!AX644="SIM"), 1,0)</f>
        <v>1</v>
      </c>
      <c r="G636" s="139">
        <f>IF(AND('Ações'!$AC644="SIM", 'Ações'!AS644="SIM"), 1,0)</f>
        <v>0</v>
      </c>
      <c r="H636" s="139">
        <f>IF(AND('Ações'!$AC644="SIM", 'Ações'!AT644="SIM"), 1,0)</f>
        <v>0</v>
      </c>
      <c r="I636" s="139">
        <f>IF(AND('Ações'!$AC644="SIM", 'Ações'!AU644="SIM"), 1,0)</f>
        <v>0</v>
      </c>
      <c r="J636" s="139">
        <f>IF(AND('Ações'!$AC644="SIM", 'Ações'!AV644="SIM"), 1,0)</f>
        <v>0</v>
      </c>
      <c r="K636" s="139">
        <f>IF(AND('Ações'!$AC644="SIM", 'Ações'!AW644="SIM"), 1,0)</f>
        <v>0</v>
      </c>
      <c r="L636" s="139">
        <f>IF(AND('Ações'!$AC644="SIM", 'Ações'!AX644="SIM"), 1,0)</f>
        <v>0</v>
      </c>
      <c r="M636" s="139">
        <f>IF(AND('Ações'!$AD644="SIM", 'Ações'!AS644="SIM"), 1,0)</f>
        <v>0</v>
      </c>
      <c r="N636" s="139">
        <f>IF(AND('Ações'!$AD644="SIM", 'Ações'!AT644="SIM"), 1,0)</f>
        <v>0</v>
      </c>
      <c r="O636" s="139">
        <f>IF(AND('Ações'!$AD644="SIM", 'Ações'!AU644="SIM"), 1,0)</f>
        <v>0</v>
      </c>
      <c r="P636" s="139">
        <f>IF(AND('Ações'!$AD644="SIM", 'Ações'!AV644="SIM"), 1,0)</f>
        <v>0</v>
      </c>
      <c r="Q636" s="139">
        <f>IF(AND('Ações'!$AD644="SIM", 'Ações'!AW644="SIM"), 1,0)</f>
        <v>0</v>
      </c>
      <c r="R636" s="139">
        <f>IF(AND('Ações'!$AD644="SIM", 'Ações'!AX644="SIM"), 1,0)</f>
        <v>0</v>
      </c>
    </row>
    <row r="637">
      <c r="A637" s="139">
        <f>IF(AND('Ações'!AB645="SIM", 'Ações'!AS645="SIM"), 1,0)</f>
        <v>0</v>
      </c>
      <c r="B637" s="139">
        <f>IF(AND('Ações'!$AB645="SIM", 'Ações'!AT645="SIM"), 1,0)</f>
        <v>0</v>
      </c>
      <c r="C637" s="139">
        <f>IF(AND('Ações'!$AB645="SIM", 'Ações'!AU645="SIM"), 1,0)</f>
        <v>0</v>
      </c>
      <c r="D637" s="139">
        <f>IF(AND('Ações'!$AB645="SIM", 'Ações'!AV645="SIM"), 1,0)</f>
        <v>0</v>
      </c>
      <c r="E637" s="139">
        <f>IF(AND('Ações'!$AB645="SIM", 'Ações'!AW645="SIM"), 1,0)</f>
        <v>1</v>
      </c>
      <c r="F637" s="139">
        <f>IF(AND('Ações'!$AB645="SIM", 'Ações'!AX645="SIM"), 1,0)</f>
        <v>1</v>
      </c>
      <c r="G637" s="139">
        <f>IF(AND('Ações'!$AC645="SIM", 'Ações'!AS645="SIM"), 1,0)</f>
        <v>0</v>
      </c>
      <c r="H637" s="139">
        <f>IF(AND('Ações'!$AC645="SIM", 'Ações'!AT645="SIM"), 1,0)</f>
        <v>0</v>
      </c>
      <c r="I637" s="139">
        <f>IF(AND('Ações'!$AC645="SIM", 'Ações'!AU645="SIM"), 1,0)</f>
        <v>0</v>
      </c>
      <c r="J637" s="139">
        <f>IF(AND('Ações'!$AC645="SIM", 'Ações'!AV645="SIM"), 1,0)</f>
        <v>0</v>
      </c>
      <c r="K637" s="139">
        <f>IF(AND('Ações'!$AC645="SIM", 'Ações'!AW645="SIM"), 1,0)</f>
        <v>0</v>
      </c>
      <c r="L637" s="139">
        <f>IF(AND('Ações'!$AC645="SIM", 'Ações'!AX645="SIM"), 1,0)</f>
        <v>0</v>
      </c>
      <c r="M637" s="139">
        <f>IF(AND('Ações'!$AD645="SIM", 'Ações'!AS645="SIM"), 1,0)</f>
        <v>0</v>
      </c>
      <c r="N637" s="139">
        <f>IF(AND('Ações'!$AD645="SIM", 'Ações'!AT645="SIM"), 1,0)</f>
        <v>0</v>
      </c>
      <c r="O637" s="139">
        <f>IF(AND('Ações'!$AD645="SIM", 'Ações'!AU645="SIM"), 1,0)</f>
        <v>0</v>
      </c>
      <c r="P637" s="139">
        <f>IF(AND('Ações'!$AD645="SIM", 'Ações'!AV645="SIM"), 1,0)</f>
        <v>0</v>
      </c>
      <c r="Q637" s="139">
        <f>IF(AND('Ações'!$AD645="SIM", 'Ações'!AW645="SIM"), 1,0)</f>
        <v>0</v>
      </c>
      <c r="R637" s="139">
        <f>IF(AND('Ações'!$AD645="SIM", 'Ações'!AX645="SIM"), 1,0)</f>
        <v>0</v>
      </c>
    </row>
    <row r="638">
      <c r="A638" s="139">
        <f>IF(AND('Ações'!AB646="SIM", 'Ações'!AS646="SIM"), 1,0)</f>
        <v>0</v>
      </c>
      <c r="B638" s="139">
        <f>IF(AND('Ações'!$AB646="SIM", 'Ações'!AT646="SIM"), 1,0)</f>
        <v>0</v>
      </c>
      <c r="C638" s="139">
        <f>IF(AND('Ações'!$AB646="SIM", 'Ações'!AU646="SIM"), 1,0)</f>
        <v>0</v>
      </c>
      <c r="D638" s="139">
        <f>IF(AND('Ações'!$AB646="SIM", 'Ações'!AV646="SIM"), 1,0)</f>
        <v>0</v>
      </c>
      <c r="E638" s="139">
        <f>IF(AND('Ações'!$AB646="SIM", 'Ações'!AW646="SIM"), 1,0)</f>
        <v>1</v>
      </c>
      <c r="F638" s="139">
        <f>IF(AND('Ações'!$AB646="SIM", 'Ações'!AX646="SIM"), 1,0)</f>
        <v>1</v>
      </c>
      <c r="G638" s="139">
        <f>IF(AND('Ações'!$AC646="SIM", 'Ações'!AS646="SIM"), 1,0)</f>
        <v>0</v>
      </c>
      <c r="H638" s="139">
        <f>IF(AND('Ações'!$AC646="SIM", 'Ações'!AT646="SIM"), 1,0)</f>
        <v>0</v>
      </c>
      <c r="I638" s="139">
        <f>IF(AND('Ações'!$AC646="SIM", 'Ações'!AU646="SIM"), 1,0)</f>
        <v>0</v>
      </c>
      <c r="J638" s="139">
        <f>IF(AND('Ações'!$AC646="SIM", 'Ações'!AV646="SIM"), 1,0)</f>
        <v>0</v>
      </c>
      <c r="K638" s="139">
        <f>IF(AND('Ações'!$AC646="SIM", 'Ações'!AW646="SIM"), 1,0)</f>
        <v>0</v>
      </c>
      <c r="L638" s="139">
        <f>IF(AND('Ações'!$AC646="SIM", 'Ações'!AX646="SIM"), 1,0)</f>
        <v>0</v>
      </c>
      <c r="M638" s="139">
        <f>IF(AND('Ações'!$AD646="SIM", 'Ações'!AS646="SIM"), 1,0)</f>
        <v>0</v>
      </c>
      <c r="N638" s="139">
        <f>IF(AND('Ações'!$AD646="SIM", 'Ações'!AT646="SIM"), 1,0)</f>
        <v>0</v>
      </c>
      <c r="O638" s="139">
        <f>IF(AND('Ações'!$AD646="SIM", 'Ações'!AU646="SIM"), 1,0)</f>
        <v>0</v>
      </c>
      <c r="P638" s="139">
        <f>IF(AND('Ações'!$AD646="SIM", 'Ações'!AV646="SIM"), 1,0)</f>
        <v>0</v>
      </c>
      <c r="Q638" s="139">
        <f>IF(AND('Ações'!$AD646="SIM", 'Ações'!AW646="SIM"), 1,0)</f>
        <v>0</v>
      </c>
      <c r="R638" s="139">
        <f>IF(AND('Ações'!$AD646="SIM", 'Ações'!AX646="SIM"), 1,0)</f>
        <v>0</v>
      </c>
    </row>
    <row r="639">
      <c r="A639" s="139">
        <f>IF(AND('Ações'!AB647="SIM", 'Ações'!AS647="SIM"), 1,0)</f>
        <v>0</v>
      </c>
      <c r="B639" s="139">
        <f>IF(AND('Ações'!$AB647="SIM", 'Ações'!AT647="SIM"), 1,0)</f>
        <v>0</v>
      </c>
      <c r="C639" s="139">
        <f>IF(AND('Ações'!$AB647="SIM", 'Ações'!AU647="SIM"), 1,0)</f>
        <v>0</v>
      </c>
      <c r="D639" s="139">
        <f>IF(AND('Ações'!$AB647="SIM", 'Ações'!AV647="SIM"), 1,0)</f>
        <v>0</v>
      </c>
      <c r="E639" s="139">
        <f>IF(AND('Ações'!$AB647="SIM", 'Ações'!AW647="SIM"), 1,0)</f>
        <v>1</v>
      </c>
      <c r="F639" s="139">
        <f>IF(AND('Ações'!$AB647="SIM", 'Ações'!AX647="SIM"), 1,0)</f>
        <v>1</v>
      </c>
      <c r="G639" s="139">
        <f>IF(AND('Ações'!$AC647="SIM", 'Ações'!AS647="SIM"), 1,0)</f>
        <v>0</v>
      </c>
      <c r="H639" s="139">
        <f>IF(AND('Ações'!$AC647="SIM", 'Ações'!AT647="SIM"), 1,0)</f>
        <v>0</v>
      </c>
      <c r="I639" s="139">
        <f>IF(AND('Ações'!$AC647="SIM", 'Ações'!AU647="SIM"), 1,0)</f>
        <v>0</v>
      </c>
      <c r="J639" s="139">
        <f>IF(AND('Ações'!$AC647="SIM", 'Ações'!AV647="SIM"), 1,0)</f>
        <v>0</v>
      </c>
      <c r="K639" s="139">
        <f>IF(AND('Ações'!$AC647="SIM", 'Ações'!AW647="SIM"), 1,0)</f>
        <v>0</v>
      </c>
      <c r="L639" s="139">
        <f>IF(AND('Ações'!$AC647="SIM", 'Ações'!AX647="SIM"), 1,0)</f>
        <v>0</v>
      </c>
      <c r="M639" s="139">
        <f>IF(AND('Ações'!$AD647="SIM", 'Ações'!AS647="SIM"), 1,0)</f>
        <v>0</v>
      </c>
      <c r="N639" s="139">
        <f>IF(AND('Ações'!$AD647="SIM", 'Ações'!AT647="SIM"), 1,0)</f>
        <v>0</v>
      </c>
      <c r="O639" s="139">
        <f>IF(AND('Ações'!$AD647="SIM", 'Ações'!AU647="SIM"), 1,0)</f>
        <v>0</v>
      </c>
      <c r="P639" s="139">
        <f>IF(AND('Ações'!$AD647="SIM", 'Ações'!AV647="SIM"), 1,0)</f>
        <v>0</v>
      </c>
      <c r="Q639" s="139">
        <f>IF(AND('Ações'!$AD647="SIM", 'Ações'!AW647="SIM"), 1,0)</f>
        <v>0</v>
      </c>
      <c r="R639" s="139">
        <f>IF(AND('Ações'!$AD647="SIM", 'Ações'!AX647="SIM"), 1,0)</f>
        <v>0</v>
      </c>
    </row>
    <row r="640">
      <c r="A640" s="139">
        <f>IF(AND('Ações'!AB648="SIM", 'Ações'!AS648="SIM"), 1,0)</f>
        <v>0</v>
      </c>
      <c r="B640" s="139">
        <f>IF(AND('Ações'!$AB648="SIM", 'Ações'!AT648="SIM"), 1,0)</f>
        <v>0</v>
      </c>
      <c r="C640" s="139">
        <f>IF(AND('Ações'!$AB648="SIM", 'Ações'!AU648="SIM"), 1,0)</f>
        <v>0</v>
      </c>
      <c r="D640" s="139">
        <f>IF(AND('Ações'!$AB648="SIM", 'Ações'!AV648="SIM"), 1,0)</f>
        <v>0</v>
      </c>
      <c r="E640" s="139">
        <f>IF(AND('Ações'!$AB648="SIM", 'Ações'!AW648="SIM"), 1,0)</f>
        <v>1</v>
      </c>
      <c r="F640" s="139">
        <f>IF(AND('Ações'!$AB648="SIM", 'Ações'!AX648="SIM"), 1,0)</f>
        <v>1</v>
      </c>
      <c r="G640" s="139">
        <f>IF(AND('Ações'!$AC648="SIM", 'Ações'!AS648="SIM"), 1,0)</f>
        <v>0</v>
      </c>
      <c r="H640" s="139">
        <f>IF(AND('Ações'!$AC648="SIM", 'Ações'!AT648="SIM"), 1,0)</f>
        <v>0</v>
      </c>
      <c r="I640" s="139">
        <f>IF(AND('Ações'!$AC648="SIM", 'Ações'!AU648="SIM"), 1,0)</f>
        <v>0</v>
      </c>
      <c r="J640" s="139">
        <f>IF(AND('Ações'!$AC648="SIM", 'Ações'!AV648="SIM"), 1,0)</f>
        <v>0</v>
      </c>
      <c r="K640" s="139">
        <f>IF(AND('Ações'!$AC648="SIM", 'Ações'!AW648="SIM"), 1,0)</f>
        <v>0</v>
      </c>
      <c r="L640" s="139">
        <f>IF(AND('Ações'!$AC648="SIM", 'Ações'!AX648="SIM"), 1,0)</f>
        <v>0</v>
      </c>
      <c r="M640" s="139">
        <f>IF(AND('Ações'!$AD648="SIM", 'Ações'!AS648="SIM"), 1,0)</f>
        <v>0</v>
      </c>
      <c r="N640" s="139">
        <f>IF(AND('Ações'!$AD648="SIM", 'Ações'!AT648="SIM"), 1,0)</f>
        <v>0</v>
      </c>
      <c r="O640" s="139">
        <f>IF(AND('Ações'!$AD648="SIM", 'Ações'!AU648="SIM"), 1,0)</f>
        <v>0</v>
      </c>
      <c r="P640" s="139">
        <f>IF(AND('Ações'!$AD648="SIM", 'Ações'!AV648="SIM"), 1,0)</f>
        <v>0</v>
      </c>
      <c r="Q640" s="139">
        <f>IF(AND('Ações'!$AD648="SIM", 'Ações'!AW648="SIM"), 1,0)</f>
        <v>0</v>
      </c>
      <c r="R640" s="139">
        <f>IF(AND('Ações'!$AD648="SIM", 'Ações'!AX648="SIM"), 1,0)</f>
        <v>0</v>
      </c>
    </row>
    <row r="641">
      <c r="A641" s="139">
        <f>IF(AND('Ações'!AB649="SIM", 'Ações'!AS649="SIM"), 1,0)</f>
        <v>0</v>
      </c>
      <c r="B641" s="139">
        <f>IF(AND('Ações'!$AB649="SIM", 'Ações'!AT649="SIM"), 1,0)</f>
        <v>0</v>
      </c>
      <c r="C641" s="139">
        <f>IF(AND('Ações'!$AB649="SIM", 'Ações'!AU649="SIM"), 1,0)</f>
        <v>0</v>
      </c>
      <c r="D641" s="139">
        <f>IF(AND('Ações'!$AB649="SIM", 'Ações'!AV649="SIM"), 1,0)</f>
        <v>0</v>
      </c>
      <c r="E641" s="139">
        <f>IF(AND('Ações'!$AB649="SIM", 'Ações'!AW649="SIM"), 1,0)</f>
        <v>1</v>
      </c>
      <c r="F641" s="139">
        <f>IF(AND('Ações'!$AB649="SIM", 'Ações'!AX649="SIM"), 1,0)</f>
        <v>1</v>
      </c>
      <c r="G641" s="139">
        <f>IF(AND('Ações'!$AC649="SIM", 'Ações'!AS649="SIM"), 1,0)</f>
        <v>0</v>
      </c>
      <c r="H641" s="139">
        <f>IF(AND('Ações'!$AC649="SIM", 'Ações'!AT649="SIM"), 1,0)</f>
        <v>0</v>
      </c>
      <c r="I641" s="139">
        <f>IF(AND('Ações'!$AC649="SIM", 'Ações'!AU649="SIM"), 1,0)</f>
        <v>0</v>
      </c>
      <c r="J641" s="139">
        <f>IF(AND('Ações'!$AC649="SIM", 'Ações'!AV649="SIM"), 1,0)</f>
        <v>0</v>
      </c>
      <c r="K641" s="139">
        <f>IF(AND('Ações'!$AC649="SIM", 'Ações'!AW649="SIM"), 1,0)</f>
        <v>0</v>
      </c>
      <c r="L641" s="139">
        <f>IF(AND('Ações'!$AC649="SIM", 'Ações'!AX649="SIM"), 1,0)</f>
        <v>0</v>
      </c>
      <c r="M641" s="139">
        <f>IF(AND('Ações'!$AD649="SIM", 'Ações'!AS649="SIM"), 1,0)</f>
        <v>0</v>
      </c>
      <c r="N641" s="139">
        <f>IF(AND('Ações'!$AD649="SIM", 'Ações'!AT649="SIM"), 1,0)</f>
        <v>0</v>
      </c>
      <c r="O641" s="139">
        <f>IF(AND('Ações'!$AD649="SIM", 'Ações'!AU649="SIM"), 1,0)</f>
        <v>0</v>
      </c>
      <c r="P641" s="139">
        <f>IF(AND('Ações'!$AD649="SIM", 'Ações'!AV649="SIM"), 1,0)</f>
        <v>0</v>
      </c>
      <c r="Q641" s="139">
        <f>IF(AND('Ações'!$AD649="SIM", 'Ações'!AW649="SIM"), 1,0)</f>
        <v>0</v>
      </c>
      <c r="R641" s="139">
        <f>IF(AND('Ações'!$AD649="SIM", 'Ações'!AX649="SIM"), 1,0)</f>
        <v>0</v>
      </c>
    </row>
    <row r="642">
      <c r="A642" s="139">
        <f>IF(AND('Ações'!AB650="SIM", 'Ações'!AS650="SIM"), 1,0)</f>
        <v>0</v>
      </c>
      <c r="B642" s="139">
        <f>IF(AND('Ações'!$AB650="SIM", 'Ações'!AT650="SIM"), 1,0)</f>
        <v>1</v>
      </c>
      <c r="C642" s="139">
        <f>IF(AND('Ações'!$AB650="SIM", 'Ações'!AU650="SIM"), 1,0)</f>
        <v>1</v>
      </c>
      <c r="D642" s="139">
        <f>IF(AND('Ações'!$AB650="SIM", 'Ações'!AV650="SIM"), 1,0)</f>
        <v>1</v>
      </c>
      <c r="E642" s="139">
        <f>IF(AND('Ações'!$AB650="SIM", 'Ações'!AW650="SIM"), 1,0)</f>
        <v>1</v>
      </c>
      <c r="F642" s="139">
        <f>IF(AND('Ações'!$AB650="SIM", 'Ações'!AX650="SIM"), 1,0)</f>
        <v>1</v>
      </c>
      <c r="G642" s="139">
        <f>IF(AND('Ações'!$AC650="SIM", 'Ações'!AS650="SIM"), 1,0)</f>
        <v>0</v>
      </c>
      <c r="H642" s="139">
        <f>IF(AND('Ações'!$AC650="SIM", 'Ações'!AT650="SIM"), 1,0)</f>
        <v>0</v>
      </c>
      <c r="I642" s="139">
        <f>IF(AND('Ações'!$AC650="SIM", 'Ações'!AU650="SIM"), 1,0)</f>
        <v>0</v>
      </c>
      <c r="J642" s="139">
        <f>IF(AND('Ações'!$AC650="SIM", 'Ações'!AV650="SIM"), 1,0)</f>
        <v>0</v>
      </c>
      <c r="K642" s="139">
        <f>IF(AND('Ações'!$AC650="SIM", 'Ações'!AW650="SIM"), 1,0)</f>
        <v>0</v>
      </c>
      <c r="L642" s="139">
        <f>IF(AND('Ações'!$AC650="SIM", 'Ações'!AX650="SIM"), 1,0)</f>
        <v>0</v>
      </c>
      <c r="M642" s="139">
        <f>IF(AND('Ações'!$AD650="SIM", 'Ações'!AS650="SIM"), 1,0)</f>
        <v>0</v>
      </c>
      <c r="N642" s="139">
        <f>IF(AND('Ações'!$AD650="SIM", 'Ações'!AT650="SIM"), 1,0)</f>
        <v>0</v>
      </c>
      <c r="O642" s="139">
        <f>IF(AND('Ações'!$AD650="SIM", 'Ações'!AU650="SIM"), 1,0)</f>
        <v>0</v>
      </c>
      <c r="P642" s="139">
        <f>IF(AND('Ações'!$AD650="SIM", 'Ações'!AV650="SIM"), 1,0)</f>
        <v>0</v>
      </c>
      <c r="Q642" s="139">
        <f>IF(AND('Ações'!$AD650="SIM", 'Ações'!AW650="SIM"), 1,0)</f>
        <v>0</v>
      </c>
      <c r="R642" s="139">
        <f>IF(AND('Ações'!$AD650="SIM", 'Ações'!AX650="SIM"), 1,0)</f>
        <v>0</v>
      </c>
    </row>
    <row r="643">
      <c r="A643" s="139">
        <f>IF(AND('Ações'!AB651="SIM", 'Ações'!AS651="SIM"), 1,0)</f>
        <v>0</v>
      </c>
      <c r="B643" s="139">
        <f>IF(AND('Ações'!$AB651="SIM", 'Ações'!AT651="SIM"), 1,0)</f>
        <v>1</v>
      </c>
      <c r="C643" s="139">
        <f>IF(AND('Ações'!$AB651="SIM", 'Ações'!AU651="SIM"), 1,0)</f>
        <v>1</v>
      </c>
      <c r="D643" s="139">
        <f>IF(AND('Ações'!$AB651="SIM", 'Ações'!AV651="SIM"), 1,0)</f>
        <v>1</v>
      </c>
      <c r="E643" s="139">
        <f>IF(AND('Ações'!$AB651="SIM", 'Ações'!AW651="SIM"), 1,0)</f>
        <v>1</v>
      </c>
      <c r="F643" s="139">
        <f>IF(AND('Ações'!$AB651="SIM", 'Ações'!AX651="SIM"), 1,0)</f>
        <v>1</v>
      </c>
      <c r="G643" s="139">
        <f>IF(AND('Ações'!$AC651="SIM", 'Ações'!AS651="SIM"), 1,0)</f>
        <v>0</v>
      </c>
      <c r="H643" s="139">
        <f>IF(AND('Ações'!$AC651="SIM", 'Ações'!AT651="SIM"), 1,0)</f>
        <v>0</v>
      </c>
      <c r="I643" s="139">
        <f>IF(AND('Ações'!$AC651="SIM", 'Ações'!AU651="SIM"), 1,0)</f>
        <v>0</v>
      </c>
      <c r="J643" s="139">
        <f>IF(AND('Ações'!$AC651="SIM", 'Ações'!AV651="SIM"), 1,0)</f>
        <v>0</v>
      </c>
      <c r="K643" s="139">
        <f>IF(AND('Ações'!$AC651="SIM", 'Ações'!AW651="SIM"), 1,0)</f>
        <v>0</v>
      </c>
      <c r="L643" s="139">
        <f>IF(AND('Ações'!$AC651="SIM", 'Ações'!AX651="SIM"), 1,0)</f>
        <v>0</v>
      </c>
      <c r="M643" s="139">
        <f>IF(AND('Ações'!$AD651="SIM", 'Ações'!AS651="SIM"), 1,0)</f>
        <v>0</v>
      </c>
      <c r="N643" s="139">
        <f>IF(AND('Ações'!$AD651="SIM", 'Ações'!AT651="SIM"), 1,0)</f>
        <v>0</v>
      </c>
      <c r="O643" s="139">
        <f>IF(AND('Ações'!$AD651="SIM", 'Ações'!AU651="SIM"), 1,0)</f>
        <v>0</v>
      </c>
      <c r="P643" s="139">
        <f>IF(AND('Ações'!$AD651="SIM", 'Ações'!AV651="SIM"), 1,0)</f>
        <v>0</v>
      </c>
      <c r="Q643" s="139">
        <f>IF(AND('Ações'!$AD651="SIM", 'Ações'!AW651="SIM"), 1,0)</f>
        <v>0</v>
      </c>
      <c r="R643" s="139">
        <f>IF(AND('Ações'!$AD651="SIM", 'Ações'!AX651="SIM"), 1,0)</f>
        <v>0</v>
      </c>
    </row>
    <row r="644">
      <c r="A644" s="139">
        <f>IF(AND('Ações'!AB652="SIM", 'Ações'!AS652="SIM"), 1,0)</f>
        <v>0</v>
      </c>
      <c r="B644" s="139">
        <f>IF(AND('Ações'!$AB652="SIM", 'Ações'!AT652="SIM"), 1,0)</f>
        <v>1</v>
      </c>
      <c r="C644" s="139">
        <f>IF(AND('Ações'!$AB652="SIM", 'Ações'!AU652="SIM"), 1,0)</f>
        <v>1</v>
      </c>
      <c r="D644" s="139">
        <f>IF(AND('Ações'!$AB652="SIM", 'Ações'!AV652="SIM"), 1,0)</f>
        <v>1</v>
      </c>
      <c r="E644" s="139">
        <f>IF(AND('Ações'!$AB652="SIM", 'Ações'!AW652="SIM"), 1,0)</f>
        <v>1</v>
      </c>
      <c r="F644" s="139">
        <f>IF(AND('Ações'!$AB652="SIM", 'Ações'!AX652="SIM"), 1,0)</f>
        <v>1</v>
      </c>
      <c r="G644" s="139">
        <f>IF(AND('Ações'!$AC652="SIM", 'Ações'!AS652="SIM"), 1,0)</f>
        <v>0</v>
      </c>
      <c r="H644" s="139">
        <f>IF(AND('Ações'!$AC652="SIM", 'Ações'!AT652="SIM"), 1,0)</f>
        <v>0</v>
      </c>
      <c r="I644" s="139">
        <f>IF(AND('Ações'!$AC652="SIM", 'Ações'!AU652="SIM"), 1,0)</f>
        <v>0</v>
      </c>
      <c r="J644" s="139">
        <f>IF(AND('Ações'!$AC652="SIM", 'Ações'!AV652="SIM"), 1,0)</f>
        <v>0</v>
      </c>
      <c r="K644" s="139">
        <f>IF(AND('Ações'!$AC652="SIM", 'Ações'!AW652="SIM"), 1,0)</f>
        <v>0</v>
      </c>
      <c r="L644" s="139">
        <f>IF(AND('Ações'!$AC652="SIM", 'Ações'!AX652="SIM"), 1,0)</f>
        <v>0</v>
      </c>
      <c r="M644" s="139">
        <f>IF(AND('Ações'!$AD652="SIM", 'Ações'!AS652="SIM"), 1,0)</f>
        <v>0</v>
      </c>
      <c r="N644" s="139">
        <f>IF(AND('Ações'!$AD652="SIM", 'Ações'!AT652="SIM"), 1,0)</f>
        <v>0</v>
      </c>
      <c r="O644" s="139">
        <f>IF(AND('Ações'!$AD652="SIM", 'Ações'!AU652="SIM"), 1,0)</f>
        <v>0</v>
      </c>
      <c r="P644" s="139">
        <f>IF(AND('Ações'!$AD652="SIM", 'Ações'!AV652="SIM"), 1,0)</f>
        <v>0</v>
      </c>
      <c r="Q644" s="139">
        <f>IF(AND('Ações'!$AD652="SIM", 'Ações'!AW652="SIM"), 1,0)</f>
        <v>0</v>
      </c>
      <c r="R644" s="139">
        <f>IF(AND('Ações'!$AD652="SIM", 'Ações'!AX652="SIM"), 1,0)</f>
        <v>0</v>
      </c>
    </row>
    <row r="645">
      <c r="A645" s="139">
        <f>IF(AND('Ações'!AB653="SIM", 'Ações'!AS653="SIM"), 1,0)</f>
        <v>0</v>
      </c>
      <c r="B645" s="139">
        <f>IF(AND('Ações'!$AB653="SIM", 'Ações'!AT653="SIM"), 1,0)</f>
        <v>1</v>
      </c>
      <c r="C645" s="139">
        <f>IF(AND('Ações'!$AB653="SIM", 'Ações'!AU653="SIM"), 1,0)</f>
        <v>1</v>
      </c>
      <c r="D645" s="139">
        <f>IF(AND('Ações'!$AB653="SIM", 'Ações'!AV653="SIM"), 1,0)</f>
        <v>1</v>
      </c>
      <c r="E645" s="139">
        <f>IF(AND('Ações'!$AB653="SIM", 'Ações'!AW653="SIM"), 1,0)</f>
        <v>1</v>
      </c>
      <c r="F645" s="139">
        <f>IF(AND('Ações'!$AB653="SIM", 'Ações'!AX653="SIM"), 1,0)</f>
        <v>1</v>
      </c>
      <c r="G645" s="139">
        <f>IF(AND('Ações'!$AC653="SIM", 'Ações'!AS653="SIM"), 1,0)</f>
        <v>0</v>
      </c>
      <c r="H645" s="139">
        <f>IF(AND('Ações'!$AC653="SIM", 'Ações'!AT653="SIM"), 1,0)</f>
        <v>0</v>
      </c>
      <c r="I645" s="139">
        <f>IF(AND('Ações'!$AC653="SIM", 'Ações'!AU653="SIM"), 1,0)</f>
        <v>0</v>
      </c>
      <c r="J645" s="139">
        <f>IF(AND('Ações'!$AC653="SIM", 'Ações'!AV653="SIM"), 1,0)</f>
        <v>0</v>
      </c>
      <c r="K645" s="139">
        <f>IF(AND('Ações'!$AC653="SIM", 'Ações'!AW653="SIM"), 1,0)</f>
        <v>0</v>
      </c>
      <c r="L645" s="139">
        <f>IF(AND('Ações'!$AC653="SIM", 'Ações'!AX653="SIM"), 1,0)</f>
        <v>0</v>
      </c>
      <c r="M645" s="139">
        <f>IF(AND('Ações'!$AD653="SIM", 'Ações'!AS653="SIM"), 1,0)</f>
        <v>0</v>
      </c>
      <c r="N645" s="139">
        <f>IF(AND('Ações'!$AD653="SIM", 'Ações'!AT653="SIM"), 1,0)</f>
        <v>0</v>
      </c>
      <c r="O645" s="139">
        <f>IF(AND('Ações'!$AD653="SIM", 'Ações'!AU653="SIM"), 1,0)</f>
        <v>0</v>
      </c>
      <c r="P645" s="139">
        <f>IF(AND('Ações'!$AD653="SIM", 'Ações'!AV653="SIM"), 1,0)</f>
        <v>0</v>
      </c>
      <c r="Q645" s="139">
        <f>IF(AND('Ações'!$AD653="SIM", 'Ações'!AW653="SIM"), 1,0)</f>
        <v>0</v>
      </c>
      <c r="R645" s="139">
        <f>IF(AND('Ações'!$AD653="SIM", 'Ações'!AX653="SIM"), 1,0)</f>
        <v>0</v>
      </c>
    </row>
    <row r="646">
      <c r="A646" s="139">
        <f>IF(AND('Ações'!AB654="SIM", 'Ações'!AS654="SIM"), 1,0)</f>
        <v>0</v>
      </c>
      <c r="B646" s="139">
        <f>IF(AND('Ações'!$AB654="SIM", 'Ações'!AT654="SIM"), 1,0)</f>
        <v>1</v>
      </c>
      <c r="C646" s="139">
        <f>IF(AND('Ações'!$AB654="SIM", 'Ações'!AU654="SIM"), 1,0)</f>
        <v>1</v>
      </c>
      <c r="D646" s="139">
        <f>IF(AND('Ações'!$AB654="SIM", 'Ações'!AV654="SIM"), 1,0)</f>
        <v>1</v>
      </c>
      <c r="E646" s="139">
        <f>IF(AND('Ações'!$AB654="SIM", 'Ações'!AW654="SIM"), 1,0)</f>
        <v>1</v>
      </c>
      <c r="F646" s="139">
        <f>IF(AND('Ações'!$AB654="SIM", 'Ações'!AX654="SIM"), 1,0)</f>
        <v>1</v>
      </c>
      <c r="G646" s="139">
        <f>IF(AND('Ações'!$AC654="SIM", 'Ações'!AS654="SIM"), 1,0)</f>
        <v>0</v>
      </c>
      <c r="H646" s="139">
        <f>IF(AND('Ações'!$AC654="SIM", 'Ações'!AT654="SIM"), 1,0)</f>
        <v>0</v>
      </c>
      <c r="I646" s="139">
        <f>IF(AND('Ações'!$AC654="SIM", 'Ações'!AU654="SIM"), 1,0)</f>
        <v>0</v>
      </c>
      <c r="J646" s="139">
        <f>IF(AND('Ações'!$AC654="SIM", 'Ações'!AV654="SIM"), 1,0)</f>
        <v>0</v>
      </c>
      <c r="K646" s="139">
        <f>IF(AND('Ações'!$AC654="SIM", 'Ações'!AW654="SIM"), 1,0)</f>
        <v>0</v>
      </c>
      <c r="L646" s="139">
        <f>IF(AND('Ações'!$AC654="SIM", 'Ações'!AX654="SIM"), 1,0)</f>
        <v>0</v>
      </c>
      <c r="M646" s="139">
        <f>IF(AND('Ações'!$AD654="SIM", 'Ações'!AS654="SIM"), 1,0)</f>
        <v>0</v>
      </c>
      <c r="N646" s="139">
        <f>IF(AND('Ações'!$AD654="SIM", 'Ações'!AT654="SIM"), 1,0)</f>
        <v>0</v>
      </c>
      <c r="O646" s="139">
        <f>IF(AND('Ações'!$AD654="SIM", 'Ações'!AU654="SIM"), 1,0)</f>
        <v>0</v>
      </c>
      <c r="P646" s="139">
        <f>IF(AND('Ações'!$AD654="SIM", 'Ações'!AV654="SIM"), 1,0)</f>
        <v>0</v>
      </c>
      <c r="Q646" s="139">
        <f>IF(AND('Ações'!$AD654="SIM", 'Ações'!AW654="SIM"), 1,0)</f>
        <v>0</v>
      </c>
      <c r="R646" s="139">
        <f>IF(AND('Ações'!$AD654="SIM", 'Ações'!AX654="SIM"), 1,0)</f>
        <v>0</v>
      </c>
    </row>
    <row r="647">
      <c r="A647" s="139">
        <f>IF(AND('Ações'!AB655="SIM", 'Ações'!AS655="SIM"), 1,0)</f>
        <v>0</v>
      </c>
      <c r="B647" s="139">
        <f>IF(AND('Ações'!$AB655="SIM", 'Ações'!AT655="SIM"), 1,0)</f>
        <v>0</v>
      </c>
      <c r="C647" s="139">
        <f>IF(AND('Ações'!$AB655="SIM", 'Ações'!AU655="SIM"), 1,0)</f>
        <v>0</v>
      </c>
      <c r="D647" s="139">
        <f>IF(AND('Ações'!$AB655="SIM", 'Ações'!AV655="SIM"), 1,0)</f>
        <v>0</v>
      </c>
      <c r="E647" s="139">
        <f>IF(AND('Ações'!$AB655="SIM", 'Ações'!AW655="SIM"), 1,0)</f>
        <v>0</v>
      </c>
      <c r="F647" s="139">
        <f>IF(AND('Ações'!$AB655="SIM", 'Ações'!AX655="SIM"), 1,0)</f>
        <v>0</v>
      </c>
      <c r="G647" s="139">
        <f>IF(AND('Ações'!$AC655="SIM", 'Ações'!AS655="SIM"), 1,0)</f>
        <v>0</v>
      </c>
      <c r="H647" s="139">
        <f>IF(AND('Ações'!$AC655="SIM", 'Ações'!AT655="SIM"), 1,0)</f>
        <v>1</v>
      </c>
      <c r="I647" s="139">
        <f>IF(AND('Ações'!$AC655="SIM", 'Ações'!AU655="SIM"), 1,0)</f>
        <v>1</v>
      </c>
      <c r="J647" s="139">
        <f>IF(AND('Ações'!$AC655="SIM", 'Ações'!AV655="SIM"), 1,0)</f>
        <v>1</v>
      </c>
      <c r="K647" s="139">
        <f>IF(AND('Ações'!$AC655="SIM", 'Ações'!AW655="SIM"), 1,0)</f>
        <v>1</v>
      </c>
      <c r="L647" s="139">
        <f>IF(AND('Ações'!$AC655="SIM", 'Ações'!AX655="SIM"), 1,0)</f>
        <v>1</v>
      </c>
      <c r="M647" s="139">
        <f>IF(AND('Ações'!$AD655="SIM", 'Ações'!AS655="SIM"), 1,0)</f>
        <v>0</v>
      </c>
      <c r="N647" s="139">
        <f>IF(AND('Ações'!$AD655="SIM", 'Ações'!AT655="SIM"), 1,0)</f>
        <v>1</v>
      </c>
      <c r="O647" s="139">
        <f>IF(AND('Ações'!$AD655="SIM", 'Ações'!AU655="SIM"), 1,0)</f>
        <v>1</v>
      </c>
      <c r="P647" s="139">
        <f>IF(AND('Ações'!$AD655="SIM", 'Ações'!AV655="SIM"), 1,0)</f>
        <v>1</v>
      </c>
      <c r="Q647" s="139">
        <f>IF(AND('Ações'!$AD655="SIM", 'Ações'!AW655="SIM"), 1,0)</f>
        <v>1</v>
      </c>
      <c r="R647" s="139">
        <f>IF(AND('Ações'!$AD655="SIM", 'Ações'!AX655="SIM"), 1,0)</f>
        <v>1</v>
      </c>
    </row>
    <row r="648">
      <c r="A648" s="139">
        <f>IF(AND('Ações'!AB656="SIM", 'Ações'!AS656="SIM"), 1,0)</f>
        <v>0</v>
      </c>
      <c r="B648" s="139">
        <f>IF(AND('Ações'!$AB656="SIM", 'Ações'!AT656="SIM"), 1,0)</f>
        <v>1</v>
      </c>
      <c r="C648" s="139">
        <f>IF(AND('Ações'!$AB656="SIM", 'Ações'!AU656="SIM"), 1,0)</f>
        <v>1</v>
      </c>
      <c r="D648" s="139">
        <f>IF(AND('Ações'!$AB656="SIM", 'Ações'!AV656="SIM"), 1,0)</f>
        <v>1</v>
      </c>
      <c r="E648" s="139">
        <f>IF(AND('Ações'!$AB656="SIM", 'Ações'!AW656="SIM"), 1,0)</f>
        <v>1</v>
      </c>
      <c r="F648" s="139">
        <f>IF(AND('Ações'!$AB656="SIM", 'Ações'!AX656="SIM"), 1,0)</f>
        <v>1</v>
      </c>
      <c r="G648" s="139">
        <f>IF(AND('Ações'!$AC656="SIM", 'Ações'!AS656="SIM"), 1,0)</f>
        <v>0</v>
      </c>
      <c r="H648" s="139">
        <f>IF(AND('Ações'!$AC656="SIM", 'Ações'!AT656="SIM"), 1,0)</f>
        <v>0</v>
      </c>
      <c r="I648" s="139">
        <f>IF(AND('Ações'!$AC656="SIM", 'Ações'!AU656="SIM"), 1,0)</f>
        <v>0</v>
      </c>
      <c r="J648" s="139">
        <f>IF(AND('Ações'!$AC656="SIM", 'Ações'!AV656="SIM"), 1,0)</f>
        <v>0</v>
      </c>
      <c r="K648" s="139">
        <f>IF(AND('Ações'!$AC656="SIM", 'Ações'!AW656="SIM"), 1,0)</f>
        <v>0</v>
      </c>
      <c r="L648" s="139">
        <f>IF(AND('Ações'!$AC656="SIM", 'Ações'!AX656="SIM"), 1,0)</f>
        <v>0</v>
      </c>
      <c r="M648" s="139">
        <f>IF(AND('Ações'!$AD656="SIM", 'Ações'!AS656="SIM"), 1,0)</f>
        <v>0</v>
      </c>
      <c r="N648" s="139">
        <f>IF(AND('Ações'!$AD656="SIM", 'Ações'!AT656="SIM"), 1,0)</f>
        <v>0</v>
      </c>
      <c r="O648" s="139">
        <f>IF(AND('Ações'!$AD656="SIM", 'Ações'!AU656="SIM"), 1,0)</f>
        <v>0</v>
      </c>
      <c r="P648" s="139">
        <f>IF(AND('Ações'!$AD656="SIM", 'Ações'!AV656="SIM"), 1,0)</f>
        <v>0</v>
      </c>
      <c r="Q648" s="139">
        <f>IF(AND('Ações'!$AD656="SIM", 'Ações'!AW656="SIM"), 1,0)</f>
        <v>0</v>
      </c>
      <c r="R648" s="139">
        <f>IF(AND('Ações'!$AD656="SIM", 'Ações'!AX656="SIM"), 1,0)</f>
        <v>0</v>
      </c>
    </row>
    <row r="649">
      <c r="A649" s="139">
        <f>IF(AND('Ações'!AB657="SIM", 'Ações'!AS657="SIM"), 1,0)</f>
        <v>0</v>
      </c>
      <c r="B649" s="139">
        <f>IF(AND('Ações'!$AB657="SIM", 'Ações'!AT657="SIM"), 1,0)</f>
        <v>1</v>
      </c>
      <c r="C649" s="139">
        <f>IF(AND('Ações'!$AB657="SIM", 'Ações'!AU657="SIM"), 1,0)</f>
        <v>1</v>
      </c>
      <c r="D649" s="139">
        <f>IF(AND('Ações'!$AB657="SIM", 'Ações'!AV657="SIM"), 1,0)</f>
        <v>1</v>
      </c>
      <c r="E649" s="139">
        <f>IF(AND('Ações'!$AB657="SIM", 'Ações'!AW657="SIM"), 1,0)</f>
        <v>1</v>
      </c>
      <c r="F649" s="139">
        <f>IF(AND('Ações'!$AB657="SIM", 'Ações'!AX657="SIM"), 1,0)</f>
        <v>1</v>
      </c>
      <c r="G649" s="139">
        <f>IF(AND('Ações'!$AC657="SIM", 'Ações'!AS657="SIM"), 1,0)</f>
        <v>0</v>
      </c>
      <c r="H649" s="139">
        <f>IF(AND('Ações'!$AC657="SIM", 'Ações'!AT657="SIM"), 1,0)</f>
        <v>0</v>
      </c>
      <c r="I649" s="139">
        <f>IF(AND('Ações'!$AC657="SIM", 'Ações'!AU657="SIM"), 1,0)</f>
        <v>0</v>
      </c>
      <c r="J649" s="139">
        <f>IF(AND('Ações'!$AC657="SIM", 'Ações'!AV657="SIM"), 1,0)</f>
        <v>0</v>
      </c>
      <c r="K649" s="139">
        <f>IF(AND('Ações'!$AC657="SIM", 'Ações'!AW657="SIM"), 1,0)</f>
        <v>0</v>
      </c>
      <c r="L649" s="139">
        <f>IF(AND('Ações'!$AC657="SIM", 'Ações'!AX657="SIM"), 1,0)</f>
        <v>0</v>
      </c>
      <c r="M649" s="139">
        <f>IF(AND('Ações'!$AD657="SIM", 'Ações'!AS657="SIM"), 1,0)</f>
        <v>0</v>
      </c>
      <c r="N649" s="139">
        <f>IF(AND('Ações'!$AD657="SIM", 'Ações'!AT657="SIM"), 1,0)</f>
        <v>0</v>
      </c>
      <c r="O649" s="139">
        <f>IF(AND('Ações'!$AD657="SIM", 'Ações'!AU657="SIM"), 1,0)</f>
        <v>0</v>
      </c>
      <c r="P649" s="139">
        <f>IF(AND('Ações'!$AD657="SIM", 'Ações'!AV657="SIM"), 1,0)</f>
        <v>0</v>
      </c>
      <c r="Q649" s="139">
        <f>IF(AND('Ações'!$AD657="SIM", 'Ações'!AW657="SIM"), 1,0)</f>
        <v>0</v>
      </c>
      <c r="R649" s="139">
        <f>IF(AND('Ações'!$AD657="SIM", 'Ações'!AX657="SIM"), 1,0)</f>
        <v>0</v>
      </c>
    </row>
    <row r="650">
      <c r="A650" s="139">
        <f>IF(AND('Ações'!AB658="SIM", 'Ações'!AS658="SIM"), 1,0)</f>
        <v>0</v>
      </c>
      <c r="B650" s="139">
        <f>IF(AND('Ações'!$AB658="SIM", 'Ações'!AT658="SIM"), 1,0)</f>
        <v>1</v>
      </c>
      <c r="C650" s="139">
        <f>IF(AND('Ações'!$AB658="SIM", 'Ações'!AU658="SIM"), 1,0)</f>
        <v>1</v>
      </c>
      <c r="D650" s="139">
        <f>IF(AND('Ações'!$AB658="SIM", 'Ações'!AV658="SIM"), 1,0)</f>
        <v>1</v>
      </c>
      <c r="E650" s="139">
        <f>IF(AND('Ações'!$AB658="SIM", 'Ações'!AW658="SIM"), 1,0)</f>
        <v>1</v>
      </c>
      <c r="F650" s="139">
        <f>IF(AND('Ações'!$AB658="SIM", 'Ações'!AX658="SIM"), 1,0)</f>
        <v>1</v>
      </c>
      <c r="G650" s="139">
        <f>IF(AND('Ações'!$AC658="SIM", 'Ações'!AS658="SIM"), 1,0)</f>
        <v>0</v>
      </c>
      <c r="H650" s="139">
        <f>IF(AND('Ações'!$AC658="SIM", 'Ações'!AT658="SIM"), 1,0)</f>
        <v>0</v>
      </c>
      <c r="I650" s="139">
        <f>IF(AND('Ações'!$AC658="SIM", 'Ações'!AU658="SIM"), 1,0)</f>
        <v>0</v>
      </c>
      <c r="J650" s="139">
        <f>IF(AND('Ações'!$AC658="SIM", 'Ações'!AV658="SIM"), 1,0)</f>
        <v>0</v>
      </c>
      <c r="K650" s="139">
        <f>IF(AND('Ações'!$AC658="SIM", 'Ações'!AW658="SIM"), 1,0)</f>
        <v>0</v>
      </c>
      <c r="L650" s="139">
        <f>IF(AND('Ações'!$AC658="SIM", 'Ações'!AX658="SIM"), 1,0)</f>
        <v>0</v>
      </c>
      <c r="M650" s="139">
        <f>IF(AND('Ações'!$AD658="SIM", 'Ações'!AS658="SIM"), 1,0)</f>
        <v>0</v>
      </c>
      <c r="N650" s="139">
        <f>IF(AND('Ações'!$AD658="SIM", 'Ações'!AT658="SIM"), 1,0)</f>
        <v>0</v>
      </c>
      <c r="O650" s="139">
        <f>IF(AND('Ações'!$AD658="SIM", 'Ações'!AU658="SIM"), 1,0)</f>
        <v>0</v>
      </c>
      <c r="P650" s="139">
        <f>IF(AND('Ações'!$AD658="SIM", 'Ações'!AV658="SIM"), 1,0)</f>
        <v>0</v>
      </c>
      <c r="Q650" s="139">
        <f>IF(AND('Ações'!$AD658="SIM", 'Ações'!AW658="SIM"), 1,0)</f>
        <v>0</v>
      </c>
      <c r="R650" s="139">
        <f>IF(AND('Ações'!$AD658="SIM", 'Ações'!AX658="SIM"), 1,0)</f>
        <v>0</v>
      </c>
    </row>
    <row r="651">
      <c r="A651" s="139">
        <f>IF(AND('Ações'!AB659="SIM", 'Ações'!AS659="SIM"), 1,0)</f>
        <v>0</v>
      </c>
      <c r="B651" s="139">
        <f>IF(AND('Ações'!$AB659="SIM", 'Ações'!AT659="SIM"), 1,0)</f>
        <v>1</v>
      </c>
      <c r="C651" s="139">
        <f>IF(AND('Ações'!$AB659="SIM", 'Ações'!AU659="SIM"), 1,0)</f>
        <v>1</v>
      </c>
      <c r="D651" s="139">
        <f>IF(AND('Ações'!$AB659="SIM", 'Ações'!AV659="SIM"), 1,0)</f>
        <v>1</v>
      </c>
      <c r="E651" s="139">
        <f>IF(AND('Ações'!$AB659="SIM", 'Ações'!AW659="SIM"), 1,0)</f>
        <v>1</v>
      </c>
      <c r="F651" s="139">
        <f>IF(AND('Ações'!$AB659="SIM", 'Ações'!AX659="SIM"), 1,0)</f>
        <v>1</v>
      </c>
      <c r="G651" s="139">
        <f>IF(AND('Ações'!$AC659="SIM", 'Ações'!AS659="SIM"), 1,0)</f>
        <v>0</v>
      </c>
      <c r="H651" s="139">
        <f>IF(AND('Ações'!$AC659="SIM", 'Ações'!AT659="SIM"), 1,0)</f>
        <v>0</v>
      </c>
      <c r="I651" s="139">
        <f>IF(AND('Ações'!$AC659="SIM", 'Ações'!AU659="SIM"), 1,0)</f>
        <v>0</v>
      </c>
      <c r="J651" s="139">
        <f>IF(AND('Ações'!$AC659="SIM", 'Ações'!AV659="SIM"), 1,0)</f>
        <v>0</v>
      </c>
      <c r="K651" s="139">
        <f>IF(AND('Ações'!$AC659="SIM", 'Ações'!AW659="SIM"), 1,0)</f>
        <v>0</v>
      </c>
      <c r="L651" s="139">
        <f>IF(AND('Ações'!$AC659="SIM", 'Ações'!AX659="SIM"), 1,0)</f>
        <v>0</v>
      </c>
      <c r="M651" s="139">
        <f>IF(AND('Ações'!$AD659="SIM", 'Ações'!AS659="SIM"), 1,0)</f>
        <v>0</v>
      </c>
      <c r="N651" s="139">
        <f>IF(AND('Ações'!$AD659="SIM", 'Ações'!AT659="SIM"), 1,0)</f>
        <v>0</v>
      </c>
      <c r="O651" s="139">
        <f>IF(AND('Ações'!$AD659="SIM", 'Ações'!AU659="SIM"), 1,0)</f>
        <v>0</v>
      </c>
      <c r="P651" s="139">
        <f>IF(AND('Ações'!$AD659="SIM", 'Ações'!AV659="SIM"), 1,0)</f>
        <v>0</v>
      </c>
      <c r="Q651" s="139">
        <f>IF(AND('Ações'!$AD659="SIM", 'Ações'!AW659="SIM"), 1,0)</f>
        <v>0</v>
      </c>
      <c r="R651" s="139">
        <f>IF(AND('Ações'!$AD659="SIM", 'Ações'!AX659="SIM"), 1,0)</f>
        <v>0</v>
      </c>
    </row>
    <row r="652">
      <c r="A652" s="139">
        <f>IF(AND('Ações'!AB660="SIM", 'Ações'!AS660="SIM"), 1,0)</f>
        <v>0</v>
      </c>
      <c r="B652" s="139">
        <f>IF(AND('Ações'!$AB660="SIM", 'Ações'!AT660="SIM"), 1,0)</f>
        <v>1</v>
      </c>
      <c r="C652" s="139">
        <f>IF(AND('Ações'!$AB660="SIM", 'Ações'!AU660="SIM"), 1,0)</f>
        <v>1</v>
      </c>
      <c r="D652" s="139">
        <f>IF(AND('Ações'!$AB660="SIM", 'Ações'!AV660="SIM"), 1,0)</f>
        <v>1</v>
      </c>
      <c r="E652" s="139">
        <f>IF(AND('Ações'!$AB660="SIM", 'Ações'!AW660="SIM"), 1,0)</f>
        <v>1</v>
      </c>
      <c r="F652" s="139">
        <f>IF(AND('Ações'!$AB660="SIM", 'Ações'!AX660="SIM"), 1,0)</f>
        <v>1</v>
      </c>
      <c r="G652" s="139">
        <f>IF(AND('Ações'!$AC660="SIM", 'Ações'!AS660="SIM"), 1,0)</f>
        <v>0</v>
      </c>
      <c r="H652" s="139">
        <f>IF(AND('Ações'!$AC660="SIM", 'Ações'!AT660="SIM"), 1,0)</f>
        <v>0</v>
      </c>
      <c r="I652" s="139">
        <f>IF(AND('Ações'!$AC660="SIM", 'Ações'!AU660="SIM"), 1,0)</f>
        <v>0</v>
      </c>
      <c r="J652" s="139">
        <f>IF(AND('Ações'!$AC660="SIM", 'Ações'!AV660="SIM"), 1,0)</f>
        <v>0</v>
      </c>
      <c r="K652" s="139">
        <f>IF(AND('Ações'!$AC660="SIM", 'Ações'!AW660="SIM"), 1,0)</f>
        <v>0</v>
      </c>
      <c r="L652" s="139">
        <f>IF(AND('Ações'!$AC660="SIM", 'Ações'!AX660="SIM"), 1,0)</f>
        <v>0</v>
      </c>
      <c r="M652" s="139">
        <f>IF(AND('Ações'!$AD660="SIM", 'Ações'!AS660="SIM"), 1,0)</f>
        <v>0</v>
      </c>
      <c r="N652" s="139">
        <f>IF(AND('Ações'!$AD660="SIM", 'Ações'!AT660="SIM"), 1,0)</f>
        <v>0</v>
      </c>
      <c r="O652" s="139">
        <f>IF(AND('Ações'!$AD660="SIM", 'Ações'!AU660="SIM"), 1,0)</f>
        <v>0</v>
      </c>
      <c r="P652" s="139">
        <f>IF(AND('Ações'!$AD660="SIM", 'Ações'!AV660="SIM"), 1,0)</f>
        <v>0</v>
      </c>
      <c r="Q652" s="139">
        <f>IF(AND('Ações'!$AD660="SIM", 'Ações'!AW660="SIM"), 1,0)</f>
        <v>0</v>
      </c>
      <c r="R652" s="139">
        <f>IF(AND('Ações'!$AD660="SIM", 'Ações'!AX660="SIM"), 1,0)</f>
        <v>0</v>
      </c>
    </row>
    <row r="653">
      <c r="A653" s="139">
        <f>IF(AND('Ações'!AB661="SIM", 'Ações'!AS661="SIM"), 1,0)</f>
        <v>0</v>
      </c>
      <c r="B653" s="139">
        <f>IF(AND('Ações'!$AB661="SIM", 'Ações'!AT661="SIM"), 1,0)</f>
        <v>0</v>
      </c>
      <c r="C653" s="139">
        <f>IF(AND('Ações'!$AB661="SIM", 'Ações'!AU661="SIM"), 1,0)</f>
        <v>0</v>
      </c>
      <c r="D653" s="139">
        <f>IF(AND('Ações'!$AB661="SIM", 'Ações'!AV661="SIM"), 1,0)</f>
        <v>0</v>
      </c>
      <c r="E653" s="139">
        <f>IF(AND('Ações'!$AB661="SIM", 'Ações'!AW661="SIM"), 1,0)</f>
        <v>1</v>
      </c>
      <c r="F653" s="139">
        <f>IF(AND('Ações'!$AB661="SIM", 'Ações'!AX661="SIM"), 1,0)</f>
        <v>1</v>
      </c>
      <c r="G653" s="139">
        <f>IF(AND('Ações'!$AC661="SIM", 'Ações'!AS661="SIM"), 1,0)</f>
        <v>0</v>
      </c>
      <c r="H653" s="139">
        <f>IF(AND('Ações'!$AC661="SIM", 'Ações'!AT661="SIM"), 1,0)</f>
        <v>0</v>
      </c>
      <c r="I653" s="139">
        <f>IF(AND('Ações'!$AC661="SIM", 'Ações'!AU661="SIM"), 1,0)</f>
        <v>0</v>
      </c>
      <c r="J653" s="139">
        <f>IF(AND('Ações'!$AC661="SIM", 'Ações'!AV661="SIM"), 1,0)</f>
        <v>0</v>
      </c>
      <c r="K653" s="139">
        <f>IF(AND('Ações'!$AC661="SIM", 'Ações'!AW661="SIM"), 1,0)</f>
        <v>0</v>
      </c>
      <c r="L653" s="139">
        <f>IF(AND('Ações'!$AC661="SIM", 'Ações'!AX661="SIM"), 1,0)</f>
        <v>0</v>
      </c>
      <c r="M653" s="139">
        <f>IF(AND('Ações'!$AD661="SIM", 'Ações'!AS661="SIM"), 1,0)</f>
        <v>0</v>
      </c>
      <c r="N653" s="139">
        <f>IF(AND('Ações'!$AD661="SIM", 'Ações'!AT661="SIM"), 1,0)</f>
        <v>0</v>
      </c>
      <c r="O653" s="139">
        <f>IF(AND('Ações'!$AD661="SIM", 'Ações'!AU661="SIM"), 1,0)</f>
        <v>0</v>
      </c>
      <c r="P653" s="139">
        <f>IF(AND('Ações'!$AD661="SIM", 'Ações'!AV661="SIM"), 1,0)</f>
        <v>0</v>
      </c>
      <c r="Q653" s="139">
        <f>IF(AND('Ações'!$AD661="SIM", 'Ações'!AW661="SIM"), 1,0)</f>
        <v>0</v>
      </c>
      <c r="R653" s="139">
        <f>IF(AND('Ações'!$AD661="SIM", 'Ações'!AX661="SIM"), 1,0)</f>
        <v>0</v>
      </c>
    </row>
    <row r="654">
      <c r="A654" s="139">
        <f>IF(AND('Ações'!AB662="SIM", 'Ações'!AS662="SIM"), 1,0)</f>
        <v>0</v>
      </c>
      <c r="B654" s="139">
        <f>IF(AND('Ações'!$AB662="SIM", 'Ações'!AT662="SIM"), 1,0)</f>
        <v>0</v>
      </c>
      <c r="C654" s="139">
        <f>IF(AND('Ações'!$AB662="SIM", 'Ações'!AU662="SIM"), 1,0)</f>
        <v>0</v>
      </c>
      <c r="D654" s="139">
        <f>IF(AND('Ações'!$AB662="SIM", 'Ações'!AV662="SIM"), 1,0)</f>
        <v>0</v>
      </c>
      <c r="E654" s="139">
        <f>IF(AND('Ações'!$AB662="SIM", 'Ações'!AW662="SIM"), 1,0)</f>
        <v>1</v>
      </c>
      <c r="F654" s="139">
        <f>IF(AND('Ações'!$AB662="SIM", 'Ações'!AX662="SIM"), 1,0)</f>
        <v>1</v>
      </c>
      <c r="G654" s="139">
        <f>IF(AND('Ações'!$AC662="SIM", 'Ações'!AS662="SIM"), 1,0)</f>
        <v>0</v>
      </c>
      <c r="H654" s="139">
        <f>IF(AND('Ações'!$AC662="SIM", 'Ações'!AT662="SIM"), 1,0)</f>
        <v>0</v>
      </c>
      <c r="I654" s="139">
        <f>IF(AND('Ações'!$AC662="SIM", 'Ações'!AU662="SIM"), 1,0)</f>
        <v>0</v>
      </c>
      <c r="J654" s="139">
        <f>IF(AND('Ações'!$AC662="SIM", 'Ações'!AV662="SIM"), 1,0)</f>
        <v>0</v>
      </c>
      <c r="K654" s="139">
        <f>IF(AND('Ações'!$AC662="SIM", 'Ações'!AW662="SIM"), 1,0)</f>
        <v>0</v>
      </c>
      <c r="L654" s="139">
        <f>IF(AND('Ações'!$AC662="SIM", 'Ações'!AX662="SIM"), 1,0)</f>
        <v>0</v>
      </c>
      <c r="M654" s="139">
        <f>IF(AND('Ações'!$AD662="SIM", 'Ações'!AS662="SIM"), 1,0)</f>
        <v>0</v>
      </c>
      <c r="N654" s="139">
        <f>IF(AND('Ações'!$AD662="SIM", 'Ações'!AT662="SIM"), 1,0)</f>
        <v>0</v>
      </c>
      <c r="O654" s="139">
        <f>IF(AND('Ações'!$AD662="SIM", 'Ações'!AU662="SIM"), 1,0)</f>
        <v>0</v>
      </c>
      <c r="P654" s="139">
        <f>IF(AND('Ações'!$AD662="SIM", 'Ações'!AV662="SIM"), 1,0)</f>
        <v>0</v>
      </c>
      <c r="Q654" s="139">
        <f>IF(AND('Ações'!$AD662="SIM", 'Ações'!AW662="SIM"), 1,0)</f>
        <v>0</v>
      </c>
      <c r="R654" s="139">
        <f>IF(AND('Ações'!$AD662="SIM", 'Ações'!AX662="SIM"), 1,0)</f>
        <v>0</v>
      </c>
    </row>
    <row r="655">
      <c r="A655" s="139">
        <f>IF(AND('Ações'!AB663="SIM", 'Ações'!AS663="SIM"), 1,0)</f>
        <v>0</v>
      </c>
      <c r="B655" s="139">
        <f>IF(AND('Ações'!$AB663="SIM", 'Ações'!AT663="SIM"), 1,0)</f>
        <v>0</v>
      </c>
      <c r="C655" s="139">
        <f>IF(AND('Ações'!$AB663="SIM", 'Ações'!AU663="SIM"), 1,0)</f>
        <v>0</v>
      </c>
      <c r="D655" s="139">
        <f>IF(AND('Ações'!$AB663="SIM", 'Ações'!AV663="SIM"), 1,0)</f>
        <v>0</v>
      </c>
      <c r="E655" s="139">
        <f>IF(AND('Ações'!$AB663="SIM", 'Ações'!AW663="SIM"), 1,0)</f>
        <v>1</v>
      </c>
      <c r="F655" s="139">
        <f>IF(AND('Ações'!$AB663="SIM", 'Ações'!AX663="SIM"), 1,0)</f>
        <v>1</v>
      </c>
      <c r="G655" s="139">
        <f>IF(AND('Ações'!$AC663="SIM", 'Ações'!AS663="SIM"), 1,0)</f>
        <v>0</v>
      </c>
      <c r="H655" s="139">
        <f>IF(AND('Ações'!$AC663="SIM", 'Ações'!AT663="SIM"), 1,0)</f>
        <v>0</v>
      </c>
      <c r="I655" s="139">
        <f>IF(AND('Ações'!$AC663="SIM", 'Ações'!AU663="SIM"), 1,0)</f>
        <v>0</v>
      </c>
      <c r="J655" s="139">
        <f>IF(AND('Ações'!$AC663="SIM", 'Ações'!AV663="SIM"), 1,0)</f>
        <v>0</v>
      </c>
      <c r="K655" s="139">
        <f>IF(AND('Ações'!$AC663="SIM", 'Ações'!AW663="SIM"), 1,0)</f>
        <v>0</v>
      </c>
      <c r="L655" s="139">
        <f>IF(AND('Ações'!$AC663="SIM", 'Ações'!AX663="SIM"), 1,0)</f>
        <v>0</v>
      </c>
      <c r="M655" s="139">
        <f>IF(AND('Ações'!$AD663="SIM", 'Ações'!AS663="SIM"), 1,0)</f>
        <v>0</v>
      </c>
      <c r="N655" s="139">
        <f>IF(AND('Ações'!$AD663="SIM", 'Ações'!AT663="SIM"), 1,0)</f>
        <v>0</v>
      </c>
      <c r="O655" s="139">
        <f>IF(AND('Ações'!$AD663="SIM", 'Ações'!AU663="SIM"), 1,0)</f>
        <v>0</v>
      </c>
      <c r="P655" s="139">
        <f>IF(AND('Ações'!$AD663="SIM", 'Ações'!AV663="SIM"), 1,0)</f>
        <v>0</v>
      </c>
      <c r="Q655" s="139">
        <f>IF(AND('Ações'!$AD663="SIM", 'Ações'!AW663="SIM"), 1,0)</f>
        <v>0</v>
      </c>
      <c r="R655" s="139">
        <f>IF(AND('Ações'!$AD663="SIM", 'Ações'!AX663="SIM"), 1,0)</f>
        <v>0</v>
      </c>
    </row>
    <row r="656">
      <c r="A656" s="139">
        <f>IF(AND('Ações'!AB664="SIM", 'Ações'!AS664="SIM"), 1,0)</f>
        <v>0</v>
      </c>
      <c r="B656" s="139">
        <f>IF(AND('Ações'!$AB664="SIM", 'Ações'!AT664="SIM"), 1,0)</f>
        <v>0</v>
      </c>
      <c r="C656" s="139">
        <f>IF(AND('Ações'!$AB664="SIM", 'Ações'!AU664="SIM"), 1,0)</f>
        <v>0</v>
      </c>
      <c r="D656" s="139">
        <f>IF(AND('Ações'!$AB664="SIM", 'Ações'!AV664="SIM"), 1,0)</f>
        <v>0</v>
      </c>
      <c r="E656" s="139">
        <f>IF(AND('Ações'!$AB664="SIM", 'Ações'!AW664="SIM"), 1,0)</f>
        <v>1</v>
      </c>
      <c r="F656" s="139">
        <f>IF(AND('Ações'!$AB664="SIM", 'Ações'!AX664="SIM"), 1,0)</f>
        <v>1</v>
      </c>
      <c r="G656" s="139">
        <f>IF(AND('Ações'!$AC664="SIM", 'Ações'!AS664="SIM"), 1,0)</f>
        <v>0</v>
      </c>
      <c r="H656" s="139">
        <f>IF(AND('Ações'!$AC664="SIM", 'Ações'!AT664="SIM"), 1,0)</f>
        <v>0</v>
      </c>
      <c r="I656" s="139">
        <f>IF(AND('Ações'!$AC664="SIM", 'Ações'!AU664="SIM"), 1,0)</f>
        <v>0</v>
      </c>
      <c r="J656" s="139">
        <f>IF(AND('Ações'!$AC664="SIM", 'Ações'!AV664="SIM"), 1,0)</f>
        <v>0</v>
      </c>
      <c r="K656" s="139">
        <f>IF(AND('Ações'!$AC664="SIM", 'Ações'!AW664="SIM"), 1,0)</f>
        <v>0</v>
      </c>
      <c r="L656" s="139">
        <f>IF(AND('Ações'!$AC664="SIM", 'Ações'!AX664="SIM"), 1,0)</f>
        <v>0</v>
      </c>
      <c r="M656" s="139">
        <f>IF(AND('Ações'!$AD664="SIM", 'Ações'!AS664="SIM"), 1,0)</f>
        <v>0</v>
      </c>
      <c r="N656" s="139">
        <f>IF(AND('Ações'!$AD664="SIM", 'Ações'!AT664="SIM"), 1,0)</f>
        <v>0</v>
      </c>
      <c r="O656" s="139">
        <f>IF(AND('Ações'!$AD664="SIM", 'Ações'!AU664="SIM"), 1,0)</f>
        <v>0</v>
      </c>
      <c r="P656" s="139">
        <f>IF(AND('Ações'!$AD664="SIM", 'Ações'!AV664="SIM"), 1,0)</f>
        <v>0</v>
      </c>
      <c r="Q656" s="139">
        <f>IF(AND('Ações'!$AD664="SIM", 'Ações'!AW664="SIM"), 1,0)</f>
        <v>0</v>
      </c>
      <c r="R656" s="139">
        <f>IF(AND('Ações'!$AD664="SIM", 'Ações'!AX664="SIM"), 1,0)</f>
        <v>0</v>
      </c>
    </row>
    <row r="657">
      <c r="A657" s="139">
        <f>IF(AND('Ações'!AB665="SIM", 'Ações'!AS665="SIM"), 1,0)</f>
        <v>0</v>
      </c>
      <c r="B657" s="139">
        <f>IF(AND('Ações'!$AB665="SIM", 'Ações'!AT665="SIM"), 1,0)</f>
        <v>0</v>
      </c>
      <c r="C657" s="139">
        <f>IF(AND('Ações'!$AB665="SIM", 'Ações'!AU665="SIM"), 1,0)</f>
        <v>0</v>
      </c>
      <c r="D657" s="139">
        <f>IF(AND('Ações'!$AB665="SIM", 'Ações'!AV665="SIM"), 1,0)</f>
        <v>0</v>
      </c>
      <c r="E657" s="139">
        <f>IF(AND('Ações'!$AB665="SIM", 'Ações'!AW665="SIM"), 1,0)</f>
        <v>1</v>
      </c>
      <c r="F657" s="139">
        <f>IF(AND('Ações'!$AB665="SIM", 'Ações'!AX665="SIM"), 1,0)</f>
        <v>1</v>
      </c>
      <c r="G657" s="139">
        <f>IF(AND('Ações'!$AC665="SIM", 'Ações'!AS665="SIM"), 1,0)</f>
        <v>0</v>
      </c>
      <c r="H657" s="139">
        <f>IF(AND('Ações'!$AC665="SIM", 'Ações'!AT665="SIM"), 1,0)</f>
        <v>0</v>
      </c>
      <c r="I657" s="139">
        <f>IF(AND('Ações'!$AC665="SIM", 'Ações'!AU665="SIM"), 1,0)</f>
        <v>0</v>
      </c>
      <c r="J657" s="139">
        <f>IF(AND('Ações'!$AC665="SIM", 'Ações'!AV665="SIM"), 1,0)</f>
        <v>0</v>
      </c>
      <c r="K657" s="139">
        <f>IF(AND('Ações'!$AC665="SIM", 'Ações'!AW665="SIM"), 1,0)</f>
        <v>0</v>
      </c>
      <c r="L657" s="139">
        <f>IF(AND('Ações'!$AC665="SIM", 'Ações'!AX665="SIM"), 1,0)</f>
        <v>0</v>
      </c>
      <c r="M657" s="139">
        <f>IF(AND('Ações'!$AD665="SIM", 'Ações'!AS665="SIM"), 1,0)</f>
        <v>0</v>
      </c>
      <c r="N657" s="139">
        <f>IF(AND('Ações'!$AD665="SIM", 'Ações'!AT665="SIM"), 1,0)</f>
        <v>0</v>
      </c>
      <c r="O657" s="139">
        <f>IF(AND('Ações'!$AD665="SIM", 'Ações'!AU665="SIM"), 1,0)</f>
        <v>0</v>
      </c>
      <c r="P657" s="139">
        <f>IF(AND('Ações'!$AD665="SIM", 'Ações'!AV665="SIM"), 1,0)</f>
        <v>0</v>
      </c>
      <c r="Q657" s="139">
        <f>IF(AND('Ações'!$AD665="SIM", 'Ações'!AW665="SIM"), 1,0)</f>
        <v>0</v>
      </c>
      <c r="R657" s="139">
        <f>IF(AND('Ações'!$AD665="SIM", 'Ações'!AX665="SIM"), 1,0)</f>
        <v>0</v>
      </c>
    </row>
    <row r="658">
      <c r="A658" s="139">
        <f>IF(AND('Ações'!AB666="SIM", 'Ações'!AS666="SIM"), 1,0)</f>
        <v>0</v>
      </c>
      <c r="B658" s="139">
        <f>IF(AND('Ações'!$AB666="SIM", 'Ações'!AT666="SIM"), 1,0)</f>
        <v>0</v>
      </c>
      <c r="C658" s="139">
        <f>IF(AND('Ações'!$AB666="SIM", 'Ações'!AU666="SIM"), 1,0)</f>
        <v>0</v>
      </c>
      <c r="D658" s="139">
        <f>IF(AND('Ações'!$AB666="SIM", 'Ações'!AV666="SIM"), 1,0)</f>
        <v>0</v>
      </c>
      <c r="E658" s="139">
        <f>IF(AND('Ações'!$AB666="SIM", 'Ações'!AW666="SIM"), 1,0)</f>
        <v>1</v>
      </c>
      <c r="F658" s="139">
        <f>IF(AND('Ações'!$AB666="SIM", 'Ações'!AX666="SIM"), 1,0)</f>
        <v>1</v>
      </c>
      <c r="G658" s="139">
        <f>IF(AND('Ações'!$AC666="SIM", 'Ações'!AS666="SIM"), 1,0)</f>
        <v>0</v>
      </c>
      <c r="H658" s="139">
        <f>IF(AND('Ações'!$AC666="SIM", 'Ações'!AT666="SIM"), 1,0)</f>
        <v>0</v>
      </c>
      <c r="I658" s="139">
        <f>IF(AND('Ações'!$AC666="SIM", 'Ações'!AU666="SIM"), 1,0)</f>
        <v>0</v>
      </c>
      <c r="J658" s="139">
        <f>IF(AND('Ações'!$AC666="SIM", 'Ações'!AV666="SIM"), 1,0)</f>
        <v>0</v>
      </c>
      <c r="K658" s="139">
        <f>IF(AND('Ações'!$AC666="SIM", 'Ações'!AW666="SIM"), 1,0)</f>
        <v>1</v>
      </c>
      <c r="L658" s="139">
        <f>IF(AND('Ações'!$AC666="SIM", 'Ações'!AX666="SIM"), 1,0)</f>
        <v>1</v>
      </c>
      <c r="M658" s="139">
        <f>IF(AND('Ações'!$AD666="SIM", 'Ações'!AS666="SIM"), 1,0)</f>
        <v>0</v>
      </c>
      <c r="N658" s="139">
        <f>IF(AND('Ações'!$AD666="SIM", 'Ações'!AT666="SIM"), 1,0)</f>
        <v>0</v>
      </c>
      <c r="O658" s="139">
        <f>IF(AND('Ações'!$AD666="SIM", 'Ações'!AU666="SIM"), 1,0)</f>
        <v>0</v>
      </c>
      <c r="P658" s="139">
        <f>IF(AND('Ações'!$AD666="SIM", 'Ações'!AV666="SIM"), 1,0)</f>
        <v>0</v>
      </c>
      <c r="Q658" s="139">
        <f>IF(AND('Ações'!$AD666="SIM", 'Ações'!AW666="SIM"), 1,0)</f>
        <v>0</v>
      </c>
      <c r="R658" s="139">
        <f>IF(AND('Ações'!$AD666="SIM", 'Ações'!AX666="SIM"), 1,0)</f>
        <v>0</v>
      </c>
    </row>
    <row r="659">
      <c r="A659" s="139">
        <f>IF(AND('Ações'!AB667="SIM", 'Ações'!AS667="SIM"), 1,0)</f>
        <v>0</v>
      </c>
      <c r="B659" s="139">
        <f>IF(AND('Ações'!$AB667="SIM", 'Ações'!AT667="SIM"), 1,0)</f>
        <v>0</v>
      </c>
      <c r="C659" s="139">
        <f>IF(AND('Ações'!$AB667="SIM", 'Ações'!AU667="SIM"), 1,0)</f>
        <v>0</v>
      </c>
      <c r="D659" s="139">
        <f>IF(AND('Ações'!$AB667="SIM", 'Ações'!AV667="SIM"), 1,0)</f>
        <v>0</v>
      </c>
      <c r="E659" s="139">
        <f>IF(AND('Ações'!$AB667="SIM", 'Ações'!AW667="SIM"), 1,0)</f>
        <v>1</v>
      </c>
      <c r="F659" s="139">
        <f>IF(AND('Ações'!$AB667="SIM", 'Ações'!AX667="SIM"), 1,0)</f>
        <v>1</v>
      </c>
      <c r="G659" s="139">
        <f>IF(AND('Ações'!$AC667="SIM", 'Ações'!AS667="SIM"), 1,0)</f>
        <v>0</v>
      </c>
      <c r="H659" s="139">
        <f>IF(AND('Ações'!$AC667="SIM", 'Ações'!AT667="SIM"), 1,0)</f>
        <v>0</v>
      </c>
      <c r="I659" s="139">
        <f>IF(AND('Ações'!$AC667="SIM", 'Ações'!AU667="SIM"), 1,0)</f>
        <v>0</v>
      </c>
      <c r="J659" s="139">
        <f>IF(AND('Ações'!$AC667="SIM", 'Ações'!AV667="SIM"), 1,0)</f>
        <v>0</v>
      </c>
      <c r="K659" s="139">
        <f>IF(AND('Ações'!$AC667="SIM", 'Ações'!AW667="SIM"), 1,0)</f>
        <v>1</v>
      </c>
      <c r="L659" s="139">
        <f>IF(AND('Ações'!$AC667="SIM", 'Ações'!AX667="SIM"), 1,0)</f>
        <v>1</v>
      </c>
      <c r="M659" s="139">
        <f>IF(AND('Ações'!$AD667="SIM", 'Ações'!AS667="SIM"), 1,0)</f>
        <v>0</v>
      </c>
      <c r="N659" s="139">
        <f>IF(AND('Ações'!$AD667="SIM", 'Ações'!AT667="SIM"), 1,0)</f>
        <v>0</v>
      </c>
      <c r="O659" s="139">
        <f>IF(AND('Ações'!$AD667="SIM", 'Ações'!AU667="SIM"), 1,0)</f>
        <v>0</v>
      </c>
      <c r="P659" s="139">
        <f>IF(AND('Ações'!$AD667="SIM", 'Ações'!AV667="SIM"), 1,0)</f>
        <v>0</v>
      </c>
      <c r="Q659" s="139">
        <f>IF(AND('Ações'!$AD667="SIM", 'Ações'!AW667="SIM"), 1,0)</f>
        <v>0</v>
      </c>
      <c r="R659" s="139">
        <f>IF(AND('Ações'!$AD667="SIM", 'Ações'!AX667="SIM"), 1,0)</f>
        <v>0</v>
      </c>
    </row>
    <row r="660">
      <c r="A660" s="139">
        <f>IF(AND('Ações'!AB668="SIM", 'Ações'!AS668="SIM"), 1,0)</f>
        <v>0</v>
      </c>
      <c r="B660" s="139">
        <f>IF(AND('Ações'!$AB668="SIM", 'Ações'!AT668="SIM"), 1,0)</f>
        <v>0</v>
      </c>
      <c r="C660" s="139">
        <f>IF(AND('Ações'!$AB668="SIM", 'Ações'!AU668="SIM"), 1,0)</f>
        <v>0</v>
      </c>
      <c r="D660" s="139">
        <f>IF(AND('Ações'!$AB668="SIM", 'Ações'!AV668="SIM"), 1,0)</f>
        <v>0</v>
      </c>
      <c r="E660" s="139">
        <f>IF(AND('Ações'!$AB668="SIM", 'Ações'!AW668="SIM"), 1,0)</f>
        <v>1</v>
      </c>
      <c r="F660" s="139">
        <f>IF(AND('Ações'!$AB668="SIM", 'Ações'!AX668="SIM"), 1,0)</f>
        <v>1</v>
      </c>
      <c r="G660" s="139">
        <f>IF(AND('Ações'!$AC668="SIM", 'Ações'!AS668="SIM"), 1,0)</f>
        <v>0</v>
      </c>
      <c r="H660" s="139">
        <f>IF(AND('Ações'!$AC668="SIM", 'Ações'!AT668="SIM"), 1,0)</f>
        <v>0</v>
      </c>
      <c r="I660" s="139">
        <f>IF(AND('Ações'!$AC668="SIM", 'Ações'!AU668="SIM"), 1,0)</f>
        <v>0</v>
      </c>
      <c r="J660" s="139">
        <f>IF(AND('Ações'!$AC668="SIM", 'Ações'!AV668="SIM"), 1,0)</f>
        <v>0</v>
      </c>
      <c r="K660" s="139">
        <f>IF(AND('Ações'!$AC668="SIM", 'Ações'!AW668="SIM"), 1,0)</f>
        <v>0</v>
      </c>
      <c r="L660" s="139">
        <f>IF(AND('Ações'!$AC668="SIM", 'Ações'!AX668="SIM"), 1,0)</f>
        <v>0</v>
      </c>
      <c r="M660" s="139">
        <f>IF(AND('Ações'!$AD668="SIM", 'Ações'!AS668="SIM"), 1,0)</f>
        <v>0</v>
      </c>
      <c r="N660" s="139">
        <f>IF(AND('Ações'!$AD668="SIM", 'Ações'!AT668="SIM"), 1,0)</f>
        <v>0</v>
      </c>
      <c r="O660" s="139">
        <f>IF(AND('Ações'!$AD668="SIM", 'Ações'!AU668="SIM"), 1,0)</f>
        <v>0</v>
      </c>
      <c r="P660" s="139">
        <f>IF(AND('Ações'!$AD668="SIM", 'Ações'!AV668="SIM"), 1,0)</f>
        <v>0</v>
      </c>
      <c r="Q660" s="139">
        <f>IF(AND('Ações'!$AD668="SIM", 'Ações'!AW668="SIM"), 1,0)</f>
        <v>0</v>
      </c>
      <c r="R660" s="139">
        <f>IF(AND('Ações'!$AD668="SIM", 'Ações'!AX668="SIM"), 1,0)</f>
        <v>0</v>
      </c>
    </row>
    <row r="661">
      <c r="A661" s="139">
        <f>IF(AND('Ações'!AB669="SIM", 'Ações'!AS669="SIM"), 1,0)</f>
        <v>0</v>
      </c>
      <c r="B661" s="139">
        <f>IF(AND('Ações'!$AB669="SIM", 'Ações'!AT669="SIM"), 1,0)</f>
        <v>0</v>
      </c>
      <c r="C661" s="139">
        <f>IF(AND('Ações'!$AB669="SIM", 'Ações'!AU669="SIM"), 1,0)</f>
        <v>0</v>
      </c>
      <c r="D661" s="139">
        <f>IF(AND('Ações'!$AB669="SIM", 'Ações'!AV669="SIM"), 1,0)</f>
        <v>0</v>
      </c>
      <c r="E661" s="139">
        <f>IF(AND('Ações'!$AB669="SIM", 'Ações'!AW669="SIM"), 1,0)</f>
        <v>1</v>
      </c>
      <c r="F661" s="139">
        <f>IF(AND('Ações'!$AB669="SIM", 'Ações'!AX669="SIM"), 1,0)</f>
        <v>1</v>
      </c>
      <c r="G661" s="139">
        <f>IF(AND('Ações'!$AC669="SIM", 'Ações'!AS669="SIM"), 1,0)</f>
        <v>0</v>
      </c>
      <c r="H661" s="139">
        <f>IF(AND('Ações'!$AC669="SIM", 'Ações'!AT669="SIM"), 1,0)</f>
        <v>0</v>
      </c>
      <c r="I661" s="139">
        <f>IF(AND('Ações'!$AC669="SIM", 'Ações'!AU669="SIM"), 1,0)</f>
        <v>0</v>
      </c>
      <c r="J661" s="139">
        <f>IF(AND('Ações'!$AC669="SIM", 'Ações'!AV669="SIM"), 1,0)</f>
        <v>0</v>
      </c>
      <c r="K661" s="139">
        <f>IF(AND('Ações'!$AC669="SIM", 'Ações'!AW669="SIM"), 1,0)</f>
        <v>1</v>
      </c>
      <c r="L661" s="139">
        <f>IF(AND('Ações'!$AC669="SIM", 'Ações'!AX669="SIM"), 1,0)</f>
        <v>1</v>
      </c>
      <c r="M661" s="139">
        <f>IF(AND('Ações'!$AD669="SIM", 'Ações'!AS669="SIM"), 1,0)</f>
        <v>0</v>
      </c>
      <c r="N661" s="139">
        <f>IF(AND('Ações'!$AD669="SIM", 'Ações'!AT669="SIM"), 1,0)</f>
        <v>0</v>
      </c>
      <c r="O661" s="139">
        <f>IF(AND('Ações'!$AD669="SIM", 'Ações'!AU669="SIM"), 1,0)</f>
        <v>0</v>
      </c>
      <c r="P661" s="139">
        <f>IF(AND('Ações'!$AD669="SIM", 'Ações'!AV669="SIM"), 1,0)</f>
        <v>0</v>
      </c>
      <c r="Q661" s="139">
        <f>IF(AND('Ações'!$AD669="SIM", 'Ações'!AW669="SIM"), 1,0)</f>
        <v>0</v>
      </c>
      <c r="R661" s="139">
        <f>IF(AND('Ações'!$AD669="SIM", 'Ações'!AX669="SIM"), 1,0)</f>
        <v>0</v>
      </c>
    </row>
    <row r="662">
      <c r="A662" s="139">
        <f>IF(AND('Ações'!AB670="SIM", 'Ações'!AS670="SIM"), 1,0)</f>
        <v>0</v>
      </c>
      <c r="B662" s="139">
        <f>IF(AND('Ações'!$AB670="SIM", 'Ações'!AT670="SIM"), 1,0)</f>
        <v>0</v>
      </c>
      <c r="C662" s="139">
        <f>IF(AND('Ações'!$AB670="SIM", 'Ações'!AU670="SIM"), 1,0)</f>
        <v>0</v>
      </c>
      <c r="D662" s="139">
        <f>IF(AND('Ações'!$AB670="SIM", 'Ações'!AV670="SIM"), 1,0)</f>
        <v>0</v>
      </c>
      <c r="E662" s="139">
        <f>IF(AND('Ações'!$AB670="SIM", 'Ações'!AW670="SIM"), 1,0)</f>
        <v>1</v>
      </c>
      <c r="F662" s="139">
        <f>IF(AND('Ações'!$AB670="SIM", 'Ações'!AX670="SIM"), 1,0)</f>
        <v>1</v>
      </c>
      <c r="G662" s="139">
        <f>IF(AND('Ações'!$AC670="SIM", 'Ações'!AS670="SIM"), 1,0)</f>
        <v>0</v>
      </c>
      <c r="H662" s="139">
        <f>IF(AND('Ações'!$AC670="SIM", 'Ações'!AT670="SIM"), 1,0)</f>
        <v>0</v>
      </c>
      <c r="I662" s="139">
        <f>IF(AND('Ações'!$AC670="SIM", 'Ações'!AU670="SIM"), 1,0)</f>
        <v>0</v>
      </c>
      <c r="J662" s="139">
        <f>IF(AND('Ações'!$AC670="SIM", 'Ações'!AV670="SIM"), 1,0)</f>
        <v>0</v>
      </c>
      <c r="K662" s="139">
        <f>IF(AND('Ações'!$AC670="SIM", 'Ações'!AW670="SIM"), 1,0)</f>
        <v>1</v>
      </c>
      <c r="L662" s="139">
        <f>IF(AND('Ações'!$AC670="SIM", 'Ações'!AX670="SIM"), 1,0)</f>
        <v>1</v>
      </c>
      <c r="M662" s="139">
        <f>IF(AND('Ações'!$AD670="SIM", 'Ações'!AS670="SIM"), 1,0)</f>
        <v>0</v>
      </c>
      <c r="N662" s="139">
        <f>IF(AND('Ações'!$AD670="SIM", 'Ações'!AT670="SIM"), 1,0)</f>
        <v>0</v>
      </c>
      <c r="O662" s="139">
        <f>IF(AND('Ações'!$AD670="SIM", 'Ações'!AU670="SIM"), 1,0)</f>
        <v>0</v>
      </c>
      <c r="P662" s="139">
        <f>IF(AND('Ações'!$AD670="SIM", 'Ações'!AV670="SIM"), 1,0)</f>
        <v>0</v>
      </c>
      <c r="Q662" s="139">
        <f>IF(AND('Ações'!$AD670="SIM", 'Ações'!AW670="SIM"), 1,0)</f>
        <v>0</v>
      </c>
      <c r="R662" s="139">
        <f>IF(AND('Ações'!$AD670="SIM", 'Ações'!AX670="SIM"), 1,0)</f>
        <v>0</v>
      </c>
    </row>
    <row r="663">
      <c r="A663" s="139" t="str">
        <f t="shared" ref="A663:R663" si="8">IF(AND(#REF!="SIM", #REF!="SIM"), 1,0)</f>
        <v>#REF!</v>
      </c>
      <c r="B663" s="139" t="str">
        <f t="shared" si="8"/>
        <v>#REF!</v>
      </c>
      <c r="C663" s="139" t="str">
        <f t="shared" si="8"/>
        <v>#REF!</v>
      </c>
      <c r="D663" s="139" t="str">
        <f t="shared" si="8"/>
        <v>#REF!</v>
      </c>
      <c r="E663" s="139" t="str">
        <f t="shared" si="8"/>
        <v>#REF!</v>
      </c>
      <c r="F663" s="139" t="str">
        <f t="shared" si="8"/>
        <v>#REF!</v>
      </c>
      <c r="G663" s="139" t="str">
        <f t="shared" si="8"/>
        <v>#REF!</v>
      </c>
      <c r="H663" s="139" t="str">
        <f t="shared" si="8"/>
        <v>#REF!</v>
      </c>
      <c r="I663" s="139" t="str">
        <f t="shared" si="8"/>
        <v>#REF!</v>
      </c>
      <c r="J663" s="139" t="str">
        <f t="shared" si="8"/>
        <v>#REF!</v>
      </c>
      <c r="K663" s="139" t="str">
        <f t="shared" si="8"/>
        <v>#REF!</v>
      </c>
      <c r="L663" s="139" t="str">
        <f t="shared" si="8"/>
        <v>#REF!</v>
      </c>
      <c r="M663" s="139" t="str">
        <f t="shared" si="8"/>
        <v>#REF!</v>
      </c>
      <c r="N663" s="139" t="str">
        <f t="shared" si="8"/>
        <v>#REF!</v>
      </c>
      <c r="O663" s="139" t="str">
        <f t="shared" si="8"/>
        <v>#REF!</v>
      </c>
      <c r="P663" s="139" t="str">
        <f t="shared" si="8"/>
        <v>#REF!</v>
      </c>
      <c r="Q663" s="139" t="str">
        <f t="shared" si="8"/>
        <v>#REF!</v>
      </c>
      <c r="R663" s="139" t="str">
        <f t="shared" si="8"/>
        <v>#REF!</v>
      </c>
    </row>
    <row r="664">
      <c r="A664" s="139">
        <f>IF(AND('Ações'!AB671="SIM", 'Ações'!AS671="SIM"), 1,0)</f>
        <v>0</v>
      </c>
      <c r="B664" s="139">
        <f>IF(AND('Ações'!$AB671="SIM", 'Ações'!AT671="SIM"), 1,0)</f>
        <v>0</v>
      </c>
      <c r="C664" s="139">
        <f>IF(AND('Ações'!$AB671="SIM", 'Ações'!AU671="SIM"), 1,0)</f>
        <v>0</v>
      </c>
      <c r="D664" s="139">
        <f>IF(AND('Ações'!$AB671="SIM", 'Ações'!AV671="SIM"), 1,0)</f>
        <v>0</v>
      </c>
      <c r="E664" s="139">
        <f>IF(AND('Ações'!$AB671="SIM", 'Ações'!AW671="SIM"), 1,0)</f>
        <v>1</v>
      </c>
      <c r="F664" s="139">
        <f>IF(AND('Ações'!$AB671="SIM", 'Ações'!AX671="SIM"), 1,0)</f>
        <v>1</v>
      </c>
      <c r="G664" s="139">
        <f>IF(AND('Ações'!$AC671="SIM", 'Ações'!AS671="SIM"), 1,0)</f>
        <v>0</v>
      </c>
      <c r="H664" s="139">
        <f>IF(AND('Ações'!$AC671="SIM", 'Ações'!AT671="SIM"), 1,0)</f>
        <v>0</v>
      </c>
      <c r="I664" s="139">
        <f>IF(AND('Ações'!$AC671="SIM", 'Ações'!AU671="SIM"), 1,0)</f>
        <v>0</v>
      </c>
      <c r="J664" s="139">
        <f>IF(AND('Ações'!$AC671="SIM", 'Ações'!AV671="SIM"), 1,0)</f>
        <v>0</v>
      </c>
      <c r="K664" s="139">
        <f>IF(AND('Ações'!$AC671="SIM", 'Ações'!AW671="SIM"), 1,0)</f>
        <v>1</v>
      </c>
      <c r="L664" s="139">
        <f>IF(AND('Ações'!$AC671="SIM", 'Ações'!AX671="SIM"), 1,0)</f>
        <v>1</v>
      </c>
      <c r="M664" s="139">
        <f>IF(AND('Ações'!$AD671="SIM", 'Ações'!AS671="SIM"), 1,0)</f>
        <v>0</v>
      </c>
      <c r="N664" s="139">
        <f>IF(AND('Ações'!$AD671="SIM", 'Ações'!AT671="SIM"), 1,0)</f>
        <v>0</v>
      </c>
      <c r="O664" s="139">
        <f>IF(AND('Ações'!$AD671="SIM", 'Ações'!AU671="SIM"), 1,0)</f>
        <v>0</v>
      </c>
      <c r="P664" s="139">
        <f>IF(AND('Ações'!$AD671="SIM", 'Ações'!AV671="SIM"), 1,0)</f>
        <v>0</v>
      </c>
      <c r="Q664" s="139">
        <f>IF(AND('Ações'!$AD671="SIM", 'Ações'!AW671="SIM"), 1,0)</f>
        <v>0</v>
      </c>
      <c r="R664" s="139">
        <f>IF(AND('Ações'!$AD671="SIM", 'Ações'!AX671="SIM"), 1,0)</f>
        <v>0</v>
      </c>
    </row>
    <row r="665">
      <c r="A665" s="139">
        <f>IF(AND('Ações'!AB672="SIM", 'Ações'!AS672="SIM"), 1,0)</f>
        <v>0</v>
      </c>
      <c r="B665" s="139">
        <f>IF(AND('Ações'!$AB672="SIM", 'Ações'!AT672="SIM"), 1,0)</f>
        <v>0</v>
      </c>
      <c r="C665" s="139">
        <f>IF(AND('Ações'!$AB672="SIM", 'Ações'!AU672="SIM"), 1,0)</f>
        <v>0</v>
      </c>
      <c r="D665" s="139">
        <f>IF(AND('Ações'!$AB672="SIM", 'Ações'!AV672="SIM"), 1,0)</f>
        <v>0</v>
      </c>
      <c r="E665" s="139">
        <f>IF(AND('Ações'!$AB672="SIM", 'Ações'!AW672="SIM"), 1,0)</f>
        <v>1</v>
      </c>
      <c r="F665" s="139">
        <f>IF(AND('Ações'!$AB672="SIM", 'Ações'!AX672="SIM"), 1,0)</f>
        <v>1</v>
      </c>
      <c r="G665" s="139">
        <f>IF(AND('Ações'!$AC672="SIM", 'Ações'!AS672="SIM"), 1,0)</f>
        <v>0</v>
      </c>
      <c r="H665" s="139">
        <f>IF(AND('Ações'!$AC672="SIM", 'Ações'!AT672="SIM"), 1,0)</f>
        <v>0</v>
      </c>
      <c r="I665" s="139">
        <f>IF(AND('Ações'!$AC672="SIM", 'Ações'!AU672="SIM"), 1,0)</f>
        <v>0</v>
      </c>
      <c r="J665" s="139">
        <f>IF(AND('Ações'!$AC672="SIM", 'Ações'!AV672="SIM"), 1,0)</f>
        <v>0</v>
      </c>
      <c r="K665" s="139">
        <f>IF(AND('Ações'!$AC672="SIM", 'Ações'!AW672="SIM"), 1,0)</f>
        <v>0</v>
      </c>
      <c r="L665" s="139">
        <f>IF(AND('Ações'!$AC672="SIM", 'Ações'!AX672="SIM"), 1,0)</f>
        <v>0</v>
      </c>
      <c r="M665" s="139">
        <f>IF(AND('Ações'!$AD672="SIM", 'Ações'!AS672="SIM"), 1,0)</f>
        <v>0</v>
      </c>
      <c r="N665" s="139">
        <f>IF(AND('Ações'!$AD672="SIM", 'Ações'!AT672="SIM"), 1,0)</f>
        <v>0</v>
      </c>
      <c r="O665" s="139">
        <f>IF(AND('Ações'!$AD672="SIM", 'Ações'!AU672="SIM"), 1,0)</f>
        <v>0</v>
      </c>
      <c r="P665" s="139">
        <f>IF(AND('Ações'!$AD672="SIM", 'Ações'!AV672="SIM"), 1,0)</f>
        <v>0</v>
      </c>
      <c r="Q665" s="139">
        <f>IF(AND('Ações'!$AD672="SIM", 'Ações'!AW672="SIM"), 1,0)</f>
        <v>0</v>
      </c>
      <c r="R665" s="139">
        <f>IF(AND('Ações'!$AD672="SIM", 'Ações'!AX672="SIM"), 1,0)</f>
        <v>0</v>
      </c>
    </row>
    <row r="666">
      <c r="A666" s="139">
        <f>IF(AND('Ações'!AB673="SIM", 'Ações'!AS673="SIM"), 1,0)</f>
        <v>0</v>
      </c>
      <c r="B666" s="139">
        <f>IF(AND('Ações'!$AB673="SIM", 'Ações'!AT673="SIM"), 1,0)</f>
        <v>0</v>
      </c>
      <c r="C666" s="139">
        <f>IF(AND('Ações'!$AB673="SIM", 'Ações'!AU673="SIM"), 1,0)</f>
        <v>0</v>
      </c>
      <c r="D666" s="139">
        <f>IF(AND('Ações'!$AB673="SIM", 'Ações'!AV673="SIM"), 1,0)</f>
        <v>0</v>
      </c>
      <c r="E666" s="139">
        <f>IF(AND('Ações'!$AB673="SIM", 'Ações'!AW673="SIM"), 1,0)</f>
        <v>1</v>
      </c>
      <c r="F666" s="139">
        <f>IF(AND('Ações'!$AB673="SIM", 'Ações'!AX673="SIM"), 1,0)</f>
        <v>1</v>
      </c>
      <c r="G666" s="139">
        <f>IF(AND('Ações'!$AC673="SIM", 'Ações'!AS673="SIM"), 1,0)</f>
        <v>0</v>
      </c>
      <c r="H666" s="139">
        <f>IF(AND('Ações'!$AC673="SIM", 'Ações'!AT673="SIM"), 1,0)</f>
        <v>0</v>
      </c>
      <c r="I666" s="139">
        <f>IF(AND('Ações'!$AC673="SIM", 'Ações'!AU673="SIM"), 1,0)</f>
        <v>0</v>
      </c>
      <c r="J666" s="139">
        <f>IF(AND('Ações'!$AC673="SIM", 'Ações'!AV673="SIM"), 1,0)</f>
        <v>0</v>
      </c>
      <c r="K666" s="139">
        <f>IF(AND('Ações'!$AC673="SIM", 'Ações'!AW673="SIM"), 1,0)</f>
        <v>0</v>
      </c>
      <c r="L666" s="139">
        <f>IF(AND('Ações'!$AC673="SIM", 'Ações'!AX673="SIM"), 1,0)</f>
        <v>0</v>
      </c>
      <c r="M666" s="139">
        <f>IF(AND('Ações'!$AD673="SIM", 'Ações'!AS673="SIM"), 1,0)</f>
        <v>0</v>
      </c>
      <c r="N666" s="139">
        <f>IF(AND('Ações'!$AD673="SIM", 'Ações'!AT673="SIM"), 1,0)</f>
        <v>0</v>
      </c>
      <c r="O666" s="139">
        <f>IF(AND('Ações'!$AD673="SIM", 'Ações'!AU673="SIM"), 1,0)</f>
        <v>0</v>
      </c>
      <c r="P666" s="139">
        <f>IF(AND('Ações'!$AD673="SIM", 'Ações'!AV673="SIM"), 1,0)</f>
        <v>0</v>
      </c>
      <c r="Q666" s="139">
        <f>IF(AND('Ações'!$AD673="SIM", 'Ações'!AW673="SIM"), 1,0)</f>
        <v>0</v>
      </c>
      <c r="R666" s="139">
        <f>IF(AND('Ações'!$AD673="SIM", 'Ações'!AX673="SIM"), 1,0)</f>
        <v>0</v>
      </c>
    </row>
    <row r="667">
      <c r="A667" s="139">
        <f>IF(AND('Ações'!AB674="SIM", 'Ações'!AS674="SIM"), 1,0)</f>
        <v>0</v>
      </c>
      <c r="B667" s="139">
        <f>IF(AND('Ações'!$AB674="SIM", 'Ações'!AT674="SIM"), 1,0)</f>
        <v>0</v>
      </c>
      <c r="C667" s="139">
        <f>IF(AND('Ações'!$AB674="SIM", 'Ações'!AU674="SIM"), 1,0)</f>
        <v>0</v>
      </c>
      <c r="D667" s="139">
        <f>IF(AND('Ações'!$AB674="SIM", 'Ações'!AV674="SIM"), 1,0)</f>
        <v>0</v>
      </c>
      <c r="E667" s="139">
        <f>IF(AND('Ações'!$AB674="SIM", 'Ações'!AW674="SIM"), 1,0)</f>
        <v>1</v>
      </c>
      <c r="F667" s="139">
        <f>IF(AND('Ações'!$AB674="SIM", 'Ações'!AX674="SIM"), 1,0)</f>
        <v>1</v>
      </c>
      <c r="G667" s="139">
        <f>IF(AND('Ações'!$AC674="SIM", 'Ações'!AS674="SIM"), 1,0)</f>
        <v>0</v>
      </c>
      <c r="H667" s="139">
        <f>IF(AND('Ações'!$AC674="SIM", 'Ações'!AT674="SIM"), 1,0)</f>
        <v>0</v>
      </c>
      <c r="I667" s="139">
        <f>IF(AND('Ações'!$AC674="SIM", 'Ações'!AU674="SIM"), 1,0)</f>
        <v>0</v>
      </c>
      <c r="J667" s="139">
        <f>IF(AND('Ações'!$AC674="SIM", 'Ações'!AV674="SIM"), 1,0)</f>
        <v>0</v>
      </c>
      <c r="K667" s="139">
        <f>IF(AND('Ações'!$AC674="SIM", 'Ações'!AW674="SIM"), 1,0)</f>
        <v>0</v>
      </c>
      <c r="L667" s="139">
        <f>IF(AND('Ações'!$AC674="SIM", 'Ações'!AX674="SIM"), 1,0)</f>
        <v>0</v>
      </c>
      <c r="M667" s="139">
        <f>IF(AND('Ações'!$AD674="SIM", 'Ações'!AS674="SIM"), 1,0)</f>
        <v>0</v>
      </c>
      <c r="N667" s="139">
        <f>IF(AND('Ações'!$AD674="SIM", 'Ações'!AT674="SIM"), 1,0)</f>
        <v>0</v>
      </c>
      <c r="O667" s="139">
        <f>IF(AND('Ações'!$AD674="SIM", 'Ações'!AU674="SIM"), 1,0)</f>
        <v>0</v>
      </c>
      <c r="P667" s="139">
        <f>IF(AND('Ações'!$AD674="SIM", 'Ações'!AV674="SIM"), 1,0)</f>
        <v>0</v>
      </c>
      <c r="Q667" s="139">
        <f>IF(AND('Ações'!$AD674="SIM", 'Ações'!AW674="SIM"), 1,0)</f>
        <v>0</v>
      </c>
      <c r="R667" s="139">
        <f>IF(AND('Ações'!$AD674="SIM", 'Ações'!AX674="SIM"), 1,0)</f>
        <v>0</v>
      </c>
    </row>
    <row r="668">
      <c r="A668" s="139">
        <f>IF(AND('Ações'!AB675="SIM", 'Ações'!AS675="SIM"), 1,0)</f>
        <v>0</v>
      </c>
      <c r="B668" s="139">
        <f>IF(AND('Ações'!$AB675="SIM", 'Ações'!AT675="SIM"), 1,0)</f>
        <v>0</v>
      </c>
      <c r="C668" s="139">
        <f>IF(AND('Ações'!$AB675="SIM", 'Ações'!AU675="SIM"), 1,0)</f>
        <v>0</v>
      </c>
      <c r="D668" s="139">
        <f>IF(AND('Ações'!$AB675="SIM", 'Ações'!AV675="SIM"), 1,0)</f>
        <v>0</v>
      </c>
      <c r="E668" s="139">
        <f>IF(AND('Ações'!$AB675="SIM", 'Ações'!AW675="SIM"), 1,0)</f>
        <v>1</v>
      </c>
      <c r="F668" s="139">
        <f>IF(AND('Ações'!$AB675="SIM", 'Ações'!AX675="SIM"), 1,0)</f>
        <v>1</v>
      </c>
      <c r="G668" s="139">
        <f>IF(AND('Ações'!$AC675="SIM", 'Ações'!AS675="SIM"), 1,0)</f>
        <v>0</v>
      </c>
      <c r="H668" s="139">
        <f>IF(AND('Ações'!$AC675="SIM", 'Ações'!AT675="SIM"), 1,0)</f>
        <v>0</v>
      </c>
      <c r="I668" s="139">
        <f>IF(AND('Ações'!$AC675="SIM", 'Ações'!AU675="SIM"), 1,0)</f>
        <v>0</v>
      </c>
      <c r="J668" s="139">
        <f>IF(AND('Ações'!$AC675="SIM", 'Ações'!AV675="SIM"), 1,0)</f>
        <v>0</v>
      </c>
      <c r="K668" s="139">
        <f>IF(AND('Ações'!$AC675="SIM", 'Ações'!AW675="SIM"), 1,0)</f>
        <v>0</v>
      </c>
      <c r="L668" s="139">
        <f>IF(AND('Ações'!$AC675="SIM", 'Ações'!AX675="SIM"), 1,0)</f>
        <v>0</v>
      </c>
      <c r="M668" s="139">
        <f>IF(AND('Ações'!$AD675="SIM", 'Ações'!AS675="SIM"), 1,0)</f>
        <v>0</v>
      </c>
      <c r="N668" s="139">
        <f>IF(AND('Ações'!$AD675="SIM", 'Ações'!AT675="SIM"), 1,0)</f>
        <v>0</v>
      </c>
      <c r="O668" s="139">
        <f>IF(AND('Ações'!$AD675="SIM", 'Ações'!AU675="SIM"), 1,0)</f>
        <v>0</v>
      </c>
      <c r="P668" s="139">
        <f>IF(AND('Ações'!$AD675="SIM", 'Ações'!AV675="SIM"), 1,0)</f>
        <v>0</v>
      </c>
      <c r="Q668" s="139">
        <f>IF(AND('Ações'!$AD675="SIM", 'Ações'!AW675="SIM"), 1,0)</f>
        <v>0</v>
      </c>
      <c r="R668" s="139">
        <f>IF(AND('Ações'!$AD675="SIM", 'Ações'!AX675="SIM"), 1,0)</f>
        <v>0</v>
      </c>
    </row>
    <row r="669">
      <c r="A669" s="139">
        <f>IF(AND('Ações'!AB676="SIM", 'Ações'!AS676="SIM"), 1,0)</f>
        <v>0</v>
      </c>
      <c r="B669" s="139">
        <f>IF(AND('Ações'!$AB676="SIM", 'Ações'!AT676="SIM"), 1,0)</f>
        <v>0</v>
      </c>
      <c r="C669" s="139">
        <f>IF(AND('Ações'!$AB676="SIM", 'Ações'!AU676="SIM"), 1,0)</f>
        <v>0</v>
      </c>
      <c r="D669" s="139">
        <f>IF(AND('Ações'!$AB676="SIM", 'Ações'!AV676="SIM"), 1,0)</f>
        <v>0</v>
      </c>
      <c r="E669" s="139">
        <f>IF(AND('Ações'!$AB676="SIM", 'Ações'!AW676="SIM"), 1,0)</f>
        <v>1</v>
      </c>
      <c r="F669" s="139">
        <f>IF(AND('Ações'!$AB676="SIM", 'Ações'!AX676="SIM"), 1,0)</f>
        <v>1</v>
      </c>
      <c r="G669" s="139">
        <f>IF(AND('Ações'!$AC676="SIM", 'Ações'!AS676="SIM"), 1,0)</f>
        <v>0</v>
      </c>
      <c r="H669" s="139">
        <f>IF(AND('Ações'!$AC676="SIM", 'Ações'!AT676="SIM"), 1,0)</f>
        <v>0</v>
      </c>
      <c r="I669" s="139">
        <f>IF(AND('Ações'!$AC676="SIM", 'Ações'!AU676="SIM"), 1,0)</f>
        <v>0</v>
      </c>
      <c r="J669" s="139">
        <f>IF(AND('Ações'!$AC676="SIM", 'Ações'!AV676="SIM"), 1,0)</f>
        <v>0</v>
      </c>
      <c r="K669" s="139">
        <f>IF(AND('Ações'!$AC676="SIM", 'Ações'!AW676="SIM"), 1,0)</f>
        <v>0</v>
      </c>
      <c r="L669" s="139">
        <f>IF(AND('Ações'!$AC676="SIM", 'Ações'!AX676="SIM"), 1,0)</f>
        <v>0</v>
      </c>
      <c r="M669" s="139">
        <f>IF(AND('Ações'!$AD676="SIM", 'Ações'!AS676="SIM"), 1,0)</f>
        <v>0</v>
      </c>
      <c r="N669" s="139">
        <f>IF(AND('Ações'!$AD676="SIM", 'Ações'!AT676="SIM"), 1,0)</f>
        <v>0</v>
      </c>
      <c r="O669" s="139">
        <f>IF(AND('Ações'!$AD676="SIM", 'Ações'!AU676="SIM"), 1,0)</f>
        <v>0</v>
      </c>
      <c r="P669" s="139">
        <f>IF(AND('Ações'!$AD676="SIM", 'Ações'!AV676="SIM"), 1,0)</f>
        <v>0</v>
      </c>
      <c r="Q669" s="139">
        <f>IF(AND('Ações'!$AD676="SIM", 'Ações'!AW676="SIM"), 1,0)</f>
        <v>0</v>
      </c>
      <c r="R669" s="139">
        <f>IF(AND('Ações'!$AD676="SIM", 'Ações'!AX676="SIM"), 1,0)</f>
        <v>0</v>
      </c>
    </row>
    <row r="670">
      <c r="A670" s="139">
        <f>IF(AND('Ações'!AB677="SIM", 'Ações'!AS677="SIM"), 1,0)</f>
        <v>0</v>
      </c>
      <c r="B670" s="139">
        <f>IF(AND('Ações'!$AB677="SIM", 'Ações'!AT677="SIM"), 1,0)</f>
        <v>0</v>
      </c>
      <c r="C670" s="139">
        <f>IF(AND('Ações'!$AB677="SIM", 'Ações'!AU677="SIM"), 1,0)</f>
        <v>0</v>
      </c>
      <c r="D670" s="139">
        <f>IF(AND('Ações'!$AB677="SIM", 'Ações'!AV677="SIM"), 1,0)</f>
        <v>0</v>
      </c>
      <c r="E670" s="139">
        <f>IF(AND('Ações'!$AB677="SIM", 'Ações'!AW677="SIM"), 1,0)</f>
        <v>1</v>
      </c>
      <c r="F670" s="139">
        <f>IF(AND('Ações'!$AB677="SIM", 'Ações'!AX677="SIM"), 1,0)</f>
        <v>1</v>
      </c>
      <c r="G670" s="139">
        <f>IF(AND('Ações'!$AC677="SIM", 'Ações'!AS677="SIM"), 1,0)</f>
        <v>0</v>
      </c>
      <c r="H670" s="139">
        <f>IF(AND('Ações'!$AC677="SIM", 'Ações'!AT677="SIM"), 1,0)</f>
        <v>0</v>
      </c>
      <c r="I670" s="139">
        <f>IF(AND('Ações'!$AC677="SIM", 'Ações'!AU677="SIM"), 1,0)</f>
        <v>0</v>
      </c>
      <c r="J670" s="139">
        <f>IF(AND('Ações'!$AC677="SIM", 'Ações'!AV677="SIM"), 1,0)</f>
        <v>0</v>
      </c>
      <c r="K670" s="139">
        <f>IF(AND('Ações'!$AC677="SIM", 'Ações'!AW677="SIM"), 1,0)</f>
        <v>0</v>
      </c>
      <c r="L670" s="139">
        <f>IF(AND('Ações'!$AC677="SIM", 'Ações'!AX677="SIM"), 1,0)</f>
        <v>0</v>
      </c>
      <c r="M670" s="139">
        <f>IF(AND('Ações'!$AD677="SIM", 'Ações'!AS677="SIM"), 1,0)</f>
        <v>0</v>
      </c>
      <c r="N670" s="139">
        <f>IF(AND('Ações'!$AD677="SIM", 'Ações'!AT677="SIM"), 1,0)</f>
        <v>0</v>
      </c>
      <c r="O670" s="139">
        <f>IF(AND('Ações'!$AD677="SIM", 'Ações'!AU677="SIM"), 1,0)</f>
        <v>0</v>
      </c>
      <c r="P670" s="139">
        <f>IF(AND('Ações'!$AD677="SIM", 'Ações'!AV677="SIM"), 1,0)</f>
        <v>0</v>
      </c>
      <c r="Q670" s="139">
        <f>IF(AND('Ações'!$AD677="SIM", 'Ações'!AW677="SIM"), 1,0)</f>
        <v>0</v>
      </c>
      <c r="R670" s="139">
        <f>IF(AND('Ações'!$AD677="SIM", 'Ações'!AX677="SIM"), 1,0)</f>
        <v>0</v>
      </c>
    </row>
    <row r="671">
      <c r="A671" s="139">
        <f>IF(AND('Ações'!AB678="SIM", 'Ações'!AS678="SIM"), 1,0)</f>
        <v>0</v>
      </c>
      <c r="B671" s="139">
        <f>IF(AND('Ações'!$AB678="SIM", 'Ações'!AT678="SIM"), 1,0)</f>
        <v>0</v>
      </c>
      <c r="C671" s="139">
        <f>IF(AND('Ações'!$AB678="SIM", 'Ações'!AU678="SIM"), 1,0)</f>
        <v>0</v>
      </c>
      <c r="D671" s="139">
        <f>IF(AND('Ações'!$AB678="SIM", 'Ações'!AV678="SIM"), 1,0)</f>
        <v>0</v>
      </c>
      <c r="E671" s="139">
        <f>IF(AND('Ações'!$AB678="SIM", 'Ações'!AW678="SIM"), 1,0)</f>
        <v>0</v>
      </c>
      <c r="F671" s="139">
        <f>IF(AND('Ações'!$AB678="SIM", 'Ações'!AX678="SIM"), 1,0)</f>
        <v>0</v>
      </c>
      <c r="G671" s="139">
        <f>IF(AND('Ações'!$AC678="SIM", 'Ações'!AS678="SIM"), 1,0)</f>
        <v>0</v>
      </c>
      <c r="H671" s="139">
        <f>IF(AND('Ações'!$AC678="SIM", 'Ações'!AT678="SIM"), 1,0)</f>
        <v>0</v>
      </c>
      <c r="I671" s="139">
        <f>IF(AND('Ações'!$AC678="SIM", 'Ações'!AU678="SIM"), 1,0)</f>
        <v>0</v>
      </c>
      <c r="J671" s="139">
        <f>IF(AND('Ações'!$AC678="SIM", 'Ações'!AV678="SIM"), 1,0)</f>
        <v>0</v>
      </c>
      <c r="K671" s="139">
        <f>IF(AND('Ações'!$AC678="SIM", 'Ações'!AW678="SIM"), 1,0)</f>
        <v>0</v>
      </c>
      <c r="L671" s="139">
        <f>IF(AND('Ações'!$AC678="SIM", 'Ações'!AX678="SIM"), 1,0)</f>
        <v>0</v>
      </c>
      <c r="M671" s="139">
        <f>IF(AND('Ações'!$AD678="SIM", 'Ações'!AS678="SIM"), 1,0)</f>
        <v>0</v>
      </c>
      <c r="N671" s="139">
        <f>IF(AND('Ações'!$AD678="SIM", 'Ações'!AT678="SIM"), 1,0)</f>
        <v>0</v>
      </c>
      <c r="O671" s="139">
        <f>IF(AND('Ações'!$AD678="SIM", 'Ações'!AU678="SIM"), 1,0)</f>
        <v>0</v>
      </c>
      <c r="P671" s="139">
        <f>IF(AND('Ações'!$AD678="SIM", 'Ações'!AV678="SIM"), 1,0)</f>
        <v>0</v>
      </c>
      <c r="Q671" s="139">
        <f>IF(AND('Ações'!$AD678="SIM", 'Ações'!AW678="SIM"), 1,0)</f>
        <v>0</v>
      </c>
      <c r="R671" s="139">
        <f>IF(AND('Ações'!$AD678="SIM", 'Ações'!AX678="SIM"), 1,0)</f>
        <v>0</v>
      </c>
    </row>
    <row r="672">
      <c r="A672" s="139">
        <f>IF(AND('Ações'!AB679="SIM", 'Ações'!AS679="SIM"), 1,0)</f>
        <v>0</v>
      </c>
      <c r="B672" s="139">
        <f>IF(AND('Ações'!$AB679="SIM", 'Ações'!AT679="SIM"), 1,0)</f>
        <v>0</v>
      </c>
      <c r="C672" s="139">
        <f>IF(AND('Ações'!$AB679="SIM", 'Ações'!AU679="SIM"), 1,0)</f>
        <v>0</v>
      </c>
      <c r="D672" s="139">
        <f>IF(AND('Ações'!$AB679="SIM", 'Ações'!AV679="SIM"), 1,0)</f>
        <v>0</v>
      </c>
      <c r="E672" s="139">
        <f>IF(AND('Ações'!$AB679="SIM", 'Ações'!AW679="SIM"), 1,0)</f>
        <v>0</v>
      </c>
      <c r="F672" s="139">
        <f>IF(AND('Ações'!$AB679="SIM", 'Ações'!AX679="SIM"), 1,0)</f>
        <v>0</v>
      </c>
      <c r="G672" s="139">
        <f>IF(AND('Ações'!$AC679="SIM", 'Ações'!AS679="SIM"), 1,0)</f>
        <v>0</v>
      </c>
      <c r="H672" s="139">
        <f>IF(AND('Ações'!$AC679="SIM", 'Ações'!AT679="SIM"), 1,0)</f>
        <v>0</v>
      </c>
      <c r="I672" s="139">
        <f>IF(AND('Ações'!$AC679="SIM", 'Ações'!AU679="SIM"), 1,0)</f>
        <v>0</v>
      </c>
      <c r="J672" s="139">
        <f>IF(AND('Ações'!$AC679="SIM", 'Ações'!AV679="SIM"), 1,0)</f>
        <v>0</v>
      </c>
      <c r="K672" s="139">
        <f>IF(AND('Ações'!$AC679="SIM", 'Ações'!AW679="SIM"), 1,0)</f>
        <v>0</v>
      </c>
      <c r="L672" s="139">
        <f>IF(AND('Ações'!$AC679="SIM", 'Ações'!AX679="SIM"), 1,0)</f>
        <v>0</v>
      </c>
      <c r="M672" s="139">
        <f>IF(AND('Ações'!$AD679="SIM", 'Ações'!AS679="SIM"), 1,0)</f>
        <v>0</v>
      </c>
      <c r="N672" s="139">
        <f>IF(AND('Ações'!$AD679="SIM", 'Ações'!AT679="SIM"), 1,0)</f>
        <v>0</v>
      </c>
      <c r="O672" s="139">
        <f>IF(AND('Ações'!$AD679="SIM", 'Ações'!AU679="SIM"), 1,0)</f>
        <v>0</v>
      </c>
      <c r="P672" s="139">
        <f>IF(AND('Ações'!$AD679="SIM", 'Ações'!AV679="SIM"), 1,0)</f>
        <v>0</v>
      </c>
      <c r="Q672" s="139">
        <f>IF(AND('Ações'!$AD679="SIM", 'Ações'!AW679="SIM"), 1,0)</f>
        <v>0</v>
      </c>
      <c r="R672" s="139">
        <f>IF(AND('Ações'!$AD679="SIM", 'Ações'!AX679="SIM"), 1,0)</f>
        <v>0</v>
      </c>
    </row>
    <row r="673">
      <c r="A673" s="139">
        <f>IF(AND('Ações'!AB680="SIM", 'Ações'!AS680="SIM"), 1,0)</f>
        <v>0</v>
      </c>
      <c r="B673" s="139">
        <f>IF(AND('Ações'!$AB680="SIM", 'Ações'!AT680="SIM"), 1,0)</f>
        <v>0</v>
      </c>
      <c r="C673" s="139">
        <f>IF(AND('Ações'!$AB680="SIM", 'Ações'!AU680="SIM"), 1,0)</f>
        <v>0</v>
      </c>
      <c r="D673" s="139">
        <f>IF(AND('Ações'!$AB680="SIM", 'Ações'!AV680="SIM"), 1,0)</f>
        <v>0</v>
      </c>
      <c r="E673" s="139">
        <f>IF(AND('Ações'!$AB680="SIM", 'Ações'!AW680="SIM"), 1,0)</f>
        <v>0</v>
      </c>
      <c r="F673" s="139">
        <f>IF(AND('Ações'!$AB680="SIM", 'Ações'!AX680="SIM"), 1,0)</f>
        <v>0</v>
      </c>
      <c r="G673" s="139">
        <f>IF(AND('Ações'!$AC680="SIM", 'Ações'!AS680="SIM"), 1,0)</f>
        <v>0</v>
      </c>
      <c r="H673" s="139">
        <f>IF(AND('Ações'!$AC680="SIM", 'Ações'!AT680="SIM"), 1,0)</f>
        <v>0</v>
      </c>
      <c r="I673" s="139">
        <f>IF(AND('Ações'!$AC680="SIM", 'Ações'!AU680="SIM"), 1,0)</f>
        <v>0</v>
      </c>
      <c r="J673" s="139">
        <f>IF(AND('Ações'!$AC680="SIM", 'Ações'!AV680="SIM"), 1,0)</f>
        <v>0</v>
      </c>
      <c r="K673" s="139">
        <f>IF(AND('Ações'!$AC680="SIM", 'Ações'!AW680="SIM"), 1,0)</f>
        <v>0</v>
      </c>
      <c r="L673" s="139">
        <f>IF(AND('Ações'!$AC680="SIM", 'Ações'!AX680="SIM"), 1,0)</f>
        <v>0</v>
      </c>
      <c r="M673" s="139">
        <f>IF(AND('Ações'!$AD680="SIM", 'Ações'!AS680="SIM"), 1,0)</f>
        <v>0</v>
      </c>
      <c r="N673" s="139">
        <f>IF(AND('Ações'!$AD680="SIM", 'Ações'!AT680="SIM"), 1,0)</f>
        <v>0</v>
      </c>
      <c r="O673" s="139">
        <f>IF(AND('Ações'!$AD680="SIM", 'Ações'!AU680="SIM"), 1,0)</f>
        <v>0</v>
      </c>
      <c r="P673" s="139">
        <f>IF(AND('Ações'!$AD680="SIM", 'Ações'!AV680="SIM"), 1,0)</f>
        <v>0</v>
      </c>
      <c r="Q673" s="139">
        <f>IF(AND('Ações'!$AD680="SIM", 'Ações'!AW680="SIM"), 1,0)</f>
        <v>0</v>
      </c>
      <c r="R673" s="139">
        <f>IF(AND('Ações'!$AD680="SIM", 'Ações'!AX680="SIM"), 1,0)</f>
        <v>0</v>
      </c>
    </row>
    <row r="674">
      <c r="A674" s="139">
        <f>IF(AND('Ações'!AB681="SIM", 'Ações'!AS681="SIM"), 1,0)</f>
        <v>0</v>
      </c>
      <c r="B674" s="139">
        <f>IF(AND('Ações'!$AB681="SIM", 'Ações'!AT681="SIM"), 1,0)</f>
        <v>0</v>
      </c>
      <c r="C674" s="139">
        <f>IF(AND('Ações'!$AB681="SIM", 'Ações'!AU681="SIM"), 1,0)</f>
        <v>0</v>
      </c>
      <c r="D674" s="139">
        <f>IF(AND('Ações'!$AB681="SIM", 'Ações'!AV681="SIM"), 1,0)</f>
        <v>1</v>
      </c>
      <c r="E674" s="139">
        <f>IF(AND('Ações'!$AB681="SIM", 'Ações'!AW681="SIM"), 1,0)</f>
        <v>1</v>
      </c>
      <c r="F674" s="139">
        <f>IF(AND('Ações'!$AB681="SIM", 'Ações'!AX681="SIM"), 1,0)</f>
        <v>1</v>
      </c>
      <c r="G674" s="139">
        <f>IF(AND('Ações'!$AC681="SIM", 'Ações'!AS681="SIM"), 1,0)</f>
        <v>0</v>
      </c>
      <c r="H674" s="139">
        <f>IF(AND('Ações'!$AC681="SIM", 'Ações'!AT681="SIM"), 1,0)</f>
        <v>0</v>
      </c>
      <c r="I674" s="139">
        <f>IF(AND('Ações'!$AC681="SIM", 'Ações'!AU681="SIM"), 1,0)</f>
        <v>0</v>
      </c>
      <c r="J674" s="139">
        <f>IF(AND('Ações'!$AC681="SIM", 'Ações'!AV681="SIM"), 1,0)</f>
        <v>0</v>
      </c>
      <c r="K674" s="139">
        <f>IF(AND('Ações'!$AC681="SIM", 'Ações'!AW681="SIM"), 1,0)</f>
        <v>0</v>
      </c>
      <c r="L674" s="139">
        <f>IF(AND('Ações'!$AC681="SIM", 'Ações'!AX681="SIM"), 1,0)</f>
        <v>0</v>
      </c>
      <c r="M674" s="139">
        <f>IF(AND('Ações'!$AD681="SIM", 'Ações'!AS681="SIM"), 1,0)</f>
        <v>0</v>
      </c>
      <c r="N674" s="139">
        <f>IF(AND('Ações'!$AD681="SIM", 'Ações'!AT681="SIM"), 1,0)</f>
        <v>0</v>
      </c>
      <c r="O674" s="139">
        <f>IF(AND('Ações'!$AD681="SIM", 'Ações'!AU681="SIM"), 1,0)</f>
        <v>0</v>
      </c>
      <c r="P674" s="139">
        <f>IF(AND('Ações'!$AD681="SIM", 'Ações'!AV681="SIM"), 1,0)</f>
        <v>0</v>
      </c>
      <c r="Q674" s="139">
        <f>IF(AND('Ações'!$AD681="SIM", 'Ações'!AW681="SIM"), 1,0)</f>
        <v>0</v>
      </c>
      <c r="R674" s="139">
        <f>IF(AND('Ações'!$AD681="SIM", 'Ações'!AX681="SIM"), 1,0)</f>
        <v>0</v>
      </c>
    </row>
    <row r="675">
      <c r="A675" s="139">
        <f>IF(AND('Ações'!AB682="SIM", 'Ações'!AS682="SIM"), 1,0)</f>
        <v>0</v>
      </c>
      <c r="B675" s="139">
        <f>IF(AND('Ações'!$AB682="SIM", 'Ações'!AT682="SIM"), 1,0)</f>
        <v>0</v>
      </c>
      <c r="C675" s="139">
        <f>IF(AND('Ações'!$AB682="SIM", 'Ações'!AU682="SIM"), 1,0)</f>
        <v>0</v>
      </c>
      <c r="D675" s="139">
        <f>IF(AND('Ações'!$AB682="SIM", 'Ações'!AV682="SIM"), 1,0)</f>
        <v>0</v>
      </c>
      <c r="E675" s="139">
        <f>IF(AND('Ações'!$AB682="SIM", 'Ações'!AW682="SIM"), 1,0)</f>
        <v>1</v>
      </c>
      <c r="F675" s="139">
        <f>IF(AND('Ações'!$AB682="SIM", 'Ações'!AX682="SIM"), 1,0)</f>
        <v>1</v>
      </c>
      <c r="G675" s="139">
        <f>IF(AND('Ações'!$AC682="SIM", 'Ações'!AS682="SIM"), 1,0)</f>
        <v>0</v>
      </c>
      <c r="H675" s="139">
        <f>IF(AND('Ações'!$AC682="SIM", 'Ações'!AT682="SIM"), 1,0)</f>
        <v>0</v>
      </c>
      <c r="I675" s="139">
        <f>IF(AND('Ações'!$AC682="SIM", 'Ações'!AU682="SIM"), 1,0)</f>
        <v>0</v>
      </c>
      <c r="J675" s="139">
        <f>IF(AND('Ações'!$AC682="SIM", 'Ações'!AV682="SIM"), 1,0)</f>
        <v>0</v>
      </c>
      <c r="K675" s="139">
        <f>IF(AND('Ações'!$AC682="SIM", 'Ações'!AW682="SIM"), 1,0)</f>
        <v>0</v>
      </c>
      <c r="L675" s="139">
        <f>IF(AND('Ações'!$AC682="SIM", 'Ações'!AX682="SIM"), 1,0)</f>
        <v>0</v>
      </c>
      <c r="M675" s="139">
        <f>IF(AND('Ações'!$AD682="SIM", 'Ações'!AS682="SIM"), 1,0)</f>
        <v>0</v>
      </c>
      <c r="N675" s="139">
        <f>IF(AND('Ações'!$AD682="SIM", 'Ações'!AT682="SIM"), 1,0)</f>
        <v>0</v>
      </c>
      <c r="O675" s="139">
        <f>IF(AND('Ações'!$AD682="SIM", 'Ações'!AU682="SIM"), 1,0)</f>
        <v>0</v>
      </c>
      <c r="P675" s="139">
        <f>IF(AND('Ações'!$AD682="SIM", 'Ações'!AV682="SIM"), 1,0)</f>
        <v>0</v>
      </c>
      <c r="Q675" s="139">
        <f>IF(AND('Ações'!$AD682="SIM", 'Ações'!AW682="SIM"), 1,0)</f>
        <v>0</v>
      </c>
      <c r="R675" s="139">
        <f>IF(AND('Ações'!$AD682="SIM", 'Ações'!AX682="SIM"), 1,0)</f>
        <v>0</v>
      </c>
    </row>
    <row r="676">
      <c r="A676" s="139">
        <f>IF(AND('Ações'!AB683="SIM", 'Ações'!AS683="SIM"), 1,0)</f>
        <v>0</v>
      </c>
      <c r="B676" s="139">
        <f>IF(AND('Ações'!$AB683="SIM", 'Ações'!AT683="SIM"), 1,0)</f>
        <v>0</v>
      </c>
      <c r="C676" s="139">
        <f>IF(AND('Ações'!$AB683="SIM", 'Ações'!AU683="SIM"), 1,0)</f>
        <v>0</v>
      </c>
      <c r="D676" s="139">
        <f>IF(AND('Ações'!$AB683="SIM", 'Ações'!AV683="SIM"), 1,0)</f>
        <v>0</v>
      </c>
      <c r="E676" s="139">
        <f>IF(AND('Ações'!$AB683="SIM", 'Ações'!AW683="SIM"), 1,0)</f>
        <v>1</v>
      </c>
      <c r="F676" s="139">
        <f>IF(AND('Ações'!$AB683="SIM", 'Ações'!AX683="SIM"), 1,0)</f>
        <v>1</v>
      </c>
      <c r="G676" s="139">
        <f>IF(AND('Ações'!$AC683="SIM", 'Ações'!AS683="SIM"), 1,0)</f>
        <v>0</v>
      </c>
      <c r="H676" s="139">
        <f>IF(AND('Ações'!$AC683="SIM", 'Ações'!AT683="SIM"), 1,0)</f>
        <v>0</v>
      </c>
      <c r="I676" s="139">
        <f>IF(AND('Ações'!$AC683="SIM", 'Ações'!AU683="SIM"), 1,0)</f>
        <v>0</v>
      </c>
      <c r="J676" s="139">
        <f>IF(AND('Ações'!$AC683="SIM", 'Ações'!AV683="SIM"), 1,0)</f>
        <v>0</v>
      </c>
      <c r="K676" s="139">
        <f>IF(AND('Ações'!$AC683="SIM", 'Ações'!AW683="SIM"), 1,0)</f>
        <v>0</v>
      </c>
      <c r="L676" s="139">
        <f>IF(AND('Ações'!$AC683="SIM", 'Ações'!AX683="SIM"), 1,0)</f>
        <v>0</v>
      </c>
      <c r="M676" s="139">
        <f>IF(AND('Ações'!$AD683="SIM", 'Ações'!AS683="SIM"), 1,0)</f>
        <v>0</v>
      </c>
      <c r="N676" s="139">
        <f>IF(AND('Ações'!$AD683="SIM", 'Ações'!AT683="SIM"), 1,0)</f>
        <v>0</v>
      </c>
      <c r="O676" s="139">
        <f>IF(AND('Ações'!$AD683="SIM", 'Ações'!AU683="SIM"), 1,0)</f>
        <v>0</v>
      </c>
      <c r="P676" s="139">
        <f>IF(AND('Ações'!$AD683="SIM", 'Ações'!AV683="SIM"), 1,0)</f>
        <v>0</v>
      </c>
      <c r="Q676" s="139">
        <f>IF(AND('Ações'!$AD683="SIM", 'Ações'!AW683="SIM"), 1,0)</f>
        <v>0</v>
      </c>
      <c r="R676" s="139">
        <f>IF(AND('Ações'!$AD683="SIM", 'Ações'!AX683="SIM"), 1,0)</f>
        <v>0</v>
      </c>
    </row>
    <row r="677">
      <c r="A677" s="139">
        <f>IF(AND('Ações'!AB684="SIM", 'Ações'!AS684="SIM"), 1,0)</f>
        <v>0</v>
      </c>
      <c r="B677" s="139">
        <f>IF(AND('Ações'!$AB684="SIM", 'Ações'!AT684="SIM"), 1,0)</f>
        <v>0</v>
      </c>
      <c r="C677" s="139">
        <f>IF(AND('Ações'!$AB684="SIM", 'Ações'!AU684="SIM"), 1,0)</f>
        <v>0</v>
      </c>
      <c r="D677" s="139">
        <f>IF(AND('Ações'!$AB684="SIM", 'Ações'!AV684="SIM"), 1,0)</f>
        <v>0</v>
      </c>
      <c r="E677" s="139">
        <f>IF(AND('Ações'!$AB684="SIM", 'Ações'!AW684="SIM"), 1,0)</f>
        <v>1</v>
      </c>
      <c r="F677" s="139">
        <f>IF(AND('Ações'!$AB684="SIM", 'Ações'!AX684="SIM"), 1,0)</f>
        <v>1</v>
      </c>
      <c r="G677" s="139">
        <f>IF(AND('Ações'!$AC684="SIM", 'Ações'!AS684="SIM"), 1,0)</f>
        <v>0</v>
      </c>
      <c r="H677" s="139">
        <f>IF(AND('Ações'!$AC684="SIM", 'Ações'!AT684="SIM"), 1,0)</f>
        <v>0</v>
      </c>
      <c r="I677" s="139">
        <f>IF(AND('Ações'!$AC684="SIM", 'Ações'!AU684="SIM"), 1,0)</f>
        <v>0</v>
      </c>
      <c r="J677" s="139">
        <f>IF(AND('Ações'!$AC684="SIM", 'Ações'!AV684="SIM"), 1,0)</f>
        <v>0</v>
      </c>
      <c r="K677" s="139">
        <f>IF(AND('Ações'!$AC684="SIM", 'Ações'!AW684="SIM"), 1,0)</f>
        <v>0</v>
      </c>
      <c r="L677" s="139">
        <f>IF(AND('Ações'!$AC684="SIM", 'Ações'!AX684="SIM"), 1,0)</f>
        <v>0</v>
      </c>
      <c r="M677" s="139">
        <f>IF(AND('Ações'!$AD684="SIM", 'Ações'!AS684="SIM"), 1,0)</f>
        <v>0</v>
      </c>
      <c r="N677" s="139">
        <f>IF(AND('Ações'!$AD684="SIM", 'Ações'!AT684="SIM"), 1,0)</f>
        <v>0</v>
      </c>
      <c r="O677" s="139">
        <f>IF(AND('Ações'!$AD684="SIM", 'Ações'!AU684="SIM"), 1,0)</f>
        <v>0</v>
      </c>
      <c r="P677" s="139">
        <f>IF(AND('Ações'!$AD684="SIM", 'Ações'!AV684="SIM"), 1,0)</f>
        <v>0</v>
      </c>
      <c r="Q677" s="139">
        <f>IF(AND('Ações'!$AD684="SIM", 'Ações'!AW684="SIM"), 1,0)</f>
        <v>0</v>
      </c>
      <c r="R677" s="139">
        <f>IF(AND('Ações'!$AD684="SIM", 'Ações'!AX684="SIM"), 1,0)</f>
        <v>0</v>
      </c>
    </row>
    <row r="678">
      <c r="A678" s="139">
        <f>IF(AND('Ações'!AB685="SIM", 'Ações'!AS685="SIM"), 1,0)</f>
        <v>0</v>
      </c>
      <c r="B678" s="139">
        <f>IF(AND('Ações'!$AB685="SIM", 'Ações'!AT685="SIM"), 1,0)</f>
        <v>0</v>
      </c>
      <c r="C678" s="139">
        <f>IF(AND('Ações'!$AB685="SIM", 'Ações'!AU685="SIM"), 1,0)</f>
        <v>0</v>
      </c>
      <c r="D678" s="139">
        <f>IF(AND('Ações'!$AB685="SIM", 'Ações'!AV685="SIM"), 1,0)</f>
        <v>0</v>
      </c>
      <c r="E678" s="139">
        <f>IF(AND('Ações'!$AB685="SIM", 'Ações'!AW685="SIM"), 1,0)</f>
        <v>1</v>
      </c>
      <c r="F678" s="139">
        <f>IF(AND('Ações'!$AB685="SIM", 'Ações'!AX685="SIM"), 1,0)</f>
        <v>1</v>
      </c>
      <c r="G678" s="139">
        <f>IF(AND('Ações'!$AC685="SIM", 'Ações'!AS685="SIM"), 1,0)</f>
        <v>0</v>
      </c>
      <c r="H678" s="139">
        <f>IF(AND('Ações'!$AC685="SIM", 'Ações'!AT685="SIM"), 1,0)</f>
        <v>0</v>
      </c>
      <c r="I678" s="139">
        <f>IF(AND('Ações'!$AC685="SIM", 'Ações'!AU685="SIM"), 1,0)</f>
        <v>0</v>
      </c>
      <c r="J678" s="139">
        <f>IF(AND('Ações'!$AC685="SIM", 'Ações'!AV685="SIM"), 1,0)</f>
        <v>0</v>
      </c>
      <c r="K678" s="139">
        <f>IF(AND('Ações'!$AC685="SIM", 'Ações'!AW685="SIM"), 1,0)</f>
        <v>1</v>
      </c>
      <c r="L678" s="139">
        <f>IF(AND('Ações'!$AC685="SIM", 'Ações'!AX685="SIM"), 1,0)</f>
        <v>1</v>
      </c>
      <c r="M678" s="139">
        <f>IF(AND('Ações'!$AD685="SIM", 'Ações'!AS685="SIM"), 1,0)</f>
        <v>0</v>
      </c>
      <c r="N678" s="139">
        <f>IF(AND('Ações'!$AD685="SIM", 'Ações'!AT685="SIM"), 1,0)</f>
        <v>0</v>
      </c>
      <c r="O678" s="139">
        <f>IF(AND('Ações'!$AD685="SIM", 'Ações'!AU685="SIM"), 1,0)</f>
        <v>0</v>
      </c>
      <c r="P678" s="139">
        <f>IF(AND('Ações'!$AD685="SIM", 'Ações'!AV685="SIM"), 1,0)</f>
        <v>0</v>
      </c>
      <c r="Q678" s="139">
        <f>IF(AND('Ações'!$AD685="SIM", 'Ações'!AW685="SIM"), 1,0)</f>
        <v>0</v>
      </c>
      <c r="R678" s="139">
        <f>IF(AND('Ações'!$AD685="SIM", 'Ações'!AX685="SIM"), 1,0)</f>
        <v>0</v>
      </c>
    </row>
    <row r="679">
      <c r="A679" s="139">
        <f>IF(AND('Ações'!AB686="SIM", 'Ações'!AS686="SIM"), 1,0)</f>
        <v>0</v>
      </c>
      <c r="B679" s="139">
        <f>IF(AND('Ações'!$AB686="SIM", 'Ações'!AT686="SIM"), 1,0)</f>
        <v>0</v>
      </c>
      <c r="C679" s="139">
        <f>IF(AND('Ações'!$AB686="SIM", 'Ações'!AU686="SIM"), 1,0)</f>
        <v>0</v>
      </c>
      <c r="D679" s="139">
        <f>IF(AND('Ações'!$AB686="SIM", 'Ações'!AV686="SIM"), 1,0)</f>
        <v>0</v>
      </c>
      <c r="E679" s="139">
        <f>IF(AND('Ações'!$AB686="SIM", 'Ações'!AW686="SIM"), 1,0)</f>
        <v>1</v>
      </c>
      <c r="F679" s="139">
        <f>IF(AND('Ações'!$AB686="SIM", 'Ações'!AX686="SIM"), 1,0)</f>
        <v>1</v>
      </c>
      <c r="G679" s="139">
        <f>IF(AND('Ações'!$AC686="SIM", 'Ações'!AS686="SIM"), 1,0)</f>
        <v>0</v>
      </c>
      <c r="H679" s="139">
        <f>IF(AND('Ações'!$AC686="SIM", 'Ações'!AT686="SIM"), 1,0)</f>
        <v>0</v>
      </c>
      <c r="I679" s="139">
        <f>IF(AND('Ações'!$AC686="SIM", 'Ações'!AU686="SIM"), 1,0)</f>
        <v>0</v>
      </c>
      <c r="J679" s="139">
        <f>IF(AND('Ações'!$AC686="SIM", 'Ações'!AV686="SIM"), 1,0)</f>
        <v>0</v>
      </c>
      <c r="K679" s="139">
        <f>IF(AND('Ações'!$AC686="SIM", 'Ações'!AW686="SIM"), 1,0)</f>
        <v>0</v>
      </c>
      <c r="L679" s="139">
        <f>IF(AND('Ações'!$AC686="SIM", 'Ações'!AX686="SIM"), 1,0)</f>
        <v>0</v>
      </c>
      <c r="M679" s="139">
        <f>IF(AND('Ações'!$AD686="SIM", 'Ações'!AS686="SIM"), 1,0)</f>
        <v>0</v>
      </c>
      <c r="N679" s="139">
        <f>IF(AND('Ações'!$AD686="SIM", 'Ações'!AT686="SIM"), 1,0)</f>
        <v>0</v>
      </c>
      <c r="O679" s="139">
        <f>IF(AND('Ações'!$AD686="SIM", 'Ações'!AU686="SIM"), 1,0)</f>
        <v>0</v>
      </c>
      <c r="P679" s="139">
        <f>IF(AND('Ações'!$AD686="SIM", 'Ações'!AV686="SIM"), 1,0)</f>
        <v>0</v>
      </c>
      <c r="Q679" s="139">
        <f>IF(AND('Ações'!$AD686="SIM", 'Ações'!AW686="SIM"), 1,0)</f>
        <v>0</v>
      </c>
      <c r="R679" s="139">
        <f>IF(AND('Ações'!$AD686="SIM", 'Ações'!AX686="SIM"), 1,0)</f>
        <v>0</v>
      </c>
    </row>
    <row r="680">
      <c r="A680" s="139">
        <f>IF(AND('Ações'!AB687="SIM", 'Ações'!AS687="SIM"), 1,0)</f>
        <v>0</v>
      </c>
      <c r="B680" s="139">
        <f>IF(AND('Ações'!$AB687="SIM", 'Ações'!AT687="SIM"), 1,0)</f>
        <v>0</v>
      </c>
      <c r="C680" s="139">
        <f>IF(AND('Ações'!$AB687="SIM", 'Ações'!AU687="SIM"), 1,0)</f>
        <v>0</v>
      </c>
      <c r="D680" s="139">
        <f>IF(AND('Ações'!$AB687="SIM", 'Ações'!AV687="SIM"), 1,0)</f>
        <v>0</v>
      </c>
      <c r="E680" s="139">
        <f>IF(AND('Ações'!$AB687="SIM", 'Ações'!AW687="SIM"), 1,0)</f>
        <v>1</v>
      </c>
      <c r="F680" s="139">
        <f>IF(AND('Ações'!$AB687="SIM", 'Ações'!AX687="SIM"), 1,0)</f>
        <v>1</v>
      </c>
      <c r="G680" s="139">
        <f>IF(AND('Ações'!$AC687="SIM", 'Ações'!AS687="SIM"), 1,0)</f>
        <v>0</v>
      </c>
      <c r="H680" s="139">
        <f>IF(AND('Ações'!$AC687="SIM", 'Ações'!AT687="SIM"), 1,0)</f>
        <v>0</v>
      </c>
      <c r="I680" s="139">
        <f>IF(AND('Ações'!$AC687="SIM", 'Ações'!AU687="SIM"), 1,0)</f>
        <v>0</v>
      </c>
      <c r="J680" s="139">
        <f>IF(AND('Ações'!$AC687="SIM", 'Ações'!AV687="SIM"), 1,0)</f>
        <v>0</v>
      </c>
      <c r="K680" s="139">
        <f>IF(AND('Ações'!$AC687="SIM", 'Ações'!AW687="SIM"), 1,0)</f>
        <v>0</v>
      </c>
      <c r="L680" s="139">
        <f>IF(AND('Ações'!$AC687="SIM", 'Ações'!AX687="SIM"), 1,0)</f>
        <v>0</v>
      </c>
      <c r="M680" s="139">
        <f>IF(AND('Ações'!$AD687="SIM", 'Ações'!AS687="SIM"), 1,0)</f>
        <v>0</v>
      </c>
      <c r="N680" s="139">
        <f>IF(AND('Ações'!$AD687="SIM", 'Ações'!AT687="SIM"), 1,0)</f>
        <v>0</v>
      </c>
      <c r="O680" s="139">
        <f>IF(AND('Ações'!$AD687="SIM", 'Ações'!AU687="SIM"), 1,0)</f>
        <v>0</v>
      </c>
      <c r="P680" s="139">
        <f>IF(AND('Ações'!$AD687="SIM", 'Ações'!AV687="SIM"), 1,0)</f>
        <v>0</v>
      </c>
      <c r="Q680" s="139">
        <f>IF(AND('Ações'!$AD687="SIM", 'Ações'!AW687="SIM"), 1,0)</f>
        <v>0</v>
      </c>
      <c r="R680" s="139">
        <f>IF(AND('Ações'!$AD687="SIM", 'Ações'!AX687="SIM"), 1,0)</f>
        <v>0</v>
      </c>
    </row>
    <row r="681">
      <c r="A681" s="139">
        <f>IF(AND('Ações'!AB688="SIM", 'Ações'!AS688="SIM"), 1,0)</f>
        <v>0</v>
      </c>
      <c r="B681" s="139">
        <f>IF(AND('Ações'!$AB688="SIM", 'Ações'!AT688="SIM"), 1,0)</f>
        <v>0</v>
      </c>
      <c r="C681" s="139">
        <f>IF(AND('Ações'!$AB688="SIM", 'Ações'!AU688="SIM"), 1,0)</f>
        <v>0</v>
      </c>
      <c r="D681" s="139">
        <f>IF(AND('Ações'!$AB688="SIM", 'Ações'!AV688="SIM"), 1,0)</f>
        <v>1</v>
      </c>
      <c r="E681" s="139">
        <f>IF(AND('Ações'!$AB688="SIM", 'Ações'!AW688="SIM"), 1,0)</f>
        <v>1</v>
      </c>
      <c r="F681" s="139">
        <f>IF(AND('Ações'!$AB688="SIM", 'Ações'!AX688="SIM"), 1,0)</f>
        <v>1</v>
      </c>
      <c r="G681" s="139">
        <f>IF(AND('Ações'!$AC688="SIM", 'Ações'!AS688="SIM"), 1,0)</f>
        <v>0</v>
      </c>
      <c r="H681" s="139">
        <f>IF(AND('Ações'!$AC688="SIM", 'Ações'!AT688="SIM"), 1,0)</f>
        <v>0</v>
      </c>
      <c r="I681" s="139">
        <f>IF(AND('Ações'!$AC688="SIM", 'Ações'!AU688="SIM"), 1,0)</f>
        <v>0</v>
      </c>
      <c r="J681" s="139">
        <f>IF(AND('Ações'!$AC688="SIM", 'Ações'!AV688="SIM"), 1,0)</f>
        <v>0</v>
      </c>
      <c r="K681" s="139">
        <f>IF(AND('Ações'!$AC688="SIM", 'Ações'!AW688="SIM"), 1,0)</f>
        <v>0</v>
      </c>
      <c r="L681" s="139">
        <f>IF(AND('Ações'!$AC688="SIM", 'Ações'!AX688="SIM"), 1,0)</f>
        <v>0</v>
      </c>
      <c r="M681" s="139">
        <f>IF(AND('Ações'!$AD688="SIM", 'Ações'!AS688="SIM"), 1,0)</f>
        <v>0</v>
      </c>
      <c r="N681" s="139">
        <f>IF(AND('Ações'!$AD688="SIM", 'Ações'!AT688="SIM"), 1,0)</f>
        <v>0</v>
      </c>
      <c r="O681" s="139">
        <f>IF(AND('Ações'!$AD688="SIM", 'Ações'!AU688="SIM"), 1,0)</f>
        <v>0</v>
      </c>
      <c r="P681" s="139">
        <f>IF(AND('Ações'!$AD688="SIM", 'Ações'!AV688="SIM"), 1,0)</f>
        <v>0</v>
      </c>
      <c r="Q681" s="139">
        <f>IF(AND('Ações'!$AD688="SIM", 'Ações'!AW688="SIM"), 1,0)</f>
        <v>0</v>
      </c>
      <c r="R681" s="139">
        <f>IF(AND('Ações'!$AD688="SIM", 'Ações'!AX688="SIM"), 1,0)</f>
        <v>0</v>
      </c>
    </row>
    <row r="682">
      <c r="A682" s="139">
        <f>IF(AND('Ações'!AB690="SIM", 'Ações'!AS690="SIM"), 1,0)</f>
        <v>0</v>
      </c>
      <c r="B682" s="139">
        <f>IF(AND('Ações'!$AB690="SIM", 'Ações'!AT690="SIM"), 1,0)</f>
        <v>0</v>
      </c>
      <c r="C682" s="139">
        <f>IF(AND('Ações'!$AB690="SIM", 'Ações'!AU690="SIM"), 1,0)</f>
        <v>0</v>
      </c>
      <c r="D682" s="139">
        <f>IF(AND('Ações'!$AB690="SIM", 'Ações'!AV690="SIM"), 1,0)</f>
        <v>0</v>
      </c>
      <c r="E682" s="139">
        <f>IF(AND('Ações'!$AB690="SIM", 'Ações'!AW690="SIM"), 1,0)</f>
        <v>0</v>
      </c>
      <c r="F682" s="139">
        <f>IF(AND('Ações'!$AB690="SIM", 'Ações'!AX690="SIM"), 1,0)</f>
        <v>0</v>
      </c>
      <c r="G682" s="139">
        <f>IF(AND('Ações'!$AC690="SIM", 'Ações'!AS690="SIM"), 1,0)</f>
        <v>0</v>
      </c>
      <c r="H682" s="139">
        <f>IF(AND('Ações'!$AC690="SIM", 'Ações'!AT690="SIM"), 1,0)</f>
        <v>0</v>
      </c>
      <c r="I682" s="139">
        <f>IF(AND('Ações'!$AC690="SIM", 'Ações'!AU690="SIM"), 1,0)</f>
        <v>0</v>
      </c>
      <c r="J682" s="139">
        <f>IF(AND('Ações'!$AC690="SIM", 'Ações'!AV690="SIM"), 1,0)</f>
        <v>1</v>
      </c>
      <c r="K682" s="139">
        <f>IF(AND('Ações'!$AC690="SIM", 'Ações'!AW690="SIM"), 1,0)</f>
        <v>1</v>
      </c>
      <c r="L682" s="139">
        <f>IF(AND('Ações'!$AC690="SIM", 'Ações'!AX690="SIM"), 1,0)</f>
        <v>1</v>
      </c>
      <c r="M682" s="139">
        <f>IF(AND('Ações'!$AD690="SIM", 'Ações'!AS690="SIM"), 1,0)</f>
        <v>0</v>
      </c>
      <c r="N682" s="139">
        <f>IF(AND('Ações'!$AD690="SIM", 'Ações'!AT690="SIM"), 1,0)</f>
        <v>0</v>
      </c>
      <c r="O682" s="139">
        <f>IF(AND('Ações'!$AD690="SIM", 'Ações'!AU690="SIM"), 1,0)</f>
        <v>0</v>
      </c>
      <c r="P682" s="139">
        <f>IF(AND('Ações'!$AD690="SIM", 'Ações'!AV690="SIM"), 1,0)</f>
        <v>1</v>
      </c>
      <c r="Q682" s="139">
        <f>IF(AND('Ações'!$AD690="SIM", 'Ações'!AW690="SIM"), 1,0)</f>
        <v>1</v>
      </c>
      <c r="R682" s="139">
        <f>IF(AND('Ações'!$AD690="SIM", 'Ações'!AX690="SIM"), 1,0)</f>
        <v>1</v>
      </c>
    </row>
    <row r="683">
      <c r="A683" s="139">
        <f>IF(AND('Ações'!AB691="SIM", 'Ações'!AS691="SIM"), 1,0)</f>
        <v>0</v>
      </c>
      <c r="B683" s="139">
        <f>IF(AND('Ações'!$AB691="SIM", 'Ações'!AT691="SIM"), 1,0)</f>
        <v>0</v>
      </c>
      <c r="C683" s="139">
        <f>IF(AND('Ações'!$AB691="SIM", 'Ações'!AU691="SIM"), 1,0)</f>
        <v>0</v>
      </c>
      <c r="D683" s="139">
        <f>IF(AND('Ações'!$AB691="SIM", 'Ações'!AV691="SIM"), 1,0)</f>
        <v>0</v>
      </c>
      <c r="E683" s="139">
        <f>IF(AND('Ações'!$AB691="SIM", 'Ações'!AW691="SIM"), 1,0)</f>
        <v>0</v>
      </c>
      <c r="F683" s="139">
        <f>IF(AND('Ações'!$AB691="SIM", 'Ações'!AX691="SIM"), 1,0)</f>
        <v>0</v>
      </c>
      <c r="G683" s="139">
        <f>IF(AND('Ações'!$AC691="SIM", 'Ações'!AS691="SIM"), 1,0)</f>
        <v>1</v>
      </c>
      <c r="H683" s="139">
        <f>IF(AND('Ações'!$AC691="SIM", 'Ações'!AT691="SIM"), 1,0)</f>
        <v>0</v>
      </c>
      <c r="I683" s="139">
        <f>IF(AND('Ações'!$AC691="SIM", 'Ações'!AU691="SIM"), 1,0)</f>
        <v>0</v>
      </c>
      <c r="J683" s="139">
        <f>IF(AND('Ações'!$AC691="SIM", 'Ações'!AV691="SIM"), 1,0)</f>
        <v>1</v>
      </c>
      <c r="K683" s="139">
        <f>IF(AND('Ações'!$AC691="SIM", 'Ações'!AW691="SIM"), 1,0)</f>
        <v>1</v>
      </c>
      <c r="L683" s="139">
        <f>IF(AND('Ações'!$AC691="SIM", 'Ações'!AX691="SIM"), 1,0)</f>
        <v>1</v>
      </c>
      <c r="M683" s="139">
        <f>IF(AND('Ações'!$AD691="SIM", 'Ações'!AS691="SIM"), 1,0)</f>
        <v>0</v>
      </c>
      <c r="N683" s="139">
        <f>IF(AND('Ações'!$AD691="SIM", 'Ações'!AT691="SIM"), 1,0)</f>
        <v>0</v>
      </c>
      <c r="O683" s="139">
        <f>IF(AND('Ações'!$AD691="SIM", 'Ações'!AU691="SIM"), 1,0)</f>
        <v>0</v>
      </c>
      <c r="P683" s="139">
        <f>IF(AND('Ações'!$AD691="SIM", 'Ações'!AV691="SIM"), 1,0)</f>
        <v>0</v>
      </c>
      <c r="Q683" s="139">
        <f>IF(AND('Ações'!$AD691="SIM", 'Ações'!AW691="SIM"), 1,0)</f>
        <v>0</v>
      </c>
      <c r="R683" s="139">
        <f>IF(AND('Ações'!$AD691="SIM", 'Ações'!AX691="SIM"), 1,0)</f>
        <v>0</v>
      </c>
    </row>
    <row r="684">
      <c r="A684" s="139">
        <f>IF(AND('Ações'!AB692="SIM", 'Ações'!AS692="SIM"), 1,0)</f>
        <v>1</v>
      </c>
      <c r="B684" s="139">
        <f>IF(AND('Ações'!$AB692="SIM", 'Ações'!AT692="SIM"), 1,0)</f>
        <v>0</v>
      </c>
      <c r="C684" s="139">
        <f>IF(AND('Ações'!$AB692="SIM", 'Ações'!AU692="SIM"), 1,0)</f>
        <v>0</v>
      </c>
      <c r="D684" s="139">
        <f>IF(AND('Ações'!$AB692="SIM", 'Ações'!AV692="SIM"), 1,0)</f>
        <v>1</v>
      </c>
      <c r="E684" s="139">
        <f>IF(AND('Ações'!$AB692="SIM", 'Ações'!AW692="SIM"), 1,0)</f>
        <v>1</v>
      </c>
      <c r="F684" s="139">
        <f>IF(AND('Ações'!$AB692="SIM", 'Ações'!AX692="SIM"), 1,0)</f>
        <v>1</v>
      </c>
      <c r="G684" s="139">
        <f>IF(AND('Ações'!$AC692="SIM", 'Ações'!AS692="SIM"), 1,0)</f>
        <v>0</v>
      </c>
      <c r="H684" s="139">
        <f>IF(AND('Ações'!$AC692="SIM", 'Ações'!AT692="SIM"), 1,0)</f>
        <v>0</v>
      </c>
      <c r="I684" s="139">
        <f>IF(AND('Ações'!$AC692="SIM", 'Ações'!AU692="SIM"), 1,0)</f>
        <v>0</v>
      </c>
      <c r="J684" s="139">
        <f>IF(AND('Ações'!$AC692="SIM", 'Ações'!AV692="SIM"), 1,0)</f>
        <v>0</v>
      </c>
      <c r="K684" s="139">
        <f>IF(AND('Ações'!$AC692="SIM", 'Ações'!AW692="SIM"), 1,0)</f>
        <v>0</v>
      </c>
      <c r="L684" s="139">
        <f>IF(AND('Ações'!$AC692="SIM", 'Ações'!AX692="SIM"), 1,0)</f>
        <v>0</v>
      </c>
      <c r="M684" s="139">
        <f>IF(AND('Ações'!$AD692="SIM", 'Ações'!AS692="SIM"), 1,0)</f>
        <v>0</v>
      </c>
      <c r="N684" s="139">
        <f>IF(AND('Ações'!$AD692="SIM", 'Ações'!AT692="SIM"), 1,0)</f>
        <v>0</v>
      </c>
      <c r="O684" s="139">
        <f>IF(AND('Ações'!$AD692="SIM", 'Ações'!AU692="SIM"), 1,0)</f>
        <v>0</v>
      </c>
      <c r="P684" s="139">
        <f>IF(AND('Ações'!$AD692="SIM", 'Ações'!AV692="SIM"), 1,0)</f>
        <v>0</v>
      </c>
      <c r="Q684" s="139">
        <f>IF(AND('Ações'!$AD692="SIM", 'Ações'!AW692="SIM"), 1,0)</f>
        <v>0</v>
      </c>
      <c r="R684" s="139">
        <f>IF(AND('Ações'!$AD692="SIM", 'Ações'!AX692="SIM"), 1,0)</f>
        <v>0</v>
      </c>
    </row>
    <row r="685">
      <c r="A685" s="139">
        <f>IF(AND('Ações'!AB693="SIM", 'Ações'!AS693="SIM"), 1,0)</f>
        <v>1</v>
      </c>
      <c r="B685" s="139">
        <f>IF(AND('Ações'!$AB693="SIM", 'Ações'!AT693="SIM"), 1,0)</f>
        <v>0</v>
      </c>
      <c r="C685" s="139">
        <f>IF(AND('Ações'!$AB693="SIM", 'Ações'!AU693="SIM"), 1,0)</f>
        <v>0</v>
      </c>
      <c r="D685" s="139">
        <f>IF(AND('Ações'!$AB693="SIM", 'Ações'!AV693="SIM"), 1,0)</f>
        <v>1</v>
      </c>
      <c r="E685" s="139">
        <f>IF(AND('Ações'!$AB693="SIM", 'Ações'!AW693="SIM"), 1,0)</f>
        <v>1</v>
      </c>
      <c r="F685" s="139">
        <f>IF(AND('Ações'!$AB693="SIM", 'Ações'!AX693="SIM"), 1,0)</f>
        <v>1</v>
      </c>
      <c r="G685" s="139">
        <f>IF(AND('Ações'!$AC693="SIM", 'Ações'!AS693="SIM"), 1,0)</f>
        <v>1</v>
      </c>
      <c r="H685" s="139">
        <f>IF(AND('Ações'!$AC693="SIM", 'Ações'!AT693="SIM"), 1,0)</f>
        <v>0</v>
      </c>
      <c r="I685" s="139">
        <f>IF(AND('Ações'!$AC693="SIM", 'Ações'!AU693="SIM"), 1,0)</f>
        <v>0</v>
      </c>
      <c r="J685" s="139">
        <f>IF(AND('Ações'!$AC693="SIM", 'Ações'!AV693="SIM"), 1,0)</f>
        <v>1</v>
      </c>
      <c r="K685" s="139">
        <f>IF(AND('Ações'!$AC693="SIM", 'Ações'!AW693="SIM"), 1,0)</f>
        <v>1</v>
      </c>
      <c r="L685" s="139">
        <f>IF(AND('Ações'!$AC693="SIM", 'Ações'!AX693="SIM"), 1,0)</f>
        <v>1</v>
      </c>
      <c r="M685" s="139">
        <f>IF(AND('Ações'!$AD693="SIM", 'Ações'!AS693="SIM"), 1,0)</f>
        <v>0</v>
      </c>
      <c r="N685" s="139">
        <f>IF(AND('Ações'!$AD693="SIM", 'Ações'!AT693="SIM"), 1,0)</f>
        <v>0</v>
      </c>
      <c r="O685" s="139">
        <f>IF(AND('Ações'!$AD693="SIM", 'Ações'!AU693="SIM"), 1,0)</f>
        <v>0</v>
      </c>
      <c r="P685" s="139">
        <f>IF(AND('Ações'!$AD693="SIM", 'Ações'!AV693="SIM"), 1,0)</f>
        <v>0</v>
      </c>
      <c r="Q685" s="139">
        <f>IF(AND('Ações'!$AD693="SIM", 'Ações'!AW693="SIM"), 1,0)</f>
        <v>0</v>
      </c>
      <c r="R685" s="139">
        <f>IF(AND('Ações'!$AD693="SIM", 'Ações'!AX693="SIM"), 1,0)</f>
        <v>0</v>
      </c>
    </row>
    <row r="686">
      <c r="A686" s="139">
        <f>IF(AND('Ações'!AB694="SIM", 'Ações'!AS694="SIM"), 1,0)</f>
        <v>1</v>
      </c>
      <c r="B686" s="139">
        <f>IF(AND('Ações'!$AB694="SIM", 'Ações'!AT694="SIM"), 1,0)</f>
        <v>0</v>
      </c>
      <c r="C686" s="139">
        <f>IF(AND('Ações'!$AB694="SIM", 'Ações'!AU694="SIM"), 1,0)</f>
        <v>0</v>
      </c>
      <c r="D686" s="139">
        <f>IF(AND('Ações'!$AB694="SIM", 'Ações'!AV694="SIM"), 1,0)</f>
        <v>1</v>
      </c>
      <c r="E686" s="139">
        <f>IF(AND('Ações'!$AB694="SIM", 'Ações'!AW694="SIM"), 1,0)</f>
        <v>1</v>
      </c>
      <c r="F686" s="139">
        <f>IF(AND('Ações'!$AB694="SIM", 'Ações'!AX694="SIM"), 1,0)</f>
        <v>1</v>
      </c>
      <c r="G686" s="139">
        <f>IF(AND('Ações'!$AC694="SIM", 'Ações'!AS694="SIM"), 1,0)</f>
        <v>1</v>
      </c>
      <c r="H686" s="139">
        <f>IF(AND('Ações'!$AC694="SIM", 'Ações'!AT694="SIM"), 1,0)</f>
        <v>0</v>
      </c>
      <c r="I686" s="139">
        <f>IF(AND('Ações'!$AC694="SIM", 'Ações'!AU694="SIM"), 1,0)</f>
        <v>0</v>
      </c>
      <c r="J686" s="139">
        <f>IF(AND('Ações'!$AC694="SIM", 'Ações'!AV694="SIM"), 1,0)</f>
        <v>1</v>
      </c>
      <c r="K686" s="139">
        <f>IF(AND('Ações'!$AC694="SIM", 'Ações'!AW694="SIM"), 1,0)</f>
        <v>1</v>
      </c>
      <c r="L686" s="139">
        <f>IF(AND('Ações'!$AC694="SIM", 'Ações'!AX694="SIM"), 1,0)</f>
        <v>1</v>
      </c>
      <c r="M686" s="139">
        <f>IF(AND('Ações'!$AD694="SIM", 'Ações'!AS694="SIM"), 1,0)</f>
        <v>0</v>
      </c>
      <c r="N686" s="139">
        <f>IF(AND('Ações'!$AD694="SIM", 'Ações'!AT694="SIM"), 1,0)</f>
        <v>0</v>
      </c>
      <c r="O686" s="139">
        <f>IF(AND('Ações'!$AD694="SIM", 'Ações'!AU694="SIM"), 1,0)</f>
        <v>0</v>
      </c>
      <c r="P686" s="139">
        <f>IF(AND('Ações'!$AD694="SIM", 'Ações'!AV694="SIM"), 1,0)</f>
        <v>0</v>
      </c>
      <c r="Q686" s="139">
        <f>IF(AND('Ações'!$AD694="SIM", 'Ações'!AW694="SIM"), 1,0)</f>
        <v>0</v>
      </c>
      <c r="R686" s="139">
        <f>IF(AND('Ações'!$AD694="SIM", 'Ações'!AX694="SIM"), 1,0)</f>
        <v>0</v>
      </c>
    </row>
    <row r="687">
      <c r="A687" s="139">
        <f>IF(AND('Ações'!AB695="SIM", 'Ações'!AS695="SIM"), 1,0)</f>
        <v>0</v>
      </c>
      <c r="B687" s="139">
        <f>IF(AND('Ações'!$AB695="SIM", 'Ações'!AT695="SIM"), 1,0)</f>
        <v>0</v>
      </c>
      <c r="C687" s="139">
        <f>IF(AND('Ações'!$AB695="SIM", 'Ações'!AU695="SIM"), 1,0)</f>
        <v>0</v>
      </c>
      <c r="D687" s="139">
        <f>IF(AND('Ações'!$AB695="SIM", 'Ações'!AV695="SIM"), 1,0)</f>
        <v>0</v>
      </c>
      <c r="E687" s="139">
        <f>IF(AND('Ações'!$AB695="SIM", 'Ações'!AW695="SIM"), 1,0)</f>
        <v>0</v>
      </c>
      <c r="F687" s="139">
        <f>IF(AND('Ações'!$AB695="SIM", 'Ações'!AX695="SIM"), 1,0)</f>
        <v>0</v>
      </c>
      <c r="G687" s="139">
        <f>IF(AND('Ações'!$AC695="SIM", 'Ações'!AS695="SIM"), 1,0)</f>
        <v>1</v>
      </c>
      <c r="H687" s="139">
        <f>IF(AND('Ações'!$AC695="SIM", 'Ações'!AT695="SIM"), 1,0)</f>
        <v>0</v>
      </c>
      <c r="I687" s="139">
        <f>IF(AND('Ações'!$AC695="SIM", 'Ações'!AU695="SIM"), 1,0)</f>
        <v>0</v>
      </c>
      <c r="J687" s="139">
        <f>IF(AND('Ações'!$AC695="SIM", 'Ações'!AV695="SIM"), 1,0)</f>
        <v>1</v>
      </c>
      <c r="K687" s="139">
        <f>IF(AND('Ações'!$AC695="SIM", 'Ações'!AW695="SIM"), 1,0)</f>
        <v>1</v>
      </c>
      <c r="L687" s="139">
        <f>IF(AND('Ações'!$AC695="SIM", 'Ações'!AX695="SIM"), 1,0)</f>
        <v>1</v>
      </c>
      <c r="M687" s="139">
        <f>IF(AND('Ações'!$AD695="SIM", 'Ações'!AS695="SIM"), 1,0)</f>
        <v>0</v>
      </c>
      <c r="N687" s="139">
        <f>IF(AND('Ações'!$AD695="SIM", 'Ações'!AT695="SIM"), 1,0)</f>
        <v>0</v>
      </c>
      <c r="O687" s="139">
        <f>IF(AND('Ações'!$AD695="SIM", 'Ações'!AU695="SIM"), 1,0)</f>
        <v>0</v>
      </c>
      <c r="P687" s="139">
        <f>IF(AND('Ações'!$AD695="SIM", 'Ações'!AV695="SIM"), 1,0)</f>
        <v>0</v>
      </c>
      <c r="Q687" s="139">
        <f>IF(AND('Ações'!$AD695="SIM", 'Ações'!AW695="SIM"), 1,0)</f>
        <v>0</v>
      </c>
      <c r="R687" s="139">
        <f>IF(AND('Ações'!$AD695="SIM", 'Ações'!AX695="SIM"), 1,0)</f>
        <v>0</v>
      </c>
    </row>
    <row r="688">
      <c r="A688" s="139">
        <f>IF(AND('Ações'!AB696="SIM", 'Ações'!AS696="SIM"), 1,0)</f>
        <v>0</v>
      </c>
      <c r="B688" s="139">
        <f>IF(AND('Ações'!$AB696="SIM", 'Ações'!AT696="SIM"), 1,0)</f>
        <v>0</v>
      </c>
      <c r="C688" s="139">
        <f>IF(AND('Ações'!$AB696="SIM", 'Ações'!AU696="SIM"), 1,0)</f>
        <v>0</v>
      </c>
      <c r="D688" s="139">
        <f>IF(AND('Ações'!$AB696="SIM", 'Ações'!AV696="SIM"), 1,0)</f>
        <v>0</v>
      </c>
      <c r="E688" s="139">
        <f>IF(AND('Ações'!$AB696="SIM", 'Ações'!AW696="SIM"), 1,0)</f>
        <v>0</v>
      </c>
      <c r="F688" s="139">
        <f>IF(AND('Ações'!$AB696="SIM", 'Ações'!AX696="SIM"), 1,0)</f>
        <v>0</v>
      </c>
      <c r="G688" s="139">
        <f>IF(AND('Ações'!$AC696="SIM", 'Ações'!AS696="SIM"), 1,0)</f>
        <v>1</v>
      </c>
      <c r="H688" s="139">
        <f>IF(AND('Ações'!$AC696="SIM", 'Ações'!AT696="SIM"), 1,0)</f>
        <v>0</v>
      </c>
      <c r="I688" s="139">
        <f>IF(AND('Ações'!$AC696="SIM", 'Ações'!AU696="SIM"), 1,0)</f>
        <v>0</v>
      </c>
      <c r="J688" s="139">
        <f>IF(AND('Ações'!$AC696="SIM", 'Ações'!AV696="SIM"), 1,0)</f>
        <v>1</v>
      </c>
      <c r="K688" s="139">
        <f>IF(AND('Ações'!$AC696="SIM", 'Ações'!AW696="SIM"), 1,0)</f>
        <v>1</v>
      </c>
      <c r="L688" s="139">
        <f>IF(AND('Ações'!$AC696="SIM", 'Ações'!AX696="SIM"), 1,0)</f>
        <v>1</v>
      </c>
      <c r="M688" s="139">
        <f>IF(AND('Ações'!$AD696="SIM", 'Ações'!AS696="SIM"), 1,0)</f>
        <v>0</v>
      </c>
      <c r="N688" s="139">
        <f>IF(AND('Ações'!$AD696="SIM", 'Ações'!AT696="SIM"), 1,0)</f>
        <v>0</v>
      </c>
      <c r="O688" s="139">
        <f>IF(AND('Ações'!$AD696="SIM", 'Ações'!AU696="SIM"), 1,0)</f>
        <v>0</v>
      </c>
      <c r="P688" s="139">
        <f>IF(AND('Ações'!$AD696="SIM", 'Ações'!AV696="SIM"), 1,0)</f>
        <v>0</v>
      </c>
      <c r="Q688" s="139">
        <f>IF(AND('Ações'!$AD696="SIM", 'Ações'!AW696="SIM"), 1,0)</f>
        <v>0</v>
      </c>
      <c r="R688" s="139">
        <f>IF(AND('Ações'!$AD696="SIM", 'Ações'!AX696="SIM"), 1,0)</f>
        <v>0</v>
      </c>
    </row>
    <row r="689">
      <c r="A689" s="139">
        <f>IF(AND('Ações'!AB697="SIM", 'Ações'!AS697="SIM"), 1,0)</f>
        <v>1</v>
      </c>
      <c r="B689" s="139">
        <f>IF(AND('Ações'!$AB697="SIM", 'Ações'!AT697="SIM"), 1,0)</f>
        <v>0</v>
      </c>
      <c r="C689" s="139">
        <f>IF(AND('Ações'!$AB697="SIM", 'Ações'!AU697="SIM"), 1,0)</f>
        <v>0</v>
      </c>
      <c r="D689" s="139">
        <f>IF(AND('Ações'!$AB697="SIM", 'Ações'!AV697="SIM"), 1,0)</f>
        <v>1</v>
      </c>
      <c r="E689" s="139">
        <f>IF(AND('Ações'!$AB697="SIM", 'Ações'!AW697="SIM"), 1,0)</f>
        <v>1</v>
      </c>
      <c r="F689" s="139">
        <f>IF(AND('Ações'!$AB697="SIM", 'Ações'!AX697="SIM"), 1,0)</f>
        <v>1</v>
      </c>
      <c r="G689" s="139">
        <f>IF(AND('Ações'!$AC697="SIM", 'Ações'!AS697="SIM"), 1,0)</f>
        <v>1</v>
      </c>
      <c r="H689" s="139">
        <f>IF(AND('Ações'!$AC697="SIM", 'Ações'!AT697="SIM"), 1,0)</f>
        <v>0</v>
      </c>
      <c r="I689" s="139">
        <f>IF(AND('Ações'!$AC697="SIM", 'Ações'!AU697="SIM"), 1,0)</f>
        <v>0</v>
      </c>
      <c r="J689" s="139">
        <f>IF(AND('Ações'!$AC697="SIM", 'Ações'!AV697="SIM"), 1,0)</f>
        <v>1</v>
      </c>
      <c r="K689" s="139">
        <f>IF(AND('Ações'!$AC697="SIM", 'Ações'!AW697="SIM"), 1,0)</f>
        <v>1</v>
      </c>
      <c r="L689" s="139">
        <f>IF(AND('Ações'!$AC697="SIM", 'Ações'!AX697="SIM"), 1,0)</f>
        <v>1</v>
      </c>
      <c r="M689" s="139">
        <f>IF(AND('Ações'!$AD697="SIM", 'Ações'!AS697="SIM"), 1,0)</f>
        <v>0</v>
      </c>
      <c r="N689" s="139">
        <f>IF(AND('Ações'!$AD697="SIM", 'Ações'!AT697="SIM"), 1,0)</f>
        <v>0</v>
      </c>
      <c r="O689" s="139">
        <f>IF(AND('Ações'!$AD697="SIM", 'Ações'!AU697="SIM"), 1,0)</f>
        <v>0</v>
      </c>
      <c r="P689" s="139">
        <f>IF(AND('Ações'!$AD697="SIM", 'Ações'!AV697="SIM"), 1,0)</f>
        <v>0</v>
      </c>
      <c r="Q689" s="139">
        <f>IF(AND('Ações'!$AD697="SIM", 'Ações'!AW697="SIM"), 1,0)</f>
        <v>0</v>
      </c>
      <c r="R689" s="139">
        <f>IF(AND('Ações'!$AD697="SIM", 'Ações'!AX697="SIM"), 1,0)</f>
        <v>0</v>
      </c>
    </row>
    <row r="690">
      <c r="A690" s="139">
        <f>IF(AND('Ações'!AB698="SIM", 'Ações'!AS698="SIM"), 1,0)</f>
        <v>0</v>
      </c>
      <c r="B690" s="139">
        <f>IF(AND('Ações'!$AB698="SIM", 'Ações'!AT698="SIM"), 1,0)</f>
        <v>0</v>
      </c>
      <c r="C690" s="139">
        <f>IF(AND('Ações'!$AB698="SIM", 'Ações'!AU698="SIM"), 1,0)</f>
        <v>0</v>
      </c>
      <c r="D690" s="139">
        <f>IF(AND('Ações'!$AB698="SIM", 'Ações'!AV698="SIM"), 1,0)</f>
        <v>0</v>
      </c>
      <c r="E690" s="139">
        <f>IF(AND('Ações'!$AB698="SIM", 'Ações'!AW698="SIM"), 1,0)</f>
        <v>0</v>
      </c>
      <c r="F690" s="139">
        <f>IF(AND('Ações'!$AB698="SIM", 'Ações'!AX698="SIM"), 1,0)</f>
        <v>0</v>
      </c>
      <c r="G690" s="139">
        <f>IF(AND('Ações'!$AC698="SIM", 'Ações'!AS698="SIM"), 1,0)</f>
        <v>0</v>
      </c>
      <c r="H690" s="139">
        <f>IF(AND('Ações'!$AC698="SIM", 'Ações'!AT698="SIM"), 1,0)</f>
        <v>0</v>
      </c>
      <c r="I690" s="139">
        <f>IF(AND('Ações'!$AC698="SIM", 'Ações'!AU698="SIM"), 1,0)</f>
        <v>0</v>
      </c>
      <c r="J690" s="139">
        <f>IF(AND('Ações'!$AC698="SIM", 'Ações'!AV698="SIM"), 1,0)</f>
        <v>0</v>
      </c>
      <c r="K690" s="139">
        <f>IF(AND('Ações'!$AC698="SIM", 'Ações'!AW698="SIM"), 1,0)</f>
        <v>0</v>
      </c>
      <c r="L690" s="139">
        <f>IF(AND('Ações'!$AC698="SIM", 'Ações'!AX698="SIM"), 1,0)</f>
        <v>0</v>
      </c>
      <c r="M690" s="139">
        <f>IF(AND('Ações'!$AD698="SIM", 'Ações'!AS698="SIM"), 1,0)</f>
        <v>0</v>
      </c>
      <c r="N690" s="139">
        <f>IF(AND('Ações'!$AD698="SIM", 'Ações'!AT698="SIM"), 1,0)</f>
        <v>0</v>
      </c>
      <c r="O690" s="139">
        <f>IF(AND('Ações'!$AD698="SIM", 'Ações'!AU698="SIM"), 1,0)</f>
        <v>0</v>
      </c>
      <c r="P690" s="139">
        <f>IF(AND('Ações'!$AD698="SIM", 'Ações'!AV698="SIM"), 1,0)</f>
        <v>0</v>
      </c>
      <c r="Q690" s="139">
        <f>IF(AND('Ações'!$AD698="SIM", 'Ações'!AW698="SIM"), 1,0)</f>
        <v>0</v>
      </c>
      <c r="R690" s="139">
        <f>IF(AND('Ações'!$AD698="SIM", 'Ações'!AX698="SIM"), 1,0)</f>
        <v>0</v>
      </c>
    </row>
    <row r="691">
      <c r="A691" s="140" t="str">
        <f t="shared" ref="A691:R691" si="9">SUM(A3:A690)</f>
        <v>#REF!</v>
      </c>
      <c r="B691" s="140" t="str">
        <f t="shared" si="9"/>
        <v>#REF!</v>
      </c>
      <c r="C691" s="140" t="str">
        <f t="shared" si="9"/>
        <v>#REF!</v>
      </c>
      <c r="D691" s="140" t="str">
        <f t="shared" si="9"/>
        <v>#REF!</v>
      </c>
      <c r="E691" s="140" t="str">
        <f t="shared" si="9"/>
        <v>#REF!</v>
      </c>
      <c r="F691" s="140" t="str">
        <f t="shared" si="9"/>
        <v>#REF!</v>
      </c>
      <c r="G691" s="140" t="str">
        <f t="shared" si="9"/>
        <v>#REF!</v>
      </c>
      <c r="H691" s="140" t="str">
        <f t="shared" si="9"/>
        <v>#REF!</v>
      </c>
      <c r="I691" s="140" t="str">
        <f t="shared" si="9"/>
        <v>#REF!</v>
      </c>
      <c r="J691" s="140" t="str">
        <f t="shared" si="9"/>
        <v>#REF!</v>
      </c>
      <c r="K691" s="140" t="str">
        <f t="shared" si="9"/>
        <v>#REF!</v>
      </c>
      <c r="L691" s="140" t="str">
        <f t="shared" si="9"/>
        <v>#REF!</v>
      </c>
      <c r="M691" s="140" t="str">
        <f t="shared" si="9"/>
        <v>#REF!</v>
      </c>
      <c r="N691" s="140" t="str">
        <f t="shared" si="9"/>
        <v>#REF!</v>
      </c>
      <c r="O691" s="140" t="str">
        <f t="shared" si="9"/>
        <v>#REF!</v>
      </c>
      <c r="P691" s="140" t="str">
        <f t="shared" si="9"/>
        <v>#REF!</v>
      </c>
      <c r="Q691" s="140" t="str">
        <f t="shared" si="9"/>
        <v>#REF!</v>
      </c>
      <c r="R691" s="140" t="str">
        <f t="shared" si="9"/>
        <v>#REF!</v>
      </c>
    </row>
    <row r="692">
      <c r="A692" s="141" t="str">
        <f t="shared" ref="A692:R692" si="10">A691/689</f>
        <v>#REF!</v>
      </c>
      <c r="B692" s="141" t="str">
        <f t="shared" si="10"/>
        <v>#REF!</v>
      </c>
      <c r="C692" s="141" t="str">
        <f t="shared" si="10"/>
        <v>#REF!</v>
      </c>
      <c r="D692" s="141" t="str">
        <f t="shared" si="10"/>
        <v>#REF!</v>
      </c>
      <c r="E692" s="141" t="str">
        <f t="shared" si="10"/>
        <v>#REF!</v>
      </c>
      <c r="F692" s="141" t="str">
        <f t="shared" si="10"/>
        <v>#REF!</v>
      </c>
      <c r="G692" s="141" t="str">
        <f t="shared" si="10"/>
        <v>#REF!</v>
      </c>
      <c r="H692" s="141" t="str">
        <f t="shared" si="10"/>
        <v>#REF!</v>
      </c>
      <c r="I692" s="141" t="str">
        <f t="shared" si="10"/>
        <v>#REF!</v>
      </c>
      <c r="J692" s="141" t="str">
        <f t="shared" si="10"/>
        <v>#REF!</v>
      </c>
      <c r="K692" s="141" t="str">
        <f t="shared" si="10"/>
        <v>#REF!</v>
      </c>
      <c r="L692" s="141" t="str">
        <f t="shared" si="10"/>
        <v>#REF!</v>
      </c>
      <c r="M692" s="141" t="str">
        <f t="shared" si="10"/>
        <v>#REF!</v>
      </c>
      <c r="N692" s="141" t="str">
        <f t="shared" si="10"/>
        <v>#REF!</v>
      </c>
      <c r="O692" s="141" t="str">
        <f t="shared" si="10"/>
        <v>#REF!</v>
      </c>
      <c r="P692" s="141" t="str">
        <f t="shared" si="10"/>
        <v>#REF!</v>
      </c>
      <c r="Q692" s="141" t="str">
        <f t="shared" si="10"/>
        <v>#REF!</v>
      </c>
      <c r="R692" s="141" t="str">
        <f t="shared" si="10"/>
        <v>#REF!</v>
      </c>
    </row>
    <row r="693">
      <c r="A693" s="139"/>
    </row>
    <row r="694">
      <c r="A694" s="139"/>
    </row>
    <row r="695">
      <c r="A695" s="139"/>
    </row>
    <row r="696">
      <c r="A696" s="139"/>
    </row>
    <row r="697">
      <c r="A697" s="139"/>
    </row>
    <row r="698">
      <c r="A698" s="13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5" max="5" width="13.25"/>
    <col customWidth="1" min="6" max="6" width="10.5"/>
    <col customWidth="1" min="7" max="7" width="16.5"/>
    <col customWidth="1" min="8" max="8" width="15.0"/>
  </cols>
  <sheetData>
    <row r="3">
      <c r="B3" s="95" t="s">
        <v>3353</v>
      </c>
      <c r="C3" s="126" t="s">
        <v>3254</v>
      </c>
      <c r="E3" s="95" t="s">
        <v>3381</v>
      </c>
      <c r="F3" s="106" t="s">
        <v>87</v>
      </c>
      <c r="G3" s="106" t="s">
        <v>3256</v>
      </c>
      <c r="H3" s="109" t="s">
        <v>2490</v>
      </c>
    </row>
    <row r="4">
      <c r="B4" s="95" t="s">
        <v>3357</v>
      </c>
      <c r="C4" s="107">
        <f>COUNTIF('Ações'!$AB:$AB,"Sim")</f>
        <v>516</v>
      </c>
      <c r="E4" s="95" t="s">
        <v>3357</v>
      </c>
      <c r="F4" s="108">
        <f>COUNTIFS('Ações'!$D:$D, "Agronegócio", 'Ações'!AB:AB, "Sim") / COUNTIF('Ações'!$D:$D, "Agronegócio")</f>
        <v>0.6548913043</v>
      </c>
      <c r="G4" s="108">
        <f>COUNTIFS('Ações'!$D:$D, "Alimentos e Bebidas", 'Ações'!$AB:$AB, "Sim") / COUNTIF('Ações'!$D:$D, "Alimentos e Bebidas")</f>
        <v>0.781420765</v>
      </c>
      <c r="H4" s="108">
        <f>COUNTIFS('Ações'!$D:$D, "Comércio varejista", 'Ações'!$AB:$AB, "Sim") / COUNTIF('Ações'!$D:$D, "Comércio varejista")</f>
        <v>0.9103448276</v>
      </c>
    </row>
    <row r="5">
      <c r="B5" s="95" t="s">
        <v>3382</v>
      </c>
      <c r="C5" s="107">
        <f>COUNTIF('Ações'!$AC:$AC,"Sim")</f>
        <v>331</v>
      </c>
      <c r="E5" s="95" t="s">
        <v>3382</v>
      </c>
      <c r="F5" s="108">
        <f>COUNTIFS('Ações'!$D:$D, "Agronegócio", 'Ações'!AC:AC, "Sim") / COUNTIF('Ações'!$D:$D, "Agronegócio")</f>
        <v>0.5951086957</v>
      </c>
      <c r="G5" s="108">
        <f>COUNTIFS('Ações'!$D:$D, "Alimentos e Bebidas", 'Ações'!$AC:$AC, "Sim") / COUNTIF('Ações'!$D:$D, "Alimentos e Bebidas")</f>
        <v>0.4153005464</v>
      </c>
      <c r="H5" s="108">
        <f>COUNTIFS('Ações'!$D:$D, "Comércio varejista", 'Ações'!$AC:$AC, "Sim") / COUNTIF('Ações'!$D:$D, "Comércio varejista")</f>
        <v>0.2482758621</v>
      </c>
    </row>
    <row r="6">
      <c r="B6" s="95" t="s">
        <v>3383</v>
      </c>
      <c r="C6" s="107">
        <f>COUNTIF('Ações'!$AD:$AD,"Sim")</f>
        <v>44</v>
      </c>
      <c r="E6" s="95" t="s">
        <v>3383</v>
      </c>
      <c r="F6" s="108">
        <f>COUNTIFS('Ações'!$D:$D, "Agronegócio", 'Ações'!AD:AD, "Sim") / COUNTIF('Ações'!$D:$D, "Agronegócio")</f>
        <v>0.0625</v>
      </c>
      <c r="G6" s="108">
        <f>COUNTIFS('Ações'!$D:$D, "Alimentos e Bebidas", 'Ações'!$AD:$AD, "Sim") / COUNTIF('Ações'!$D:$D, "Alimentos e Bebidas")</f>
        <v>0.08196721311</v>
      </c>
      <c r="H6" s="108">
        <f>COUNTIFS('Ações'!$D:$D, "Comércio varejista", 'Ações'!$AD:$AD, "Sim") / COUNTIF('Ações'!$D:$D, "Comércio varejista")</f>
        <v>0.04137931034</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50.38"/>
  </cols>
  <sheetData>
    <row r="3">
      <c r="B3" s="125" t="s">
        <v>3384</v>
      </c>
      <c r="C3" s="126" t="s">
        <v>3255</v>
      </c>
      <c r="D3" s="126" t="s">
        <v>3254</v>
      </c>
    </row>
    <row r="4">
      <c r="B4" s="142" t="s">
        <v>94</v>
      </c>
      <c r="C4" s="108">
        <f t="shared" ref="C4:C10" si="1">D4/$D$11</f>
        <v>0.3577586207</v>
      </c>
      <c r="D4" s="107">
        <f>COUNTIF('Ações'!$AE:$AE,"Doação de alimentos")</f>
        <v>249</v>
      </c>
    </row>
    <row r="5">
      <c r="B5" s="142" t="s">
        <v>3385</v>
      </c>
      <c r="C5" s="108">
        <f t="shared" si="1"/>
        <v>0.3606321839</v>
      </c>
      <c r="D5" s="107">
        <f>COUNTIF('Ações'!$AE:$AE,"Produção/disseminação/implementação de práticas sustentáveis")</f>
        <v>251</v>
      </c>
    </row>
    <row r="6">
      <c r="B6" s="142" t="s">
        <v>148</v>
      </c>
      <c r="C6" s="108">
        <f t="shared" si="1"/>
        <v>0.125</v>
      </c>
      <c r="D6" s="107">
        <f>COUNTIF('Ações'!$AE:$AE,"Doação de recursos")</f>
        <v>87</v>
      </c>
    </row>
    <row r="7">
      <c r="B7" s="142" t="s">
        <v>3386</v>
      </c>
      <c r="C7" s="108">
        <f t="shared" si="1"/>
        <v>0.09195402299</v>
      </c>
      <c r="D7" s="112">
        <f>COUNTIF('Ações'!$AE:$AE,"Produção e/ou disseminação de conhecimento ")</f>
        <v>64</v>
      </c>
    </row>
    <row r="8">
      <c r="B8" s="143" t="s">
        <v>287</v>
      </c>
      <c r="C8" s="108">
        <f t="shared" si="1"/>
        <v>0.03017241379</v>
      </c>
      <c r="D8" s="107">
        <f>COUNTIF('Ações'!$AE:$AE,"Produção de alimentos")</f>
        <v>21</v>
      </c>
    </row>
    <row r="9">
      <c r="B9" s="144" t="s">
        <v>1135</v>
      </c>
      <c r="C9" s="108">
        <f t="shared" si="1"/>
        <v>0.02298850575</v>
      </c>
      <c r="D9" s="107">
        <f>COUNTIF('Ações'!$AE:$AE,"Conexão entre atores")</f>
        <v>16</v>
      </c>
    </row>
    <row r="10">
      <c r="B10" s="142" t="s">
        <v>231</v>
      </c>
      <c r="C10" s="108">
        <f t="shared" si="1"/>
        <v>0.01149425287</v>
      </c>
      <c r="D10" s="107">
        <f>COUNTIF('Ações'!$AE:$AE,"Empréstimos e subsídios")</f>
        <v>8</v>
      </c>
    </row>
    <row r="11">
      <c r="B11" s="143" t="s">
        <v>3257</v>
      </c>
      <c r="C11" s="108">
        <f t="shared" ref="C11:D11" si="2">SUM(C4:C10)</f>
        <v>1</v>
      </c>
      <c r="D11" s="107">
        <f t="shared" si="2"/>
        <v>696</v>
      </c>
    </row>
    <row r="44">
      <c r="B44" s="112" t="s">
        <v>3319</v>
      </c>
    </row>
    <row r="45">
      <c r="B45" s="125" t="s">
        <v>3384</v>
      </c>
      <c r="C45" s="126" t="s">
        <v>3255</v>
      </c>
      <c r="D45" s="126" t="s">
        <v>3254</v>
      </c>
    </row>
    <row r="46">
      <c r="B46" s="142" t="s">
        <v>94</v>
      </c>
      <c r="C46" s="145">
        <f t="shared" ref="C46:C53" si="3">D46/D$53</f>
        <v>0.3612334802</v>
      </c>
      <c r="D46" s="136">
        <v>246.0</v>
      </c>
    </row>
    <row r="47">
      <c r="B47" s="142" t="s">
        <v>3385</v>
      </c>
      <c r="C47" s="145">
        <f t="shared" si="3"/>
        <v>0.3538913363</v>
      </c>
      <c r="D47" s="136">
        <v>241.0</v>
      </c>
    </row>
    <row r="48">
      <c r="B48" s="142" t="s">
        <v>148</v>
      </c>
      <c r="C48" s="145">
        <f t="shared" si="3"/>
        <v>0.127753304</v>
      </c>
      <c r="D48" s="136">
        <v>87.0</v>
      </c>
    </row>
    <row r="49">
      <c r="B49" s="142" t="s">
        <v>3386</v>
      </c>
      <c r="C49" s="145">
        <f t="shared" si="3"/>
        <v>0.09104258443</v>
      </c>
      <c r="D49" s="136">
        <v>62.0</v>
      </c>
    </row>
    <row r="50">
      <c r="B50" s="143" t="s">
        <v>287</v>
      </c>
      <c r="C50" s="145">
        <f t="shared" si="3"/>
        <v>0.03083700441</v>
      </c>
      <c r="D50" s="136">
        <v>21.0</v>
      </c>
    </row>
    <row r="51">
      <c r="B51" s="144" t="s">
        <v>1135</v>
      </c>
      <c r="C51" s="145">
        <f t="shared" si="3"/>
        <v>0.0234948605</v>
      </c>
      <c r="D51" s="136">
        <v>16.0</v>
      </c>
    </row>
    <row r="52">
      <c r="B52" s="142" t="s">
        <v>231</v>
      </c>
      <c r="C52" s="145">
        <f t="shared" si="3"/>
        <v>0.01174743025</v>
      </c>
      <c r="D52" s="136">
        <v>8.0</v>
      </c>
    </row>
    <row r="53">
      <c r="B53" s="143" t="s">
        <v>3257</v>
      </c>
      <c r="C53" s="145">
        <f t="shared" si="3"/>
        <v>1</v>
      </c>
      <c r="D53" s="107">
        <f>SUM(D46:D52)</f>
        <v>681</v>
      </c>
    </row>
    <row r="55">
      <c r="B55" s="112" t="s">
        <v>3387</v>
      </c>
    </row>
  </sheetData>
  <autoFilter ref="$B$3:$D$10">
    <sortState ref="B3:D10">
      <sortCondition descending="1" ref="D3:D10"/>
    </sortState>
  </autoFilter>
  <mergeCells count="1">
    <mergeCell ref="B44:D4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5"/>
  </cols>
  <sheetData>
    <row r="3">
      <c r="A3" s="3" t="s">
        <v>3388</v>
      </c>
      <c r="B3" s="126" t="s">
        <v>3254</v>
      </c>
      <c r="C3" s="126" t="s">
        <v>3255</v>
      </c>
      <c r="E3" s="125" t="s">
        <v>3389</v>
      </c>
      <c r="F3" s="126" t="s">
        <v>3254</v>
      </c>
      <c r="G3" s="126" t="s">
        <v>3255</v>
      </c>
      <c r="I3" s="125" t="s">
        <v>3390</v>
      </c>
      <c r="J3" s="126" t="s">
        <v>3254</v>
      </c>
      <c r="K3" s="126" t="s">
        <v>3255</v>
      </c>
      <c r="M3" s="125" t="s">
        <v>3391</v>
      </c>
      <c r="N3" s="126" t="s">
        <v>3254</v>
      </c>
      <c r="O3" s="126" t="s">
        <v>3255</v>
      </c>
      <c r="Q3" s="125" t="s">
        <v>3392</v>
      </c>
      <c r="R3" s="126" t="s">
        <v>3254</v>
      </c>
      <c r="S3" s="126" t="s">
        <v>3255</v>
      </c>
    </row>
    <row r="4">
      <c r="A4" s="146">
        <v>2020.0</v>
      </c>
      <c r="B4" s="107">
        <f>COUNTIF('Ações'!$AI:$AI,"Sim")</f>
        <v>259</v>
      </c>
      <c r="C4" s="108">
        <f>$F$4/$F$7</f>
        <v>0.3721264368</v>
      </c>
      <c r="E4" s="95" t="s">
        <v>93</v>
      </c>
      <c r="F4" s="107">
        <f>COUNTIF('Ações'!$AI:$AI,"Sim")</f>
        <v>259</v>
      </c>
      <c r="G4" s="108">
        <f>$F$4/$F$7</f>
        <v>0.3721264368</v>
      </c>
      <c r="I4" s="95" t="s">
        <v>93</v>
      </c>
      <c r="J4" s="107">
        <f>COUNTIF('Ações'!$AJ:$AJ,"Sim")</f>
        <v>282</v>
      </c>
      <c r="K4" s="108">
        <f>$J$4/$J$7</f>
        <v>0.4051724138</v>
      </c>
      <c r="M4" s="95" t="s">
        <v>93</v>
      </c>
      <c r="N4" s="107">
        <f>COUNTIF('Ações'!$AK:$AK,"Sim")</f>
        <v>360</v>
      </c>
      <c r="O4" s="108">
        <f>$N$4/$N$7</f>
        <v>0.5172413793</v>
      </c>
      <c r="Q4" s="95" t="s">
        <v>93</v>
      </c>
      <c r="R4" s="107">
        <f>COUNTIF('Ações'!$AL:$AL,"Sim")</f>
        <v>368</v>
      </c>
      <c r="S4" s="108">
        <f>$R$4/$R$7</f>
        <v>0.5287356322</v>
      </c>
    </row>
    <row r="5">
      <c r="A5" s="146">
        <v>2021.0</v>
      </c>
      <c r="B5" s="107">
        <f>COUNTIF('Ações'!$AJ:$AJ,"Sim")</f>
        <v>282</v>
      </c>
      <c r="C5" s="108">
        <f>$J$4/$J$7</f>
        <v>0.4051724138</v>
      </c>
      <c r="E5" s="95" t="s">
        <v>92</v>
      </c>
      <c r="F5" s="107">
        <f>COUNTIF('Ações'!$AI:$AI,"Não")</f>
        <v>294</v>
      </c>
      <c r="G5" s="108">
        <f>$F$5/$F$7</f>
        <v>0.4224137931</v>
      </c>
      <c r="I5" s="95" t="s">
        <v>92</v>
      </c>
      <c r="J5" s="107">
        <f>COUNTIF('Ações'!$AJ:$AJ,"Não")</f>
        <v>326</v>
      </c>
      <c r="K5" s="108">
        <f>$J$5/$J$7</f>
        <v>0.4683908046</v>
      </c>
      <c r="M5" s="95" t="s">
        <v>92</v>
      </c>
      <c r="N5" s="107">
        <f>COUNTIF('Ações'!$AK:$AK,"Não")</f>
        <v>298</v>
      </c>
      <c r="O5" s="108">
        <f>$N$5/$N$7</f>
        <v>0.4281609195</v>
      </c>
      <c r="Q5" s="95" t="s">
        <v>92</v>
      </c>
      <c r="R5" s="107">
        <f>COUNTIF('Ações'!$AL:$AL,"Não")</f>
        <v>274</v>
      </c>
      <c r="S5" s="108">
        <f>$R$5/$R$7</f>
        <v>0.3936781609</v>
      </c>
    </row>
    <row r="6">
      <c r="A6" s="146">
        <v>2022.0</v>
      </c>
      <c r="B6" s="107">
        <f>COUNTIF('Ações'!$AK:$AK,"Sim")</f>
        <v>360</v>
      </c>
      <c r="C6" s="108">
        <f>$N$4/$N$7</f>
        <v>0.5172413793</v>
      </c>
      <c r="E6" s="95" t="s">
        <v>3393</v>
      </c>
      <c r="F6" s="107">
        <f>COUNTIF('Ações'!$AI:$AI,"s/i")</f>
        <v>143</v>
      </c>
      <c r="G6" s="108">
        <f>$F$6/$F$7</f>
        <v>0.2054597701</v>
      </c>
      <c r="I6" s="95" t="s">
        <v>3393</v>
      </c>
      <c r="J6" s="107">
        <f>COUNTIF('Ações'!$AJ:$AJ,"s/i")</f>
        <v>88</v>
      </c>
      <c r="K6" s="108">
        <f>$J$6/$J$7</f>
        <v>0.1264367816</v>
      </c>
      <c r="M6" s="95" t="s">
        <v>3393</v>
      </c>
      <c r="N6" s="107">
        <f>COUNTIF('Ações'!$AK:$AK,"s/i")</f>
        <v>38</v>
      </c>
      <c r="O6" s="108">
        <f>$N$6/$N$7</f>
        <v>0.05459770115</v>
      </c>
      <c r="Q6" s="95" t="s">
        <v>3393</v>
      </c>
      <c r="R6" s="107">
        <f>COUNTIF('Ações'!$AL:$AL,"s/i")</f>
        <v>54</v>
      </c>
      <c r="S6" s="108">
        <f>$R$6/$R$7</f>
        <v>0.0775862069</v>
      </c>
    </row>
    <row r="7">
      <c r="A7" s="146">
        <v>2023.0</v>
      </c>
      <c r="B7" s="107">
        <f>COUNTIF('Ações'!$AL:$AL,"Sim")</f>
        <v>368</v>
      </c>
      <c r="C7" s="108">
        <f>$R$4/$R$7</f>
        <v>0.5287356322</v>
      </c>
      <c r="E7" s="95" t="s">
        <v>3257</v>
      </c>
      <c r="F7" s="107">
        <f t="shared" ref="F7:G7" si="1">SUM(F4:F6)</f>
        <v>696</v>
      </c>
      <c r="G7" s="108">
        <f t="shared" si="1"/>
        <v>1</v>
      </c>
      <c r="I7" s="95" t="s">
        <v>3257</v>
      </c>
      <c r="J7" s="107">
        <f t="shared" ref="J7:K7" si="2">SUM(J4:J6)</f>
        <v>696</v>
      </c>
      <c r="K7" s="108">
        <f t="shared" si="2"/>
        <v>1</v>
      </c>
      <c r="M7" s="95" t="s">
        <v>3257</v>
      </c>
      <c r="N7" s="107">
        <f t="shared" ref="N7:O7" si="3">SUM(N4:N6)</f>
        <v>696</v>
      </c>
      <c r="O7" s="108">
        <f t="shared" si="3"/>
        <v>1</v>
      </c>
      <c r="Q7" s="95" t="s">
        <v>3257</v>
      </c>
      <c r="R7" s="107">
        <f t="shared" ref="R7:S7" si="4">SUM(R4:R6)</f>
        <v>696</v>
      </c>
      <c r="S7" s="108">
        <f t="shared" si="4"/>
        <v>1</v>
      </c>
    </row>
    <row r="30">
      <c r="A30" s="112" t="s">
        <v>3319</v>
      </c>
    </row>
    <row r="31">
      <c r="A31" s="3" t="s">
        <v>3388</v>
      </c>
      <c r="B31" s="126" t="s">
        <v>3254</v>
      </c>
      <c r="C31" s="126" t="s">
        <v>3255</v>
      </c>
    </row>
    <row r="32">
      <c r="A32" s="146">
        <v>2020.0</v>
      </c>
      <c r="B32" s="136">
        <v>256.0</v>
      </c>
      <c r="C32" s="145">
        <v>0.3754</v>
      </c>
      <c r="E32" s="112" t="s">
        <v>3387</v>
      </c>
    </row>
    <row r="33">
      <c r="A33" s="146">
        <v>2021.0</v>
      </c>
      <c r="B33" s="136">
        <v>279.0</v>
      </c>
      <c r="C33" s="145">
        <v>0.4091</v>
      </c>
    </row>
    <row r="34">
      <c r="A34" s="146">
        <v>2022.0</v>
      </c>
      <c r="B34" s="136">
        <v>355.0</v>
      </c>
      <c r="C34" s="145">
        <v>0.5205</v>
      </c>
    </row>
    <row r="35">
      <c r="A35" s="146">
        <v>2023.0</v>
      </c>
      <c r="B35" s="136">
        <v>361.0</v>
      </c>
      <c r="C35" s="145">
        <v>0.5293</v>
      </c>
    </row>
  </sheetData>
  <mergeCells count="1">
    <mergeCell ref="A30:C30"/>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0.88"/>
  </cols>
  <sheetData>
    <row r="3">
      <c r="B3" s="3" t="s">
        <v>3394</v>
      </c>
      <c r="C3" s="126" t="s">
        <v>3254</v>
      </c>
      <c r="D3" s="126" t="s">
        <v>3255</v>
      </c>
    </row>
    <row r="4">
      <c r="B4" s="144" t="s">
        <v>114</v>
      </c>
      <c r="C4" s="107">
        <f>COUNTIF('Ações'!$AN:$AN,"Em andamento")</f>
        <v>330</v>
      </c>
      <c r="D4" s="108">
        <f>$C$4/$C$8</f>
        <v>0.474137931</v>
      </c>
    </row>
    <row r="5">
      <c r="B5" s="144" t="s">
        <v>105</v>
      </c>
      <c r="C5" s="107">
        <f>COUNTIF('Ações'!$AN:$AN,"s/i")</f>
        <v>211</v>
      </c>
      <c r="D5" s="108">
        <f>$C$5/$C$8</f>
        <v>0.3031609195</v>
      </c>
    </row>
    <row r="6">
      <c r="B6" s="144" t="s">
        <v>96</v>
      </c>
      <c r="C6" s="107">
        <f>COUNTIF('Ações'!$AN:$AN,"Concluído")</f>
        <v>139</v>
      </c>
      <c r="D6" s="108">
        <f>$C$6/$C$8</f>
        <v>0.1997126437</v>
      </c>
    </row>
    <row r="7">
      <c r="B7" s="144" t="s">
        <v>95</v>
      </c>
      <c r="C7" s="107">
        <f>COUNTIF('Ações'!$AN:$AN,"n/a")</f>
        <v>16</v>
      </c>
      <c r="D7" s="108">
        <f>$C$7/$C$8</f>
        <v>0.02298850575</v>
      </c>
    </row>
    <row r="8">
      <c r="B8" s="144" t="s">
        <v>3257</v>
      </c>
      <c r="C8" s="107">
        <f t="shared" ref="C8:D8" si="1">SUM(C4:C7)</f>
        <v>696</v>
      </c>
      <c r="D8" s="108">
        <f t="shared" si="1"/>
        <v>1</v>
      </c>
    </row>
  </sheetData>
  <autoFilter ref="$B$3:$D$7"/>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4.88"/>
  </cols>
  <sheetData>
    <row r="3">
      <c r="B3" s="2" t="s">
        <v>3395</v>
      </c>
      <c r="C3" s="126" t="s">
        <v>3254</v>
      </c>
      <c r="D3" s="126" t="s">
        <v>3255</v>
      </c>
    </row>
    <row r="4">
      <c r="B4" s="144" t="s">
        <v>3396</v>
      </c>
      <c r="C4" s="107">
        <f>COUNTIF('Ações'!$AO:$AO,"Sim")</f>
        <v>313</v>
      </c>
      <c r="D4" s="108">
        <f>$C$4/$C$8</f>
        <v>0.4497126437</v>
      </c>
    </row>
    <row r="5">
      <c r="B5" s="144" t="s">
        <v>3397</v>
      </c>
      <c r="C5" s="107">
        <f>COUNTIF('Ações'!$AO:$AO,"Não")</f>
        <v>199</v>
      </c>
      <c r="D5" s="108">
        <f>$C$5/$C$8</f>
        <v>0.2859195402</v>
      </c>
    </row>
    <row r="6">
      <c r="B6" s="144" t="s">
        <v>3393</v>
      </c>
      <c r="C6" s="107">
        <f>COUNTIF('Ações'!$AO:$AO,"s/i")</f>
        <v>168</v>
      </c>
      <c r="D6" s="108">
        <f>$C$6/$C$8</f>
        <v>0.2413793103</v>
      </c>
    </row>
    <row r="7">
      <c r="B7" s="144" t="s">
        <v>3327</v>
      </c>
      <c r="C7" s="107">
        <f>COUNTIF('Ações'!$AO:$AO,"n/a")</f>
        <v>16</v>
      </c>
      <c r="D7" s="108">
        <f>$C$7/$C$8</f>
        <v>0.02298850575</v>
      </c>
    </row>
    <row r="8">
      <c r="B8" s="144" t="s">
        <v>3257</v>
      </c>
      <c r="C8" s="107">
        <f t="shared" ref="C8:D8" si="1">SUM(C4:C7)</f>
        <v>696</v>
      </c>
      <c r="D8" s="108">
        <f t="shared" si="1"/>
        <v>1</v>
      </c>
    </row>
    <row r="25">
      <c r="B25" s="112" t="s">
        <v>3319</v>
      </c>
      <c r="F25" s="112" t="s">
        <v>3387</v>
      </c>
    </row>
    <row r="26">
      <c r="B26" s="2" t="s">
        <v>3395</v>
      </c>
      <c r="C26" s="126" t="s">
        <v>3254</v>
      </c>
      <c r="D26" s="126" t="s">
        <v>3255</v>
      </c>
    </row>
    <row r="27">
      <c r="B27" s="144" t="s">
        <v>3396</v>
      </c>
      <c r="C27" s="112">
        <v>309.0</v>
      </c>
      <c r="D27" s="108">
        <f t="shared" ref="D27:D30" si="2">C27/C$31</f>
        <v>0.4537444934</v>
      </c>
    </row>
    <row r="28">
      <c r="B28" s="144" t="s">
        <v>3397</v>
      </c>
      <c r="C28" s="112">
        <v>192.0</v>
      </c>
      <c r="D28" s="108">
        <f t="shared" si="2"/>
        <v>0.281938326</v>
      </c>
    </row>
    <row r="29">
      <c r="B29" s="144" t="s">
        <v>3393</v>
      </c>
      <c r="C29" s="112">
        <v>164.0</v>
      </c>
      <c r="D29" s="108">
        <f t="shared" si="2"/>
        <v>0.2408223201</v>
      </c>
    </row>
    <row r="30">
      <c r="B30" s="144" t="s">
        <v>3327</v>
      </c>
      <c r="C30" s="112">
        <v>16.0</v>
      </c>
      <c r="D30" s="108">
        <f t="shared" si="2"/>
        <v>0.0234948605</v>
      </c>
    </row>
    <row r="31">
      <c r="B31" s="144" t="s">
        <v>3257</v>
      </c>
      <c r="C31" s="107">
        <f t="shared" ref="C31:D31" si="3">SUM(C27:C30)</f>
        <v>681</v>
      </c>
      <c r="D31" s="147">
        <f t="shared" si="3"/>
        <v>1</v>
      </c>
    </row>
  </sheetData>
  <mergeCells count="1">
    <mergeCell ref="B25:D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0"/>
  </cols>
  <sheetData>
    <row r="2">
      <c r="B2" s="148" t="s">
        <v>3398</v>
      </c>
      <c r="C2" s="149" t="s">
        <v>3254</v>
      </c>
      <c r="D2" s="149" t="s">
        <v>3255</v>
      </c>
    </row>
    <row r="3">
      <c r="B3" s="150" t="s">
        <v>93</v>
      </c>
      <c r="C3" s="151">
        <f>COUNTIF('Ações'!$AP:$AP,"Sim")</f>
        <v>102</v>
      </c>
      <c r="D3" s="152">
        <f>$C$3/$C$6</f>
        <v>0.1465517241</v>
      </c>
    </row>
    <row r="4">
      <c r="B4" s="150" t="s">
        <v>92</v>
      </c>
      <c r="C4" s="151">
        <f>COUNTIF('Ações'!$AP:$AP,"Não")</f>
        <v>579</v>
      </c>
      <c r="D4" s="152">
        <f>$C$4/$C$6</f>
        <v>0.8318965517</v>
      </c>
    </row>
    <row r="5">
      <c r="B5" s="150" t="s">
        <v>3393</v>
      </c>
      <c r="C5" s="151">
        <f>COUNTIF('Ações'!$AP:$AP,"s/i")</f>
        <v>15</v>
      </c>
      <c r="D5" s="152">
        <f>$C$5/$C$6</f>
        <v>0.02155172414</v>
      </c>
    </row>
    <row r="6">
      <c r="B6" s="153" t="s">
        <v>3257</v>
      </c>
      <c r="C6" s="154">
        <f t="shared" ref="C6:D6" si="1">SUM(C3:C5)</f>
        <v>696</v>
      </c>
      <c r="D6" s="155">
        <f t="shared" si="1"/>
        <v>1</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2.25"/>
    <col customWidth="1" min="6" max="6" width="20.75"/>
  </cols>
  <sheetData>
    <row r="3">
      <c r="B3" s="2" t="s">
        <v>3399</v>
      </c>
      <c r="C3" s="126" t="s">
        <v>3254</v>
      </c>
      <c r="D3" s="126" t="s">
        <v>3255</v>
      </c>
      <c r="F3" s="133" t="s">
        <v>3400</v>
      </c>
      <c r="G3" s="126" t="s">
        <v>3254</v>
      </c>
      <c r="H3" s="126" t="s">
        <v>3255</v>
      </c>
      <c r="J3" s="125" t="s">
        <v>3401</v>
      </c>
      <c r="K3" s="126" t="s">
        <v>3254</v>
      </c>
      <c r="L3" s="126" t="s">
        <v>3255</v>
      </c>
    </row>
    <row r="4">
      <c r="B4" s="144" t="s">
        <v>93</v>
      </c>
      <c r="C4" s="107">
        <f>COUNTIF('Ações'!$AZ:$AZ,"Sim")</f>
        <v>66</v>
      </c>
      <c r="D4" s="108">
        <f>$C$4/$C$7</f>
        <v>0.09482758621</v>
      </c>
      <c r="F4" s="144" t="s">
        <v>93</v>
      </c>
      <c r="G4" s="107">
        <f>COUNTIF('Ações'!$BC:$BC,"Sim")</f>
        <v>139</v>
      </c>
      <c r="H4" s="108">
        <f>$G$4/$G$7</f>
        <v>0.1997126437</v>
      </c>
    </row>
    <row r="5">
      <c r="B5" s="144" t="s">
        <v>92</v>
      </c>
      <c r="C5" s="107">
        <f>COUNTIF('Ações'!$AZ:$AZ,"Não")</f>
        <v>109</v>
      </c>
      <c r="D5" s="108">
        <f>$C$5/$C$7</f>
        <v>0.1566091954</v>
      </c>
      <c r="F5" s="144" t="s">
        <v>92</v>
      </c>
      <c r="G5" s="107">
        <f>COUNTIF('Ações'!$BC:$BC,"Não")</f>
        <v>533</v>
      </c>
      <c r="H5" s="108">
        <f>$G$5/$G$7</f>
        <v>0.7658045977</v>
      </c>
    </row>
    <row r="6">
      <c r="B6" s="144" t="s">
        <v>3402</v>
      </c>
      <c r="C6" s="107">
        <f>COUNTIF('Ações'!$AZ:$AZ,"n/a")</f>
        <v>521</v>
      </c>
      <c r="D6" s="108">
        <f>$C$6/$C$7</f>
        <v>0.7485632184</v>
      </c>
      <c r="F6" s="144" t="s">
        <v>3393</v>
      </c>
      <c r="G6" s="107">
        <f>COUNTIF('Ações'!$BC:$BC,"s/i")</f>
        <v>24</v>
      </c>
      <c r="H6" s="108">
        <f>$G$6/$G$7</f>
        <v>0.03448275862</v>
      </c>
    </row>
    <row r="7">
      <c r="B7" s="144" t="s">
        <v>3257</v>
      </c>
      <c r="C7" s="107">
        <f t="shared" ref="C7:D7" si="1">SUM(C4:C6)</f>
        <v>696</v>
      </c>
      <c r="D7" s="108">
        <f t="shared" si="1"/>
        <v>1</v>
      </c>
      <c r="F7" s="144" t="s">
        <v>3257</v>
      </c>
      <c r="G7" s="107">
        <f t="shared" ref="G7:H7" si="2">SUM(G4:G6)</f>
        <v>696</v>
      </c>
      <c r="H7" s="108">
        <f t="shared" si="2"/>
        <v>1</v>
      </c>
    </row>
  </sheetData>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5"/>
    <col customWidth="1" min="5" max="5" width="23.75"/>
    <col customWidth="1" min="9" max="9" width="21.13"/>
    <col customWidth="1" min="13" max="13" width="16.75"/>
    <col customWidth="1" min="17" max="17" width="18.38"/>
    <col customWidth="1" min="21" max="21" width="27.88"/>
    <col customWidth="1" min="25" max="25" width="27.0"/>
  </cols>
  <sheetData>
    <row r="2">
      <c r="A2" s="2" t="s">
        <v>3403</v>
      </c>
      <c r="B2" s="126" t="s">
        <v>3254</v>
      </c>
      <c r="C2" s="126" t="s">
        <v>3255</v>
      </c>
      <c r="E2" s="125" t="s">
        <v>3404</v>
      </c>
      <c r="F2" s="126" t="s">
        <v>3254</v>
      </c>
      <c r="G2" s="126" t="s">
        <v>3255</v>
      </c>
      <c r="I2" s="125" t="s">
        <v>3405</v>
      </c>
      <c r="J2" s="126" t="s">
        <v>3254</v>
      </c>
      <c r="K2" s="126" t="s">
        <v>3255</v>
      </c>
      <c r="M2" s="125" t="s">
        <v>3406</v>
      </c>
      <c r="N2" s="126" t="s">
        <v>3254</v>
      </c>
      <c r="O2" s="126" t="s">
        <v>3255</v>
      </c>
      <c r="Q2" s="125" t="s">
        <v>3407</v>
      </c>
      <c r="R2" s="126" t="s">
        <v>3254</v>
      </c>
      <c r="S2" s="126" t="s">
        <v>3255</v>
      </c>
      <c r="U2" s="125" t="s">
        <v>3408</v>
      </c>
      <c r="V2" s="126" t="s">
        <v>3254</v>
      </c>
      <c r="W2" s="126" t="s">
        <v>3255</v>
      </c>
      <c r="Y2" s="125" t="s">
        <v>3409</v>
      </c>
      <c r="Z2" s="126" t="s">
        <v>3254</v>
      </c>
      <c r="AA2" s="126" t="s">
        <v>3255</v>
      </c>
    </row>
    <row r="3">
      <c r="A3" s="3" t="s">
        <v>3410</v>
      </c>
      <c r="B3" s="107">
        <f>COUNTIF('Ações'!$BI:$BI,"Sim")</f>
        <v>366</v>
      </c>
      <c r="C3" s="108">
        <f>$Z$3/$Z$5</f>
        <v>0.525862069</v>
      </c>
      <c r="E3" s="144" t="s">
        <v>93</v>
      </c>
      <c r="F3" s="107">
        <f>COUNTIF('Ações'!$BD:$BD,"Sim")</f>
        <v>334</v>
      </c>
      <c r="G3" s="108">
        <f>$F$3/$F$5</f>
        <v>0.4798850575</v>
      </c>
      <c r="I3" s="144" t="s">
        <v>93</v>
      </c>
      <c r="J3" s="107">
        <f>COUNTIF('Ações'!$BE:$BE,"Sim")</f>
        <v>11</v>
      </c>
      <c r="K3" s="108">
        <f>$J$3/$J$5</f>
        <v>0.0158045977</v>
      </c>
      <c r="M3" s="144" t="s">
        <v>93</v>
      </c>
      <c r="N3" s="107">
        <f>COUNTIF('Ações'!$BF:$BF,"Sim")</f>
        <v>3</v>
      </c>
      <c r="O3" s="108">
        <f>$N$3/$N$5</f>
        <v>0.004310344828</v>
      </c>
      <c r="Q3" s="144" t="s">
        <v>93</v>
      </c>
      <c r="R3" s="107">
        <f>COUNTIF('Ações'!$BG:$BG,"Sim")</f>
        <v>20</v>
      </c>
      <c r="S3" s="108">
        <f>$R$3/$R$5</f>
        <v>0.02873563218</v>
      </c>
      <c r="U3" s="144" t="s">
        <v>93</v>
      </c>
      <c r="V3" s="107">
        <f>COUNTIF('Ações'!$BH:$BH,"Sim")</f>
        <v>9</v>
      </c>
      <c r="W3" s="108">
        <f>$V$3/$V$5</f>
        <v>0.01293103448</v>
      </c>
      <c r="Y3" s="144" t="s">
        <v>93</v>
      </c>
      <c r="Z3" s="107">
        <f>COUNTIF('Ações'!$BI:$BI,"Sim")</f>
        <v>366</v>
      </c>
      <c r="AA3" s="108">
        <f>$Z$3/$Z$5</f>
        <v>0.525862069</v>
      </c>
    </row>
    <row r="4">
      <c r="A4" s="3" t="s">
        <v>287</v>
      </c>
      <c r="B4" s="107">
        <f>COUNTIF('Ações'!$BD:$BD,"Sim")</f>
        <v>334</v>
      </c>
      <c r="C4" s="108">
        <f>$F$3/$F$5</f>
        <v>0.4798850575</v>
      </c>
      <c r="E4" s="144" t="s">
        <v>92</v>
      </c>
      <c r="F4" s="107">
        <f>COUNTIF('Ações'!$BD:$BD,"Não")</f>
        <v>362</v>
      </c>
      <c r="G4" s="108">
        <f>$F$4/$F$5</f>
        <v>0.5201149425</v>
      </c>
      <c r="I4" s="144" t="s">
        <v>92</v>
      </c>
      <c r="J4" s="107">
        <f>COUNTIF('Ações'!$BE:$BE,"Não")</f>
        <v>685</v>
      </c>
      <c r="K4" s="108">
        <f>$J$4/$J$5</f>
        <v>0.9841954023</v>
      </c>
      <c r="M4" s="144" t="s">
        <v>92</v>
      </c>
      <c r="N4" s="107">
        <f>COUNTIF('Ações'!$BF:$BF,"Não")</f>
        <v>693</v>
      </c>
      <c r="O4" s="108">
        <f>$N$4/$N$5</f>
        <v>0.9956896552</v>
      </c>
      <c r="Q4" s="144" t="s">
        <v>92</v>
      </c>
      <c r="R4" s="107">
        <f>COUNTIF('Ações'!$BG:$BG,"Não")</f>
        <v>676</v>
      </c>
      <c r="S4" s="108">
        <f>$R$4/$R$5</f>
        <v>0.9712643678</v>
      </c>
      <c r="U4" s="144" t="s">
        <v>92</v>
      </c>
      <c r="V4" s="107">
        <f>COUNTIF('Ações'!$BH:$BH,"Não")</f>
        <v>687</v>
      </c>
      <c r="W4" s="108">
        <f>$V$4/$V$5</f>
        <v>0.9870689655</v>
      </c>
      <c r="Y4" s="144" t="s">
        <v>92</v>
      </c>
      <c r="Z4" s="107">
        <f>COUNTIF('Ações'!$BI:$BI,"Não")</f>
        <v>330</v>
      </c>
      <c r="AA4" s="108">
        <f>$Z$4/$Z$5</f>
        <v>0.474137931</v>
      </c>
    </row>
    <row r="5">
      <c r="A5" s="3" t="s">
        <v>3411</v>
      </c>
      <c r="B5" s="107">
        <f>COUNTIF('Ações'!$BG:$BG,"Sim")</f>
        <v>20</v>
      </c>
      <c r="C5" s="108">
        <f>$R$3/$R$5</f>
        <v>0.02873563218</v>
      </c>
      <c r="E5" s="144" t="s">
        <v>3257</v>
      </c>
      <c r="F5" s="107">
        <f t="shared" ref="F5:G5" si="1">SUM(F3:F4)</f>
        <v>696</v>
      </c>
      <c r="G5" s="108">
        <f t="shared" si="1"/>
        <v>1</v>
      </c>
      <c r="I5" s="144" t="s">
        <v>3257</v>
      </c>
      <c r="J5" s="107">
        <f t="shared" ref="J5:K5" si="2">SUM(J3:J4)</f>
        <v>696</v>
      </c>
      <c r="K5" s="108">
        <f t="shared" si="2"/>
        <v>1</v>
      </c>
      <c r="M5" s="144" t="s">
        <v>3257</v>
      </c>
      <c r="N5" s="107">
        <f t="shared" ref="N5:O5" si="3">SUM(N3:N4)</f>
        <v>696</v>
      </c>
      <c r="O5" s="108">
        <f t="shared" si="3"/>
        <v>1</v>
      </c>
      <c r="Q5" s="144" t="s">
        <v>3257</v>
      </c>
      <c r="R5" s="107">
        <f t="shared" ref="R5:S5" si="4">SUM(R3:R4)</f>
        <v>696</v>
      </c>
      <c r="S5" s="108">
        <f t="shared" si="4"/>
        <v>1</v>
      </c>
      <c r="U5" s="144" t="s">
        <v>3257</v>
      </c>
      <c r="V5" s="107">
        <f t="shared" ref="V5:W5" si="5">SUM(V3:V4)</f>
        <v>696</v>
      </c>
      <c r="W5" s="108">
        <f t="shared" si="5"/>
        <v>1</v>
      </c>
      <c r="Y5" s="144" t="s">
        <v>3257</v>
      </c>
      <c r="Z5" s="107">
        <f t="shared" ref="Z5:AA5" si="6">SUM(Z3:Z4)</f>
        <v>696</v>
      </c>
      <c r="AA5" s="108">
        <f t="shared" si="6"/>
        <v>1</v>
      </c>
    </row>
    <row r="6">
      <c r="A6" s="3" t="s">
        <v>3412</v>
      </c>
      <c r="B6" s="107">
        <f>COUNTIF('Ações'!$BE:$BE,"Sim")</f>
        <v>11</v>
      </c>
      <c r="C6" s="108">
        <f>$J$3/$J$5</f>
        <v>0.0158045977</v>
      </c>
    </row>
    <row r="7">
      <c r="A7" s="3" t="s">
        <v>3413</v>
      </c>
      <c r="B7" s="107">
        <f>COUNTIF('Ações'!$BH:$BH,"Sim")</f>
        <v>9</v>
      </c>
      <c r="C7" s="108">
        <f>$V$3/$V$5</f>
        <v>0.01293103448</v>
      </c>
    </row>
    <row r="8">
      <c r="A8" s="3" t="s">
        <v>3414</v>
      </c>
      <c r="B8" s="107">
        <f>COUNTIF('Ações'!$BF:$BF,"Sim")</f>
        <v>3</v>
      </c>
      <c r="C8" s="108">
        <f>$N$3/$N$5</f>
        <v>0.004310344828</v>
      </c>
    </row>
    <row r="14">
      <c r="A14" s="112" t="s">
        <v>3319</v>
      </c>
    </row>
    <row r="15">
      <c r="A15" s="2" t="s">
        <v>3403</v>
      </c>
      <c r="B15" s="126" t="s">
        <v>3254</v>
      </c>
      <c r="C15" s="126" t="s">
        <v>3255</v>
      </c>
    </row>
    <row r="16">
      <c r="A16" s="3" t="s">
        <v>3410</v>
      </c>
      <c r="B16" s="136">
        <v>363.0</v>
      </c>
      <c r="C16" s="145">
        <f t="shared" ref="C16:C21" si="7">B16/681</f>
        <v>0.5330396476</v>
      </c>
    </row>
    <row r="17">
      <c r="A17" s="3" t="s">
        <v>287</v>
      </c>
      <c r="B17" s="136">
        <v>325.0</v>
      </c>
      <c r="C17" s="145">
        <f t="shared" si="7"/>
        <v>0.4772393539</v>
      </c>
    </row>
    <row r="18">
      <c r="A18" s="3" t="s">
        <v>3411</v>
      </c>
      <c r="B18" s="136">
        <v>18.0</v>
      </c>
      <c r="C18" s="145">
        <f t="shared" si="7"/>
        <v>0.02643171806</v>
      </c>
    </row>
    <row r="19">
      <c r="A19" s="3" t="s">
        <v>3412</v>
      </c>
      <c r="B19" s="136">
        <v>11.0</v>
      </c>
      <c r="C19" s="145">
        <f t="shared" si="7"/>
        <v>0.01615271659</v>
      </c>
    </row>
    <row r="20">
      <c r="A20" s="3" t="s">
        <v>3413</v>
      </c>
      <c r="B20" s="136">
        <v>9.0</v>
      </c>
      <c r="C20" s="145">
        <f t="shared" si="7"/>
        <v>0.01321585903</v>
      </c>
    </row>
    <row r="21">
      <c r="A21" s="3" t="s">
        <v>3414</v>
      </c>
      <c r="B21" s="136">
        <v>3.0</v>
      </c>
      <c r="C21" s="145">
        <f t="shared" si="7"/>
        <v>0.004405286344</v>
      </c>
    </row>
    <row r="22">
      <c r="B22" s="107">
        <f>SUM(B16:B21)</f>
        <v>729</v>
      </c>
    </row>
  </sheetData>
  <autoFilter ref="$A$2:$C$8">
    <sortState ref="A2:C8">
      <sortCondition descending="1" ref="B2:B8"/>
    </sortState>
  </autoFilter>
  <mergeCells count="1">
    <mergeCell ref="A14:C14"/>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B2" s="133" t="s">
        <v>3176</v>
      </c>
      <c r="C2" s="137" t="s">
        <v>3254</v>
      </c>
      <c r="D2" s="137" t="s">
        <v>3255</v>
      </c>
    </row>
    <row r="3">
      <c r="B3" s="95" t="s">
        <v>93</v>
      </c>
      <c r="C3" s="107">
        <f>COUNTIF('Ações'!$BJ:$BJ,"Sim")</f>
        <v>28</v>
      </c>
      <c r="D3" s="108">
        <f>$C$3/$C$5</f>
        <v>0.04022988506</v>
      </c>
    </row>
    <row r="4">
      <c r="B4" s="95" t="s">
        <v>92</v>
      </c>
      <c r="C4" s="107">
        <f>COUNTIF('Ações'!$BJ:$BJ,"Não")</f>
        <v>668</v>
      </c>
      <c r="D4" s="108">
        <f>$C$4/$C$5</f>
        <v>0.9597701149</v>
      </c>
    </row>
    <row r="5">
      <c r="B5" s="95" t="s">
        <v>3257</v>
      </c>
      <c r="C5" s="107">
        <f t="shared" ref="C5:D5" si="1">SUM(C3:C4)</f>
        <v>696</v>
      </c>
      <c r="D5" s="108">
        <f t="shared" si="1"/>
        <v>1</v>
      </c>
    </row>
    <row r="13">
      <c r="B13" s="112" t="s">
        <v>3415</v>
      </c>
    </row>
    <row r="14">
      <c r="B14" s="133" t="s">
        <v>3176</v>
      </c>
      <c r="C14" s="137" t="s">
        <v>3254</v>
      </c>
      <c r="D14" s="137" t="s">
        <v>3255</v>
      </c>
    </row>
    <row r="15">
      <c r="B15" s="95" t="s">
        <v>93</v>
      </c>
      <c r="C15" s="136">
        <v>27.0</v>
      </c>
      <c r="D15" s="145">
        <v>0.0396</v>
      </c>
    </row>
    <row r="16">
      <c r="B16" s="95" t="s">
        <v>92</v>
      </c>
      <c r="C16" s="136">
        <v>654.0</v>
      </c>
      <c r="D16" s="145">
        <v>0.9604</v>
      </c>
    </row>
    <row r="17">
      <c r="B17" s="95" t="s">
        <v>3257</v>
      </c>
      <c r="C17" s="107">
        <f t="shared" ref="C17:D17" si="2">SUM(C15:C16)</f>
        <v>681</v>
      </c>
      <c r="D17" s="108">
        <f t="shared" si="2"/>
        <v>1</v>
      </c>
    </row>
    <row r="19">
      <c r="B19" s="112" t="s">
        <v>3416</v>
      </c>
    </row>
  </sheetData>
  <mergeCells count="1">
    <mergeCell ref="B13:D13"/>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25"/>
    <col customWidth="1" min="4" max="4" width="31.0"/>
  </cols>
  <sheetData>
    <row r="2">
      <c r="P2" s="112" t="s">
        <v>3417</v>
      </c>
      <c r="Q2" s="112" t="s">
        <v>3418</v>
      </c>
      <c r="R2" s="112" t="s">
        <v>3419</v>
      </c>
    </row>
    <row r="3">
      <c r="B3" s="3" t="s">
        <v>3420</v>
      </c>
      <c r="C3" s="3" t="s">
        <v>3254</v>
      </c>
      <c r="D3" s="95" t="s">
        <v>3421</v>
      </c>
      <c r="I3" s="156" t="s">
        <v>3422</v>
      </c>
      <c r="P3" s="157" t="s">
        <v>3423</v>
      </c>
      <c r="Q3" s="157" t="s">
        <v>3424</v>
      </c>
      <c r="R3" s="157" t="s">
        <v>3425</v>
      </c>
    </row>
    <row r="4">
      <c r="A4" s="112" t="s">
        <v>3426</v>
      </c>
      <c r="B4" s="158" t="s">
        <v>482</v>
      </c>
      <c r="C4" s="159">
        <f>COUNTIF('Ações'!BK:BK,"*"&amp;B4&amp;"*")</f>
        <v>147</v>
      </c>
      <c r="D4" s="122">
        <f t="shared" ref="D4:D32" si="1">C4/681</f>
        <v>0.2158590308</v>
      </c>
      <c r="E4" s="160"/>
      <c r="F4" s="112" t="s">
        <v>3427</v>
      </c>
      <c r="G4" s="107">
        <f>SUM(C4:C7)</f>
        <v>299</v>
      </c>
      <c r="I4" s="156" t="s">
        <v>3428</v>
      </c>
      <c r="J4" s="156" t="s">
        <v>3429</v>
      </c>
      <c r="K4" s="112" t="s">
        <v>3255</v>
      </c>
    </row>
    <row r="5">
      <c r="A5" s="112" t="s">
        <v>3426</v>
      </c>
      <c r="B5" s="158" t="s">
        <v>332</v>
      </c>
      <c r="C5" s="159">
        <f>COUNTIF('Ações'!BK:BK,"*"&amp;B5&amp;"*")</f>
        <v>88</v>
      </c>
      <c r="D5" s="122">
        <f t="shared" si="1"/>
        <v>0.1292217327</v>
      </c>
      <c r="E5" s="160"/>
      <c r="F5" s="112" t="s">
        <v>3430</v>
      </c>
      <c r="G5" s="107">
        <f>SUM(C8:C16)</f>
        <v>226</v>
      </c>
      <c r="I5" s="112" t="s">
        <v>3431</v>
      </c>
      <c r="J5" s="112">
        <v>1.0</v>
      </c>
      <c r="K5" s="108">
        <f t="shared" ref="K5:K19" si="2">J5/$J$19</f>
        <v>0.01020408163</v>
      </c>
    </row>
    <row r="6">
      <c r="A6" s="112" t="s">
        <v>3426</v>
      </c>
      <c r="B6" s="158" t="s">
        <v>1751</v>
      </c>
      <c r="C6" s="159">
        <f>COUNTIF('Ações'!BK:BK,"*"&amp;B6&amp;"*")</f>
        <v>52</v>
      </c>
      <c r="D6" s="122">
        <f t="shared" si="1"/>
        <v>0.07635829662</v>
      </c>
      <c r="E6" s="160"/>
      <c r="F6" s="112" t="s">
        <v>3432</v>
      </c>
      <c r="G6" s="107">
        <f>SUM(C17:C19)</f>
        <v>226</v>
      </c>
      <c r="I6" s="112" t="s">
        <v>1199</v>
      </c>
      <c r="J6" s="112">
        <v>6.0</v>
      </c>
      <c r="K6" s="108">
        <f t="shared" si="2"/>
        <v>0.0612244898</v>
      </c>
    </row>
    <row r="7">
      <c r="A7" s="112" t="s">
        <v>3426</v>
      </c>
      <c r="B7" s="158" t="s">
        <v>3433</v>
      </c>
      <c r="C7" s="159">
        <f>COUNTIF('Ações'!BK:BK,"*"&amp;B7&amp;"*")</f>
        <v>12</v>
      </c>
      <c r="D7" s="122">
        <f t="shared" si="1"/>
        <v>0.01762114537</v>
      </c>
      <c r="E7" s="161"/>
      <c r="F7" s="112" t="s">
        <v>3434</v>
      </c>
      <c r="I7" s="112" t="s">
        <v>1793</v>
      </c>
      <c r="J7" s="112">
        <v>2.0</v>
      </c>
      <c r="K7" s="108">
        <f t="shared" si="2"/>
        <v>0.02040816327</v>
      </c>
    </row>
    <row r="8">
      <c r="A8" s="112" t="s">
        <v>3435</v>
      </c>
      <c r="B8" s="162" t="s">
        <v>349</v>
      </c>
      <c r="C8" s="163">
        <f>COUNTIF('Ações'!BK:BK,"*"&amp;B8&amp;"*")</f>
        <v>53</v>
      </c>
      <c r="D8" s="122">
        <f t="shared" si="1"/>
        <v>0.0778267254</v>
      </c>
      <c r="E8" s="160"/>
      <c r="F8" s="112" t="s">
        <v>3436</v>
      </c>
      <c r="I8" s="112" t="s">
        <v>574</v>
      </c>
      <c r="J8" s="112">
        <v>4.0</v>
      </c>
      <c r="K8" s="108">
        <f t="shared" si="2"/>
        <v>0.04081632653</v>
      </c>
    </row>
    <row r="9">
      <c r="A9" s="112" t="s">
        <v>3435</v>
      </c>
      <c r="B9" s="162" t="s">
        <v>1199</v>
      </c>
      <c r="C9" s="163">
        <f>COUNTIF('Ações'!BK:BK,"*"&amp;B9&amp;"*")</f>
        <v>40</v>
      </c>
      <c r="D9" s="122">
        <f t="shared" si="1"/>
        <v>0.05873715125</v>
      </c>
      <c r="E9" s="160"/>
      <c r="F9" s="112" t="s">
        <v>3437</v>
      </c>
      <c r="I9" s="112" t="s">
        <v>274</v>
      </c>
      <c r="J9" s="112">
        <v>2.0</v>
      </c>
      <c r="K9" s="108">
        <f t="shared" si="2"/>
        <v>0.02040816327</v>
      </c>
    </row>
    <row r="10">
      <c r="A10" s="112" t="s">
        <v>3435</v>
      </c>
      <c r="B10" s="162" t="s">
        <v>1755</v>
      </c>
      <c r="C10" s="163">
        <f>COUNTIF('Ações'!BK:BK,"*"&amp;B10&amp;"*")</f>
        <v>36</v>
      </c>
      <c r="D10" s="122">
        <f t="shared" si="1"/>
        <v>0.05286343612</v>
      </c>
      <c r="E10" s="160"/>
      <c r="F10" s="112" t="s">
        <v>3438</v>
      </c>
      <c r="I10" s="112" t="s">
        <v>1044</v>
      </c>
      <c r="J10" s="112">
        <v>1.0</v>
      </c>
      <c r="K10" s="108">
        <f t="shared" si="2"/>
        <v>0.01020408163</v>
      </c>
    </row>
    <row r="11">
      <c r="A11" s="112" t="s">
        <v>3435</v>
      </c>
      <c r="B11" s="162" t="s">
        <v>367</v>
      </c>
      <c r="C11" s="163">
        <f>COUNTIF('Ações'!BK:BK,"*"&amp;B11&amp;"*")</f>
        <v>26</v>
      </c>
      <c r="D11" s="122">
        <f t="shared" si="1"/>
        <v>0.03817914831</v>
      </c>
      <c r="E11" s="164"/>
      <c r="F11" s="127"/>
      <c r="I11" s="112" t="s">
        <v>332</v>
      </c>
      <c r="J11" s="112">
        <v>6.0</v>
      </c>
      <c r="K11" s="108">
        <f t="shared" si="2"/>
        <v>0.0612244898</v>
      </c>
    </row>
    <row r="12">
      <c r="A12" s="112" t="s">
        <v>3435</v>
      </c>
      <c r="B12" s="162" t="s">
        <v>1392</v>
      </c>
      <c r="C12" s="163">
        <f>COUNTIF('Ações'!BK:BK,"*"&amp;B12&amp;"*")</f>
        <v>20</v>
      </c>
      <c r="D12" s="122">
        <f t="shared" si="1"/>
        <v>0.02936857562</v>
      </c>
      <c r="E12" s="164"/>
      <c r="F12" s="127"/>
      <c r="I12" s="112" t="s">
        <v>546</v>
      </c>
      <c r="J12" s="112">
        <v>1.0</v>
      </c>
      <c r="K12" s="108">
        <f t="shared" si="2"/>
        <v>0.01020408163</v>
      </c>
    </row>
    <row r="13">
      <c r="A13" s="112" t="s">
        <v>3435</v>
      </c>
      <c r="B13" s="162" t="s">
        <v>1736</v>
      </c>
      <c r="C13" s="163">
        <f>COUNTIF('Ações'!BK:BK,"*"&amp;B13&amp;"*")</f>
        <v>14</v>
      </c>
      <c r="D13" s="122">
        <f t="shared" si="1"/>
        <v>0.02055800294</v>
      </c>
      <c r="E13" s="164"/>
      <c r="F13" s="127"/>
      <c r="I13" s="112" t="s">
        <v>156</v>
      </c>
      <c r="J13" s="112">
        <v>20.0</v>
      </c>
      <c r="K13" s="108">
        <f t="shared" si="2"/>
        <v>0.2040816327</v>
      </c>
    </row>
    <row r="14">
      <c r="A14" s="112" t="s">
        <v>3435</v>
      </c>
      <c r="B14" s="162" t="s">
        <v>3439</v>
      </c>
      <c r="C14" s="163">
        <f>COUNTIF('Ações'!BK:BK,"*"&amp;B14&amp;"*")</f>
        <v>14</v>
      </c>
      <c r="D14" s="122">
        <f t="shared" si="1"/>
        <v>0.02055800294</v>
      </c>
      <c r="E14" s="164"/>
      <c r="F14" s="127"/>
      <c r="I14" s="112" t="s">
        <v>1751</v>
      </c>
      <c r="J14" s="112">
        <v>2.0</v>
      </c>
      <c r="K14" s="108">
        <f t="shared" si="2"/>
        <v>0.02040816327</v>
      </c>
    </row>
    <row r="15">
      <c r="A15" s="112" t="s">
        <v>3435</v>
      </c>
      <c r="B15" s="162" t="s">
        <v>3440</v>
      </c>
      <c r="C15" s="163">
        <f>COUNTIF('Ações'!BK:BK,"*"&amp;B15&amp;"*")</f>
        <v>12</v>
      </c>
      <c r="D15" s="122">
        <f t="shared" si="1"/>
        <v>0.01762114537</v>
      </c>
      <c r="E15" s="164"/>
      <c r="F15" s="127"/>
      <c r="I15" s="112" t="s">
        <v>98</v>
      </c>
      <c r="J15" s="112">
        <v>8.0</v>
      </c>
      <c r="K15" s="108">
        <f t="shared" si="2"/>
        <v>0.08163265306</v>
      </c>
    </row>
    <row r="16">
      <c r="A16" s="112" t="s">
        <v>3435</v>
      </c>
      <c r="B16" s="162" t="s">
        <v>3441</v>
      </c>
      <c r="C16" s="163">
        <f>COUNTIF('Ações'!BK:BK,"*"&amp;B16&amp;"*")</f>
        <v>11</v>
      </c>
      <c r="D16" s="122">
        <f t="shared" si="1"/>
        <v>0.01615271659</v>
      </c>
      <c r="E16" s="164"/>
      <c r="F16" s="127"/>
      <c r="I16" s="112" t="s">
        <v>1075</v>
      </c>
      <c r="J16" s="112">
        <v>7.0</v>
      </c>
      <c r="K16" s="108">
        <f t="shared" si="2"/>
        <v>0.07142857143</v>
      </c>
    </row>
    <row r="17">
      <c r="A17" s="112" t="s">
        <v>3442</v>
      </c>
      <c r="B17" s="165" t="s">
        <v>156</v>
      </c>
      <c r="C17" s="166">
        <f>COUNTIF('Ações'!BK:BK,"*"&amp;B17&amp;"*")</f>
        <v>126</v>
      </c>
      <c r="D17" s="122">
        <f t="shared" si="1"/>
        <v>0.1850220264</v>
      </c>
      <c r="E17" s="164"/>
      <c r="F17" s="127"/>
      <c r="I17" s="112" t="s">
        <v>482</v>
      </c>
      <c r="J17" s="112">
        <v>37.0</v>
      </c>
      <c r="K17" s="108">
        <f t="shared" si="2"/>
        <v>0.3775510204</v>
      </c>
    </row>
    <row r="18">
      <c r="A18" s="112" t="s">
        <v>3442</v>
      </c>
      <c r="B18" s="165" t="s">
        <v>98</v>
      </c>
      <c r="C18" s="166">
        <f>COUNTIF('Ações'!BK:BK,"*"&amp;B18&amp;"*")</f>
        <v>58</v>
      </c>
      <c r="D18" s="122">
        <f t="shared" si="1"/>
        <v>0.08516886931</v>
      </c>
      <c r="E18" s="164"/>
      <c r="F18" s="127"/>
      <c r="I18" s="112" t="s">
        <v>3441</v>
      </c>
      <c r="J18" s="112">
        <v>1.0</v>
      </c>
      <c r="K18" s="108">
        <f t="shared" si="2"/>
        <v>0.01020408163</v>
      </c>
    </row>
    <row r="19">
      <c r="A19" s="112" t="s">
        <v>3442</v>
      </c>
      <c r="B19" s="165" t="s">
        <v>1075</v>
      </c>
      <c r="C19" s="166">
        <f>COUNTIF('Ações'!BK:BK,"*"&amp;B19&amp;"*")</f>
        <v>42</v>
      </c>
      <c r="D19" s="122">
        <f t="shared" si="1"/>
        <v>0.06167400881</v>
      </c>
      <c r="E19" s="164"/>
      <c r="F19" s="127"/>
      <c r="I19" s="112" t="s">
        <v>3443</v>
      </c>
      <c r="J19" s="107">
        <f>SUM(J5:J18)</f>
        <v>98</v>
      </c>
      <c r="K19" s="108">
        <f t="shared" si="2"/>
        <v>1</v>
      </c>
    </row>
    <row r="20">
      <c r="A20" s="112" t="s">
        <v>3444</v>
      </c>
      <c r="B20" s="167" t="s">
        <v>574</v>
      </c>
      <c r="C20" s="168">
        <f>COUNTIF('Ações'!BK:BK,"*"&amp;B20&amp;"*")</f>
        <v>73</v>
      </c>
      <c r="D20" s="122">
        <f t="shared" si="1"/>
        <v>0.107195301</v>
      </c>
      <c r="E20" s="164"/>
      <c r="F20" s="127"/>
    </row>
    <row r="21">
      <c r="A21" s="112" t="s">
        <v>3444</v>
      </c>
      <c r="B21" s="167" t="s">
        <v>274</v>
      </c>
      <c r="C21" s="168">
        <f>COUNTIF('Ações'!BK:BK,"*"&amp;B21&amp;"*")</f>
        <v>60</v>
      </c>
      <c r="D21" s="122">
        <f t="shared" si="1"/>
        <v>0.08810572687</v>
      </c>
      <c r="E21" s="164"/>
      <c r="F21" s="127"/>
    </row>
    <row r="22">
      <c r="A22" s="112" t="s">
        <v>3444</v>
      </c>
      <c r="B22" s="167" t="s">
        <v>1044</v>
      </c>
      <c r="C22" s="168">
        <f>COUNTIF('Ações'!BK:BK,"*"&amp;B22&amp;"*")</f>
        <v>36</v>
      </c>
      <c r="D22" s="122">
        <f t="shared" si="1"/>
        <v>0.05286343612</v>
      </c>
      <c r="E22" s="164"/>
      <c r="F22" s="127"/>
    </row>
    <row r="23">
      <c r="A23" s="112" t="s">
        <v>3444</v>
      </c>
      <c r="B23" s="167" t="s">
        <v>1793</v>
      </c>
      <c r="C23" s="168">
        <f>COUNTIF('Ações'!BK:BK,"*"&amp;B23&amp;"*")</f>
        <v>10</v>
      </c>
      <c r="D23" s="122">
        <f t="shared" si="1"/>
        <v>0.01468428781</v>
      </c>
      <c r="E23" s="169"/>
      <c r="F23" s="108"/>
    </row>
    <row r="24">
      <c r="A24" s="112" t="s">
        <v>3445</v>
      </c>
      <c r="B24" s="170" t="s">
        <v>546</v>
      </c>
      <c r="C24" s="171">
        <f>COUNTIF('Ações'!BK:BK,"*"&amp;B24&amp;"*")</f>
        <v>39</v>
      </c>
      <c r="D24" s="122">
        <f t="shared" si="1"/>
        <v>0.05726872247</v>
      </c>
      <c r="E24" s="164"/>
      <c r="F24" s="127"/>
    </row>
    <row r="25">
      <c r="A25" s="112" t="s">
        <v>3445</v>
      </c>
      <c r="B25" s="170" t="s">
        <v>590</v>
      </c>
      <c r="C25" s="171">
        <f>COUNTIF('Ações'!BK:BK,"*"&amp;B25&amp;"*")</f>
        <v>32</v>
      </c>
      <c r="D25" s="122">
        <f t="shared" si="1"/>
        <v>0.046989721</v>
      </c>
      <c r="E25" s="164"/>
      <c r="F25" s="127"/>
    </row>
    <row r="26">
      <c r="A26" s="112" t="s">
        <v>3445</v>
      </c>
      <c r="B26" s="170" t="s">
        <v>2060</v>
      </c>
      <c r="C26" s="171">
        <f>COUNTIF('Ações'!BK:BK,"*"&amp;B26&amp;"*")</f>
        <v>24</v>
      </c>
      <c r="D26" s="122">
        <f t="shared" si="1"/>
        <v>0.03524229075</v>
      </c>
      <c r="E26" s="164"/>
      <c r="F26" s="127"/>
    </row>
    <row r="27">
      <c r="A27" s="112" t="s">
        <v>3445</v>
      </c>
      <c r="B27" s="170" t="s">
        <v>1708</v>
      </c>
      <c r="C27" s="171">
        <f>COUNTIF('Ações'!BK:BK,"*"&amp;B27&amp;"*")</f>
        <v>17</v>
      </c>
      <c r="D27" s="122">
        <f t="shared" si="1"/>
        <v>0.02496328928</v>
      </c>
      <c r="E27" s="164"/>
      <c r="F27" s="127"/>
    </row>
    <row r="28">
      <c r="A28" s="112" t="s">
        <v>3445</v>
      </c>
      <c r="B28" s="170" t="s">
        <v>2461</v>
      </c>
      <c r="C28" s="171">
        <f>COUNTIF('Ações'!BK:BK,"*"&amp;B28&amp;"*")</f>
        <v>9</v>
      </c>
      <c r="D28" s="122">
        <f t="shared" si="1"/>
        <v>0.01321585903</v>
      </c>
      <c r="E28" s="164"/>
      <c r="F28" s="127"/>
    </row>
    <row r="29">
      <c r="A29" s="112" t="s">
        <v>3445</v>
      </c>
      <c r="B29" s="170" t="s">
        <v>2159</v>
      </c>
      <c r="C29" s="171">
        <f>COUNTIF('Ações'!BK:BK,"*"&amp;B29&amp;"*")</f>
        <v>8</v>
      </c>
      <c r="D29" s="122">
        <f t="shared" si="1"/>
        <v>0.01174743025</v>
      </c>
      <c r="E29" s="164"/>
      <c r="F29" s="127"/>
    </row>
    <row r="30">
      <c r="A30" s="112" t="s">
        <v>3445</v>
      </c>
      <c r="B30" s="170" t="s">
        <v>1761</v>
      </c>
      <c r="C30" s="171">
        <f>COUNTIF('Ações'!BK:BK,"*"&amp;B30&amp;"*")</f>
        <v>3</v>
      </c>
      <c r="D30" s="122">
        <f t="shared" si="1"/>
        <v>0.004405286344</v>
      </c>
      <c r="E30" s="164"/>
      <c r="F30" s="127"/>
    </row>
    <row r="31">
      <c r="A31" s="112" t="s">
        <v>3446</v>
      </c>
      <c r="B31" s="172" t="s">
        <v>105</v>
      </c>
      <c r="C31" s="173">
        <f>COUNTIF('Ações'!BK:BK,"*"&amp;B31&amp;"*")</f>
        <v>228</v>
      </c>
      <c r="D31" s="122">
        <f t="shared" si="1"/>
        <v>0.3348017621</v>
      </c>
      <c r="E31" s="111"/>
    </row>
    <row r="32">
      <c r="A32" s="112" t="s">
        <v>3446</v>
      </c>
      <c r="B32" s="172" t="s">
        <v>95</v>
      </c>
      <c r="C32" s="173">
        <f>COUNTIF('Ações'!BK:BK,"*"&amp;B32&amp;"*")</f>
        <v>34</v>
      </c>
      <c r="D32" s="122">
        <f t="shared" si="1"/>
        <v>0.04992657856</v>
      </c>
      <c r="E32" s="111"/>
    </row>
  </sheetData>
  <autoFilter ref="$B$3:$C$32"/>
  <mergeCells count="1">
    <mergeCell ref="I3:J3"/>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3">
      <c r="B3" s="174" t="s">
        <v>3447</v>
      </c>
      <c r="C3" s="126" t="s">
        <v>3254</v>
      </c>
      <c r="D3" s="126" t="s">
        <v>3255</v>
      </c>
      <c r="F3" s="175" t="s">
        <v>3448</v>
      </c>
      <c r="G3" s="126" t="s">
        <v>3254</v>
      </c>
      <c r="H3" s="126" t="s">
        <v>3255</v>
      </c>
      <c r="J3" s="175" t="s">
        <v>3449</v>
      </c>
      <c r="K3" s="126" t="s">
        <v>3254</v>
      </c>
      <c r="L3" s="176" t="s">
        <v>3255</v>
      </c>
      <c r="N3" s="175" t="s">
        <v>3450</v>
      </c>
      <c r="O3" s="126" t="s">
        <v>3254</v>
      </c>
      <c r="P3" s="176" t="s">
        <v>3255</v>
      </c>
      <c r="R3" s="175" t="s">
        <v>3451</v>
      </c>
      <c r="S3" s="126" t="s">
        <v>3254</v>
      </c>
      <c r="T3" s="126" t="s">
        <v>3255</v>
      </c>
      <c r="V3" s="175" t="s">
        <v>3452</v>
      </c>
      <c r="W3" s="126" t="s">
        <v>3254</v>
      </c>
      <c r="X3" s="126" t="s">
        <v>3255</v>
      </c>
    </row>
    <row r="4">
      <c r="B4" s="175" t="s">
        <v>3451</v>
      </c>
      <c r="C4" s="107">
        <f>COUNTIF('Ações'!$BO:$BO,"Sim")</f>
        <v>243</v>
      </c>
      <c r="D4" s="108">
        <f>$S$4/$S$7</f>
        <v>0.349137931</v>
      </c>
      <c r="F4" s="144" t="s">
        <v>93</v>
      </c>
      <c r="G4" s="107">
        <f>COUNTIF('Ações'!$BL:$BL,"Sim")</f>
        <v>152</v>
      </c>
      <c r="H4" s="108">
        <f>$G$4/$G$7</f>
        <v>0.2183908046</v>
      </c>
      <c r="J4" s="144" t="s">
        <v>93</v>
      </c>
      <c r="K4" s="107">
        <f>COUNTIF('Ações'!$BM:$BM,"Sim")</f>
        <v>136</v>
      </c>
      <c r="L4" s="108">
        <f>$K$4/$K$7</f>
        <v>0.1954022989</v>
      </c>
      <c r="N4" s="144" t="s">
        <v>93</v>
      </c>
      <c r="O4" s="107">
        <f>COUNTIF('Ações'!$BN:$BN,"Sim")</f>
        <v>111</v>
      </c>
      <c r="P4" s="108">
        <f>$O$4/$O$7</f>
        <v>0.1594827586</v>
      </c>
      <c r="R4" s="144" t="s">
        <v>93</v>
      </c>
      <c r="S4" s="107">
        <f>COUNTIF('Ações'!$BO:$BO,"Sim")</f>
        <v>243</v>
      </c>
      <c r="T4" s="108">
        <f>$S$4/$S$7</f>
        <v>0.349137931</v>
      </c>
      <c r="V4" s="144" t="s">
        <v>93</v>
      </c>
      <c r="W4" s="107">
        <f>COUNTIF('Ações'!$BP:$BP,"Sim")</f>
        <v>211</v>
      </c>
      <c r="X4" s="108">
        <f>$W$4/$W$7</f>
        <v>0.3031609195</v>
      </c>
    </row>
    <row r="5">
      <c r="B5" s="175" t="s">
        <v>3449</v>
      </c>
      <c r="C5" s="107">
        <f>COUNTIF('Ações'!$BM:$BM,"Sim")</f>
        <v>136</v>
      </c>
      <c r="D5" s="108">
        <f>$K$4/$K$7</f>
        <v>0.1954022989</v>
      </c>
      <c r="F5" s="144" t="s">
        <v>92</v>
      </c>
      <c r="G5" s="107">
        <f>COUNTIF('Ações'!$BL:$BL,"Não")</f>
        <v>320</v>
      </c>
      <c r="H5" s="108">
        <f>$G$5/$G$7</f>
        <v>0.4597701149</v>
      </c>
      <c r="J5" s="144" t="s">
        <v>92</v>
      </c>
      <c r="K5" s="107">
        <f>COUNTIF('Ações'!$BM:$BM,"Não")</f>
        <v>336</v>
      </c>
      <c r="L5" s="108">
        <f>$K$5/$K$7</f>
        <v>0.4827586207</v>
      </c>
      <c r="N5" s="144" t="s">
        <v>92</v>
      </c>
      <c r="O5" s="107">
        <f>COUNTIF('Ações'!$BN:$BN,"Não")</f>
        <v>361</v>
      </c>
      <c r="P5" s="108">
        <f>$O$5/$O$7</f>
        <v>0.5186781609</v>
      </c>
      <c r="R5" s="144" t="s">
        <v>92</v>
      </c>
      <c r="S5" s="107">
        <f>COUNTIF('Ações'!$BO:$BO,"Não")</f>
        <v>229</v>
      </c>
      <c r="T5" s="108">
        <f>$S$5/$S$7</f>
        <v>0.3290229885</v>
      </c>
      <c r="V5" s="144" t="s">
        <v>92</v>
      </c>
      <c r="W5" s="107">
        <f>COUNTIF('Ações'!$BP:$BP,"Não")</f>
        <v>261</v>
      </c>
      <c r="X5" s="108">
        <f>$W$5/$W$7</f>
        <v>0.375</v>
      </c>
    </row>
    <row r="6">
      <c r="B6" s="175" t="s">
        <v>3450</v>
      </c>
      <c r="C6" s="107">
        <f>COUNTIF('Ações'!$BN:$BN,"Sim")</f>
        <v>111</v>
      </c>
      <c r="D6" s="108">
        <f>$O$4/$O$7</f>
        <v>0.1594827586</v>
      </c>
      <c r="F6" s="144" t="s">
        <v>3393</v>
      </c>
      <c r="G6" s="107">
        <f>COUNTIF('Ações'!$BL:$BL,"s/i")</f>
        <v>224</v>
      </c>
      <c r="H6" s="108">
        <f>$G$6/$G$7</f>
        <v>0.3218390805</v>
      </c>
      <c r="J6" s="144" t="s">
        <v>3393</v>
      </c>
      <c r="K6" s="107">
        <f>COUNTIF('Ações'!$BM:$BM,"s/i")</f>
        <v>224</v>
      </c>
      <c r="L6" s="108">
        <f>$K$6/$K$7</f>
        <v>0.3218390805</v>
      </c>
      <c r="N6" s="144" t="s">
        <v>3393</v>
      </c>
      <c r="O6" s="107">
        <f>COUNTIF('Ações'!$BN:$BN,"s/i")</f>
        <v>224</v>
      </c>
      <c r="P6" s="108">
        <f>$O$6/$O$7</f>
        <v>0.3218390805</v>
      </c>
      <c r="R6" s="144" t="s">
        <v>3393</v>
      </c>
      <c r="S6" s="107">
        <f>COUNTIF('Ações'!$BO:$BO,"s/i")</f>
        <v>224</v>
      </c>
      <c r="T6" s="108">
        <f>$S$6/$S$7</f>
        <v>0.3218390805</v>
      </c>
      <c r="V6" s="144" t="s">
        <v>3393</v>
      </c>
      <c r="W6" s="107">
        <f>COUNTIF('Ações'!$BP:$BP,"s/i")</f>
        <v>224</v>
      </c>
      <c r="X6" s="108">
        <f>$W$6/$W$7</f>
        <v>0.3218390805</v>
      </c>
    </row>
    <row r="7">
      <c r="B7" s="175" t="s">
        <v>3452</v>
      </c>
      <c r="C7" s="107">
        <f>COUNTIF('Ações'!$BP:$BP,"Sim")</f>
        <v>211</v>
      </c>
      <c r="D7" s="108">
        <f>$W$4/$W$7</f>
        <v>0.3031609195</v>
      </c>
      <c r="F7" s="144" t="s">
        <v>3257</v>
      </c>
      <c r="G7" s="107">
        <f t="shared" ref="G7:H7" si="1">SUM(G4:G6)</f>
        <v>696</v>
      </c>
      <c r="H7" s="108">
        <f t="shared" si="1"/>
        <v>1</v>
      </c>
      <c r="J7" s="144" t="s">
        <v>3257</v>
      </c>
      <c r="K7" s="107">
        <f t="shared" ref="K7:L7" si="2">SUM(K4:K6)</f>
        <v>696</v>
      </c>
      <c r="L7" s="108">
        <f t="shared" si="2"/>
        <v>1</v>
      </c>
      <c r="N7" s="144" t="s">
        <v>3257</v>
      </c>
      <c r="O7" s="107">
        <f t="shared" ref="O7:P7" si="3">SUM(O4:O6)</f>
        <v>696</v>
      </c>
      <c r="P7" s="108">
        <f t="shared" si="3"/>
        <v>1</v>
      </c>
      <c r="R7" s="144" t="s">
        <v>3257</v>
      </c>
      <c r="S7" s="107">
        <f t="shared" ref="S7:T7" si="4">SUM(S4:S6)</f>
        <v>696</v>
      </c>
      <c r="T7" s="108">
        <f t="shared" si="4"/>
        <v>1</v>
      </c>
      <c r="V7" s="144" t="s">
        <v>3257</v>
      </c>
      <c r="W7" s="107">
        <f t="shared" ref="W7:X7" si="5">SUM(W4:W6)</f>
        <v>696</v>
      </c>
      <c r="X7" s="108">
        <f t="shared" si="5"/>
        <v>1</v>
      </c>
    </row>
    <row r="8">
      <c r="B8" s="175" t="s">
        <v>3448</v>
      </c>
      <c r="C8" s="107">
        <f>COUNTIF('Ações'!$BL:$BL,"Sim")</f>
        <v>152</v>
      </c>
      <c r="D8" s="108">
        <f>$G$4/$G$7</f>
        <v>0.2183908046</v>
      </c>
      <c r="P8" s="10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ht="20.25" customHeight="1">
      <c r="A2" s="177" t="s">
        <v>3453</v>
      </c>
      <c r="B2" s="126" t="s">
        <v>3254</v>
      </c>
      <c r="C2" s="126" t="s">
        <v>3255</v>
      </c>
      <c r="E2" s="3" t="s">
        <v>3454</v>
      </c>
      <c r="F2" s="126" t="s">
        <v>3254</v>
      </c>
      <c r="G2" s="126" t="s">
        <v>3255</v>
      </c>
      <c r="I2" s="3" t="s">
        <v>3455</v>
      </c>
      <c r="J2" s="126" t="s">
        <v>3254</v>
      </c>
      <c r="K2" s="126" t="s">
        <v>3255</v>
      </c>
      <c r="M2" s="3" t="s">
        <v>3456</v>
      </c>
      <c r="N2" s="126" t="s">
        <v>3254</v>
      </c>
      <c r="O2" s="126" t="s">
        <v>3255</v>
      </c>
      <c r="Q2" s="3" t="s">
        <v>3457</v>
      </c>
      <c r="R2" s="126" t="s">
        <v>3254</v>
      </c>
      <c r="S2" s="126" t="s">
        <v>3255</v>
      </c>
      <c r="U2" s="3" t="s">
        <v>3458</v>
      </c>
      <c r="V2" s="126" t="s">
        <v>3254</v>
      </c>
      <c r="W2" s="126" t="s">
        <v>3255</v>
      </c>
      <c r="Y2" s="2" t="s">
        <v>3459</v>
      </c>
      <c r="Z2" s="126" t="s">
        <v>3254</v>
      </c>
      <c r="AA2" s="126" t="s">
        <v>3255</v>
      </c>
      <c r="AC2" s="2" t="s">
        <v>3460</v>
      </c>
      <c r="AD2" s="126" t="s">
        <v>3254</v>
      </c>
      <c r="AE2" s="126" t="s">
        <v>3255</v>
      </c>
      <c r="AG2" s="2" t="s">
        <v>3461</v>
      </c>
      <c r="AH2" s="126" t="s">
        <v>3254</v>
      </c>
      <c r="AI2" s="126" t="s">
        <v>3255</v>
      </c>
      <c r="AK2" s="2" t="s">
        <v>3462</v>
      </c>
      <c r="AL2" s="126" t="s">
        <v>3254</v>
      </c>
      <c r="AM2" s="126" t="s">
        <v>3255</v>
      </c>
      <c r="AN2" s="1"/>
      <c r="AO2" s="2" t="s">
        <v>3463</v>
      </c>
      <c r="AP2" s="126" t="s">
        <v>3254</v>
      </c>
      <c r="AQ2" s="126" t="s">
        <v>3255</v>
      </c>
      <c r="AR2" s="1"/>
      <c r="AS2" s="2" t="s">
        <v>3464</v>
      </c>
      <c r="AT2" s="126" t="s">
        <v>3254</v>
      </c>
      <c r="AU2" s="126" t="s">
        <v>3255</v>
      </c>
    </row>
    <row r="3">
      <c r="A3" s="3" t="s">
        <v>3457</v>
      </c>
      <c r="B3" s="107">
        <f>COUNTIF('Ações'!$BT:$BT,"Sim")</f>
        <v>321</v>
      </c>
      <c r="C3" s="108">
        <f>$R$3/$R$5</f>
        <v>0.4612068966</v>
      </c>
      <c r="E3" s="144" t="s">
        <v>93</v>
      </c>
      <c r="F3" s="107">
        <f>COUNTIF('Ações'!$BQ:$BQ,"Sim")</f>
        <v>292</v>
      </c>
      <c r="G3" s="108">
        <f>$F$3/$F$5</f>
        <v>0.4195402299</v>
      </c>
      <c r="I3" s="144" t="s">
        <v>93</v>
      </c>
      <c r="J3" s="107">
        <f>COUNTIF('Ações'!$BR:$BR,"Sim")</f>
        <v>99</v>
      </c>
      <c r="K3" s="108">
        <f>$J$3/$J$5</f>
        <v>0.1422413793</v>
      </c>
      <c r="M3" s="144" t="s">
        <v>93</v>
      </c>
      <c r="N3" s="107">
        <f>COUNTIF('Ações'!$BS:$BS,"Sim")</f>
        <v>134</v>
      </c>
      <c r="O3" s="108">
        <f>$N$3/$N$5</f>
        <v>0.1925287356</v>
      </c>
      <c r="Q3" s="144" t="s">
        <v>93</v>
      </c>
      <c r="R3" s="107">
        <f>COUNTIF('Ações'!$BT:$BT,"Sim")</f>
        <v>321</v>
      </c>
      <c r="S3" s="108">
        <f>$R$3/$R$5</f>
        <v>0.4612068966</v>
      </c>
      <c r="U3" s="144" t="s">
        <v>93</v>
      </c>
      <c r="V3" s="107">
        <f>COUNTIF('Ações'!$BU:$BU,"Sim")</f>
        <v>57</v>
      </c>
      <c r="W3" s="108">
        <f>$V$3/$V$5</f>
        <v>0.08189655172</v>
      </c>
      <c r="Y3" s="144" t="s">
        <v>93</v>
      </c>
      <c r="Z3" s="107">
        <f>COUNTIF('Ações'!$BV:$BV,"Sim")</f>
        <v>138</v>
      </c>
      <c r="AA3" s="108">
        <f>$Z$3/$Z$5</f>
        <v>0.1982758621</v>
      </c>
      <c r="AC3" s="144" t="s">
        <v>93</v>
      </c>
      <c r="AD3" s="107">
        <f>COUNTIF('Ações'!$BW:$BW,"Sim")</f>
        <v>24</v>
      </c>
      <c r="AE3" s="108">
        <f>$AD$3/$AD$5</f>
        <v>0.03448275862</v>
      </c>
      <c r="AG3" s="144" t="s">
        <v>93</v>
      </c>
      <c r="AH3" s="107">
        <f>COUNTIF('Ações'!$BX:$BX,"Sim")</f>
        <v>38</v>
      </c>
      <c r="AI3" s="108">
        <f>$AH$3/$AH$5</f>
        <v>0.05459770115</v>
      </c>
      <c r="AK3" s="144" t="s">
        <v>93</v>
      </c>
      <c r="AL3" s="107">
        <f>COUNTIF('Ações'!$BY:$BY,"Sim")</f>
        <v>46</v>
      </c>
      <c r="AM3" s="108">
        <f>$AL$3/$AL$5</f>
        <v>0.06609195402</v>
      </c>
      <c r="AO3" s="144" t="s">
        <v>93</v>
      </c>
      <c r="AP3" s="107">
        <f>COUNTIF('Ações'!$BZ:$BZ,"Sim")</f>
        <v>196</v>
      </c>
      <c r="AQ3" s="108">
        <f>$AP$3/$AP$5</f>
        <v>0.2816091954</v>
      </c>
      <c r="AS3" s="144" t="s">
        <v>93</v>
      </c>
      <c r="AT3" s="107">
        <f>COUNTIF('Ações'!$CA:$CA,"Sim")</f>
        <v>30</v>
      </c>
      <c r="AU3" s="108">
        <f>$AT$3/$AT$5</f>
        <v>0.04310344828</v>
      </c>
    </row>
    <row r="4">
      <c r="A4" s="3" t="s">
        <v>3454</v>
      </c>
      <c r="B4" s="107">
        <f>COUNTIF('Ações'!$BQ:$BQ,"Sim")</f>
        <v>292</v>
      </c>
      <c r="C4" s="108">
        <f>$F$3/$F$5</f>
        <v>0.4195402299</v>
      </c>
      <c r="E4" s="144" t="s">
        <v>92</v>
      </c>
      <c r="F4" s="107">
        <f>COUNTIF('Ações'!$BQ:$BQ,"Não")</f>
        <v>404</v>
      </c>
      <c r="G4" s="108">
        <f>$F$4/$F$5</f>
        <v>0.5804597701</v>
      </c>
      <c r="I4" s="144" t="s">
        <v>92</v>
      </c>
      <c r="J4" s="107">
        <f>COUNTIF('Ações'!$BR:$BR,"Não")</f>
        <v>597</v>
      </c>
      <c r="K4" s="108">
        <f>$J$4/$J$5</f>
        <v>0.8577586207</v>
      </c>
      <c r="M4" s="144" t="s">
        <v>92</v>
      </c>
      <c r="N4" s="107">
        <f>COUNTIF('Ações'!$BS:$BS,"Não")</f>
        <v>562</v>
      </c>
      <c r="O4" s="108">
        <f>$N$4/$N$5</f>
        <v>0.8074712644</v>
      </c>
      <c r="Q4" s="144" t="s">
        <v>92</v>
      </c>
      <c r="R4" s="107">
        <f>COUNTIF('Ações'!$BT:$BT,"Não")</f>
        <v>375</v>
      </c>
      <c r="S4" s="108">
        <f>$R$4/$R$5</f>
        <v>0.5387931034</v>
      </c>
      <c r="U4" s="144" t="s">
        <v>92</v>
      </c>
      <c r="V4" s="107">
        <f>COUNTIF('Ações'!$BU:$BU,"Não")</f>
        <v>639</v>
      </c>
      <c r="W4" s="108">
        <f>$V$4/$V$5</f>
        <v>0.9181034483</v>
      </c>
      <c r="Y4" s="144" t="s">
        <v>92</v>
      </c>
      <c r="Z4" s="107">
        <f>COUNTIF('Ações'!$BV:$BV,"Não")</f>
        <v>558</v>
      </c>
      <c r="AA4" s="108">
        <f>$Z$4/$Z$5</f>
        <v>0.8017241379</v>
      </c>
      <c r="AC4" s="144" t="s">
        <v>92</v>
      </c>
      <c r="AD4" s="107">
        <f>COUNTIF('Ações'!$BW:$BW,"Não")</f>
        <v>672</v>
      </c>
      <c r="AE4" s="108">
        <f>$AD$4/$AD$5</f>
        <v>0.9655172414</v>
      </c>
      <c r="AG4" s="144" t="s">
        <v>92</v>
      </c>
      <c r="AH4" s="107">
        <f>COUNTIF('Ações'!$BX:$BX,"Não")</f>
        <v>658</v>
      </c>
      <c r="AI4" s="108">
        <f>$AH$4/$AH$5</f>
        <v>0.9454022989</v>
      </c>
      <c r="AK4" s="144" t="s">
        <v>92</v>
      </c>
      <c r="AL4" s="107">
        <f>COUNTIF('Ações'!$BY:$BY,"Não")</f>
        <v>650</v>
      </c>
      <c r="AM4" s="108">
        <f>$AL$4/$AL$5</f>
        <v>0.933908046</v>
      </c>
      <c r="AO4" s="144" t="s">
        <v>92</v>
      </c>
      <c r="AP4" s="107">
        <f>COUNTIF('Ações'!$BZ:$BZ,"Não")</f>
        <v>500</v>
      </c>
      <c r="AQ4" s="108">
        <f>$AP$4/$AP$5</f>
        <v>0.7183908046</v>
      </c>
      <c r="AS4" s="144" t="s">
        <v>92</v>
      </c>
      <c r="AT4" s="107">
        <f>COUNTIF('Ações'!$CA:$CA,"Não")</f>
        <v>666</v>
      </c>
      <c r="AU4" s="108">
        <f>$AT$4/$AT$5</f>
        <v>0.9568965517</v>
      </c>
    </row>
    <row r="5">
      <c r="A5" s="3" t="s">
        <v>3463</v>
      </c>
      <c r="B5" s="107">
        <f>COUNTIF('Ações'!$BZ:$BZ,"Sim")</f>
        <v>196</v>
      </c>
      <c r="C5" s="108">
        <f>$AP$3/$AP$5</f>
        <v>0.2816091954</v>
      </c>
      <c r="E5" s="144" t="s">
        <v>3257</v>
      </c>
      <c r="F5" s="107">
        <f t="shared" ref="F5:G5" si="1">SUM(F3:F4)</f>
        <v>696</v>
      </c>
      <c r="G5" s="108">
        <f t="shared" si="1"/>
        <v>1</v>
      </c>
      <c r="I5" s="144" t="s">
        <v>3257</v>
      </c>
      <c r="J5" s="107">
        <f t="shared" ref="J5:K5" si="2">SUM(J3:J4)</f>
        <v>696</v>
      </c>
      <c r="K5" s="108">
        <f t="shared" si="2"/>
        <v>1</v>
      </c>
      <c r="M5" s="144" t="s">
        <v>3257</v>
      </c>
      <c r="N5" s="107">
        <f t="shared" ref="N5:O5" si="3">SUM(N3:N4)</f>
        <v>696</v>
      </c>
      <c r="O5" s="108">
        <f t="shared" si="3"/>
        <v>1</v>
      </c>
      <c r="Q5" s="144" t="s">
        <v>3257</v>
      </c>
      <c r="R5" s="107">
        <f t="shared" ref="R5:S5" si="4">SUM(R3:R4)</f>
        <v>696</v>
      </c>
      <c r="S5" s="108">
        <f t="shared" si="4"/>
        <v>1</v>
      </c>
      <c r="U5" s="144" t="s">
        <v>3257</v>
      </c>
      <c r="V5" s="107">
        <f t="shared" ref="V5:W5" si="5">SUM(V3:V4)</f>
        <v>696</v>
      </c>
      <c r="W5" s="108">
        <f t="shared" si="5"/>
        <v>1</v>
      </c>
      <c r="Y5" s="144" t="s">
        <v>3257</v>
      </c>
      <c r="Z5" s="107">
        <f t="shared" ref="Z5:AA5" si="6">SUM(Z3:Z4)</f>
        <v>696</v>
      </c>
      <c r="AA5" s="108">
        <f t="shared" si="6"/>
        <v>1</v>
      </c>
      <c r="AC5" s="144" t="s">
        <v>3257</v>
      </c>
      <c r="AD5" s="107">
        <f t="shared" ref="AD5:AE5" si="7">SUM(AD3:AD4)</f>
        <v>696</v>
      </c>
      <c r="AE5" s="108">
        <f t="shared" si="7"/>
        <v>1</v>
      </c>
      <c r="AG5" s="144" t="s">
        <v>3257</v>
      </c>
      <c r="AH5" s="107">
        <f t="shared" ref="AH5:AI5" si="8">SUM(AH3:AH4)</f>
        <v>696</v>
      </c>
      <c r="AI5" s="108">
        <f t="shared" si="8"/>
        <v>1</v>
      </c>
      <c r="AK5" s="144" t="s">
        <v>3257</v>
      </c>
      <c r="AL5" s="107">
        <f t="shared" ref="AL5:AM5" si="9">SUM(AL3:AL4)</f>
        <v>696</v>
      </c>
      <c r="AM5" s="108">
        <f t="shared" si="9"/>
        <v>1</v>
      </c>
      <c r="AO5" s="144" t="s">
        <v>3257</v>
      </c>
      <c r="AP5" s="107">
        <f t="shared" ref="AP5:AQ5" si="10">SUM(AP3:AP4)</f>
        <v>696</v>
      </c>
      <c r="AQ5" s="108">
        <f t="shared" si="10"/>
        <v>1</v>
      </c>
      <c r="AS5" s="144" t="s">
        <v>3257</v>
      </c>
      <c r="AT5" s="107">
        <f t="shared" ref="AT5:AU5" si="11">SUM(AT3:AT4)</f>
        <v>696</v>
      </c>
      <c r="AU5" s="108">
        <f t="shared" si="11"/>
        <v>1</v>
      </c>
    </row>
    <row r="6">
      <c r="A6" s="3" t="s">
        <v>3459</v>
      </c>
      <c r="B6" s="107">
        <f>COUNTIF('Ações'!$BV:$BV,"Sim")</f>
        <v>138</v>
      </c>
      <c r="C6" s="108">
        <f>$Z$3/$Z$5</f>
        <v>0.1982758621</v>
      </c>
    </row>
    <row r="7">
      <c r="A7" s="3" t="s">
        <v>3456</v>
      </c>
      <c r="B7" s="107">
        <f>COUNTIF('Ações'!$BS:$BS,"Sim")</f>
        <v>134</v>
      </c>
      <c r="C7" s="108">
        <f>$N$3/$N$5</f>
        <v>0.1925287356</v>
      </c>
    </row>
    <row r="8">
      <c r="A8" s="3" t="s">
        <v>3455</v>
      </c>
      <c r="B8" s="107">
        <f>COUNTIF('Ações'!$BR:$BR,"Sim")</f>
        <v>99</v>
      </c>
      <c r="C8" s="108">
        <f>$J$3/$J$5</f>
        <v>0.1422413793</v>
      </c>
    </row>
    <row r="9">
      <c r="A9" s="3" t="s">
        <v>3458</v>
      </c>
      <c r="B9" s="107">
        <f>COUNTIF('Ações'!$BU:$BU,"Sim")</f>
        <v>57</v>
      </c>
      <c r="C9" s="108">
        <f>$V$3/$V$5</f>
        <v>0.08189655172</v>
      </c>
    </row>
    <row r="10">
      <c r="A10" s="3" t="s">
        <v>3462</v>
      </c>
      <c r="B10" s="107">
        <f>COUNTIF('Ações'!$BY:$BY,"Sim")</f>
        <v>46</v>
      </c>
      <c r="C10" s="108">
        <f>$AL$3/$AL$5</f>
        <v>0.06609195402</v>
      </c>
    </row>
    <row r="11">
      <c r="A11" s="3" t="s">
        <v>3461</v>
      </c>
      <c r="B11" s="107">
        <f>COUNTIF('Ações'!$BX:$BX,"Sim")</f>
        <v>38</v>
      </c>
      <c r="C11" s="108">
        <f>$AH$3/$AH$5</f>
        <v>0.05459770115</v>
      </c>
    </row>
    <row r="12">
      <c r="A12" s="3" t="s">
        <v>3464</v>
      </c>
      <c r="B12" s="107">
        <f>COUNTIF('Ações'!$CA:$CA,"Sim")</f>
        <v>30</v>
      </c>
      <c r="C12" s="108">
        <f>$AT$3/$AT$5</f>
        <v>0.04310344828</v>
      </c>
    </row>
    <row r="13">
      <c r="A13" s="3" t="s">
        <v>3460</v>
      </c>
      <c r="B13" s="107">
        <f>COUNTIF('Ações'!$BW:$BW,"Sim")</f>
        <v>24</v>
      </c>
      <c r="C13" s="108">
        <f>$AD$3/$AD$5</f>
        <v>0.03448275862</v>
      </c>
    </row>
    <row r="15">
      <c r="A15" s="112" t="s">
        <v>3465</v>
      </c>
    </row>
    <row r="16">
      <c r="A16" s="177" t="s">
        <v>3453</v>
      </c>
      <c r="B16" s="126" t="s">
        <v>3254</v>
      </c>
      <c r="C16" s="126" t="s">
        <v>3255</v>
      </c>
    </row>
    <row r="17">
      <c r="A17" s="3" t="s">
        <v>3457</v>
      </c>
      <c r="B17" s="178">
        <v>311.0</v>
      </c>
      <c r="C17" s="179">
        <f t="shared" ref="C17:C27" si="12">B17/681</f>
        <v>0.456681351</v>
      </c>
    </row>
    <row r="18">
      <c r="A18" s="3" t="s">
        <v>3454</v>
      </c>
      <c r="B18" s="178">
        <v>289.0</v>
      </c>
      <c r="C18" s="179">
        <f t="shared" si="12"/>
        <v>0.4243759178</v>
      </c>
    </row>
    <row r="19">
      <c r="A19" s="3" t="s">
        <v>3463</v>
      </c>
      <c r="B19" s="178">
        <v>189.0</v>
      </c>
      <c r="C19" s="179">
        <f t="shared" si="12"/>
        <v>0.2775330396</v>
      </c>
    </row>
    <row r="20">
      <c r="A20" s="3" t="s">
        <v>3459</v>
      </c>
      <c r="B20" s="178">
        <v>133.0</v>
      </c>
      <c r="C20" s="179">
        <f t="shared" si="12"/>
        <v>0.1953010279</v>
      </c>
    </row>
    <row r="21">
      <c r="A21" s="3" t="s">
        <v>3456</v>
      </c>
      <c r="B21" s="178">
        <v>132.0</v>
      </c>
      <c r="C21" s="179">
        <f t="shared" si="12"/>
        <v>0.1938325991</v>
      </c>
    </row>
    <row r="22">
      <c r="A22" s="3" t="s">
        <v>3455</v>
      </c>
      <c r="B22" s="178">
        <v>99.0</v>
      </c>
      <c r="C22" s="179">
        <f t="shared" si="12"/>
        <v>0.1453744493</v>
      </c>
    </row>
    <row r="23">
      <c r="A23" s="3" t="s">
        <v>3458</v>
      </c>
      <c r="B23" s="178">
        <v>57.0</v>
      </c>
      <c r="C23" s="179">
        <f t="shared" si="12"/>
        <v>0.08370044053</v>
      </c>
    </row>
    <row r="24">
      <c r="A24" s="3" t="s">
        <v>3462</v>
      </c>
      <c r="B24" s="178">
        <v>44.0</v>
      </c>
      <c r="C24" s="179">
        <f t="shared" si="12"/>
        <v>0.06461086637</v>
      </c>
    </row>
    <row r="25">
      <c r="A25" s="3" t="s">
        <v>3461</v>
      </c>
      <c r="B25" s="178">
        <v>38.0</v>
      </c>
      <c r="C25" s="179">
        <f t="shared" si="12"/>
        <v>0.05580029369</v>
      </c>
    </row>
    <row r="26">
      <c r="A26" s="3" t="s">
        <v>3464</v>
      </c>
      <c r="B26" s="178">
        <v>30.0</v>
      </c>
      <c r="C26" s="179">
        <f t="shared" si="12"/>
        <v>0.04405286344</v>
      </c>
    </row>
    <row r="27">
      <c r="A27" s="3" t="s">
        <v>3460</v>
      </c>
      <c r="B27" s="178">
        <v>24.0</v>
      </c>
      <c r="C27" s="179">
        <f t="shared" si="12"/>
        <v>0.03524229075</v>
      </c>
    </row>
  </sheetData>
  <autoFilter ref="$A$2:$C$13">
    <sortState ref="A2:C13">
      <sortCondition descending="1" ref="B2:B13"/>
    </sortState>
  </autoFilter>
  <mergeCells count="1">
    <mergeCell ref="A15:C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7.75"/>
    <col customWidth="1" min="15" max="15" width="18.13"/>
    <col customWidth="1" min="21" max="21" width="50.38"/>
    <col customWidth="1" min="27" max="27" width="22.25"/>
  </cols>
  <sheetData>
    <row r="3">
      <c r="A3" s="2" t="s">
        <v>3334</v>
      </c>
      <c r="B3" s="126" t="s">
        <v>3254</v>
      </c>
      <c r="C3" s="126" t="s">
        <v>3466</v>
      </c>
      <c r="D3" s="126" t="s">
        <v>3467</v>
      </c>
      <c r="E3" s="126" t="s">
        <v>3468</v>
      </c>
      <c r="O3" s="2" t="s">
        <v>3403</v>
      </c>
      <c r="P3" s="126" t="s">
        <v>3254</v>
      </c>
      <c r="Q3" s="126" t="s">
        <v>3466</v>
      </c>
      <c r="R3" s="126" t="s">
        <v>3467</v>
      </c>
      <c r="S3" s="126" t="s">
        <v>3468</v>
      </c>
      <c r="U3" s="125" t="s">
        <v>3384</v>
      </c>
      <c r="V3" s="126" t="s">
        <v>3254</v>
      </c>
      <c r="W3" s="126" t="s">
        <v>3466</v>
      </c>
      <c r="X3" s="126" t="s">
        <v>3467</v>
      </c>
      <c r="Y3" s="126" t="s">
        <v>3468</v>
      </c>
      <c r="AA3" s="117" t="s">
        <v>3317</v>
      </c>
      <c r="AB3" s="180" t="s">
        <v>3255</v>
      </c>
      <c r="AC3" s="117" t="s">
        <v>3254</v>
      </c>
      <c r="AD3" s="126" t="s">
        <v>3466</v>
      </c>
      <c r="AE3" s="126" t="s">
        <v>3467</v>
      </c>
      <c r="AF3" s="126" t="s">
        <v>3468</v>
      </c>
      <c r="AG3" s="181"/>
    </row>
    <row r="4">
      <c r="A4" s="135" t="s">
        <v>3346</v>
      </c>
      <c r="B4" s="107">
        <f t="shared" ref="B4:B5" si="1">SUM(C4:D4)</f>
        <v>168</v>
      </c>
      <c r="C4" s="107">
        <f>COUNTIFs('Ações'!$U:$U,"Sim", 'Ações'!$AL:$AL,"Não")</f>
        <v>140</v>
      </c>
      <c r="D4" s="107">
        <f>COUNTIFs('Ações'!$U:$U,"Sim", 'Ações'!$AL:$AL,"s/i")</f>
        <v>28</v>
      </c>
      <c r="E4" s="107">
        <f>SUM(COUNTIFS('Ações'!$U:$U,"Sim",'Ações'!$AL:$AL,"Não"), COUNTIFS('Ações'!$U:$U,"Sim",'Ações'!$AL:$AL,"s/i"))</f>
        <v>168</v>
      </c>
      <c r="O4" s="3" t="s">
        <v>3469</v>
      </c>
      <c r="P4" s="107">
        <f t="shared" ref="P4:P9" si="2">sum(Q4:R4)</f>
        <v>210</v>
      </c>
      <c r="Q4" s="107">
        <f>COUNTIFS('Ações'!$BI:$BI,"Sim",'Ações'!$AL:$AL,"Não")</f>
        <v>175</v>
      </c>
      <c r="R4" s="107">
        <f>COUNTIFS('Ações'!$BI:$BI,"Sim",'Ações'!$AL:$AL,"s/i")</f>
        <v>35</v>
      </c>
      <c r="S4" s="107">
        <f>SUM(COUNTIFS('Ações'!$BI:$BI,"Sim",'Ações'!$AL:$AL,"Não"),COUNTIFS('Ações'!$BI:$BI,"Sim",'Ações'!$AL:$AL,"s/i"))</f>
        <v>210</v>
      </c>
      <c r="U4" s="142" t="s">
        <v>94</v>
      </c>
      <c r="V4" s="107">
        <f t="shared" ref="V4:V10" si="3">sum(W4:X4)</f>
        <v>152</v>
      </c>
      <c r="W4" s="107">
        <f>COUNTIFS('Ações'!$AE:$AE,"Doação de alimentos",'Ações'!$AL:$AL,"Não")</f>
        <v>127</v>
      </c>
      <c r="X4" s="107">
        <f>COUNTIFS('Ações'!$AE:$AE,"Doação de alimentos",'Ações'!$AL:$AL,"s/i")</f>
        <v>25</v>
      </c>
      <c r="Y4" s="107">
        <f>SUM(COUNTIFS('Ações'!$AE:$AE,"Doação de alimentos",'Ações'!$AL:$AL,"Não"),COUNTIFS('Ações'!$AE:$AE,"Doação de alimentos",'Ações'!$AL:$AL,"s/i"))</f>
        <v>152</v>
      </c>
      <c r="AA4" s="118" t="s">
        <v>90</v>
      </c>
      <c r="AB4" s="182" t="s">
        <v>3470</v>
      </c>
      <c r="AC4" s="183">
        <f t="shared" ref="AC4:AC8" si="4">sum(AD4:AE4)</f>
        <v>234</v>
      </c>
      <c r="AD4" s="120">
        <f>COUNTIFS('Ações'!$H:$H, "Projeto",'Ações'!$AL:$AL,"Não")</f>
        <v>195</v>
      </c>
      <c r="AE4" s="120">
        <f>COUNTIFS('Ações'!$H:$H, "Projeto",'Ações'!$AL:$AL,"s/i")</f>
        <v>39</v>
      </c>
      <c r="AF4" s="120">
        <f>SUM(COUNTIFS('Ações'!$H:$H, "Projeto",'Ações'!$AL:$AL,"Não"),COUNTIFS('Ações'!$H:$H, "Projeto",'Ações'!$AL:$AL,"s/i"))</f>
        <v>234</v>
      </c>
      <c r="AG4" s="184"/>
    </row>
    <row r="5">
      <c r="A5" s="135" t="s">
        <v>3351</v>
      </c>
      <c r="B5" s="107">
        <f t="shared" si="1"/>
        <v>110</v>
      </c>
      <c r="C5" s="107">
        <f>COUNTIFS('Ações'!$Z:$Z,"Sim", 'Ações'!$AL:$AL,"Não")</f>
        <v>92</v>
      </c>
      <c r="D5" s="107">
        <f>COUNTIFS('Ações'!$Z:$Z,"Sim", 'Ações'!$AL:$AL,"s/i")</f>
        <v>18</v>
      </c>
      <c r="E5" s="107">
        <f>SUM(COUNTIFS('Ações'!$Z:$Z,"Sim",'Ações'!$AL:$AL,"Não"), COUNTIFS('Ações'!$Z:$Z,"Sim",'Ações'!$AL:$AL,"s/i"))</f>
        <v>110</v>
      </c>
      <c r="O5" s="3" t="s">
        <v>287</v>
      </c>
      <c r="P5" s="107">
        <f t="shared" si="2"/>
        <v>111</v>
      </c>
      <c r="Q5" s="107">
        <f>COUNTIFS('Ações'!$BD:$BD,"Sim",'Ações'!$AL:$AL,"Não")</f>
        <v>95</v>
      </c>
      <c r="R5" s="107">
        <f>COUNTIFS('Ações'!$BD:$BD,"Sim",'Ações'!$AL:$AL,"s/i")</f>
        <v>16</v>
      </c>
      <c r="S5" s="107">
        <f>SUM(COUNTIFS('Ações'!$BD:$BD,"Sim",'Ações'!$AL:$AL,"Não"),COUNTIFS('Ações'!$BD:$BD,"Sim",'Ações'!$AL:$AL,"s/i"))</f>
        <v>111</v>
      </c>
      <c r="U5" s="142" t="s">
        <v>112</v>
      </c>
      <c r="V5" s="107">
        <f t="shared" si="3"/>
        <v>77</v>
      </c>
      <c r="W5" s="107">
        <f>COUNTIFS('Ações'!$AE:$AE,"Produção/disseminação/implementação de práticas sustentáveis",'Ações'!$AL:$AL,"Não")</f>
        <v>65</v>
      </c>
      <c r="X5" s="107">
        <f>COUNTIFS('Ações'!$AE:$AE,"Produção/disseminação/implementação de práticas sustentáveis",'Ações'!$AL:$AL,"s/i")</f>
        <v>12</v>
      </c>
      <c r="Y5" s="107">
        <f>SUM(COUNTIFS('Ações'!$AE:$AE,"Produção/disseminação/implementação de práticas sustentáveis",'Ações'!$AL:$AL,"Não"),COUNTIFS('Ações'!$AE:$AE,"Produção/disseminação/implementação de práticas sustentáveis",'Ações'!$AL:$AL,"s/i"))</f>
        <v>77</v>
      </c>
      <c r="AA5" s="118" t="s">
        <v>110</v>
      </c>
      <c r="AB5" s="182" t="s">
        <v>3471</v>
      </c>
      <c r="AC5" s="183">
        <f t="shared" si="4"/>
        <v>43</v>
      </c>
      <c r="AD5" s="120">
        <f>COUNTIFS('Ações'!$H:$H, "Programa",'Ações'!$AL:$AL,"Não")</f>
        <v>38</v>
      </c>
      <c r="AE5" s="120">
        <f>COUNTIFS('Ações'!$H:$H, "Programa",'Ações'!$AL:$AL,"s/i")</f>
        <v>5</v>
      </c>
      <c r="AF5" s="120">
        <f>SUM(COUNTIFS('Ações'!$H:$H, "Programa",'Ações'!$AL:$AL,"Não"),COUNTIFS('Ações'!$H:$H, "Programa",'Ações'!$AL:$AL,"s/i"))</f>
        <v>43</v>
      </c>
      <c r="AG5" s="184"/>
    </row>
    <row r="6">
      <c r="A6" s="134" t="s">
        <v>3344</v>
      </c>
      <c r="B6" s="107">
        <f>sum(C6:D6)</f>
        <v>73</v>
      </c>
      <c r="C6" s="107">
        <f>COUNTIFS('Ações'!$S:$S,"Sim",'Ações'!$AL:$AL,"Não")</f>
        <v>63</v>
      </c>
      <c r="D6" s="107">
        <f>COUNTIFS('Ações'!$S:$S,"Sim",'Ações'!$AL:$AL,"s/i")</f>
        <v>10</v>
      </c>
      <c r="E6" s="107">
        <f>SUM(COUNTIFS('Ações'!$S:$S,"Sim",'Ações'!$AL:$AL,"Não"), COUNTIFS('Ações'!$S:$S,"Sim",'Ações'!$AL:$AL,"s/i"))</f>
        <v>73</v>
      </c>
      <c r="O6" s="3" t="s">
        <v>3411</v>
      </c>
      <c r="P6" s="107">
        <f t="shared" si="2"/>
        <v>11</v>
      </c>
      <c r="Q6" s="107">
        <f>COUNTIFS('Ações'!$BG:$BG,"Sim",'Ações'!$AL:$AL,"Não")</f>
        <v>7</v>
      </c>
      <c r="R6" s="107">
        <f>COUNTIFS('Ações'!$BG:$BG,"Sim",'Ações'!$AL:$AL,"s/i")</f>
        <v>4</v>
      </c>
      <c r="S6" s="107">
        <f>SUM(COUNTIFS('Ações'!$BG:$BG,"Sim",'Ações'!$AL:$AL,"Não"),COUNTIFS('Ações'!$BG:$BG,"Sim",'Ações'!$AL:$AL,"s/i"))</f>
        <v>11</v>
      </c>
      <c r="U6" s="142" t="s">
        <v>148</v>
      </c>
      <c r="V6" s="107">
        <f t="shared" si="3"/>
        <v>46</v>
      </c>
      <c r="W6" s="107">
        <f>COUNTIFS('Ações'!$AE:$AE,"Doação de recursos",'Ações'!$AL:$AL,"Não")</f>
        <v>35</v>
      </c>
      <c r="X6" s="107">
        <f>COUNTIFS('Ações'!$AE:$AE,"Doação de recursos",'Ações'!$AL:$AL,"s/i")</f>
        <v>11</v>
      </c>
      <c r="Y6" s="107">
        <f>SUM(COUNTIFS('Ações'!$AE:$AE,"Doação de recursos",'Ações'!$AL:$AL,"Não"),COUNTIFS('Ações'!$AE:$AE,"Doação de recursos",'Ações'!$AL:$AL,"s/i"))</f>
        <v>46</v>
      </c>
      <c r="AA6" s="118" t="s">
        <v>189</v>
      </c>
      <c r="AB6" s="182" t="s">
        <v>3472</v>
      </c>
      <c r="AC6" s="183">
        <f t="shared" si="4"/>
        <v>39</v>
      </c>
      <c r="AD6" s="120">
        <f>COUNTIFS('Ações'!$H:$H, "Campanha",'Ações'!$AL:$AL,"Não")</f>
        <v>32</v>
      </c>
      <c r="AE6" s="120">
        <f>COUNTIFS('Ações'!$H:$H, "Campanha",'Ações'!$AL:$AL,"s/i")</f>
        <v>7</v>
      </c>
      <c r="AF6" s="120">
        <f>SUM(COUNTIFS('Ações'!$H:$H, "Campanha",'Ações'!$AL:$AL,"Não"),COUNTIFS('Ações'!$H:$H, "Campanha",'Ações'!$AL:$AL,"s/i"))</f>
        <v>39</v>
      </c>
      <c r="AG6" s="184"/>
    </row>
    <row r="7">
      <c r="A7" s="135" t="s">
        <v>3345</v>
      </c>
      <c r="B7" s="107">
        <f t="shared" ref="B7:B12" si="5">SUM(C7:D7)</f>
        <v>52</v>
      </c>
      <c r="C7" s="107">
        <f>COUNTIFS('Ações'!$T:$T,"Sim",'Ações'!$AL:$AL,"Não")</f>
        <v>42</v>
      </c>
      <c r="D7" s="107">
        <f>COUNTIFS('Ações'!$T:$T,"Sim",'Ações'!$AL:$AL,"s/i")</f>
        <v>10</v>
      </c>
      <c r="E7" s="107">
        <f>SUM(COUNTIFS('Ações'!$T:$T,"Sim",'Ações'!$AL:$AL,"Não"), COUNTIFS('Ações'!$T:$T,"Sim",'Ações'!$AL:$AL,"s/i"))</f>
        <v>52</v>
      </c>
      <c r="O7" s="3" t="s">
        <v>3412</v>
      </c>
      <c r="P7" s="107">
        <f t="shared" si="2"/>
        <v>8</v>
      </c>
      <c r="Q7" s="107">
        <f>COUNTIFS('Ações'!$BE:$BE,"Sim",'Ações'!$AL:$AL,"Não")</f>
        <v>6</v>
      </c>
      <c r="R7" s="107">
        <f>COUNTIFS('Ações'!$BE:$BE,"Sim",'Ações'!$AL:$AL,"s/i")</f>
        <v>2</v>
      </c>
      <c r="S7" s="107">
        <f>SUM(COUNTIFS('Ações'!$BE:$BE,"Sim",'Ações'!$AL:$AL,"Não"),COUNTIFS('Ações'!$BE:$BE,"Sim",'Ações'!$AL:$AL,"s/i"))</f>
        <v>8</v>
      </c>
      <c r="U7" s="142" t="s">
        <v>3202</v>
      </c>
      <c r="V7" s="107">
        <f t="shared" si="3"/>
        <v>0</v>
      </c>
      <c r="W7" s="107">
        <f>COUNTIFS('Ações'!$AE:$AE,"Produção e/ou disseminação de conhecimento",'Ações'!$AL:$AL,"Não")</f>
        <v>0</v>
      </c>
      <c r="X7" s="107">
        <f>COUNTIFS('Ações'!$AE:$AE,"Produção e/ou disseminação de conhecimento",'Ações'!$AL:$AL,"s/i")</f>
        <v>0</v>
      </c>
      <c r="Y7" s="107">
        <f>SUM(COUNTIFS('Ações'!$AE:$AE,"Produção e/ou disseminação de conhecimento",'Ações'!$AL:$AL,"Não"),COUNTIFS('Ações'!$AE:$AE,"Produção e/ou disseminação de conhecimento",'Ações'!$AL:$AL,"s/i"))</f>
        <v>0</v>
      </c>
      <c r="AA7" s="121" t="s">
        <v>3176</v>
      </c>
      <c r="AB7" s="182" t="s">
        <v>3473</v>
      </c>
      <c r="AC7" s="183">
        <f t="shared" si="4"/>
        <v>0</v>
      </c>
      <c r="AD7" s="120">
        <f>COUNTIFS('Ações'!$H:$H, "Apoio institucional",'Ações'!$AL:$AL,"Não")</f>
        <v>0</v>
      </c>
      <c r="AE7" s="120">
        <f>COUNTIFS('Ações'!$H:$H, "Apoio institucional",'Ações'!$AL:$AL,"s/i")</f>
        <v>0</v>
      </c>
      <c r="AF7" s="120">
        <f>SUM(COUNTIFS('Ações'!$H:$H, "Apoio institucional",'Ações'!$AL:$AL,"Não"),COUNTIFS('Ações'!$H:$H, "Apoio institucional",'Ações'!$AL:$AL,"s/i"))</f>
        <v>0</v>
      </c>
      <c r="AG7" s="184"/>
    </row>
    <row r="8">
      <c r="A8" s="135" t="s">
        <v>3350</v>
      </c>
      <c r="B8" s="107">
        <f t="shared" si="5"/>
        <v>19</v>
      </c>
      <c r="C8" s="107">
        <f>COUNTIFS('Ações'!$Y:$Y,"Sim", 'Ações'!$AL:$AL,"Não")</f>
        <v>15</v>
      </c>
      <c r="D8" s="107">
        <f>COUNTIFS('Ações'!$Y:$Y,"Sim", 'Ações'!$AL:$AL,"s/i")</f>
        <v>4</v>
      </c>
      <c r="E8" s="107">
        <f>SUM(COUNTIFS('Ações'!$Y:$Y,"Sim",'Ações'!$AL:$AL,"Não"), COUNTIFS('Ações'!$Y:$Y,"Sim",'Ações'!$AL:$AL,"s/i"))</f>
        <v>19</v>
      </c>
      <c r="O8" s="3" t="s">
        <v>3474</v>
      </c>
      <c r="P8" s="107">
        <f t="shared" si="2"/>
        <v>5</v>
      </c>
      <c r="Q8" s="107">
        <f>COUNTIFS('Ações'!$BH:$BH,"Sim",'Ações'!$AL:$AL,"Não")</f>
        <v>4</v>
      </c>
      <c r="R8" s="107">
        <f>COUNTIFS('Ações'!$BH:$BH,"Sim",'Ações'!$AL:$AL,"s/i")</f>
        <v>1</v>
      </c>
      <c r="S8" s="107">
        <f>SUM(COUNTIFS('Ações'!$BH:$BH,"Sim",'Ações'!$AL:$AL,"Não"),COUNTIFS('Ações'!$BH:$BH,"Sim",'Ações'!$AL:$AL,"s/i"))</f>
        <v>5</v>
      </c>
      <c r="U8" s="144" t="s">
        <v>1135</v>
      </c>
      <c r="V8" s="107">
        <f t="shared" si="3"/>
        <v>6</v>
      </c>
      <c r="W8" s="107">
        <f>COUNTIFS('Ações'!$AE:$AE,"Conexão entre atores",'Ações'!$AL:$AL,"Não")</f>
        <v>6</v>
      </c>
      <c r="X8" s="107">
        <f>COUNTIFS('Ações'!$AE:$AE,"Conexão entre atores",'Ações'!$AL:$AL,"s/i")</f>
        <v>0</v>
      </c>
      <c r="Y8" s="107">
        <f>SUM(COUNTIFS('Ações'!$AE:$AE,"Conexão entre atores",'Ações'!$AL:$AL,"Não"),COUNTIFS('Ações'!$AE:$AE,"Conexão entre atores",'Ações'!$AL:$AL,"s/i"))</f>
        <v>6</v>
      </c>
      <c r="AA8" s="118" t="s">
        <v>709</v>
      </c>
      <c r="AB8" s="182">
        <v>0.0</v>
      </c>
      <c r="AC8" s="183">
        <f t="shared" si="4"/>
        <v>0</v>
      </c>
      <c r="AD8" s="120">
        <f>COUNTIFS('Ações'!$H:$H, "Articulação Multissetorial",'Ações'!$AL:$AL,"Não")</f>
        <v>0</v>
      </c>
      <c r="AE8" s="120">
        <f>COUNTIFS('Ações'!$H:$H, "Articulação Multissetorial",'Ações'!$AL:$AL,"s/i")</f>
        <v>0</v>
      </c>
      <c r="AF8" s="120">
        <f>SUM(COUNTIFS('Ações'!$H:$H, "Articulação Multissetorial",'Ações'!$AL:$AL,"Não"),COUNTIFS('Ações'!$H:$H, "Articulação Multissetorial",'Ações'!$AL:$AL,"s/i"))</f>
        <v>0</v>
      </c>
      <c r="AG8" s="184"/>
    </row>
    <row r="9">
      <c r="A9" s="135" t="s">
        <v>3349</v>
      </c>
      <c r="B9" s="107">
        <f t="shared" si="5"/>
        <v>13</v>
      </c>
      <c r="C9" s="107">
        <f>COUNTIFs('Ações'!$X:$X,"Sim", 'Ações'!$AL:$AL,"Não")</f>
        <v>10</v>
      </c>
      <c r="D9" s="107">
        <f>COUNTIFs('Ações'!$X:$X,"Sim", 'Ações'!$AL:$AL,"s/i")</f>
        <v>3</v>
      </c>
      <c r="E9" s="107">
        <f>SUM(COUNTIFS('Ações'!$X:$X,"Sim",'Ações'!$AL:$AL,"Não"), COUNTIFS('Ações'!$X:$X,"Sim",'Ações'!$AL:$AL,"s/i"))</f>
        <v>13</v>
      </c>
      <c r="O9" s="3" t="s">
        <v>3414</v>
      </c>
      <c r="P9" s="107">
        <f t="shared" si="2"/>
        <v>1</v>
      </c>
      <c r="Q9" s="107">
        <f>COUNTIFS('Ações'!$BF:$BF,"Sim",'Ações'!$AL:$AL,"Não")</f>
        <v>1</v>
      </c>
      <c r="R9" s="107">
        <f>COUNTIFS('Ações'!$BF:$BF,"Sim",'Ações'!$AL:$AL,"s/i")</f>
        <v>0</v>
      </c>
      <c r="S9" s="107">
        <f>SUM(COUNTIFS('Ações'!$BF:$BF,"Sim",'Ações'!$AL:$AL,"Não"), COUNTIFS('Ações'!$BF:$BF,"Sim",'Ações'!$AL:$AL,"s/i"))</f>
        <v>1</v>
      </c>
      <c r="U9" s="142" t="s">
        <v>231</v>
      </c>
      <c r="V9" s="107">
        <f t="shared" si="3"/>
        <v>3</v>
      </c>
      <c r="W9" s="107">
        <f>COUNTIFS('Ações'!$AE:$AE,"Empréstimos e subsídios",'Ações'!$AL:$AL,"Não")</f>
        <v>2</v>
      </c>
      <c r="X9" s="107">
        <f>COUNTIFS('Ações'!$AE:$AE,"Empréstimos e subsídios",'Ações'!$AL:$AL,"s/i")</f>
        <v>1</v>
      </c>
      <c r="Y9" s="107">
        <f>SUM(COUNTIFS('Ações'!$AE:$AE,"Empréstimos e subsídios",'Ações'!$AL:$AL,"Não"),COUNTIFS('Ações'!$AE:$AE,"Empréstimos e subsídios",'Ações'!$AL:$AL,"s/i"))</f>
        <v>3</v>
      </c>
      <c r="AA9" s="181" t="s">
        <v>3475</v>
      </c>
      <c r="AB9" s="185">
        <v>100.0</v>
      </c>
      <c r="AC9" s="186">
        <f>SUM(AC4:AC8)</f>
        <v>316</v>
      </c>
    </row>
    <row r="10">
      <c r="A10" s="135" t="s">
        <v>3352</v>
      </c>
      <c r="B10" s="107">
        <f t="shared" si="5"/>
        <v>8</v>
      </c>
      <c r="C10" s="107">
        <f>COUNTIFS('Ações'!$AA:$AA,"Sim", 'Ações'!$AL:$AL,"Não")</f>
        <v>7</v>
      </c>
      <c r="D10" s="107">
        <f>COUNTIFS('Ações'!$AA:$AA,"Sim", 'Ações'!$AL:$AL,"s/i")</f>
        <v>1</v>
      </c>
      <c r="E10" s="107">
        <f>SUM(COUNTIFS('Ações'!$AA:$AA,"Sim",'Ações'!$AL:$AL,"Não"), COUNTIFS('Ações'!$AA:$AA,"Sim",'Ações'!$AL:$AL,"s/i"))</f>
        <v>8</v>
      </c>
      <c r="U10" s="143" t="s">
        <v>287</v>
      </c>
      <c r="V10" s="107">
        <f t="shared" si="3"/>
        <v>4</v>
      </c>
      <c r="W10" s="107">
        <f>COUNTIFS('Ações'!$AE:$AE,"Produção de alimentos",'Ações'!$AL:$AL,"Não")</f>
        <v>3</v>
      </c>
      <c r="X10" s="107">
        <f>COUNTIFS('Ações'!$AE:$AE,"Produção de alimentos",'Ações'!$AL:$AL,"s/i")</f>
        <v>1</v>
      </c>
      <c r="Y10" s="107">
        <f>SUM(COUNTIFS('Ações'!$AE:$AE,"Produção de alimentos",'Ações'!$AL:$AL,"Não"),COUNTIFS('Ações'!$AE:$AE,"Produção de alimentos",'Ações'!$AL:$AL,"s/i"))</f>
        <v>4</v>
      </c>
    </row>
    <row r="11">
      <c r="A11" s="135" t="s">
        <v>3348</v>
      </c>
      <c r="B11" s="107">
        <f t="shared" si="5"/>
        <v>6</v>
      </c>
      <c r="C11" s="107">
        <f>COUNTIFs('Ações'!$W:$W,"Sim",'Ações'!$AL:$AL,"Não")</f>
        <v>5</v>
      </c>
      <c r="D11" s="107">
        <f>COUNTIFs('Ações'!$W:$W,"Sim",'Ações'!$AL:$AL,"s/i")</f>
        <v>1</v>
      </c>
      <c r="E11" s="107">
        <f>SUM(COUNTIFS('Ações'!$W:$W,"Sim",'Ações'!$AL:$AL,"Não"), COUNTIFS('Ações'!$W:$W,"Sim",'Ações'!$AL:$AL,"s/i"))</f>
        <v>6</v>
      </c>
      <c r="U11" s="187"/>
    </row>
    <row r="12">
      <c r="A12" s="135" t="s">
        <v>3347</v>
      </c>
      <c r="B12" s="107">
        <f t="shared" si="5"/>
        <v>2</v>
      </c>
      <c r="C12" s="107">
        <f>COUNTIFS('Ações'!$V:$V,"Sim", 'Ações'!$AL:$AL,"Não")</f>
        <v>2</v>
      </c>
      <c r="D12" s="107">
        <f>COUNTIFS('Ações'!$V:$V,"Sim", 'Ações'!$AL:$AL,"s/i")</f>
        <v>0</v>
      </c>
      <c r="E12" s="107">
        <f>SUM(COUNTIFS('Ações'!$V:$V,"Sim",'Ações'!$AL:$AL,"Não"), COUNTIFS('Ações'!$V:$V,"Sim",'Ações'!$AL:$AL,"s/i"))</f>
        <v>2</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0.88"/>
    <col customWidth="1" min="2" max="2" width="20.88"/>
    <col customWidth="1" min="3" max="3" width="12.63"/>
    <col customWidth="1" min="4" max="4" width="15.25"/>
    <col customWidth="1" min="5" max="6" width="17.38"/>
    <col customWidth="1" min="7" max="9" width="16.75"/>
    <col customWidth="1" min="10" max="10" width="27.0"/>
    <col customWidth="1" min="13" max="13" width="15.5"/>
    <col customWidth="1" min="14" max="14" width="23.38"/>
    <col customWidth="1" min="15" max="15" width="22.0"/>
    <col customWidth="1" min="16" max="17" width="20.38"/>
    <col customWidth="1" min="18" max="18" width="17.88"/>
    <col customWidth="1" min="19" max="19" width="20.5"/>
    <col customWidth="1" min="20" max="20" width="15.5"/>
    <col customWidth="1" min="21" max="21" width="19.0"/>
    <col customWidth="1" min="22" max="25" width="22.75"/>
    <col customWidth="1" min="26" max="27" width="32.5"/>
    <col customWidth="1" min="28" max="28" width="22.75"/>
    <col customWidth="1" min="29" max="32" width="35.5"/>
    <col customWidth="1" hidden="1" min="33" max="34" width="12.63"/>
    <col customWidth="1" hidden="1" min="36" max="36" width="12.63"/>
    <col customWidth="1" min="38" max="38" width="15.38"/>
    <col customWidth="1" min="40" max="40" width="26.38"/>
    <col customWidth="1" min="41" max="41" width="15.5"/>
    <col customWidth="1" min="42" max="42" width="15.63"/>
  </cols>
  <sheetData>
    <row r="1" ht="67.5" customHeight="1">
      <c r="A1" s="188" t="s">
        <v>1</v>
      </c>
      <c r="B1" s="189" t="s">
        <v>0</v>
      </c>
      <c r="C1" s="189" t="s">
        <v>3476</v>
      </c>
      <c r="D1" s="189" t="s">
        <v>3477</v>
      </c>
      <c r="E1" s="189" t="s">
        <v>3478</v>
      </c>
      <c r="F1" s="189" t="s">
        <v>3479</v>
      </c>
      <c r="G1" s="189" t="s">
        <v>3480</v>
      </c>
      <c r="H1" s="189" t="s">
        <v>41</v>
      </c>
      <c r="I1" s="189" t="s">
        <v>3481</v>
      </c>
      <c r="J1" s="189" t="s">
        <v>3482</v>
      </c>
      <c r="K1" s="189" t="s">
        <v>3483</v>
      </c>
      <c r="L1" s="189" t="s">
        <v>3484</v>
      </c>
      <c r="M1" s="189" t="s">
        <v>3485</v>
      </c>
      <c r="N1" s="189" t="s">
        <v>3486</v>
      </c>
      <c r="O1" s="189" t="s">
        <v>3487</v>
      </c>
      <c r="P1" s="189" t="s">
        <v>42</v>
      </c>
      <c r="Q1" s="189" t="s">
        <v>43</v>
      </c>
      <c r="R1" s="189" t="s">
        <v>44</v>
      </c>
      <c r="S1" s="189" t="s">
        <v>45</v>
      </c>
      <c r="T1" s="189" t="s">
        <v>46</v>
      </c>
      <c r="U1" s="189" t="s">
        <v>47</v>
      </c>
      <c r="V1" s="189" t="s">
        <v>48</v>
      </c>
      <c r="W1" s="189" t="s">
        <v>3488</v>
      </c>
      <c r="X1" s="189" t="s">
        <v>3489</v>
      </c>
      <c r="Y1" s="189" t="s">
        <v>3490</v>
      </c>
      <c r="Z1" s="190" t="s">
        <v>3491</v>
      </c>
      <c r="AA1" s="190" t="s">
        <v>3492</v>
      </c>
      <c r="AB1" s="190" t="s">
        <v>3493</v>
      </c>
      <c r="AC1" s="191" t="s">
        <v>3494</v>
      </c>
      <c r="AD1" s="191" t="s">
        <v>3495</v>
      </c>
      <c r="AE1" s="191" t="s">
        <v>3496</v>
      </c>
      <c r="AF1" s="191" t="s">
        <v>3497</v>
      </c>
      <c r="AG1" s="192" t="s">
        <v>3498</v>
      </c>
      <c r="AH1" s="192" t="s">
        <v>3499</v>
      </c>
      <c r="AI1" s="193" t="s">
        <v>3500</v>
      </c>
      <c r="AJ1" s="192" t="s">
        <v>3501</v>
      </c>
      <c r="AK1" s="193" t="s">
        <v>3502</v>
      </c>
      <c r="AL1" s="193" t="s">
        <v>3503</v>
      </c>
      <c r="AM1" s="194" t="s">
        <v>3504</v>
      </c>
      <c r="AN1" s="194" t="s">
        <v>3505</v>
      </c>
      <c r="AO1" s="195" t="s">
        <v>78</v>
      </c>
      <c r="AP1" s="195" t="s">
        <v>79</v>
      </c>
      <c r="AQ1" s="195" t="s">
        <v>80</v>
      </c>
      <c r="AR1" s="195" t="s">
        <v>81</v>
      </c>
      <c r="AS1" s="195" t="s">
        <v>82</v>
      </c>
      <c r="AT1" s="195" t="s">
        <v>83</v>
      </c>
      <c r="AU1" s="191" t="s">
        <v>84</v>
      </c>
      <c r="AV1" s="196"/>
    </row>
    <row r="2" ht="15.75" customHeight="1">
      <c r="A2" s="11" t="s">
        <v>86</v>
      </c>
      <c r="B2" s="197" t="s">
        <v>85</v>
      </c>
      <c r="C2" s="198" t="s">
        <v>3506</v>
      </c>
      <c r="D2" s="199" t="s">
        <v>87</v>
      </c>
      <c r="E2" s="200" t="s">
        <v>3507</v>
      </c>
      <c r="F2" s="201" t="s">
        <v>3508</v>
      </c>
      <c r="G2" s="201" t="s">
        <v>93</v>
      </c>
      <c r="H2" s="201" t="s">
        <v>92</v>
      </c>
      <c r="I2" s="200" t="s">
        <v>92</v>
      </c>
      <c r="J2" s="201">
        <v>1995.0</v>
      </c>
      <c r="K2" s="199" t="s">
        <v>3509</v>
      </c>
      <c r="L2" s="201" t="s">
        <v>3510</v>
      </c>
      <c r="M2" s="202">
        <v>6885.3</v>
      </c>
      <c r="N2" s="201" t="s">
        <v>92</v>
      </c>
      <c r="O2" s="197" t="s">
        <v>95</v>
      </c>
      <c r="P2" s="201" t="s">
        <v>93</v>
      </c>
      <c r="Q2" s="201" t="s">
        <v>93</v>
      </c>
      <c r="R2" s="201" t="s">
        <v>93</v>
      </c>
      <c r="S2" s="201" t="s">
        <v>92</v>
      </c>
      <c r="T2" s="201" t="s">
        <v>93</v>
      </c>
      <c r="U2" s="201" t="s">
        <v>92</v>
      </c>
      <c r="V2" s="201" t="s">
        <v>92</v>
      </c>
      <c r="W2" s="200" t="s">
        <v>92</v>
      </c>
      <c r="X2" s="200" t="s">
        <v>93</v>
      </c>
      <c r="Y2" s="203">
        <v>2022.0</v>
      </c>
      <c r="Z2" s="204" t="s">
        <v>3511</v>
      </c>
      <c r="AA2" s="204" t="s">
        <v>3512</v>
      </c>
      <c r="AB2" s="205" t="s">
        <v>3513</v>
      </c>
      <c r="AC2" s="201" t="s">
        <v>93</v>
      </c>
      <c r="AD2" s="201" t="s">
        <v>93</v>
      </c>
      <c r="AE2" s="201" t="s">
        <v>93</v>
      </c>
      <c r="AF2" s="200" t="s">
        <v>92</v>
      </c>
      <c r="AG2" s="206" t="s">
        <v>3514</v>
      </c>
      <c r="AH2" s="206" t="s">
        <v>85</v>
      </c>
      <c r="AI2" s="207" t="s">
        <v>85</v>
      </c>
      <c r="AJ2" s="206" t="s">
        <v>85</v>
      </c>
      <c r="AK2" s="203" t="s">
        <v>95</v>
      </c>
      <c r="AL2" s="208">
        <v>45343.0</v>
      </c>
      <c r="AM2" s="209" t="s">
        <v>3515</v>
      </c>
      <c r="AN2" s="200" t="s">
        <v>93</v>
      </c>
      <c r="AO2" s="210" t="s">
        <v>3516</v>
      </c>
      <c r="AP2" s="210" t="s">
        <v>3517</v>
      </c>
      <c r="AQ2" s="210" t="s">
        <v>3518</v>
      </c>
      <c r="AR2" s="211" t="s">
        <v>116</v>
      </c>
      <c r="AS2" s="212"/>
      <c r="AT2" s="212"/>
      <c r="AU2" s="201"/>
      <c r="AV2" s="201"/>
    </row>
    <row r="3" ht="15.75" customHeight="1">
      <c r="A3" s="11" t="s">
        <v>338</v>
      </c>
      <c r="B3" s="197" t="s">
        <v>337</v>
      </c>
      <c r="C3" s="198" t="s">
        <v>3519</v>
      </c>
      <c r="D3" s="199" t="s">
        <v>87</v>
      </c>
      <c r="E3" s="200" t="s">
        <v>3507</v>
      </c>
      <c r="F3" s="201" t="s">
        <v>3508</v>
      </c>
      <c r="G3" s="201" t="s">
        <v>93</v>
      </c>
      <c r="H3" s="201" t="s">
        <v>92</v>
      </c>
      <c r="I3" s="200" t="s">
        <v>92</v>
      </c>
      <c r="J3" s="201">
        <v>2006.0</v>
      </c>
      <c r="K3" s="199" t="s">
        <v>3520</v>
      </c>
      <c r="L3" s="201" t="s">
        <v>3510</v>
      </c>
      <c r="M3" s="202">
        <v>1419.7</v>
      </c>
      <c r="N3" s="201" t="s">
        <v>93</v>
      </c>
      <c r="O3" s="201" t="s">
        <v>3521</v>
      </c>
      <c r="P3" s="201" t="s">
        <v>92</v>
      </c>
      <c r="Q3" s="201" t="s">
        <v>93</v>
      </c>
      <c r="R3" s="201" t="s">
        <v>92</v>
      </c>
      <c r="S3" s="201" t="s">
        <v>92</v>
      </c>
      <c r="T3" s="201" t="s">
        <v>92</v>
      </c>
      <c r="U3" s="201" t="s">
        <v>92</v>
      </c>
      <c r="V3" s="201" t="s">
        <v>92</v>
      </c>
      <c r="W3" s="200" t="s">
        <v>92</v>
      </c>
      <c r="X3" s="200" t="s">
        <v>93</v>
      </c>
      <c r="Y3" s="203" t="s">
        <v>3522</v>
      </c>
      <c r="Z3" s="204" t="s">
        <v>3523</v>
      </c>
      <c r="AA3" s="204" t="s">
        <v>3524</v>
      </c>
      <c r="AB3" s="205" t="s">
        <v>95</v>
      </c>
      <c r="AC3" s="201" t="s">
        <v>93</v>
      </c>
      <c r="AD3" s="201" t="s">
        <v>93</v>
      </c>
      <c r="AE3" s="201" t="s">
        <v>92</v>
      </c>
      <c r="AF3" s="201" t="s">
        <v>92</v>
      </c>
      <c r="AG3" s="206" t="s">
        <v>337</v>
      </c>
      <c r="AH3" s="206" t="s">
        <v>3525</v>
      </c>
      <c r="AI3" s="207" t="s">
        <v>337</v>
      </c>
      <c r="AJ3" s="206" t="s">
        <v>3526</v>
      </c>
      <c r="AK3" s="203" t="s">
        <v>95</v>
      </c>
      <c r="AL3" s="208">
        <v>45343.0</v>
      </c>
      <c r="AM3" s="209" t="s">
        <v>3527</v>
      </c>
      <c r="AN3" s="201" t="s">
        <v>93</v>
      </c>
      <c r="AO3" s="210" t="s">
        <v>3528</v>
      </c>
      <c r="AP3" s="210" t="s">
        <v>3529</v>
      </c>
      <c r="AQ3" s="210" t="s">
        <v>178</v>
      </c>
      <c r="AR3" s="210" t="s">
        <v>3530</v>
      </c>
      <c r="AS3" s="213" t="s">
        <v>116</v>
      </c>
      <c r="AT3" s="213" t="s">
        <v>106</v>
      </c>
      <c r="AU3" s="214"/>
      <c r="AV3" s="214"/>
    </row>
    <row r="4" ht="15.75" customHeight="1">
      <c r="A4" s="11" t="s">
        <v>1636</v>
      </c>
      <c r="B4" s="197" t="s">
        <v>1635</v>
      </c>
      <c r="C4" s="215" t="s">
        <v>3531</v>
      </c>
      <c r="D4" s="199" t="s">
        <v>87</v>
      </c>
      <c r="E4" s="200" t="s">
        <v>3507</v>
      </c>
      <c r="F4" s="201" t="s">
        <v>3508</v>
      </c>
      <c r="G4" s="201" t="s">
        <v>93</v>
      </c>
      <c r="H4" s="201" t="s">
        <v>92</v>
      </c>
      <c r="I4" s="200" t="s">
        <v>92</v>
      </c>
      <c r="J4" s="201">
        <v>1977.0</v>
      </c>
      <c r="K4" s="199" t="s">
        <v>3509</v>
      </c>
      <c r="L4" s="201" t="s">
        <v>3510</v>
      </c>
      <c r="M4" s="202">
        <v>8746.5</v>
      </c>
      <c r="N4" s="201" t="s">
        <v>93</v>
      </c>
      <c r="O4" s="201" t="s">
        <v>1658</v>
      </c>
      <c r="P4" s="201" t="s">
        <v>93</v>
      </c>
      <c r="Q4" s="201" t="s">
        <v>93</v>
      </c>
      <c r="R4" s="201" t="s">
        <v>92</v>
      </c>
      <c r="S4" s="201" t="s">
        <v>92</v>
      </c>
      <c r="T4" s="201" t="s">
        <v>92</v>
      </c>
      <c r="U4" s="201" t="s">
        <v>92</v>
      </c>
      <c r="V4" s="201" t="s">
        <v>92</v>
      </c>
      <c r="W4" s="200" t="s">
        <v>93</v>
      </c>
      <c r="X4" s="200" t="s">
        <v>93</v>
      </c>
      <c r="Y4" s="203" t="s">
        <v>3532</v>
      </c>
      <c r="Z4" s="204" t="s">
        <v>3533</v>
      </c>
      <c r="AA4" s="204" t="s">
        <v>3534</v>
      </c>
      <c r="AB4" s="205" t="s">
        <v>3535</v>
      </c>
      <c r="AC4" s="201" t="s">
        <v>92</v>
      </c>
      <c r="AD4" s="201" t="s">
        <v>93</v>
      </c>
      <c r="AE4" s="201" t="s">
        <v>93</v>
      </c>
      <c r="AF4" s="200" t="s">
        <v>93</v>
      </c>
      <c r="AG4" s="206" t="s">
        <v>3536</v>
      </c>
      <c r="AH4" s="201" t="s">
        <v>3537</v>
      </c>
      <c r="AI4" s="207" t="s">
        <v>3538</v>
      </c>
      <c r="AJ4" s="206" t="s">
        <v>3539</v>
      </c>
      <c r="AK4" s="203" t="s">
        <v>95</v>
      </c>
      <c r="AL4" s="208">
        <v>45345.0</v>
      </c>
      <c r="AM4" s="209" t="s">
        <v>3540</v>
      </c>
      <c r="AN4" s="201" t="s">
        <v>92</v>
      </c>
      <c r="AO4" s="210" t="s">
        <v>3498</v>
      </c>
      <c r="AP4" s="210" t="s">
        <v>115</v>
      </c>
      <c r="AQ4" s="210" t="s">
        <v>3541</v>
      </c>
      <c r="AR4" s="210" t="s">
        <v>178</v>
      </c>
      <c r="AS4" s="216" t="s">
        <v>106</v>
      </c>
      <c r="AT4" s="216" t="s">
        <v>3542</v>
      </c>
      <c r="AU4" s="217" t="s">
        <v>116</v>
      </c>
      <c r="AV4" s="214"/>
    </row>
    <row r="5" ht="15.75" customHeight="1">
      <c r="A5" s="11" t="s">
        <v>1457</v>
      </c>
      <c r="B5" s="197" t="s">
        <v>1456</v>
      </c>
      <c r="C5" s="215" t="s">
        <v>3543</v>
      </c>
      <c r="D5" s="199" t="s">
        <v>87</v>
      </c>
      <c r="E5" s="200" t="s">
        <v>3507</v>
      </c>
      <c r="F5" s="201" t="s">
        <v>3508</v>
      </c>
      <c r="G5" s="201" t="s">
        <v>93</v>
      </c>
      <c r="H5" s="201" t="s">
        <v>92</v>
      </c>
      <c r="I5" s="200" t="s">
        <v>92</v>
      </c>
      <c r="J5" s="201">
        <v>2006.0</v>
      </c>
      <c r="K5" s="199" t="s">
        <v>3544</v>
      </c>
      <c r="L5" s="201" t="s">
        <v>3510</v>
      </c>
      <c r="M5" s="202">
        <v>1187.8</v>
      </c>
      <c r="N5" s="201" t="s">
        <v>92</v>
      </c>
      <c r="O5" s="201" t="s">
        <v>95</v>
      </c>
      <c r="P5" s="201" t="s">
        <v>92</v>
      </c>
      <c r="Q5" s="201" t="s">
        <v>93</v>
      </c>
      <c r="R5" s="201" t="s">
        <v>92</v>
      </c>
      <c r="S5" s="201" t="s">
        <v>92</v>
      </c>
      <c r="T5" s="201" t="s">
        <v>92</v>
      </c>
      <c r="U5" s="201" t="s">
        <v>92</v>
      </c>
      <c r="V5" s="201" t="s">
        <v>93</v>
      </c>
      <c r="W5" s="200" t="s">
        <v>92</v>
      </c>
      <c r="X5" s="200" t="s">
        <v>92</v>
      </c>
      <c r="Y5" s="203" t="s">
        <v>95</v>
      </c>
      <c r="Z5" s="204" t="s">
        <v>95</v>
      </c>
      <c r="AA5" s="204" t="s">
        <v>95</v>
      </c>
      <c r="AB5" s="205" t="s">
        <v>95</v>
      </c>
      <c r="AC5" s="201" t="s">
        <v>93</v>
      </c>
      <c r="AD5" s="201" t="s">
        <v>105</v>
      </c>
      <c r="AE5" s="201" t="s">
        <v>105</v>
      </c>
      <c r="AF5" s="201" t="s">
        <v>105</v>
      </c>
      <c r="AG5" s="206" t="s">
        <v>1456</v>
      </c>
      <c r="AH5" s="206" t="s">
        <v>1456</v>
      </c>
      <c r="AI5" s="218" t="s">
        <v>1456</v>
      </c>
      <c r="AJ5" s="206" t="s">
        <v>1456</v>
      </c>
      <c r="AK5" s="203" t="s">
        <v>95</v>
      </c>
      <c r="AL5" s="208">
        <v>45345.0</v>
      </c>
      <c r="AM5" s="209" t="s">
        <v>3545</v>
      </c>
      <c r="AN5" s="201" t="s">
        <v>92</v>
      </c>
      <c r="AO5" s="210" t="s">
        <v>3546</v>
      </c>
      <c r="AP5" s="219"/>
      <c r="AQ5" s="219"/>
      <c r="AR5" s="219"/>
      <c r="AS5" s="212"/>
      <c r="AT5" s="212"/>
      <c r="AU5" s="214"/>
      <c r="AV5" s="214"/>
    </row>
    <row r="6" ht="15.75" customHeight="1">
      <c r="A6" s="11" t="s">
        <v>204</v>
      </c>
      <c r="B6" s="197" t="s">
        <v>203</v>
      </c>
      <c r="C6" s="215" t="s">
        <v>3547</v>
      </c>
      <c r="D6" s="199" t="s">
        <v>87</v>
      </c>
      <c r="E6" s="200" t="s">
        <v>3507</v>
      </c>
      <c r="F6" s="201" t="s">
        <v>3508</v>
      </c>
      <c r="G6" s="201" t="s">
        <v>93</v>
      </c>
      <c r="H6" s="201" t="s">
        <v>92</v>
      </c>
      <c r="I6" s="200" t="s">
        <v>92</v>
      </c>
      <c r="J6" s="201">
        <v>2016.0</v>
      </c>
      <c r="K6" s="199" t="s">
        <v>3520</v>
      </c>
      <c r="L6" s="201" t="s">
        <v>3510</v>
      </c>
      <c r="M6" s="202">
        <v>11592.5</v>
      </c>
      <c r="N6" s="201" t="s">
        <v>93</v>
      </c>
      <c r="O6" s="201" t="s">
        <v>3548</v>
      </c>
      <c r="P6" s="201" t="s">
        <v>93</v>
      </c>
      <c r="Q6" s="201" t="s">
        <v>93</v>
      </c>
      <c r="R6" s="201" t="s">
        <v>93</v>
      </c>
      <c r="S6" s="201" t="s">
        <v>92</v>
      </c>
      <c r="T6" s="201" t="s">
        <v>92</v>
      </c>
      <c r="U6" s="201" t="s">
        <v>92</v>
      </c>
      <c r="V6" s="201" t="s">
        <v>92</v>
      </c>
      <c r="W6" s="200" t="s">
        <v>93</v>
      </c>
      <c r="X6" s="200" t="s">
        <v>93</v>
      </c>
      <c r="Y6" s="203" t="s">
        <v>3549</v>
      </c>
      <c r="Z6" s="204" t="s">
        <v>3550</v>
      </c>
      <c r="AA6" s="204" t="s">
        <v>3551</v>
      </c>
      <c r="AB6" s="205" t="s">
        <v>3552</v>
      </c>
      <c r="AC6" s="201" t="s">
        <v>93</v>
      </c>
      <c r="AD6" s="201" t="s">
        <v>93</v>
      </c>
      <c r="AE6" s="201" t="s">
        <v>93</v>
      </c>
      <c r="AF6" s="200" t="s">
        <v>93</v>
      </c>
      <c r="AG6" s="206" t="s">
        <v>203</v>
      </c>
      <c r="AH6" s="206" t="s">
        <v>203</v>
      </c>
      <c r="AI6" s="207" t="s">
        <v>203</v>
      </c>
      <c r="AJ6" s="206" t="s">
        <v>203</v>
      </c>
      <c r="AK6" s="203" t="s">
        <v>95</v>
      </c>
      <c r="AL6" s="208">
        <v>45345.0</v>
      </c>
      <c r="AM6" s="209" t="s">
        <v>95</v>
      </c>
      <c r="AN6" s="200" t="s">
        <v>93</v>
      </c>
      <c r="AO6" s="210" t="s">
        <v>3541</v>
      </c>
      <c r="AP6" s="210" t="s">
        <v>106</v>
      </c>
      <c r="AQ6" s="210" t="s">
        <v>3553</v>
      </c>
      <c r="AR6" s="210" t="s">
        <v>3554</v>
      </c>
      <c r="AS6" s="217" t="s">
        <v>116</v>
      </c>
      <c r="AT6" s="212"/>
      <c r="AU6" s="214"/>
      <c r="AV6" s="214"/>
    </row>
    <row r="7" ht="15.75" customHeight="1">
      <c r="A7" s="11" t="s">
        <v>379</v>
      </c>
      <c r="B7" s="197" t="s">
        <v>378</v>
      </c>
      <c r="C7" s="215" t="s">
        <v>3555</v>
      </c>
      <c r="D7" s="199" t="s">
        <v>87</v>
      </c>
      <c r="E7" s="201" t="s">
        <v>95</v>
      </c>
      <c r="F7" s="201" t="s">
        <v>95</v>
      </c>
      <c r="G7" s="201" t="s">
        <v>92</v>
      </c>
      <c r="H7" s="201" t="s">
        <v>92</v>
      </c>
      <c r="I7" s="201" t="s">
        <v>93</v>
      </c>
      <c r="J7" s="201">
        <v>1818.0</v>
      </c>
      <c r="K7" s="199" t="s">
        <v>3520</v>
      </c>
      <c r="L7" s="201" t="s">
        <v>3556</v>
      </c>
      <c r="M7" s="202">
        <v>78750.5</v>
      </c>
      <c r="N7" s="201" t="s">
        <v>93</v>
      </c>
      <c r="O7" s="201" t="s">
        <v>392</v>
      </c>
      <c r="P7" s="201" t="s">
        <v>92</v>
      </c>
      <c r="Q7" s="201" t="s">
        <v>93</v>
      </c>
      <c r="R7" s="201" t="s">
        <v>93</v>
      </c>
      <c r="S7" s="201" t="s">
        <v>93</v>
      </c>
      <c r="T7" s="201" t="s">
        <v>93</v>
      </c>
      <c r="U7" s="201" t="s">
        <v>93</v>
      </c>
      <c r="V7" s="201" t="s">
        <v>92</v>
      </c>
      <c r="W7" s="200" t="s">
        <v>93</v>
      </c>
      <c r="X7" s="200" t="s">
        <v>93</v>
      </c>
      <c r="Y7" s="203" t="s">
        <v>3557</v>
      </c>
      <c r="Z7" s="204" t="s">
        <v>3558</v>
      </c>
      <c r="AA7" s="204" t="s">
        <v>3559</v>
      </c>
      <c r="AB7" s="204" t="s">
        <v>95</v>
      </c>
      <c r="AC7" s="200" t="s">
        <v>93</v>
      </c>
      <c r="AD7" s="201" t="s">
        <v>93</v>
      </c>
      <c r="AE7" s="201" t="s">
        <v>93</v>
      </c>
      <c r="AF7" s="200" t="s">
        <v>93</v>
      </c>
      <c r="AG7" s="206" t="s">
        <v>378</v>
      </c>
      <c r="AH7" s="206" t="s">
        <v>3560</v>
      </c>
      <c r="AI7" s="218" t="s">
        <v>3561</v>
      </c>
      <c r="AJ7" s="220" t="s">
        <v>3537</v>
      </c>
      <c r="AK7" s="207" t="s">
        <v>3562</v>
      </c>
      <c r="AL7" s="208">
        <v>45352.0</v>
      </c>
      <c r="AM7" s="209" t="s">
        <v>3563</v>
      </c>
      <c r="AN7" s="201" t="s">
        <v>92</v>
      </c>
      <c r="AO7" s="210" t="s">
        <v>3564</v>
      </c>
      <c r="AP7" s="210" t="s">
        <v>3565</v>
      </c>
      <c r="AQ7" s="211" t="s">
        <v>3566</v>
      </c>
      <c r="AR7" s="219"/>
      <c r="AS7" s="212"/>
      <c r="AT7" s="212"/>
      <c r="AU7" s="214"/>
      <c r="AV7" s="214"/>
    </row>
    <row r="8" ht="15.75" customHeight="1">
      <c r="A8" s="11" t="s">
        <v>520</v>
      </c>
      <c r="B8" s="197" t="s">
        <v>519</v>
      </c>
      <c r="C8" s="198" t="s">
        <v>3567</v>
      </c>
      <c r="D8" s="199" t="s">
        <v>87</v>
      </c>
      <c r="E8" s="201" t="s">
        <v>95</v>
      </c>
      <c r="F8" s="201" t="s">
        <v>95</v>
      </c>
      <c r="G8" s="201" t="s">
        <v>92</v>
      </c>
      <c r="H8" s="201" t="s">
        <v>92</v>
      </c>
      <c r="I8" s="201" t="s">
        <v>93</v>
      </c>
      <c r="J8" s="201">
        <v>1865.0</v>
      </c>
      <c r="K8" s="199" t="s">
        <v>3520</v>
      </c>
      <c r="L8" s="201" t="s">
        <v>3568</v>
      </c>
      <c r="M8" s="221">
        <v>123267.5</v>
      </c>
      <c r="N8" s="201" t="s">
        <v>93</v>
      </c>
      <c r="O8" s="201" t="s">
        <v>3569</v>
      </c>
      <c r="P8" s="201" t="s">
        <v>93</v>
      </c>
      <c r="Q8" s="201" t="s">
        <v>93</v>
      </c>
      <c r="R8" s="201" t="s">
        <v>93</v>
      </c>
      <c r="S8" s="201" t="s">
        <v>93</v>
      </c>
      <c r="T8" s="201" t="s">
        <v>93</v>
      </c>
      <c r="U8" s="201" t="s">
        <v>93</v>
      </c>
      <c r="V8" s="201" t="s">
        <v>93</v>
      </c>
      <c r="W8" s="200" t="s">
        <v>93</v>
      </c>
      <c r="X8" s="200" t="s">
        <v>93</v>
      </c>
      <c r="Y8" s="203" t="s">
        <v>3549</v>
      </c>
      <c r="Z8" s="204" t="s">
        <v>3570</v>
      </c>
      <c r="AA8" s="204" t="s">
        <v>3571</v>
      </c>
      <c r="AB8" s="204" t="s">
        <v>95</v>
      </c>
      <c r="AC8" s="201" t="s">
        <v>93</v>
      </c>
      <c r="AD8" s="201" t="s">
        <v>92</v>
      </c>
      <c r="AE8" s="201" t="s">
        <v>93</v>
      </c>
      <c r="AF8" s="200" t="s">
        <v>93</v>
      </c>
      <c r="AG8" s="206" t="s">
        <v>519</v>
      </c>
      <c r="AH8" s="206" t="s">
        <v>519</v>
      </c>
      <c r="AI8" s="207" t="s">
        <v>519</v>
      </c>
      <c r="AJ8" s="206" t="s">
        <v>519</v>
      </c>
      <c r="AK8" s="207" t="s">
        <v>3569</v>
      </c>
      <c r="AL8" s="208">
        <v>45370.0</v>
      </c>
      <c r="AM8" s="62" t="s">
        <v>3572</v>
      </c>
      <c r="AN8" s="201" t="s">
        <v>92</v>
      </c>
      <c r="AO8" s="210" t="s">
        <v>3573</v>
      </c>
      <c r="AP8" s="210" t="s">
        <v>3574</v>
      </c>
      <c r="AQ8" s="210" t="s">
        <v>3575</v>
      </c>
      <c r="AR8" s="210" t="s">
        <v>178</v>
      </c>
      <c r="AS8" s="216" t="s">
        <v>115</v>
      </c>
      <c r="AT8" s="216" t="s">
        <v>106</v>
      </c>
      <c r="AU8" s="222" t="s">
        <v>116</v>
      </c>
      <c r="AV8" s="214"/>
    </row>
    <row r="9" ht="15.75" customHeight="1">
      <c r="A9" s="11" t="s">
        <v>829</v>
      </c>
      <c r="B9" s="223" t="s">
        <v>3576</v>
      </c>
      <c r="C9" s="198" t="s">
        <v>3577</v>
      </c>
      <c r="D9" s="199" t="s">
        <v>87</v>
      </c>
      <c r="E9" s="201" t="s">
        <v>95</v>
      </c>
      <c r="F9" s="201" t="s">
        <v>95</v>
      </c>
      <c r="G9" s="201" t="s">
        <v>92</v>
      </c>
      <c r="H9" s="201" t="s">
        <v>92</v>
      </c>
      <c r="I9" s="201" t="s">
        <v>93</v>
      </c>
      <c r="J9" s="201">
        <v>2014.0</v>
      </c>
      <c r="K9" s="199" t="s">
        <v>3520</v>
      </c>
      <c r="L9" s="201" t="s">
        <v>3578</v>
      </c>
      <c r="M9" s="224">
        <v>62071.0</v>
      </c>
      <c r="N9" s="201" t="s">
        <v>92</v>
      </c>
      <c r="O9" s="201" t="s">
        <v>95</v>
      </c>
      <c r="P9" s="201" t="s">
        <v>92</v>
      </c>
      <c r="Q9" s="201" t="s">
        <v>93</v>
      </c>
      <c r="R9" s="201" t="s">
        <v>93</v>
      </c>
      <c r="S9" s="201" t="s">
        <v>93</v>
      </c>
      <c r="T9" s="201" t="s">
        <v>93</v>
      </c>
      <c r="U9" s="201" t="s">
        <v>92</v>
      </c>
      <c r="V9" s="201" t="s">
        <v>92</v>
      </c>
      <c r="W9" s="200" t="s">
        <v>93</v>
      </c>
      <c r="X9" s="200" t="s">
        <v>93</v>
      </c>
      <c r="Y9" s="203" t="s">
        <v>3549</v>
      </c>
      <c r="Z9" s="204" t="s">
        <v>3579</v>
      </c>
      <c r="AA9" s="204" t="s">
        <v>3580</v>
      </c>
      <c r="AB9" s="204" t="s">
        <v>95</v>
      </c>
      <c r="AC9" s="201" t="s">
        <v>92</v>
      </c>
      <c r="AD9" s="201" t="s">
        <v>93</v>
      </c>
      <c r="AE9" s="201" t="s">
        <v>93</v>
      </c>
      <c r="AF9" s="200" t="s">
        <v>93</v>
      </c>
      <c r="AG9" s="206" t="s">
        <v>3581</v>
      </c>
      <c r="AH9" s="206" t="s">
        <v>3581</v>
      </c>
      <c r="AI9" s="207" t="s">
        <v>3581</v>
      </c>
      <c r="AJ9" s="206" t="s">
        <v>3581</v>
      </c>
      <c r="AK9" s="203" t="s">
        <v>95</v>
      </c>
      <c r="AL9" s="203" t="s">
        <v>3582</v>
      </c>
      <c r="AM9" s="62" t="s">
        <v>3583</v>
      </c>
      <c r="AN9" s="200" t="s">
        <v>93</v>
      </c>
      <c r="AO9" s="211" t="s">
        <v>240</v>
      </c>
      <c r="AP9" s="210" t="s">
        <v>879</v>
      </c>
      <c r="AQ9" s="210" t="s">
        <v>883</v>
      </c>
      <c r="AR9" s="210" t="s">
        <v>3584</v>
      </c>
      <c r="AS9" s="217" t="s">
        <v>116</v>
      </c>
      <c r="AT9" s="212"/>
      <c r="AU9" s="214"/>
      <c r="AV9" s="214"/>
    </row>
    <row r="10" ht="15.75" customHeight="1">
      <c r="A10" s="11" t="s">
        <v>233</v>
      </c>
      <c r="B10" s="223" t="s">
        <v>260</v>
      </c>
      <c r="C10" s="198" t="s">
        <v>3585</v>
      </c>
      <c r="D10" s="199" t="s">
        <v>87</v>
      </c>
      <c r="E10" s="201" t="s">
        <v>95</v>
      </c>
      <c r="F10" s="225" t="s">
        <v>95</v>
      </c>
      <c r="G10" s="201" t="s">
        <v>92</v>
      </c>
      <c r="H10" s="201" t="s">
        <v>92</v>
      </c>
      <c r="I10" s="201" t="s">
        <v>93</v>
      </c>
      <c r="J10" s="201">
        <v>1977.0</v>
      </c>
      <c r="K10" s="199" t="s">
        <v>3586</v>
      </c>
      <c r="L10" s="201" t="s">
        <v>3510</v>
      </c>
      <c r="M10" s="224">
        <v>47369.6</v>
      </c>
      <c r="N10" s="201" t="s">
        <v>93</v>
      </c>
      <c r="O10" s="201" t="s">
        <v>3587</v>
      </c>
      <c r="P10" s="201" t="s">
        <v>92</v>
      </c>
      <c r="Q10" s="201" t="s">
        <v>93</v>
      </c>
      <c r="R10" s="201" t="s">
        <v>93</v>
      </c>
      <c r="S10" s="201" t="s">
        <v>93</v>
      </c>
      <c r="T10" s="201" t="s">
        <v>93</v>
      </c>
      <c r="U10" s="201" t="s">
        <v>92</v>
      </c>
      <c r="V10" s="201" t="s">
        <v>92</v>
      </c>
      <c r="W10" s="200" t="s">
        <v>93</v>
      </c>
      <c r="X10" s="200" t="s">
        <v>93</v>
      </c>
      <c r="Y10" s="203" t="s">
        <v>3549</v>
      </c>
      <c r="Z10" s="204" t="s">
        <v>3588</v>
      </c>
      <c r="AA10" s="204" t="s">
        <v>3589</v>
      </c>
      <c r="AB10" s="205" t="s">
        <v>3590</v>
      </c>
      <c r="AC10" s="201" t="s">
        <v>93</v>
      </c>
      <c r="AD10" s="201" t="s">
        <v>93</v>
      </c>
      <c r="AE10" s="201" t="s">
        <v>93</v>
      </c>
      <c r="AF10" s="200" t="s">
        <v>93</v>
      </c>
      <c r="AG10" s="206" t="s">
        <v>232</v>
      </c>
      <c r="AH10" s="206" t="s">
        <v>232</v>
      </c>
      <c r="AI10" s="207" t="s">
        <v>232</v>
      </c>
      <c r="AJ10" s="206" t="s">
        <v>232</v>
      </c>
      <c r="AK10" s="207" t="s">
        <v>3591</v>
      </c>
      <c r="AL10" s="208">
        <v>45373.0</v>
      </c>
      <c r="AM10" s="62" t="s">
        <v>3592</v>
      </c>
      <c r="AN10" s="200" t="s">
        <v>93</v>
      </c>
      <c r="AO10" s="210" t="s">
        <v>295</v>
      </c>
      <c r="AP10" s="210" t="s">
        <v>241</v>
      </c>
      <c r="AQ10" s="210" t="s">
        <v>247</v>
      </c>
      <c r="AR10" s="210" t="s">
        <v>248</v>
      </c>
      <c r="AS10" s="216" t="s">
        <v>269</v>
      </c>
      <c r="AT10" s="216" t="s">
        <v>3593</v>
      </c>
      <c r="AU10" s="222" t="s">
        <v>116</v>
      </c>
      <c r="AV10" s="214"/>
    </row>
    <row r="11" ht="15.75" customHeight="1">
      <c r="A11" s="11" t="s">
        <v>1577</v>
      </c>
      <c r="B11" s="223" t="s">
        <v>1576</v>
      </c>
      <c r="C11" s="198" t="s">
        <v>3594</v>
      </c>
      <c r="D11" s="199" t="s">
        <v>87</v>
      </c>
      <c r="E11" s="201" t="s">
        <v>95</v>
      </c>
      <c r="F11" s="225" t="s">
        <v>95</v>
      </c>
      <c r="G11" s="201" t="s">
        <v>92</v>
      </c>
      <c r="H11" s="201" t="s">
        <v>92</v>
      </c>
      <c r="I11" s="201" t="s">
        <v>93</v>
      </c>
      <c r="J11" s="201">
        <v>1851.0</v>
      </c>
      <c r="K11" s="199" t="s">
        <v>3520</v>
      </c>
      <c r="L11" s="201" t="s">
        <v>3595</v>
      </c>
      <c r="M11" s="224">
        <v>45521.0</v>
      </c>
      <c r="N11" s="201" t="s">
        <v>93</v>
      </c>
      <c r="O11" s="201" t="s">
        <v>3596</v>
      </c>
      <c r="P11" s="201" t="s">
        <v>92</v>
      </c>
      <c r="Q11" s="201" t="s">
        <v>93</v>
      </c>
      <c r="R11" s="201" t="s">
        <v>93</v>
      </c>
      <c r="S11" s="201" t="s">
        <v>93</v>
      </c>
      <c r="T11" s="201" t="s">
        <v>93</v>
      </c>
      <c r="U11" s="200" t="s">
        <v>92</v>
      </c>
      <c r="V11" s="201" t="s">
        <v>92</v>
      </c>
      <c r="W11" s="200" t="s">
        <v>93</v>
      </c>
      <c r="X11" s="200" t="s">
        <v>93</v>
      </c>
      <c r="Y11" s="203" t="s">
        <v>3597</v>
      </c>
      <c r="Z11" s="204" t="s">
        <v>3598</v>
      </c>
      <c r="AA11" s="204" t="s">
        <v>3599</v>
      </c>
      <c r="AB11" s="205" t="s">
        <v>3600</v>
      </c>
      <c r="AC11" s="201" t="s">
        <v>93</v>
      </c>
      <c r="AD11" s="201" t="s">
        <v>93</v>
      </c>
      <c r="AE11" s="201" t="s">
        <v>93</v>
      </c>
      <c r="AF11" s="201" t="s">
        <v>93</v>
      </c>
      <c r="AG11" s="226" t="s">
        <v>1576</v>
      </c>
      <c r="AH11" s="225" t="s">
        <v>3601</v>
      </c>
      <c r="AI11" s="227" t="s">
        <v>1576</v>
      </c>
      <c r="AJ11" s="225" t="s">
        <v>3601</v>
      </c>
      <c r="AK11" s="207" t="s">
        <v>3596</v>
      </c>
      <c r="AL11" s="208">
        <v>45377.0</v>
      </c>
      <c r="AM11" s="209" t="s">
        <v>3602</v>
      </c>
      <c r="AN11" s="201" t="s">
        <v>93</v>
      </c>
      <c r="AO11" s="210" t="s">
        <v>1582</v>
      </c>
      <c r="AP11" s="210" t="s">
        <v>454</v>
      </c>
      <c r="AQ11" s="210" t="s">
        <v>1108</v>
      </c>
      <c r="AR11" s="210" t="s">
        <v>3603</v>
      </c>
      <c r="AS11" s="216" t="s">
        <v>766</v>
      </c>
      <c r="AT11" s="216" t="s">
        <v>1604</v>
      </c>
      <c r="AU11" s="214"/>
      <c r="AV11" s="214"/>
    </row>
    <row r="12" ht="15.75" customHeight="1">
      <c r="A12" s="11" t="s">
        <v>418</v>
      </c>
      <c r="B12" s="228" t="s">
        <v>422</v>
      </c>
      <c r="C12" s="198" t="s">
        <v>3604</v>
      </c>
      <c r="D12" s="199" t="s">
        <v>87</v>
      </c>
      <c r="E12" s="201" t="s">
        <v>95</v>
      </c>
      <c r="F12" s="225" t="s">
        <v>95</v>
      </c>
      <c r="G12" s="201" t="s">
        <v>92</v>
      </c>
      <c r="H12" s="201" t="s">
        <v>93</v>
      </c>
      <c r="I12" s="201" t="s">
        <v>92</v>
      </c>
      <c r="J12" s="201">
        <v>1963.0</v>
      </c>
      <c r="K12" s="199" t="s">
        <v>3605</v>
      </c>
      <c r="L12" s="201" t="s">
        <v>3510</v>
      </c>
      <c r="M12" s="224">
        <v>22436.1</v>
      </c>
      <c r="N12" s="201" t="s">
        <v>92</v>
      </c>
      <c r="O12" s="201" t="s">
        <v>95</v>
      </c>
      <c r="P12" s="201" t="s">
        <v>93</v>
      </c>
      <c r="Q12" s="201" t="s">
        <v>93</v>
      </c>
      <c r="R12" s="201" t="s">
        <v>93</v>
      </c>
      <c r="S12" s="201" t="s">
        <v>93</v>
      </c>
      <c r="T12" s="201" t="s">
        <v>93</v>
      </c>
      <c r="U12" s="201" t="s">
        <v>93</v>
      </c>
      <c r="V12" s="201" t="s">
        <v>93</v>
      </c>
      <c r="W12" s="200" t="s">
        <v>92</v>
      </c>
      <c r="X12" s="200" t="s">
        <v>93</v>
      </c>
      <c r="Y12" s="203">
        <v>2022.0</v>
      </c>
      <c r="Z12" s="204" t="s">
        <v>95</v>
      </c>
      <c r="AA12" s="204" t="s">
        <v>95</v>
      </c>
      <c r="AB12" s="205" t="s">
        <v>95</v>
      </c>
      <c r="AC12" s="201" t="s">
        <v>92</v>
      </c>
      <c r="AD12" s="201" t="s">
        <v>92</v>
      </c>
      <c r="AE12" s="201" t="s">
        <v>92</v>
      </c>
      <c r="AF12" s="201" t="s">
        <v>92</v>
      </c>
      <c r="AG12" s="206" t="s">
        <v>3606</v>
      </c>
      <c r="AH12" s="206" t="s">
        <v>3606</v>
      </c>
      <c r="AI12" s="218" t="s">
        <v>422</v>
      </c>
      <c r="AJ12" s="206" t="s">
        <v>3606</v>
      </c>
      <c r="AK12" s="203" t="s">
        <v>95</v>
      </c>
      <c r="AL12" s="208">
        <v>45378.0</v>
      </c>
      <c r="AM12" s="209" t="s">
        <v>3607</v>
      </c>
      <c r="AN12" s="201" t="s">
        <v>93</v>
      </c>
      <c r="AO12" s="210" t="s">
        <v>178</v>
      </c>
      <c r="AP12" s="210" t="s">
        <v>115</v>
      </c>
      <c r="AQ12" s="210" t="s">
        <v>106</v>
      </c>
      <c r="AR12" s="210" t="s">
        <v>116</v>
      </c>
      <c r="AS12" s="216" t="s">
        <v>426</v>
      </c>
      <c r="AT12" s="212"/>
      <c r="AU12" s="201"/>
      <c r="AV12" s="201"/>
    </row>
    <row r="13" ht="15.75" customHeight="1">
      <c r="A13" s="11" t="s">
        <v>1546</v>
      </c>
      <c r="B13" s="197" t="s">
        <v>1545</v>
      </c>
      <c r="C13" s="198" t="s">
        <v>3608</v>
      </c>
      <c r="D13" s="199" t="s">
        <v>87</v>
      </c>
      <c r="E13" s="201" t="s">
        <v>95</v>
      </c>
      <c r="F13" s="225" t="s">
        <v>95</v>
      </c>
      <c r="G13" s="201" t="s">
        <v>92</v>
      </c>
      <c r="H13" s="201" t="s">
        <v>92</v>
      </c>
      <c r="I13" s="201" t="s">
        <v>93</v>
      </c>
      <c r="J13" s="201">
        <v>2017.0</v>
      </c>
      <c r="K13" s="199" t="s">
        <v>3520</v>
      </c>
      <c r="L13" s="201" t="s">
        <v>3510</v>
      </c>
      <c r="M13" s="202">
        <v>7746.5</v>
      </c>
      <c r="N13" s="201" t="s">
        <v>92</v>
      </c>
      <c r="O13" s="201" t="s">
        <v>95</v>
      </c>
      <c r="P13" s="201" t="s">
        <v>93</v>
      </c>
      <c r="Q13" s="201" t="s">
        <v>92</v>
      </c>
      <c r="R13" s="201" t="s">
        <v>93</v>
      </c>
      <c r="S13" s="201" t="s">
        <v>93</v>
      </c>
      <c r="T13" s="201" t="s">
        <v>92</v>
      </c>
      <c r="U13" s="201" t="s">
        <v>92</v>
      </c>
      <c r="V13" s="201" t="s">
        <v>92</v>
      </c>
      <c r="W13" s="200" t="s">
        <v>92</v>
      </c>
      <c r="X13" s="200" t="s">
        <v>93</v>
      </c>
      <c r="Y13" s="203" t="s">
        <v>3557</v>
      </c>
      <c r="Z13" s="204" t="s">
        <v>95</v>
      </c>
      <c r="AA13" s="204" t="s">
        <v>95</v>
      </c>
      <c r="AB13" s="205" t="s">
        <v>95</v>
      </c>
      <c r="AC13" s="201" t="s">
        <v>92</v>
      </c>
      <c r="AD13" s="201" t="s">
        <v>93</v>
      </c>
      <c r="AE13" s="201" t="s">
        <v>93</v>
      </c>
      <c r="AF13" s="200" t="s">
        <v>95</v>
      </c>
      <c r="AG13" s="201"/>
      <c r="AH13" s="201"/>
      <c r="AI13" s="218" t="s">
        <v>1545</v>
      </c>
      <c r="AJ13" s="201"/>
      <c r="AK13" s="203" t="s">
        <v>95</v>
      </c>
      <c r="AL13" s="208">
        <v>45397.0</v>
      </c>
      <c r="AM13" s="209" t="s">
        <v>3609</v>
      </c>
      <c r="AN13" s="201" t="s">
        <v>92</v>
      </c>
      <c r="AO13" s="210" t="s">
        <v>1550</v>
      </c>
      <c r="AP13" s="210" t="s">
        <v>333</v>
      </c>
      <c r="AQ13" s="211" t="s">
        <v>1565</v>
      </c>
      <c r="AR13" s="219"/>
      <c r="AS13" s="212"/>
      <c r="AT13" s="212"/>
      <c r="AU13" s="201"/>
      <c r="AV13" s="201"/>
    </row>
    <row r="14" ht="15.75" customHeight="1">
      <c r="A14" s="11" t="s">
        <v>1515</v>
      </c>
      <c r="B14" s="223" t="s">
        <v>1514</v>
      </c>
      <c r="C14" s="198" t="s">
        <v>3577</v>
      </c>
      <c r="D14" s="199" t="s">
        <v>87</v>
      </c>
      <c r="E14" s="201" t="s">
        <v>95</v>
      </c>
      <c r="F14" s="225" t="s">
        <v>95</v>
      </c>
      <c r="G14" s="201" t="s">
        <v>92</v>
      </c>
      <c r="H14" s="201" t="s">
        <v>93</v>
      </c>
      <c r="I14" s="201" t="s">
        <v>92</v>
      </c>
      <c r="J14" s="201">
        <v>1964.0</v>
      </c>
      <c r="K14" s="199" t="s">
        <v>3605</v>
      </c>
      <c r="L14" s="201" t="s">
        <v>3510</v>
      </c>
      <c r="M14" s="224">
        <v>21068.8</v>
      </c>
      <c r="N14" s="201" t="s">
        <v>92</v>
      </c>
      <c r="O14" s="201" t="s">
        <v>95</v>
      </c>
      <c r="P14" s="201" t="s">
        <v>93</v>
      </c>
      <c r="Q14" s="201" t="s">
        <v>93</v>
      </c>
      <c r="R14" s="201" t="s">
        <v>93</v>
      </c>
      <c r="S14" s="201" t="s">
        <v>93</v>
      </c>
      <c r="T14" s="201" t="s">
        <v>93</v>
      </c>
      <c r="U14" s="201" t="s">
        <v>93</v>
      </c>
      <c r="V14" s="201" t="s">
        <v>93</v>
      </c>
      <c r="W14" s="200" t="s">
        <v>92</v>
      </c>
      <c r="X14" s="200" t="s">
        <v>93</v>
      </c>
      <c r="Y14" s="203" t="s">
        <v>3610</v>
      </c>
      <c r="Z14" s="204" t="s">
        <v>95</v>
      </c>
      <c r="AA14" s="204" t="s">
        <v>3611</v>
      </c>
      <c r="AB14" s="205" t="s">
        <v>3612</v>
      </c>
      <c r="AC14" s="201" t="s">
        <v>92</v>
      </c>
      <c r="AD14" s="201" t="s">
        <v>92</v>
      </c>
      <c r="AE14" s="201" t="s">
        <v>92</v>
      </c>
      <c r="AF14" s="201" t="s">
        <v>92</v>
      </c>
      <c r="AG14" s="206" t="s">
        <v>1532</v>
      </c>
      <c r="AH14" s="206" t="s">
        <v>1532</v>
      </c>
      <c r="AI14" s="207" t="s">
        <v>1532</v>
      </c>
      <c r="AJ14" s="206" t="s">
        <v>1532</v>
      </c>
      <c r="AK14" s="203" t="s">
        <v>95</v>
      </c>
      <c r="AL14" s="208">
        <v>45378.0</v>
      </c>
      <c r="AM14" s="209" t="s">
        <v>95</v>
      </c>
      <c r="AN14" s="201" t="s">
        <v>93</v>
      </c>
      <c r="AO14" s="210" t="s">
        <v>178</v>
      </c>
      <c r="AP14" s="210" t="s">
        <v>115</v>
      </c>
      <c r="AQ14" s="210" t="s">
        <v>106</v>
      </c>
      <c r="AR14" s="210" t="s">
        <v>116</v>
      </c>
      <c r="AS14" s="212"/>
      <c r="AT14" s="212"/>
      <c r="AU14" s="201"/>
      <c r="AV14" s="201"/>
    </row>
    <row r="15" ht="15.75" customHeight="1">
      <c r="A15" s="11" t="s">
        <v>885</v>
      </c>
      <c r="B15" s="223" t="s">
        <v>903</v>
      </c>
      <c r="C15" s="198" t="s">
        <v>3613</v>
      </c>
      <c r="D15" s="199" t="s">
        <v>87</v>
      </c>
      <c r="E15" s="201" t="s">
        <v>95</v>
      </c>
      <c r="F15" s="225" t="s">
        <v>95</v>
      </c>
      <c r="G15" s="201" t="s">
        <v>92</v>
      </c>
      <c r="H15" s="201" t="s">
        <v>93</v>
      </c>
      <c r="I15" s="201" t="s">
        <v>92</v>
      </c>
      <c r="J15" s="201">
        <v>1975.0</v>
      </c>
      <c r="K15" s="199" t="s">
        <v>3614</v>
      </c>
      <c r="L15" s="201" t="s">
        <v>3510</v>
      </c>
      <c r="M15" s="224">
        <v>15316.5</v>
      </c>
      <c r="N15" s="201" t="s">
        <v>92</v>
      </c>
      <c r="O15" s="201" t="s">
        <v>95</v>
      </c>
      <c r="P15" s="201" t="s">
        <v>93</v>
      </c>
      <c r="Q15" s="201" t="s">
        <v>93</v>
      </c>
      <c r="R15" s="201" t="s">
        <v>93</v>
      </c>
      <c r="S15" s="201" t="s">
        <v>93</v>
      </c>
      <c r="T15" s="201" t="s">
        <v>93</v>
      </c>
      <c r="U15" s="201" t="s">
        <v>93</v>
      </c>
      <c r="V15" s="200" t="s">
        <v>92</v>
      </c>
      <c r="W15" s="200" t="s">
        <v>92</v>
      </c>
      <c r="X15" s="200" t="s">
        <v>92</v>
      </c>
      <c r="Y15" s="203" t="s">
        <v>95</v>
      </c>
      <c r="Z15" s="204" t="s">
        <v>95</v>
      </c>
      <c r="AA15" s="204" t="s">
        <v>95</v>
      </c>
      <c r="AB15" s="205" t="s">
        <v>95</v>
      </c>
      <c r="AC15" s="201" t="s">
        <v>105</v>
      </c>
      <c r="AD15" s="201" t="s">
        <v>105</v>
      </c>
      <c r="AE15" s="201" t="s">
        <v>93</v>
      </c>
      <c r="AF15" s="200" t="s">
        <v>92</v>
      </c>
      <c r="AG15" s="206" t="s">
        <v>3615</v>
      </c>
      <c r="AH15" s="206" t="s">
        <v>3615</v>
      </c>
      <c r="AI15" s="207" t="s">
        <v>3615</v>
      </c>
      <c r="AJ15" s="206" t="s">
        <v>3615</v>
      </c>
      <c r="AK15" s="203" t="s">
        <v>95</v>
      </c>
      <c r="AL15" s="208">
        <v>45378.0</v>
      </c>
      <c r="AM15" s="209" t="s">
        <v>3616</v>
      </c>
      <c r="AN15" s="201" t="s">
        <v>92</v>
      </c>
      <c r="AO15" s="210" t="s">
        <v>766</v>
      </c>
      <c r="AP15" s="210" t="s">
        <v>894</v>
      </c>
      <c r="AQ15" s="211" t="s">
        <v>908</v>
      </c>
      <c r="AR15" s="219"/>
      <c r="AS15" s="212"/>
      <c r="AT15" s="212"/>
      <c r="AU15" s="201"/>
      <c r="AV15" s="201"/>
    </row>
    <row r="16" ht="15.75" customHeight="1">
      <c r="A16" s="11" t="s">
        <v>760</v>
      </c>
      <c r="B16" s="223" t="s">
        <v>759</v>
      </c>
      <c r="C16" s="198" t="s">
        <v>3617</v>
      </c>
      <c r="D16" s="199" t="s">
        <v>87</v>
      </c>
      <c r="E16" s="201" t="s">
        <v>95</v>
      </c>
      <c r="F16" s="225" t="s">
        <v>95</v>
      </c>
      <c r="G16" s="201" t="s">
        <v>92</v>
      </c>
      <c r="H16" s="201" t="s">
        <v>93</v>
      </c>
      <c r="I16" s="201" t="s">
        <v>92</v>
      </c>
      <c r="J16" s="201">
        <v>1963.0</v>
      </c>
      <c r="K16" s="199" t="s">
        <v>3605</v>
      </c>
      <c r="L16" s="201" t="s">
        <v>3510</v>
      </c>
      <c r="M16" s="202">
        <v>10322.9</v>
      </c>
      <c r="N16" s="201" t="s">
        <v>93</v>
      </c>
      <c r="O16" s="201" t="s">
        <v>3618</v>
      </c>
      <c r="P16" s="201" t="s">
        <v>93</v>
      </c>
      <c r="Q16" s="201" t="s">
        <v>93</v>
      </c>
      <c r="R16" s="201" t="s">
        <v>93</v>
      </c>
      <c r="S16" s="201" t="s">
        <v>93</v>
      </c>
      <c r="T16" s="201" t="s">
        <v>93</v>
      </c>
      <c r="U16" s="201" t="s">
        <v>93</v>
      </c>
      <c r="V16" s="201" t="s">
        <v>92</v>
      </c>
      <c r="W16" s="201" t="s">
        <v>93</v>
      </c>
      <c r="X16" s="200" t="s">
        <v>93</v>
      </c>
      <c r="Y16" s="203" t="s">
        <v>3619</v>
      </c>
      <c r="Z16" s="204" t="s">
        <v>95</v>
      </c>
      <c r="AA16" s="204" t="s">
        <v>95</v>
      </c>
      <c r="AB16" s="205" t="s">
        <v>95</v>
      </c>
      <c r="AC16" s="201" t="s">
        <v>105</v>
      </c>
      <c r="AD16" s="201" t="s">
        <v>105</v>
      </c>
      <c r="AE16" s="201" t="s">
        <v>93</v>
      </c>
      <c r="AF16" s="201" t="s">
        <v>93</v>
      </c>
      <c r="AG16" s="206" t="s">
        <v>759</v>
      </c>
      <c r="AH16" s="206" t="s">
        <v>759</v>
      </c>
      <c r="AI16" s="207" t="s">
        <v>759</v>
      </c>
      <c r="AJ16" s="206" t="s">
        <v>759</v>
      </c>
      <c r="AK16" s="207" t="s">
        <v>3618</v>
      </c>
      <c r="AL16" s="208">
        <v>45383.0</v>
      </c>
      <c r="AM16" s="209" t="s">
        <v>3620</v>
      </c>
      <c r="AN16" s="201" t="s">
        <v>92</v>
      </c>
      <c r="AO16" s="210" t="s">
        <v>766</v>
      </c>
      <c r="AP16" s="210" t="s">
        <v>3621</v>
      </c>
      <c r="AQ16" s="210" t="s">
        <v>777</v>
      </c>
      <c r="AR16" s="219"/>
      <c r="AS16" s="212"/>
      <c r="AT16" s="212"/>
      <c r="AU16" s="201"/>
      <c r="AV16" s="201"/>
    </row>
    <row r="17" ht="15.75" customHeight="1">
      <c r="A17" s="11" t="s">
        <v>995</v>
      </c>
      <c r="B17" s="223" t="s">
        <v>994</v>
      </c>
      <c r="C17" s="198" t="s">
        <v>3622</v>
      </c>
      <c r="D17" s="199" t="s">
        <v>87</v>
      </c>
      <c r="E17" s="201" t="s">
        <v>95</v>
      </c>
      <c r="F17" s="225" t="s">
        <v>95</v>
      </c>
      <c r="G17" s="201" t="s">
        <v>92</v>
      </c>
      <c r="H17" s="201" t="s">
        <v>93</v>
      </c>
      <c r="I17" s="201" t="s">
        <v>92</v>
      </c>
      <c r="J17" s="201">
        <v>1937.0</v>
      </c>
      <c r="K17" s="199" t="s">
        <v>3623</v>
      </c>
      <c r="L17" s="201" t="s">
        <v>3510</v>
      </c>
      <c r="M17" s="202">
        <v>10105.1</v>
      </c>
      <c r="N17" s="201" t="s">
        <v>92</v>
      </c>
      <c r="O17" s="201" t="s">
        <v>95</v>
      </c>
      <c r="P17" s="201" t="s">
        <v>93</v>
      </c>
      <c r="Q17" s="201" t="s">
        <v>92</v>
      </c>
      <c r="R17" s="201" t="s">
        <v>93</v>
      </c>
      <c r="S17" s="201" t="s">
        <v>93</v>
      </c>
      <c r="T17" s="201" t="s">
        <v>93</v>
      </c>
      <c r="U17" s="201" t="s">
        <v>93</v>
      </c>
      <c r="V17" s="201" t="s">
        <v>92</v>
      </c>
      <c r="W17" s="200" t="s">
        <v>92</v>
      </c>
      <c r="X17" s="200" t="s">
        <v>92</v>
      </c>
      <c r="Y17" s="203" t="s">
        <v>95</v>
      </c>
      <c r="Z17" s="204" t="s">
        <v>95</v>
      </c>
      <c r="AA17" s="204" t="s">
        <v>95</v>
      </c>
      <c r="AB17" s="205" t="s">
        <v>95</v>
      </c>
      <c r="AC17" s="201" t="s">
        <v>92</v>
      </c>
      <c r="AD17" s="201" t="s">
        <v>92</v>
      </c>
      <c r="AE17" s="201" t="s">
        <v>93</v>
      </c>
      <c r="AF17" s="201" t="s">
        <v>93</v>
      </c>
      <c r="AG17" s="206" t="s">
        <v>994</v>
      </c>
      <c r="AH17" s="206" t="s">
        <v>994</v>
      </c>
      <c r="AI17" s="207" t="s">
        <v>994</v>
      </c>
      <c r="AJ17" s="206" t="s">
        <v>994</v>
      </c>
      <c r="AK17" s="203" t="s">
        <v>95</v>
      </c>
      <c r="AL17" s="208">
        <v>45383.0</v>
      </c>
      <c r="AM17" s="62" t="s">
        <v>3624</v>
      </c>
      <c r="AN17" s="201" t="s">
        <v>93</v>
      </c>
      <c r="AO17" s="210" t="s">
        <v>1001</v>
      </c>
      <c r="AP17" s="210" t="s">
        <v>1006</v>
      </c>
      <c r="AQ17" s="219"/>
      <c r="AR17" s="219"/>
      <c r="AS17" s="212"/>
      <c r="AT17" s="212"/>
      <c r="AU17" s="201"/>
      <c r="AV17" s="201"/>
    </row>
    <row r="18" ht="15.75" customHeight="1">
      <c r="A18" s="11" t="s">
        <v>940</v>
      </c>
      <c r="B18" s="223" t="s">
        <v>939</v>
      </c>
      <c r="C18" s="198" t="s">
        <v>3608</v>
      </c>
      <c r="D18" s="199" t="s">
        <v>87</v>
      </c>
      <c r="E18" s="201" t="s">
        <v>95</v>
      </c>
      <c r="F18" s="225" t="s">
        <v>95</v>
      </c>
      <c r="G18" s="201" t="s">
        <v>92</v>
      </c>
      <c r="H18" s="201" t="s">
        <v>93</v>
      </c>
      <c r="I18" s="201" t="s">
        <v>92</v>
      </c>
      <c r="J18" s="201">
        <v>1976.0</v>
      </c>
      <c r="K18" s="199" t="s">
        <v>3520</v>
      </c>
      <c r="L18" s="201" t="s">
        <v>3510</v>
      </c>
      <c r="M18" s="202">
        <v>9028.3</v>
      </c>
      <c r="N18" s="201" t="s">
        <v>93</v>
      </c>
      <c r="O18" s="201" t="s">
        <v>988</v>
      </c>
      <c r="P18" s="200" t="s">
        <v>93</v>
      </c>
      <c r="Q18" s="201" t="s">
        <v>93</v>
      </c>
      <c r="R18" s="201" t="s">
        <v>93</v>
      </c>
      <c r="S18" s="201" t="s">
        <v>92</v>
      </c>
      <c r="T18" s="201" t="s">
        <v>93</v>
      </c>
      <c r="U18" s="201" t="s">
        <v>93</v>
      </c>
      <c r="V18" s="201" t="s">
        <v>92</v>
      </c>
      <c r="W18" s="200" t="s">
        <v>92</v>
      </c>
      <c r="X18" s="200" t="s">
        <v>93</v>
      </c>
      <c r="Y18" s="203">
        <v>2022.0</v>
      </c>
      <c r="Z18" s="204" t="s">
        <v>95</v>
      </c>
      <c r="AA18" s="204" t="s">
        <v>95</v>
      </c>
      <c r="AB18" s="204" t="s">
        <v>95</v>
      </c>
      <c r="AC18" s="201" t="s">
        <v>93</v>
      </c>
      <c r="AD18" s="201" t="s">
        <v>92</v>
      </c>
      <c r="AE18" s="201" t="s">
        <v>93</v>
      </c>
      <c r="AF18" s="200" t="s">
        <v>92</v>
      </c>
      <c r="AG18" s="206" t="s">
        <v>939</v>
      </c>
      <c r="AH18" s="206" t="s">
        <v>939</v>
      </c>
      <c r="AI18" s="207" t="s">
        <v>939</v>
      </c>
      <c r="AJ18" s="206" t="s">
        <v>939</v>
      </c>
      <c r="AK18" s="207" t="s">
        <v>988</v>
      </c>
      <c r="AL18" s="208">
        <v>45384.0</v>
      </c>
      <c r="AM18" s="62" t="s">
        <v>95</v>
      </c>
      <c r="AN18" s="200" t="s">
        <v>93</v>
      </c>
      <c r="AO18" s="210" t="s">
        <v>178</v>
      </c>
      <c r="AP18" s="210" t="s">
        <v>115</v>
      </c>
      <c r="AQ18" s="210" t="s">
        <v>106</v>
      </c>
      <c r="AR18" s="211" t="s">
        <v>116</v>
      </c>
      <c r="AS18" s="212"/>
      <c r="AT18" s="212"/>
      <c r="AU18" s="201"/>
      <c r="AV18" s="201"/>
    </row>
    <row r="19" ht="15.75" customHeight="1">
      <c r="A19" s="11" t="s">
        <v>491</v>
      </c>
      <c r="B19" s="223" t="s">
        <v>490</v>
      </c>
      <c r="C19" s="198" t="s">
        <v>3625</v>
      </c>
      <c r="D19" s="199" t="s">
        <v>87</v>
      </c>
      <c r="E19" s="201" t="s">
        <v>95</v>
      </c>
      <c r="F19" s="225" t="s">
        <v>95</v>
      </c>
      <c r="G19" s="201" t="s">
        <v>92</v>
      </c>
      <c r="H19" s="201" t="s">
        <v>92</v>
      </c>
      <c r="I19" s="201" t="s">
        <v>92</v>
      </c>
      <c r="J19" s="201">
        <v>1964.0</v>
      </c>
      <c r="K19" s="199" t="s">
        <v>3614</v>
      </c>
      <c r="L19" s="201" t="s">
        <v>3510</v>
      </c>
      <c r="M19" s="202">
        <v>8626.4</v>
      </c>
      <c r="N19" s="201" t="s">
        <v>92</v>
      </c>
      <c r="O19" s="201" t="s">
        <v>95</v>
      </c>
      <c r="P19" s="201" t="s">
        <v>93</v>
      </c>
      <c r="Q19" s="201" t="s">
        <v>92</v>
      </c>
      <c r="R19" s="201" t="s">
        <v>93</v>
      </c>
      <c r="S19" s="201" t="s">
        <v>93</v>
      </c>
      <c r="T19" s="201" t="s">
        <v>93</v>
      </c>
      <c r="U19" s="201" t="s">
        <v>93</v>
      </c>
      <c r="V19" s="201" t="s">
        <v>92</v>
      </c>
      <c r="W19" s="200" t="s">
        <v>92</v>
      </c>
      <c r="X19" s="200" t="s">
        <v>93</v>
      </c>
      <c r="Y19" s="203" t="s">
        <v>3532</v>
      </c>
      <c r="Z19" s="204" t="s">
        <v>3626</v>
      </c>
      <c r="AA19" s="204" t="s">
        <v>3627</v>
      </c>
      <c r="AB19" s="205" t="s">
        <v>3628</v>
      </c>
      <c r="AC19" s="201" t="s">
        <v>93</v>
      </c>
      <c r="AD19" s="201" t="s">
        <v>92</v>
      </c>
      <c r="AE19" s="201" t="s">
        <v>93</v>
      </c>
      <c r="AF19" s="200" t="s">
        <v>93</v>
      </c>
      <c r="AG19" s="206" t="s">
        <v>3629</v>
      </c>
      <c r="AH19" s="201" t="s">
        <v>3537</v>
      </c>
      <c r="AI19" s="207" t="s">
        <v>3629</v>
      </c>
      <c r="AJ19" s="201" t="s">
        <v>3601</v>
      </c>
      <c r="AK19" s="203" t="s">
        <v>95</v>
      </c>
      <c r="AL19" s="208">
        <v>45391.0</v>
      </c>
      <c r="AM19" s="209" t="s">
        <v>3630</v>
      </c>
      <c r="AN19" s="200" t="s">
        <v>93</v>
      </c>
      <c r="AO19" s="210" t="s">
        <v>240</v>
      </c>
      <c r="AP19" s="210" t="s">
        <v>115</v>
      </c>
      <c r="AQ19" s="211" t="s">
        <v>106</v>
      </c>
      <c r="AR19" s="211" t="s">
        <v>116</v>
      </c>
      <c r="AS19" s="212"/>
      <c r="AT19" s="212"/>
      <c r="AU19" s="201"/>
      <c r="AV19" s="201"/>
    </row>
    <row r="20" ht="15.75" customHeight="1">
      <c r="A20" s="11" t="s">
        <v>504</v>
      </c>
      <c r="B20" s="223" t="s">
        <v>503</v>
      </c>
      <c r="C20" s="198" t="s">
        <v>3631</v>
      </c>
      <c r="D20" s="199" t="s">
        <v>87</v>
      </c>
      <c r="E20" s="201" t="s">
        <v>95</v>
      </c>
      <c r="F20" s="225" t="s">
        <v>95</v>
      </c>
      <c r="G20" s="201" t="s">
        <v>92</v>
      </c>
      <c r="H20" s="201" t="s">
        <v>93</v>
      </c>
      <c r="I20" s="201" t="s">
        <v>92</v>
      </c>
      <c r="J20" s="201">
        <v>1967.0</v>
      </c>
      <c r="K20" s="199" t="s">
        <v>3544</v>
      </c>
      <c r="L20" s="201" t="s">
        <v>3510</v>
      </c>
      <c r="M20" s="202">
        <v>8411.2</v>
      </c>
      <c r="N20" s="201" t="s">
        <v>92</v>
      </c>
      <c r="O20" s="201" t="s">
        <v>95</v>
      </c>
      <c r="P20" s="201" t="s">
        <v>93</v>
      </c>
      <c r="Q20" s="201" t="s">
        <v>93</v>
      </c>
      <c r="R20" s="201" t="s">
        <v>93</v>
      </c>
      <c r="S20" s="201" t="s">
        <v>93</v>
      </c>
      <c r="T20" s="201" t="s">
        <v>93</v>
      </c>
      <c r="U20" s="201" t="s">
        <v>93</v>
      </c>
      <c r="V20" s="201" t="s">
        <v>92</v>
      </c>
      <c r="W20" s="200" t="s">
        <v>92</v>
      </c>
      <c r="X20" s="200" t="s">
        <v>92</v>
      </c>
      <c r="Y20" s="203" t="s">
        <v>95</v>
      </c>
      <c r="Z20" s="204" t="s">
        <v>95</v>
      </c>
      <c r="AA20" s="204" t="s">
        <v>95</v>
      </c>
      <c r="AB20" s="205" t="s">
        <v>95</v>
      </c>
      <c r="AC20" s="201" t="s">
        <v>92</v>
      </c>
      <c r="AD20" s="201" t="s">
        <v>92</v>
      </c>
      <c r="AE20" s="201" t="s">
        <v>92</v>
      </c>
      <c r="AF20" s="201" t="s">
        <v>105</v>
      </c>
      <c r="AG20" s="206" t="s">
        <v>503</v>
      </c>
      <c r="AH20" s="206" t="s">
        <v>503</v>
      </c>
      <c r="AI20" s="207" t="s">
        <v>503</v>
      </c>
      <c r="AJ20" s="206" t="s">
        <v>503</v>
      </c>
      <c r="AK20" s="203" t="s">
        <v>95</v>
      </c>
      <c r="AL20" s="208">
        <v>45391.0</v>
      </c>
      <c r="AM20" s="62" t="s">
        <v>3630</v>
      </c>
      <c r="AN20" s="201" t="s">
        <v>92</v>
      </c>
      <c r="AO20" s="210" t="s">
        <v>178</v>
      </c>
      <c r="AP20" s="210" t="s">
        <v>115</v>
      </c>
      <c r="AQ20" s="210" t="s">
        <v>106</v>
      </c>
      <c r="AR20" s="219"/>
      <c r="AS20" s="212"/>
      <c r="AT20" s="212"/>
      <c r="AU20" s="201"/>
      <c r="AV20" s="201"/>
    </row>
    <row r="21" ht="15.75" customHeight="1">
      <c r="A21" s="11" t="s">
        <v>1492</v>
      </c>
      <c r="B21" s="228" t="s">
        <v>1491</v>
      </c>
      <c r="C21" s="198" t="s">
        <v>3632</v>
      </c>
      <c r="D21" s="199" t="s">
        <v>87</v>
      </c>
      <c r="E21" s="201" t="s">
        <v>95</v>
      </c>
      <c r="F21" s="225" t="s">
        <v>95</v>
      </c>
      <c r="G21" s="201" t="s">
        <v>92</v>
      </c>
      <c r="H21" s="201" t="s">
        <v>93</v>
      </c>
      <c r="I21" s="201" t="s">
        <v>92</v>
      </c>
      <c r="J21" s="201">
        <v>1995.0</v>
      </c>
      <c r="K21" s="199" t="s">
        <v>3605</v>
      </c>
      <c r="L21" s="201" t="s">
        <v>3510</v>
      </c>
      <c r="M21" s="202">
        <v>8315.9</v>
      </c>
      <c r="N21" s="201" t="s">
        <v>92</v>
      </c>
      <c r="O21" s="201" t="s">
        <v>95</v>
      </c>
      <c r="P21" s="201" t="s">
        <v>93</v>
      </c>
      <c r="Q21" s="201" t="s">
        <v>93</v>
      </c>
      <c r="R21" s="201" t="s">
        <v>93</v>
      </c>
      <c r="S21" s="201" t="s">
        <v>93</v>
      </c>
      <c r="T21" s="201" t="s">
        <v>93</v>
      </c>
      <c r="U21" s="201" t="s">
        <v>93</v>
      </c>
      <c r="V21" s="201" t="s">
        <v>92</v>
      </c>
      <c r="W21" s="200" t="s">
        <v>92</v>
      </c>
      <c r="X21" s="200" t="s">
        <v>92</v>
      </c>
      <c r="Y21" s="203" t="s">
        <v>95</v>
      </c>
      <c r="Z21" s="204" t="s">
        <v>95</v>
      </c>
      <c r="AA21" s="204" t="s">
        <v>95</v>
      </c>
      <c r="AB21" s="205" t="s">
        <v>95</v>
      </c>
      <c r="AC21" s="201" t="s">
        <v>92</v>
      </c>
      <c r="AD21" s="201" t="s">
        <v>92</v>
      </c>
      <c r="AE21" s="201" t="s">
        <v>93</v>
      </c>
      <c r="AF21" s="201" t="s">
        <v>92</v>
      </c>
      <c r="AG21" s="226" t="s">
        <v>3633</v>
      </c>
      <c r="AH21" s="226" t="s">
        <v>3633</v>
      </c>
      <c r="AI21" s="227" t="s">
        <v>3633</v>
      </c>
      <c r="AJ21" s="226" t="s">
        <v>3633</v>
      </c>
      <c r="AK21" s="203" t="s">
        <v>95</v>
      </c>
      <c r="AL21" s="203" t="s">
        <v>3634</v>
      </c>
      <c r="AM21" s="209" t="s">
        <v>95</v>
      </c>
      <c r="AN21" s="201" t="s">
        <v>93</v>
      </c>
      <c r="AO21" s="210" t="s">
        <v>1507</v>
      </c>
      <c r="AP21" s="210" t="s">
        <v>1497</v>
      </c>
      <c r="AQ21" s="210" t="s">
        <v>3635</v>
      </c>
      <c r="AR21" s="210" t="s">
        <v>3636</v>
      </c>
      <c r="AS21" s="216" t="s">
        <v>1195</v>
      </c>
      <c r="AT21" s="212"/>
      <c r="AU21" s="201"/>
      <c r="AV21" s="201"/>
    </row>
    <row r="22" ht="15.75" customHeight="1">
      <c r="A22" s="11" t="s">
        <v>315</v>
      </c>
      <c r="B22" s="197" t="s">
        <v>3637</v>
      </c>
      <c r="C22" s="198" t="s">
        <v>3638</v>
      </c>
      <c r="D22" s="199" t="s">
        <v>87</v>
      </c>
      <c r="E22" s="201" t="s">
        <v>95</v>
      </c>
      <c r="F22" s="225" t="s">
        <v>95</v>
      </c>
      <c r="G22" s="201" t="s">
        <v>92</v>
      </c>
      <c r="H22" s="201" t="s">
        <v>92</v>
      </c>
      <c r="I22" s="201" t="s">
        <v>92</v>
      </c>
      <c r="J22" s="201">
        <v>1985.0</v>
      </c>
      <c r="K22" s="199" t="s">
        <v>3605</v>
      </c>
      <c r="L22" s="201" t="s">
        <v>3510</v>
      </c>
      <c r="M22" s="202">
        <v>8174.7</v>
      </c>
      <c r="N22" s="201" t="s">
        <v>92</v>
      </c>
      <c r="O22" s="201" t="s">
        <v>95</v>
      </c>
      <c r="P22" s="200" t="s">
        <v>93</v>
      </c>
      <c r="Q22" s="201" t="s">
        <v>92</v>
      </c>
      <c r="R22" s="201" t="s">
        <v>93</v>
      </c>
      <c r="S22" s="201" t="s">
        <v>92</v>
      </c>
      <c r="T22" s="201" t="s">
        <v>92</v>
      </c>
      <c r="U22" s="201" t="s">
        <v>92</v>
      </c>
      <c r="V22" s="201" t="s">
        <v>92</v>
      </c>
      <c r="W22" s="200" t="s">
        <v>92</v>
      </c>
      <c r="X22" s="200" t="s">
        <v>92</v>
      </c>
      <c r="Y22" s="203" t="s">
        <v>95</v>
      </c>
      <c r="Z22" s="204" t="s">
        <v>95</v>
      </c>
      <c r="AA22" s="204" t="s">
        <v>95</v>
      </c>
      <c r="AB22" s="205" t="s">
        <v>95</v>
      </c>
      <c r="AC22" s="201" t="s">
        <v>105</v>
      </c>
      <c r="AD22" s="201" t="s">
        <v>93</v>
      </c>
      <c r="AE22" s="201" t="s">
        <v>93</v>
      </c>
      <c r="AF22" s="201" t="s">
        <v>105</v>
      </c>
      <c r="AG22" s="206" t="s">
        <v>3637</v>
      </c>
      <c r="AH22" s="206" t="s">
        <v>3637</v>
      </c>
      <c r="AI22" s="207" t="s">
        <v>3637</v>
      </c>
      <c r="AJ22" s="206" t="s">
        <v>3637</v>
      </c>
      <c r="AK22" s="203" t="s">
        <v>95</v>
      </c>
      <c r="AL22" s="208">
        <v>45394.0</v>
      </c>
      <c r="AM22" s="209" t="s">
        <v>3639</v>
      </c>
      <c r="AN22" s="201" t="s">
        <v>92</v>
      </c>
      <c r="AO22" s="210" t="s">
        <v>115</v>
      </c>
      <c r="AP22" s="210" t="s">
        <v>321</v>
      </c>
      <c r="AQ22" s="219"/>
      <c r="AR22" s="219"/>
      <c r="AS22" s="212"/>
      <c r="AT22" s="212"/>
      <c r="AU22" s="201"/>
      <c r="AV22" s="201"/>
    </row>
    <row r="23" ht="15.75" customHeight="1">
      <c r="A23" s="11" t="s">
        <v>150</v>
      </c>
      <c r="B23" s="197" t="s">
        <v>149</v>
      </c>
      <c r="C23" s="198" t="s">
        <v>3640</v>
      </c>
      <c r="D23" s="199" t="s">
        <v>87</v>
      </c>
      <c r="E23" s="201" t="s">
        <v>95</v>
      </c>
      <c r="F23" s="225" t="s">
        <v>95</v>
      </c>
      <c r="G23" s="201" t="s">
        <v>92</v>
      </c>
      <c r="H23" s="201" t="s">
        <v>93</v>
      </c>
      <c r="I23" s="201" t="s">
        <v>92</v>
      </c>
      <c r="J23" s="201">
        <v>1951.0</v>
      </c>
      <c r="K23" s="199" t="s">
        <v>3605</v>
      </c>
      <c r="L23" s="201" t="s">
        <v>3510</v>
      </c>
      <c r="M23" s="202">
        <v>7292.4</v>
      </c>
      <c r="N23" s="201" t="s">
        <v>93</v>
      </c>
      <c r="O23" s="201" t="s">
        <v>3641</v>
      </c>
      <c r="P23" s="201" t="s">
        <v>93</v>
      </c>
      <c r="Q23" s="201" t="s">
        <v>93</v>
      </c>
      <c r="R23" s="201" t="s">
        <v>93</v>
      </c>
      <c r="S23" s="201" t="s">
        <v>93</v>
      </c>
      <c r="T23" s="201" t="s">
        <v>93</v>
      </c>
      <c r="U23" s="201" t="s">
        <v>93</v>
      </c>
      <c r="V23" s="201" t="s">
        <v>92</v>
      </c>
      <c r="W23" s="201" t="s">
        <v>93</v>
      </c>
      <c r="X23" s="200" t="s">
        <v>93</v>
      </c>
      <c r="Y23" s="203">
        <v>2020.0</v>
      </c>
      <c r="Z23" s="204" t="s">
        <v>95</v>
      </c>
      <c r="AA23" s="229" t="s">
        <v>3642</v>
      </c>
      <c r="AB23" s="230" t="s">
        <v>3643</v>
      </c>
      <c r="AC23" s="201" t="s">
        <v>93</v>
      </c>
      <c r="AD23" s="201" t="s">
        <v>93</v>
      </c>
      <c r="AE23" s="201" t="s">
        <v>93</v>
      </c>
      <c r="AF23" s="201" t="s">
        <v>93</v>
      </c>
      <c r="AG23" s="201"/>
      <c r="AH23" s="201"/>
      <c r="AI23" s="207" t="s">
        <v>149</v>
      </c>
      <c r="AJ23" s="201"/>
      <c r="AK23" s="218" t="s">
        <v>3641</v>
      </c>
      <c r="AL23" s="208">
        <v>45399.0</v>
      </c>
      <c r="AM23" s="209" t="s">
        <v>95</v>
      </c>
      <c r="AN23" s="201" t="s">
        <v>93</v>
      </c>
      <c r="AO23" s="210" t="s">
        <v>178</v>
      </c>
      <c r="AP23" s="210" t="s">
        <v>115</v>
      </c>
      <c r="AQ23" s="210" t="s">
        <v>106</v>
      </c>
      <c r="AR23" s="210" t="s">
        <v>116</v>
      </c>
      <c r="AS23" s="216" t="s">
        <v>157</v>
      </c>
      <c r="AT23" s="216" t="s">
        <v>170</v>
      </c>
      <c r="AU23" s="201"/>
      <c r="AV23" s="201"/>
    </row>
    <row r="24" ht="15.75" customHeight="1">
      <c r="A24" s="11" t="s">
        <v>652</v>
      </c>
      <c r="B24" s="203" t="s">
        <v>487</v>
      </c>
      <c r="C24" s="198" t="s">
        <v>3644</v>
      </c>
      <c r="D24" s="199" t="s">
        <v>87</v>
      </c>
      <c r="E24" s="201" t="s">
        <v>95</v>
      </c>
      <c r="F24" s="225" t="s">
        <v>95</v>
      </c>
      <c r="G24" s="201" t="s">
        <v>92</v>
      </c>
      <c r="H24" s="201" t="s">
        <v>93</v>
      </c>
      <c r="I24" s="201" t="s">
        <v>92</v>
      </c>
      <c r="J24" s="201">
        <v>1951.0</v>
      </c>
      <c r="K24" s="199" t="s">
        <v>3605</v>
      </c>
      <c r="L24" s="201" t="s">
        <v>3510</v>
      </c>
      <c r="M24" s="202">
        <v>6941.3</v>
      </c>
      <c r="N24" s="201" t="s">
        <v>93</v>
      </c>
      <c r="O24" s="201" t="s">
        <v>3645</v>
      </c>
      <c r="P24" s="200" t="s">
        <v>93</v>
      </c>
      <c r="Q24" s="201" t="s">
        <v>93</v>
      </c>
      <c r="R24" s="201" t="s">
        <v>93</v>
      </c>
      <c r="S24" s="201" t="s">
        <v>92</v>
      </c>
      <c r="T24" s="201" t="s">
        <v>93</v>
      </c>
      <c r="U24" s="201" t="s">
        <v>93</v>
      </c>
      <c r="V24" s="201" t="s">
        <v>92</v>
      </c>
      <c r="W24" s="201" t="s">
        <v>92</v>
      </c>
      <c r="X24" s="200" t="s">
        <v>92</v>
      </c>
      <c r="Y24" s="203" t="s">
        <v>95</v>
      </c>
      <c r="Z24" s="204" t="s">
        <v>95</v>
      </c>
      <c r="AA24" s="231" t="s">
        <v>3646</v>
      </c>
      <c r="AB24" s="232" t="s">
        <v>3647</v>
      </c>
      <c r="AC24" s="201" t="s">
        <v>92</v>
      </c>
      <c r="AD24" s="201" t="s">
        <v>92</v>
      </c>
      <c r="AE24" s="201" t="s">
        <v>92</v>
      </c>
      <c r="AF24" s="200" t="s">
        <v>92</v>
      </c>
      <c r="AG24" s="201"/>
      <c r="AH24" s="201"/>
      <c r="AI24" s="207" t="s">
        <v>487</v>
      </c>
      <c r="AJ24" s="201"/>
      <c r="AK24" s="207" t="s">
        <v>3648</v>
      </c>
      <c r="AL24" s="203" t="s">
        <v>3649</v>
      </c>
      <c r="AM24" s="209" t="s">
        <v>3650</v>
      </c>
      <c r="AN24" s="201" t="s">
        <v>92</v>
      </c>
      <c r="AO24" s="210" t="s">
        <v>178</v>
      </c>
      <c r="AP24" s="210" t="s">
        <v>115</v>
      </c>
      <c r="AQ24" s="210" t="s">
        <v>106</v>
      </c>
      <c r="AR24" s="210" t="s">
        <v>3651</v>
      </c>
      <c r="AS24" s="211" t="s">
        <v>116</v>
      </c>
      <c r="AT24" s="212"/>
      <c r="AU24" s="201"/>
      <c r="AV24" s="201"/>
    </row>
    <row r="25" ht="15.75" customHeight="1">
      <c r="A25" s="11" t="s">
        <v>1401</v>
      </c>
      <c r="B25" s="203" t="s">
        <v>1400</v>
      </c>
      <c r="C25" s="198" t="s">
        <v>3652</v>
      </c>
      <c r="D25" s="199" t="s">
        <v>87</v>
      </c>
      <c r="E25" s="201" t="s">
        <v>95</v>
      </c>
      <c r="F25" s="225" t="s">
        <v>95</v>
      </c>
      <c r="G25" s="201" t="s">
        <v>92</v>
      </c>
      <c r="H25" s="201" t="s">
        <v>93</v>
      </c>
      <c r="I25" s="201" t="s">
        <v>92</v>
      </c>
      <c r="J25" s="201">
        <v>1925.0</v>
      </c>
      <c r="K25" s="199" t="s">
        <v>3605</v>
      </c>
      <c r="L25" s="201" t="s">
        <v>3510</v>
      </c>
      <c r="M25" s="202">
        <v>6890.3</v>
      </c>
      <c r="N25" s="201" t="s">
        <v>93</v>
      </c>
      <c r="O25" s="201" t="s">
        <v>3645</v>
      </c>
      <c r="P25" s="201" t="s">
        <v>93</v>
      </c>
      <c r="Q25" s="201" t="s">
        <v>93</v>
      </c>
      <c r="R25" s="201" t="s">
        <v>93</v>
      </c>
      <c r="S25" s="201" t="s">
        <v>93</v>
      </c>
      <c r="T25" s="201" t="s">
        <v>93</v>
      </c>
      <c r="U25" s="201" t="s">
        <v>93</v>
      </c>
      <c r="V25" s="201" t="s">
        <v>92</v>
      </c>
      <c r="W25" s="201" t="s">
        <v>92</v>
      </c>
      <c r="X25" s="200" t="s">
        <v>93</v>
      </c>
      <c r="Y25" s="203">
        <v>2022.0</v>
      </c>
      <c r="Z25" s="204" t="s">
        <v>95</v>
      </c>
      <c r="AA25" s="229" t="s">
        <v>3611</v>
      </c>
      <c r="AB25" s="230" t="s">
        <v>3653</v>
      </c>
      <c r="AC25" s="201" t="s">
        <v>92</v>
      </c>
      <c r="AD25" s="201" t="s">
        <v>92</v>
      </c>
      <c r="AE25" s="201" t="s">
        <v>93</v>
      </c>
      <c r="AF25" s="201" t="s">
        <v>93</v>
      </c>
      <c r="AG25" s="201"/>
      <c r="AH25" s="201"/>
      <c r="AI25" s="207" t="s">
        <v>3654</v>
      </c>
      <c r="AJ25" s="201"/>
      <c r="AK25" s="207" t="s">
        <v>3648</v>
      </c>
      <c r="AL25" s="208">
        <v>45404.0</v>
      </c>
      <c r="AM25" s="209" t="s">
        <v>95</v>
      </c>
      <c r="AN25" s="201" t="s">
        <v>93</v>
      </c>
      <c r="AO25" s="210" t="s">
        <v>454</v>
      </c>
      <c r="AP25" s="210" t="s">
        <v>455</v>
      </c>
      <c r="AQ25" s="210" t="s">
        <v>1307</v>
      </c>
      <c r="AR25" s="210" t="s">
        <v>1371</v>
      </c>
      <c r="AS25" s="212"/>
      <c r="AT25" s="212"/>
      <c r="AU25" s="201"/>
      <c r="AV25" s="201"/>
    </row>
    <row r="26" ht="15.75" customHeight="1">
      <c r="A26" s="11" t="s">
        <v>1287</v>
      </c>
      <c r="B26" s="197" t="s">
        <v>1286</v>
      </c>
      <c r="C26" s="198" t="s">
        <v>3655</v>
      </c>
      <c r="D26" s="199" t="s">
        <v>87</v>
      </c>
      <c r="E26" s="201" t="s">
        <v>95</v>
      </c>
      <c r="F26" s="225" t="s">
        <v>95</v>
      </c>
      <c r="G26" s="201" t="s">
        <v>92</v>
      </c>
      <c r="H26" s="201" t="s">
        <v>92</v>
      </c>
      <c r="I26" s="201" t="s">
        <v>93</v>
      </c>
      <c r="J26" s="201">
        <v>1849.0</v>
      </c>
      <c r="K26" s="199" t="s">
        <v>3520</v>
      </c>
      <c r="L26" s="201" t="s">
        <v>3656</v>
      </c>
      <c r="M26" s="202">
        <v>6029.6</v>
      </c>
      <c r="N26" s="201" t="s">
        <v>93</v>
      </c>
      <c r="O26" s="201" t="s">
        <v>3657</v>
      </c>
      <c r="P26" s="201" t="s">
        <v>92</v>
      </c>
      <c r="Q26" s="201" t="s">
        <v>92</v>
      </c>
      <c r="R26" s="201" t="s">
        <v>92</v>
      </c>
      <c r="S26" s="201" t="s">
        <v>93</v>
      </c>
      <c r="T26" s="201" t="s">
        <v>93</v>
      </c>
      <c r="U26" s="201" t="s">
        <v>93</v>
      </c>
      <c r="V26" s="201" t="s">
        <v>92</v>
      </c>
      <c r="W26" s="201" t="s">
        <v>92</v>
      </c>
      <c r="X26" s="200" t="s">
        <v>92</v>
      </c>
      <c r="Y26" s="203" t="s">
        <v>95</v>
      </c>
      <c r="Z26" s="204" t="s">
        <v>3658</v>
      </c>
      <c r="AA26" s="229" t="s">
        <v>3659</v>
      </c>
      <c r="AB26" s="230" t="s">
        <v>3660</v>
      </c>
      <c r="AC26" s="201" t="s">
        <v>93</v>
      </c>
      <c r="AD26" s="201" t="s">
        <v>93</v>
      </c>
      <c r="AE26" s="201" t="s">
        <v>93</v>
      </c>
      <c r="AF26" s="200" t="s">
        <v>93</v>
      </c>
      <c r="AG26" s="201"/>
      <c r="AH26" s="201"/>
      <c r="AI26" s="207" t="s">
        <v>3661</v>
      </c>
      <c r="AJ26" s="201"/>
      <c r="AK26" s="207" t="s">
        <v>3657</v>
      </c>
      <c r="AL26" s="203" t="s">
        <v>3662</v>
      </c>
      <c r="AM26" s="209" t="s">
        <v>3663</v>
      </c>
      <c r="AN26" s="200" t="s">
        <v>93</v>
      </c>
      <c r="AO26" s="210" t="s">
        <v>1292</v>
      </c>
      <c r="AP26" s="210" t="s">
        <v>170</v>
      </c>
      <c r="AQ26" s="210" t="s">
        <v>1307</v>
      </c>
      <c r="AR26" s="211" t="s">
        <v>1371</v>
      </c>
      <c r="AS26" s="212"/>
      <c r="AT26" s="212"/>
      <c r="AU26" s="201"/>
      <c r="AV26" s="201"/>
    </row>
    <row r="27" ht="15.75" customHeight="1">
      <c r="A27" s="11" t="s">
        <v>1131</v>
      </c>
      <c r="B27" s="203" t="s">
        <v>1130</v>
      </c>
      <c r="C27" s="198" t="s">
        <v>3664</v>
      </c>
      <c r="D27" s="199" t="s">
        <v>87</v>
      </c>
      <c r="E27" s="201" t="s">
        <v>95</v>
      </c>
      <c r="F27" s="225" t="s">
        <v>95</v>
      </c>
      <c r="G27" s="201" t="s">
        <v>92</v>
      </c>
      <c r="H27" s="201" t="s">
        <v>93</v>
      </c>
      <c r="I27" s="201" t="s">
        <v>92</v>
      </c>
      <c r="J27" s="201">
        <v>1957.0</v>
      </c>
      <c r="K27" s="199" t="s">
        <v>3509</v>
      </c>
      <c r="L27" s="201" t="s">
        <v>3510</v>
      </c>
      <c r="M27" s="202">
        <v>5804.0</v>
      </c>
      <c r="N27" s="201" t="s">
        <v>92</v>
      </c>
      <c r="O27" s="201" t="s">
        <v>95</v>
      </c>
      <c r="P27" s="201" t="s">
        <v>93</v>
      </c>
      <c r="Q27" s="201" t="s">
        <v>92</v>
      </c>
      <c r="R27" s="201" t="s">
        <v>93</v>
      </c>
      <c r="S27" s="201" t="s">
        <v>93</v>
      </c>
      <c r="T27" s="201" t="s">
        <v>93</v>
      </c>
      <c r="U27" s="201" t="s">
        <v>93</v>
      </c>
      <c r="V27" s="201" t="s">
        <v>92</v>
      </c>
      <c r="W27" s="201" t="s">
        <v>92</v>
      </c>
      <c r="X27" s="200" t="s">
        <v>92</v>
      </c>
      <c r="Y27" s="203" t="s">
        <v>95</v>
      </c>
      <c r="Z27" s="204" t="s">
        <v>95</v>
      </c>
      <c r="AA27" s="204" t="s">
        <v>95</v>
      </c>
      <c r="AB27" s="205" t="s">
        <v>95</v>
      </c>
      <c r="AC27" s="201" t="s">
        <v>92</v>
      </c>
      <c r="AD27" s="201" t="s">
        <v>92</v>
      </c>
      <c r="AE27" s="201" t="s">
        <v>92</v>
      </c>
      <c r="AF27" s="200" t="s">
        <v>92</v>
      </c>
      <c r="AG27" s="201"/>
      <c r="AH27" s="201"/>
      <c r="AI27" s="207" t="s">
        <v>1130</v>
      </c>
      <c r="AJ27" s="201"/>
      <c r="AK27" s="203" t="s">
        <v>95</v>
      </c>
      <c r="AL27" s="203" t="s">
        <v>3662</v>
      </c>
      <c r="AM27" s="62" t="s">
        <v>3665</v>
      </c>
      <c r="AN27" s="200" t="s">
        <v>93</v>
      </c>
      <c r="AO27" s="210" t="s">
        <v>3666</v>
      </c>
      <c r="AP27" s="210" t="s">
        <v>1144</v>
      </c>
      <c r="AQ27" s="210" t="s">
        <v>115</v>
      </c>
      <c r="AR27" s="210" t="s">
        <v>106</v>
      </c>
      <c r="AS27" s="211" t="s">
        <v>116</v>
      </c>
      <c r="AT27" s="212"/>
      <c r="AU27" s="201"/>
      <c r="AV27" s="201"/>
    </row>
    <row r="28" ht="15.75" customHeight="1">
      <c r="A28" s="11" t="s">
        <v>1360</v>
      </c>
      <c r="B28" s="197" t="s">
        <v>3667</v>
      </c>
      <c r="C28" s="198" t="s">
        <v>3664</v>
      </c>
      <c r="D28" s="199" t="s">
        <v>87</v>
      </c>
      <c r="E28" s="201" t="s">
        <v>95</v>
      </c>
      <c r="F28" s="225" t="s">
        <v>95</v>
      </c>
      <c r="G28" s="201" t="s">
        <v>92</v>
      </c>
      <c r="H28" s="201" t="s">
        <v>92</v>
      </c>
      <c r="I28" s="201" t="s">
        <v>92</v>
      </c>
      <c r="J28" s="201">
        <v>1987.0</v>
      </c>
      <c r="K28" s="199" t="s">
        <v>3586</v>
      </c>
      <c r="L28" s="201" t="s">
        <v>3510</v>
      </c>
      <c r="M28" s="202">
        <v>5616.1</v>
      </c>
      <c r="N28" s="201" t="s">
        <v>92</v>
      </c>
      <c r="O28" s="201" t="s">
        <v>95</v>
      </c>
      <c r="P28" s="201" t="s">
        <v>93</v>
      </c>
      <c r="Q28" s="201" t="s">
        <v>92</v>
      </c>
      <c r="R28" s="201" t="s">
        <v>93</v>
      </c>
      <c r="S28" s="201" t="s">
        <v>92</v>
      </c>
      <c r="T28" s="201" t="s">
        <v>93</v>
      </c>
      <c r="U28" s="201" t="s">
        <v>93</v>
      </c>
      <c r="V28" s="201" t="s">
        <v>92</v>
      </c>
      <c r="W28" s="201" t="s">
        <v>93</v>
      </c>
      <c r="X28" s="200" t="s">
        <v>93</v>
      </c>
      <c r="Y28" s="203">
        <v>2022.0</v>
      </c>
      <c r="Z28" s="204" t="s">
        <v>3668</v>
      </c>
      <c r="AA28" s="229" t="s">
        <v>3669</v>
      </c>
      <c r="AB28" s="230" t="s">
        <v>3670</v>
      </c>
      <c r="AC28" s="201" t="s">
        <v>93</v>
      </c>
      <c r="AD28" s="201" t="s">
        <v>93</v>
      </c>
      <c r="AE28" s="201" t="s">
        <v>92</v>
      </c>
      <c r="AF28" s="200" t="s">
        <v>92</v>
      </c>
      <c r="AG28" s="201"/>
      <c r="AH28" s="201"/>
      <c r="AI28" s="218" t="s">
        <v>1359</v>
      </c>
      <c r="AJ28" s="201"/>
      <c r="AK28" s="203" t="s">
        <v>95</v>
      </c>
      <c r="AL28" s="203" t="s">
        <v>3662</v>
      </c>
      <c r="AM28" s="62" t="s">
        <v>95</v>
      </c>
      <c r="AN28" s="200" t="s">
        <v>93</v>
      </c>
      <c r="AO28" s="210" t="s">
        <v>1292</v>
      </c>
      <c r="AP28" s="210" t="s">
        <v>170</v>
      </c>
      <c r="AQ28" s="210" t="s">
        <v>1307</v>
      </c>
      <c r="AR28" s="211" t="s">
        <v>1371</v>
      </c>
      <c r="AS28" s="210" t="s">
        <v>3671</v>
      </c>
      <c r="AT28" s="212"/>
      <c r="AU28" s="201"/>
      <c r="AV28" s="201"/>
    </row>
    <row r="29" ht="15.75" customHeight="1">
      <c r="A29" s="11" t="s">
        <v>802</v>
      </c>
      <c r="B29" s="197" t="s">
        <v>801</v>
      </c>
      <c r="C29" s="198" t="s">
        <v>3672</v>
      </c>
      <c r="D29" s="199" t="s">
        <v>87</v>
      </c>
      <c r="E29" s="201" t="s">
        <v>95</v>
      </c>
      <c r="F29" s="225" t="s">
        <v>95</v>
      </c>
      <c r="G29" s="201" t="s">
        <v>92</v>
      </c>
      <c r="H29" s="201" t="s">
        <v>93</v>
      </c>
      <c r="I29" s="201" t="s">
        <v>92</v>
      </c>
      <c r="J29" s="201">
        <v>1962.0</v>
      </c>
      <c r="K29" s="199" t="s">
        <v>3605</v>
      </c>
      <c r="L29" s="201" t="s">
        <v>3510</v>
      </c>
      <c r="M29" s="202">
        <v>5504.6</v>
      </c>
      <c r="N29" s="201" t="s">
        <v>92</v>
      </c>
      <c r="O29" s="201" t="s">
        <v>95</v>
      </c>
      <c r="P29" s="201" t="s">
        <v>93</v>
      </c>
      <c r="Q29" s="201" t="s">
        <v>93</v>
      </c>
      <c r="R29" s="201" t="s">
        <v>93</v>
      </c>
      <c r="S29" s="201" t="s">
        <v>93</v>
      </c>
      <c r="T29" s="201" t="s">
        <v>93</v>
      </c>
      <c r="U29" s="201" t="s">
        <v>93</v>
      </c>
      <c r="V29" s="201" t="s">
        <v>92</v>
      </c>
      <c r="W29" s="201" t="s">
        <v>92</v>
      </c>
      <c r="X29" s="200" t="s">
        <v>92</v>
      </c>
      <c r="Y29" s="203" t="s">
        <v>95</v>
      </c>
      <c r="Z29" s="204" t="s">
        <v>95</v>
      </c>
      <c r="AA29" s="204" t="s">
        <v>95</v>
      </c>
      <c r="AB29" s="205" t="s">
        <v>95</v>
      </c>
      <c r="AC29" s="201" t="s">
        <v>105</v>
      </c>
      <c r="AD29" s="201" t="s">
        <v>105</v>
      </c>
      <c r="AE29" s="201" t="s">
        <v>105</v>
      </c>
      <c r="AF29" s="201" t="s">
        <v>105</v>
      </c>
      <c r="AG29" s="201"/>
      <c r="AH29" s="201"/>
      <c r="AI29" s="207" t="s">
        <v>801</v>
      </c>
      <c r="AJ29" s="201"/>
      <c r="AK29" s="203" t="s">
        <v>95</v>
      </c>
      <c r="AL29" s="208">
        <v>45419.0</v>
      </c>
      <c r="AM29" s="209" t="s">
        <v>3673</v>
      </c>
      <c r="AN29" s="201" t="s">
        <v>92</v>
      </c>
      <c r="AO29" s="210" t="s">
        <v>3674</v>
      </c>
      <c r="AP29" s="210" t="s">
        <v>3675</v>
      </c>
      <c r="AQ29" s="219"/>
      <c r="AR29" s="219"/>
      <c r="AS29" s="212"/>
      <c r="AT29" s="212"/>
      <c r="AU29" s="201"/>
      <c r="AV29" s="201"/>
    </row>
    <row r="30" ht="15.75" customHeight="1">
      <c r="A30" s="11" t="s">
        <v>924</v>
      </c>
      <c r="B30" s="197" t="s">
        <v>923</v>
      </c>
      <c r="C30" s="198" t="s">
        <v>3676</v>
      </c>
      <c r="D30" s="199" t="s">
        <v>87</v>
      </c>
      <c r="E30" s="201" t="s">
        <v>95</v>
      </c>
      <c r="F30" s="225" t="s">
        <v>95</v>
      </c>
      <c r="G30" s="201" t="s">
        <v>92</v>
      </c>
      <c r="H30" s="201" t="s">
        <v>93</v>
      </c>
      <c r="I30" s="201" t="s">
        <v>92</v>
      </c>
      <c r="J30" s="201">
        <v>1970.0</v>
      </c>
      <c r="K30" s="199" t="s">
        <v>3605</v>
      </c>
      <c r="L30" s="201" t="s">
        <v>3510</v>
      </c>
      <c r="M30" s="202">
        <v>5389.5</v>
      </c>
      <c r="N30" s="201" t="s">
        <v>92</v>
      </c>
      <c r="O30" s="201" t="s">
        <v>95</v>
      </c>
      <c r="P30" s="201" t="s">
        <v>93</v>
      </c>
      <c r="Q30" s="201" t="s">
        <v>93</v>
      </c>
      <c r="R30" s="201" t="s">
        <v>93</v>
      </c>
      <c r="S30" s="201" t="s">
        <v>93</v>
      </c>
      <c r="T30" s="201" t="s">
        <v>93</v>
      </c>
      <c r="U30" s="201" t="s">
        <v>93</v>
      </c>
      <c r="V30" s="201" t="s">
        <v>93</v>
      </c>
      <c r="W30" s="201" t="s">
        <v>92</v>
      </c>
      <c r="X30" s="200" t="s">
        <v>92</v>
      </c>
      <c r="Y30" s="203" t="s">
        <v>95</v>
      </c>
      <c r="Z30" s="204" t="s">
        <v>95</v>
      </c>
      <c r="AA30" s="204" t="s">
        <v>95</v>
      </c>
      <c r="AB30" s="205" t="s">
        <v>95</v>
      </c>
      <c r="AC30" s="201" t="s">
        <v>92</v>
      </c>
      <c r="AD30" s="201" t="s">
        <v>92</v>
      </c>
      <c r="AE30" s="201" t="s">
        <v>92</v>
      </c>
      <c r="AF30" s="201" t="s">
        <v>92</v>
      </c>
      <c r="AG30" s="201"/>
      <c r="AH30" s="201"/>
      <c r="AI30" s="207" t="s">
        <v>923</v>
      </c>
      <c r="AJ30" s="201"/>
      <c r="AK30" s="203" t="s">
        <v>95</v>
      </c>
      <c r="AL30" s="203" t="s">
        <v>3677</v>
      </c>
      <c r="AM30" s="209" t="s">
        <v>95</v>
      </c>
      <c r="AN30" s="201" t="s">
        <v>93</v>
      </c>
      <c r="AO30" s="210" t="s">
        <v>454</v>
      </c>
      <c r="AP30" s="210" t="s">
        <v>455</v>
      </c>
      <c r="AQ30" s="210" t="s">
        <v>456</v>
      </c>
      <c r="AR30" s="210" t="s">
        <v>442</v>
      </c>
      <c r="AS30" s="216" t="s">
        <v>3678</v>
      </c>
      <c r="AT30" s="216" t="s">
        <v>3678</v>
      </c>
      <c r="AU30" s="201"/>
      <c r="AV30" s="201"/>
    </row>
    <row r="31" ht="15.75" customHeight="1">
      <c r="A31" s="11" t="s">
        <v>738</v>
      </c>
      <c r="B31" s="197" t="s">
        <v>737</v>
      </c>
      <c r="C31" s="198" t="s">
        <v>3644</v>
      </c>
      <c r="D31" s="199" t="s">
        <v>87</v>
      </c>
      <c r="E31" s="201" t="s">
        <v>95</v>
      </c>
      <c r="F31" s="225" t="s">
        <v>95</v>
      </c>
      <c r="G31" s="201" t="s">
        <v>92</v>
      </c>
      <c r="H31" s="201" t="s">
        <v>93</v>
      </c>
      <c r="I31" s="201" t="s">
        <v>92</v>
      </c>
      <c r="J31" s="201">
        <v>1968.0</v>
      </c>
      <c r="K31" s="199" t="s">
        <v>3605</v>
      </c>
      <c r="L31" s="201" t="s">
        <v>3510</v>
      </c>
      <c r="M31" s="202">
        <v>4596.0</v>
      </c>
      <c r="N31" s="201" t="s">
        <v>92</v>
      </c>
      <c r="O31" s="201" t="s">
        <v>95</v>
      </c>
      <c r="P31" s="201" t="s">
        <v>92</v>
      </c>
      <c r="Q31" s="201" t="s">
        <v>93</v>
      </c>
      <c r="R31" s="201" t="s">
        <v>93</v>
      </c>
      <c r="S31" s="201" t="s">
        <v>93</v>
      </c>
      <c r="T31" s="201" t="s">
        <v>93</v>
      </c>
      <c r="U31" s="201" t="s">
        <v>93</v>
      </c>
      <c r="V31" s="201" t="s">
        <v>92</v>
      </c>
      <c r="W31" s="201" t="s">
        <v>92</v>
      </c>
      <c r="X31" s="200" t="s">
        <v>92</v>
      </c>
      <c r="Y31" s="203" t="s">
        <v>95</v>
      </c>
      <c r="Z31" s="204" t="s">
        <v>95</v>
      </c>
      <c r="AA31" s="204" t="s">
        <v>95</v>
      </c>
      <c r="AB31" s="205" t="s">
        <v>95</v>
      </c>
      <c r="AC31" s="201" t="s">
        <v>92</v>
      </c>
      <c r="AD31" s="201" t="s">
        <v>92</v>
      </c>
      <c r="AE31" s="201" t="s">
        <v>92</v>
      </c>
      <c r="AF31" s="201" t="s">
        <v>92</v>
      </c>
      <c r="AG31" s="201"/>
      <c r="AH31" s="201"/>
      <c r="AI31" s="207" t="s">
        <v>743</v>
      </c>
      <c r="AJ31" s="201"/>
      <c r="AK31" s="203" t="s">
        <v>95</v>
      </c>
      <c r="AL31" s="203" t="s">
        <v>3677</v>
      </c>
      <c r="AM31" s="62" t="s">
        <v>3679</v>
      </c>
      <c r="AN31" s="201" t="s">
        <v>93</v>
      </c>
      <c r="AO31" s="210" t="s">
        <v>178</v>
      </c>
      <c r="AP31" s="210" t="s">
        <v>115</v>
      </c>
      <c r="AQ31" s="210" t="s">
        <v>106</v>
      </c>
      <c r="AR31" s="211" t="s">
        <v>116</v>
      </c>
      <c r="AS31" s="216" t="s">
        <v>3680</v>
      </c>
      <c r="AT31" s="212"/>
      <c r="AU31" s="201"/>
      <c r="AV31" s="201"/>
    </row>
    <row r="32" ht="15.75" customHeight="1">
      <c r="A32" s="11" t="s">
        <v>1104</v>
      </c>
      <c r="B32" s="197" t="s">
        <v>1103</v>
      </c>
      <c r="C32" s="198" t="s">
        <v>3681</v>
      </c>
      <c r="D32" s="199" t="s">
        <v>87</v>
      </c>
      <c r="E32" s="201" t="s">
        <v>95</v>
      </c>
      <c r="F32" s="225" t="s">
        <v>95</v>
      </c>
      <c r="G32" s="201" t="s">
        <v>92</v>
      </c>
      <c r="H32" s="201" t="s">
        <v>93</v>
      </c>
      <c r="I32" s="201" t="s">
        <v>92</v>
      </c>
      <c r="J32" s="201">
        <v>1963.0</v>
      </c>
      <c r="K32" s="199" t="s">
        <v>3520</v>
      </c>
      <c r="L32" s="201" t="s">
        <v>3510</v>
      </c>
      <c r="M32" s="202">
        <v>4583.7</v>
      </c>
      <c r="N32" s="201" t="s">
        <v>92</v>
      </c>
      <c r="O32" s="201" t="s">
        <v>95</v>
      </c>
      <c r="P32" s="201" t="s">
        <v>93</v>
      </c>
      <c r="Q32" s="201" t="s">
        <v>92</v>
      </c>
      <c r="R32" s="201" t="s">
        <v>93</v>
      </c>
      <c r="S32" s="201" t="s">
        <v>92</v>
      </c>
      <c r="T32" s="201" t="s">
        <v>93</v>
      </c>
      <c r="U32" s="201" t="s">
        <v>93</v>
      </c>
      <c r="V32" s="201" t="s">
        <v>92</v>
      </c>
      <c r="W32" s="201" t="s">
        <v>92</v>
      </c>
      <c r="X32" s="200" t="s">
        <v>92</v>
      </c>
      <c r="Y32" s="203" t="s">
        <v>95</v>
      </c>
      <c r="Z32" s="204" t="s">
        <v>95</v>
      </c>
      <c r="AA32" s="229" t="s">
        <v>3682</v>
      </c>
      <c r="AB32" s="230" t="s">
        <v>3683</v>
      </c>
      <c r="AC32" s="201" t="s">
        <v>105</v>
      </c>
      <c r="AD32" s="201" t="s">
        <v>92</v>
      </c>
      <c r="AE32" s="201" t="s">
        <v>92</v>
      </c>
      <c r="AF32" s="201" t="s">
        <v>105</v>
      </c>
      <c r="AG32" s="201"/>
      <c r="AH32" s="201"/>
      <c r="AI32" s="207" t="s">
        <v>3684</v>
      </c>
      <c r="AJ32" s="201"/>
      <c r="AK32" s="203" t="s">
        <v>95</v>
      </c>
      <c r="AL32" s="203" t="s">
        <v>3685</v>
      </c>
      <c r="AM32" s="209" t="s">
        <v>3686</v>
      </c>
      <c r="AN32" s="201" t="s">
        <v>92</v>
      </c>
      <c r="AO32" s="210" t="s">
        <v>1108</v>
      </c>
      <c r="AP32" s="210" t="s">
        <v>766</v>
      </c>
      <c r="AQ32" s="219"/>
      <c r="AR32" s="219"/>
      <c r="AS32" s="212"/>
      <c r="AT32" s="212"/>
      <c r="AU32" s="201"/>
      <c r="AV32" s="201"/>
    </row>
    <row r="33" ht="15.75" customHeight="1">
      <c r="A33" s="11" t="s">
        <v>1184</v>
      </c>
      <c r="B33" s="197" t="s">
        <v>1183</v>
      </c>
      <c r="C33" s="233" t="s">
        <v>3687</v>
      </c>
      <c r="D33" s="199" t="s">
        <v>87</v>
      </c>
      <c r="E33" s="201" t="s">
        <v>95</v>
      </c>
      <c r="F33" s="225" t="s">
        <v>95</v>
      </c>
      <c r="G33" s="201" t="s">
        <v>92</v>
      </c>
      <c r="H33" s="201" t="s">
        <v>92</v>
      </c>
      <c r="I33" s="201" t="s">
        <v>93</v>
      </c>
      <c r="J33" s="201">
        <v>1902.0</v>
      </c>
      <c r="K33" s="199" t="s">
        <v>3520</v>
      </c>
      <c r="L33" s="201" t="s">
        <v>3656</v>
      </c>
      <c r="M33" s="202">
        <v>4480.8</v>
      </c>
      <c r="N33" s="201" t="s">
        <v>93</v>
      </c>
      <c r="O33" s="200" t="s">
        <v>3688</v>
      </c>
      <c r="P33" s="201" t="s">
        <v>93</v>
      </c>
      <c r="Q33" s="201" t="s">
        <v>93</v>
      </c>
      <c r="R33" s="201" t="s">
        <v>93</v>
      </c>
      <c r="S33" s="201" t="s">
        <v>93</v>
      </c>
      <c r="T33" s="201" t="s">
        <v>93</v>
      </c>
      <c r="U33" s="201" t="s">
        <v>92</v>
      </c>
      <c r="V33" s="201" t="s">
        <v>92</v>
      </c>
      <c r="W33" s="201" t="s">
        <v>93</v>
      </c>
      <c r="X33" s="200" t="s">
        <v>92</v>
      </c>
      <c r="Y33" s="203" t="s">
        <v>95</v>
      </c>
      <c r="Z33" s="204" t="s">
        <v>3689</v>
      </c>
      <c r="AA33" s="204" t="s">
        <v>95</v>
      </c>
      <c r="AB33" s="205" t="s">
        <v>95</v>
      </c>
      <c r="AC33" s="201" t="s">
        <v>93</v>
      </c>
      <c r="AD33" s="201" t="s">
        <v>93</v>
      </c>
      <c r="AE33" s="201" t="s">
        <v>93</v>
      </c>
      <c r="AF33" s="200" t="s">
        <v>93</v>
      </c>
      <c r="AG33" s="201"/>
      <c r="AH33" s="201"/>
      <c r="AI33" s="207" t="s">
        <v>1183</v>
      </c>
      <c r="AJ33" s="201"/>
      <c r="AK33" s="207" t="s">
        <v>3690</v>
      </c>
      <c r="AL33" s="203" t="s">
        <v>3662</v>
      </c>
      <c r="AM33" s="62" t="s">
        <v>95</v>
      </c>
      <c r="AN33" s="200" t="s">
        <v>93</v>
      </c>
      <c r="AO33" s="210" t="s">
        <v>1189</v>
      </c>
      <c r="AP33" s="210" t="s">
        <v>129</v>
      </c>
      <c r="AQ33" s="210" t="s">
        <v>1195</v>
      </c>
      <c r="AR33" s="211" t="s">
        <v>3691</v>
      </c>
      <c r="AS33" s="210" t="s">
        <v>3692</v>
      </c>
      <c r="AU33" s="201"/>
      <c r="AV33" s="201"/>
    </row>
    <row r="34" ht="15.75" customHeight="1">
      <c r="A34" s="11" t="s">
        <v>436</v>
      </c>
      <c r="B34" s="203" t="s">
        <v>435</v>
      </c>
      <c r="C34" s="233" t="s">
        <v>3644</v>
      </c>
      <c r="D34" s="199" t="s">
        <v>87</v>
      </c>
      <c r="E34" s="201" t="s">
        <v>95</v>
      </c>
      <c r="F34" s="225" t="s">
        <v>95</v>
      </c>
      <c r="G34" s="234" t="s">
        <v>92</v>
      </c>
      <c r="H34" s="200" t="s">
        <v>93</v>
      </c>
      <c r="I34" s="200" t="s">
        <v>92</v>
      </c>
      <c r="J34" s="200">
        <v>1960.0</v>
      </c>
      <c r="K34" s="199" t="s">
        <v>3605</v>
      </c>
      <c r="L34" s="201" t="s">
        <v>3510</v>
      </c>
      <c r="M34" s="202">
        <v>4289.9</v>
      </c>
      <c r="N34" s="200" t="s">
        <v>93</v>
      </c>
      <c r="O34" s="201" t="s">
        <v>3645</v>
      </c>
      <c r="P34" s="200" t="s">
        <v>93</v>
      </c>
      <c r="Q34" s="200" t="s">
        <v>92</v>
      </c>
      <c r="R34" s="200" t="s">
        <v>93</v>
      </c>
      <c r="S34" s="200" t="s">
        <v>93</v>
      </c>
      <c r="T34" s="200" t="s">
        <v>93</v>
      </c>
      <c r="U34" s="200" t="s">
        <v>93</v>
      </c>
      <c r="V34" s="200" t="s">
        <v>92</v>
      </c>
      <c r="W34" s="200" t="s">
        <v>93</v>
      </c>
      <c r="X34" s="200" t="s">
        <v>92</v>
      </c>
      <c r="Y34" s="203" t="s">
        <v>95</v>
      </c>
      <c r="Z34" s="204" t="s">
        <v>95</v>
      </c>
      <c r="AA34" s="204" t="s">
        <v>95</v>
      </c>
      <c r="AB34" s="205" t="s">
        <v>95</v>
      </c>
      <c r="AC34" s="200" t="s">
        <v>92</v>
      </c>
      <c r="AD34" s="200" t="s">
        <v>92</v>
      </c>
      <c r="AE34" s="200" t="s">
        <v>92</v>
      </c>
      <c r="AF34" s="200" t="s">
        <v>92</v>
      </c>
      <c r="AG34" s="201"/>
      <c r="AH34" s="201"/>
      <c r="AI34" s="218" t="s">
        <v>435</v>
      </c>
      <c r="AJ34" s="201"/>
      <c r="AK34" s="207" t="s">
        <v>3648</v>
      </c>
      <c r="AL34" s="203" t="s">
        <v>3693</v>
      </c>
      <c r="AM34" s="209" t="s">
        <v>95</v>
      </c>
      <c r="AN34" s="200" t="s">
        <v>93</v>
      </c>
      <c r="AO34" s="211" t="s">
        <v>454</v>
      </c>
      <c r="AP34" s="211" t="s">
        <v>455</v>
      </c>
      <c r="AQ34" s="211" t="s">
        <v>456</v>
      </c>
      <c r="AR34" s="211" t="s">
        <v>442</v>
      </c>
      <c r="AS34" s="235" t="s">
        <v>3694</v>
      </c>
      <c r="AT34" s="236" t="s">
        <v>3695</v>
      </c>
      <c r="AU34" s="201"/>
      <c r="AV34" s="201"/>
    </row>
    <row r="35" ht="15.75" customHeight="1">
      <c r="A35" s="11" t="s">
        <v>722</v>
      </c>
      <c r="B35" s="203" t="s">
        <v>721</v>
      </c>
      <c r="C35" s="233" t="s">
        <v>3696</v>
      </c>
      <c r="D35" s="199" t="s">
        <v>87</v>
      </c>
      <c r="E35" s="201" t="s">
        <v>95</v>
      </c>
      <c r="F35" s="200" t="s">
        <v>95</v>
      </c>
      <c r="G35" s="201" t="s">
        <v>92</v>
      </c>
      <c r="H35" s="200" t="s">
        <v>92</v>
      </c>
      <c r="I35" s="200" t="s">
        <v>93</v>
      </c>
      <c r="J35" s="200">
        <v>1984.0</v>
      </c>
      <c r="K35" s="237" t="s">
        <v>3623</v>
      </c>
      <c r="L35" s="200" t="s">
        <v>3510</v>
      </c>
      <c r="M35" s="238">
        <v>4407.0</v>
      </c>
      <c r="N35" s="200" t="s">
        <v>92</v>
      </c>
      <c r="O35" s="200" t="s">
        <v>95</v>
      </c>
      <c r="P35" s="200" t="s">
        <v>93</v>
      </c>
      <c r="Q35" s="200" t="s">
        <v>92</v>
      </c>
      <c r="R35" s="200" t="s">
        <v>93</v>
      </c>
      <c r="S35" s="200" t="s">
        <v>93</v>
      </c>
      <c r="T35" s="200" t="s">
        <v>93</v>
      </c>
      <c r="U35" s="200" t="s">
        <v>93</v>
      </c>
      <c r="V35" s="200" t="s">
        <v>92</v>
      </c>
      <c r="W35" s="200" t="s">
        <v>92</v>
      </c>
      <c r="X35" s="200" t="s">
        <v>93</v>
      </c>
      <c r="Y35" s="203" t="s">
        <v>3697</v>
      </c>
      <c r="Z35" s="204" t="s">
        <v>3698</v>
      </c>
      <c r="AA35" s="204" t="s">
        <v>3699</v>
      </c>
      <c r="AB35" s="232" t="s">
        <v>3700</v>
      </c>
      <c r="AC35" s="200" t="s">
        <v>92</v>
      </c>
      <c r="AD35" s="200" t="s">
        <v>92</v>
      </c>
      <c r="AE35" s="200" t="s">
        <v>92</v>
      </c>
      <c r="AF35" s="200" t="s">
        <v>92</v>
      </c>
      <c r="AG35" s="201"/>
      <c r="AH35" s="201"/>
      <c r="AI35" s="218" t="s">
        <v>721</v>
      </c>
      <c r="AJ35" s="201"/>
      <c r="AK35" s="203" t="s">
        <v>95</v>
      </c>
      <c r="AL35" s="203" t="s">
        <v>3662</v>
      </c>
      <c r="AM35" s="62" t="s">
        <v>95</v>
      </c>
      <c r="AN35" s="200" t="s">
        <v>93</v>
      </c>
      <c r="AO35" s="211" t="s">
        <v>454</v>
      </c>
      <c r="AP35" s="211" t="s">
        <v>455</v>
      </c>
      <c r="AQ35" s="211" t="s">
        <v>456</v>
      </c>
      <c r="AR35" s="211" t="s">
        <v>442</v>
      </c>
      <c r="AS35" s="239" t="s">
        <v>3701</v>
      </c>
      <c r="AT35" s="240" t="s">
        <v>3702</v>
      </c>
      <c r="AU35" s="240" t="s">
        <v>3703</v>
      </c>
      <c r="AV35" s="241"/>
    </row>
    <row r="36" ht="15.75" customHeight="1">
      <c r="A36" s="11" t="s">
        <v>1115</v>
      </c>
      <c r="B36" s="203" t="s">
        <v>1114</v>
      </c>
      <c r="C36" s="233" t="s">
        <v>3704</v>
      </c>
      <c r="D36" s="199" t="s">
        <v>87</v>
      </c>
      <c r="E36" s="201" t="s">
        <v>95</v>
      </c>
      <c r="F36" s="156" t="s">
        <v>95</v>
      </c>
      <c r="G36" s="201" t="s">
        <v>92</v>
      </c>
      <c r="H36" s="200" t="s">
        <v>93</v>
      </c>
      <c r="I36" s="200" t="s">
        <v>92</v>
      </c>
      <c r="J36" s="200">
        <v>1967.0</v>
      </c>
      <c r="K36" s="199" t="s">
        <v>3605</v>
      </c>
      <c r="L36" s="201" t="s">
        <v>3510</v>
      </c>
      <c r="M36" s="202">
        <v>3991.2</v>
      </c>
      <c r="N36" s="200" t="s">
        <v>92</v>
      </c>
      <c r="O36" s="201" t="s">
        <v>95</v>
      </c>
      <c r="P36" s="200" t="s">
        <v>93</v>
      </c>
      <c r="Q36" s="200" t="s">
        <v>93</v>
      </c>
      <c r="R36" s="200" t="s">
        <v>93</v>
      </c>
      <c r="S36" s="200" t="s">
        <v>93</v>
      </c>
      <c r="T36" s="200" t="s">
        <v>93</v>
      </c>
      <c r="U36" s="200" t="s">
        <v>93</v>
      </c>
      <c r="V36" s="200" t="s">
        <v>92</v>
      </c>
      <c r="W36" s="200" t="s">
        <v>92</v>
      </c>
      <c r="X36" s="200" t="s">
        <v>92</v>
      </c>
      <c r="Y36" s="197" t="s">
        <v>95</v>
      </c>
      <c r="Z36" s="204" t="s">
        <v>95</v>
      </c>
      <c r="AA36" s="204" t="s">
        <v>95</v>
      </c>
      <c r="AB36" s="205" t="s">
        <v>95</v>
      </c>
      <c r="AC36" s="200" t="s">
        <v>105</v>
      </c>
      <c r="AD36" s="200" t="s">
        <v>105</v>
      </c>
      <c r="AE36" s="200" t="s">
        <v>105</v>
      </c>
      <c r="AF36" s="200" t="s">
        <v>105</v>
      </c>
      <c r="AG36" s="201"/>
      <c r="AH36" s="201"/>
      <c r="AI36" s="218" t="s">
        <v>1114</v>
      </c>
      <c r="AJ36" s="201"/>
      <c r="AK36" s="203" t="s">
        <v>95</v>
      </c>
      <c r="AL36" s="242">
        <v>45602.0</v>
      </c>
      <c r="AM36" s="62" t="s">
        <v>3705</v>
      </c>
      <c r="AN36" s="200" t="s">
        <v>92</v>
      </c>
      <c r="AO36" s="211" t="s">
        <v>3706</v>
      </c>
      <c r="AP36" s="211" t="s">
        <v>1120</v>
      </c>
      <c r="AQ36" s="211" t="s">
        <v>511</v>
      </c>
      <c r="AR36" s="219"/>
      <c r="AS36" s="212"/>
      <c r="AT36" s="212"/>
      <c r="AU36" s="201"/>
      <c r="AV36" s="201"/>
    </row>
    <row r="37" ht="15.75" customHeight="1">
      <c r="A37" s="11" t="s">
        <v>682</v>
      </c>
      <c r="B37" s="203" t="s">
        <v>681</v>
      </c>
      <c r="C37" s="233" t="s">
        <v>3707</v>
      </c>
      <c r="D37" s="237" t="s">
        <v>87</v>
      </c>
      <c r="E37" s="201" t="s">
        <v>95</v>
      </c>
      <c r="F37" s="200" t="s">
        <v>95</v>
      </c>
      <c r="G37" s="201" t="s">
        <v>92</v>
      </c>
      <c r="H37" s="200" t="s">
        <v>92</v>
      </c>
      <c r="I37" s="200" t="s">
        <v>93</v>
      </c>
      <c r="J37" s="200">
        <v>1963.0</v>
      </c>
      <c r="K37" s="237" t="s">
        <v>3520</v>
      </c>
      <c r="L37" s="200" t="s">
        <v>3510</v>
      </c>
      <c r="M37" s="238">
        <v>4194.4</v>
      </c>
      <c r="N37" s="200" t="s">
        <v>92</v>
      </c>
      <c r="O37" s="200" t="s">
        <v>95</v>
      </c>
      <c r="P37" s="200" t="s">
        <v>92</v>
      </c>
      <c r="Q37" s="200" t="s">
        <v>93</v>
      </c>
      <c r="R37" s="200" t="s">
        <v>93</v>
      </c>
      <c r="S37" s="200" t="s">
        <v>93</v>
      </c>
      <c r="T37" s="200" t="s">
        <v>93</v>
      </c>
      <c r="U37" s="200" t="s">
        <v>93</v>
      </c>
      <c r="V37" s="200" t="s">
        <v>92</v>
      </c>
      <c r="W37" s="200" t="s">
        <v>93</v>
      </c>
      <c r="X37" s="200" t="s">
        <v>93</v>
      </c>
      <c r="Y37" s="203" t="s">
        <v>3708</v>
      </c>
      <c r="Z37" s="204" t="s">
        <v>3709</v>
      </c>
      <c r="AA37" s="204" t="s">
        <v>3709</v>
      </c>
      <c r="AB37" s="205" t="s">
        <v>3710</v>
      </c>
      <c r="AC37" s="200" t="s">
        <v>92</v>
      </c>
      <c r="AD37" s="200" t="s">
        <v>92</v>
      </c>
      <c r="AE37" s="200" t="s">
        <v>92</v>
      </c>
      <c r="AF37" s="200" t="s">
        <v>92</v>
      </c>
      <c r="AG37" s="201"/>
      <c r="AH37" s="201"/>
      <c r="AI37" s="218" t="s">
        <v>681</v>
      </c>
      <c r="AJ37" s="201"/>
      <c r="AK37" s="203" t="s">
        <v>95</v>
      </c>
      <c r="AL37" s="203" t="s">
        <v>3711</v>
      </c>
      <c r="AM37" s="62" t="s">
        <v>95</v>
      </c>
      <c r="AN37" s="200" t="s">
        <v>93</v>
      </c>
      <c r="AO37" s="243" t="s">
        <v>686</v>
      </c>
      <c r="AP37" s="243" t="s">
        <v>695</v>
      </c>
      <c r="AQ37" s="243" t="s">
        <v>690</v>
      </c>
      <c r="AR37" s="243" t="s">
        <v>691</v>
      </c>
      <c r="AS37" s="212"/>
      <c r="AT37" s="212"/>
      <c r="AU37" s="201"/>
      <c r="AV37" s="201"/>
    </row>
    <row r="38" ht="15.75" customHeight="1">
      <c r="A38" s="11" t="s">
        <v>730</v>
      </c>
      <c r="B38" s="203" t="s">
        <v>729</v>
      </c>
      <c r="C38" s="233" t="s">
        <v>3712</v>
      </c>
      <c r="D38" s="237" t="s">
        <v>87</v>
      </c>
      <c r="E38" s="201" t="s">
        <v>95</v>
      </c>
      <c r="F38" s="200" t="s">
        <v>95</v>
      </c>
      <c r="G38" s="201" t="s">
        <v>92</v>
      </c>
      <c r="H38" s="200" t="s">
        <v>93</v>
      </c>
      <c r="I38" s="200" t="s">
        <v>92</v>
      </c>
      <c r="J38" s="200">
        <v>1985.0</v>
      </c>
      <c r="K38" s="237" t="s">
        <v>3623</v>
      </c>
      <c r="L38" s="200" t="s">
        <v>3510</v>
      </c>
      <c r="M38" s="238">
        <v>3637.8</v>
      </c>
      <c r="N38" s="200" t="s">
        <v>92</v>
      </c>
      <c r="O38" s="200" t="s">
        <v>95</v>
      </c>
      <c r="P38" s="200" t="s">
        <v>93</v>
      </c>
      <c r="Q38" s="200" t="s">
        <v>93</v>
      </c>
      <c r="R38" s="200" t="s">
        <v>93</v>
      </c>
      <c r="S38" s="200" t="s">
        <v>93</v>
      </c>
      <c r="T38" s="200" t="s">
        <v>93</v>
      </c>
      <c r="U38" s="200" t="s">
        <v>92</v>
      </c>
      <c r="V38" s="200" t="s">
        <v>92</v>
      </c>
      <c r="W38" s="200" t="s">
        <v>92</v>
      </c>
      <c r="X38" s="200" t="s">
        <v>92</v>
      </c>
      <c r="Y38" s="203" t="s">
        <v>95</v>
      </c>
      <c r="Z38" s="204" t="s">
        <v>95</v>
      </c>
      <c r="AA38" s="204" t="s">
        <v>95</v>
      </c>
      <c r="AB38" s="205" t="s">
        <v>95</v>
      </c>
      <c r="AC38" s="200" t="s">
        <v>92</v>
      </c>
      <c r="AD38" s="200" t="s">
        <v>92</v>
      </c>
      <c r="AE38" s="200" t="s">
        <v>92</v>
      </c>
      <c r="AF38" s="200" t="s">
        <v>92</v>
      </c>
      <c r="AG38" s="201"/>
      <c r="AH38" s="201"/>
      <c r="AI38" s="218" t="s">
        <v>729</v>
      </c>
      <c r="AJ38" s="201"/>
      <c r="AK38" s="203" t="s">
        <v>95</v>
      </c>
      <c r="AL38" s="203" t="s">
        <v>3693</v>
      </c>
      <c r="AM38" s="62" t="s">
        <v>3713</v>
      </c>
      <c r="AN38" s="200" t="s">
        <v>93</v>
      </c>
      <c r="AO38" s="211" t="s">
        <v>454</v>
      </c>
      <c r="AP38" s="211" t="s">
        <v>455</v>
      </c>
      <c r="AQ38" s="211" t="s">
        <v>456</v>
      </c>
      <c r="AR38" s="211" t="s">
        <v>442</v>
      </c>
      <c r="AS38" s="212"/>
      <c r="AT38" s="212"/>
      <c r="AU38" s="201"/>
      <c r="AV38" s="201"/>
    </row>
    <row r="39" ht="15.75" customHeight="1">
      <c r="A39" s="11" t="s">
        <v>1040</v>
      </c>
      <c r="B39" s="203" t="s">
        <v>1039</v>
      </c>
      <c r="C39" s="233" t="s">
        <v>3664</v>
      </c>
      <c r="D39" s="237" t="s">
        <v>87</v>
      </c>
      <c r="E39" s="201" t="s">
        <v>95</v>
      </c>
      <c r="F39" s="225" t="s">
        <v>95</v>
      </c>
      <c r="G39" s="201" t="s">
        <v>92</v>
      </c>
      <c r="H39" s="200" t="s">
        <v>93</v>
      </c>
      <c r="I39" s="200" t="s">
        <v>92</v>
      </c>
      <c r="J39" s="200">
        <v>1978.0</v>
      </c>
      <c r="K39" s="237" t="s">
        <v>3714</v>
      </c>
      <c r="L39" s="201" t="s">
        <v>3510</v>
      </c>
      <c r="M39" s="202">
        <v>4190.3</v>
      </c>
      <c r="N39" s="200" t="s">
        <v>92</v>
      </c>
      <c r="O39" s="201" t="s">
        <v>95</v>
      </c>
      <c r="P39" s="200" t="s">
        <v>93</v>
      </c>
      <c r="Q39" s="200" t="s">
        <v>93</v>
      </c>
      <c r="R39" s="200" t="s">
        <v>93</v>
      </c>
      <c r="S39" s="200" t="s">
        <v>93</v>
      </c>
      <c r="T39" s="200" t="s">
        <v>93</v>
      </c>
      <c r="U39" s="200" t="s">
        <v>93</v>
      </c>
      <c r="V39" s="200" t="s">
        <v>92</v>
      </c>
      <c r="W39" s="200" t="s">
        <v>92</v>
      </c>
      <c r="X39" s="200" t="s">
        <v>93</v>
      </c>
      <c r="Y39" s="203" t="s">
        <v>3715</v>
      </c>
      <c r="Z39" s="204" t="s">
        <v>95</v>
      </c>
      <c r="AA39" s="204" t="s">
        <v>95</v>
      </c>
      <c r="AB39" s="205" t="s">
        <v>95</v>
      </c>
      <c r="AC39" s="200" t="s">
        <v>105</v>
      </c>
      <c r="AD39" s="200" t="s">
        <v>105</v>
      </c>
      <c r="AE39" s="200" t="s">
        <v>93</v>
      </c>
      <c r="AF39" s="200" t="s">
        <v>92</v>
      </c>
      <c r="AG39" s="201"/>
      <c r="AH39" s="201"/>
      <c r="AI39" s="244" t="s">
        <v>1039</v>
      </c>
      <c r="AJ39" s="201"/>
      <c r="AK39" s="203" t="s">
        <v>95</v>
      </c>
      <c r="AL39" s="203" t="s">
        <v>3716</v>
      </c>
      <c r="AM39" s="62" t="s">
        <v>3717</v>
      </c>
      <c r="AN39" s="200" t="s">
        <v>92</v>
      </c>
      <c r="AO39" s="211" t="s">
        <v>3718</v>
      </c>
      <c r="AP39" s="211" t="s">
        <v>3719</v>
      </c>
      <c r="AQ39" s="211" t="s">
        <v>3720</v>
      </c>
      <c r="AR39" s="211" t="s">
        <v>1045</v>
      </c>
      <c r="AS39" s="217" t="s">
        <v>116</v>
      </c>
      <c r="AT39" s="212"/>
      <c r="AU39" s="201"/>
      <c r="AV39" s="201"/>
    </row>
    <row r="40" ht="15.75" customHeight="1">
      <c r="A40" s="11" t="s">
        <v>1462</v>
      </c>
      <c r="B40" s="223" t="s">
        <v>1461</v>
      </c>
      <c r="C40" s="233" t="s">
        <v>3721</v>
      </c>
      <c r="D40" s="237" t="s">
        <v>87</v>
      </c>
      <c r="E40" s="201" t="s">
        <v>95</v>
      </c>
      <c r="F40" s="225" t="s">
        <v>95</v>
      </c>
      <c r="G40" s="201" t="s">
        <v>92</v>
      </c>
      <c r="H40" s="200" t="s">
        <v>92</v>
      </c>
      <c r="I40" s="200" t="s">
        <v>93</v>
      </c>
      <c r="J40" s="200">
        <v>1998.0</v>
      </c>
      <c r="K40" s="237" t="s">
        <v>3623</v>
      </c>
      <c r="L40" s="200" t="s">
        <v>3510</v>
      </c>
      <c r="M40" s="202">
        <v>3193.0</v>
      </c>
      <c r="N40" s="200" t="s">
        <v>93</v>
      </c>
      <c r="O40" s="200" t="s">
        <v>1468</v>
      </c>
      <c r="P40" s="200" t="s">
        <v>92</v>
      </c>
      <c r="Q40" s="200" t="s">
        <v>93</v>
      </c>
      <c r="R40" s="200" t="s">
        <v>93</v>
      </c>
      <c r="S40" s="200" t="s">
        <v>93</v>
      </c>
      <c r="T40" s="200" t="s">
        <v>93</v>
      </c>
      <c r="U40" s="200" t="s">
        <v>93</v>
      </c>
      <c r="V40" s="200" t="s">
        <v>92</v>
      </c>
      <c r="W40" s="200" t="s">
        <v>92</v>
      </c>
      <c r="X40" s="200" t="s">
        <v>93</v>
      </c>
      <c r="Y40" s="203">
        <v>2021.0</v>
      </c>
      <c r="Z40" s="204" t="s">
        <v>95</v>
      </c>
      <c r="AA40" s="204" t="s">
        <v>3722</v>
      </c>
      <c r="AB40" s="205" t="s">
        <v>3723</v>
      </c>
      <c r="AC40" s="200" t="s">
        <v>93</v>
      </c>
      <c r="AD40" s="200" t="s">
        <v>93</v>
      </c>
      <c r="AE40" s="200" t="s">
        <v>93</v>
      </c>
      <c r="AF40" s="200" t="s">
        <v>105</v>
      </c>
      <c r="AG40" s="201"/>
      <c r="AH40" s="201"/>
      <c r="AI40" s="245" t="s">
        <v>1461</v>
      </c>
      <c r="AJ40" s="201"/>
      <c r="AK40" s="218" t="s">
        <v>3724</v>
      </c>
      <c r="AL40" s="203" t="s">
        <v>3725</v>
      </c>
      <c r="AM40" s="62" t="s">
        <v>3726</v>
      </c>
      <c r="AN40" s="200" t="s">
        <v>92</v>
      </c>
      <c r="AO40" s="211" t="s">
        <v>3727</v>
      </c>
      <c r="AP40" s="211" t="s">
        <v>178</v>
      </c>
      <c r="AQ40" s="211" t="s">
        <v>115</v>
      </c>
      <c r="AR40" s="211" t="s">
        <v>106</v>
      </c>
      <c r="AS40" s="212"/>
      <c r="AT40" s="212"/>
      <c r="AU40" s="201"/>
      <c r="AV40" s="201"/>
    </row>
    <row r="41" ht="15.75" customHeight="1">
      <c r="A41" s="11" t="s">
        <v>2099</v>
      </c>
      <c r="B41" s="203" t="s">
        <v>2098</v>
      </c>
      <c r="C41" s="246" t="s">
        <v>3728</v>
      </c>
      <c r="D41" s="237" t="s">
        <v>3256</v>
      </c>
      <c r="E41" s="200" t="s">
        <v>3729</v>
      </c>
      <c r="F41" s="200" t="s">
        <v>3730</v>
      </c>
      <c r="G41" s="201" t="s">
        <v>93</v>
      </c>
      <c r="H41" s="200" t="s">
        <v>92</v>
      </c>
      <c r="I41" s="200" t="s">
        <v>93</v>
      </c>
      <c r="J41" s="200">
        <v>1953.0</v>
      </c>
      <c r="K41" s="199" t="s">
        <v>3520</v>
      </c>
      <c r="L41" s="201" t="s">
        <v>3510</v>
      </c>
      <c r="M41" s="202">
        <v>374851.6</v>
      </c>
      <c r="N41" s="200" t="s">
        <v>93</v>
      </c>
      <c r="O41" s="200" t="s">
        <v>3731</v>
      </c>
      <c r="P41" s="200" t="s">
        <v>93</v>
      </c>
      <c r="Q41" s="200" t="s">
        <v>93</v>
      </c>
      <c r="R41" s="200" t="s">
        <v>93</v>
      </c>
      <c r="S41" s="200" t="s">
        <v>93</v>
      </c>
      <c r="T41" s="200" t="s">
        <v>93</v>
      </c>
      <c r="U41" s="200" t="s">
        <v>93</v>
      </c>
      <c r="V41" s="200" t="s">
        <v>93</v>
      </c>
      <c r="W41" s="200" t="s">
        <v>93</v>
      </c>
      <c r="X41" s="200" t="s">
        <v>93</v>
      </c>
      <c r="Y41" s="203" t="s">
        <v>3732</v>
      </c>
      <c r="Z41" s="204" t="s">
        <v>95</v>
      </c>
      <c r="AA41" s="204" t="s">
        <v>3733</v>
      </c>
      <c r="AB41" s="205" t="s">
        <v>3734</v>
      </c>
      <c r="AC41" s="200" t="s">
        <v>93</v>
      </c>
      <c r="AD41" s="200" t="s">
        <v>93</v>
      </c>
      <c r="AE41" s="200" t="s">
        <v>93</v>
      </c>
      <c r="AF41" s="200" t="s">
        <v>93</v>
      </c>
      <c r="AG41" s="201"/>
      <c r="AH41" s="201"/>
      <c r="AI41" s="218" t="s">
        <v>2098</v>
      </c>
      <c r="AJ41" s="201"/>
      <c r="AK41" s="218" t="s">
        <v>3735</v>
      </c>
      <c r="AL41" s="203" t="s">
        <v>3736</v>
      </c>
      <c r="AM41" s="62" t="s">
        <v>95</v>
      </c>
      <c r="AN41" s="200" t="s">
        <v>93</v>
      </c>
      <c r="AO41" s="211" t="s">
        <v>178</v>
      </c>
      <c r="AP41" s="211" t="s">
        <v>115</v>
      </c>
      <c r="AQ41" s="211" t="s">
        <v>106</v>
      </c>
      <c r="AR41" s="211" t="s">
        <v>3718</v>
      </c>
      <c r="AS41" s="217" t="s">
        <v>3737</v>
      </c>
      <c r="AT41" s="217" t="s">
        <v>116</v>
      </c>
      <c r="AU41" s="201"/>
      <c r="AV41" s="201"/>
    </row>
    <row r="42" ht="15.75" customHeight="1">
      <c r="A42" s="11" t="s">
        <v>1331</v>
      </c>
      <c r="B42" s="203" t="s">
        <v>415</v>
      </c>
      <c r="C42" s="233" t="s">
        <v>3738</v>
      </c>
      <c r="D42" s="237" t="s">
        <v>87</v>
      </c>
      <c r="E42" s="200" t="s">
        <v>95</v>
      </c>
      <c r="F42" s="200" t="s">
        <v>95</v>
      </c>
      <c r="G42" s="200" t="s">
        <v>92</v>
      </c>
      <c r="H42" s="200" t="s">
        <v>92</v>
      </c>
      <c r="I42" s="200" t="s">
        <v>92</v>
      </c>
      <c r="J42" s="200">
        <v>1973.0</v>
      </c>
      <c r="K42" s="237" t="s">
        <v>3739</v>
      </c>
      <c r="L42" s="200" t="s">
        <v>3510</v>
      </c>
      <c r="M42" s="238">
        <v>3627.8</v>
      </c>
      <c r="N42" s="200" t="s">
        <v>92</v>
      </c>
      <c r="O42" s="200" t="s">
        <v>95</v>
      </c>
      <c r="P42" s="200" t="s">
        <v>93</v>
      </c>
      <c r="Q42" s="200" t="s">
        <v>93</v>
      </c>
      <c r="R42" s="200" t="s">
        <v>92</v>
      </c>
      <c r="S42" s="200" t="s">
        <v>92</v>
      </c>
      <c r="T42" s="200" t="s">
        <v>92</v>
      </c>
      <c r="U42" s="200" t="s">
        <v>92</v>
      </c>
      <c r="V42" s="200" t="s">
        <v>93</v>
      </c>
      <c r="W42" s="200" t="s">
        <v>93</v>
      </c>
      <c r="X42" s="200" t="s">
        <v>92</v>
      </c>
      <c r="Y42" s="203" t="s">
        <v>95</v>
      </c>
      <c r="Z42" s="204" t="s">
        <v>95</v>
      </c>
      <c r="AA42" s="247" t="s">
        <v>95</v>
      </c>
      <c r="AB42" s="248" t="s">
        <v>95</v>
      </c>
      <c r="AC42" s="200" t="s">
        <v>92</v>
      </c>
      <c r="AD42" s="200" t="s">
        <v>92</v>
      </c>
      <c r="AE42" s="200" t="s">
        <v>92</v>
      </c>
      <c r="AF42" s="200" t="s">
        <v>92</v>
      </c>
      <c r="AG42" s="201"/>
      <c r="AH42" s="201"/>
      <c r="AI42" s="218" t="s">
        <v>415</v>
      </c>
      <c r="AJ42" s="201"/>
      <c r="AK42" s="203" t="s">
        <v>95</v>
      </c>
      <c r="AL42" s="203" t="s">
        <v>3740</v>
      </c>
      <c r="AM42" s="62" t="s">
        <v>95</v>
      </c>
      <c r="AN42" s="200" t="s">
        <v>93</v>
      </c>
      <c r="AO42" s="211" t="s">
        <v>1929</v>
      </c>
      <c r="AP42" s="211" t="s">
        <v>3741</v>
      </c>
      <c r="AQ42" s="211" t="s">
        <v>3742</v>
      </c>
      <c r="AR42" s="211" t="s">
        <v>3743</v>
      </c>
      <c r="AS42" s="212"/>
      <c r="AT42" s="212"/>
      <c r="AU42" s="201"/>
      <c r="AV42" s="201"/>
    </row>
    <row r="43" ht="15.75" customHeight="1">
      <c r="A43" s="11" t="s">
        <v>2211</v>
      </c>
      <c r="B43" s="203" t="s">
        <v>2210</v>
      </c>
      <c r="C43" s="233" t="s">
        <v>3744</v>
      </c>
      <c r="D43" s="237" t="s">
        <v>3256</v>
      </c>
      <c r="E43" s="200" t="s">
        <v>3745</v>
      </c>
      <c r="F43" s="200" t="s">
        <v>3746</v>
      </c>
      <c r="G43" s="200" t="s">
        <v>93</v>
      </c>
      <c r="H43" s="200" t="s">
        <v>92</v>
      </c>
      <c r="I43" s="200" t="s">
        <v>93</v>
      </c>
      <c r="J43" s="200">
        <v>2000.0</v>
      </c>
      <c r="K43" s="237" t="s">
        <v>3520</v>
      </c>
      <c r="L43" s="200" t="s">
        <v>3510</v>
      </c>
      <c r="M43" s="238">
        <v>130631.7</v>
      </c>
      <c r="N43" s="200" t="s">
        <v>93</v>
      </c>
      <c r="O43" s="200" t="s">
        <v>3747</v>
      </c>
      <c r="P43" s="200" t="s">
        <v>92</v>
      </c>
      <c r="Q43" s="200" t="s">
        <v>93</v>
      </c>
      <c r="R43" s="200" t="s">
        <v>93</v>
      </c>
      <c r="S43" s="200" t="s">
        <v>93</v>
      </c>
      <c r="T43" s="200" t="s">
        <v>93</v>
      </c>
      <c r="U43" s="200" t="s">
        <v>93</v>
      </c>
      <c r="V43" s="200" t="s">
        <v>92</v>
      </c>
      <c r="W43" s="200" t="s">
        <v>93</v>
      </c>
      <c r="X43" s="200" t="s">
        <v>93</v>
      </c>
      <c r="Y43" s="203" t="s">
        <v>3748</v>
      </c>
      <c r="Z43" s="204" t="s">
        <v>3749</v>
      </c>
      <c r="AA43" s="204" t="s">
        <v>3750</v>
      </c>
      <c r="AB43" s="205" t="s">
        <v>3751</v>
      </c>
      <c r="AC43" s="200" t="s">
        <v>92</v>
      </c>
      <c r="AD43" s="200" t="s">
        <v>92</v>
      </c>
      <c r="AE43" s="200" t="s">
        <v>92</v>
      </c>
      <c r="AF43" s="200" t="s">
        <v>92</v>
      </c>
      <c r="AG43" s="201"/>
      <c r="AH43" s="201"/>
      <c r="AI43" s="218" t="s">
        <v>2210</v>
      </c>
      <c r="AJ43" s="201"/>
      <c r="AK43" s="218" t="s">
        <v>3747</v>
      </c>
      <c r="AL43" s="203" t="s">
        <v>3752</v>
      </c>
      <c r="AM43" s="62" t="s">
        <v>95</v>
      </c>
      <c r="AN43" s="200" t="s">
        <v>93</v>
      </c>
      <c r="AO43" s="211" t="s">
        <v>1189</v>
      </c>
      <c r="AP43" s="211" t="s">
        <v>129</v>
      </c>
      <c r="AQ43" s="211" t="s">
        <v>1195</v>
      </c>
      <c r="AR43" s="211" t="s">
        <v>660</v>
      </c>
      <c r="AS43" s="212"/>
      <c r="AT43" s="212"/>
      <c r="AU43" s="201"/>
      <c r="AV43" s="201"/>
    </row>
    <row r="44" ht="15.75" customHeight="1">
      <c r="A44" s="11" t="s">
        <v>2730</v>
      </c>
      <c r="B44" s="203" t="s">
        <v>2729</v>
      </c>
      <c r="C44" s="233" t="s">
        <v>3753</v>
      </c>
      <c r="D44" s="237" t="s">
        <v>3754</v>
      </c>
      <c r="E44" s="200" t="s">
        <v>3755</v>
      </c>
      <c r="F44" s="200" t="s">
        <v>3756</v>
      </c>
      <c r="G44" s="201" t="s">
        <v>93</v>
      </c>
      <c r="H44" s="200" t="s">
        <v>92</v>
      </c>
      <c r="I44" s="200" t="s">
        <v>93</v>
      </c>
      <c r="J44" s="200">
        <v>1959.0</v>
      </c>
      <c r="K44" s="199" t="s">
        <v>3520</v>
      </c>
      <c r="L44" s="200" t="s">
        <v>3595</v>
      </c>
      <c r="M44" s="202">
        <v>102890.0</v>
      </c>
      <c r="N44" s="200" t="s">
        <v>93</v>
      </c>
      <c r="O44" s="200" t="s">
        <v>3757</v>
      </c>
      <c r="P44" s="200" t="s">
        <v>93</v>
      </c>
      <c r="Q44" s="200" t="s">
        <v>92</v>
      </c>
      <c r="R44" s="200" t="s">
        <v>92</v>
      </c>
      <c r="S44" s="200" t="s">
        <v>92</v>
      </c>
      <c r="T44" s="200" t="s">
        <v>93</v>
      </c>
      <c r="U44" s="200" t="s">
        <v>93</v>
      </c>
      <c r="V44" s="200" t="s">
        <v>93</v>
      </c>
      <c r="W44" s="200" t="s">
        <v>93</v>
      </c>
      <c r="X44" s="200" t="s">
        <v>93</v>
      </c>
      <c r="Y44" s="203" t="s">
        <v>3758</v>
      </c>
      <c r="Z44" s="204" t="s">
        <v>3759</v>
      </c>
      <c r="AA44" s="204" t="s">
        <v>3760</v>
      </c>
      <c r="AB44" s="205" t="s">
        <v>3761</v>
      </c>
      <c r="AC44" s="200" t="s">
        <v>93</v>
      </c>
      <c r="AD44" s="200" t="s">
        <v>93</v>
      </c>
      <c r="AE44" s="200" t="s">
        <v>93</v>
      </c>
      <c r="AF44" s="200" t="s">
        <v>93</v>
      </c>
      <c r="AG44" s="201"/>
      <c r="AH44" s="201"/>
      <c r="AI44" s="218" t="s">
        <v>3762</v>
      </c>
      <c r="AJ44" s="201"/>
      <c r="AK44" s="218" t="s">
        <v>3763</v>
      </c>
      <c r="AL44" s="242">
        <v>45298.0</v>
      </c>
      <c r="AM44" s="62" t="s">
        <v>95</v>
      </c>
      <c r="AN44" s="200" t="s">
        <v>93</v>
      </c>
      <c r="AO44" s="211" t="s">
        <v>157</v>
      </c>
      <c r="AP44" s="211" t="s">
        <v>170</v>
      </c>
      <c r="AQ44" s="211" t="s">
        <v>1307</v>
      </c>
      <c r="AR44" s="211" t="s">
        <v>1371</v>
      </c>
      <c r="AS44" s="212"/>
      <c r="AT44" s="212"/>
      <c r="AU44" s="201"/>
      <c r="AV44" s="201"/>
    </row>
    <row r="45" ht="15.75" customHeight="1">
      <c r="A45" s="11" t="s">
        <v>1687</v>
      </c>
      <c r="B45" s="203" t="s">
        <v>1686</v>
      </c>
      <c r="C45" s="233" t="s">
        <v>3764</v>
      </c>
      <c r="D45" s="237" t="s">
        <v>3256</v>
      </c>
      <c r="E45" s="200" t="s">
        <v>3765</v>
      </c>
      <c r="F45" s="200" t="s">
        <v>3766</v>
      </c>
      <c r="G45" s="200" t="s">
        <v>93</v>
      </c>
      <c r="H45" s="200" t="s">
        <v>92</v>
      </c>
      <c r="I45" s="200" t="s">
        <v>93</v>
      </c>
      <c r="J45" s="200">
        <v>1999.0</v>
      </c>
      <c r="K45" s="237" t="s">
        <v>3520</v>
      </c>
      <c r="L45" s="200" t="s">
        <v>3510</v>
      </c>
      <c r="M45" s="238">
        <v>79708.8</v>
      </c>
      <c r="N45" s="200" t="s">
        <v>92</v>
      </c>
      <c r="O45" s="200" t="s">
        <v>95</v>
      </c>
      <c r="P45" s="200" t="s">
        <v>92</v>
      </c>
      <c r="Q45" s="200" t="s">
        <v>93</v>
      </c>
      <c r="R45" s="200" t="s">
        <v>93</v>
      </c>
      <c r="S45" s="200" t="s">
        <v>93</v>
      </c>
      <c r="T45" s="200" t="s">
        <v>93</v>
      </c>
      <c r="U45" s="200" t="s">
        <v>93</v>
      </c>
      <c r="V45" s="200" t="s">
        <v>93</v>
      </c>
      <c r="W45" s="200" t="s">
        <v>93</v>
      </c>
      <c r="X45" s="200" t="s">
        <v>93</v>
      </c>
      <c r="Y45" s="203" t="s">
        <v>3767</v>
      </c>
      <c r="Z45" s="204" t="s">
        <v>95</v>
      </c>
      <c r="AA45" s="204" t="s">
        <v>95</v>
      </c>
      <c r="AB45" s="205" t="s">
        <v>95</v>
      </c>
      <c r="AC45" s="200" t="s">
        <v>92</v>
      </c>
      <c r="AD45" s="200" t="s">
        <v>92</v>
      </c>
      <c r="AE45" s="200" t="s">
        <v>93</v>
      </c>
      <c r="AF45" s="200" t="s">
        <v>93</v>
      </c>
      <c r="AG45" s="201"/>
      <c r="AH45" s="201"/>
      <c r="AI45" s="218" t="s">
        <v>1686</v>
      </c>
      <c r="AJ45" s="201"/>
      <c r="AK45" s="203" t="s">
        <v>95</v>
      </c>
      <c r="AL45" s="203" t="s">
        <v>3740</v>
      </c>
      <c r="AM45" s="62" t="s">
        <v>95</v>
      </c>
      <c r="AN45" s="200" t="s">
        <v>93</v>
      </c>
      <c r="AO45" s="211" t="s">
        <v>3768</v>
      </c>
      <c r="AP45" s="211" t="s">
        <v>3769</v>
      </c>
      <c r="AQ45" s="211" t="s">
        <v>3770</v>
      </c>
      <c r="AR45" s="211" t="s">
        <v>3771</v>
      </c>
      <c r="AS45" s="212"/>
      <c r="AT45" s="212"/>
      <c r="AU45" s="201"/>
      <c r="AV45" s="201"/>
    </row>
    <row r="46" ht="15.75" customHeight="1">
      <c r="A46" s="11" t="s">
        <v>2489</v>
      </c>
      <c r="B46" s="203" t="s">
        <v>2488</v>
      </c>
      <c r="C46" s="233" t="s">
        <v>3753</v>
      </c>
      <c r="D46" s="237" t="s">
        <v>3754</v>
      </c>
      <c r="E46" s="200" t="s">
        <v>3755</v>
      </c>
      <c r="F46" s="200" t="s">
        <v>3756</v>
      </c>
      <c r="G46" s="201" t="s">
        <v>93</v>
      </c>
      <c r="H46" s="200" t="s">
        <v>92</v>
      </c>
      <c r="I46" s="200" t="s">
        <v>92</v>
      </c>
      <c r="J46" s="200">
        <v>1974.0</v>
      </c>
      <c r="K46" s="199" t="s">
        <v>3520</v>
      </c>
      <c r="L46" s="201" t="s">
        <v>3510</v>
      </c>
      <c r="M46" s="202">
        <v>54520.0</v>
      </c>
      <c r="N46" s="200" t="s">
        <v>93</v>
      </c>
      <c r="O46" s="200" t="s">
        <v>3772</v>
      </c>
      <c r="P46" s="200" t="s">
        <v>92</v>
      </c>
      <c r="Q46" s="200" t="s">
        <v>92</v>
      </c>
      <c r="R46" s="200" t="s">
        <v>92</v>
      </c>
      <c r="S46" s="200" t="s">
        <v>92</v>
      </c>
      <c r="T46" s="200" t="s">
        <v>93</v>
      </c>
      <c r="U46" s="200" t="s">
        <v>93</v>
      </c>
      <c r="V46" s="200" t="s">
        <v>93</v>
      </c>
      <c r="W46" s="200" t="s">
        <v>93</v>
      </c>
      <c r="X46" s="200" t="s">
        <v>93</v>
      </c>
      <c r="Y46" s="203" t="s">
        <v>3532</v>
      </c>
      <c r="Z46" s="204" t="s">
        <v>3773</v>
      </c>
      <c r="AA46" s="229"/>
      <c r="AB46" s="230"/>
      <c r="AC46" s="200" t="s">
        <v>93</v>
      </c>
      <c r="AD46" s="200" t="s">
        <v>93</v>
      </c>
      <c r="AE46" s="200" t="s">
        <v>93</v>
      </c>
      <c r="AF46" s="200" t="s">
        <v>93</v>
      </c>
      <c r="AG46" s="201"/>
      <c r="AH46" s="201"/>
      <c r="AI46" s="218" t="s">
        <v>2488</v>
      </c>
      <c r="AJ46" s="201"/>
      <c r="AK46" s="218" t="s">
        <v>3772</v>
      </c>
      <c r="AL46" s="242">
        <v>45419.0</v>
      </c>
      <c r="AM46" s="62" t="s">
        <v>95</v>
      </c>
      <c r="AN46" s="200" t="s">
        <v>93</v>
      </c>
      <c r="AO46" s="211" t="s">
        <v>1189</v>
      </c>
      <c r="AP46" s="211" t="s">
        <v>129</v>
      </c>
      <c r="AQ46" s="211" t="s">
        <v>1195</v>
      </c>
      <c r="AR46" s="211" t="s">
        <v>660</v>
      </c>
      <c r="AS46" s="236" t="s">
        <v>3774</v>
      </c>
      <c r="AT46" s="212"/>
      <c r="AU46" s="201"/>
      <c r="AV46" s="201"/>
    </row>
    <row r="47" ht="15.75" customHeight="1">
      <c r="A47" s="11" t="s">
        <v>2495</v>
      </c>
      <c r="B47" s="203" t="s">
        <v>2494</v>
      </c>
      <c r="C47" s="233" t="s">
        <v>3775</v>
      </c>
      <c r="D47" s="237" t="s">
        <v>3754</v>
      </c>
      <c r="E47" s="200" t="s">
        <v>3755</v>
      </c>
      <c r="F47" s="200" t="s">
        <v>3756</v>
      </c>
      <c r="G47" s="200" t="s">
        <v>93</v>
      </c>
      <c r="H47" s="200" t="s">
        <v>92</v>
      </c>
      <c r="I47" s="200" t="s">
        <v>93</v>
      </c>
      <c r="J47" s="200">
        <v>1948.0</v>
      </c>
      <c r="K47" s="199" t="s">
        <v>3520</v>
      </c>
      <c r="L47" s="201" t="s">
        <v>3510</v>
      </c>
      <c r="M47" s="202">
        <v>17321.0</v>
      </c>
      <c r="N47" s="200" t="s">
        <v>93</v>
      </c>
      <c r="O47" s="200" t="s">
        <v>2684</v>
      </c>
      <c r="P47" s="200" t="s">
        <v>92</v>
      </c>
      <c r="Q47" s="200" t="s">
        <v>92</v>
      </c>
      <c r="R47" s="200" t="s">
        <v>92</v>
      </c>
      <c r="S47" s="200" t="s">
        <v>92</v>
      </c>
      <c r="T47" s="200" t="s">
        <v>93</v>
      </c>
      <c r="U47" s="200" t="s">
        <v>93</v>
      </c>
      <c r="V47" s="200" t="s">
        <v>93</v>
      </c>
      <c r="W47" s="200" t="s">
        <v>93</v>
      </c>
      <c r="X47" s="200" t="s">
        <v>93</v>
      </c>
      <c r="Y47" s="203" t="s">
        <v>3776</v>
      </c>
      <c r="Z47" s="204" t="s">
        <v>3777</v>
      </c>
      <c r="AA47" s="204" t="s">
        <v>3778</v>
      </c>
      <c r="AB47" s="205" t="s">
        <v>3779</v>
      </c>
      <c r="AC47" s="200" t="s">
        <v>93</v>
      </c>
      <c r="AD47" s="200" t="s">
        <v>93</v>
      </c>
      <c r="AE47" s="200" t="s">
        <v>93</v>
      </c>
      <c r="AF47" s="200" t="s">
        <v>93</v>
      </c>
      <c r="AG47" s="201"/>
      <c r="AH47" s="201"/>
      <c r="AI47" s="218" t="s">
        <v>2494</v>
      </c>
      <c r="AJ47" s="201"/>
      <c r="AK47" s="218" t="s">
        <v>2684</v>
      </c>
      <c r="AL47" s="242">
        <v>45572.0</v>
      </c>
      <c r="AM47" s="62" t="s">
        <v>95</v>
      </c>
      <c r="AN47" s="200" t="s">
        <v>93</v>
      </c>
      <c r="AO47" s="211" t="s">
        <v>1189</v>
      </c>
      <c r="AP47" s="211" t="s">
        <v>2662</v>
      </c>
      <c r="AQ47" s="211" t="s">
        <v>2663</v>
      </c>
      <c r="AR47" s="211" t="s">
        <v>2664</v>
      </c>
      <c r="AS47" s="236" t="s">
        <v>3780</v>
      </c>
      <c r="AT47" s="212"/>
      <c r="AU47" s="201"/>
      <c r="AV47" s="201"/>
    </row>
    <row r="48" ht="15.75" customHeight="1">
      <c r="A48" s="11" t="s">
        <v>1799</v>
      </c>
      <c r="B48" s="203" t="s">
        <v>1798</v>
      </c>
      <c r="C48" s="233" t="s">
        <v>3781</v>
      </c>
      <c r="D48" s="237" t="s">
        <v>3256</v>
      </c>
      <c r="E48" s="200" t="s">
        <v>3782</v>
      </c>
      <c r="F48" s="200" t="s">
        <v>3783</v>
      </c>
      <c r="G48" s="200" t="s">
        <v>93</v>
      </c>
      <c r="H48" s="200" t="s">
        <v>92</v>
      </c>
      <c r="I48" s="200" t="s">
        <v>93</v>
      </c>
      <c r="J48" s="200">
        <v>1934.0</v>
      </c>
      <c r="K48" s="237" t="s">
        <v>3784</v>
      </c>
      <c r="L48" s="200" t="s">
        <v>3510</v>
      </c>
      <c r="M48" s="238">
        <v>53805.0</v>
      </c>
      <c r="N48" s="200" t="s">
        <v>93</v>
      </c>
      <c r="O48" s="200" t="s">
        <v>3785</v>
      </c>
      <c r="P48" s="200" t="s">
        <v>92</v>
      </c>
      <c r="Q48" s="200" t="s">
        <v>93</v>
      </c>
      <c r="R48" s="200" t="s">
        <v>93</v>
      </c>
      <c r="S48" s="200" t="s">
        <v>93</v>
      </c>
      <c r="T48" s="200" t="s">
        <v>93</v>
      </c>
      <c r="U48" s="200" t="s">
        <v>93</v>
      </c>
      <c r="V48" s="200" t="s">
        <v>93</v>
      </c>
      <c r="W48" s="200" t="s">
        <v>93</v>
      </c>
      <c r="X48" s="200" t="s">
        <v>93</v>
      </c>
      <c r="Y48" s="197">
        <v>2009.0</v>
      </c>
      <c r="Z48" s="204" t="s">
        <v>95</v>
      </c>
      <c r="AA48" s="204" t="s">
        <v>95</v>
      </c>
      <c r="AB48" s="205" t="s">
        <v>95</v>
      </c>
      <c r="AC48" s="200" t="s">
        <v>93</v>
      </c>
      <c r="AD48" s="200" t="s">
        <v>93</v>
      </c>
      <c r="AE48" s="200" t="s">
        <v>93</v>
      </c>
      <c r="AF48" s="200" t="s">
        <v>93</v>
      </c>
      <c r="AG48" s="201"/>
      <c r="AH48" s="201"/>
      <c r="AI48" s="218" t="s">
        <v>1798</v>
      </c>
      <c r="AJ48" s="201"/>
      <c r="AK48" s="218" t="s">
        <v>3785</v>
      </c>
      <c r="AL48" s="203" t="s">
        <v>3634</v>
      </c>
      <c r="AM48" s="62" t="s">
        <v>95</v>
      </c>
      <c r="AN48" s="200" t="s">
        <v>93</v>
      </c>
      <c r="AO48" s="211" t="s">
        <v>1812</v>
      </c>
      <c r="AP48" s="211" t="s">
        <v>1804</v>
      </c>
      <c r="AQ48" s="211" t="s">
        <v>1805</v>
      </c>
      <c r="AR48" s="211" t="s">
        <v>1806</v>
      </c>
      <c r="AS48" s="212"/>
      <c r="AT48" s="212"/>
      <c r="AU48" s="201"/>
      <c r="AV48" s="201"/>
    </row>
    <row r="49" ht="15.75" customHeight="1">
      <c r="A49" s="11" t="s">
        <v>2247</v>
      </c>
      <c r="B49" s="203" t="s">
        <v>2246</v>
      </c>
      <c r="C49" s="233" t="s">
        <v>3786</v>
      </c>
      <c r="D49" s="237" t="s">
        <v>3256</v>
      </c>
      <c r="E49" s="200" t="s">
        <v>3787</v>
      </c>
      <c r="F49" s="200" t="s">
        <v>3730</v>
      </c>
      <c r="G49" s="200" t="s">
        <v>93</v>
      </c>
      <c r="H49" s="200" t="s">
        <v>92</v>
      </c>
      <c r="I49" s="200" t="s">
        <v>93</v>
      </c>
      <c r="J49" s="200">
        <v>1992.0</v>
      </c>
      <c r="K49" s="237" t="s">
        <v>3520</v>
      </c>
      <c r="L49" s="200" t="s">
        <v>3510</v>
      </c>
      <c r="M49" s="238">
        <v>30977.8</v>
      </c>
      <c r="N49" s="200" t="s">
        <v>92</v>
      </c>
      <c r="O49" s="200" t="s">
        <v>95</v>
      </c>
      <c r="P49" s="200" t="s">
        <v>92</v>
      </c>
      <c r="Q49" s="200" t="s">
        <v>93</v>
      </c>
      <c r="R49" s="200" t="s">
        <v>93</v>
      </c>
      <c r="S49" s="200" t="s">
        <v>93</v>
      </c>
      <c r="T49" s="200" t="s">
        <v>93</v>
      </c>
      <c r="U49" s="200" t="s">
        <v>93</v>
      </c>
      <c r="V49" s="200" t="s">
        <v>93</v>
      </c>
      <c r="W49" s="200" t="s">
        <v>93</v>
      </c>
      <c r="X49" s="200" t="s">
        <v>93</v>
      </c>
      <c r="Y49" s="61" t="s">
        <v>3788</v>
      </c>
      <c r="Z49" s="204" t="s">
        <v>3789</v>
      </c>
      <c r="AA49" s="204" t="s">
        <v>3790</v>
      </c>
      <c r="AB49" s="205" t="s">
        <v>3791</v>
      </c>
      <c r="AC49" s="200" t="s">
        <v>92</v>
      </c>
      <c r="AD49" s="200" t="s">
        <v>92</v>
      </c>
      <c r="AE49" s="200" t="s">
        <v>92</v>
      </c>
      <c r="AF49" s="200" t="s">
        <v>92</v>
      </c>
      <c r="AG49" s="201"/>
      <c r="AH49" s="201"/>
      <c r="AI49" s="218" t="s">
        <v>2246</v>
      </c>
      <c r="AJ49" s="201"/>
      <c r="AK49" s="197" t="s">
        <v>95</v>
      </c>
      <c r="AL49" s="242">
        <v>45633.0</v>
      </c>
      <c r="AM49" s="62" t="s">
        <v>95</v>
      </c>
      <c r="AN49" s="200" t="s">
        <v>93</v>
      </c>
      <c r="AO49" s="211" t="s">
        <v>1189</v>
      </c>
      <c r="AP49" s="211" t="s">
        <v>129</v>
      </c>
      <c r="AQ49" s="211" t="s">
        <v>1195</v>
      </c>
      <c r="AR49" s="211" t="s">
        <v>660</v>
      </c>
      <c r="AS49" s="212"/>
      <c r="AT49" s="212"/>
      <c r="AU49" s="201"/>
      <c r="AV49" s="201"/>
    </row>
    <row r="50" ht="15.75" customHeight="1">
      <c r="A50" s="11" t="s">
        <v>2914</v>
      </c>
      <c r="B50" s="203" t="s">
        <v>2913</v>
      </c>
      <c r="C50" s="233" t="s">
        <v>3792</v>
      </c>
      <c r="D50" s="237" t="s">
        <v>3754</v>
      </c>
      <c r="E50" s="200" t="s">
        <v>3754</v>
      </c>
      <c r="F50" s="200" t="s">
        <v>3793</v>
      </c>
      <c r="G50" s="200" t="s">
        <v>93</v>
      </c>
      <c r="H50" s="200" t="s">
        <v>92</v>
      </c>
      <c r="I50" s="200" t="s">
        <v>92</v>
      </c>
      <c r="J50" s="200">
        <v>1957.0</v>
      </c>
      <c r="K50" s="199" t="s">
        <v>3520</v>
      </c>
      <c r="L50" s="201" t="s">
        <v>3510</v>
      </c>
      <c r="M50" s="238">
        <v>37299.0</v>
      </c>
      <c r="N50" s="200" t="s">
        <v>92</v>
      </c>
      <c r="O50" s="201" t="s">
        <v>95</v>
      </c>
      <c r="P50" s="200" t="s">
        <v>92</v>
      </c>
      <c r="Q50" s="200" t="s">
        <v>92</v>
      </c>
      <c r="R50" s="200" t="s">
        <v>92</v>
      </c>
      <c r="S50" s="200" t="s">
        <v>92</v>
      </c>
      <c r="T50" s="200" t="s">
        <v>92</v>
      </c>
      <c r="U50" s="200" t="s">
        <v>93</v>
      </c>
      <c r="V50" s="200" t="s">
        <v>93</v>
      </c>
      <c r="W50" s="200" t="s">
        <v>93</v>
      </c>
      <c r="X50" s="200" t="s">
        <v>93</v>
      </c>
      <c r="Y50" s="203" t="s">
        <v>3794</v>
      </c>
      <c r="Z50" s="204" t="s">
        <v>95</v>
      </c>
      <c r="AA50" s="204" t="s">
        <v>95</v>
      </c>
      <c r="AB50" s="204" t="s">
        <v>95</v>
      </c>
      <c r="AC50" s="200" t="s">
        <v>93</v>
      </c>
      <c r="AD50" s="200" t="s">
        <v>92</v>
      </c>
      <c r="AE50" s="200" t="s">
        <v>92</v>
      </c>
      <c r="AF50" s="200" t="s">
        <v>92</v>
      </c>
      <c r="AG50" s="201"/>
      <c r="AH50" s="201"/>
      <c r="AI50" s="218" t="s">
        <v>3795</v>
      </c>
      <c r="AJ50" s="201"/>
      <c r="AK50" s="197" t="s">
        <v>95</v>
      </c>
      <c r="AL50" s="203" t="s">
        <v>3796</v>
      </c>
      <c r="AM50" s="62" t="s">
        <v>95</v>
      </c>
      <c r="AN50" s="200" t="s">
        <v>93</v>
      </c>
      <c r="AO50" s="211" t="s">
        <v>157</v>
      </c>
      <c r="AP50" s="211" t="s">
        <v>170</v>
      </c>
      <c r="AQ50" s="211" t="s">
        <v>1307</v>
      </c>
      <c r="AR50" s="211" t="s">
        <v>1371</v>
      </c>
      <c r="AS50" s="212"/>
      <c r="AT50" s="212"/>
      <c r="AU50" s="201"/>
      <c r="AV50" s="201"/>
    </row>
    <row r="51" ht="15.75" customHeight="1">
      <c r="A51" s="11" t="s">
        <v>2282</v>
      </c>
      <c r="B51" s="203" t="s">
        <v>2281</v>
      </c>
      <c r="C51" s="233" t="s">
        <v>3797</v>
      </c>
      <c r="D51" s="237" t="s">
        <v>3256</v>
      </c>
      <c r="E51" s="200" t="s">
        <v>95</v>
      </c>
      <c r="F51" s="200" t="s">
        <v>95</v>
      </c>
      <c r="G51" s="200" t="s">
        <v>92</v>
      </c>
      <c r="H51" s="200" t="s">
        <v>92</v>
      </c>
      <c r="I51" s="200" t="s">
        <v>92</v>
      </c>
      <c r="J51" s="200">
        <v>1866.0</v>
      </c>
      <c r="K51" s="237" t="s">
        <v>3520</v>
      </c>
      <c r="L51" s="200" t="s">
        <v>3656</v>
      </c>
      <c r="M51" s="238">
        <v>20330.0</v>
      </c>
      <c r="N51" s="200" t="s">
        <v>93</v>
      </c>
      <c r="O51" s="200" t="s">
        <v>3798</v>
      </c>
      <c r="P51" s="200" t="s">
        <v>92</v>
      </c>
      <c r="Q51" s="200" t="s">
        <v>93</v>
      </c>
      <c r="R51" s="200" t="s">
        <v>93</v>
      </c>
      <c r="S51" s="200" t="s">
        <v>93</v>
      </c>
      <c r="T51" s="200" t="s">
        <v>93</v>
      </c>
      <c r="U51" s="200" t="s">
        <v>93</v>
      </c>
      <c r="V51" s="200" t="s">
        <v>93</v>
      </c>
      <c r="W51" s="200" t="s">
        <v>93</v>
      </c>
      <c r="X51" s="200" t="s">
        <v>92</v>
      </c>
      <c r="Y51" s="203" t="s">
        <v>95</v>
      </c>
      <c r="Z51" s="204" t="s">
        <v>95</v>
      </c>
      <c r="AA51" s="204" t="s">
        <v>95</v>
      </c>
      <c r="AB51" s="205" t="s">
        <v>95</v>
      </c>
      <c r="AC51" s="200" t="s">
        <v>92</v>
      </c>
      <c r="AD51" s="200" t="s">
        <v>92</v>
      </c>
      <c r="AE51" s="200" t="s">
        <v>92</v>
      </c>
      <c r="AF51" s="200" t="s">
        <v>105</v>
      </c>
      <c r="AG51" s="201"/>
      <c r="AH51" s="201"/>
      <c r="AI51" s="218" t="s">
        <v>2281</v>
      </c>
      <c r="AJ51" s="201"/>
      <c r="AK51" s="218" t="s">
        <v>3798</v>
      </c>
      <c r="AL51" s="203" t="s">
        <v>3799</v>
      </c>
      <c r="AM51" s="62" t="s">
        <v>95</v>
      </c>
      <c r="AN51" s="200" t="s">
        <v>93</v>
      </c>
      <c r="AO51" s="211" t="s">
        <v>454</v>
      </c>
      <c r="AP51" s="211" t="s">
        <v>455</v>
      </c>
      <c r="AQ51" s="211" t="s">
        <v>2287</v>
      </c>
      <c r="AR51" s="211" t="s">
        <v>2302</v>
      </c>
      <c r="AS51" s="212"/>
      <c r="AT51" s="212"/>
      <c r="AU51" s="201"/>
      <c r="AV51" s="201"/>
    </row>
    <row r="52" ht="15.75" customHeight="1">
      <c r="A52" s="11" t="s">
        <v>1918</v>
      </c>
      <c r="B52" s="203" t="s">
        <v>1917</v>
      </c>
      <c r="C52" s="233" t="s">
        <v>3800</v>
      </c>
      <c r="D52" s="237" t="s">
        <v>3256</v>
      </c>
      <c r="E52" s="200" t="s">
        <v>95</v>
      </c>
      <c r="F52" s="200" t="s">
        <v>95</v>
      </c>
      <c r="G52" s="200" t="s">
        <v>92</v>
      </c>
      <c r="H52" s="200" t="s">
        <v>92</v>
      </c>
      <c r="I52" s="200" t="s">
        <v>93</v>
      </c>
      <c r="J52" s="200">
        <v>1993.0</v>
      </c>
      <c r="K52" s="237" t="s">
        <v>3520</v>
      </c>
      <c r="L52" s="200" t="s">
        <v>3801</v>
      </c>
      <c r="M52" s="238">
        <v>16418.0</v>
      </c>
      <c r="N52" s="200" t="s">
        <v>93</v>
      </c>
      <c r="O52" s="200" t="s">
        <v>1926</v>
      </c>
      <c r="P52" s="200" t="s">
        <v>92</v>
      </c>
      <c r="Q52" s="200" t="s">
        <v>92</v>
      </c>
      <c r="R52" s="200" t="s">
        <v>92</v>
      </c>
      <c r="S52" s="200" t="s">
        <v>93</v>
      </c>
      <c r="T52" s="200" t="s">
        <v>93</v>
      </c>
      <c r="U52" s="200" t="s">
        <v>93</v>
      </c>
      <c r="V52" s="200" t="s">
        <v>93</v>
      </c>
      <c r="W52" s="200" t="s">
        <v>93</v>
      </c>
      <c r="X52" s="200" t="s">
        <v>93</v>
      </c>
      <c r="Y52" s="203">
        <v>2018.0</v>
      </c>
      <c r="Z52" s="204" t="s">
        <v>95</v>
      </c>
      <c r="AA52" s="204" t="s">
        <v>95</v>
      </c>
      <c r="AB52" s="205" t="s">
        <v>95</v>
      </c>
      <c r="AC52" s="200" t="s">
        <v>92</v>
      </c>
      <c r="AD52" s="200" t="s">
        <v>92</v>
      </c>
      <c r="AE52" s="200" t="s">
        <v>92</v>
      </c>
      <c r="AF52" s="200" t="s">
        <v>92</v>
      </c>
      <c r="AG52" s="201"/>
      <c r="AH52" s="201"/>
      <c r="AI52" s="218" t="s">
        <v>1917</v>
      </c>
      <c r="AJ52" s="201"/>
      <c r="AK52" s="218" t="s">
        <v>1926</v>
      </c>
      <c r="AL52" s="203" t="s">
        <v>3740</v>
      </c>
      <c r="AM52" s="62" t="s">
        <v>95</v>
      </c>
      <c r="AN52" s="200" t="s">
        <v>92</v>
      </c>
      <c r="AO52" s="211" t="s">
        <v>1929</v>
      </c>
      <c r="AP52" s="211" t="s">
        <v>1922</v>
      </c>
      <c r="AQ52" s="211" t="s">
        <v>1930</v>
      </c>
      <c r="AR52" s="211" t="s">
        <v>1604</v>
      </c>
      <c r="AS52" s="212"/>
      <c r="AT52" s="212"/>
      <c r="AU52" s="201"/>
      <c r="AV52" s="201"/>
    </row>
    <row r="53" ht="15.75" customHeight="1">
      <c r="A53" s="11" t="s">
        <v>1830</v>
      </c>
      <c r="B53" s="203" t="s">
        <v>1829</v>
      </c>
      <c r="C53" s="233" t="s">
        <v>3802</v>
      </c>
      <c r="D53" s="237" t="s">
        <v>3256</v>
      </c>
      <c r="E53" s="200" t="s">
        <v>3787</v>
      </c>
      <c r="F53" s="200" t="s">
        <v>3803</v>
      </c>
      <c r="G53" s="200" t="s">
        <v>93</v>
      </c>
      <c r="H53" s="200" t="s">
        <v>92</v>
      </c>
      <c r="I53" s="200" t="s">
        <v>93</v>
      </c>
      <c r="J53" s="200">
        <v>1963.0</v>
      </c>
      <c r="K53" s="237" t="s">
        <v>3520</v>
      </c>
      <c r="L53" s="200" t="s">
        <v>3510</v>
      </c>
      <c r="M53" s="238">
        <v>10205.5</v>
      </c>
      <c r="N53" s="200" t="s">
        <v>92</v>
      </c>
      <c r="O53" s="200" t="s">
        <v>95</v>
      </c>
      <c r="P53" s="200" t="s">
        <v>92</v>
      </c>
      <c r="Q53" s="200" t="s">
        <v>92</v>
      </c>
      <c r="R53" s="200" t="s">
        <v>92</v>
      </c>
      <c r="S53" s="200" t="s">
        <v>93</v>
      </c>
      <c r="T53" s="200" t="s">
        <v>93</v>
      </c>
      <c r="U53" s="200" t="s">
        <v>93</v>
      </c>
      <c r="V53" s="200" t="s">
        <v>92</v>
      </c>
      <c r="W53" s="200" t="s">
        <v>93</v>
      </c>
      <c r="X53" s="200" t="s">
        <v>93</v>
      </c>
      <c r="Y53" s="203">
        <v>2022.0</v>
      </c>
      <c r="Z53" s="204" t="s">
        <v>95</v>
      </c>
      <c r="AA53" s="204" t="s">
        <v>3804</v>
      </c>
      <c r="AB53" s="205" t="s">
        <v>3805</v>
      </c>
      <c r="AC53" s="200" t="s">
        <v>92</v>
      </c>
      <c r="AD53" s="200" t="s">
        <v>92</v>
      </c>
      <c r="AE53" s="200" t="s">
        <v>92</v>
      </c>
      <c r="AF53" s="200" t="s">
        <v>92</v>
      </c>
      <c r="AG53" s="201"/>
      <c r="AH53" s="201"/>
      <c r="AI53" s="218" t="s">
        <v>1829</v>
      </c>
      <c r="AJ53" s="201"/>
      <c r="AK53" s="203" t="s">
        <v>95</v>
      </c>
      <c r="AL53" s="203" t="s">
        <v>3740</v>
      </c>
      <c r="AM53" s="62" t="s">
        <v>3806</v>
      </c>
      <c r="AN53" s="200" t="s">
        <v>92</v>
      </c>
      <c r="AO53" s="211" t="s">
        <v>1189</v>
      </c>
      <c r="AP53" s="211" t="s">
        <v>129</v>
      </c>
      <c r="AQ53" s="211" t="s">
        <v>1195</v>
      </c>
      <c r="AR53" s="219"/>
      <c r="AS53" s="212"/>
      <c r="AT53" s="212"/>
      <c r="AU53" s="201"/>
      <c r="AV53" s="201"/>
    </row>
    <row r="54" ht="15.75" customHeight="1">
      <c r="A54" s="11" t="s">
        <v>3101</v>
      </c>
      <c r="B54" s="203" t="s">
        <v>3807</v>
      </c>
      <c r="C54" s="233" t="s">
        <v>3808</v>
      </c>
      <c r="D54" s="237" t="s">
        <v>3754</v>
      </c>
      <c r="E54" s="200" t="s">
        <v>3754</v>
      </c>
      <c r="F54" s="200" t="s">
        <v>3793</v>
      </c>
      <c r="G54" s="200" t="s">
        <v>93</v>
      </c>
      <c r="H54" s="200" t="s">
        <v>92</v>
      </c>
      <c r="I54" s="200" t="s">
        <v>92</v>
      </c>
      <c r="J54" s="200">
        <v>1946.0</v>
      </c>
      <c r="K54" s="199" t="s">
        <v>3520</v>
      </c>
      <c r="L54" s="201" t="s">
        <v>3510</v>
      </c>
      <c r="M54" s="238">
        <v>30898.0</v>
      </c>
      <c r="N54" s="200" t="s">
        <v>93</v>
      </c>
      <c r="O54" s="200" t="s">
        <v>3809</v>
      </c>
      <c r="P54" s="200" t="s">
        <v>92</v>
      </c>
      <c r="Q54" s="200" t="s">
        <v>92</v>
      </c>
      <c r="R54" s="200" t="s">
        <v>92</v>
      </c>
      <c r="S54" s="200" t="s">
        <v>92</v>
      </c>
      <c r="T54" s="200" t="s">
        <v>92</v>
      </c>
      <c r="U54" s="200" t="s">
        <v>93</v>
      </c>
      <c r="V54" s="200" t="s">
        <v>93</v>
      </c>
      <c r="W54" s="200" t="s">
        <v>93</v>
      </c>
      <c r="X54" s="200" t="s">
        <v>93</v>
      </c>
      <c r="Y54" s="203" t="s">
        <v>3810</v>
      </c>
      <c r="Z54" s="204" t="s">
        <v>95</v>
      </c>
      <c r="AA54" s="204" t="s">
        <v>95</v>
      </c>
      <c r="AB54" s="204" t="s">
        <v>95</v>
      </c>
      <c r="AC54" s="200" t="s">
        <v>92</v>
      </c>
      <c r="AD54" s="200" t="s">
        <v>93</v>
      </c>
      <c r="AE54" s="200" t="s">
        <v>93</v>
      </c>
      <c r="AF54" s="200" t="s">
        <v>92</v>
      </c>
      <c r="AG54" s="201"/>
      <c r="AH54" s="201"/>
      <c r="AI54" s="218" t="s">
        <v>3811</v>
      </c>
      <c r="AJ54" s="201"/>
      <c r="AK54" s="218" t="s">
        <v>3812</v>
      </c>
      <c r="AL54" s="203" t="s">
        <v>3813</v>
      </c>
      <c r="AM54" s="62" t="s">
        <v>95</v>
      </c>
      <c r="AN54" s="200" t="s">
        <v>93</v>
      </c>
      <c r="AO54" s="211" t="s">
        <v>178</v>
      </c>
      <c r="AP54" s="211" t="s">
        <v>115</v>
      </c>
      <c r="AQ54" s="211" t="s">
        <v>106</v>
      </c>
      <c r="AR54" s="211" t="s">
        <v>116</v>
      </c>
      <c r="AS54" s="212"/>
      <c r="AT54" s="212"/>
      <c r="AU54" s="201"/>
      <c r="AV54" s="201"/>
    </row>
    <row r="55" ht="15.75" customHeight="1">
      <c r="A55" s="11" t="s">
        <v>3047</v>
      </c>
      <c r="B55" s="203" t="s">
        <v>3046</v>
      </c>
      <c r="C55" s="233" t="s">
        <v>3814</v>
      </c>
      <c r="D55" s="237" t="s">
        <v>3754</v>
      </c>
      <c r="E55" s="200" t="s">
        <v>3755</v>
      </c>
      <c r="F55" s="200" t="s">
        <v>3815</v>
      </c>
      <c r="G55" s="200" t="s">
        <v>93</v>
      </c>
      <c r="H55" s="200" t="s">
        <v>92</v>
      </c>
      <c r="I55" s="200" t="s">
        <v>92</v>
      </c>
      <c r="J55" s="200">
        <v>2011.0</v>
      </c>
      <c r="K55" s="199" t="s">
        <v>3520</v>
      </c>
      <c r="L55" s="201" t="s">
        <v>3510</v>
      </c>
      <c r="M55" s="238">
        <v>29067.4</v>
      </c>
      <c r="N55" s="200" t="s">
        <v>92</v>
      </c>
      <c r="O55" s="201" t="s">
        <v>95</v>
      </c>
      <c r="P55" s="200" t="s">
        <v>92</v>
      </c>
      <c r="Q55" s="200" t="s">
        <v>92</v>
      </c>
      <c r="R55" s="200" t="s">
        <v>92</v>
      </c>
      <c r="S55" s="200" t="s">
        <v>92</v>
      </c>
      <c r="T55" s="200" t="s">
        <v>92</v>
      </c>
      <c r="U55" s="200" t="s">
        <v>93</v>
      </c>
      <c r="V55" s="200" t="s">
        <v>93</v>
      </c>
      <c r="W55" s="200" t="s">
        <v>93</v>
      </c>
      <c r="X55" s="200" t="s">
        <v>93</v>
      </c>
      <c r="Y55" s="203" t="s">
        <v>3549</v>
      </c>
      <c r="Z55" s="205" t="s">
        <v>95</v>
      </c>
      <c r="AA55" s="204" t="s">
        <v>95</v>
      </c>
      <c r="AB55" s="204" t="s">
        <v>95</v>
      </c>
      <c r="AC55" s="200" t="s">
        <v>92</v>
      </c>
      <c r="AD55" s="200" t="s">
        <v>92</v>
      </c>
      <c r="AE55" s="200" t="s">
        <v>92</v>
      </c>
      <c r="AF55" s="200" t="s">
        <v>92</v>
      </c>
      <c r="AG55" s="201"/>
      <c r="AH55" s="201"/>
      <c r="AI55" s="218" t="s">
        <v>3046</v>
      </c>
      <c r="AJ55" s="201"/>
      <c r="AK55" s="203" t="s">
        <v>95</v>
      </c>
      <c r="AL55" s="203" t="s">
        <v>3813</v>
      </c>
      <c r="AM55" s="62" t="s">
        <v>95</v>
      </c>
      <c r="AN55" s="200" t="s">
        <v>93</v>
      </c>
      <c r="AO55" s="211" t="s">
        <v>178</v>
      </c>
      <c r="AP55" s="211" t="s">
        <v>115</v>
      </c>
      <c r="AQ55" s="211" t="s">
        <v>106</v>
      </c>
      <c r="AR55" s="211" t="s">
        <v>116</v>
      </c>
      <c r="AS55" s="236" t="s">
        <v>3816</v>
      </c>
      <c r="AT55" s="212"/>
      <c r="AU55" s="201"/>
      <c r="AV55" s="201"/>
    </row>
    <row r="56" ht="15.75" customHeight="1">
      <c r="A56" s="11" t="s">
        <v>2161</v>
      </c>
      <c r="B56" s="203" t="s">
        <v>2160</v>
      </c>
      <c r="C56" s="233" t="s">
        <v>3817</v>
      </c>
      <c r="D56" s="237" t="s">
        <v>3256</v>
      </c>
      <c r="E56" s="200" t="s">
        <v>3787</v>
      </c>
      <c r="F56" s="200" t="s">
        <v>3803</v>
      </c>
      <c r="G56" s="200" t="s">
        <v>93</v>
      </c>
      <c r="H56" s="200" t="s">
        <v>92</v>
      </c>
      <c r="I56" s="200" t="s">
        <v>93</v>
      </c>
      <c r="J56" s="200">
        <v>1966.0</v>
      </c>
      <c r="K56" s="237" t="s">
        <v>3818</v>
      </c>
      <c r="L56" s="200" t="s">
        <v>3510</v>
      </c>
      <c r="M56" s="238">
        <v>10129.2</v>
      </c>
      <c r="N56" s="200" t="s">
        <v>92</v>
      </c>
      <c r="O56" s="200" t="s">
        <v>95</v>
      </c>
      <c r="P56" s="200" t="s">
        <v>92</v>
      </c>
      <c r="Q56" s="200" t="s">
        <v>93</v>
      </c>
      <c r="R56" s="200" t="s">
        <v>93</v>
      </c>
      <c r="S56" s="200" t="s">
        <v>93</v>
      </c>
      <c r="T56" s="200" t="s">
        <v>93</v>
      </c>
      <c r="U56" s="200" t="s">
        <v>93</v>
      </c>
      <c r="V56" s="200" t="s">
        <v>93</v>
      </c>
      <c r="W56" s="200" t="s">
        <v>93</v>
      </c>
      <c r="X56" s="200" t="s">
        <v>93</v>
      </c>
      <c r="Y56" s="203" t="s">
        <v>3532</v>
      </c>
      <c r="Z56" s="205" t="s">
        <v>3819</v>
      </c>
      <c r="AA56" s="204" t="s">
        <v>95</v>
      </c>
      <c r="AB56" s="205" t="s">
        <v>95</v>
      </c>
      <c r="AC56" s="200" t="s">
        <v>105</v>
      </c>
      <c r="AD56" s="200" t="s">
        <v>105</v>
      </c>
      <c r="AE56" s="200" t="s">
        <v>93</v>
      </c>
      <c r="AF56" s="200" t="s">
        <v>93</v>
      </c>
      <c r="AG56" s="201"/>
      <c r="AH56" s="201"/>
      <c r="AI56" s="218" t="s">
        <v>2160</v>
      </c>
      <c r="AJ56" s="201"/>
      <c r="AK56" s="203" t="s">
        <v>95</v>
      </c>
      <c r="AL56" s="203" t="s">
        <v>3820</v>
      </c>
      <c r="AM56" s="249" t="s">
        <v>3821</v>
      </c>
      <c r="AN56" s="200" t="s">
        <v>92</v>
      </c>
      <c r="AO56" s="211" t="s">
        <v>2166</v>
      </c>
      <c r="AP56" s="211" t="s">
        <v>2167</v>
      </c>
      <c r="AQ56" s="219"/>
      <c r="AR56" s="219"/>
      <c r="AS56" s="212"/>
      <c r="AT56" s="212"/>
      <c r="AU56" s="201"/>
      <c r="AV56" s="201"/>
    </row>
    <row r="57" ht="15.75" customHeight="1">
      <c r="A57" s="11" t="s">
        <v>2972</v>
      </c>
      <c r="B57" s="203" t="s">
        <v>3021</v>
      </c>
      <c r="C57" s="233" t="s">
        <v>3822</v>
      </c>
      <c r="D57" s="237" t="s">
        <v>3754</v>
      </c>
      <c r="E57" s="225" t="s">
        <v>95</v>
      </c>
      <c r="F57" s="225" t="s">
        <v>95</v>
      </c>
      <c r="G57" s="201" t="s">
        <v>92</v>
      </c>
      <c r="H57" s="200" t="s">
        <v>92</v>
      </c>
      <c r="I57" s="200" t="s">
        <v>93</v>
      </c>
      <c r="J57" s="200">
        <v>1999.0</v>
      </c>
      <c r="K57" s="199" t="s">
        <v>3520</v>
      </c>
      <c r="L57" s="200" t="s">
        <v>3823</v>
      </c>
      <c r="M57" s="238">
        <v>29264.0</v>
      </c>
      <c r="N57" s="200" t="s">
        <v>92</v>
      </c>
      <c r="O57" s="201" t="s">
        <v>95</v>
      </c>
      <c r="P57" s="200" t="s">
        <v>92</v>
      </c>
      <c r="Q57" s="200" t="s">
        <v>92</v>
      </c>
      <c r="R57" s="200" t="s">
        <v>92</v>
      </c>
      <c r="S57" s="200" t="s">
        <v>92</v>
      </c>
      <c r="T57" s="200" t="s">
        <v>92</v>
      </c>
      <c r="U57" s="200" t="s">
        <v>93</v>
      </c>
      <c r="V57" s="200" t="s">
        <v>93</v>
      </c>
      <c r="W57" s="200" t="s">
        <v>93</v>
      </c>
      <c r="X57" s="200" t="s">
        <v>93</v>
      </c>
      <c r="Y57" s="203" t="s">
        <v>3824</v>
      </c>
      <c r="Z57" s="205" t="s">
        <v>95</v>
      </c>
      <c r="AA57" s="204" t="s">
        <v>95</v>
      </c>
      <c r="AB57" s="204" t="s">
        <v>95</v>
      </c>
      <c r="AC57" s="200" t="s">
        <v>92</v>
      </c>
      <c r="AD57" s="200" t="s">
        <v>92</v>
      </c>
      <c r="AE57" s="200" t="s">
        <v>92</v>
      </c>
      <c r="AF57" s="200" t="s">
        <v>92</v>
      </c>
      <c r="AG57" s="201"/>
      <c r="AH57" s="201"/>
      <c r="AI57" s="218" t="s">
        <v>3021</v>
      </c>
      <c r="AJ57" s="201"/>
      <c r="AK57" s="203" t="s">
        <v>95</v>
      </c>
      <c r="AL57" s="203" t="s">
        <v>3825</v>
      </c>
      <c r="AM57" s="62" t="s">
        <v>3826</v>
      </c>
      <c r="AN57" s="200" t="s">
        <v>93</v>
      </c>
      <c r="AO57" s="211" t="s">
        <v>2979</v>
      </c>
      <c r="AP57" s="211" t="s">
        <v>3010</v>
      </c>
      <c r="AQ57" s="211" t="s">
        <v>3011</v>
      </c>
      <c r="AR57" s="211" t="s">
        <v>3022</v>
      </c>
      <c r="AS57" s="217" t="s">
        <v>129</v>
      </c>
      <c r="AT57" s="217" t="s">
        <v>1195</v>
      </c>
      <c r="AU57" s="217" t="s">
        <v>660</v>
      </c>
      <c r="AV57" s="201"/>
    </row>
    <row r="58" ht="15.75" customHeight="1">
      <c r="A58" s="11" t="s">
        <v>2607</v>
      </c>
      <c r="B58" s="203" t="s">
        <v>2606</v>
      </c>
      <c r="C58" s="233" t="s">
        <v>3827</v>
      </c>
      <c r="D58" s="237" t="s">
        <v>3754</v>
      </c>
      <c r="E58" s="225" t="s">
        <v>95</v>
      </c>
      <c r="F58" s="225" t="s">
        <v>95</v>
      </c>
      <c r="G58" s="201" t="s">
        <v>92</v>
      </c>
      <c r="H58" s="200" t="s">
        <v>92</v>
      </c>
      <c r="I58" s="200" t="s">
        <v>92</v>
      </c>
      <c r="J58" s="200">
        <v>1892.0</v>
      </c>
      <c r="K58" s="199" t="s">
        <v>3520</v>
      </c>
      <c r="L58" s="201" t="s">
        <v>3510</v>
      </c>
      <c r="M58" s="238">
        <v>12869.6</v>
      </c>
      <c r="N58" s="200" t="s">
        <v>92</v>
      </c>
      <c r="O58" s="201" t="s">
        <v>95</v>
      </c>
      <c r="P58" s="200" t="s">
        <v>92</v>
      </c>
      <c r="Q58" s="200" t="s">
        <v>92</v>
      </c>
      <c r="R58" s="200" t="s">
        <v>92</v>
      </c>
      <c r="S58" s="200" t="s">
        <v>92</v>
      </c>
      <c r="T58" s="200" t="s">
        <v>92</v>
      </c>
      <c r="U58" s="200" t="s">
        <v>93</v>
      </c>
      <c r="V58" s="200" t="s">
        <v>93</v>
      </c>
      <c r="W58" s="200" t="s">
        <v>92</v>
      </c>
      <c r="X58" s="200" t="s">
        <v>92</v>
      </c>
      <c r="Y58" s="203" t="s">
        <v>95</v>
      </c>
      <c r="Z58" s="205" t="s">
        <v>95</v>
      </c>
      <c r="AA58" s="204" t="s">
        <v>95</v>
      </c>
      <c r="AB58" s="204" t="s">
        <v>95</v>
      </c>
      <c r="AC58" s="200" t="s">
        <v>105</v>
      </c>
      <c r="AD58" s="200" t="s">
        <v>105</v>
      </c>
      <c r="AE58" s="200" t="s">
        <v>92</v>
      </c>
      <c r="AF58" s="200" t="s">
        <v>92</v>
      </c>
      <c r="AG58" s="201"/>
      <c r="AH58" s="201"/>
      <c r="AI58" s="218" t="s">
        <v>3828</v>
      </c>
      <c r="AJ58" s="201"/>
      <c r="AK58" s="203" t="s">
        <v>95</v>
      </c>
      <c r="AL58" s="203" t="s">
        <v>3829</v>
      </c>
      <c r="AM58" s="62" t="s">
        <v>3830</v>
      </c>
      <c r="AN58" s="200" t="s">
        <v>92</v>
      </c>
      <c r="AO58" s="211" t="s">
        <v>2614</v>
      </c>
      <c r="AP58" s="211" t="s">
        <v>2618</v>
      </c>
      <c r="AQ58" s="250" t="s">
        <v>3831</v>
      </c>
      <c r="AR58" s="219"/>
      <c r="AS58" s="212"/>
      <c r="AT58" s="212"/>
      <c r="AU58" s="201"/>
      <c r="AV58" s="201"/>
    </row>
    <row r="59" ht="15.75" customHeight="1">
      <c r="A59" s="11" t="s">
        <v>3078</v>
      </c>
      <c r="B59" s="203" t="s">
        <v>3077</v>
      </c>
      <c r="C59" s="233" t="s">
        <v>3832</v>
      </c>
      <c r="D59" s="237" t="s">
        <v>3754</v>
      </c>
      <c r="E59" s="225" t="s">
        <v>95</v>
      </c>
      <c r="F59" s="225" t="s">
        <v>95</v>
      </c>
      <c r="G59" s="201" t="s">
        <v>92</v>
      </c>
      <c r="H59" s="200" t="s">
        <v>92</v>
      </c>
      <c r="I59" s="200" t="s">
        <v>92</v>
      </c>
      <c r="J59" s="200">
        <v>1974.0</v>
      </c>
      <c r="K59" s="199" t="s">
        <v>3605</v>
      </c>
      <c r="L59" s="201" t="s">
        <v>3510</v>
      </c>
      <c r="M59" s="238">
        <v>9395.5</v>
      </c>
      <c r="N59" s="200" t="s">
        <v>92</v>
      </c>
      <c r="O59" s="201" t="s">
        <v>95</v>
      </c>
      <c r="P59" s="200" t="s">
        <v>92</v>
      </c>
      <c r="Q59" s="200" t="s">
        <v>92</v>
      </c>
      <c r="R59" s="200" t="s">
        <v>92</v>
      </c>
      <c r="S59" s="200" t="s">
        <v>92</v>
      </c>
      <c r="T59" s="200" t="s">
        <v>93</v>
      </c>
      <c r="U59" s="200" t="s">
        <v>93</v>
      </c>
      <c r="V59" s="200" t="s">
        <v>93</v>
      </c>
      <c r="W59" s="200" t="s">
        <v>92</v>
      </c>
      <c r="X59" s="200" t="s">
        <v>92</v>
      </c>
      <c r="Y59" s="203" t="s">
        <v>95</v>
      </c>
      <c r="Z59" s="205" t="s">
        <v>95</v>
      </c>
      <c r="AA59" s="204" t="s">
        <v>95</v>
      </c>
      <c r="AB59" s="204" t="s">
        <v>95</v>
      </c>
      <c r="AC59" s="200" t="s">
        <v>105</v>
      </c>
      <c r="AD59" s="200" t="s">
        <v>105</v>
      </c>
      <c r="AE59" s="200" t="s">
        <v>105</v>
      </c>
      <c r="AF59" s="200" t="s">
        <v>105</v>
      </c>
      <c r="AG59" s="201"/>
      <c r="AH59" s="201"/>
      <c r="AI59" s="218" t="s">
        <v>3833</v>
      </c>
      <c r="AJ59" s="201"/>
      <c r="AK59" s="203" t="s">
        <v>95</v>
      </c>
      <c r="AL59" s="203" t="s">
        <v>3829</v>
      </c>
      <c r="AM59" s="62" t="s">
        <v>3834</v>
      </c>
      <c r="AN59" s="200" t="s">
        <v>92</v>
      </c>
      <c r="AO59" s="250" t="s">
        <v>3835</v>
      </c>
      <c r="AP59" s="250" t="s">
        <v>3836</v>
      </c>
      <c r="AQ59" s="250" t="s">
        <v>3837</v>
      </c>
      <c r="AR59" s="219"/>
      <c r="AS59" s="212"/>
      <c r="AT59" s="212"/>
      <c r="AU59" s="201"/>
      <c r="AV59" s="201"/>
    </row>
    <row r="60" ht="15.75" customHeight="1">
      <c r="A60" s="11" t="s">
        <v>2553</v>
      </c>
      <c r="B60" s="203" t="s">
        <v>2552</v>
      </c>
      <c r="C60" s="233" t="s">
        <v>3838</v>
      </c>
      <c r="D60" s="237" t="s">
        <v>3754</v>
      </c>
      <c r="E60" s="225" t="s">
        <v>95</v>
      </c>
      <c r="F60" s="225" t="s">
        <v>95</v>
      </c>
      <c r="G60" s="201" t="s">
        <v>92</v>
      </c>
      <c r="H60" s="200" t="s">
        <v>92</v>
      </c>
      <c r="I60" s="200" t="s">
        <v>92</v>
      </c>
      <c r="J60" s="200">
        <v>1960.0</v>
      </c>
      <c r="K60" s="237" t="s">
        <v>3839</v>
      </c>
      <c r="L60" s="200" t="s">
        <v>3840</v>
      </c>
      <c r="M60" s="238">
        <v>9198.6</v>
      </c>
      <c r="N60" s="200" t="s">
        <v>93</v>
      </c>
      <c r="O60" s="201" t="s">
        <v>3841</v>
      </c>
      <c r="P60" s="200" t="s">
        <v>92</v>
      </c>
      <c r="Q60" s="200" t="s">
        <v>92</v>
      </c>
      <c r="R60" s="200" t="s">
        <v>92</v>
      </c>
      <c r="S60" s="200" t="s">
        <v>92</v>
      </c>
      <c r="T60" s="200" t="s">
        <v>93</v>
      </c>
      <c r="U60" s="200" t="s">
        <v>93</v>
      </c>
      <c r="V60" s="200" t="s">
        <v>93</v>
      </c>
      <c r="W60" s="200" t="s">
        <v>93</v>
      </c>
      <c r="X60" s="200" t="s">
        <v>93</v>
      </c>
      <c r="Y60" s="203" t="s">
        <v>3842</v>
      </c>
      <c r="Z60" s="205" t="s">
        <v>95</v>
      </c>
      <c r="AA60" s="204" t="s">
        <v>95</v>
      </c>
      <c r="AB60" s="204" t="s">
        <v>95</v>
      </c>
      <c r="AC60" s="200" t="s">
        <v>105</v>
      </c>
      <c r="AD60" s="200" t="s">
        <v>105</v>
      </c>
      <c r="AE60" s="200" t="s">
        <v>93</v>
      </c>
      <c r="AF60" s="200" t="s">
        <v>93</v>
      </c>
      <c r="AG60" s="201"/>
      <c r="AH60" s="201"/>
      <c r="AI60" s="218" t="s">
        <v>2552</v>
      </c>
      <c r="AJ60" s="201"/>
      <c r="AK60" s="218" t="s">
        <v>3841</v>
      </c>
      <c r="AL60" s="203" t="s">
        <v>3829</v>
      </c>
      <c r="AM60" s="62" t="s">
        <v>3830</v>
      </c>
      <c r="AN60" s="200" t="s">
        <v>92</v>
      </c>
      <c r="AO60" s="211" t="s">
        <v>106</v>
      </c>
      <c r="AP60" s="211" t="s">
        <v>116</v>
      </c>
      <c r="AQ60" s="250" t="s">
        <v>3843</v>
      </c>
      <c r="AR60" s="219"/>
      <c r="AS60" s="212"/>
      <c r="AT60" s="212"/>
      <c r="AU60" s="201"/>
      <c r="AV60" s="201"/>
    </row>
    <row r="61" ht="15.75" customHeight="1">
      <c r="A61" s="11" t="s">
        <v>2623</v>
      </c>
      <c r="B61" s="203" t="s">
        <v>2622</v>
      </c>
      <c r="C61" s="204" t="s">
        <v>3844</v>
      </c>
      <c r="D61" s="237" t="s">
        <v>3754</v>
      </c>
      <c r="E61" s="200" t="s">
        <v>3755</v>
      </c>
      <c r="F61" s="225" t="s">
        <v>3815</v>
      </c>
      <c r="G61" s="200" t="s">
        <v>93</v>
      </c>
      <c r="H61" s="200" t="s">
        <v>92</v>
      </c>
      <c r="I61" s="200" t="s">
        <v>92</v>
      </c>
      <c r="J61" s="200">
        <v>1981.0</v>
      </c>
      <c r="K61" s="237" t="s">
        <v>3818</v>
      </c>
      <c r="L61" s="201" t="s">
        <v>3510</v>
      </c>
      <c r="M61" s="238">
        <v>8369.5</v>
      </c>
      <c r="N61" s="200" t="s">
        <v>92</v>
      </c>
      <c r="O61" s="201" t="s">
        <v>95</v>
      </c>
      <c r="P61" s="200" t="s">
        <v>92</v>
      </c>
      <c r="Q61" s="200" t="s">
        <v>92</v>
      </c>
      <c r="R61" s="200" t="s">
        <v>92</v>
      </c>
      <c r="S61" s="200" t="s">
        <v>92</v>
      </c>
      <c r="T61" s="200" t="s">
        <v>93</v>
      </c>
      <c r="U61" s="200" t="s">
        <v>93</v>
      </c>
      <c r="V61" s="200" t="s">
        <v>93</v>
      </c>
      <c r="W61" s="200" t="s">
        <v>92</v>
      </c>
      <c r="X61" s="200" t="s">
        <v>93</v>
      </c>
      <c r="Y61" s="203" t="s">
        <v>3845</v>
      </c>
      <c r="Z61" s="205" t="s">
        <v>95</v>
      </c>
      <c r="AA61" s="204" t="s">
        <v>95</v>
      </c>
      <c r="AB61" s="204" t="s">
        <v>95</v>
      </c>
      <c r="AC61" s="200" t="s">
        <v>105</v>
      </c>
      <c r="AD61" s="200" t="s">
        <v>92</v>
      </c>
      <c r="AE61" s="200" t="s">
        <v>92</v>
      </c>
      <c r="AF61" s="200" t="s">
        <v>92</v>
      </c>
      <c r="AG61" s="201"/>
      <c r="AH61" s="201"/>
      <c r="AI61" s="218" t="s">
        <v>3846</v>
      </c>
      <c r="AJ61" s="201"/>
      <c r="AK61" s="203" t="s">
        <v>95</v>
      </c>
      <c r="AL61" s="203" t="s">
        <v>3847</v>
      </c>
      <c r="AM61" s="62" t="s">
        <v>3848</v>
      </c>
      <c r="AN61" s="200" t="s">
        <v>92</v>
      </c>
      <c r="AO61" s="211" t="s">
        <v>115</v>
      </c>
      <c r="AP61" s="211" t="s">
        <v>106</v>
      </c>
      <c r="AQ61" s="211" t="s">
        <v>116</v>
      </c>
      <c r="AR61" s="219"/>
      <c r="AS61" s="212"/>
      <c r="AT61" s="212"/>
      <c r="AU61" s="201"/>
      <c r="AV61" s="201"/>
    </row>
    <row r="62" ht="15.75" customHeight="1">
      <c r="A62" s="11" t="s">
        <v>1933</v>
      </c>
      <c r="B62" s="203" t="s">
        <v>1932</v>
      </c>
      <c r="C62" s="233" t="s">
        <v>3849</v>
      </c>
      <c r="D62" s="237" t="s">
        <v>3256</v>
      </c>
      <c r="E62" s="200" t="s">
        <v>95</v>
      </c>
      <c r="F62" s="200" t="s">
        <v>95</v>
      </c>
      <c r="G62" s="200" t="s">
        <v>92</v>
      </c>
      <c r="H62" s="200" t="s">
        <v>93</v>
      </c>
      <c r="I62" s="200" t="s">
        <v>93</v>
      </c>
      <c r="J62" s="200">
        <v>1963.0</v>
      </c>
      <c r="K62" s="237" t="s">
        <v>3605</v>
      </c>
      <c r="L62" s="200" t="s">
        <v>3510</v>
      </c>
      <c r="M62" s="238">
        <v>8805.2</v>
      </c>
      <c r="N62" s="200" t="s">
        <v>92</v>
      </c>
      <c r="O62" s="201" t="s">
        <v>95</v>
      </c>
      <c r="P62" s="200" t="s">
        <v>93</v>
      </c>
      <c r="Q62" s="200" t="s">
        <v>93</v>
      </c>
      <c r="R62" s="200" t="s">
        <v>93</v>
      </c>
      <c r="S62" s="200" t="s">
        <v>93</v>
      </c>
      <c r="T62" s="200" t="s">
        <v>93</v>
      </c>
      <c r="U62" s="200" t="s">
        <v>93</v>
      </c>
      <c r="V62" s="200" t="s">
        <v>93</v>
      </c>
      <c r="W62" s="200" t="s">
        <v>92</v>
      </c>
      <c r="X62" s="200" t="s">
        <v>92</v>
      </c>
      <c r="Y62" s="203" t="s">
        <v>95</v>
      </c>
      <c r="Z62" s="205" t="s">
        <v>95</v>
      </c>
      <c r="AA62" s="204" t="s">
        <v>95</v>
      </c>
      <c r="AB62" s="205" t="s">
        <v>95</v>
      </c>
      <c r="AC62" s="200" t="s">
        <v>92</v>
      </c>
      <c r="AD62" s="200" t="s">
        <v>92</v>
      </c>
      <c r="AE62" s="200" t="s">
        <v>92</v>
      </c>
      <c r="AF62" s="200" t="s">
        <v>92</v>
      </c>
      <c r="AG62" s="201"/>
      <c r="AH62" s="201"/>
      <c r="AI62" s="218" t="s">
        <v>1932</v>
      </c>
      <c r="AJ62" s="201"/>
      <c r="AK62" s="203" t="s">
        <v>95</v>
      </c>
      <c r="AL62" s="203" t="s">
        <v>3820</v>
      </c>
      <c r="AM62" s="62" t="s">
        <v>95</v>
      </c>
      <c r="AN62" s="200" t="s">
        <v>93</v>
      </c>
      <c r="AO62" s="211" t="s">
        <v>454</v>
      </c>
      <c r="AP62" s="211" t="s">
        <v>455</v>
      </c>
      <c r="AQ62" s="211" t="s">
        <v>456</v>
      </c>
      <c r="AR62" s="211" t="s">
        <v>442</v>
      </c>
      <c r="AS62" s="212"/>
      <c r="AT62" s="212"/>
      <c r="AU62" s="201"/>
      <c r="AV62" s="201"/>
    </row>
    <row r="63" ht="15.75" customHeight="1">
      <c r="A63" s="11" t="s">
        <v>2413</v>
      </c>
      <c r="B63" s="203" t="s">
        <v>2412</v>
      </c>
      <c r="C63" s="233" t="s">
        <v>3850</v>
      </c>
      <c r="D63" s="204" t="s">
        <v>3256</v>
      </c>
      <c r="E63" s="200"/>
      <c r="F63" s="200" t="s">
        <v>95</v>
      </c>
      <c r="G63" s="200" t="s">
        <v>93</v>
      </c>
      <c r="H63" s="200" t="s">
        <v>92</v>
      </c>
      <c r="I63" s="200" t="s">
        <v>92</v>
      </c>
      <c r="J63" s="200">
        <v>2021.0</v>
      </c>
      <c r="K63" s="237" t="s">
        <v>3818</v>
      </c>
      <c r="L63" s="200" t="s">
        <v>3510</v>
      </c>
      <c r="M63" s="238">
        <v>8138.8</v>
      </c>
      <c r="N63" s="200" t="s">
        <v>93</v>
      </c>
      <c r="O63" s="201" t="s">
        <v>3851</v>
      </c>
      <c r="P63" s="200" t="s">
        <v>92</v>
      </c>
      <c r="Q63" s="200" t="s">
        <v>92</v>
      </c>
      <c r="R63" s="200" t="s">
        <v>92</v>
      </c>
      <c r="S63" s="200" t="s">
        <v>92</v>
      </c>
      <c r="T63" s="200" t="s">
        <v>93</v>
      </c>
      <c r="U63" s="200" t="s">
        <v>93</v>
      </c>
      <c r="V63" s="200" t="s">
        <v>93</v>
      </c>
      <c r="W63" s="200" t="s">
        <v>93</v>
      </c>
      <c r="X63" s="200" t="s">
        <v>93</v>
      </c>
      <c r="Y63" s="203" t="s">
        <v>3549</v>
      </c>
      <c r="Z63" s="205" t="s">
        <v>3852</v>
      </c>
      <c r="AA63" s="204" t="s">
        <v>95</v>
      </c>
      <c r="AB63" s="205" t="s">
        <v>95</v>
      </c>
      <c r="AC63" s="200" t="s">
        <v>93</v>
      </c>
      <c r="AD63" s="200" t="s">
        <v>92</v>
      </c>
      <c r="AE63" s="200" t="s">
        <v>92</v>
      </c>
      <c r="AF63" s="200" t="s">
        <v>92</v>
      </c>
      <c r="AG63" s="201"/>
      <c r="AH63" s="201"/>
      <c r="AI63" s="218" t="s">
        <v>2412</v>
      </c>
      <c r="AJ63" s="201"/>
      <c r="AK63" s="203" t="s">
        <v>95</v>
      </c>
      <c r="AL63" s="203" t="s">
        <v>3820</v>
      </c>
      <c r="AM63" s="62" t="s">
        <v>95</v>
      </c>
      <c r="AN63" s="200" t="s">
        <v>93</v>
      </c>
      <c r="AO63" s="211" t="s">
        <v>1189</v>
      </c>
      <c r="AP63" s="211" t="s">
        <v>129</v>
      </c>
      <c r="AQ63" s="211" t="s">
        <v>1195</v>
      </c>
      <c r="AR63" s="211" t="s">
        <v>660</v>
      </c>
      <c r="AS63" s="212"/>
      <c r="AT63" s="212"/>
      <c r="AU63" s="201"/>
      <c r="AV63" s="201"/>
    </row>
    <row r="64" ht="15.75" customHeight="1">
      <c r="A64" s="11" t="s">
        <v>2360</v>
      </c>
      <c r="B64" s="203" t="s">
        <v>2359</v>
      </c>
      <c r="C64" s="233" t="s">
        <v>3853</v>
      </c>
      <c r="D64" s="237" t="s">
        <v>3256</v>
      </c>
      <c r="E64" s="200" t="s">
        <v>95</v>
      </c>
      <c r="F64" s="200" t="s">
        <v>95</v>
      </c>
      <c r="G64" s="200" t="s">
        <v>92</v>
      </c>
      <c r="H64" s="200" t="s">
        <v>92</v>
      </c>
      <c r="I64" s="200" t="s">
        <v>92</v>
      </c>
      <c r="J64" s="200">
        <v>1955.0</v>
      </c>
      <c r="K64" s="237" t="s">
        <v>3614</v>
      </c>
      <c r="L64" s="200" t="s">
        <v>3510</v>
      </c>
      <c r="M64" s="238">
        <v>7724.4</v>
      </c>
      <c r="N64" s="200" t="s">
        <v>92</v>
      </c>
      <c r="O64" s="201" t="s">
        <v>95</v>
      </c>
      <c r="P64" s="200" t="s">
        <v>92</v>
      </c>
      <c r="Q64" s="200" t="s">
        <v>92</v>
      </c>
      <c r="R64" s="200" t="s">
        <v>92</v>
      </c>
      <c r="S64" s="200" t="s">
        <v>93</v>
      </c>
      <c r="T64" s="200" t="s">
        <v>93</v>
      </c>
      <c r="U64" s="200" t="s">
        <v>93</v>
      </c>
      <c r="V64" s="200" t="s">
        <v>93</v>
      </c>
      <c r="W64" s="200" t="s">
        <v>92</v>
      </c>
      <c r="X64" s="200" t="s">
        <v>92</v>
      </c>
      <c r="Y64" s="203" t="s">
        <v>95</v>
      </c>
      <c r="Z64" s="205" t="s">
        <v>95</v>
      </c>
      <c r="AA64" s="204" t="s">
        <v>95</v>
      </c>
      <c r="AB64" s="205" t="s">
        <v>95</v>
      </c>
      <c r="AC64" s="200" t="s">
        <v>92</v>
      </c>
      <c r="AD64" s="200" t="s">
        <v>92</v>
      </c>
      <c r="AE64" s="200" t="s">
        <v>92</v>
      </c>
      <c r="AF64" s="200" t="s">
        <v>92</v>
      </c>
      <c r="AG64" s="201"/>
      <c r="AH64" s="201"/>
      <c r="AI64" s="218" t="s">
        <v>2359</v>
      </c>
      <c r="AJ64" s="201"/>
      <c r="AK64" s="203" t="s">
        <v>95</v>
      </c>
      <c r="AL64" s="203" t="s">
        <v>3854</v>
      </c>
      <c r="AM64" s="62" t="s">
        <v>95</v>
      </c>
      <c r="AN64" s="200" t="s">
        <v>92</v>
      </c>
      <c r="AO64" s="211" t="s">
        <v>1189</v>
      </c>
      <c r="AP64" s="211" t="s">
        <v>129</v>
      </c>
      <c r="AQ64" s="211" t="s">
        <v>1195</v>
      </c>
      <c r="AR64" s="211" t="s">
        <v>660</v>
      </c>
      <c r="AS64" s="212"/>
      <c r="AT64" s="212"/>
      <c r="AU64" s="201"/>
      <c r="AV64" s="201"/>
    </row>
    <row r="65" ht="15.75" customHeight="1">
      <c r="A65" s="11" t="s">
        <v>2923</v>
      </c>
      <c r="B65" s="203" t="s">
        <v>2922</v>
      </c>
      <c r="C65" s="233" t="s">
        <v>3855</v>
      </c>
      <c r="D65" s="237" t="s">
        <v>3754</v>
      </c>
      <c r="E65" s="200" t="s">
        <v>95</v>
      </c>
      <c r="F65" s="200" t="s">
        <v>95</v>
      </c>
      <c r="G65" s="200" t="s">
        <v>92</v>
      </c>
      <c r="H65" s="200" t="s">
        <v>92</v>
      </c>
      <c r="I65" s="200" t="s">
        <v>93</v>
      </c>
      <c r="J65" s="200">
        <v>2007.0</v>
      </c>
      <c r="K65" s="199" t="s">
        <v>3520</v>
      </c>
      <c r="L65" s="200" t="s">
        <v>3856</v>
      </c>
      <c r="M65" s="238">
        <v>7373.0</v>
      </c>
      <c r="N65" s="200" t="s">
        <v>93</v>
      </c>
      <c r="O65" s="201" t="s">
        <v>2959</v>
      </c>
      <c r="P65" s="200" t="s">
        <v>92</v>
      </c>
      <c r="Q65" s="200" t="s">
        <v>92</v>
      </c>
      <c r="R65" s="200" t="s">
        <v>93</v>
      </c>
      <c r="S65" s="200" t="s">
        <v>93</v>
      </c>
      <c r="T65" s="200" t="s">
        <v>93</v>
      </c>
      <c r="U65" s="200" t="s">
        <v>93</v>
      </c>
      <c r="V65" s="200" t="s">
        <v>93</v>
      </c>
      <c r="W65" s="200" t="s">
        <v>92</v>
      </c>
      <c r="X65" s="200" t="s">
        <v>93</v>
      </c>
      <c r="Y65" s="203" t="s">
        <v>3549</v>
      </c>
      <c r="Z65" s="205" t="s">
        <v>95</v>
      </c>
      <c r="AA65" s="204" t="s">
        <v>3857</v>
      </c>
      <c r="AB65" s="205" t="s">
        <v>3858</v>
      </c>
      <c r="AC65" s="200" t="s">
        <v>92</v>
      </c>
      <c r="AD65" s="200" t="s">
        <v>92</v>
      </c>
      <c r="AE65" s="200" t="s">
        <v>92</v>
      </c>
      <c r="AF65" s="200" t="s">
        <v>92</v>
      </c>
      <c r="AG65" s="201"/>
      <c r="AH65" s="201"/>
      <c r="AI65" s="218" t="s">
        <v>3859</v>
      </c>
      <c r="AJ65" s="201"/>
      <c r="AK65" s="218" t="s">
        <v>2959</v>
      </c>
      <c r="AL65" s="203" t="s">
        <v>3860</v>
      </c>
      <c r="AM65" s="62" t="s">
        <v>95</v>
      </c>
      <c r="AN65" s="200" t="s">
        <v>93</v>
      </c>
      <c r="AO65" s="211" t="s">
        <v>2928</v>
      </c>
      <c r="AP65" s="211" t="s">
        <v>2949</v>
      </c>
      <c r="AQ65" s="211" t="s">
        <v>2950</v>
      </c>
      <c r="AR65" s="211" t="s">
        <v>2951</v>
      </c>
      <c r="AS65" s="236" t="s">
        <v>3861</v>
      </c>
      <c r="AT65" s="236" t="s">
        <v>3862</v>
      </c>
      <c r="AU65" s="201"/>
      <c r="AV65" s="201"/>
    </row>
    <row r="66" ht="15.75" customHeight="1">
      <c r="A66" s="11" t="s">
        <v>2044</v>
      </c>
      <c r="B66" s="203" t="s">
        <v>2043</v>
      </c>
      <c r="C66" s="233" t="s">
        <v>3863</v>
      </c>
      <c r="D66" s="237" t="s">
        <v>3256</v>
      </c>
      <c r="E66" s="200" t="s">
        <v>95</v>
      </c>
      <c r="F66" s="200" t="s">
        <v>95</v>
      </c>
      <c r="G66" s="200" t="s">
        <v>92</v>
      </c>
      <c r="H66" s="200" t="s">
        <v>92</v>
      </c>
      <c r="I66" s="200" t="s">
        <v>92</v>
      </c>
      <c r="J66" s="200">
        <v>1959.0</v>
      </c>
      <c r="K66" s="237" t="s">
        <v>3818</v>
      </c>
      <c r="L66" s="200" t="s">
        <v>3510</v>
      </c>
      <c r="M66" s="238">
        <v>8169.8</v>
      </c>
      <c r="N66" s="200" t="s">
        <v>92</v>
      </c>
      <c r="O66" s="201" t="s">
        <v>95</v>
      </c>
      <c r="P66" s="200" t="s">
        <v>92</v>
      </c>
      <c r="Q66" s="200" t="s">
        <v>92</v>
      </c>
      <c r="R66" s="200" t="s">
        <v>93</v>
      </c>
      <c r="S66" s="200" t="s">
        <v>93</v>
      </c>
      <c r="T66" s="200" t="s">
        <v>93</v>
      </c>
      <c r="U66" s="200" t="s">
        <v>93</v>
      </c>
      <c r="V66" s="200" t="s">
        <v>92</v>
      </c>
      <c r="W66" s="200" t="s">
        <v>93</v>
      </c>
      <c r="X66" s="200" t="s">
        <v>92</v>
      </c>
      <c r="Y66" s="203" t="s">
        <v>95</v>
      </c>
      <c r="Z66" s="205" t="s">
        <v>3864</v>
      </c>
      <c r="AA66" s="204" t="s">
        <v>95</v>
      </c>
      <c r="AB66" s="205" t="s">
        <v>95</v>
      </c>
      <c r="AC66" s="200" t="s">
        <v>92</v>
      </c>
      <c r="AD66" s="200" t="s">
        <v>92</v>
      </c>
      <c r="AE66" s="200" t="s">
        <v>92</v>
      </c>
      <c r="AF66" s="200" t="s">
        <v>92</v>
      </c>
      <c r="AG66" s="201"/>
      <c r="AH66" s="201"/>
      <c r="AI66" s="218" t="s">
        <v>2059</v>
      </c>
      <c r="AJ66" s="201"/>
      <c r="AK66" s="203" t="s">
        <v>95</v>
      </c>
      <c r="AL66" s="203" t="s">
        <v>3854</v>
      </c>
      <c r="AM66" s="62" t="s">
        <v>3865</v>
      </c>
      <c r="AN66" s="200" t="s">
        <v>92</v>
      </c>
      <c r="AO66" s="211" t="s">
        <v>1189</v>
      </c>
      <c r="AP66" s="211" t="s">
        <v>129</v>
      </c>
      <c r="AQ66" s="211" t="s">
        <v>1195</v>
      </c>
      <c r="AR66" s="211" t="s">
        <v>660</v>
      </c>
      <c r="AS66" s="212"/>
      <c r="AT66" s="212"/>
      <c r="AU66" s="201"/>
      <c r="AV66" s="201"/>
    </row>
    <row r="67" ht="15.75" customHeight="1">
      <c r="A67" s="11" t="s">
        <v>3110</v>
      </c>
      <c r="B67" s="203" t="s">
        <v>3109</v>
      </c>
      <c r="C67" s="233" t="s">
        <v>3753</v>
      </c>
      <c r="D67" s="237" t="s">
        <v>3754</v>
      </c>
      <c r="E67" s="200" t="s">
        <v>95</v>
      </c>
      <c r="F67" s="200" t="s">
        <v>95</v>
      </c>
      <c r="G67" s="200" t="s">
        <v>92</v>
      </c>
      <c r="H67" s="200" t="s">
        <v>92</v>
      </c>
      <c r="I67" s="200" t="s">
        <v>92</v>
      </c>
      <c r="J67" s="200">
        <v>1935.0</v>
      </c>
      <c r="K67" s="237" t="s">
        <v>3509</v>
      </c>
      <c r="L67" s="200" t="s">
        <v>3510</v>
      </c>
      <c r="M67" s="238">
        <v>6403.5</v>
      </c>
      <c r="N67" s="200" t="s">
        <v>92</v>
      </c>
      <c r="O67" s="201" t="s">
        <v>95</v>
      </c>
      <c r="P67" s="200" t="s">
        <v>92</v>
      </c>
      <c r="Q67" s="200" t="s">
        <v>92</v>
      </c>
      <c r="R67" s="200" t="s">
        <v>92</v>
      </c>
      <c r="S67" s="200" t="s">
        <v>92</v>
      </c>
      <c r="T67" s="200" t="s">
        <v>92</v>
      </c>
      <c r="U67" s="200" t="s">
        <v>93</v>
      </c>
      <c r="V67" s="200" t="s">
        <v>93</v>
      </c>
      <c r="W67" s="200" t="s">
        <v>92</v>
      </c>
      <c r="X67" s="200" t="s">
        <v>92</v>
      </c>
      <c r="Y67" s="203" t="s">
        <v>95</v>
      </c>
      <c r="Z67" s="205" t="s">
        <v>95</v>
      </c>
      <c r="AA67" s="204" t="s">
        <v>95</v>
      </c>
      <c r="AB67" s="205" t="s">
        <v>95</v>
      </c>
      <c r="AC67" s="200" t="s">
        <v>92</v>
      </c>
      <c r="AD67" s="200" t="s">
        <v>92</v>
      </c>
      <c r="AE67" s="200" t="s">
        <v>92</v>
      </c>
      <c r="AF67" s="200" t="s">
        <v>105</v>
      </c>
      <c r="AG67" s="201"/>
      <c r="AH67" s="201"/>
      <c r="AI67" s="218" t="s">
        <v>3109</v>
      </c>
      <c r="AJ67" s="201"/>
      <c r="AK67" s="203" t="s">
        <v>95</v>
      </c>
      <c r="AL67" s="203" t="s">
        <v>3860</v>
      </c>
      <c r="AM67" s="62" t="s">
        <v>3866</v>
      </c>
      <c r="AN67" s="200" t="s">
        <v>92</v>
      </c>
      <c r="AO67" s="211" t="s">
        <v>178</v>
      </c>
      <c r="AP67" s="211" t="s">
        <v>115</v>
      </c>
      <c r="AQ67" s="211" t="s">
        <v>106</v>
      </c>
      <c r="AR67" s="250" t="s">
        <v>3867</v>
      </c>
      <c r="AS67" s="212"/>
      <c r="AT67" s="212"/>
      <c r="AU67" s="201"/>
      <c r="AV67" s="201"/>
    </row>
    <row r="68" ht="15.75" customHeight="1">
      <c r="A68" s="11" t="s">
        <v>2637</v>
      </c>
      <c r="B68" s="203" t="s">
        <v>2636</v>
      </c>
      <c r="C68" s="233" t="s">
        <v>3868</v>
      </c>
      <c r="D68" s="237" t="s">
        <v>3754</v>
      </c>
      <c r="E68" s="200" t="s">
        <v>95</v>
      </c>
      <c r="F68" s="200" t="s">
        <v>95</v>
      </c>
      <c r="G68" s="200" t="s">
        <v>92</v>
      </c>
      <c r="H68" s="200" t="s">
        <v>92</v>
      </c>
      <c r="I68" s="200" t="s">
        <v>92</v>
      </c>
      <c r="J68" s="200">
        <v>1966.0</v>
      </c>
      <c r="K68" s="237" t="s">
        <v>3605</v>
      </c>
      <c r="L68" s="200" t="s">
        <v>3510</v>
      </c>
      <c r="M68" s="238">
        <v>6277.6</v>
      </c>
      <c r="N68" s="200" t="s">
        <v>93</v>
      </c>
      <c r="O68" s="201" t="s">
        <v>3869</v>
      </c>
      <c r="P68" s="200" t="s">
        <v>92</v>
      </c>
      <c r="Q68" s="200" t="s">
        <v>93</v>
      </c>
      <c r="R68" s="200" t="s">
        <v>92</v>
      </c>
      <c r="S68" s="200" t="s">
        <v>92</v>
      </c>
      <c r="T68" s="200" t="s">
        <v>92</v>
      </c>
      <c r="U68" s="200" t="s">
        <v>93</v>
      </c>
      <c r="V68" s="200" t="s">
        <v>93</v>
      </c>
      <c r="W68" s="200" t="s">
        <v>93</v>
      </c>
      <c r="X68" s="200" t="s">
        <v>92</v>
      </c>
      <c r="Y68" s="203" t="s">
        <v>95</v>
      </c>
      <c r="Z68" s="205" t="s">
        <v>95</v>
      </c>
      <c r="AA68" s="204" t="s">
        <v>95</v>
      </c>
      <c r="AB68" s="205" t="s">
        <v>95</v>
      </c>
      <c r="AC68" s="200" t="s">
        <v>92</v>
      </c>
      <c r="AD68" s="200" t="s">
        <v>92</v>
      </c>
      <c r="AE68" s="200" t="s">
        <v>92</v>
      </c>
      <c r="AF68" s="200" t="s">
        <v>92</v>
      </c>
      <c r="AG68" s="201"/>
      <c r="AH68" s="201"/>
      <c r="AI68" s="218" t="s">
        <v>3870</v>
      </c>
      <c r="AJ68" s="201"/>
      <c r="AK68" s="218" t="s">
        <v>3869</v>
      </c>
      <c r="AL68" s="203" t="s">
        <v>3871</v>
      </c>
      <c r="AM68" s="62" t="s">
        <v>3872</v>
      </c>
      <c r="AN68" s="200" t="s">
        <v>93</v>
      </c>
      <c r="AO68" s="211" t="s">
        <v>178</v>
      </c>
      <c r="AP68" s="211" t="s">
        <v>2642</v>
      </c>
      <c r="AQ68" s="211" t="s">
        <v>106</v>
      </c>
      <c r="AR68" s="211" t="s">
        <v>2643</v>
      </c>
      <c r="AS68" s="217" t="s">
        <v>3873</v>
      </c>
      <c r="AT68" s="212"/>
      <c r="AU68" s="201"/>
      <c r="AV68" s="201"/>
    </row>
    <row r="69" ht="15.75" customHeight="1">
      <c r="A69" s="11" t="s">
        <v>3062</v>
      </c>
      <c r="B69" s="203" t="s">
        <v>3061</v>
      </c>
      <c r="C69" s="233" t="s">
        <v>3874</v>
      </c>
      <c r="D69" s="237" t="s">
        <v>3754</v>
      </c>
      <c r="E69" s="200" t="s">
        <v>3875</v>
      </c>
      <c r="F69" s="200" t="s">
        <v>3876</v>
      </c>
      <c r="G69" s="200" t="s">
        <v>93</v>
      </c>
      <c r="H69" s="200" t="s">
        <v>92</v>
      </c>
      <c r="I69" s="200" t="s">
        <v>92</v>
      </c>
      <c r="J69" s="200">
        <v>1949.0</v>
      </c>
      <c r="K69" s="199" t="s">
        <v>3520</v>
      </c>
      <c r="L69" s="200" t="s">
        <v>3510</v>
      </c>
      <c r="M69" s="238">
        <v>6254.5</v>
      </c>
      <c r="N69" s="200" t="s">
        <v>93</v>
      </c>
      <c r="O69" s="201" t="s">
        <v>3877</v>
      </c>
      <c r="P69" s="200" t="s">
        <v>92</v>
      </c>
      <c r="Q69" s="200" t="s">
        <v>92</v>
      </c>
      <c r="R69" s="200" t="s">
        <v>92</v>
      </c>
      <c r="S69" s="200" t="s">
        <v>92</v>
      </c>
      <c r="T69" s="200" t="s">
        <v>92</v>
      </c>
      <c r="U69" s="200" t="s">
        <v>92</v>
      </c>
      <c r="V69" s="200" t="s">
        <v>92</v>
      </c>
      <c r="W69" s="200" t="s">
        <v>92</v>
      </c>
      <c r="X69" s="200" t="s">
        <v>93</v>
      </c>
      <c r="Y69" s="203">
        <v>2022.0</v>
      </c>
      <c r="Z69" s="205" t="s">
        <v>95</v>
      </c>
      <c r="AA69" s="204" t="s">
        <v>95</v>
      </c>
      <c r="AB69" s="205" t="s">
        <v>95</v>
      </c>
      <c r="AC69" s="200" t="s">
        <v>105</v>
      </c>
      <c r="AD69" s="200" t="s">
        <v>92</v>
      </c>
      <c r="AE69" s="200" t="s">
        <v>92</v>
      </c>
      <c r="AF69" s="200" t="s">
        <v>105</v>
      </c>
      <c r="AG69" s="201"/>
      <c r="AH69" s="201"/>
      <c r="AI69" s="218" t="s">
        <v>3061</v>
      </c>
      <c r="AJ69" s="201"/>
      <c r="AK69" s="218" t="s">
        <v>3877</v>
      </c>
      <c r="AL69" s="203" t="s">
        <v>3854</v>
      </c>
      <c r="AM69" s="62" t="s">
        <v>3878</v>
      </c>
      <c r="AN69" s="200" t="s">
        <v>92</v>
      </c>
      <c r="AO69" s="211" t="s">
        <v>115</v>
      </c>
      <c r="AP69" s="211" t="s">
        <v>106</v>
      </c>
      <c r="AQ69" s="211" t="s">
        <v>116</v>
      </c>
      <c r="AR69" s="219"/>
      <c r="AS69" s="212"/>
      <c r="AT69" s="212"/>
      <c r="AU69" s="201"/>
      <c r="AV69" s="201"/>
    </row>
    <row r="70" ht="15.75" customHeight="1">
      <c r="A70" s="11" t="s">
        <v>1669</v>
      </c>
      <c r="B70" s="203" t="s">
        <v>1668</v>
      </c>
      <c r="C70" s="233" t="s">
        <v>3853</v>
      </c>
      <c r="D70" s="237" t="s">
        <v>3256</v>
      </c>
      <c r="E70" s="200" t="s">
        <v>95</v>
      </c>
      <c r="F70" s="200" t="s">
        <v>95</v>
      </c>
      <c r="G70" s="200" t="s">
        <v>93</v>
      </c>
      <c r="H70" s="200" t="s">
        <v>92</v>
      </c>
      <c r="I70" s="200" t="s">
        <v>93</v>
      </c>
      <c r="J70" s="200">
        <v>2022.0</v>
      </c>
      <c r="K70" s="237" t="s">
        <v>3818</v>
      </c>
      <c r="L70" s="200" t="s">
        <v>3510</v>
      </c>
      <c r="M70" s="238">
        <v>4087.6</v>
      </c>
      <c r="N70" s="200" t="s">
        <v>93</v>
      </c>
      <c r="O70" s="201" t="s">
        <v>3879</v>
      </c>
      <c r="P70" s="200" t="s">
        <v>92</v>
      </c>
      <c r="Q70" s="200" t="s">
        <v>92</v>
      </c>
      <c r="R70" s="200" t="s">
        <v>93</v>
      </c>
      <c r="S70" s="200" t="s">
        <v>93</v>
      </c>
      <c r="T70" s="200" t="s">
        <v>93</v>
      </c>
      <c r="U70" s="200" t="s">
        <v>93</v>
      </c>
      <c r="V70" s="200" t="s">
        <v>92</v>
      </c>
      <c r="W70" s="200" t="s">
        <v>92</v>
      </c>
      <c r="X70" s="200" t="s">
        <v>92</v>
      </c>
      <c r="Y70" s="203" t="s">
        <v>95</v>
      </c>
      <c r="Z70" s="205" t="s">
        <v>95</v>
      </c>
      <c r="AA70" s="204" t="s">
        <v>95</v>
      </c>
      <c r="AB70" s="205" t="s">
        <v>95</v>
      </c>
      <c r="AC70" s="200" t="s">
        <v>105</v>
      </c>
      <c r="AD70" s="200" t="s">
        <v>105</v>
      </c>
      <c r="AE70" s="200" t="s">
        <v>92</v>
      </c>
      <c r="AF70" s="200" t="s">
        <v>92</v>
      </c>
      <c r="AG70" s="201"/>
      <c r="AH70" s="201"/>
      <c r="AI70" s="218" t="s">
        <v>1668</v>
      </c>
      <c r="AJ70" s="201"/>
      <c r="AK70" s="203" t="s">
        <v>95</v>
      </c>
      <c r="AL70" s="203" t="s">
        <v>3880</v>
      </c>
      <c r="AM70" s="62" t="s">
        <v>3881</v>
      </c>
      <c r="AN70" s="200" t="s">
        <v>92</v>
      </c>
      <c r="AO70" s="211" t="s">
        <v>3882</v>
      </c>
      <c r="AP70" s="211" t="s">
        <v>660</v>
      </c>
      <c r="AQ70" s="219"/>
      <c r="AR70" s="219"/>
      <c r="AS70" s="212"/>
      <c r="AT70" s="212"/>
      <c r="AU70" s="201"/>
      <c r="AV70" s="201"/>
    </row>
    <row r="71" ht="15.75" customHeight="1">
      <c r="A71" s="11" t="s">
        <v>2878</v>
      </c>
      <c r="B71" s="203" t="s">
        <v>2877</v>
      </c>
      <c r="C71" s="233" t="s">
        <v>3753</v>
      </c>
      <c r="D71" s="237" t="s">
        <v>3754</v>
      </c>
      <c r="E71" s="200" t="s">
        <v>95</v>
      </c>
      <c r="F71" s="200" t="s">
        <v>95</v>
      </c>
      <c r="G71" s="200" t="s">
        <v>92</v>
      </c>
      <c r="H71" s="200" t="s">
        <v>92</v>
      </c>
      <c r="I71" s="200" t="s">
        <v>92</v>
      </c>
      <c r="J71" s="200">
        <v>1994.0</v>
      </c>
      <c r="K71" s="237" t="s">
        <v>3544</v>
      </c>
      <c r="L71" s="200" t="s">
        <v>3510</v>
      </c>
      <c r="M71" s="238">
        <v>6136.0</v>
      </c>
      <c r="N71" s="200" t="s">
        <v>92</v>
      </c>
      <c r="O71" s="201" t="s">
        <v>95</v>
      </c>
      <c r="P71" s="200" t="s">
        <v>92</v>
      </c>
      <c r="Q71" s="200" t="s">
        <v>92</v>
      </c>
      <c r="R71" s="200" t="s">
        <v>92</v>
      </c>
      <c r="S71" s="200" t="s">
        <v>92</v>
      </c>
      <c r="T71" s="200" t="s">
        <v>92</v>
      </c>
      <c r="U71" s="200" t="s">
        <v>93</v>
      </c>
      <c r="V71" s="200" t="s">
        <v>93</v>
      </c>
      <c r="W71" s="200" t="s">
        <v>92</v>
      </c>
      <c r="X71" s="200" t="s">
        <v>92</v>
      </c>
      <c r="Y71" s="203" t="s">
        <v>95</v>
      </c>
      <c r="Z71" s="205" t="s">
        <v>95</v>
      </c>
      <c r="AA71" s="204" t="s">
        <v>95</v>
      </c>
      <c r="AB71" s="205" t="s">
        <v>95</v>
      </c>
      <c r="AC71" s="200" t="s">
        <v>105</v>
      </c>
      <c r="AD71" s="200" t="s">
        <v>105</v>
      </c>
      <c r="AE71" s="200" t="s">
        <v>92</v>
      </c>
      <c r="AF71" s="200" t="s">
        <v>105</v>
      </c>
      <c r="AG71" s="201"/>
      <c r="AH71" s="201"/>
      <c r="AI71" s="218" t="s">
        <v>2877</v>
      </c>
      <c r="AJ71" s="201"/>
      <c r="AK71" s="203" t="s">
        <v>95</v>
      </c>
      <c r="AL71" s="203" t="s">
        <v>3854</v>
      </c>
      <c r="AM71" s="62" t="s">
        <v>3883</v>
      </c>
      <c r="AN71" s="200" t="s">
        <v>92</v>
      </c>
      <c r="AO71" s="211" t="s">
        <v>106</v>
      </c>
      <c r="AP71" s="251" t="s">
        <v>660</v>
      </c>
      <c r="AQ71" s="211" t="s">
        <v>3884</v>
      </c>
      <c r="AR71" s="250" t="s">
        <v>3885</v>
      </c>
      <c r="AS71" s="212"/>
      <c r="AT71" s="212"/>
      <c r="AU71" s="201"/>
      <c r="AV71" s="201"/>
    </row>
    <row r="72" ht="15.75" customHeight="1">
      <c r="A72" s="11" t="s">
        <v>2570</v>
      </c>
      <c r="B72" s="203" t="s">
        <v>2569</v>
      </c>
      <c r="C72" s="233" t="s">
        <v>3886</v>
      </c>
      <c r="D72" s="237" t="s">
        <v>3754</v>
      </c>
      <c r="E72" s="200" t="s">
        <v>95</v>
      </c>
      <c r="F72" s="200" t="s">
        <v>95</v>
      </c>
      <c r="G72" s="200" t="s">
        <v>92</v>
      </c>
      <c r="H72" s="200" t="s">
        <v>92</v>
      </c>
      <c r="I72" s="200" t="s">
        <v>92</v>
      </c>
      <c r="J72" s="200">
        <v>1974.0</v>
      </c>
      <c r="K72" s="237" t="s">
        <v>3605</v>
      </c>
      <c r="L72" s="200" t="s">
        <v>3510</v>
      </c>
      <c r="M72" s="238">
        <v>5132.5</v>
      </c>
      <c r="N72" s="200" t="s">
        <v>93</v>
      </c>
      <c r="O72" s="201" t="s">
        <v>3887</v>
      </c>
      <c r="P72" s="200" t="s">
        <v>92</v>
      </c>
      <c r="Q72" s="200" t="s">
        <v>92</v>
      </c>
      <c r="R72" s="200" t="s">
        <v>92</v>
      </c>
      <c r="S72" s="200" t="s">
        <v>92</v>
      </c>
      <c r="T72" s="200" t="s">
        <v>92</v>
      </c>
      <c r="U72" s="200" t="s">
        <v>93</v>
      </c>
      <c r="V72" s="200" t="s">
        <v>93</v>
      </c>
      <c r="W72" s="200" t="s">
        <v>92</v>
      </c>
      <c r="X72" s="200" t="s">
        <v>92</v>
      </c>
      <c r="Y72" s="203" t="s">
        <v>95</v>
      </c>
      <c r="Z72" s="205" t="s">
        <v>95</v>
      </c>
      <c r="AA72" s="204" t="s">
        <v>95</v>
      </c>
      <c r="AB72" s="205" t="s">
        <v>95</v>
      </c>
      <c r="AC72" s="200" t="s">
        <v>105</v>
      </c>
      <c r="AD72" s="200" t="s">
        <v>105</v>
      </c>
      <c r="AE72" s="200" t="s">
        <v>105</v>
      </c>
      <c r="AF72" s="200" t="s">
        <v>105</v>
      </c>
      <c r="AG72" s="201"/>
      <c r="AH72" s="201"/>
      <c r="AI72" s="218" t="s">
        <v>2569</v>
      </c>
      <c r="AJ72" s="201"/>
      <c r="AK72" s="218" t="s">
        <v>3887</v>
      </c>
      <c r="AL72" s="203" t="s">
        <v>3871</v>
      </c>
      <c r="AM72" s="62" t="s">
        <v>3888</v>
      </c>
      <c r="AN72" s="200" t="s">
        <v>92</v>
      </c>
      <c r="AO72" s="211" t="s">
        <v>2579</v>
      </c>
      <c r="AP72" s="211" t="s">
        <v>2574</v>
      </c>
      <c r="AQ72" s="219"/>
      <c r="AR72" s="219"/>
      <c r="AS72" s="212"/>
      <c r="AT72" s="212"/>
      <c r="AU72" s="201"/>
      <c r="AV72" s="201"/>
    </row>
    <row r="73" ht="15.75" customHeight="1">
      <c r="A73" s="11" t="s">
        <v>2871</v>
      </c>
      <c r="B73" s="203" t="s">
        <v>2870</v>
      </c>
      <c r="C73" s="233" t="s">
        <v>3889</v>
      </c>
      <c r="D73" s="237" t="s">
        <v>3754</v>
      </c>
      <c r="E73" s="200" t="s">
        <v>95</v>
      </c>
      <c r="F73" s="200" t="s">
        <v>95</v>
      </c>
      <c r="G73" s="200" t="s">
        <v>92</v>
      </c>
      <c r="H73" s="200" t="s">
        <v>92</v>
      </c>
      <c r="I73" s="200" t="s">
        <v>92</v>
      </c>
      <c r="J73" s="200">
        <v>1979.0</v>
      </c>
      <c r="K73" s="199" t="s">
        <v>3520</v>
      </c>
      <c r="L73" s="200" t="s">
        <v>3890</v>
      </c>
      <c r="M73" s="238">
        <v>4841.0</v>
      </c>
      <c r="N73" s="200" t="s">
        <v>92</v>
      </c>
      <c r="O73" s="201" t="s">
        <v>95</v>
      </c>
      <c r="P73" s="200" t="s">
        <v>92</v>
      </c>
      <c r="Q73" s="200" t="s">
        <v>92</v>
      </c>
      <c r="R73" s="200" t="s">
        <v>92</v>
      </c>
      <c r="S73" s="200" t="s">
        <v>92</v>
      </c>
      <c r="T73" s="200" t="s">
        <v>92</v>
      </c>
      <c r="U73" s="200" t="s">
        <v>93</v>
      </c>
      <c r="V73" s="200" t="s">
        <v>93</v>
      </c>
      <c r="W73" s="200" t="s">
        <v>92</v>
      </c>
      <c r="X73" s="200" t="s">
        <v>92</v>
      </c>
      <c r="Y73" s="203" t="s">
        <v>95</v>
      </c>
      <c r="Z73" s="205" t="s">
        <v>95</v>
      </c>
      <c r="AA73" s="204" t="s">
        <v>95</v>
      </c>
      <c r="AB73" s="205" t="s">
        <v>95</v>
      </c>
      <c r="AC73" s="200" t="s">
        <v>105</v>
      </c>
      <c r="AD73" s="200" t="s">
        <v>105</v>
      </c>
      <c r="AE73" s="200" t="s">
        <v>93</v>
      </c>
      <c r="AF73" s="200" t="s">
        <v>105</v>
      </c>
      <c r="AG73" s="201"/>
      <c r="AH73" s="201"/>
      <c r="AI73" s="218" t="s">
        <v>2870</v>
      </c>
      <c r="AJ73" s="201"/>
      <c r="AK73" s="203" t="s">
        <v>95</v>
      </c>
      <c r="AL73" s="203" t="s">
        <v>3871</v>
      </c>
      <c r="AM73" s="62" t="s">
        <v>3891</v>
      </c>
      <c r="AN73" s="200" t="s">
        <v>92</v>
      </c>
      <c r="AO73" s="211" t="s">
        <v>2875</v>
      </c>
      <c r="AP73" s="252" t="s">
        <v>129</v>
      </c>
      <c r="AQ73" s="219"/>
      <c r="AR73" s="219"/>
      <c r="AS73" s="212"/>
      <c r="AT73" s="212"/>
      <c r="AU73" s="201"/>
      <c r="AV73" s="201"/>
    </row>
    <row r="74" ht="15.75" customHeight="1">
      <c r="A74" s="11" t="s">
        <v>1890</v>
      </c>
      <c r="B74" s="203" t="s">
        <v>1889</v>
      </c>
      <c r="C74" s="233" t="s">
        <v>3892</v>
      </c>
      <c r="D74" s="237" t="s">
        <v>3256</v>
      </c>
      <c r="E74" s="200" t="s">
        <v>95</v>
      </c>
      <c r="F74" s="200" t="s">
        <v>95</v>
      </c>
      <c r="G74" s="200" t="s">
        <v>92</v>
      </c>
      <c r="H74" s="200" t="s">
        <v>92</v>
      </c>
      <c r="I74" s="200" t="s">
        <v>93</v>
      </c>
      <c r="J74" s="200">
        <v>1946.0</v>
      </c>
      <c r="K74" s="237" t="s">
        <v>3893</v>
      </c>
      <c r="L74" s="200" t="s">
        <v>3840</v>
      </c>
      <c r="M74" s="238">
        <v>3753.0</v>
      </c>
      <c r="N74" s="200" t="s">
        <v>93</v>
      </c>
      <c r="O74" s="201" t="s">
        <v>3894</v>
      </c>
      <c r="P74" s="200" t="s">
        <v>92</v>
      </c>
      <c r="Q74" s="200" t="s">
        <v>92</v>
      </c>
      <c r="R74" s="200" t="s">
        <v>92</v>
      </c>
      <c r="S74" s="200" t="s">
        <v>93</v>
      </c>
      <c r="T74" s="200" t="s">
        <v>93</v>
      </c>
      <c r="U74" s="200" t="s">
        <v>93</v>
      </c>
      <c r="V74" s="200" t="s">
        <v>93</v>
      </c>
      <c r="W74" s="200" t="s">
        <v>93</v>
      </c>
      <c r="X74" s="200" t="s">
        <v>93</v>
      </c>
      <c r="Y74" s="203" t="s">
        <v>3549</v>
      </c>
      <c r="Z74" s="205" t="s">
        <v>95</v>
      </c>
      <c r="AA74" s="204" t="s">
        <v>95</v>
      </c>
      <c r="AB74" s="205" t="s">
        <v>95</v>
      </c>
      <c r="AC74" s="200" t="s">
        <v>92</v>
      </c>
      <c r="AD74" s="200" t="s">
        <v>92</v>
      </c>
      <c r="AE74" s="200" t="s">
        <v>92</v>
      </c>
      <c r="AF74" s="200" t="s">
        <v>92</v>
      </c>
      <c r="AG74" s="201"/>
      <c r="AH74" s="201"/>
      <c r="AI74" s="218" t="s">
        <v>3895</v>
      </c>
      <c r="AJ74" s="201"/>
      <c r="AK74" s="218" t="s">
        <v>3894</v>
      </c>
      <c r="AL74" s="203" t="s">
        <v>3880</v>
      </c>
      <c r="AM74" s="62" t="s">
        <v>95</v>
      </c>
      <c r="AN74" s="200" t="s">
        <v>93</v>
      </c>
      <c r="AO74" s="211" t="s">
        <v>454</v>
      </c>
      <c r="AP74" s="211" t="s">
        <v>455</v>
      </c>
      <c r="AQ74" s="211" t="s">
        <v>456</v>
      </c>
      <c r="AR74" s="211" t="s">
        <v>442</v>
      </c>
      <c r="AS74" s="212"/>
      <c r="AT74" s="212"/>
      <c r="AU74" s="201"/>
      <c r="AV74" s="201"/>
    </row>
    <row r="75" ht="15.75" customHeight="1">
      <c r="A75" s="11" t="s">
        <v>2885</v>
      </c>
      <c r="B75" s="203" t="s">
        <v>2884</v>
      </c>
      <c r="C75" s="233" t="s">
        <v>3896</v>
      </c>
      <c r="D75" s="237" t="s">
        <v>3754</v>
      </c>
      <c r="E75" s="200" t="s">
        <v>95</v>
      </c>
      <c r="F75" s="200" t="s">
        <v>95</v>
      </c>
      <c r="G75" s="200" t="s">
        <v>92</v>
      </c>
      <c r="H75" s="200" t="s">
        <v>92</v>
      </c>
      <c r="I75" s="200" t="s">
        <v>92</v>
      </c>
      <c r="J75" s="200">
        <v>1973.0</v>
      </c>
      <c r="K75" s="237" t="s">
        <v>3897</v>
      </c>
      <c r="L75" s="200" t="s">
        <v>3510</v>
      </c>
      <c r="M75" s="238">
        <v>4126.0</v>
      </c>
      <c r="N75" s="200" t="s">
        <v>92</v>
      </c>
      <c r="O75" s="201" t="s">
        <v>95</v>
      </c>
      <c r="P75" s="200" t="s">
        <v>93</v>
      </c>
      <c r="Q75" s="200" t="s">
        <v>93</v>
      </c>
      <c r="R75" s="200" t="s">
        <v>93</v>
      </c>
      <c r="S75" s="200" t="s">
        <v>93</v>
      </c>
      <c r="T75" s="200" t="s">
        <v>93</v>
      </c>
      <c r="U75" s="200" t="s">
        <v>93</v>
      </c>
      <c r="V75" s="200" t="s">
        <v>93</v>
      </c>
      <c r="W75" s="200" t="s">
        <v>92</v>
      </c>
      <c r="X75" s="200" t="s">
        <v>92</v>
      </c>
      <c r="Y75" s="203" t="s">
        <v>95</v>
      </c>
      <c r="Z75" s="205" t="s">
        <v>95</v>
      </c>
      <c r="AA75" s="204" t="s">
        <v>95</v>
      </c>
      <c r="AB75" s="205" t="s">
        <v>95</v>
      </c>
      <c r="AC75" s="200" t="s">
        <v>105</v>
      </c>
      <c r="AD75" s="200" t="s">
        <v>105</v>
      </c>
      <c r="AE75" s="200" t="s">
        <v>105</v>
      </c>
      <c r="AF75" s="200" t="s">
        <v>105</v>
      </c>
      <c r="AG75" s="201"/>
      <c r="AH75" s="201"/>
      <c r="AI75" s="218" t="s">
        <v>2884</v>
      </c>
      <c r="AJ75" s="201"/>
      <c r="AK75" s="203" t="s">
        <v>95</v>
      </c>
      <c r="AL75" s="203" t="s">
        <v>3898</v>
      </c>
      <c r="AM75" s="62" t="s">
        <v>3899</v>
      </c>
      <c r="AN75" s="200" t="s">
        <v>92</v>
      </c>
      <c r="AO75" s="211" t="s">
        <v>2875</v>
      </c>
      <c r="AP75" s="211" t="s">
        <v>3706</v>
      </c>
      <c r="AQ75" s="211" t="s">
        <v>3900</v>
      </c>
      <c r="AR75" s="211" t="s">
        <v>3901</v>
      </c>
      <c r="AS75" s="217" t="s">
        <v>3902</v>
      </c>
      <c r="AT75" s="217" t="s">
        <v>2892</v>
      </c>
      <c r="AU75" s="201"/>
      <c r="AV75" s="201"/>
    </row>
    <row r="76" ht="15.75" customHeight="1">
      <c r="A76" s="11" t="s">
        <v>2078</v>
      </c>
      <c r="B76" s="203" t="s">
        <v>2077</v>
      </c>
      <c r="C76" s="233" t="s">
        <v>105</v>
      </c>
      <c r="D76" s="237" t="s">
        <v>3256</v>
      </c>
      <c r="E76" s="200" t="s">
        <v>95</v>
      </c>
      <c r="F76" s="200" t="s">
        <v>95</v>
      </c>
      <c r="G76" s="200" t="s">
        <v>92</v>
      </c>
      <c r="H76" s="200" t="s">
        <v>92</v>
      </c>
      <c r="I76" s="200" t="s">
        <v>92</v>
      </c>
      <c r="J76" s="200">
        <v>2011.0</v>
      </c>
      <c r="K76" s="237" t="s">
        <v>3605</v>
      </c>
      <c r="L76" s="200" t="s">
        <v>3510</v>
      </c>
      <c r="M76" s="238">
        <v>3450.5</v>
      </c>
      <c r="N76" s="200" t="s">
        <v>92</v>
      </c>
      <c r="O76" s="201" t="s">
        <v>95</v>
      </c>
      <c r="P76" s="200" t="s">
        <v>93</v>
      </c>
      <c r="Q76" s="200" t="s">
        <v>93</v>
      </c>
      <c r="R76" s="200" t="s">
        <v>93</v>
      </c>
      <c r="S76" s="200" t="s">
        <v>93</v>
      </c>
      <c r="T76" s="200" t="s">
        <v>93</v>
      </c>
      <c r="U76" s="200" t="s">
        <v>93</v>
      </c>
      <c r="V76" s="200" t="s">
        <v>92</v>
      </c>
      <c r="W76" s="200" t="s">
        <v>92</v>
      </c>
      <c r="X76" s="200" t="s">
        <v>93</v>
      </c>
      <c r="Y76" s="203" t="s">
        <v>3845</v>
      </c>
      <c r="Z76" s="205" t="s">
        <v>95</v>
      </c>
      <c r="AA76" s="204" t="s">
        <v>95</v>
      </c>
      <c r="AB76" s="205" t="s">
        <v>95</v>
      </c>
      <c r="AC76" s="200" t="s">
        <v>92</v>
      </c>
      <c r="AD76" s="200" t="s">
        <v>92</v>
      </c>
      <c r="AE76" s="200" t="s">
        <v>92</v>
      </c>
      <c r="AF76" s="200" t="s">
        <v>92</v>
      </c>
      <c r="AG76" s="201"/>
      <c r="AH76" s="201"/>
      <c r="AI76" s="218" t="s">
        <v>2077</v>
      </c>
      <c r="AJ76" s="201"/>
      <c r="AK76" s="203" t="s">
        <v>95</v>
      </c>
      <c r="AL76" s="242">
        <v>45483.0</v>
      </c>
      <c r="AM76" s="62" t="s">
        <v>3903</v>
      </c>
      <c r="AN76" s="200" t="s">
        <v>92</v>
      </c>
      <c r="AO76" s="211" t="s">
        <v>129</v>
      </c>
      <c r="AP76" s="211" t="s">
        <v>1195</v>
      </c>
      <c r="AQ76" s="211" t="s">
        <v>660</v>
      </c>
      <c r="AR76" s="219"/>
      <c r="AS76" s="212"/>
      <c r="AT76" s="212"/>
      <c r="AU76" s="201"/>
      <c r="AV76" s="201"/>
    </row>
    <row r="77" ht="15.75" customHeight="1">
      <c r="A77" s="11" t="s">
        <v>2385</v>
      </c>
      <c r="B77" s="203" t="s">
        <v>2384</v>
      </c>
      <c r="C77" s="233" t="s">
        <v>3904</v>
      </c>
      <c r="D77" s="237" t="s">
        <v>3256</v>
      </c>
      <c r="E77" s="200" t="s">
        <v>95</v>
      </c>
      <c r="F77" s="200" t="s">
        <v>95</v>
      </c>
      <c r="G77" s="200" t="s">
        <v>92</v>
      </c>
      <c r="H77" s="200" t="s">
        <v>92</v>
      </c>
      <c r="I77" s="200" t="s">
        <v>92</v>
      </c>
      <c r="J77" s="200">
        <v>1991.0</v>
      </c>
      <c r="K77" s="237" t="s">
        <v>3614</v>
      </c>
      <c r="L77" s="200" t="s">
        <v>3510</v>
      </c>
      <c r="M77" s="238">
        <v>3037.8</v>
      </c>
      <c r="N77" s="200" t="s">
        <v>92</v>
      </c>
      <c r="O77" s="201" t="s">
        <v>95</v>
      </c>
      <c r="P77" s="200" t="s">
        <v>92</v>
      </c>
      <c r="Q77" s="200" t="s">
        <v>93</v>
      </c>
      <c r="R77" s="200" t="s">
        <v>93</v>
      </c>
      <c r="S77" s="200" t="s">
        <v>93</v>
      </c>
      <c r="T77" s="200" t="s">
        <v>93</v>
      </c>
      <c r="U77" s="200" t="s">
        <v>93</v>
      </c>
      <c r="V77" s="200" t="s">
        <v>92</v>
      </c>
      <c r="W77" s="200" t="s">
        <v>92</v>
      </c>
      <c r="X77" s="200" t="s">
        <v>93</v>
      </c>
      <c r="Y77" s="203" t="s">
        <v>3532</v>
      </c>
      <c r="Z77" s="205" t="s">
        <v>95</v>
      </c>
      <c r="AA77" s="204" t="s">
        <v>3905</v>
      </c>
      <c r="AB77" s="205" t="s">
        <v>3906</v>
      </c>
      <c r="AC77" s="200" t="s">
        <v>92</v>
      </c>
      <c r="AD77" s="200" t="s">
        <v>92</v>
      </c>
      <c r="AE77" s="200" t="s">
        <v>93</v>
      </c>
      <c r="AF77" s="200" t="s">
        <v>93</v>
      </c>
      <c r="AG77" s="201"/>
      <c r="AH77" s="201"/>
      <c r="AI77" s="252" t="s">
        <v>2384</v>
      </c>
      <c r="AJ77" s="201"/>
      <c r="AK77" s="203" t="s">
        <v>95</v>
      </c>
      <c r="AL77" s="203" t="s">
        <v>3880</v>
      </c>
      <c r="AM77" s="62" t="s">
        <v>95</v>
      </c>
      <c r="AN77" s="200" t="s">
        <v>93</v>
      </c>
      <c r="AO77" s="211" t="s">
        <v>3907</v>
      </c>
      <c r="AP77" s="211" t="s">
        <v>3908</v>
      </c>
      <c r="AQ77" s="211" t="s">
        <v>3909</v>
      </c>
      <c r="AR77" s="211" t="s">
        <v>3771</v>
      </c>
      <c r="AS77" s="212"/>
      <c r="AT77" s="212"/>
      <c r="AU77" s="201"/>
      <c r="AV77" s="201"/>
    </row>
    <row r="78" ht="15.75" customHeight="1">
      <c r="A78" s="11" t="s">
        <v>2095</v>
      </c>
      <c r="B78" s="203" t="s">
        <v>2094</v>
      </c>
      <c r="C78" s="233" t="s">
        <v>3910</v>
      </c>
      <c r="D78" s="237" t="s">
        <v>3256</v>
      </c>
      <c r="E78" s="200" t="s">
        <v>95</v>
      </c>
      <c r="F78" s="200" t="s">
        <v>95</v>
      </c>
      <c r="G78" s="200" t="s">
        <v>93</v>
      </c>
      <c r="H78" s="200" t="s">
        <v>92</v>
      </c>
      <c r="I78" s="200" t="s">
        <v>92</v>
      </c>
      <c r="J78" s="200">
        <v>1939.0</v>
      </c>
      <c r="K78" s="237" t="s">
        <v>3818</v>
      </c>
      <c r="L78" s="200" t="s">
        <v>3510</v>
      </c>
      <c r="M78" s="238">
        <v>2914.0</v>
      </c>
      <c r="N78" s="200" t="s">
        <v>93</v>
      </c>
      <c r="O78" s="201" t="s">
        <v>3911</v>
      </c>
      <c r="P78" s="200" t="s">
        <v>92</v>
      </c>
      <c r="Q78" s="200" t="s">
        <v>92</v>
      </c>
      <c r="R78" s="200" t="s">
        <v>93</v>
      </c>
      <c r="S78" s="200" t="s">
        <v>93</v>
      </c>
      <c r="T78" s="200" t="s">
        <v>93</v>
      </c>
      <c r="U78" s="200" t="s">
        <v>93</v>
      </c>
      <c r="V78" s="200" t="s">
        <v>92</v>
      </c>
      <c r="W78" s="200" t="s">
        <v>92</v>
      </c>
      <c r="X78" s="200" t="s">
        <v>92</v>
      </c>
      <c r="Y78" s="203" t="s">
        <v>95</v>
      </c>
      <c r="Z78" s="205" t="s">
        <v>95</v>
      </c>
      <c r="AA78" s="204" t="s">
        <v>95</v>
      </c>
      <c r="AB78" s="205" t="s">
        <v>95</v>
      </c>
      <c r="AC78" s="200" t="s">
        <v>105</v>
      </c>
      <c r="AD78" s="200" t="s">
        <v>105</v>
      </c>
      <c r="AE78" s="200" t="s">
        <v>92</v>
      </c>
      <c r="AF78" s="200" t="s">
        <v>92</v>
      </c>
      <c r="AG78" s="201"/>
      <c r="AH78" s="201"/>
      <c r="AI78" s="218" t="s">
        <v>3912</v>
      </c>
      <c r="AJ78" s="201"/>
      <c r="AK78" s="218" t="s">
        <v>3913</v>
      </c>
      <c r="AL78" s="203" t="s">
        <v>3880</v>
      </c>
      <c r="AM78" s="62" t="s">
        <v>3914</v>
      </c>
      <c r="AN78" s="200" t="s">
        <v>92</v>
      </c>
      <c r="AO78" s="211" t="s">
        <v>1195</v>
      </c>
      <c r="AP78" s="211" t="s">
        <v>660</v>
      </c>
      <c r="AQ78" s="219"/>
      <c r="AR78" s="219"/>
      <c r="AS78" s="212"/>
      <c r="AT78" s="212"/>
      <c r="AU78" s="201"/>
      <c r="AV78" s="201"/>
    </row>
    <row r="79" ht="15.75" customHeight="1">
      <c r="A79" s="11" t="s">
        <v>1763</v>
      </c>
      <c r="B79" s="203" t="s">
        <v>1762</v>
      </c>
      <c r="C79" s="233" t="s">
        <v>3915</v>
      </c>
      <c r="D79" s="237" t="s">
        <v>3256</v>
      </c>
      <c r="E79" s="200" t="s">
        <v>95</v>
      </c>
      <c r="F79" s="200" t="s">
        <v>95</v>
      </c>
      <c r="G79" s="200" t="s">
        <v>92</v>
      </c>
      <c r="H79" s="200" t="s">
        <v>92</v>
      </c>
      <c r="I79" s="200" t="s">
        <v>92</v>
      </c>
      <c r="J79" s="200">
        <v>1887.0</v>
      </c>
      <c r="K79" s="237" t="s">
        <v>3520</v>
      </c>
      <c r="L79" s="200" t="s">
        <v>3510</v>
      </c>
      <c r="M79" s="238">
        <v>2457.8</v>
      </c>
      <c r="N79" s="200" t="s">
        <v>92</v>
      </c>
      <c r="O79" s="201" t="s">
        <v>95</v>
      </c>
      <c r="P79" s="200" t="s">
        <v>92</v>
      </c>
      <c r="Q79" s="200" t="s">
        <v>93</v>
      </c>
      <c r="R79" s="200" t="s">
        <v>93</v>
      </c>
      <c r="S79" s="200" t="s">
        <v>93</v>
      </c>
      <c r="T79" s="200" t="s">
        <v>93</v>
      </c>
      <c r="U79" s="200" t="s">
        <v>93</v>
      </c>
      <c r="V79" s="200" t="s">
        <v>92</v>
      </c>
      <c r="W79" s="200" t="s">
        <v>92</v>
      </c>
      <c r="X79" s="200" t="s">
        <v>92</v>
      </c>
      <c r="Y79" s="203" t="s">
        <v>95</v>
      </c>
      <c r="Z79" s="205" t="s">
        <v>95</v>
      </c>
      <c r="AA79" s="204" t="s">
        <v>3916</v>
      </c>
      <c r="AB79" s="205" t="s">
        <v>3917</v>
      </c>
      <c r="AC79" s="200" t="s">
        <v>105</v>
      </c>
      <c r="AD79" s="200" t="s">
        <v>105</v>
      </c>
      <c r="AE79" s="200" t="s">
        <v>92</v>
      </c>
      <c r="AF79" s="200" t="s">
        <v>105</v>
      </c>
      <c r="AG79" s="201"/>
      <c r="AH79" s="201"/>
      <c r="AI79" s="218" t="s">
        <v>1762</v>
      </c>
      <c r="AJ79" s="201"/>
      <c r="AK79" s="203" t="s">
        <v>95</v>
      </c>
      <c r="AL79" s="203" t="s">
        <v>3854</v>
      </c>
      <c r="AM79" s="62" t="s">
        <v>3918</v>
      </c>
      <c r="AN79" s="200" t="s">
        <v>92</v>
      </c>
      <c r="AO79" s="211" t="s">
        <v>1195</v>
      </c>
      <c r="AP79" s="211" t="s">
        <v>660</v>
      </c>
      <c r="AQ79" s="219"/>
      <c r="AR79" s="219"/>
      <c r="AS79" s="212"/>
      <c r="AT79" s="212"/>
      <c r="AU79" s="201"/>
      <c r="AV79" s="201"/>
    </row>
    <row r="80" ht="15.75" customHeight="1">
      <c r="A80" s="11" t="s">
        <v>2581</v>
      </c>
      <c r="B80" s="203" t="s">
        <v>2580</v>
      </c>
      <c r="C80" s="233" t="s">
        <v>3844</v>
      </c>
      <c r="D80" s="237" t="s">
        <v>3754</v>
      </c>
      <c r="E80" s="200" t="s">
        <v>3919</v>
      </c>
      <c r="F80" s="200" t="s">
        <v>3815</v>
      </c>
      <c r="G80" s="200" t="s">
        <v>93</v>
      </c>
      <c r="H80" s="200" t="s">
        <v>92</v>
      </c>
      <c r="I80" s="200" t="s">
        <v>92</v>
      </c>
      <c r="J80" s="200">
        <v>1967.0</v>
      </c>
      <c r="K80" s="237" t="s">
        <v>3509</v>
      </c>
      <c r="L80" s="200" t="s">
        <v>3510</v>
      </c>
      <c r="M80" s="238">
        <v>3990.5</v>
      </c>
      <c r="N80" s="200" t="s">
        <v>92</v>
      </c>
      <c r="O80" s="201" t="s">
        <v>95</v>
      </c>
      <c r="P80" s="200" t="s">
        <v>92</v>
      </c>
      <c r="Q80" s="200" t="s">
        <v>92</v>
      </c>
      <c r="R80" s="200" t="s">
        <v>92</v>
      </c>
      <c r="S80" s="200" t="s">
        <v>92</v>
      </c>
      <c r="T80" s="200" t="s">
        <v>92</v>
      </c>
      <c r="U80" s="200" t="s">
        <v>93</v>
      </c>
      <c r="V80" s="200" t="s">
        <v>93</v>
      </c>
      <c r="W80" s="200" t="s">
        <v>92</v>
      </c>
      <c r="X80" s="200" t="s">
        <v>93</v>
      </c>
      <c r="Y80" s="203" t="s">
        <v>3920</v>
      </c>
      <c r="Z80" s="205" t="s">
        <v>95</v>
      </c>
      <c r="AA80" s="204" t="s">
        <v>95</v>
      </c>
      <c r="AB80" s="205" t="s">
        <v>95</v>
      </c>
      <c r="AC80" s="200" t="s">
        <v>105</v>
      </c>
      <c r="AD80" s="200" t="s">
        <v>105</v>
      </c>
      <c r="AE80" s="200" t="s">
        <v>92</v>
      </c>
      <c r="AF80" s="200" t="s">
        <v>92</v>
      </c>
      <c r="AG80" s="201"/>
      <c r="AH80" s="201"/>
      <c r="AI80" s="218" t="s">
        <v>3921</v>
      </c>
      <c r="AJ80" s="201"/>
      <c r="AK80" s="203" t="s">
        <v>95</v>
      </c>
      <c r="AL80" s="203" t="s">
        <v>3922</v>
      </c>
      <c r="AM80" s="62" t="s">
        <v>3830</v>
      </c>
      <c r="AN80" s="200" t="s">
        <v>92</v>
      </c>
      <c r="AO80" s="211" t="s">
        <v>106</v>
      </c>
      <c r="AP80" s="211" t="s">
        <v>116</v>
      </c>
      <c r="AQ80" s="250" t="s">
        <v>3923</v>
      </c>
      <c r="AR80" s="219"/>
      <c r="AS80" s="212"/>
      <c r="AT80" s="212"/>
      <c r="AU80" s="201"/>
      <c r="AV80" s="201"/>
    </row>
    <row r="81" ht="15.75" customHeight="1">
      <c r="A81" s="11" t="s">
        <v>3118</v>
      </c>
      <c r="B81" s="203" t="s">
        <v>3117</v>
      </c>
      <c r="C81" s="233" t="s">
        <v>3924</v>
      </c>
      <c r="D81" s="237" t="s">
        <v>3754</v>
      </c>
      <c r="E81" s="200" t="s">
        <v>3925</v>
      </c>
      <c r="F81" s="200" t="s">
        <v>3926</v>
      </c>
      <c r="G81" s="200" t="s">
        <v>93</v>
      </c>
      <c r="H81" s="200" t="s">
        <v>92</v>
      </c>
      <c r="I81" s="200" t="s">
        <v>93</v>
      </c>
      <c r="J81" s="200">
        <v>2011.0</v>
      </c>
      <c r="K81" s="199" t="s">
        <v>3520</v>
      </c>
      <c r="L81" s="200" t="s">
        <v>3510</v>
      </c>
      <c r="M81" s="238">
        <v>3644.7</v>
      </c>
      <c r="N81" s="200" t="s">
        <v>92</v>
      </c>
      <c r="O81" s="201" t="s">
        <v>95</v>
      </c>
      <c r="P81" s="200" t="s">
        <v>92</v>
      </c>
      <c r="Q81" s="200" t="s">
        <v>92</v>
      </c>
      <c r="R81" s="200" t="s">
        <v>92</v>
      </c>
      <c r="S81" s="200" t="s">
        <v>92</v>
      </c>
      <c r="T81" s="200" t="s">
        <v>93</v>
      </c>
      <c r="U81" s="200" t="s">
        <v>93</v>
      </c>
      <c r="V81" s="200" t="s">
        <v>93</v>
      </c>
      <c r="W81" s="200" t="s">
        <v>92</v>
      </c>
      <c r="X81" s="200" t="s">
        <v>92</v>
      </c>
      <c r="Y81" s="203" t="s">
        <v>95</v>
      </c>
      <c r="Z81" s="205" t="s">
        <v>95</v>
      </c>
      <c r="AA81" s="204" t="s">
        <v>3927</v>
      </c>
      <c r="AB81" s="205" t="s">
        <v>3928</v>
      </c>
      <c r="AC81" s="200" t="s">
        <v>105</v>
      </c>
      <c r="AD81" s="200" t="s">
        <v>92</v>
      </c>
      <c r="AE81" s="200" t="s">
        <v>105</v>
      </c>
      <c r="AF81" s="200" t="s">
        <v>105</v>
      </c>
      <c r="AG81" s="201"/>
      <c r="AH81" s="201"/>
      <c r="AI81" s="218" t="s">
        <v>3929</v>
      </c>
      <c r="AJ81" s="201"/>
      <c r="AK81" s="203" t="s">
        <v>95</v>
      </c>
      <c r="AL81" s="242">
        <v>45299.0</v>
      </c>
      <c r="AM81" s="62" t="s">
        <v>3930</v>
      </c>
      <c r="AN81" s="200" t="s">
        <v>92</v>
      </c>
      <c r="AO81" s="211" t="s">
        <v>115</v>
      </c>
      <c r="AP81" s="219"/>
      <c r="AQ81" s="219"/>
      <c r="AR81" s="219"/>
      <c r="AS81" s="212"/>
      <c r="AT81" s="212"/>
      <c r="AU81" s="201"/>
      <c r="AV81" s="201"/>
    </row>
    <row r="82" ht="15.75" customHeight="1">
      <c r="A82" s="11" t="s">
        <v>2537</v>
      </c>
      <c r="B82" s="203" t="s">
        <v>2536</v>
      </c>
      <c r="C82" s="233" t="s">
        <v>3931</v>
      </c>
      <c r="D82" s="237" t="s">
        <v>3754</v>
      </c>
      <c r="E82" s="200" t="s">
        <v>95</v>
      </c>
      <c r="F82" s="200" t="s">
        <v>95</v>
      </c>
      <c r="G82" s="200" t="s">
        <v>92</v>
      </c>
      <c r="H82" s="200" t="s">
        <v>92</v>
      </c>
      <c r="I82" s="200" t="s">
        <v>92</v>
      </c>
      <c r="J82" s="200">
        <v>1942.0</v>
      </c>
      <c r="K82" s="237" t="s">
        <v>3932</v>
      </c>
      <c r="L82" s="200" t="s">
        <v>3510</v>
      </c>
      <c r="M82" s="238">
        <v>3044.3</v>
      </c>
      <c r="N82" s="200" t="s">
        <v>92</v>
      </c>
      <c r="O82" s="201" t="s">
        <v>95</v>
      </c>
      <c r="P82" s="200" t="s">
        <v>92</v>
      </c>
      <c r="Q82" s="200" t="s">
        <v>92</v>
      </c>
      <c r="R82" s="200" t="s">
        <v>92</v>
      </c>
      <c r="S82" s="200" t="s">
        <v>92</v>
      </c>
      <c r="T82" s="200" t="s">
        <v>93</v>
      </c>
      <c r="U82" s="200" t="s">
        <v>93</v>
      </c>
      <c r="V82" s="200" t="s">
        <v>93</v>
      </c>
      <c r="W82" s="200" t="s">
        <v>92</v>
      </c>
      <c r="X82" s="200" t="s">
        <v>92</v>
      </c>
      <c r="Y82" s="203" t="s">
        <v>95</v>
      </c>
      <c r="Z82" s="205" t="s">
        <v>95</v>
      </c>
      <c r="AA82" s="204" t="s">
        <v>95</v>
      </c>
      <c r="AB82" s="205" t="s">
        <v>95</v>
      </c>
      <c r="AC82" s="200" t="s">
        <v>105</v>
      </c>
      <c r="AD82" s="200" t="s">
        <v>92</v>
      </c>
      <c r="AE82" s="200" t="s">
        <v>105</v>
      </c>
      <c r="AF82" s="200" t="s">
        <v>105</v>
      </c>
      <c r="AG82" s="214"/>
      <c r="AH82" s="214"/>
      <c r="AI82" s="218" t="s">
        <v>2536</v>
      </c>
      <c r="AJ82" s="214"/>
      <c r="AK82" s="203" t="s">
        <v>95</v>
      </c>
      <c r="AL82" s="242">
        <v>45299.0</v>
      </c>
      <c r="AM82" s="62" t="s">
        <v>3930</v>
      </c>
      <c r="AN82" s="200" t="s">
        <v>92</v>
      </c>
      <c r="AO82" s="211" t="s">
        <v>115</v>
      </c>
      <c r="AP82" s="219"/>
      <c r="AQ82" s="219"/>
      <c r="AR82" s="219"/>
      <c r="AS82" s="253"/>
      <c r="AT82" s="253"/>
      <c r="AU82" s="254"/>
      <c r="AV82" s="254"/>
    </row>
    <row r="83" ht="15.75" customHeight="1">
      <c r="A83" s="11" t="s">
        <v>3085</v>
      </c>
      <c r="B83" s="203" t="s">
        <v>3933</v>
      </c>
      <c r="C83" s="233" t="s">
        <v>3934</v>
      </c>
      <c r="D83" s="237" t="s">
        <v>3754</v>
      </c>
      <c r="E83" s="200" t="s">
        <v>95</v>
      </c>
      <c r="F83" s="200" t="s">
        <v>95</v>
      </c>
      <c r="G83" s="200" t="s">
        <v>92</v>
      </c>
      <c r="H83" s="200" t="s">
        <v>92</v>
      </c>
      <c r="I83" s="200" t="s">
        <v>92</v>
      </c>
      <c r="J83" s="200">
        <v>1982.0</v>
      </c>
      <c r="K83" s="237" t="s">
        <v>3623</v>
      </c>
      <c r="L83" s="200" t="s">
        <v>3510</v>
      </c>
      <c r="M83" s="238">
        <v>2999.2</v>
      </c>
      <c r="N83" s="200" t="s">
        <v>92</v>
      </c>
      <c r="O83" s="201" t="s">
        <v>95</v>
      </c>
      <c r="P83" s="200" t="s">
        <v>92</v>
      </c>
      <c r="Q83" s="200" t="s">
        <v>92</v>
      </c>
      <c r="R83" s="200" t="s">
        <v>92</v>
      </c>
      <c r="S83" s="200" t="s">
        <v>92</v>
      </c>
      <c r="T83" s="200" t="s">
        <v>92</v>
      </c>
      <c r="U83" s="200" t="s">
        <v>93</v>
      </c>
      <c r="V83" s="200" t="s">
        <v>93</v>
      </c>
      <c r="W83" s="200" t="s">
        <v>92</v>
      </c>
      <c r="X83" s="200" t="s">
        <v>92</v>
      </c>
      <c r="Y83" s="203" t="s">
        <v>95</v>
      </c>
      <c r="Z83" s="205" t="s">
        <v>95</v>
      </c>
      <c r="AA83" s="204" t="s">
        <v>95</v>
      </c>
      <c r="AB83" s="205" t="s">
        <v>95</v>
      </c>
      <c r="AC83" s="200" t="s">
        <v>105</v>
      </c>
      <c r="AD83" s="200" t="s">
        <v>105</v>
      </c>
      <c r="AE83" s="200" t="s">
        <v>105</v>
      </c>
      <c r="AF83" s="200" t="s">
        <v>105</v>
      </c>
      <c r="AG83" s="214"/>
      <c r="AH83" s="214"/>
      <c r="AI83" s="218" t="s">
        <v>3933</v>
      </c>
      <c r="AJ83" s="214"/>
      <c r="AK83" s="203" t="s">
        <v>95</v>
      </c>
      <c r="AL83" s="242">
        <v>45299.0</v>
      </c>
      <c r="AM83" s="62" t="s">
        <v>3935</v>
      </c>
      <c r="AN83" s="200" t="s">
        <v>92</v>
      </c>
      <c r="AO83" s="255" t="s">
        <v>3087</v>
      </c>
      <c r="AP83" s="255" t="s">
        <v>3092</v>
      </c>
      <c r="AQ83" s="255" t="s">
        <v>3097</v>
      </c>
      <c r="AR83" s="219"/>
      <c r="AS83" s="253"/>
      <c r="AT83" s="253"/>
      <c r="AU83" s="254"/>
      <c r="AV83" s="254"/>
    </row>
    <row r="84" ht="15.75" customHeight="1">
      <c r="A84" s="11" t="s">
        <v>3033</v>
      </c>
      <c r="B84" s="203" t="s">
        <v>3032</v>
      </c>
      <c r="C84" s="233" t="s">
        <v>3936</v>
      </c>
      <c r="D84" s="237" t="s">
        <v>3754</v>
      </c>
      <c r="E84" s="200" t="s">
        <v>3754</v>
      </c>
      <c r="F84" s="200" t="s">
        <v>3937</v>
      </c>
      <c r="G84" s="200" t="s">
        <v>93</v>
      </c>
      <c r="H84" s="200" t="s">
        <v>92</v>
      </c>
      <c r="I84" s="200" t="s">
        <v>92</v>
      </c>
      <c r="J84" s="200">
        <v>2002.0</v>
      </c>
      <c r="K84" s="237" t="s">
        <v>3520</v>
      </c>
      <c r="L84" s="200" t="s">
        <v>3510</v>
      </c>
      <c r="M84" s="238">
        <v>2834.5</v>
      </c>
      <c r="N84" s="200" t="s">
        <v>92</v>
      </c>
      <c r="O84" s="201" t="s">
        <v>95</v>
      </c>
      <c r="P84" s="200" t="s">
        <v>92</v>
      </c>
      <c r="Q84" s="200" t="s">
        <v>92</v>
      </c>
      <c r="R84" s="200" t="s">
        <v>92</v>
      </c>
      <c r="S84" s="200" t="s">
        <v>92</v>
      </c>
      <c r="T84" s="200" t="s">
        <v>92</v>
      </c>
      <c r="U84" s="200" t="s">
        <v>93</v>
      </c>
      <c r="V84" s="200" t="s">
        <v>93</v>
      </c>
      <c r="W84" s="200" t="s">
        <v>92</v>
      </c>
      <c r="X84" s="200" t="s">
        <v>93</v>
      </c>
      <c r="Y84" s="203" t="s">
        <v>3920</v>
      </c>
      <c r="Z84" s="205" t="s">
        <v>95</v>
      </c>
      <c r="AA84" s="204" t="s">
        <v>95</v>
      </c>
      <c r="AB84" s="205" t="s">
        <v>95</v>
      </c>
      <c r="AC84" s="200" t="s">
        <v>105</v>
      </c>
      <c r="AD84" s="200" t="s">
        <v>105</v>
      </c>
      <c r="AE84" s="200" t="s">
        <v>92</v>
      </c>
      <c r="AF84" s="200" t="s">
        <v>92</v>
      </c>
      <c r="AG84" s="200"/>
      <c r="AH84" s="200"/>
      <c r="AI84" s="218" t="s">
        <v>3032</v>
      </c>
      <c r="AJ84" s="256"/>
      <c r="AK84" s="203" t="s">
        <v>95</v>
      </c>
      <c r="AL84" s="242">
        <v>45299.0</v>
      </c>
      <c r="AM84" s="62" t="s">
        <v>3938</v>
      </c>
      <c r="AN84" s="200" t="s">
        <v>92</v>
      </c>
      <c r="AO84" s="252" t="s">
        <v>106</v>
      </c>
      <c r="AP84" s="252" t="s">
        <v>116</v>
      </c>
      <c r="AQ84" s="219"/>
      <c r="AR84" s="219"/>
      <c r="AS84" s="253"/>
      <c r="AT84" s="253"/>
      <c r="AU84" s="254"/>
      <c r="AV84" s="254"/>
    </row>
    <row r="85" ht="15.75" customHeight="1">
      <c r="A85" s="11" t="s">
        <v>3130</v>
      </c>
      <c r="B85" s="203" t="s">
        <v>3129</v>
      </c>
      <c r="C85" s="233" t="s">
        <v>3896</v>
      </c>
      <c r="D85" s="237" t="s">
        <v>3754</v>
      </c>
      <c r="E85" s="200" t="s">
        <v>95</v>
      </c>
      <c r="F85" s="200" t="s">
        <v>95</v>
      </c>
      <c r="G85" s="200" t="s">
        <v>92</v>
      </c>
      <c r="H85" s="200" t="s">
        <v>92</v>
      </c>
      <c r="I85" s="200" t="s">
        <v>92</v>
      </c>
      <c r="J85" s="200">
        <v>1959.0</v>
      </c>
      <c r="K85" s="237" t="s">
        <v>3893</v>
      </c>
      <c r="L85" s="200" t="s">
        <v>3510</v>
      </c>
      <c r="M85" s="238">
        <v>2634.2</v>
      </c>
      <c r="N85" s="200" t="s">
        <v>92</v>
      </c>
      <c r="O85" s="201" t="s">
        <v>95</v>
      </c>
      <c r="P85" s="200" t="s">
        <v>92</v>
      </c>
      <c r="Q85" s="200" t="s">
        <v>93</v>
      </c>
      <c r="R85" s="200" t="s">
        <v>92</v>
      </c>
      <c r="S85" s="200" t="s">
        <v>92</v>
      </c>
      <c r="T85" s="200" t="s">
        <v>93</v>
      </c>
      <c r="U85" s="200" t="s">
        <v>93</v>
      </c>
      <c r="V85" s="200" t="s">
        <v>93</v>
      </c>
      <c r="W85" s="200" t="s">
        <v>92</v>
      </c>
      <c r="X85" s="200" t="s">
        <v>92</v>
      </c>
      <c r="Y85" s="203" t="s">
        <v>95</v>
      </c>
      <c r="Z85" s="205" t="s">
        <v>95</v>
      </c>
      <c r="AA85" s="204" t="s">
        <v>95</v>
      </c>
      <c r="AB85" s="205" t="s">
        <v>95</v>
      </c>
      <c r="AC85" s="200" t="s">
        <v>105</v>
      </c>
      <c r="AD85" s="200" t="s">
        <v>105</v>
      </c>
      <c r="AE85" s="200" t="s">
        <v>93</v>
      </c>
      <c r="AF85" s="200" t="s">
        <v>105</v>
      </c>
      <c r="AG85" s="200"/>
      <c r="AH85" s="200"/>
      <c r="AI85" s="218" t="s">
        <v>3129</v>
      </c>
      <c r="AJ85" s="256"/>
      <c r="AK85" s="203" t="s">
        <v>95</v>
      </c>
      <c r="AL85" s="203" t="s">
        <v>3854</v>
      </c>
      <c r="AM85" s="62" t="s">
        <v>3939</v>
      </c>
      <c r="AN85" s="200" t="s">
        <v>92</v>
      </c>
      <c r="AO85" s="252" t="s">
        <v>106</v>
      </c>
      <c r="AP85" s="251" t="s">
        <v>660</v>
      </c>
      <c r="AQ85" s="252" t="s">
        <v>3940</v>
      </c>
      <c r="AR85" s="219"/>
      <c r="AS85" s="253"/>
      <c r="AT85" s="253"/>
      <c r="AU85" s="254"/>
      <c r="AV85" s="254"/>
    </row>
    <row r="86" ht="15.75" customHeight="1">
      <c r="A86" s="11" t="s">
        <v>2592</v>
      </c>
      <c r="B86" s="203" t="s">
        <v>2591</v>
      </c>
      <c r="C86" s="233" t="s">
        <v>3941</v>
      </c>
      <c r="D86" s="237" t="s">
        <v>3754</v>
      </c>
      <c r="E86" s="200" t="s">
        <v>95</v>
      </c>
      <c r="F86" s="200" t="s">
        <v>95</v>
      </c>
      <c r="G86" s="200" t="s">
        <v>92</v>
      </c>
      <c r="H86" s="200" t="s">
        <v>92</v>
      </c>
      <c r="I86" s="200" t="s">
        <v>92</v>
      </c>
      <c r="J86" s="200">
        <v>1949.0</v>
      </c>
      <c r="K86" s="237" t="s">
        <v>3520</v>
      </c>
      <c r="L86" s="200" t="s">
        <v>3510</v>
      </c>
      <c r="M86" s="238">
        <v>2613.4</v>
      </c>
      <c r="N86" s="200" t="s">
        <v>93</v>
      </c>
      <c r="O86" s="201" t="s">
        <v>3942</v>
      </c>
      <c r="P86" s="200" t="s">
        <v>92</v>
      </c>
      <c r="Q86" s="200" t="s">
        <v>93</v>
      </c>
      <c r="R86" s="200" t="s">
        <v>92</v>
      </c>
      <c r="S86" s="200" t="s">
        <v>92</v>
      </c>
      <c r="T86" s="200" t="s">
        <v>92</v>
      </c>
      <c r="U86" s="200" t="s">
        <v>92</v>
      </c>
      <c r="V86" s="200" t="s">
        <v>92</v>
      </c>
      <c r="W86" s="200" t="s">
        <v>93</v>
      </c>
      <c r="X86" s="200" t="s">
        <v>92</v>
      </c>
      <c r="Y86" s="203" t="s">
        <v>95</v>
      </c>
      <c r="Z86" s="205" t="s">
        <v>3943</v>
      </c>
      <c r="AA86" s="205" t="s">
        <v>3944</v>
      </c>
      <c r="AB86" s="205" t="s">
        <v>3945</v>
      </c>
      <c r="AC86" s="200" t="s">
        <v>105</v>
      </c>
      <c r="AD86" s="200" t="s">
        <v>92</v>
      </c>
      <c r="AE86" s="200" t="s">
        <v>92</v>
      </c>
      <c r="AF86" s="200" t="s">
        <v>105</v>
      </c>
      <c r="AG86" s="200"/>
      <c r="AH86" s="200"/>
      <c r="AI86" s="218" t="s">
        <v>2591</v>
      </c>
      <c r="AJ86" s="256"/>
      <c r="AK86" s="218" t="s">
        <v>3942</v>
      </c>
      <c r="AL86" s="242">
        <v>45420.0</v>
      </c>
      <c r="AM86" s="62" t="s">
        <v>3946</v>
      </c>
      <c r="AN86" s="200" t="s">
        <v>92</v>
      </c>
      <c r="AO86" s="252" t="s">
        <v>115</v>
      </c>
      <c r="AP86" s="252" t="s">
        <v>106</v>
      </c>
      <c r="AQ86" s="219"/>
      <c r="AR86" s="219"/>
      <c r="AS86" s="253"/>
      <c r="AT86" s="253"/>
      <c r="AU86" s="254"/>
      <c r="AV86" s="254"/>
    </row>
    <row r="87" ht="15.75" customHeight="1">
      <c r="A87" s="11" t="s">
        <v>2895</v>
      </c>
      <c r="B87" s="203" t="s">
        <v>2894</v>
      </c>
      <c r="C87" s="233" t="s">
        <v>3947</v>
      </c>
      <c r="D87" s="237" t="s">
        <v>3754</v>
      </c>
      <c r="E87" s="200" t="s">
        <v>3754</v>
      </c>
      <c r="F87" s="200" t="s">
        <v>3937</v>
      </c>
      <c r="G87" s="200" t="s">
        <v>93</v>
      </c>
      <c r="H87" s="200" t="s">
        <v>92</v>
      </c>
      <c r="I87" s="200" t="s">
        <v>92</v>
      </c>
      <c r="J87" s="200">
        <v>1967.0</v>
      </c>
      <c r="K87" s="237" t="s">
        <v>3509</v>
      </c>
      <c r="L87" s="200" t="s">
        <v>3510</v>
      </c>
      <c r="M87" s="238">
        <v>2312.7</v>
      </c>
      <c r="N87" s="200" t="s">
        <v>92</v>
      </c>
      <c r="O87" s="201" t="s">
        <v>95</v>
      </c>
      <c r="P87" s="200" t="s">
        <v>92</v>
      </c>
      <c r="Q87" s="200" t="s">
        <v>92</v>
      </c>
      <c r="R87" s="200" t="s">
        <v>92</v>
      </c>
      <c r="S87" s="200" t="s">
        <v>92</v>
      </c>
      <c r="T87" s="200" t="s">
        <v>92</v>
      </c>
      <c r="U87" s="200" t="s">
        <v>93</v>
      </c>
      <c r="V87" s="200" t="s">
        <v>93</v>
      </c>
      <c r="W87" s="200" t="s">
        <v>92</v>
      </c>
      <c r="X87" s="200" t="s">
        <v>93</v>
      </c>
      <c r="Y87" s="203" t="s">
        <v>3557</v>
      </c>
      <c r="Z87" s="205" t="s">
        <v>95</v>
      </c>
      <c r="AA87" s="204" t="s">
        <v>95</v>
      </c>
      <c r="AB87" s="205" t="s">
        <v>95</v>
      </c>
      <c r="AC87" s="200" t="s">
        <v>92</v>
      </c>
      <c r="AD87" s="200" t="s">
        <v>92</v>
      </c>
      <c r="AE87" s="200" t="s">
        <v>92</v>
      </c>
      <c r="AF87" s="200" t="s">
        <v>92</v>
      </c>
      <c r="AG87" s="200"/>
      <c r="AH87" s="200"/>
      <c r="AI87" s="218" t="s">
        <v>2894</v>
      </c>
      <c r="AJ87" s="256"/>
      <c r="AK87" s="203" t="s">
        <v>95</v>
      </c>
      <c r="AL87" s="242">
        <v>45420.0</v>
      </c>
      <c r="AM87" s="62" t="s">
        <v>95</v>
      </c>
      <c r="AN87" s="200" t="s">
        <v>93</v>
      </c>
      <c r="AO87" s="252" t="s">
        <v>178</v>
      </c>
      <c r="AP87" s="252" t="s">
        <v>115</v>
      </c>
      <c r="AQ87" s="252" t="s">
        <v>106</v>
      </c>
      <c r="AR87" s="252" t="s">
        <v>116</v>
      </c>
      <c r="AS87" s="253"/>
      <c r="AT87" s="253"/>
      <c r="AU87" s="254"/>
      <c r="AV87" s="254"/>
    </row>
    <row r="88" ht="15.75" customHeight="1">
      <c r="A88" s="11" t="s">
        <v>1769</v>
      </c>
      <c r="B88" s="203" t="s">
        <v>1768</v>
      </c>
      <c r="C88" s="246" t="s">
        <v>3948</v>
      </c>
      <c r="D88" s="237" t="s">
        <v>3256</v>
      </c>
      <c r="E88" s="200" t="s">
        <v>95</v>
      </c>
      <c r="F88" s="200" t="s">
        <v>95</v>
      </c>
      <c r="G88" s="200" t="s">
        <v>92</v>
      </c>
      <c r="H88" s="200" t="s">
        <v>92</v>
      </c>
      <c r="I88" s="200" t="s">
        <v>93</v>
      </c>
      <c r="J88" s="200">
        <v>2006.0</v>
      </c>
      <c r="K88" s="237" t="s">
        <v>3623</v>
      </c>
      <c r="L88" s="200" t="s">
        <v>3510</v>
      </c>
      <c r="M88" s="238">
        <v>2298.4</v>
      </c>
      <c r="N88" s="200" t="s">
        <v>92</v>
      </c>
      <c r="O88" s="201" t="s">
        <v>95</v>
      </c>
      <c r="P88" s="200" t="s">
        <v>92</v>
      </c>
      <c r="Q88" s="200" t="s">
        <v>92</v>
      </c>
      <c r="R88" s="200" t="s">
        <v>93</v>
      </c>
      <c r="S88" s="200" t="s">
        <v>93</v>
      </c>
      <c r="T88" s="200" t="s">
        <v>93</v>
      </c>
      <c r="U88" s="200" t="s">
        <v>93</v>
      </c>
      <c r="V88" s="200" t="s">
        <v>92</v>
      </c>
      <c r="W88" s="200" t="s">
        <v>93</v>
      </c>
      <c r="X88" s="200" t="s">
        <v>93</v>
      </c>
      <c r="Y88" s="203" t="s">
        <v>3557</v>
      </c>
      <c r="Z88" s="204" t="s">
        <v>95</v>
      </c>
      <c r="AA88" s="204" t="s">
        <v>95</v>
      </c>
      <c r="AB88" s="204" t="s">
        <v>95</v>
      </c>
      <c r="AC88" s="200" t="s">
        <v>92</v>
      </c>
      <c r="AD88" s="200" t="s">
        <v>92</v>
      </c>
      <c r="AE88" s="200" t="s">
        <v>92</v>
      </c>
      <c r="AF88" s="200" t="s">
        <v>92</v>
      </c>
      <c r="AG88" s="200"/>
      <c r="AH88" s="200"/>
      <c r="AI88" s="252" t="s">
        <v>1768</v>
      </c>
      <c r="AJ88" s="256"/>
      <c r="AK88" s="203" t="s">
        <v>95</v>
      </c>
      <c r="AL88" s="242">
        <v>45543.0</v>
      </c>
      <c r="AM88" s="62" t="s">
        <v>3878</v>
      </c>
      <c r="AN88" s="200" t="s">
        <v>92</v>
      </c>
      <c r="AO88" s="211" t="s">
        <v>129</v>
      </c>
      <c r="AP88" s="211" t="s">
        <v>1195</v>
      </c>
      <c r="AQ88" s="211" t="s">
        <v>3949</v>
      </c>
      <c r="AR88" s="219"/>
      <c r="AS88" s="253"/>
      <c r="AT88" s="253"/>
      <c r="AU88" s="254"/>
      <c r="AV88" s="254"/>
    </row>
    <row r="89" ht="15.75" customHeight="1">
      <c r="A89" s="11" t="s">
        <v>2313</v>
      </c>
      <c r="B89" s="203" t="s">
        <v>2312</v>
      </c>
      <c r="C89" s="233" t="s">
        <v>3950</v>
      </c>
      <c r="D89" s="237" t="s">
        <v>3256</v>
      </c>
      <c r="E89" s="200" t="s">
        <v>95</v>
      </c>
      <c r="F89" s="200" t="s">
        <v>95</v>
      </c>
      <c r="G89" s="200" t="s">
        <v>92</v>
      </c>
      <c r="H89" s="200" t="s">
        <v>92</v>
      </c>
      <c r="I89" s="200" t="s">
        <v>92</v>
      </c>
      <c r="J89" s="200">
        <v>1948.0</v>
      </c>
      <c r="K89" s="237" t="s">
        <v>3544</v>
      </c>
      <c r="L89" s="200" t="s">
        <v>3510</v>
      </c>
      <c r="M89" s="238">
        <v>1919.2</v>
      </c>
      <c r="N89" s="200" t="s">
        <v>92</v>
      </c>
      <c r="O89" s="201" t="s">
        <v>95</v>
      </c>
      <c r="P89" s="200" t="s">
        <v>93</v>
      </c>
      <c r="Q89" s="200" t="s">
        <v>92</v>
      </c>
      <c r="R89" s="200" t="s">
        <v>93</v>
      </c>
      <c r="S89" s="200" t="s">
        <v>93</v>
      </c>
      <c r="T89" s="200" t="s">
        <v>93</v>
      </c>
      <c r="U89" s="200" t="s">
        <v>93</v>
      </c>
      <c r="V89" s="200" t="s">
        <v>93</v>
      </c>
      <c r="W89" s="200" t="s">
        <v>92</v>
      </c>
      <c r="X89" s="200" t="s">
        <v>93</v>
      </c>
      <c r="Y89" s="203" t="s">
        <v>3951</v>
      </c>
      <c r="Z89" s="204" t="s">
        <v>95</v>
      </c>
      <c r="AA89" s="204" t="s">
        <v>95</v>
      </c>
      <c r="AB89" s="204" t="s">
        <v>95</v>
      </c>
      <c r="AC89" s="200" t="s">
        <v>92</v>
      </c>
      <c r="AD89" s="200" t="s">
        <v>92</v>
      </c>
      <c r="AE89" s="200" t="s">
        <v>92</v>
      </c>
      <c r="AF89" s="200" t="s">
        <v>92</v>
      </c>
      <c r="AG89" s="214"/>
      <c r="AH89" s="214"/>
      <c r="AI89" s="218" t="s">
        <v>2312</v>
      </c>
      <c r="AJ89" s="214"/>
      <c r="AK89" s="203" t="s">
        <v>95</v>
      </c>
      <c r="AL89" s="242">
        <v>45543.0</v>
      </c>
      <c r="AM89" s="62" t="s">
        <v>95</v>
      </c>
      <c r="AN89" s="200" t="s">
        <v>93</v>
      </c>
      <c r="AO89" s="211" t="s">
        <v>1189</v>
      </c>
      <c r="AP89" s="211" t="s">
        <v>129</v>
      </c>
      <c r="AQ89" s="211" t="s">
        <v>1195</v>
      </c>
      <c r="AR89" s="211" t="s">
        <v>660</v>
      </c>
      <c r="AS89" s="253"/>
      <c r="AT89" s="253"/>
      <c r="AU89" s="254"/>
      <c r="AV89" s="254"/>
    </row>
    <row r="90" ht="15.75" customHeight="1">
      <c r="A90" s="11" t="s">
        <v>2319</v>
      </c>
      <c r="B90" s="203" t="s">
        <v>2318</v>
      </c>
      <c r="C90" s="233" t="s">
        <v>3817</v>
      </c>
      <c r="D90" s="237" t="s">
        <v>3256</v>
      </c>
      <c r="E90" s="200" t="s">
        <v>95</v>
      </c>
      <c r="F90" s="200" t="s">
        <v>95</v>
      </c>
      <c r="G90" s="200" t="s">
        <v>92</v>
      </c>
      <c r="H90" s="200" t="s">
        <v>92</v>
      </c>
      <c r="I90" s="200" t="s">
        <v>93</v>
      </c>
      <c r="J90" s="200">
        <v>1956.0</v>
      </c>
      <c r="K90" s="200" t="s">
        <v>3520</v>
      </c>
      <c r="L90" s="200" t="s">
        <v>3510</v>
      </c>
      <c r="M90" s="238">
        <v>1699.2</v>
      </c>
      <c r="N90" s="200" t="s">
        <v>92</v>
      </c>
      <c r="O90" s="201" t="s">
        <v>95</v>
      </c>
      <c r="P90" s="200" t="s">
        <v>92</v>
      </c>
      <c r="Q90" s="200" t="s">
        <v>92</v>
      </c>
      <c r="R90" s="200" t="s">
        <v>92</v>
      </c>
      <c r="S90" s="200" t="s">
        <v>93</v>
      </c>
      <c r="T90" s="200" t="s">
        <v>93</v>
      </c>
      <c r="U90" s="200" t="s">
        <v>93</v>
      </c>
      <c r="V90" s="200" t="s">
        <v>92</v>
      </c>
      <c r="W90" s="200" t="s">
        <v>92</v>
      </c>
      <c r="X90" s="200" t="s">
        <v>93</v>
      </c>
      <c r="Y90" s="203">
        <v>2021.0</v>
      </c>
      <c r="Z90" s="204" t="s">
        <v>95</v>
      </c>
      <c r="AA90" s="204" t="s">
        <v>95</v>
      </c>
      <c r="AB90" s="204" t="s">
        <v>95</v>
      </c>
      <c r="AC90" s="200" t="s">
        <v>92</v>
      </c>
      <c r="AD90" s="200" t="s">
        <v>92</v>
      </c>
      <c r="AE90" s="200" t="s">
        <v>92</v>
      </c>
      <c r="AF90" s="200" t="s">
        <v>92</v>
      </c>
      <c r="AG90" s="214"/>
      <c r="AH90" s="214"/>
      <c r="AI90" s="218" t="s">
        <v>2318</v>
      </c>
      <c r="AJ90" s="214"/>
      <c r="AK90" s="203" t="s">
        <v>95</v>
      </c>
      <c r="AL90" s="242">
        <v>45543.0</v>
      </c>
      <c r="AM90" s="62" t="s">
        <v>95</v>
      </c>
      <c r="AN90" s="200" t="s">
        <v>93</v>
      </c>
      <c r="AO90" s="211" t="s">
        <v>1189</v>
      </c>
      <c r="AP90" s="211" t="s">
        <v>129</v>
      </c>
      <c r="AQ90" s="211" t="s">
        <v>1195</v>
      </c>
      <c r="AR90" s="211" t="s">
        <v>660</v>
      </c>
      <c r="AS90" s="253"/>
      <c r="AT90" s="253"/>
      <c r="AU90" s="254"/>
      <c r="AV90" s="254"/>
    </row>
    <row r="91" ht="15.75" customHeight="1">
      <c r="A91" s="11" t="s">
        <v>1945</v>
      </c>
      <c r="B91" s="203" t="s">
        <v>1944</v>
      </c>
      <c r="C91" s="233" t="s">
        <v>3952</v>
      </c>
      <c r="D91" s="237" t="s">
        <v>3256</v>
      </c>
      <c r="E91" s="200" t="s">
        <v>95</v>
      </c>
      <c r="F91" s="200" t="s">
        <v>95</v>
      </c>
      <c r="G91" s="200" t="s">
        <v>92</v>
      </c>
      <c r="H91" s="200" t="s">
        <v>93</v>
      </c>
      <c r="I91" s="200" t="s">
        <v>92</v>
      </c>
      <c r="J91" s="200">
        <v>1957.0</v>
      </c>
      <c r="K91" s="200" t="s">
        <v>3509</v>
      </c>
      <c r="L91" s="200" t="s">
        <v>3510</v>
      </c>
      <c r="M91" s="238">
        <v>1040.4</v>
      </c>
      <c r="N91" s="200" t="s">
        <v>92</v>
      </c>
      <c r="O91" s="201" t="s">
        <v>95</v>
      </c>
      <c r="P91" s="200" t="s">
        <v>93</v>
      </c>
      <c r="Q91" s="200" t="s">
        <v>93</v>
      </c>
      <c r="R91" s="200" t="s">
        <v>93</v>
      </c>
      <c r="S91" s="200" t="s">
        <v>93</v>
      </c>
      <c r="T91" s="200" t="s">
        <v>93</v>
      </c>
      <c r="U91" s="200" t="s">
        <v>93</v>
      </c>
      <c r="V91" s="200" t="s">
        <v>93</v>
      </c>
      <c r="W91" s="200" t="s">
        <v>92</v>
      </c>
      <c r="X91" s="200" t="s">
        <v>92</v>
      </c>
      <c r="Y91" s="203" t="s">
        <v>95</v>
      </c>
      <c r="Z91" s="204" t="s">
        <v>95</v>
      </c>
      <c r="AA91" s="204" t="s">
        <v>95</v>
      </c>
      <c r="AB91" s="204" t="s">
        <v>95</v>
      </c>
      <c r="AC91" s="200" t="s">
        <v>105</v>
      </c>
      <c r="AD91" s="200" t="s">
        <v>105</v>
      </c>
      <c r="AE91" s="200" t="s">
        <v>105</v>
      </c>
      <c r="AF91" s="200" t="s">
        <v>92</v>
      </c>
      <c r="AG91" s="214"/>
      <c r="AH91" s="214"/>
      <c r="AI91" s="218" t="s">
        <v>1944</v>
      </c>
      <c r="AJ91" s="214"/>
      <c r="AK91" s="203" t="s">
        <v>95</v>
      </c>
      <c r="AL91" s="242">
        <v>45512.0</v>
      </c>
      <c r="AM91" s="62" t="s">
        <v>3953</v>
      </c>
      <c r="AN91" s="200" t="s">
        <v>92</v>
      </c>
      <c r="AO91" s="252" t="s">
        <v>116</v>
      </c>
      <c r="AP91" s="219"/>
      <c r="AQ91" s="219"/>
      <c r="AR91" s="219"/>
      <c r="AS91" s="253"/>
      <c r="AT91" s="253"/>
      <c r="AU91" s="254"/>
      <c r="AV91" s="254"/>
    </row>
    <row r="92" ht="15.75" customHeight="1">
      <c r="A92" s="11" t="s">
        <v>1976</v>
      </c>
      <c r="B92" s="203" t="s">
        <v>1975</v>
      </c>
      <c r="C92" s="246" t="s">
        <v>3954</v>
      </c>
      <c r="D92" s="237" t="s">
        <v>3256</v>
      </c>
      <c r="E92" s="200" t="s">
        <v>95</v>
      </c>
      <c r="F92" s="200" t="s">
        <v>95</v>
      </c>
      <c r="G92" s="200" t="s">
        <v>92</v>
      </c>
      <c r="H92" s="200" t="s">
        <v>92</v>
      </c>
      <c r="I92" s="200" t="s">
        <v>92</v>
      </c>
      <c r="J92" s="200">
        <v>1964.0</v>
      </c>
      <c r="K92" s="200" t="s">
        <v>3520</v>
      </c>
      <c r="L92" s="200" t="s">
        <v>3510</v>
      </c>
      <c r="M92" s="238">
        <v>1191.4</v>
      </c>
      <c r="N92" s="200" t="s">
        <v>92</v>
      </c>
      <c r="O92" s="201" t="s">
        <v>95</v>
      </c>
      <c r="P92" s="200" t="s">
        <v>92</v>
      </c>
      <c r="Q92" s="200" t="s">
        <v>92</v>
      </c>
      <c r="R92" s="200" t="s">
        <v>92</v>
      </c>
      <c r="S92" s="200" t="s">
        <v>92</v>
      </c>
      <c r="T92" s="200" t="s">
        <v>93</v>
      </c>
      <c r="U92" s="200" t="s">
        <v>92</v>
      </c>
      <c r="V92" s="200" t="s">
        <v>92</v>
      </c>
      <c r="W92" s="200" t="s">
        <v>93</v>
      </c>
      <c r="X92" s="200" t="s">
        <v>93</v>
      </c>
      <c r="Y92" s="203" t="s">
        <v>3955</v>
      </c>
      <c r="Z92" s="204" t="s">
        <v>95</v>
      </c>
      <c r="AA92" s="204" t="s">
        <v>95</v>
      </c>
      <c r="AB92" s="204" t="s">
        <v>95</v>
      </c>
      <c r="AC92" s="200" t="s">
        <v>105</v>
      </c>
      <c r="AD92" s="200" t="s">
        <v>93</v>
      </c>
      <c r="AE92" s="200" t="s">
        <v>105</v>
      </c>
      <c r="AF92" s="200" t="s">
        <v>105</v>
      </c>
      <c r="AG92" s="214"/>
      <c r="AH92" s="214"/>
      <c r="AI92" s="218" t="s">
        <v>1975</v>
      </c>
      <c r="AJ92" s="214"/>
      <c r="AK92" s="203" t="s">
        <v>95</v>
      </c>
      <c r="AL92" s="242">
        <v>45512.0</v>
      </c>
      <c r="AM92" s="62" t="s">
        <v>3956</v>
      </c>
      <c r="AN92" s="200" t="s">
        <v>92</v>
      </c>
      <c r="AO92" s="211" t="s">
        <v>115</v>
      </c>
      <c r="AP92" s="219"/>
      <c r="AQ92" s="219"/>
      <c r="AR92" s="219"/>
      <c r="AS92" s="253"/>
      <c r="AT92" s="253"/>
      <c r="AU92" s="254"/>
      <c r="AV92" s="254"/>
    </row>
    <row r="93" ht="15.75" customHeight="1">
      <c r="A93" s="11" t="s">
        <v>1823</v>
      </c>
      <c r="B93" s="203" t="s">
        <v>1822</v>
      </c>
      <c r="C93" s="233" t="s">
        <v>3957</v>
      </c>
      <c r="D93" s="237" t="s">
        <v>3256</v>
      </c>
      <c r="E93" s="200" t="s">
        <v>95</v>
      </c>
      <c r="F93" s="200" t="s">
        <v>95</v>
      </c>
      <c r="G93" s="200" t="s">
        <v>92</v>
      </c>
      <c r="H93" s="200" t="s">
        <v>92</v>
      </c>
      <c r="I93" s="200" t="s">
        <v>92</v>
      </c>
      <c r="J93" s="200">
        <v>1966.0</v>
      </c>
      <c r="K93" s="200" t="s">
        <v>3605</v>
      </c>
      <c r="L93" s="200" t="s">
        <v>3510</v>
      </c>
      <c r="M93" s="238">
        <v>1276.3</v>
      </c>
      <c r="N93" s="200" t="s">
        <v>92</v>
      </c>
      <c r="O93" s="201" t="s">
        <v>95</v>
      </c>
      <c r="P93" s="200" t="s">
        <v>92</v>
      </c>
      <c r="Q93" s="200" t="s">
        <v>92</v>
      </c>
      <c r="R93" s="200" t="s">
        <v>93</v>
      </c>
      <c r="S93" s="200" t="s">
        <v>92</v>
      </c>
      <c r="T93" s="200" t="s">
        <v>93</v>
      </c>
      <c r="U93" s="200" t="s">
        <v>92</v>
      </c>
      <c r="V93" s="200" t="s">
        <v>92</v>
      </c>
      <c r="W93" s="200" t="s">
        <v>92</v>
      </c>
      <c r="X93" s="200" t="s">
        <v>92</v>
      </c>
      <c r="Y93" s="203" t="s">
        <v>95</v>
      </c>
      <c r="Z93" s="204" t="s">
        <v>95</v>
      </c>
      <c r="AA93" s="204" t="s">
        <v>3958</v>
      </c>
      <c r="AB93" s="204" t="s">
        <v>3959</v>
      </c>
      <c r="AC93" s="200" t="s">
        <v>105</v>
      </c>
      <c r="AD93" s="200" t="s">
        <v>105</v>
      </c>
      <c r="AE93" s="200" t="s">
        <v>105</v>
      </c>
      <c r="AF93" s="200" t="s">
        <v>105</v>
      </c>
      <c r="AG93" s="214"/>
      <c r="AH93" s="214"/>
      <c r="AI93" s="218" t="s">
        <v>1822</v>
      </c>
      <c r="AJ93" s="214"/>
      <c r="AK93" s="203" t="s">
        <v>95</v>
      </c>
      <c r="AL93" s="242">
        <v>45634.0</v>
      </c>
      <c r="AM93" s="62" t="s">
        <v>3935</v>
      </c>
      <c r="AN93" s="200" t="s">
        <v>92</v>
      </c>
      <c r="AO93" s="211" t="s">
        <v>1828</v>
      </c>
      <c r="AP93" s="211" t="s">
        <v>3960</v>
      </c>
      <c r="AQ93" s="219"/>
      <c r="AR93" s="219"/>
      <c r="AS93" s="253"/>
      <c r="AT93" s="253"/>
      <c r="AU93" s="254"/>
      <c r="AV93" s="254"/>
    </row>
    <row r="94" ht="15.75" customHeight="1">
      <c r="A94" s="11" t="s">
        <v>1783</v>
      </c>
      <c r="B94" s="203" t="s">
        <v>1782</v>
      </c>
      <c r="C94" s="233" t="s">
        <v>3961</v>
      </c>
      <c r="D94" s="237" t="s">
        <v>3256</v>
      </c>
      <c r="E94" s="200" t="s">
        <v>95</v>
      </c>
      <c r="F94" s="200" t="s">
        <v>95</v>
      </c>
      <c r="G94" s="201"/>
      <c r="H94" s="200" t="s">
        <v>92</v>
      </c>
      <c r="I94" s="200" t="s">
        <v>92</v>
      </c>
      <c r="J94" s="200">
        <v>1963.0</v>
      </c>
      <c r="K94" s="200" t="s">
        <v>3739</v>
      </c>
      <c r="L94" s="200" t="s">
        <v>3510</v>
      </c>
      <c r="M94" s="238">
        <v>1325.1</v>
      </c>
      <c r="N94" s="200" t="s">
        <v>93</v>
      </c>
      <c r="O94" s="201" t="s">
        <v>3962</v>
      </c>
      <c r="P94" s="200" t="s">
        <v>92</v>
      </c>
      <c r="Q94" s="200" t="s">
        <v>92</v>
      </c>
      <c r="R94" s="200" t="s">
        <v>92</v>
      </c>
      <c r="S94" s="200" t="s">
        <v>92</v>
      </c>
      <c r="T94" s="200" t="s">
        <v>93</v>
      </c>
      <c r="U94" s="200" t="s">
        <v>93</v>
      </c>
      <c r="V94" s="200" t="s">
        <v>92</v>
      </c>
      <c r="W94" s="200" t="s">
        <v>92</v>
      </c>
      <c r="X94" s="200" t="s">
        <v>92</v>
      </c>
      <c r="Y94" s="203" t="s">
        <v>95</v>
      </c>
      <c r="Z94" s="204" t="s">
        <v>95</v>
      </c>
      <c r="AA94" s="204" t="s">
        <v>95</v>
      </c>
      <c r="AB94" s="204" t="s">
        <v>95</v>
      </c>
      <c r="AC94" s="200" t="s">
        <v>92</v>
      </c>
      <c r="AD94" s="200" t="s">
        <v>92</v>
      </c>
      <c r="AE94" s="200" t="s">
        <v>105</v>
      </c>
      <c r="AF94" s="200" t="s">
        <v>92</v>
      </c>
      <c r="AG94" s="214"/>
      <c r="AH94" s="214"/>
      <c r="AI94" s="218" t="s">
        <v>1782</v>
      </c>
      <c r="AJ94" s="214"/>
      <c r="AK94" s="218" t="s">
        <v>3962</v>
      </c>
      <c r="AL94" s="242">
        <v>45634.0</v>
      </c>
      <c r="AM94" s="62" t="s">
        <v>3963</v>
      </c>
      <c r="AN94" s="200" t="s">
        <v>92</v>
      </c>
      <c r="AO94" s="211" t="s">
        <v>1788</v>
      </c>
      <c r="AP94" s="211" t="s">
        <v>442</v>
      </c>
      <c r="AQ94" s="219"/>
      <c r="AR94" s="219"/>
      <c r="AS94" s="253"/>
      <c r="AT94" s="253"/>
      <c r="AU94" s="254"/>
      <c r="AV94" s="254"/>
    </row>
    <row r="95" ht="15.75" customHeight="1">
      <c r="A95" s="11" t="s">
        <v>2031</v>
      </c>
      <c r="B95" s="203" t="s">
        <v>2030</v>
      </c>
      <c r="C95" s="233" t="s">
        <v>3964</v>
      </c>
      <c r="D95" s="237" t="s">
        <v>3256</v>
      </c>
      <c r="E95" s="200" t="s">
        <v>95</v>
      </c>
      <c r="F95" s="200" t="s">
        <v>95</v>
      </c>
      <c r="G95" s="200" t="s">
        <v>92</v>
      </c>
      <c r="H95" s="200" t="s">
        <v>92</v>
      </c>
      <c r="I95" s="200" t="s">
        <v>93</v>
      </c>
      <c r="J95" s="200">
        <v>1954.0</v>
      </c>
      <c r="K95" s="200" t="s">
        <v>3544</v>
      </c>
      <c r="L95" s="200" t="s">
        <v>3890</v>
      </c>
      <c r="M95" s="238">
        <v>1292.3</v>
      </c>
      <c r="N95" s="200" t="s">
        <v>92</v>
      </c>
      <c r="O95" s="201" t="s">
        <v>95</v>
      </c>
      <c r="P95" s="200" t="s">
        <v>92</v>
      </c>
      <c r="Q95" s="200" t="s">
        <v>93</v>
      </c>
      <c r="R95" s="200" t="s">
        <v>93</v>
      </c>
      <c r="S95" s="200" t="s">
        <v>93</v>
      </c>
      <c r="T95" s="200" t="s">
        <v>93</v>
      </c>
      <c r="U95" s="200" t="s">
        <v>92</v>
      </c>
      <c r="V95" s="200" t="s">
        <v>92</v>
      </c>
      <c r="W95" s="200" t="s">
        <v>92</v>
      </c>
      <c r="X95" s="200" t="s">
        <v>92</v>
      </c>
      <c r="Y95" s="203" t="s">
        <v>95</v>
      </c>
      <c r="Z95" s="204" t="s">
        <v>3819</v>
      </c>
      <c r="AA95" s="204" t="s">
        <v>3965</v>
      </c>
      <c r="AB95" s="204" t="s">
        <v>3966</v>
      </c>
      <c r="AC95" s="200" t="s">
        <v>105</v>
      </c>
      <c r="AD95" s="200" t="s">
        <v>105</v>
      </c>
      <c r="AE95" s="200" t="s">
        <v>92</v>
      </c>
      <c r="AF95" s="200" t="s">
        <v>105</v>
      </c>
      <c r="AG95" s="214"/>
      <c r="AH95" s="214"/>
      <c r="AI95" s="218" t="s">
        <v>2030</v>
      </c>
      <c r="AJ95" s="214"/>
      <c r="AK95" s="203" t="s">
        <v>95</v>
      </c>
      <c r="AL95" s="203" t="s">
        <v>3967</v>
      </c>
      <c r="AM95" s="62" t="s">
        <v>3968</v>
      </c>
      <c r="AN95" s="200" t="s">
        <v>92</v>
      </c>
      <c r="AO95" s="211" t="s">
        <v>106</v>
      </c>
      <c r="AP95" s="211" t="s">
        <v>116</v>
      </c>
      <c r="AQ95" s="219"/>
      <c r="AR95" s="219"/>
      <c r="AS95" s="253"/>
      <c r="AT95" s="253"/>
      <c r="AU95" s="254"/>
      <c r="AV95" s="254"/>
    </row>
    <row r="96" ht="15.75" customHeight="1">
      <c r="A96" s="11" t="s">
        <v>1063</v>
      </c>
      <c r="B96" s="203" t="s">
        <v>1062</v>
      </c>
      <c r="C96" s="233" t="s">
        <v>3969</v>
      </c>
      <c r="D96" s="237" t="s">
        <v>87</v>
      </c>
      <c r="E96" s="200" t="s">
        <v>95</v>
      </c>
      <c r="F96" s="200" t="s">
        <v>95</v>
      </c>
      <c r="G96" s="200" t="s">
        <v>92</v>
      </c>
      <c r="H96" s="200" t="s">
        <v>93</v>
      </c>
      <c r="I96" s="200" t="s">
        <v>92</v>
      </c>
      <c r="J96" s="200">
        <v>1971.0</v>
      </c>
      <c r="K96" s="200" t="s">
        <v>3544</v>
      </c>
      <c r="L96" s="200" t="s">
        <v>3510</v>
      </c>
      <c r="M96" s="238">
        <v>4282.7</v>
      </c>
      <c r="N96" s="200" t="s">
        <v>92</v>
      </c>
      <c r="O96" s="201" t="s">
        <v>95</v>
      </c>
      <c r="P96" s="200" t="s">
        <v>93</v>
      </c>
      <c r="Q96" s="200" t="s">
        <v>92</v>
      </c>
      <c r="R96" s="200" t="s">
        <v>93</v>
      </c>
      <c r="S96" s="200" t="s">
        <v>93</v>
      </c>
      <c r="T96" s="200" t="s">
        <v>93</v>
      </c>
      <c r="U96" s="200" t="s">
        <v>93</v>
      </c>
      <c r="V96" s="200" t="s">
        <v>92</v>
      </c>
      <c r="W96" s="200" t="s">
        <v>92</v>
      </c>
      <c r="X96" s="200" t="s">
        <v>92</v>
      </c>
      <c r="Y96" s="203" t="s">
        <v>95</v>
      </c>
      <c r="Z96" s="204" t="s">
        <v>95</v>
      </c>
      <c r="AA96" s="204" t="s">
        <v>95</v>
      </c>
      <c r="AB96" s="204" t="s">
        <v>95</v>
      </c>
      <c r="AC96" s="200" t="s">
        <v>92</v>
      </c>
      <c r="AD96" s="200" t="s">
        <v>92</v>
      </c>
      <c r="AE96" s="200" t="s">
        <v>92</v>
      </c>
      <c r="AF96" s="200" t="s">
        <v>92</v>
      </c>
      <c r="AG96" s="214"/>
      <c r="AH96" s="214"/>
      <c r="AI96" s="218" t="s">
        <v>1062</v>
      </c>
      <c r="AJ96" s="214"/>
      <c r="AK96" s="203" t="s">
        <v>95</v>
      </c>
      <c r="AL96" s="203" t="s">
        <v>3970</v>
      </c>
      <c r="AM96" s="62" t="s">
        <v>95</v>
      </c>
      <c r="AN96" s="200" t="s">
        <v>93</v>
      </c>
      <c r="AO96" s="211" t="s">
        <v>178</v>
      </c>
      <c r="AP96" s="211" t="s">
        <v>115</v>
      </c>
      <c r="AQ96" s="211" t="s">
        <v>106</v>
      </c>
      <c r="AR96" s="211" t="s">
        <v>116</v>
      </c>
      <c r="AS96" s="253"/>
      <c r="AT96" s="253"/>
      <c r="AU96" s="254"/>
      <c r="AV96" s="254"/>
    </row>
    <row r="97" ht="15.75" customHeight="1">
      <c r="A97" s="11" t="s">
        <v>1158</v>
      </c>
      <c r="B97" s="203" t="s">
        <v>1157</v>
      </c>
      <c r="C97" s="233" t="s">
        <v>3971</v>
      </c>
      <c r="D97" s="237" t="s">
        <v>87</v>
      </c>
      <c r="E97" s="200" t="s">
        <v>95</v>
      </c>
      <c r="F97" s="200" t="s">
        <v>95</v>
      </c>
      <c r="G97" s="200" t="s">
        <v>92</v>
      </c>
      <c r="H97" s="200" t="s">
        <v>93</v>
      </c>
      <c r="I97" s="200" t="s">
        <v>92</v>
      </c>
      <c r="J97" s="200">
        <v>1957.0</v>
      </c>
      <c r="K97" s="200" t="s">
        <v>3509</v>
      </c>
      <c r="L97" s="200" t="s">
        <v>3510</v>
      </c>
      <c r="M97" s="238">
        <v>3535.7</v>
      </c>
      <c r="N97" s="200" t="s">
        <v>92</v>
      </c>
      <c r="O97" s="201" t="s">
        <v>95</v>
      </c>
      <c r="P97" s="200" t="s">
        <v>93</v>
      </c>
      <c r="Q97" s="200" t="s">
        <v>93</v>
      </c>
      <c r="R97" s="200" t="s">
        <v>93</v>
      </c>
      <c r="S97" s="200" t="s">
        <v>92</v>
      </c>
      <c r="T97" s="200" t="s">
        <v>93</v>
      </c>
      <c r="U97" s="200" t="s">
        <v>93</v>
      </c>
      <c r="V97" s="200" t="s">
        <v>93</v>
      </c>
      <c r="W97" s="200" t="s">
        <v>92</v>
      </c>
      <c r="X97" s="200" t="s">
        <v>92</v>
      </c>
      <c r="Y97" s="203" t="s">
        <v>95</v>
      </c>
      <c r="Z97" s="204" t="s">
        <v>95</v>
      </c>
      <c r="AA97" s="204" t="s">
        <v>95</v>
      </c>
      <c r="AB97" s="204" t="s">
        <v>95</v>
      </c>
      <c r="AC97" s="200" t="s">
        <v>105</v>
      </c>
      <c r="AD97" s="200" t="s">
        <v>105</v>
      </c>
      <c r="AE97" s="200" t="s">
        <v>105</v>
      </c>
      <c r="AF97" s="200" t="s">
        <v>92</v>
      </c>
      <c r="AG97" s="214"/>
      <c r="AH97" s="214"/>
      <c r="AI97" s="218" t="s">
        <v>1157</v>
      </c>
      <c r="AJ97" s="214"/>
      <c r="AK97" s="203" t="s">
        <v>95</v>
      </c>
      <c r="AL97" s="203" t="s">
        <v>3970</v>
      </c>
      <c r="AM97" s="62" t="s">
        <v>3972</v>
      </c>
      <c r="AN97" s="200" t="s">
        <v>92</v>
      </c>
      <c r="AO97" s="211" t="s">
        <v>116</v>
      </c>
      <c r="AP97" s="219"/>
      <c r="AQ97" s="219"/>
      <c r="AR97" s="219"/>
      <c r="AS97" s="253"/>
      <c r="AT97" s="253"/>
      <c r="AU97" s="254"/>
      <c r="AV97" s="254"/>
    </row>
    <row r="98" ht="15.75" customHeight="1">
      <c r="A98" s="11" t="s">
        <v>2009</v>
      </c>
      <c r="B98" s="203" t="s">
        <v>2008</v>
      </c>
      <c r="C98" s="233" t="s">
        <v>3950</v>
      </c>
      <c r="D98" s="237" t="s">
        <v>3256</v>
      </c>
      <c r="E98" s="200" t="s">
        <v>95</v>
      </c>
      <c r="F98" s="200" t="s">
        <v>95</v>
      </c>
      <c r="G98" s="200" t="s">
        <v>92</v>
      </c>
      <c r="H98" s="200" t="s">
        <v>93</v>
      </c>
      <c r="I98" s="200" t="s">
        <v>93</v>
      </c>
      <c r="J98" s="200">
        <v>1977.0</v>
      </c>
      <c r="K98" s="257" t="s">
        <v>3605</v>
      </c>
      <c r="L98" s="200" t="s">
        <v>3510</v>
      </c>
      <c r="M98" s="258">
        <v>4808.1</v>
      </c>
      <c r="N98" s="200" t="s">
        <v>92</v>
      </c>
      <c r="O98" s="200" t="s">
        <v>95</v>
      </c>
      <c r="P98" s="200" t="s">
        <v>93</v>
      </c>
      <c r="Q98" s="200" t="s">
        <v>93</v>
      </c>
      <c r="R98" s="200" t="s">
        <v>93</v>
      </c>
      <c r="S98" s="200" t="s">
        <v>93</v>
      </c>
      <c r="T98" s="200" t="s">
        <v>93</v>
      </c>
      <c r="U98" s="200" t="s">
        <v>93</v>
      </c>
      <c r="V98" s="200" t="s">
        <v>92</v>
      </c>
      <c r="W98" s="200" t="s">
        <v>92</v>
      </c>
      <c r="X98" s="200" t="s">
        <v>93</v>
      </c>
      <c r="Y98" s="203" t="s">
        <v>3920</v>
      </c>
      <c r="Z98" s="204" t="s">
        <v>95</v>
      </c>
      <c r="AA98" s="204" t="s">
        <v>3973</v>
      </c>
      <c r="AB98" s="204" t="s">
        <v>3974</v>
      </c>
      <c r="AC98" s="200" t="s">
        <v>92</v>
      </c>
      <c r="AD98" s="200" t="s">
        <v>92</v>
      </c>
      <c r="AE98" s="200" t="s">
        <v>92</v>
      </c>
      <c r="AF98" s="200" t="s">
        <v>92</v>
      </c>
      <c r="AG98" s="214"/>
      <c r="AH98" s="214"/>
      <c r="AI98" s="218" t="s">
        <v>2008</v>
      </c>
      <c r="AJ98" s="214"/>
      <c r="AK98" s="203" t="s">
        <v>95</v>
      </c>
      <c r="AL98" s="203" t="s">
        <v>3975</v>
      </c>
      <c r="AM98" s="62" t="s">
        <v>95</v>
      </c>
      <c r="AN98" s="200" t="s">
        <v>93</v>
      </c>
      <c r="AO98" s="211" t="s">
        <v>178</v>
      </c>
      <c r="AP98" s="211" t="s">
        <v>115</v>
      </c>
      <c r="AQ98" s="211" t="s">
        <v>106</v>
      </c>
      <c r="AR98" s="211" t="s">
        <v>1371</v>
      </c>
      <c r="AS98" s="211" t="s">
        <v>2013</v>
      </c>
      <c r="AT98" s="253"/>
      <c r="AU98" s="254"/>
      <c r="AV98" s="254"/>
    </row>
    <row r="99" ht="15.75" customHeight="1">
      <c r="A99" s="11" t="s">
        <v>1985</v>
      </c>
      <c r="B99" s="203" t="s">
        <v>1984</v>
      </c>
      <c r="C99" s="233" t="s">
        <v>3976</v>
      </c>
      <c r="D99" s="237" t="s">
        <v>3256</v>
      </c>
      <c r="E99" s="200" t="s">
        <v>95</v>
      </c>
      <c r="F99" s="200" t="s">
        <v>95</v>
      </c>
      <c r="G99" s="200" t="s">
        <v>92</v>
      </c>
      <c r="H99" s="200" t="s">
        <v>92</v>
      </c>
      <c r="I99" s="200" t="s">
        <v>92</v>
      </c>
      <c r="J99" s="200">
        <v>1992.0</v>
      </c>
      <c r="K99" s="200" t="s">
        <v>3520</v>
      </c>
      <c r="L99" s="200" t="s">
        <v>3510</v>
      </c>
      <c r="M99" s="238">
        <v>3574.4</v>
      </c>
      <c r="N99" s="200" t="s">
        <v>92</v>
      </c>
      <c r="O99" s="201" t="s">
        <v>95</v>
      </c>
      <c r="P99" s="200" t="s">
        <v>93</v>
      </c>
      <c r="Q99" s="200" t="s">
        <v>92</v>
      </c>
      <c r="R99" s="200" t="s">
        <v>93</v>
      </c>
      <c r="S99" s="200" t="s">
        <v>93</v>
      </c>
      <c r="T99" s="200" t="s">
        <v>93</v>
      </c>
      <c r="U99" s="200" t="s">
        <v>93</v>
      </c>
      <c r="V99" s="200" t="s">
        <v>93</v>
      </c>
      <c r="W99" s="200" t="s">
        <v>92</v>
      </c>
      <c r="X99" s="200" t="s">
        <v>93</v>
      </c>
      <c r="Y99" s="203" t="s">
        <v>3532</v>
      </c>
      <c r="Z99" s="204" t="s">
        <v>3977</v>
      </c>
      <c r="AA99" s="204" t="s">
        <v>3978</v>
      </c>
      <c r="AB99" s="204" t="s">
        <v>3979</v>
      </c>
      <c r="AC99" s="200" t="s">
        <v>105</v>
      </c>
      <c r="AD99" s="200" t="s">
        <v>93</v>
      </c>
      <c r="AE99" s="200" t="s">
        <v>93</v>
      </c>
      <c r="AF99" s="200" t="s">
        <v>93</v>
      </c>
      <c r="AG99" s="214"/>
      <c r="AH99" s="214"/>
      <c r="AI99" s="218" t="s">
        <v>1984</v>
      </c>
      <c r="AJ99" s="214"/>
      <c r="AK99" s="203" t="s">
        <v>95</v>
      </c>
      <c r="AL99" s="203" t="s">
        <v>3970</v>
      </c>
      <c r="AM99" s="62" t="s">
        <v>3980</v>
      </c>
      <c r="AN99" s="200" t="s">
        <v>92</v>
      </c>
      <c r="AO99" s="211" t="s">
        <v>115</v>
      </c>
      <c r="AP99" s="211" t="s">
        <v>106</v>
      </c>
      <c r="AQ99" s="211" t="s">
        <v>116</v>
      </c>
      <c r="AR99" s="219"/>
      <c r="AS99" s="253"/>
      <c r="AT99" s="253"/>
      <c r="AU99" s="254"/>
      <c r="AV99" s="254"/>
    </row>
    <row r="100" ht="15.75" customHeight="1">
      <c r="A100" s="214"/>
      <c r="B100" s="203"/>
      <c r="C100" s="198"/>
      <c r="D100" s="199"/>
      <c r="E100" s="254"/>
      <c r="F100" s="254"/>
      <c r="G100" s="201"/>
      <c r="H100" s="200"/>
      <c r="I100" s="200"/>
      <c r="J100" s="200"/>
      <c r="K100" s="259"/>
      <c r="L100" s="200"/>
      <c r="M100" s="260"/>
      <c r="N100" s="200"/>
      <c r="O100" s="254"/>
      <c r="P100" s="201"/>
      <c r="Q100" s="201"/>
      <c r="R100" s="201"/>
      <c r="S100" s="201"/>
      <c r="T100" s="201"/>
      <c r="U100" s="201"/>
      <c r="V100" s="201"/>
      <c r="W100" s="201"/>
      <c r="X100" s="201"/>
      <c r="Y100" s="261"/>
      <c r="Z100" s="205"/>
      <c r="AA100" s="262"/>
      <c r="AB100" s="263"/>
      <c r="AC100" s="201"/>
      <c r="AD100" s="201"/>
      <c r="AE100" s="201"/>
      <c r="AF100" s="201"/>
      <c r="AG100" s="214"/>
      <c r="AH100" s="214"/>
      <c r="AI100" s="261"/>
      <c r="AJ100" s="214"/>
      <c r="AK100" s="261"/>
      <c r="AL100" s="197"/>
      <c r="AM100" s="264"/>
      <c r="AN100" s="200"/>
      <c r="AO100" s="265"/>
      <c r="AP100" s="265"/>
      <c r="AQ100" s="265"/>
      <c r="AR100" s="265"/>
      <c r="AS100" s="265"/>
      <c r="AT100" s="265"/>
      <c r="AU100" s="265"/>
      <c r="AV100" s="265"/>
    </row>
    <row r="101" ht="15.75" customHeight="1">
      <c r="A101" s="214"/>
      <c r="B101" s="197"/>
      <c r="C101" s="198"/>
      <c r="D101" s="199"/>
      <c r="E101" s="254"/>
      <c r="F101" s="254"/>
      <c r="G101" s="201"/>
      <c r="H101" s="200"/>
      <c r="I101" s="200"/>
      <c r="J101" s="200"/>
      <c r="K101" s="259"/>
      <c r="L101" s="200"/>
      <c r="M101" s="260"/>
      <c r="N101" s="200"/>
      <c r="O101" s="254"/>
      <c r="P101" s="201"/>
      <c r="Q101" s="201"/>
      <c r="R101" s="201"/>
      <c r="S101" s="201"/>
      <c r="T101" s="201"/>
      <c r="U101" s="201"/>
      <c r="V101" s="201"/>
      <c r="W101" s="201"/>
      <c r="X101" s="201"/>
      <c r="Y101" s="261"/>
      <c r="Z101" s="205"/>
      <c r="AA101" s="262"/>
      <c r="AB101" s="263"/>
      <c r="AC101" s="201"/>
      <c r="AD101" s="201"/>
      <c r="AE101" s="201"/>
      <c r="AF101" s="201"/>
      <c r="AG101" s="214"/>
      <c r="AH101" s="214"/>
      <c r="AI101" s="261"/>
      <c r="AJ101" s="214"/>
      <c r="AK101" s="261"/>
      <c r="AL101" s="197"/>
      <c r="AM101" s="264"/>
      <c r="AN101" s="200"/>
      <c r="AO101" s="219"/>
      <c r="AP101" s="219"/>
      <c r="AQ101" s="219"/>
      <c r="AR101" s="219"/>
      <c r="AS101" s="253"/>
      <c r="AT101" s="253"/>
      <c r="AU101" s="254"/>
      <c r="AV101" s="254"/>
    </row>
    <row r="102" ht="15.75" customHeight="1">
      <c r="A102" s="214"/>
      <c r="B102" s="197"/>
      <c r="C102" s="198"/>
      <c r="D102" s="199"/>
      <c r="E102" s="254"/>
      <c r="F102" s="254"/>
      <c r="G102" s="201"/>
      <c r="H102" s="200"/>
      <c r="I102" s="200"/>
      <c r="J102" s="200"/>
      <c r="K102" s="259"/>
      <c r="L102" s="200"/>
      <c r="M102" s="260"/>
      <c r="N102" s="200"/>
      <c r="O102" s="254"/>
      <c r="P102" s="201"/>
      <c r="Q102" s="201"/>
      <c r="R102" s="201"/>
      <c r="S102" s="201"/>
      <c r="T102" s="201"/>
      <c r="U102" s="201"/>
      <c r="V102" s="201"/>
      <c r="W102" s="201"/>
      <c r="X102" s="201"/>
      <c r="Y102" s="261"/>
      <c r="Z102" s="262"/>
      <c r="AA102" s="262"/>
      <c r="AB102" s="263"/>
      <c r="AC102" s="201"/>
      <c r="AD102" s="201"/>
      <c r="AE102" s="201"/>
      <c r="AF102" s="201"/>
      <c r="AG102" s="214"/>
      <c r="AH102" s="214"/>
      <c r="AI102" s="261"/>
      <c r="AJ102" s="214"/>
      <c r="AK102" s="261"/>
      <c r="AL102" s="197"/>
      <c r="AM102" s="264"/>
      <c r="AN102" s="200"/>
      <c r="AO102" s="219"/>
      <c r="AP102" s="219"/>
      <c r="AQ102" s="219"/>
      <c r="AR102" s="219"/>
      <c r="AS102" s="253"/>
      <c r="AT102" s="253"/>
      <c r="AU102" s="254"/>
      <c r="AV102" s="254"/>
    </row>
    <row r="103" ht="15.75" customHeight="1">
      <c r="A103" s="214"/>
      <c r="B103" s="197"/>
      <c r="C103" s="198"/>
      <c r="D103" s="199"/>
      <c r="E103" s="254"/>
      <c r="F103" s="254"/>
      <c r="G103" s="201"/>
      <c r="H103" s="200"/>
      <c r="I103" s="200"/>
      <c r="J103" s="254"/>
      <c r="K103" s="259"/>
      <c r="L103" s="200"/>
      <c r="M103" s="260"/>
      <c r="N103" s="200"/>
      <c r="O103" s="254"/>
      <c r="P103" s="201"/>
      <c r="Q103" s="201"/>
      <c r="R103" s="201"/>
      <c r="S103" s="201"/>
      <c r="T103" s="201"/>
      <c r="U103" s="201"/>
      <c r="V103" s="201"/>
      <c r="W103" s="201"/>
      <c r="X103" s="201"/>
      <c r="Y103" s="261"/>
      <c r="Z103" s="262"/>
      <c r="AA103" s="262"/>
      <c r="AB103" s="263"/>
      <c r="AC103" s="201"/>
      <c r="AD103" s="201"/>
      <c r="AE103" s="201"/>
      <c r="AF103" s="201"/>
      <c r="AG103" s="214"/>
      <c r="AH103" s="214"/>
      <c r="AI103" s="261"/>
      <c r="AJ103" s="214"/>
      <c r="AK103" s="261"/>
      <c r="AL103" s="197"/>
      <c r="AM103" s="264"/>
      <c r="AN103" s="200"/>
      <c r="AO103" s="219"/>
      <c r="AP103" s="219"/>
      <c r="AQ103" s="219"/>
      <c r="AR103" s="219"/>
      <c r="AS103" s="253"/>
      <c r="AT103" s="253"/>
      <c r="AU103" s="254"/>
      <c r="AV103" s="254"/>
    </row>
    <row r="104" ht="15.75" customHeight="1">
      <c r="A104" s="214"/>
      <c r="B104" s="197"/>
      <c r="C104" s="198"/>
      <c r="D104" s="199"/>
      <c r="E104" s="254"/>
      <c r="F104" s="254"/>
      <c r="G104" s="201"/>
      <c r="H104" s="200"/>
      <c r="I104" s="200"/>
      <c r="J104" s="254"/>
      <c r="K104" s="259"/>
      <c r="L104" s="200"/>
      <c r="M104" s="260"/>
      <c r="N104" s="200"/>
      <c r="O104" s="254"/>
      <c r="P104" s="201"/>
      <c r="Q104" s="201"/>
      <c r="R104" s="201"/>
      <c r="S104" s="201"/>
      <c r="T104" s="201"/>
      <c r="U104" s="201"/>
      <c r="V104" s="201"/>
      <c r="W104" s="201"/>
      <c r="X104" s="201"/>
      <c r="Y104" s="261"/>
      <c r="Z104" s="262"/>
      <c r="AA104" s="262"/>
      <c r="AB104" s="263"/>
      <c r="AC104" s="201"/>
      <c r="AD104" s="201"/>
      <c r="AE104" s="201"/>
      <c r="AF104" s="201"/>
      <c r="AG104" s="214"/>
      <c r="AH104" s="214"/>
      <c r="AI104" s="261"/>
      <c r="AJ104" s="214"/>
      <c r="AK104" s="261"/>
      <c r="AL104" s="197"/>
      <c r="AM104" s="264"/>
      <c r="AN104" s="200"/>
      <c r="AO104" s="219"/>
      <c r="AP104" s="219"/>
      <c r="AQ104" s="219"/>
      <c r="AR104" s="219"/>
      <c r="AS104" s="253"/>
      <c r="AT104" s="253"/>
      <c r="AU104" s="254"/>
      <c r="AV104" s="254"/>
    </row>
    <row r="105" ht="15.75" customHeight="1">
      <c r="A105" s="214"/>
      <c r="B105" s="197"/>
      <c r="C105" s="198"/>
      <c r="D105" s="199"/>
      <c r="E105" s="254"/>
      <c r="F105" s="254"/>
      <c r="G105" s="201"/>
      <c r="H105" s="200"/>
      <c r="I105" s="200"/>
      <c r="J105" s="254"/>
      <c r="K105" s="259"/>
      <c r="L105" s="254"/>
      <c r="M105" s="260"/>
      <c r="N105" s="200"/>
      <c r="O105" s="254"/>
      <c r="P105" s="201"/>
      <c r="Q105" s="201"/>
      <c r="R105" s="201"/>
      <c r="S105" s="201"/>
      <c r="T105" s="201"/>
      <c r="U105" s="201"/>
      <c r="V105" s="201"/>
      <c r="W105" s="201"/>
      <c r="X105" s="201"/>
      <c r="Y105" s="261"/>
      <c r="Z105" s="262"/>
      <c r="AA105" s="262"/>
      <c r="AB105" s="263"/>
      <c r="AC105" s="201"/>
      <c r="AD105" s="201"/>
      <c r="AE105" s="201"/>
      <c r="AF105" s="201"/>
      <c r="AG105" s="214"/>
      <c r="AH105" s="214"/>
      <c r="AI105" s="261"/>
      <c r="AJ105" s="214"/>
      <c r="AK105" s="261"/>
      <c r="AL105" s="197"/>
      <c r="AM105" s="264"/>
      <c r="AN105" s="200"/>
      <c r="AO105" s="219"/>
      <c r="AP105" s="219"/>
      <c r="AQ105" s="219"/>
      <c r="AR105" s="219"/>
      <c r="AS105" s="253"/>
      <c r="AT105" s="253"/>
      <c r="AU105" s="254"/>
      <c r="AV105" s="254"/>
    </row>
    <row r="106" ht="15.75" customHeight="1">
      <c r="A106" s="214"/>
      <c r="B106" s="197"/>
      <c r="C106" s="198"/>
      <c r="D106" s="199"/>
      <c r="E106" s="254"/>
      <c r="F106" s="254"/>
      <c r="G106" s="201"/>
      <c r="H106" s="200"/>
      <c r="I106" s="200"/>
      <c r="J106" s="254"/>
      <c r="K106" s="259"/>
      <c r="L106" s="254"/>
      <c r="M106" s="260"/>
      <c r="N106" s="200"/>
      <c r="O106" s="254"/>
      <c r="P106" s="201"/>
      <c r="Q106" s="201"/>
      <c r="R106" s="201"/>
      <c r="S106" s="201"/>
      <c r="T106" s="201"/>
      <c r="U106" s="201"/>
      <c r="V106" s="201"/>
      <c r="W106" s="201"/>
      <c r="X106" s="201"/>
      <c r="Y106" s="261"/>
      <c r="Z106" s="262"/>
      <c r="AA106" s="262"/>
      <c r="AB106" s="263"/>
      <c r="AC106" s="201"/>
      <c r="AD106" s="201"/>
      <c r="AE106" s="201"/>
      <c r="AF106" s="201"/>
      <c r="AG106" s="214"/>
      <c r="AH106" s="214"/>
      <c r="AI106" s="261"/>
      <c r="AJ106" s="214"/>
      <c r="AK106" s="261"/>
      <c r="AL106" s="197"/>
      <c r="AM106" s="264"/>
      <c r="AN106" s="200"/>
      <c r="AO106" s="219"/>
      <c r="AP106" s="219"/>
      <c r="AQ106" s="219"/>
      <c r="AR106" s="219"/>
      <c r="AS106" s="253"/>
      <c r="AT106" s="253"/>
      <c r="AU106" s="254"/>
      <c r="AV106" s="254"/>
    </row>
    <row r="107" ht="15.75" customHeight="1">
      <c r="A107" s="214"/>
      <c r="B107" s="197"/>
      <c r="C107" s="198"/>
      <c r="D107" s="199"/>
      <c r="E107" s="254"/>
      <c r="F107" s="254"/>
      <c r="G107" s="201"/>
      <c r="H107" s="200"/>
      <c r="I107" s="200"/>
      <c r="J107" s="254"/>
      <c r="K107" s="259"/>
      <c r="L107" s="254"/>
      <c r="M107" s="260"/>
      <c r="N107" s="200"/>
      <c r="O107" s="254"/>
      <c r="P107" s="201"/>
      <c r="Q107" s="201"/>
      <c r="R107" s="201"/>
      <c r="S107" s="201"/>
      <c r="T107" s="201"/>
      <c r="U107" s="201"/>
      <c r="V107" s="201"/>
      <c r="W107" s="201"/>
      <c r="X107" s="201"/>
      <c r="Y107" s="261"/>
      <c r="Z107" s="262"/>
      <c r="AA107" s="262"/>
      <c r="AB107" s="263"/>
      <c r="AC107" s="201"/>
      <c r="AD107" s="201"/>
      <c r="AE107" s="201"/>
      <c r="AF107" s="201"/>
      <c r="AG107" s="214"/>
      <c r="AH107" s="214"/>
      <c r="AI107" s="261"/>
      <c r="AJ107" s="214"/>
      <c r="AK107" s="261"/>
      <c r="AL107" s="197"/>
      <c r="AM107" s="264"/>
      <c r="AN107" s="200"/>
      <c r="AO107" s="219"/>
      <c r="AP107" s="219"/>
      <c r="AQ107" s="219"/>
      <c r="AR107" s="219"/>
      <c r="AS107" s="253"/>
      <c r="AT107" s="253"/>
      <c r="AU107" s="254"/>
      <c r="AV107" s="254"/>
    </row>
    <row r="108" ht="15.75" customHeight="1">
      <c r="A108" s="214"/>
      <c r="B108" s="197"/>
      <c r="C108" s="198"/>
      <c r="D108" s="199"/>
      <c r="E108" s="254"/>
      <c r="F108" s="254"/>
      <c r="G108" s="201"/>
      <c r="H108" s="200"/>
      <c r="I108" s="200"/>
      <c r="J108" s="254"/>
      <c r="K108" s="259"/>
      <c r="L108" s="254"/>
      <c r="M108" s="260"/>
      <c r="N108" s="200"/>
      <c r="O108" s="254"/>
      <c r="P108" s="201"/>
      <c r="Q108" s="201"/>
      <c r="R108" s="201"/>
      <c r="S108" s="201"/>
      <c r="T108" s="201"/>
      <c r="U108" s="201"/>
      <c r="V108" s="201"/>
      <c r="W108" s="201"/>
      <c r="X108" s="201"/>
      <c r="Y108" s="261"/>
      <c r="Z108" s="262"/>
      <c r="AA108" s="262"/>
      <c r="AB108" s="263"/>
      <c r="AC108" s="201"/>
      <c r="AD108" s="201"/>
      <c r="AE108" s="201"/>
      <c r="AF108" s="201"/>
      <c r="AG108" s="214"/>
      <c r="AH108" s="214"/>
      <c r="AI108" s="261"/>
      <c r="AJ108" s="214"/>
      <c r="AK108" s="261"/>
      <c r="AL108" s="197"/>
      <c r="AM108" s="264"/>
      <c r="AN108" s="200"/>
      <c r="AO108" s="219"/>
      <c r="AP108" s="219"/>
      <c r="AQ108" s="219"/>
      <c r="AR108" s="219"/>
      <c r="AS108" s="253"/>
      <c r="AT108" s="253"/>
      <c r="AU108" s="254"/>
      <c r="AV108" s="254"/>
    </row>
    <row r="109" ht="15.75" customHeight="1">
      <c r="A109" s="214"/>
      <c r="B109" s="197"/>
      <c r="C109" s="198"/>
      <c r="D109" s="199"/>
      <c r="E109" s="254"/>
      <c r="F109" s="254"/>
      <c r="G109" s="201"/>
      <c r="H109" s="200"/>
      <c r="I109" s="200"/>
      <c r="J109" s="254"/>
      <c r="K109" s="259"/>
      <c r="L109" s="254"/>
      <c r="M109" s="260"/>
      <c r="N109" s="200"/>
      <c r="O109" s="254"/>
      <c r="P109" s="201"/>
      <c r="Q109" s="201"/>
      <c r="R109" s="201"/>
      <c r="S109" s="201"/>
      <c r="T109" s="201"/>
      <c r="U109" s="201"/>
      <c r="V109" s="201"/>
      <c r="W109" s="201"/>
      <c r="X109" s="201"/>
      <c r="Y109" s="261"/>
      <c r="Z109" s="262"/>
      <c r="AA109" s="262"/>
      <c r="AB109" s="263"/>
      <c r="AC109" s="201"/>
      <c r="AD109" s="201"/>
      <c r="AE109" s="201"/>
      <c r="AF109" s="201"/>
      <c r="AG109" s="214"/>
      <c r="AH109" s="214"/>
      <c r="AI109" s="261"/>
      <c r="AJ109" s="214"/>
      <c r="AK109" s="261"/>
      <c r="AL109" s="197"/>
      <c r="AM109" s="264"/>
      <c r="AN109" s="200"/>
      <c r="AO109" s="219"/>
      <c r="AP109" s="219"/>
      <c r="AQ109" s="219"/>
      <c r="AR109" s="219"/>
      <c r="AS109" s="253"/>
      <c r="AT109" s="253"/>
      <c r="AU109" s="254"/>
      <c r="AV109" s="254"/>
    </row>
    <row r="110" ht="15.75" customHeight="1">
      <c r="A110" s="214"/>
      <c r="B110" s="197"/>
      <c r="C110" s="198"/>
      <c r="D110" s="199"/>
      <c r="E110" s="254"/>
      <c r="F110" s="254"/>
      <c r="G110" s="201"/>
      <c r="H110" s="200"/>
      <c r="I110" s="200"/>
      <c r="J110" s="254"/>
      <c r="K110" s="259"/>
      <c r="L110" s="254"/>
      <c r="M110" s="260"/>
      <c r="N110" s="200"/>
      <c r="O110" s="254"/>
      <c r="P110" s="201"/>
      <c r="Q110" s="201"/>
      <c r="R110" s="201"/>
      <c r="S110" s="201"/>
      <c r="T110" s="201"/>
      <c r="U110" s="201"/>
      <c r="V110" s="201"/>
      <c r="W110" s="201"/>
      <c r="X110" s="201"/>
      <c r="Y110" s="261"/>
      <c r="Z110" s="262"/>
      <c r="AA110" s="262"/>
      <c r="AB110" s="263"/>
      <c r="AC110" s="201"/>
      <c r="AD110" s="201"/>
      <c r="AE110" s="201"/>
      <c r="AF110" s="201"/>
      <c r="AG110" s="214"/>
      <c r="AH110" s="214"/>
      <c r="AI110" s="261"/>
      <c r="AJ110" s="214"/>
      <c r="AK110" s="261"/>
      <c r="AL110" s="197"/>
      <c r="AM110" s="264"/>
      <c r="AN110" s="200"/>
      <c r="AO110" s="219"/>
      <c r="AP110" s="219"/>
      <c r="AQ110" s="219"/>
      <c r="AR110" s="219"/>
      <c r="AS110" s="253"/>
      <c r="AT110" s="253"/>
      <c r="AU110" s="254"/>
      <c r="AV110" s="254"/>
    </row>
    <row r="111" ht="15.75" customHeight="1">
      <c r="A111" s="214"/>
      <c r="B111" s="197"/>
      <c r="C111" s="198"/>
      <c r="D111" s="199"/>
      <c r="E111" s="254"/>
      <c r="F111" s="254"/>
      <c r="G111" s="201"/>
      <c r="H111" s="200"/>
      <c r="I111" s="200"/>
      <c r="J111" s="254"/>
      <c r="K111" s="259"/>
      <c r="L111" s="254"/>
      <c r="M111" s="260"/>
      <c r="N111" s="200"/>
      <c r="O111" s="254"/>
      <c r="P111" s="201"/>
      <c r="Q111" s="201"/>
      <c r="R111" s="201"/>
      <c r="S111" s="201"/>
      <c r="T111" s="201"/>
      <c r="U111" s="201"/>
      <c r="V111" s="201"/>
      <c r="W111" s="201"/>
      <c r="X111" s="201"/>
      <c r="Y111" s="261"/>
      <c r="Z111" s="262"/>
      <c r="AA111" s="262"/>
      <c r="AB111" s="263"/>
      <c r="AC111" s="201"/>
      <c r="AD111" s="201"/>
      <c r="AE111" s="201"/>
      <c r="AF111" s="201"/>
      <c r="AG111" s="214"/>
      <c r="AH111" s="214"/>
      <c r="AI111" s="261"/>
      <c r="AJ111" s="214"/>
      <c r="AK111" s="261"/>
      <c r="AL111" s="197"/>
      <c r="AM111" s="264"/>
      <c r="AN111" s="200"/>
      <c r="AO111" s="219"/>
      <c r="AP111" s="219"/>
      <c r="AQ111" s="219"/>
      <c r="AR111" s="219"/>
      <c r="AS111" s="253"/>
      <c r="AT111" s="253"/>
      <c r="AU111" s="254"/>
      <c r="AV111" s="254"/>
    </row>
    <row r="112" ht="15.75" customHeight="1">
      <c r="A112" s="214"/>
      <c r="B112" s="197"/>
      <c r="C112" s="198"/>
      <c r="D112" s="199"/>
      <c r="E112" s="254"/>
      <c r="F112" s="254"/>
      <c r="G112" s="201"/>
      <c r="H112" s="200"/>
      <c r="I112" s="200"/>
      <c r="J112" s="254"/>
      <c r="K112" s="259"/>
      <c r="L112" s="254"/>
      <c r="M112" s="260"/>
      <c r="N112" s="200"/>
      <c r="O112" s="254"/>
      <c r="P112" s="201"/>
      <c r="Q112" s="201"/>
      <c r="R112" s="201"/>
      <c r="S112" s="201"/>
      <c r="T112" s="201"/>
      <c r="U112" s="201"/>
      <c r="V112" s="201"/>
      <c r="W112" s="201"/>
      <c r="X112" s="201"/>
      <c r="Y112" s="261"/>
      <c r="Z112" s="262"/>
      <c r="AA112" s="262"/>
      <c r="AB112" s="263"/>
      <c r="AC112" s="201"/>
      <c r="AD112" s="201"/>
      <c r="AE112" s="201"/>
      <c r="AF112" s="201"/>
      <c r="AG112" s="214"/>
      <c r="AH112" s="214"/>
      <c r="AI112" s="261"/>
      <c r="AJ112" s="214"/>
      <c r="AK112" s="261"/>
      <c r="AL112" s="197"/>
      <c r="AM112" s="264"/>
      <c r="AN112" s="200"/>
      <c r="AO112" s="219"/>
      <c r="AP112" s="219"/>
      <c r="AQ112" s="219"/>
      <c r="AR112" s="219"/>
      <c r="AS112" s="253"/>
      <c r="AT112" s="253"/>
      <c r="AU112" s="254"/>
      <c r="AV112" s="254"/>
    </row>
    <row r="113" ht="15.75" customHeight="1">
      <c r="A113" s="214"/>
      <c r="B113" s="197"/>
      <c r="C113" s="198"/>
      <c r="D113" s="199"/>
      <c r="E113" s="254"/>
      <c r="F113" s="254"/>
      <c r="G113" s="201"/>
      <c r="H113" s="200"/>
      <c r="I113" s="200"/>
      <c r="J113" s="254"/>
      <c r="K113" s="259"/>
      <c r="L113" s="254"/>
      <c r="M113" s="260"/>
      <c r="N113" s="200"/>
      <c r="O113" s="254"/>
      <c r="P113" s="201"/>
      <c r="Q113" s="201"/>
      <c r="R113" s="201"/>
      <c r="S113" s="201"/>
      <c r="T113" s="201"/>
      <c r="U113" s="201"/>
      <c r="V113" s="201"/>
      <c r="W113" s="201"/>
      <c r="X113" s="201"/>
      <c r="Y113" s="261"/>
      <c r="Z113" s="262"/>
      <c r="AA113" s="262"/>
      <c r="AB113" s="263"/>
      <c r="AC113" s="201"/>
      <c r="AD113" s="201"/>
      <c r="AE113" s="201"/>
      <c r="AF113" s="201"/>
      <c r="AG113" s="214"/>
      <c r="AH113" s="214"/>
      <c r="AI113" s="261"/>
      <c r="AJ113" s="214"/>
      <c r="AK113" s="261"/>
      <c r="AL113" s="197"/>
      <c r="AM113" s="264"/>
      <c r="AN113" s="200"/>
      <c r="AO113" s="219"/>
      <c r="AP113" s="219"/>
      <c r="AQ113" s="219"/>
      <c r="AR113" s="219"/>
      <c r="AS113" s="253"/>
      <c r="AT113" s="253"/>
      <c r="AU113" s="254"/>
      <c r="AV113" s="254"/>
    </row>
    <row r="114" ht="15.75" customHeight="1">
      <c r="A114" s="214"/>
      <c r="B114" s="197"/>
      <c r="C114" s="198"/>
      <c r="D114" s="199"/>
      <c r="E114" s="254"/>
      <c r="F114" s="254"/>
      <c r="G114" s="201"/>
      <c r="H114" s="200"/>
      <c r="I114" s="200"/>
      <c r="J114" s="254"/>
      <c r="K114" s="259"/>
      <c r="L114" s="254"/>
      <c r="M114" s="260"/>
      <c r="N114" s="200"/>
      <c r="O114" s="254"/>
      <c r="P114" s="201"/>
      <c r="Q114" s="201"/>
      <c r="R114" s="201"/>
      <c r="S114" s="201"/>
      <c r="T114" s="201"/>
      <c r="U114" s="201"/>
      <c r="V114" s="201"/>
      <c r="W114" s="201"/>
      <c r="X114" s="201"/>
      <c r="Y114" s="261"/>
      <c r="Z114" s="262"/>
      <c r="AA114" s="262"/>
      <c r="AB114" s="263"/>
      <c r="AC114" s="201"/>
      <c r="AD114" s="201"/>
      <c r="AE114" s="201"/>
      <c r="AF114" s="201"/>
      <c r="AG114" s="214"/>
      <c r="AH114" s="214"/>
      <c r="AI114" s="261"/>
      <c r="AJ114" s="214"/>
      <c r="AK114" s="261"/>
      <c r="AL114" s="197"/>
      <c r="AM114" s="264"/>
      <c r="AN114" s="200"/>
      <c r="AO114" s="219"/>
      <c r="AP114" s="219"/>
      <c r="AQ114" s="219"/>
      <c r="AR114" s="219"/>
      <c r="AS114" s="253"/>
      <c r="AT114" s="253"/>
      <c r="AU114" s="254"/>
      <c r="AV114" s="254"/>
    </row>
    <row r="115" ht="15.75" customHeight="1">
      <c r="A115" s="214"/>
      <c r="B115" s="197"/>
      <c r="C115" s="198"/>
      <c r="D115" s="199"/>
      <c r="E115" s="254"/>
      <c r="F115" s="254"/>
      <c r="G115" s="201"/>
      <c r="H115" s="200"/>
      <c r="I115" s="200"/>
      <c r="J115" s="254"/>
      <c r="K115" s="259"/>
      <c r="L115" s="254"/>
      <c r="M115" s="260"/>
      <c r="N115" s="200"/>
      <c r="O115" s="254"/>
      <c r="P115" s="201"/>
      <c r="Q115" s="201"/>
      <c r="R115" s="201"/>
      <c r="S115" s="201"/>
      <c r="T115" s="201"/>
      <c r="U115" s="201"/>
      <c r="V115" s="201"/>
      <c r="W115" s="201"/>
      <c r="X115" s="201"/>
      <c r="Y115" s="261"/>
      <c r="Z115" s="262"/>
      <c r="AA115" s="262"/>
      <c r="AB115" s="263"/>
      <c r="AC115" s="201"/>
      <c r="AD115" s="201"/>
      <c r="AE115" s="201"/>
      <c r="AF115" s="201"/>
      <c r="AG115" s="214"/>
      <c r="AH115" s="214"/>
      <c r="AI115" s="261"/>
      <c r="AJ115" s="214"/>
      <c r="AK115" s="261"/>
      <c r="AL115" s="197"/>
      <c r="AM115" s="264"/>
      <c r="AN115" s="200"/>
      <c r="AO115" s="219"/>
      <c r="AP115" s="219"/>
      <c r="AQ115" s="219"/>
      <c r="AR115" s="219"/>
      <c r="AS115" s="253"/>
      <c r="AT115" s="253"/>
      <c r="AU115" s="254"/>
      <c r="AV115" s="254"/>
    </row>
    <row r="116" ht="15.75" customHeight="1">
      <c r="A116" s="214"/>
      <c r="B116" s="197"/>
      <c r="C116" s="198"/>
      <c r="D116" s="199"/>
      <c r="E116" s="254"/>
      <c r="F116" s="254"/>
      <c r="G116" s="201"/>
      <c r="H116" s="200"/>
      <c r="I116" s="200"/>
      <c r="J116" s="254"/>
      <c r="K116" s="259"/>
      <c r="L116" s="254"/>
      <c r="M116" s="260"/>
      <c r="N116" s="200"/>
      <c r="O116" s="254"/>
      <c r="P116" s="201"/>
      <c r="Q116" s="201"/>
      <c r="R116" s="201"/>
      <c r="S116" s="201"/>
      <c r="T116" s="201"/>
      <c r="U116" s="201"/>
      <c r="V116" s="201"/>
      <c r="W116" s="201"/>
      <c r="X116" s="201"/>
      <c r="Y116" s="261"/>
      <c r="Z116" s="262"/>
      <c r="AA116" s="262"/>
      <c r="AB116" s="263"/>
      <c r="AC116" s="201"/>
      <c r="AD116" s="201"/>
      <c r="AE116" s="201"/>
      <c r="AF116" s="201"/>
      <c r="AG116" s="214"/>
      <c r="AH116" s="214"/>
      <c r="AI116" s="261"/>
      <c r="AJ116" s="214"/>
      <c r="AK116" s="261"/>
      <c r="AL116" s="197"/>
      <c r="AM116" s="264"/>
      <c r="AN116" s="200"/>
      <c r="AO116" s="219"/>
      <c r="AP116" s="219"/>
      <c r="AQ116" s="219"/>
      <c r="AR116" s="219"/>
      <c r="AS116" s="253"/>
      <c r="AT116" s="253"/>
      <c r="AU116" s="254"/>
      <c r="AV116" s="254"/>
    </row>
    <row r="117" ht="15.75" customHeight="1">
      <c r="A117" s="214"/>
      <c r="B117" s="197"/>
      <c r="C117" s="198"/>
      <c r="D117" s="199"/>
      <c r="E117" s="254"/>
      <c r="F117" s="254"/>
      <c r="G117" s="201"/>
      <c r="H117" s="200"/>
      <c r="I117" s="200"/>
      <c r="J117" s="254"/>
      <c r="K117" s="259"/>
      <c r="L117" s="254"/>
      <c r="M117" s="260"/>
      <c r="N117" s="200"/>
      <c r="O117" s="254"/>
      <c r="P117" s="201"/>
      <c r="Q117" s="201"/>
      <c r="R117" s="201"/>
      <c r="S117" s="201"/>
      <c r="T117" s="201"/>
      <c r="U117" s="201"/>
      <c r="V117" s="201"/>
      <c r="W117" s="201"/>
      <c r="X117" s="201"/>
      <c r="Y117" s="261"/>
      <c r="Z117" s="262"/>
      <c r="AA117" s="262"/>
      <c r="AB117" s="263"/>
      <c r="AC117" s="201"/>
      <c r="AD117" s="201"/>
      <c r="AE117" s="201"/>
      <c r="AF117" s="201"/>
      <c r="AG117" s="214"/>
      <c r="AH117" s="214"/>
      <c r="AI117" s="261"/>
      <c r="AJ117" s="214"/>
      <c r="AK117" s="261"/>
      <c r="AL117" s="197"/>
      <c r="AM117" s="264"/>
      <c r="AN117" s="200"/>
      <c r="AO117" s="219"/>
      <c r="AP117" s="219"/>
      <c r="AQ117" s="219"/>
      <c r="AR117" s="219"/>
      <c r="AS117" s="253"/>
      <c r="AT117" s="253"/>
      <c r="AU117" s="254"/>
      <c r="AV117" s="254"/>
    </row>
    <row r="118" ht="15.75" customHeight="1">
      <c r="A118" s="214"/>
      <c r="B118" s="197"/>
      <c r="C118" s="198"/>
      <c r="D118" s="199"/>
      <c r="E118" s="254"/>
      <c r="F118" s="254"/>
      <c r="G118" s="201"/>
      <c r="H118" s="200"/>
      <c r="I118" s="200"/>
      <c r="J118" s="254"/>
      <c r="K118" s="259"/>
      <c r="L118" s="254"/>
      <c r="M118" s="260"/>
      <c r="N118" s="200"/>
      <c r="O118" s="254"/>
      <c r="P118" s="201"/>
      <c r="Q118" s="201"/>
      <c r="R118" s="201"/>
      <c r="S118" s="201"/>
      <c r="T118" s="201"/>
      <c r="U118" s="201"/>
      <c r="V118" s="201"/>
      <c r="W118" s="201"/>
      <c r="X118" s="201"/>
      <c r="Y118" s="261"/>
      <c r="Z118" s="262"/>
      <c r="AA118" s="262"/>
      <c r="AB118" s="263"/>
      <c r="AC118" s="201"/>
      <c r="AD118" s="201"/>
      <c r="AE118" s="201"/>
      <c r="AF118" s="201"/>
      <c r="AG118" s="214"/>
      <c r="AH118" s="214"/>
      <c r="AI118" s="261"/>
      <c r="AJ118" s="214"/>
      <c r="AK118" s="261"/>
      <c r="AL118" s="197"/>
      <c r="AM118" s="264"/>
      <c r="AN118" s="200"/>
      <c r="AO118" s="219"/>
      <c r="AP118" s="219"/>
      <c r="AQ118" s="219"/>
      <c r="AR118" s="219"/>
      <c r="AS118" s="253"/>
      <c r="AT118" s="253"/>
      <c r="AU118" s="254"/>
      <c r="AV118" s="254"/>
    </row>
    <row r="119" ht="15.75" customHeight="1">
      <c r="A119" s="214"/>
      <c r="B119" s="197"/>
      <c r="C119" s="198"/>
      <c r="D119" s="199"/>
      <c r="E119" s="254"/>
      <c r="F119" s="254"/>
      <c r="G119" s="201"/>
      <c r="H119" s="200"/>
      <c r="I119" s="200"/>
      <c r="J119" s="254"/>
      <c r="K119" s="259"/>
      <c r="L119" s="254"/>
      <c r="M119" s="260"/>
      <c r="N119" s="200"/>
      <c r="O119" s="254"/>
      <c r="P119" s="201"/>
      <c r="Q119" s="201"/>
      <c r="R119" s="201"/>
      <c r="S119" s="201"/>
      <c r="T119" s="201"/>
      <c r="U119" s="201"/>
      <c r="V119" s="201"/>
      <c r="W119" s="201"/>
      <c r="X119" s="201"/>
      <c r="Y119" s="261"/>
      <c r="Z119" s="262"/>
      <c r="AA119" s="262"/>
      <c r="AB119" s="263"/>
      <c r="AC119" s="201"/>
      <c r="AD119" s="201"/>
      <c r="AE119" s="201"/>
      <c r="AF119" s="201"/>
      <c r="AG119" s="214"/>
      <c r="AH119" s="214"/>
      <c r="AI119" s="261"/>
      <c r="AJ119" s="214"/>
      <c r="AK119" s="261"/>
      <c r="AL119" s="197"/>
      <c r="AM119" s="264"/>
      <c r="AN119" s="200"/>
      <c r="AO119" s="219"/>
      <c r="AP119" s="219"/>
      <c r="AQ119" s="219"/>
      <c r="AR119" s="219"/>
      <c r="AS119" s="253"/>
      <c r="AT119" s="253"/>
      <c r="AU119" s="254"/>
      <c r="AV119" s="254"/>
    </row>
    <row r="120" ht="15.75" customHeight="1">
      <c r="A120" s="214"/>
      <c r="B120" s="197"/>
      <c r="C120" s="198"/>
      <c r="D120" s="199"/>
      <c r="E120" s="254"/>
      <c r="F120" s="254"/>
      <c r="G120" s="201"/>
      <c r="H120" s="200"/>
      <c r="I120" s="200"/>
      <c r="J120" s="254"/>
      <c r="K120" s="259"/>
      <c r="L120" s="254"/>
      <c r="M120" s="260"/>
      <c r="N120" s="200"/>
      <c r="O120" s="254"/>
      <c r="P120" s="201"/>
      <c r="Q120" s="201"/>
      <c r="R120" s="201"/>
      <c r="S120" s="201"/>
      <c r="T120" s="201"/>
      <c r="U120" s="201"/>
      <c r="V120" s="201"/>
      <c r="W120" s="201"/>
      <c r="X120" s="201"/>
      <c r="Y120" s="261"/>
      <c r="Z120" s="262"/>
      <c r="AA120" s="262"/>
      <c r="AB120" s="263"/>
      <c r="AC120" s="201"/>
      <c r="AD120" s="201"/>
      <c r="AE120" s="201"/>
      <c r="AF120" s="201"/>
      <c r="AG120" s="214"/>
      <c r="AH120" s="214"/>
      <c r="AI120" s="261"/>
      <c r="AJ120" s="214"/>
      <c r="AK120" s="261"/>
      <c r="AL120" s="197"/>
      <c r="AM120" s="264"/>
      <c r="AN120" s="200"/>
      <c r="AO120" s="219"/>
      <c r="AP120" s="219"/>
      <c r="AQ120" s="219"/>
      <c r="AR120" s="219"/>
      <c r="AS120" s="253"/>
      <c r="AT120" s="253"/>
      <c r="AU120" s="254"/>
      <c r="AV120" s="254"/>
    </row>
    <row r="121" ht="15.75" customHeight="1">
      <c r="A121" s="214"/>
      <c r="B121" s="197"/>
      <c r="C121" s="198"/>
      <c r="D121" s="199"/>
      <c r="E121" s="254"/>
      <c r="F121" s="254"/>
      <c r="G121" s="201"/>
      <c r="H121" s="200"/>
      <c r="I121" s="200"/>
      <c r="J121" s="254"/>
      <c r="K121" s="259"/>
      <c r="L121" s="254"/>
      <c r="M121" s="260"/>
      <c r="N121" s="200"/>
      <c r="O121" s="254"/>
      <c r="P121" s="201"/>
      <c r="Q121" s="201"/>
      <c r="R121" s="201"/>
      <c r="S121" s="201"/>
      <c r="T121" s="201"/>
      <c r="U121" s="201"/>
      <c r="V121" s="201"/>
      <c r="W121" s="201"/>
      <c r="X121" s="201"/>
      <c r="Y121" s="261"/>
      <c r="Z121" s="262"/>
      <c r="AA121" s="262"/>
      <c r="AB121" s="263"/>
      <c r="AC121" s="201"/>
      <c r="AD121" s="201"/>
      <c r="AE121" s="201"/>
      <c r="AF121" s="201"/>
      <c r="AG121" s="214"/>
      <c r="AH121" s="214"/>
      <c r="AI121" s="261"/>
      <c r="AJ121" s="214"/>
      <c r="AK121" s="261"/>
      <c r="AL121" s="197"/>
      <c r="AM121" s="264"/>
      <c r="AN121" s="200"/>
      <c r="AO121" s="219"/>
      <c r="AP121" s="219"/>
      <c r="AQ121" s="219"/>
      <c r="AR121" s="219"/>
      <c r="AS121" s="253"/>
      <c r="AT121" s="253"/>
      <c r="AU121" s="254"/>
      <c r="AV121" s="254"/>
    </row>
    <row r="122" ht="15.75" customHeight="1">
      <c r="A122" s="214"/>
      <c r="B122" s="197"/>
      <c r="C122" s="198"/>
      <c r="D122" s="199"/>
      <c r="E122" s="254"/>
      <c r="F122" s="254"/>
      <c r="G122" s="201"/>
      <c r="H122" s="200"/>
      <c r="I122" s="200"/>
      <c r="J122" s="254"/>
      <c r="K122" s="259"/>
      <c r="L122" s="254"/>
      <c r="M122" s="260"/>
      <c r="N122" s="200"/>
      <c r="O122" s="254"/>
      <c r="P122" s="201"/>
      <c r="Q122" s="201"/>
      <c r="R122" s="201"/>
      <c r="S122" s="201"/>
      <c r="T122" s="201"/>
      <c r="U122" s="201"/>
      <c r="V122" s="201"/>
      <c r="W122" s="201"/>
      <c r="X122" s="201"/>
      <c r="Y122" s="261"/>
      <c r="Z122" s="262"/>
      <c r="AA122" s="262"/>
      <c r="AB122" s="263"/>
      <c r="AC122" s="201"/>
      <c r="AD122" s="201"/>
      <c r="AE122" s="201"/>
      <c r="AF122" s="201"/>
      <c r="AG122" s="214"/>
      <c r="AH122" s="214"/>
      <c r="AI122" s="261"/>
      <c r="AJ122" s="214"/>
      <c r="AK122" s="261"/>
      <c r="AL122" s="197"/>
      <c r="AM122" s="264"/>
      <c r="AN122" s="200"/>
      <c r="AO122" s="219"/>
      <c r="AP122" s="219"/>
      <c r="AQ122" s="219"/>
      <c r="AR122" s="219"/>
      <c r="AS122" s="253"/>
      <c r="AT122" s="253"/>
      <c r="AU122" s="254"/>
      <c r="AV122" s="254"/>
    </row>
    <row r="123" ht="15.75" customHeight="1">
      <c r="A123" s="214"/>
      <c r="B123" s="197"/>
      <c r="C123" s="198"/>
      <c r="D123" s="199"/>
      <c r="E123" s="254"/>
      <c r="F123" s="254"/>
      <c r="G123" s="201"/>
      <c r="H123" s="200"/>
      <c r="I123" s="200"/>
      <c r="J123" s="254"/>
      <c r="K123" s="259"/>
      <c r="L123" s="254"/>
      <c r="M123" s="260"/>
      <c r="N123" s="200"/>
      <c r="O123" s="254"/>
      <c r="P123" s="201"/>
      <c r="Q123" s="201"/>
      <c r="R123" s="201"/>
      <c r="S123" s="201"/>
      <c r="T123" s="201"/>
      <c r="U123" s="201"/>
      <c r="V123" s="201"/>
      <c r="W123" s="201"/>
      <c r="X123" s="201"/>
      <c r="Y123" s="261"/>
      <c r="Z123" s="262"/>
      <c r="AA123" s="262"/>
      <c r="AB123" s="263"/>
      <c r="AC123" s="201"/>
      <c r="AD123" s="201"/>
      <c r="AE123" s="201"/>
      <c r="AF123" s="201"/>
      <c r="AG123" s="214"/>
      <c r="AH123" s="214"/>
      <c r="AI123" s="261"/>
      <c r="AJ123" s="214"/>
      <c r="AK123" s="261"/>
      <c r="AL123" s="197"/>
      <c r="AM123" s="264"/>
      <c r="AN123" s="200"/>
      <c r="AO123" s="219"/>
      <c r="AP123" s="219"/>
      <c r="AQ123" s="219"/>
      <c r="AR123" s="219"/>
      <c r="AS123" s="253"/>
      <c r="AT123" s="253"/>
      <c r="AU123" s="254"/>
      <c r="AV123" s="254"/>
    </row>
    <row r="124" ht="15.75" customHeight="1">
      <c r="A124" s="214"/>
      <c r="B124" s="197"/>
      <c r="C124" s="198"/>
      <c r="D124" s="199"/>
      <c r="E124" s="254"/>
      <c r="F124" s="254"/>
      <c r="G124" s="201"/>
      <c r="H124" s="200"/>
      <c r="I124" s="200"/>
      <c r="J124" s="254"/>
      <c r="K124" s="259"/>
      <c r="L124" s="254"/>
      <c r="M124" s="260"/>
      <c r="N124" s="200"/>
      <c r="O124" s="254"/>
      <c r="P124" s="201"/>
      <c r="Q124" s="201"/>
      <c r="R124" s="201"/>
      <c r="S124" s="201"/>
      <c r="T124" s="201"/>
      <c r="U124" s="201"/>
      <c r="V124" s="201"/>
      <c r="W124" s="201"/>
      <c r="X124" s="201"/>
      <c r="Y124" s="261"/>
      <c r="Z124" s="262"/>
      <c r="AA124" s="262"/>
      <c r="AB124" s="263"/>
      <c r="AC124" s="201"/>
      <c r="AD124" s="201"/>
      <c r="AE124" s="201"/>
      <c r="AF124" s="201"/>
      <c r="AG124" s="214"/>
      <c r="AH124" s="214"/>
      <c r="AI124" s="261"/>
      <c r="AJ124" s="214"/>
      <c r="AK124" s="261"/>
      <c r="AL124" s="197"/>
      <c r="AM124" s="264"/>
      <c r="AN124" s="200"/>
      <c r="AO124" s="219"/>
      <c r="AP124" s="219"/>
      <c r="AQ124" s="219"/>
      <c r="AR124" s="219"/>
      <c r="AS124" s="253"/>
      <c r="AT124" s="253"/>
      <c r="AU124" s="254"/>
      <c r="AV124" s="254"/>
    </row>
    <row r="125" ht="15.75" customHeight="1">
      <c r="A125" s="214"/>
      <c r="B125" s="197"/>
      <c r="C125" s="198"/>
      <c r="D125" s="199"/>
      <c r="E125" s="254"/>
      <c r="F125" s="254"/>
      <c r="G125" s="201"/>
      <c r="H125" s="200"/>
      <c r="I125" s="200"/>
      <c r="J125" s="254"/>
      <c r="K125" s="259"/>
      <c r="L125" s="254"/>
      <c r="M125" s="260"/>
      <c r="N125" s="200"/>
      <c r="O125" s="254"/>
      <c r="P125" s="201"/>
      <c r="Q125" s="201"/>
      <c r="R125" s="201"/>
      <c r="S125" s="201"/>
      <c r="T125" s="201"/>
      <c r="U125" s="201"/>
      <c r="V125" s="201"/>
      <c r="W125" s="201"/>
      <c r="X125" s="201"/>
      <c r="Y125" s="261"/>
      <c r="Z125" s="262"/>
      <c r="AA125" s="262"/>
      <c r="AB125" s="263"/>
      <c r="AC125" s="201"/>
      <c r="AD125" s="201"/>
      <c r="AE125" s="201"/>
      <c r="AF125" s="201"/>
      <c r="AG125" s="214"/>
      <c r="AH125" s="214"/>
      <c r="AI125" s="261"/>
      <c r="AJ125" s="214"/>
      <c r="AK125" s="261"/>
      <c r="AL125" s="197"/>
      <c r="AM125" s="264"/>
      <c r="AN125" s="200"/>
      <c r="AO125" s="219"/>
      <c r="AP125" s="219"/>
      <c r="AQ125" s="219"/>
      <c r="AR125" s="219"/>
      <c r="AS125" s="253"/>
      <c r="AT125" s="253"/>
      <c r="AU125" s="254"/>
      <c r="AV125" s="254"/>
    </row>
    <row r="126" ht="15.75" customHeight="1">
      <c r="A126" s="214"/>
      <c r="B126" s="197"/>
      <c r="C126" s="198"/>
      <c r="D126" s="199"/>
      <c r="E126" s="254"/>
      <c r="F126" s="254"/>
      <c r="G126" s="201"/>
      <c r="H126" s="200"/>
      <c r="I126" s="200"/>
      <c r="J126" s="254"/>
      <c r="K126" s="259"/>
      <c r="L126" s="254"/>
      <c r="M126" s="260"/>
      <c r="N126" s="200"/>
      <c r="O126" s="254"/>
      <c r="P126" s="201"/>
      <c r="Q126" s="201"/>
      <c r="R126" s="201"/>
      <c r="S126" s="201"/>
      <c r="T126" s="201"/>
      <c r="U126" s="201"/>
      <c r="V126" s="201"/>
      <c r="W126" s="201"/>
      <c r="X126" s="201"/>
      <c r="Y126" s="261"/>
      <c r="Z126" s="262"/>
      <c r="AA126" s="262"/>
      <c r="AB126" s="263"/>
      <c r="AC126" s="201"/>
      <c r="AD126" s="201"/>
      <c r="AE126" s="201"/>
      <c r="AF126" s="201"/>
      <c r="AG126" s="214"/>
      <c r="AH126" s="214"/>
      <c r="AI126" s="261"/>
      <c r="AJ126" s="214"/>
      <c r="AK126" s="261"/>
      <c r="AL126" s="197"/>
      <c r="AM126" s="264"/>
      <c r="AN126" s="200"/>
      <c r="AO126" s="219"/>
      <c r="AP126" s="219"/>
      <c r="AQ126" s="219"/>
      <c r="AR126" s="219"/>
      <c r="AS126" s="253"/>
      <c r="AT126" s="253"/>
      <c r="AU126" s="254"/>
      <c r="AV126" s="254"/>
    </row>
    <row r="127" ht="15.75" customHeight="1">
      <c r="A127" s="214"/>
      <c r="B127" s="197"/>
      <c r="C127" s="198"/>
      <c r="D127" s="199"/>
      <c r="E127" s="254"/>
      <c r="F127" s="254"/>
      <c r="G127" s="201"/>
      <c r="H127" s="200"/>
      <c r="I127" s="200"/>
      <c r="J127" s="254"/>
      <c r="K127" s="259"/>
      <c r="L127" s="254"/>
      <c r="M127" s="260"/>
      <c r="N127" s="200"/>
      <c r="O127" s="254"/>
      <c r="P127" s="201"/>
      <c r="Q127" s="201"/>
      <c r="R127" s="201"/>
      <c r="S127" s="201"/>
      <c r="T127" s="201"/>
      <c r="U127" s="201"/>
      <c r="V127" s="201"/>
      <c r="W127" s="201"/>
      <c r="X127" s="201"/>
      <c r="Y127" s="261"/>
      <c r="Z127" s="262"/>
      <c r="AA127" s="262"/>
      <c r="AB127" s="263"/>
      <c r="AC127" s="201"/>
      <c r="AD127" s="201"/>
      <c r="AE127" s="201"/>
      <c r="AF127" s="201"/>
      <c r="AG127" s="214"/>
      <c r="AH127" s="214"/>
      <c r="AI127" s="261"/>
      <c r="AJ127" s="214"/>
      <c r="AK127" s="261"/>
      <c r="AL127" s="197"/>
      <c r="AM127" s="264"/>
      <c r="AN127" s="200"/>
      <c r="AO127" s="219"/>
      <c r="AP127" s="219"/>
      <c r="AQ127" s="219"/>
      <c r="AR127" s="219"/>
      <c r="AS127" s="253"/>
      <c r="AT127" s="253"/>
      <c r="AU127" s="254"/>
      <c r="AV127" s="254"/>
    </row>
    <row r="128" ht="15.75" customHeight="1">
      <c r="A128" s="214"/>
      <c r="B128" s="197"/>
      <c r="C128" s="198"/>
      <c r="D128" s="199"/>
      <c r="E128" s="254"/>
      <c r="F128" s="254"/>
      <c r="G128" s="201"/>
      <c r="H128" s="200"/>
      <c r="I128" s="200"/>
      <c r="J128" s="254"/>
      <c r="K128" s="259"/>
      <c r="L128" s="254"/>
      <c r="M128" s="260"/>
      <c r="N128" s="200"/>
      <c r="O128" s="254"/>
      <c r="P128" s="201"/>
      <c r="Q128" s="201"/>
      <c r="R128" s="201"/>
      <c r="S128" s="201"/>
      <c r="T128" s="201"/>
      <c r="U128" s="201"/>
      <c r="V128" s="201"/>
      <c r="W128" s="201"/>
      <c r="X128" s="201"/>
      <c r="Y128" s="261"/>
      <c r="Z128" s="262"/>
      <c r="AA128" s="262"/>
      <c r="AB128" s="263"/>
      <c r="AC128" s="201"/>
      <c r="AD128" s="201"/>
      <c r="AE128" s="201"/>
      <c r="AF128" s="201"/>
      <c r="AG128" s="214"/>
      <c r="AH128" s="214"/>
      <c r="AI128" s="261"/>
      <c r="AJ128" s="214"/>
      <c r="AK128" s="261"/>
      <c r="AL128" s="197"/>
      <c r="AM128" s="264"/>
      <c r="AN128" s="200"/>
      <c r="AO128" s="219"/>
      <c r="AP128" s="219"/>
      <c r="AQ128" s="219"/>
      <c r="AR128" s="219"/>
      <c r="AS128" s="253"/>
      <c r="AT128" s="253"/>
      <c r="AU128" s="254"/>
      <c r="AV128" s="254"/>
    </row>
    <row r="129" ht="15.75" customHeight="1">
      <c r="A129" s="214"/>
      <c r="B129" s="197"/>
      <c r="C129" s="198"/>
      <c r="D129" s="199"/>
      <c r="E129" s="254"/>
      <c r="F129" s="254"/>
      <c r="G129" s="201"/>
      <c r="H129" s="200"/>
      <c r="I129" s="200"/>
      <c r="J129" s="254"/>
      <c r="K129" s="259"/>
      <c r="L129" s="254"/>
      <c r="M129" s="260"/>
      <c r="N129" s="200"/>
      <c r="O129" s="254"/>
      <c r="P129" s="201"/>
      <c r="Q129" s="201"/>
      <c r="R129" s="201"/>
      <c r="S129" s="201"/>
      <c r="T129" s="201"/>
      <c r="U129" s="201"/>
      <c r="V129" s="201"/>
      <c r="W129" s="201"/>
      <c r="X129" s="201"/>
      <c r="Y129" s="261"/>
      <c r="Z129" s="262"/>
      <c r="AA129" s="262"/>
      <c r="AB129" s="263"/>
      <c r="AC129" s="201"/>
      <c r="AD129" s="201"/>
      <c r="AE129" s="201"/>
      <c r="AF129" s="201"/>
      <c r="AG129" s="214"/>
      <c r="AH129" s="214"/>
      <c r="AI129" s="261"/>
      <c r="AJ129" s="214"/>
      <c r="AK129" s="261"/>
      <c r="AL129" s="197"/>
      <c r="AM129" s="264"/>
      <c r="AN129" s="200"/>
      <c r="AO129" s="219"/>
      <c r="AP129" s="219"/>
      <c r="AQ129" s="219"/>
      <c r="AR129" s="219"/>
      <c r="AS129" s="253"/>
      <c r="AT129" s="253"/>
      <c r="AU129" s="254"/>
      <c r="AV129" s="254"/>
    </row>
    <row r="130" ht="15.75" customHeight="1">
      <c r="A130" s="214"/>
      <c r="B130" s="197"/>
      <c r="C130" s="198"/>
      <c r="D130" s="199"/>
      <c r="E130" s="254"/>
      <c r="F130" s="254"/>
      <c r="G130" s="201"/>
      <c r="H130" s="200"/>
      <c r="I130" s="200"/>
      <c r="J130" s="254"/>
      <c r="K130" s="259"/>
      <c r="L130" s="254"/>
      <c r="M130" s="260"/>
      <c r="N130" s="200"/>
      <c r="O130" s="254"/>
      <c r="P130" s="201"/>
      <c r="Q130" s="201"/>
      <c r="R130" s="201"/>
      <c r="S130" s="201"/>
      <c r="T130" s="201"/>
      <c r="U130" s="201"/>
      <c r="V130" s="201"/>
      <c r="W130" s="201"/>
      <c r="X130" s="201"/>
      <c r="Y130" s="261"/>
      <c r="Z130" s="262"/>
      <c r="AA130" s="262"/>
      <c r="AB130" s="263"/>
      <c r="AC130" s="201"/>
      <c r="AD130" s="201"/>
      <c r="AE130" s="201"/>
      <c r="AF130" s="201"/>
      <c r="AG130" s="214"/>
      <c r="AH130" s="214"/>
      <c r="AI130" s="261"/>
      <c r="AJ130" s="214"/>
      <c r="AK130" s="261"/>
      <c r="AL130" s="197"/>
      <c r="AM130" s="264"/>
      <c r="AN130" s="200"/>
      <c r="AO130" s="219"/>
      <c r="AP130" s="219"/>
      <c r="AQ130" s="219"/>
      <c r="AR130" s="219"/>
      <c r="AS130" s="253"/>
      <c r="AT130" s="253"/>
      <c r="AU130" s="254"/>
      <c r="AV130" s="254"/>
    </row>
    <row r="131" ht="15.75" customHeight="1">
      <c r="A131" s="214"/>
      <c r="B131" s="197"/>
      <c r="C131" s="198"/>
      <c r="D131" s="199"/>
      <c r="E131" s="254"/>
      <c r="F131" s="254"/>
      <c r="G131" s="201"/>
      <c r="H131" s="200"/>
      <c r="I131" s="200"/>
      <c r="J131" s="254"/>
      <c r="K131" s="259"/>
      <c r="L131" s="254"/>
      <c r="M131" s="260"/>
      <c r="N131" s="200"/>
      <c r="O131" s="254"/>
      <c r="P131" s="201"/>
      <c r="Q131" s="201"/>
      <c r="R131" s="201"/>
      <c r="S131" s="201"/>
      <c r="T131" s="201"/>
      <c r="U131" s="201"/>
      <c r="V131" s="201"/>
      <c r="W131" s="201"/>
      <c r="X131" s="201"/>
      <c r="Y131" s="261"/>
      <c r="Z131" s="262"/>
      <c r="AA131" s="262"/>
      <c r="AB131" s="263"/>
      <c r="AC131" s="201"/>
      <c r="AD131" s="201"/>
      <c r="AE131" s="201"/>
      <c r="AF131" s="201"/>
      <c r="AG131" s="214"/>
      <c r="AH131" s="214"/>
      <c r="AI131" s="261"/>
      <c r="AJ131" s="214"/>
      <c r="AK131" s="261"/>
      <c r="AL131" s="197"/>
      <c r="AM131" s="264"/>
      <c r="AN131" s="200"/>
      <c r="AO131" s="219"/>
      <c r="AP131" s="219"/>
      <c r="AQ131" s="219"/>
      <c r="AR131" s="219"/>
      <c r="AS131" s="253"/>
      <c r="AT131" s="253"/>
      <c r="AU131" s="254"/>
      <c r="AV131" s="254"/>
    </row>
    <row r="132" ht="15.75" customHeight="1">
      <c r="A132" s="214"/>
      <c r="B132" s="197"/>
      <c r="C132" s="198"/>
      <c r="D132" s="199"/>
      <c r="E132" s="254"/>
      <c r="F132" s="254"/>
      <c r="G132" s="201"/>
      <c r="H132" s="200"/>
      <c r="I132" s="200"/>
      <c r="J132" s="254"/>
      <c r="K132" s="259"/>
      <c r="L132" s="254"/>
      <c r="M132" s="260"/>
      <c r="N132" s="200"/>
      <c r="O132" s="254"/>
      <c r="P132" s="201"/>
      <c r="Q132" s="201"/>
      <c r="R132" s="201"/>
      <c r="S132" s="201"/>
      <c r="T132" s="201"/>
      <c r="U132" s="201"/>
      <c r="V132" s="201"/>
      <c r="W132" s="201"/>
      <c r="X132" s="201"/>
      <c r="Y132" s="261"/>
      <c r="Z132" s="262"/>
      <c r="AA132" s="262"/>
      <c r="AB132" s="263"/>
      <c r="AC132" s="201"/>
      <c r="AD132" s="201"/>
      <c r="AE132" s="201"/>
      <c r="AF132" s="201"/>
      <c r="AG132" s="214"/>
      <c r="AH132" s="214"/>
      <c r="AI132" s="261"/>
      <c r="AJ132" s="214"/>
      <c r="AK132" s="261"/>
      <c r="AL132" s="197"/>
      <c r="AM132" s="264"/>
      <c r="AN132" s="200"/>
      <c r="AO132" s="219"/>
      <c r="AP132" s="219"/>
      <c r="AQ132" s="219"/>
      <c r="AR132" s="219"/>
      <c r="AS132" s="253"/>
      <c r="AT132" s="253"/>
      <c r="AU132" s="254"/>
      <c r="AV132" s="254"/>
    </row>
    <row r="133" ht="15.75" customHeight="1">
      <c r="A133" s="214"/>
      <c r="B133" s="197"/>
      <c r="C133" s="198"/>
      <c r="D133" s="199"/>
      <c r="E133" s="254"/>
      <c r="F133" s="254"/>
      <c r="G133" s="201"/>
      <c r="H133" s="200"/>
      <c r="I133" s="200"/>
      <c r="J133" s="254"/>
      <c r="K133" s="259"/>
      <c r="L133" s="254"/>
      <c r="M133" s="260"/>
      <c r="N133" s="200"/>
      <c r="O133" s="254"/>
      <c r="P133" s="201"/>
      <c r="Q133" s="201"/>
      <c r="R133" s="201"/>
      <c r="S133" s="201"/>
      <c r="T133" s="201"/>
      <c r="U133" s="201"/>
      <c r="V133" s="201"/>
      <c r="W133" s="201"/>
      <c r="X133" s="201"/>
      <c r="Y133" s="261"/>
      <c r="Z133" s="262"/>
      <c r="AA133" s="262"/>
      <c r="AB133" s="263"/>
      <c r="AC133" s="201"/>
      <c r="AD133" s="201"/>
      <c r="AE133" s="201"/>
      <c r="AF133" s="201"/>
      <c r="AG133" s="214"/>
      <c r="AH133" s="214"/>
      <c r="AI133" s="261"/>
      <c r="AJ133" s="214"/>
      <c r="AK133" s="261"/>
      <c r="AL133" s="197"/>
      <c r="AM133" s="264"/>
      <c r="AN133" s="200"/>
      <c r="AO133" s="219"/>
      <c r="AP133" s="219"/>
      <c r="AQ133" s="219"/>
      <c r="AR133" s="219"/>
      <c r="AS133" s="253"/>
      <c r="AT133" s="253"/>
      <c r="AU133" s="254"/>
      <c r="AV133" s="254"/>
    </row>
    <row r="134" ht="15.75" customHeight="1">
      <c r="A134" s="214"/>
      <c r="B134" s="197"/>
      <c r="C134" s="198"/>
      <c r="D134" s="199"/>
      <c r="E134" s="254"/>
      <c r="F134" s="254"/>
      <c r="G134" s="201"/>
      <c r="H134" s="200"/>
      <c r="I134" s="200"/>
      <c r="J134" s="254"/>
      <c r="K134" s="259"/>
      <c r="L134" s="254"/>
      <c r="M134" s="260"/>
      <c r="N134" s="200"/>
      <c r="O134" s="254"/>
      <c r="P134" s="201"/>
      <c r="Q134" s="201"/>
      <c r="R134" s="201"/>
      <c r="S134" s="201"/>
      <c r="T134" s="201"/>
      <c r="U134" s="201"/>
      <c r="V134" s="201"/>
      <c r="W134" s="201"/>
      <c r="X134" s="201"/>
      <c r="Y134" s="261"/>
      <c r="Z134" s="262"/>
      <c r="AA134" s="262"/>
      <c r="AB134" s="263"/>
      <c r="AC134" s="201"/>
      <c r="AD134" s="201"/>
      <c r="AE134" s="201"/>
      <c r="AF134" s="201"/>
      <c r="AG134" s="214"/>
      <c r="AH134" s="214"/>
      <c r="AI134" s="261"/>
      <c r="AJ134" s="214"/>
      <c r="AK134" s="261"/>
      <c r="AL134" s="197"/>
      <c r="AM134" s="264"/>
      <c r="AN134" s="200"/>
      <c r="AO134" s="219"/>
      <c r="AP134" s="219"/>
      <c r="AQ134" s="219"/>
      <c r="AR134" s="219"/>
      <c r="AS134" s="253"/>
      <c r="AT134" s="253"/>
      <c r="AU134" s="254"/>
      <c r="AV134" s="254"/>
    </row>
    <row r="135" ht="15.75" customHeight="1">
      <c r="A135" s="214"/>
      <c r="B135" s="197"/>
      <c r="C135" s="198"/>
      <c r="D135" s="199"/>
      <c r="E135" s="254"/>
      <c r="F135" s="254"/>
      <c r="G135" s="201"/>
      <c r="H135" s="200"/>
      <c r="I135" s="200"/>
      <c r="J135" s="254"/>
      <c r="K135" s="259"/>
      <c r="L135" s="254"/>
      <c r="M135" s="260"/>
      <c r="N135" s="200"/>
      <c r="O135" s="254"/>
      <c r="P135" s="201"/>
      <c r="Q135" s="201"/>
      <c r="R135" s="201"/>
      <c r="S135" s="201"/>
      <c r="T135" s="201"/>
      <c r="U135" s="201"/>
      <c r="V135" s="201"/>
      <c r="W135" s="201"/>
      <c r="X135" s="201"/>
      <c r="Y135" s="261"/>
      <c r="Z135" s="262"/>
      <c r="AA135" s="262"/>
      <c r="AB135" s="263"/>
      <c r="AC135" s="201"/>
      <c r="AD135" s="201"/>
      <c r="AE135" s="201"/>
      <c r="AF135" s="201"/>
      <c r="AG135" s="214"/>
      <c r="AH135" s="214"/>
      <c r="AI135" s="261"/>
      <c r="AJ135" s="214"/>
      <c r="AK135" s="261"/>
      <c r="AL135" s="197"/>
      <c r="AM135" s="264"/>
      <c r="AN135" s="200"/>
      <c r="AO135" s="219"/>
      <c r="AP135" s="219"/>
      <c r="AQ135" s="219"/>
      <c r="AR135" s="219"/>
      <c r="AS135" s="253"/>
      <c r="AT135" s="253"/>
      <c r="AU135" s="254"/>
      <c r="AV135" s="254"/>
    </row>
    <row r="136" ht="15.75" customHeight="1">
      <c r="A136" s="214"/>
      <c r="B136" s="197"/>
      <c r="C136" s="198"/>
      <c r="D136" s="199"/>
      <c r="E136" s="254"/>
      <c r="F136" s="254"/>
      <c r="G136" s="201"/>
      <c r="H136" s="200"/>
      <c r="I136" s="200"/>
      <c r="J136" s="254"/>
      <c r="K136" s="259"/>
      <c r="L136" s="254"/>
      <c r="M136" s="260"/>
      <c r="N136" s="200"/>
      <c r="O136" s="254"/>
      <c r="P136" s="201"/>
      <c r="Q136" s="201"/>
      <c r="R136" s="201"/>
      <c r="S136" s="201"/>
      <c r="T136" s="201"/>
      <c r="U136" s="201"/>
      <c r="V136" s="201"/>
      <c r="W136" s="201"/>
      <c r="X136" s="201"/>
      <c r="Y136" s="261"/>
      <c r="Z136" s="262"/>
      <c r="AA136" s="262"/>
      <c r="AB136" s="263"/>
      <c r="AC136" s="201"/>
      <c r="AD136" s="201"/>
      <c r="AE136" s="201"/>
      <c r="AF136" s="201"/>
      <c r="AG136" s="214"/>
      <c r="AH136" s="214"/>
      <c r="AI136" s="261"/>
      <c r="AJ136" s="214"/>
      <c r="AK136" s="261"/>
      <c r="AL136" s="197"/>
      <c r="AM136" s="264"/>
      <c r="AN136" s="200"/>
      <c r="AO136" s="219"/>
      <c r="AP136" s="219"/>
      <c r="AQ136" s="219"/>
      <c r="AR136" s="219"/>
      <c r="AS136" s="253"/>
      <c r="AT136" s="253"/>
      <c r="AU136" s="254"/>
      <c r="AV136" s="254"/>
    </row>
    <row r="137" ht="15.75" customHeight="1">
      <c r="A137" s="214"/>
      <c r="B137" s="197"/>
      <c r="C137" s="198"/>
      <c r="D137" s="199"/>
      <c r="E137" s="254"/>
      <c r="F137" s="254"/>
      <c r="G137" s="201"/>
      <c r="H137" s="200"/>
      <c r="I137" s="200"/>
      <c r="J137" s="254"/>
      <c r="K137" s="259"/>
      <c r="L137" s="254"/>
      <c r="M137" s="260"/>
      <c r="N137" s="200"/>
      <c r="O137" s="254"/>
      <c r="P137" s="201"/>
      <c r="Q137" s="201"/>
      <c r="R137" s="201"/>
      <c r="S137" s="201"/>
      <c r="T137" s="201"/>
      <c r="U137" s="201"/>
      <c r="V137" s="201"/>
      <c r="W137" s="201"/>
      <c r="X137" s="201"/>
      <c r="Y137" s="261"/>
      <c r="Z137" s="262"/>
      <c r="AA137" s="262"/>
      <c r="AB137" s="263"/>
      <c r="AC137" s="201"/>
      <c r="AD137" s="201"/>
      <c r="AE137" s="201"/>
      <c r="AF137" s="201"/>
      <c r="AG137" s="214"/>
      <c r="AH137" s="214"/>
      <c r="AI137" s="261"/>
      <c r="AJ137" s="214"/>
      <c r="AK137" s="261"/>
      <c r="AL137" s="197"/>
      <c r="AM137" s="264"/>
      <c r="AN137" s="200"/>
      <c r="AO137" s="219"/>
      <c r="AP137" s="219"/>
      <c r="AQ137" s="219"/>
      <c r="AR137" s="219"/>
      <c r="AS137" s="253"/>
      <c r="AT137" s="253"/>
      <c r="AU137" s="254"/>
      <c r="AV137" s="254"/>
    </row>
    <row r="138" ht="15.75" customHeight="1">
      <c r="A138" s="214"/>
      <c r="B138" s="197"/>
      <c r="C138" s="198"/>
      <c r="D138" s="199"/>
      <c r="E138" s="254"/>
      <c r="F138" s="254"/>
      <c r="G138" s="201"/>
      <c r="H138" s="200"/>
      <c r="I138" s="200"/>
      <c r="J138" s="254"/>
      <c r="K138" s="259"/>
      <c r="L138" s="254"/>
      <c r="M138" s="260"/>
      <c r="N138" s="200"/>
      <c r="O138" s="254"/>
      <c r="P138" s="201"/>
      <c r="Q138" s="201"/>
      <c r="R138" s="201"/>
      <c r="S138" s="201"/>
      <c r="T138" s="201"/>
      <c r="U138" s="201"/>
      <c r="V138" s="201"/>
      <c r="W138" s="201"/>
      <c r="X138" s="201"/>
      <c r="Y138" s="261"/>
      <c r="Z138" s="262"/>
      <c r="AA138" s="262"/>
      <c r="AB138" s="263"/>
      <c r="AC138" s="201"/>
      <c r="AD138" s="201"/>
      <c r="AE138" s="201"/>
      <c r="AF138" s="201"/>
      <c r="AG138" s="214"/>
      <c r="AH138" s="214"/>
      <c r="AI138" s="261"/>
      <c r="AJ138" s="214"/>
      <c r="AK138" s="261"/>
      <c r="AL138" s="197"/>
      <c r="AM138" s="264"/>
      <c r="AN138" s="200"/>
      <c r="AO138" s="219"/>
      <c r="AP138" s="219"/>
      <c r="AQ138" s="219"/>
      <c r="AR138" s="219"/>
      <c r="AS138" s="253"/>
      <c r="AT138" s="253"/>
      <c r="AU138" s="254"/>
      <c r="AV138" s="254"/>
    </row>
    <row r="139" ht="15.75" customHeight="1">
      <c r="A139" s="214"/>
      <c r="B139" s="197"/>
      <c r="C139" s="198"/>
      <c r="D139" s="199"/>
      <c r="E139" s="254"/>
      <c r="F139" s="254"/>
      <c r="G139" s="201"/>
      <c r="H139" s="200"/>
      <c r="I139" s="200"/>
      <c r="J139" s="254"/>
      <c r="K139" s="259"/>
      <c r="L139" s="254"/>
      <c r="M139" s="260"/>
      <c r="N139" s="200"/>
      <c r="O139" s="254"/>
      <c r="P139" s="201"/>
      <c r="Q139" s="201"/>
      <c r="R139" s="201"/>
      <c r="S139" s="201"/>
      <c r="T139" s="201"/>
      <c r="U139" s="201"/>
      <c r="V139" s="201"/>
      <c r="W139" s="201"/>
      <c r="X139" s="201"/>
      <c r="Y139" s="261"/>
      <c r="Z139" s="262"/>
      <c r="AA139" s="262"/>
      <c r="AB139" s="263"/>
      <c r="AC139" s="201"/>
      <c r="AD139" s="201"/>
      <c r="AE139" s="201"/>
      <c r="AF139" s="201"/>
      <c r="AG139" s="214"/>
      <c r="AH139" s="214"/>
      <c r="AI139" s="261"/>
      <c r="AJ139" s="214"/>
      <c r="AK139" s="261"/>
      <c r="AL139" s="197"/>
      <c r="AM139" s="264"/>
      <c r="AN139" s="200"/>
      <c r="AO139" s="219"/>
      <c r="AP139" s="219"/>
      <c r="AQ139" s="219"/>
      <c r="AR139" s="219"/>
      <c r="AS139" s="253"/>
      <c r="AT139" s="253"/>
      <c r="AU139" s="254"/>
      <c r="AV139" s="254"/>
    </row>
    <row r="140" ht="15.75" customHeight="1">
      <c r="A140" s="214"/>
      <c r="B140" s="197"/>
      <c r="C140" s="198"/>
      <c r="D140" s="199"/>
      <c r="E140" s="254"/>
      <c r="F140" s="254"/>
      <c r="G140" s="201"/>
      <c r="H140" s="200"/>
      <c r="I140" s="200"/>
      <c r="J140" s="254"/>
      <c r="K140" s="259"/>
      <c r="L140" s="254"/>
      <c r="M140" s="260"/>
      <c r="N140" s="200"/>
      <c r="O140" s="254"/>
      <c r="P140" s="201"/>
      <c r="Q140" s="201"/>
      <c r="R140" s="201"/>
      <c r="S140" s="201"/>
      <c r="T140" s="201"/>
      <c r="U140" s="201"/>
      <c r="V140" s="201"/>
      <c r="W140" s="201"/>
      <c r="X140" s="201"/>
      <c r="Y140" s="261"/>
      <c r="Z140" s="262"/>
      <c r="AA140" s="262"/>
      <c r="AB140" s="263"/>
      <c r="AC140" s="201"/>
      <c r="AD140" s="201"/>
      <c r="AE140" s="201"/>
      <c r="AF140" s="201"/>
      <c r="AG140" s="214"/>
      <c r="AH140" s="214"/>
      <c r="AI140" s="261"/>
      <c r="AJ140" s="214"/>
      <c r="AK140" s="261"/>
      <c r="AL140" s="197"/>
      <c r="AM140" s="264"/>
      <c r="AN140" s="200"/>
      <c r="AO140" s="219"/>
      <c r="AP140" s="219"/>
      <c r="AQ140" s="219"/>
      <c r="AR140" s="219"/>
      <c r="AS140" s="253"/>
      <c r="AT140" s="253"/>
      <c r="AU140" s="254"/>
      <c r="AV140" s="254"/>
    </row>
    <row r="141" ht="15.75" customHeight="1">
      <c r="A141" s="214"/>
      <c r="B141" s="197"/>
      <c r="C141" s="198"/>
      <c r="D141" s="199"/>
      <c r="E141" s="254"/>
      <c r="F141" s="254"/>
      <c r="G141" s="201"/>
      <c r="H141" s="200"/>
      <c r="I141" s="200"/>
      <c r="J141" s="254"/>
      <c r="K141" s="259"/>
      <c r="L141" s="254"/>
      <c r="M141" s="260"/>
      <c r="N141" s="200"/>
      <c r="O141" s="254"/>
      <c r="P141" s="201"/>
      <c r="Q141" s="201"/>
      <c r="R141" s="201"/>
      <c r="S141" s="201"/>
      <c r="T141" s="201"/>
      <c r="U141" s="201"/>
      <c r="V141" s="201"/>
      <c r="W141" s="201"/>
      <c r="X141" s="201"/>
      <c r="Y141" s="261"/>
      <c r="Z141" s="262"/>
      <c r="AA141" s="262"/>
      <c r="AB141" s="263"/>
      <c r="AC141" s="201"/>
      <c r="AD141" s="201"/>
      <c r="AE141" s="201"/>
      <c r="AF141" s="201"/>
      <c r="AG141" s="214"/>
      <c r="AH141" s="214"/>
      <c r="AI141" s="261"/>
      <c r="AJ141" s="214"/>
      <c r="AK141" s="261"/>
      <c r="AL141" s="197"/>
      <c r="AM141" s="264"/>
      <c r="AN141" s="200"/>
      <c r="AO141" s="219"/>
      <c r="AP141" s="219"/>
      <c r="AQ141" s="219"/>
      <c r="AR141" s="219"/>
      <c r="AS141" s="253"/>
      <c r="AT141" s="253"/>
      <c r="AU141" s="254"/>
      <c r="AV141" s="254"/>
    </row>
    <row r="142" ht="15.75" customHeight="1">
      <c r="A142" s="214"/>
      <c r="B142" s="197"/>
      <c r="C142" s="198"/>
      <c r="D142" s="199"/>
      <c r="E142" s="254"/>
      <c r="F142" s="254"/>
      <c r="G142" s="201"/>
      <c r="H142" s="200"/>
      <c r="I142" s="200"/>
      <c r="J142" s="254"/>
      <c r="K142" s="259"/>
      <c r="L142" s="254"/>
      <c r="M142" s="260"/>
      <c r="N142" s="200"/>
      <c r="O142" s="254"/>
      <c r="P142" s="201"/>
      <c r="Q142" s="201"/>
      <c r="R142" s="201"/>
      <c r="S142" s="201"/>
      <c r="T142" s="201"/>
      <c r="U142" s="201"/>
      <c r="V142" s="201"/>
      <c r="W142" s="201"/>
      <c r="X142" s="201"/>
      <c r="Y142" s="261"/>
      <c r="Z142" s="262"/>
      <c r="AA142" s="262"/>
      <c r="AB142" s="263"/>
      <c r="AC142" s="201"/>
      <c r="AD142" s="201"/>
      <c r="AE142" s="201"/>
      <c r="AF142" s="201"/>
      <c r="AG142" s="214"/>
      <c r="AH142" s="214"/>
      <c r="AI142" s="261"/>
      <c r="AJ142" s="214"/>
      <c r="AK142" s="261"/>
      <c r="AL142" s="197"/>
      <c r="AM142" s="264"/>
      <c r="AN142" s="200"/>
      <c r="AO142" s="219"/>
      <c r="AP142" s="219"/>
      <c r="AQ142" s="219"/>
      <c r="AR142" s="219"/>
      <c r="AS142" s="253"/>
      <c r="AT142" s="253"/>
      <c r="AU142" s="254"/>
      <c r="AV142" s="254"/>
    </row>
    <row r="143" ht="15.75" customHeight="1">
      <c r="A143" s="214"/>
      <c r="B143" s="197"/>
      <c r="C143" s="198"/>
      <c r="D143" s="199"/>
      <c r="E143" s="254"/>
      <c r="F143" s="254"/>
      <c r="G143" s="201"/>
      <c r="H143" s="200"/>
      <c r="I143" s="200"/>
      <c r="J143" s="254"/>
      <c r="K143" s="259"/>
      <c r="L143" s="254"/>
      <c r="M143" s="260"/>
      <c r="N143" s="200"/>
      <c r="O143" s="254"/>
      <c r="P143" s="201"/>
      <c r="Q143" s="201"/>
      <c r="R143" s="201"/>
      <c r="S143" s="201"/>
      <c r="T143" s="201"/>
      <c r="U143" s="201"/>
      <c r="V143" s="201"/>
      <c r="W143" s="201"/>
      <c r="X143" s="201"/>
      <c r="Y143" s="261"/>
      <c r="Z143" s="262"/>
      <c r="AA143" s="262"/>
      <c r="AB143" s="263"/>
      <c r="AC143" s="201"/>
      <c r="AD143" s="201"/>
      <c r="AE143" s="201"/>
      <c r="AF143" s="201"/>
      <c r="AG143" s="214"/>
      <c r="AH143" s="214"/>
      <c r="AI143" s="261"/>
      <c r="AJ143" s="214"/>
      <c r="AK143" s="261"/>
      <c r="AL143" s="197"/>
      <c r="AM143" s="264"/>
      <c r="AN143" s="200"/>
      <c r="AO143" s="219"/>
      <c r="AP143" s="219"/>
      <c r="AQ143" s="219"/>
      <c r="AR143" s="219"/>
      <c r="AS143" s="253"/>
      <c r="AT143" s="253"/>
      <c r="AU143" s="254"/>
      <c r="AV143" s="254"/>
    </row>
    <row r="144" ht="15.75" customHeight="1">
      <c r="A144" s="214"/>
      <c r="B144" s="197"/>
      <c r="C144" s="198"/>
      <c r="D144" s="199"/>
      <c r="E144" s="254"/>
      <c r="F144" s="254"/>
      <c r="G144" s="201"/>
      <c r="H144" s="200"/>
      <c r="I144" s="200"/>
      <c r="J144" s="254"/>
      <c r="K144" s="259"/>
      <c r="L144" s="254"/>
      <c r="M144" s="260"/>
      <c r="N144" s="200"/>
      <c r="O144" s="254"/>
      <c r="P144" s="201"/>
      <c r="Q144" s="201"/>
      <c r="R144" s="201"/>
      <c r="S144" s="201"/>
      <c r="T144" s="201"/>
      <c r="U144" s="201"/>
      <c r="V144" s="201"/>
      <c r="W144" s="201"/>
      <c r="X144" s="201"/>
      <c r="Y144" s="261"/>
      <c r="Z144" s="262"/>
      <c r="AA144" s="262"/>
      <c r="AB144" s="263"/>
      <c r="AC144" s="201"/>
      <c r="AD144" s="201"/>
      <c r="AE144" s="201"/>
      <c r="AF144" s="201"/>
      <c r="AG144" s="214"/>
      <c r="AH144" s="214"/>
      <c r="AI144" s="261"/>
      <c r="AJ144" s="214"/>
      <c r="AK144" s="261"/>
      <c r="AL144" s="197"/>
      <c r="AM144" s="264"/>
      <c r="AN144" s="200"/>
      <c r="AO144" s="219"/>
      <c r="AP144" s="219"/>
      <c r="AQ144" s="219"/>
      <c r="AR144" s="219"/>
      <c r="AS144" s="253"/>
      <c r="AT144" s="253"/>
      <c r="AU144" s="254"/>
      <c r="AV144" s="254"/>
    </row>
    <row r="145" ht="15.75" customHeight="1">
      <c r="A145" s="214"/>
      <c r="B145" s="197"/>
      <c r="C145" s="198"/>
      <c r="D145" s="199"/>
      <c r="E145" s="254"/>
      <c r="F145" s="254"/>
      <c r="G145" s="201"/>
      <c r="H145" s="200"/>
      <c r="I145" s="200"/>
      <c r="J145" s="254"/>
      <c r="K145" s="259"/>
      <c r="L145" s="254"/>
      <c r="M145" s="260"/>
      <c r="N145" s="200"/>
      <c r="O145" s="254"/>
      <c r="P145" s="201"/>
      <c r="Q145" s="201"/>
      <c r="R145" s="201"/>
      <c r="S145" s="201"/>
      <c r="T145" s="201"/>
      <c r="U145" s="201"/>
      <c r="V145" s="201"/>
      <c r="W145" s="201"/>
      <c r="X145" s="201"/>
      <c r="Y145" s="261"/>
      <c r="Z145" s="262"/>
      <c r="AA145" s="262"/>
      <c r="AB145" s="263"/>
      <c r="AC145" s="201"/>
      <c r="AD145" s="201"/>
      <c r="AE145" s="201"/>
      <c r="AF145" s="201"/>
      <c r="AG145" s="214"/>
      <c r="AH145" s="214"/>
      <c r="AI145" s="261"/>
      <c r="AJ145" s="214"/>
      <c r="AK145" s="261"/>
      <c r="AL145" s="197"/>
      <c r="AM145" s="264"/>
      <c r="AN145" s="200"/>
      <c r="AO145" s="219"/>
      <c r="AP145" s="219"/>
      <c r="AQ145" s="219"/>
      <c r="AR145" s="219"/>
      <c r="AS145" s="253"/>
      <c r="AT145" s="253"/>
      <c r="AU145" s="254"/>
      <c r="AV145" s="254"/>
    </row>
    <row r="146" ht="15.75" customHeight="1">
      <c r="A146" s="214"/>
      <c r="B146" s="197"/>
      <c r="C146" s="198"/>
      <c r="D146" s="199"/>
      <c r="E146" s="254"/>
      <c r="F146" s="254"/>
      <c r="G146" s="201"/>
      <c r="H146" s="200"/>
      <c r="I146" s="200"/>
      <c r="J146" s="254"/>
      <c r="K146" s="259"/>
      <c r="L146" s="254"/>
      <c r="M146" s="260"/>
      <c r="N146" s="200"/>
      <c r="O146" s="254"/>
      <c r="P146" s="201"/>
      <c r="Q146" s="201"/>
      <c r="R146" s="201"/>
      <c r="S146" s="201"/>
      <c r="T146" s="201"/>
      <c r="U146" s="201"/>
      <c r="V146" s="201"/>
      <c r="W146" s="201"/>
      <c r="X146" s="201"/>
      <c r="Y146" s="261"/>
      <c r="Z146" s="262"/>
      <c r="AA146" s="262"/>
      <c r="AB146" s="263"/>
      <c r="AC146" s="201"/>
      <c r="AD146" s="201"/>
      <c r="AE146" s="201"/>
      <c r="AF146" s="201"/>
      <c r="AG146" s="214"/>
      <c r="AH146" s="214"/>
      <c r="AI146" s="261"/>
      <c r="AJ146" s="214"/>
      <c r="AK146" s="261"/>
      <c r="AL146" s="197"/>
      <c r="AM146" s="264"/>
      <c r="AN146" s="200"/>
      <c r="AO146" s="219"/>
      <c r="AP146" s="219"/>
      <c r="AQ146" s="219"/>
      <c r="AR146" s="219"/>
      <c r="AS146" s="253"/>
      <c r="AT146" s="253"/>
      <c r="AU146" s="254"/>
      <c r="AV146" s="254"/>
    </row>
    <row r="147" ht="15.75" customHeight="1">
      <c r="A147" s="214"/>
      <c r="B147" s="197"/>
      <c r="C147" s="198"/>
      <c r="D147" s="199"/>
      <c r="E147" s="254"/>
      <c r="F147" s="254"/>
      <c r="G147" s="201"/>
      <c r="H147" s="200"/>
      <c r="I147" s="200"/>
      <c r="J147" s="254"/>
      <c r="K147" s="259"/>
      <c r="L147" s="254"/>
      <c r="M147" s="260"/>
      <c r="N147" s="200"/>
      <c r="O147" s="254"/>
      <c r="P147" s="201"/>
      <c r="Q147" s="201"/>
      <c r="R147" s="201"/>
      <c r="S147" s="201"/>
      <c r="T147" s="201"/>
      <c r="U147" s="201"/>
      <c r="V147" s="201"/>
      <c r="W147" s="201"/>
      <c r="X147" s="201"/>
      <c r="Y147" s="261"/>
      <c r="Z147" s="262"/>
      <c r="AA147" s="262"/>
      <c r="AB147" s="263"/>
      <c r="AC147" s="201"/>
      <c r="AD147" s="201"/>
      <c r="AE147" s="201"/>
      <c r="AF147" s="201"/>
      <c r="AG147" s="214"/>
      <c r="AH147" s="214"/>
      <c r="AI147" s="261"/>
      <c r="AJ147" s="214"/>
      <c r="AK147" s="261"/>
      <c r="AL147" s="197"/>
      <c r="AM147" s="264"/>
      <c r="AN147" s="200"/>
      <c r="AO147" s="219"/>
      <c r="AP147" s="219"/>
      <c r="AQ147" s="219"/>
      <c r="AR147" s="219"/>
      <c r="AS147" s="253"/>
      <c r="AT147" s="253"/>
      <c r="AU147" s="254"/>
      <c r="AV147" s="254"/>
    </row>
    <row r="148" ht="15.75" customHeight="1">
      <c r="A148" s="214"/>
      <c r="B148" s="197"/>
      <c r="C148" s="198"/>
      <c r="D148" s="199"/>
      <c r="E148" s="254"/>
      <c r="F148" s="254"/>
      <c r="G148" s="201"/>
      <c r="H148" s="200"/>
      <c r="I148" s="200"/>
      <c r="J148" s="254"/>
      <c r="K148" s="259"/>
      <c r="L148" s="254"/>
      <c r="M148" s="260"/>
      <c r="N148" s="200"/>
      <c r="O148" s="254"/>
      <c r="P148" s="201"/>
      <c r="Q148" s="201"/>
      <c r="R148" s="201"/>
      <c r="S148" s="201"/>
      <c r="T148" s="201"/>
      <c r="U148" s="201"/>
      <c r="V148" s="201"/>
      <c r="W148" s="201"/>
      <c r="X148" s="201"/>
      <c r="Y148" s="261"/>
      <c r="Z148" s="262"/>
      <c r="AA148" s="262"/>
      <c r="AB148" s="263"/>
      <c r="AC148" s="201"/>
      <c r="AD148" s="201"/>
      <c r="AE148" s="201"/>
      <c r="AF148" s="201"/>
      <c r="AG148" s="214"/>
      <c r="AH148" s="214"/>
      <c r="AI148" s="261"/>
      <c r="AJ148" s="214"/>
      <c r="AK148" s="261"/>
      <c r="AL148" s="197"/>
      <c r="AM148" s="264"/>
      <c r="AN148" s="200"/>
      <c r="AO148" s="219"/>
      <c r="AP148" s="219"/>
      <c r="AQ148" s="219"/>
      <c r="AR148" s="219"/>
      <c r="AS148" s="253"/>
      <c r="AT148" s="253"/>
      <c r="AU148" s="254"/>
      <c r="AV148" s="254"/>
    </row>
    <row r="149" ht="15.75" customHeight="1">
      <c r="A149" s="214"/>
      <c r="B149" s="197"/>
      <c r="C149" s="198"/>
      <c r="D149" s="199"/>
      <c r="E149" s="254"/>
      <c r="F149" s="254"/>
      <c r="G149" s="201"/>
      <c r="H149" s="200"/>
      <c r="I149" s="200"/>
      <c r="J149" s="254"/>
      <c r="K149" s="259"/>
      <c r="L149" s="254"/>
      <c r="M149" s="260"/>
      <c r="N149" s="200"/>
      <c r="O149" s="254"/>
      <c r="P149" s="201"/>
      <c r="Q149" s="201"/>
      <c r="R149" s="201"/>
      <c r="S149" s="201"/>
      <c r="T149" s="201"/>
      <c r="U149" s="201"/>
      <c r="V149" s="201"/>
      <c r="W149" s="201"/>
      <c r="X149" s="201"/>
      <c r="Y149" s="261"/>
      <c r="Z149" s="262"/>
      <c r="AA149" s="262"/>
      <c r="AB149" s="263"/>
      <c r="AC149" s="201"/>
      <c r="AD149" s="201"/>
      <c r="AE149" s="201"/>
      <c r="AF149" s="201"/>
      <c r="AG149" s="214"/>
      <c r="AH149" s="214"/>
      <c r="AI149" s="261"/>
      <c r="AJ149" s="214"/>
      <c r="AK149" s="261"/>
      <c r="AL149" s="197"/>
      <c r="AM149" s="264"/>
      <c r="AN149" s="200"/>
      <c r="AO149" s="219"/>
      <c r="AP149" s="219"/>
      <c r="AQ149" s="219"/>
      <c r="AR149" s="219"/>
      <c r="AS149" s="253"/>
      <c r="AT149" s="253"/>
      <c r="AU149" s="254"/>
      <c r="AV149" s="254"/>
    </row>
    <row r="150" ht="15.75" customHeight="1">
      <c r="A150" s="214"/>
      <c r="B150" s="197"/>
      <c r="C150" s="198"/>
      <c r="D150" s="199"/>
      <c r="E150" s="254"/>
      <c r="F150" s="254"/>
      <c r="G150" s="201"/>
      <c r="H150" s="200"/>
      <c r="I150" s="200"/>
      <c r="J150" s="254"/>
      <c r="K150" s="259"/>
      <c r="L150" s="254"/>
      <c r="M150" s="260"/>
      <c r="N150" s="200"/>
      <c r="O150" s="254"/>
      <c r="P150" s="201"/>
      <c r="Q150" s="201"/>
      <c r="R150" s="201"/>
      <c r="S150" s="201"/>
      <c r="T150" s="201"/>
      <c r="U150" s="201"/>
      <c r="V150" s="201"/>
      <c r="W150" s="201"/>
      <c r="X150" s="201"/>
      <c r="Y150" s="261"/>
      <c r="Z150" s="262"/>
      <c r="AA150" s="262"/>
      <c r="AB150" s="263"/>
      <c r="AC150" s="201"/>
      <c r="AD150" s="201"/>
      <c r="AE150" s="201"/>
      <c r="AF150" s="201"/>
      <c r="AG150" s="214"/>
      <c r="AH150" s="214"/>
      <c r="AI150" s="261"/>
      <c r="AJ150" s="214"/>
      <c r="AK150" s="261"/>
      <c r="AL150" s="197"/>
      <c r="AM150" s="264"/>
      <c r="AN150" s="200"/>
      <c r="AO150" s="219"/>
      <c r="AP150" s="219"/>
      <c r="AQ150" s="219"/>
      <c r="AR150" s="219"/>
      <c r="AS150" s="253"/>
      <c r="AT150" s="253"/>
      <c r="AU150" s="254"/>
      <c r="AV150" s="254"/>
    </row>
    <row r="151" ht="15.75" customHeight="1">
      <c r="A151" s="214"/>
      <c r="B151" s="197"/>
      <c r="C151" s="198"/>
      <c r="D151" s="199"/>
      <c r="E151" s="254"/>
      <c r="F151" s="254"/>
      <c r="G151" s="201"/>
      <c r="H151" s="200"/>
      <c r="I151" s="200"/>
      <c r="J151" s="254"/>
      <c r="K151" s="259"/>
      <c r="L151" s="254"/>
      <c r="M151" s="260"/>
      <c r="N151" s="200"/>
      <c r="O151" s="254"/>
      <c r="P151" s="201"/>
      <c r="Q151" s="201"/>
      <c r="R151" s="201"/>
      <c r="S151" s="201"/>
      <c r="T151" s="201"/>
      <c r="U151" s="201"/>
      <c r="V151" s="201"/>
      <c r="W151" s="201"/>
      <c r="X151" s="201"/>
      <c r="Y151" s="261"/>
      <c r="Z151" s="262"/>
      <c r="AA151" s="262"/>
      <c r="AB151" s="263"/>
      <c r="AC151" s="201"/>
      <c r="AD151" s="201"/>
      <c r="AE151" s="201"/>
      <c r="AF151" s="201"/>
      <c r="AG151" s="214"/>
      <c r="AH151" s="214"/>
      <c r="AI151" s="261"/>
      <c r="AJ151" s="214"/>
      <c r="AK151" s="261"/>
      <c r="AL151" s="197"/>
      <c r="AM151" s="264"/>
      <c r="AN151" s="200"/>
      <c r="AO151" s="219"/>
      <c r="AP151" s="219"/>
      <c r="AQ151" s="219"/>
      <c r="AR151" s="219"/>
      <c r="AS151" s="253"/>
      <c r="AT151" s="253"/>
      <c r="AU151" s="254"/>
      <c r="AV151" s="254"/>
    </row>
    <row r="152" ht="15.75" customHeight="1">
      <c r="A152" s="214"/>
      <c r="B152" s="197"/>
      <c r="C152" s="198"/>
      <c r="D152" s="199"/>
      <c r="E152" s="254"/>
      <c r="F152" s="254"/>
      <c r="G152" s="201"/>
      <c r="H152" s="200"/>
      <c r="I152" s="200"/>
      <c r="J152" s="254"/>
      <c r="K152" s="259"/>
      <c r="L152" s="254"/>
      <c r="M152" s="260"/>
      <c r="N152" s="200"/>
      <c r="O152" s="254"/>
      <c r="P152" s="201"/>
      <c r="Q152" s="201"/>
      <c r="R152" s="201"/>
      <c r="S152" s="201"/>
      <c r="T152" s="201"/>
      <c r="U152" s="201"/>
      <c r="V152" s="201"/>
      <c r="W152" s="201"/>
      <c r="X152" s="201"/>
      <c r="Y152" s="261"/>
      <c r="Z152" s="262"/>
      <c r="AA152" s="262"/>
      <c r="AB152" s="263"/>
      <c r="AC152" s="201"/>
      <c r="AD152" s="201"/>
      <c r="AE152" s="201"/>
      <c r="AF152" s="201"/>
      <c r="AG152" s="214"/>
      <c r="AH152" s="214"/>
      <c r="AI152" s="261"/>
      <c r="AJ152" s="214"/>
      <c r="AK152" s="261"/>
      <c r="AL152" s="197"/>
      <c r="AM152" s="264"/>
      <c r="AN152" s="200"/>
      <c r="AO152" s="219"/>
      <c r="AP152" s="219"/>
      <c r="AQ152" s="219"/>
      <c r="AR152" s="219"/>
      <c r="AS152" s="253"/>
      <c r="AT152" s="253"/>
      <c r="AU152" s="254"/>
      <c r="AV152" s="254"/>
    </row>
    <row r="153" ht="15.75" customHeight="1">
      <c r="A153" s="214"/>
      <c r="B153" s="197"/>
      <c r="C153" s="198"/>
      <c r="D153" s="199"/>
      <c r="E153" s="254"/>
      <c r="F153" s="254"/>
      <c r="G153" s="201"/>
      <c r="H153" s="200"/>
      <c r="I153" s="200"/>
      <c r="J153" s="254"/>
      <c r="K153" s="259"/>
      <c r="L153" s="254"/>
      <c r="M153" s="260"/>
      <c r="N153" s="200"/>
      <c r="O153" s="254"/>
      <c r="P153" s="201"/>
      <c r="Q153" s="201"/>
      <c r="R153" s="201"/>
      <c r="S153" s="201"/>
      <c r="T153" s="201"/>
      <c r="U153" s="201"/>
      <c r="V153" s="201"/>
      <c r="W153" s="201"/>
      <c r="X153" s="201"/>
      <c r="Y153" s="261"/>
      <c r="Z153" s="262"/>
      <c r="AA153" s="262"/>
      <c r="AB153" s="263"/>
      <c r="AC153" s="201"/>
      <c r="AD153" s="201"/>
      <c r="AE153" s="201"/>
      <c r="AF153" s="201"/>
      <c r="AG153" s="214"/>
      <c r="AH153" s="214"/>
      <c r="AI153" s="261"/>
      <c r="AJ153" s="214"/>
      <c r="AK153" s="261"/>
      <c r="AL153" s="197"/>
      <c r="AM153" s="264"/>
      <c r="AN153" s="200"/>
      <c r="AO153" s="219"/>
      <c r="AP153" s="219"/>
      <c r="AQ153" s="219"/>
      <c r="AR153" s="219"/>
      <c r="AS153" s="253"/>
      <c r="AT153" s="253"/>
      <c r="AU153" s="254"/>
      <c r="AV153" s="254"/>
    </row>
    <row r="154" ht="15.75" customHeight="1">
      <c r="A154" s="214"/>
      <c r="B154" s="197"/>
      <c r="C154" s="198"/>
      <c r="D154" s="199"/>
      <c r="E154" s="254"/>
      <c r="F154" s="254"/>
      <c r="G154" s="201"/>
      <c r="H154" s="200"/>
      <c r="I154" s="200"/>
      <c r="J154" s="254"/>
      <c r="K154" s="259"/>
      <c r="L154" s="254"/>
      <c r="M154" s="260"/>
      <c r="N154" s="200"/>
      <c r="O154" s="254"/>
      <c r="P154" s="201"/>
      <c r="Q154" s="201"/>
      <c r="R154" s="201"/>
      <c r="S154" s="201"/>
      <c r="T154" s="201"/>
      <c r="U154" s="201"/>
      <c r="V154" s="201"/>
      <c r="W154" s="201"/>
      <c r="X154" s="201"/>
      <c r="Y154" s="261"/>
      <c r="Z154" s="262"/>
      <c r="AA154" s="262"/>
      <c r="AB154" s="263"/>
      <c r="AC154" s="201"/>
      <c r="AD154" s="201"/>
      <c r="AE154" s="201"/>
      <c r="AF154" s="201"/>
      <c r="AG154" s="214"/>
      <c r="AH154" s="214"/>
      <c r="AI154" s="261"/>
      <c r="AJ154" s="214"/>
      <c r="AK154" s="261"/>
      <c r="AL154" s="197"/>
      <c r="AM154" s="264"/>
      <c r="AN154" s="200"/>
      <c r="AO154" s="219"/>
      <c r="AP154" s="219"/>
      <c r="AQ154" s="219"/>
      <c r="AR154" s="219"/>
      <c r="AS154" s="253"/>
      <c r="AT154" s="253"/>
      <c r="AU154" s="254"/>
      <c r="AV154" s="254"/>
    </row>
    <row r="155" ht="15.75" customHeight="1">
      <c r="A155" s="214"/>
      <c r="B155" s="197"/>
      <c r="C155" s="198"/>
      <c r="D155" s="199"/>
      <c r="E155" s="254"/>
      <c r="F155" s="254"/>
      <c r="G155" s="201"/>
      <c r="H155" s="200"/>
      <c r="I155" s="200"/>
      <c r="J155" s="254"/>
      <c r="K155" s="259"/>
      <c r="L155" s="254"/>
      <c r="M155" s="260"/>
      <c r="N155" s="200"/>
      <c r="O155" s="254"/>
      <c r="P155" s="201"/>
      <c r="Q155" s="201"/>
      <c r="R155" s="201"/>
      <c r="S155" s="201"/>
      <c r="T155" s="201"/>
      <c r="U155" s="201"/>
      <c r="V155" s="201"/>
      <c r="W155" s="201"/>
      <c r="X155" s="201"/>
      <c r="Y155" s="261"/>
      <c r="Z155" s="262"/>
      <c r="AA155" s="262"/>
      <c r="AB155" s="263"/>
      <c r="AC155" s="201"/>
      <c r="AD155" s="201"/>
      <c r="AE155" s="201"/>
      <c r="AF155" s="201"/>
      <c r="AG155" s="214"/>
      <c r="AH155" s="214"/>
      <c r="AI155" s="261"/>
      <c r="AJ155" s="214"/>
      <c r="AK155" s="261"/>
      <c r="AL155" s="197"/>
      <c r="AM155" s="264"/>
      <c r="AN155" s="200"/>
      <c r="AO155" s="219"/>
      <c r="AP155" s="219"/>
      <c r="AQ155" s="219"/>
      <c r="AR155" s="219"/>
      <c r="AS155" s="253"/>
      <c r="AT155" s="253"/>
      <c r="AU155" s="254"/>
      <c r="AV155" s="254"/>
    </row>
    <row r="156" ht="15.75" customHeight="1">
      <c r="A156" s="214"/>
      <c r="B156" s="197"/>
      <c r="C156" s="198"/>
      <c r="D156" s="199"/>
      <c r="E156" s="254"/>
      <c r="F156" s="254"/>
      <c r="G156" s="201"/>
      <c r="H156" s="200"/>
      <c r="I156" s="200"/>
      <c r="J156" s="254"/>
      <c r="K156" s="259"/>
      <c r="L156" s="254"/>
      <c r="M156" s="260"/>
      <c r="N156" s="200"/>
      <c r="O156" s="254"/>
      <c r="P156" s="201"/>
      <c r="Q156" s="201"/>
      <c r="R156" s="201"/>
      <c r="S156" s="201"/>
      <c r="T156" s="201"/>
      <c r="U156" s="201"/>
      <c r="V156" s="201"/>
      <c r="W156" s="201"/>
      <c r="X156" s="201"/>
      <c r="Y156" s="261"/>
      <c r="Z156" s="262"/>
      <c r="AA156" s="262"/>
      <c r="AB156" s="263"/>
      <c r="AC156" s="201"/>
      <c r="AD156" s="201"/>
      <c r="AE156" s="201"/>
      <c r="AF156" s="201"/>
      <c r="AG156" s="214"/>
      <c r="AH156" s="214"/>
      <c r="AI156" s="261"/>
      <c r="AJ156" s="214"/>
      <c r="AK156" s="261"/>
      <c r="AL156" s="197"/>
      <c r="AM156" s="264"/>
      <c r="AN156" s="200"/>
      <c r="AO156" s="219"/>
      <c r="AP156" s="219"/>
      <c r="AQ156" s="219"/>
      <c r="AR156" s="219"/>
      <c r="AS156" s="253"/>
      <c r="AT156" s="253"/>
      <c r="AU156" s="254"/>
      <c r="AV156" s="254"/>
    </row>
    <row r="157" ht="15.75" customHeight="1">
      <c r="A157" s="214"/>
      <c r="B157" s="197"/>
      <c r="C157" s="198"/>
      <c r="D157" s="199"/>
      <c r="E157" s="254"/>
      <c r="F157" s="254"/>
      <c r="G157" s="201"/>
      <c r="H157" s="200"/>
      <c r="I157" s="200"/>
      <c r="J157" s="254"/>
      <c r="K157" s="259"/>
      <c r="L157" s="254"/>
      <c r="M157" s="260"/>
      <c r="N157" s="200"/>
      <c r="O157" s="254"/>
      <c r="P157" s="201"/>
      <c r="Q157" s="201"/>
      <c r="R157" s="201"/>
      <c r="S157" s="201"/>
      <c r="T157" s="201"/>
      <c r="U157" s="201"/>
      <c r="V157" s="201"/>
      <c r="W157" s="201"/>
      <c r="X157" s="201"/>
      <c r="Y157" s="261"/>
      <c r="Z157" s="262"/>
      <c r="AA157" s="262"/>
      <c r="AB157" s="263"/>
      <c r="AC157" s="201"/>
      <c r="AD157" s="201"/>
      <c r="AE157" s="201"/>
      <c r="AF157" s="201"/>
      <c r="AG157" s="214"/>
      <c r="AH157" s="214"/>
      <c r="AI157" s="261"/>
      <c r="AJ157" s="214"/>
      <c r="AK157" s="261"/>
      <c r="AL157" s="197"/>
      <c r="AM157" s="264"/>
      <c r="AN157" s="200"/>
      <c r="AO157" s="219"/>
      <c r="AP157" s="219"/>
      <c r="AQ157" s="219"/>
      <c r="AR157" s="219"/>
      <c r="AS157" s="253"/>
      <c r="AT157" s="253"/>
      <c r="AU157" s="254"/>
      <c r="AV157" s="254"/>
    </row>
    <row r="158" ht="15.75" customHeight="1">
      <c r="A158" s="214"/>
      <c r="B158" s="197"/>
      <c r="C158" s="198"/>
      <c r="D158" s="199"/>
      <c r="E158" s="254"/>
      <c r="F158" s="254"/>
      <c r="G158" s="201"/>
      <c r="H158" s="200"/>
      <c r="I158" s="200"/>
      <c r="J158" s="254"/>
      <c r="K158" s="259"/>
      <c r="L158" s="254"/>
      <c r="M158" s="260"/>
      <c r="N158" s="200"/>
      <c r="O158" s="254"/>
      <c r="P158" s="201"/>
      <c r="Q158" s="201"/>
      <c r="R158" s="201"/>
      <c r="S158" s="201"/>
      <c r="T158" s="201"/>
      <c r="U158" s="201"/>
      <c r="V158" s="201"/>
      <c r="W158" s="201"/>
      <c r="X158" s="201"/>
      <c r="Y158" s="261"/>
      <c r="Z158" s="262"/>
      <c r="AA158" s="262"/>
      <c r="AB158" s="263"/>
      <c r="AC158" s="201"/>
      <c r="AD158" s="201"/>
      <c r="AE158" s="201"/>
      <c r="AF158" s="201"/>
      <c r="AG158" s="214"/>
      <c r="AH158" s="214"/>
      <c r="AI158" s="261"/>
      <c r="AJ158" s="214"/>
      <c r="AK158" s="261"/>
      <c r="AL158" s="197"/>
      <c r="AM158" s="264"/>
      <c r="AN158" s="200"/>
      <c r="AO158" s="219"/>
      <c r="AP158" s="219"/>
      <c r="AQ158" s="219"/>
      <c r="AR158" s="219"/>
      <c r="AS158" s="253"/>
      <c r="AT158" s="253"/>
      <c r="AU158" s="254"/>
      <c r="AV158" s="254"/>
    </row>
    <row r="159" ht="15.75" customHeight="1">
      <c r="A159" s="214"/>
      <c r="B159" s="197"/>
      <c r="C159" s="198"/>
      <c r="D159" s="199"/>
      <c r="E159" s="254"/>
      <c r="F159" s="254"/>
      <c r="G159" s="201"/>
      <c r="H159" s="200"/>
      <c r="I159" s="200"/>
      <c r="J159" s="254"/>
      <c r="K159" s="259"/>
      <c r="L159" s="254"/>
      <c r="M159" s="260"/>
      <c r="N159" s="200"/>
      <c r="O159" s="254"/>
      <c r="P159" s="201"/>
      <c r="Q159" s="201"/>
      <c r="R159" s="201"/>
      <c r="S159" s="201"/>
      <c r="T159" s="201"/>
      <c r="U159" s="201"/>
      <c r="V159" s="201"/>
      <c r="W159" s="201"/>
      <c r="X159" s="201"/>
      <c r="Y159" s="261"/>
      <c r="Z159" s="262"/>
      <c r="AA159" s="262"/>
      <c r="AB159" s="263"/>
      <c r="AC159" s="201"/>
      <c r="AD159" s="201"/>
      <c r="AE159" s="201"/>
      <c r="AF159" s="201"/>
      <c r="AG159" s="214"/>
      <c r="AH159" s="214"/>
      <c r="AI159" s="261"/>
      <c r="AJ159" s="214"/>
      <c r="AK159" s="261"/>
      <c r="AL159" s="197"/>
      <c r="AM159" s="264"/>
      <c r="AN159" s="200"/>
      <c r="AO159" s="219"/>
      <c r="AP159" s="219"/>
      <c r="AQ159" s="219"/>
      <c r="AR159" s="219"/>
      <c r="AS159" s="253"/>
      <c r="AT159" s="253"/>
      <c r="AU159" s="254"/>
      <c r="AV159" s="254"/>
    </row>
    <row r="160" ht="15.75" customHeight="1">
      <c r="A160" s="214"/>
      <c r="B160" s="197"/>
      <c r="C160" s="198"/>
      <c r="D160" s="199"/>
      <c r="E160" s="254"/>
      <c r="F160" s="254"/>
      <c r="G160" s="201"/>
      <c r="H160" s="200"/>
      <c r="I160" s="200"/>
      <c r="J160" s="254"/>
      <c r="K160" s="259"/>
      <c r="L160" s="254"/>
      <c r="M160" s="260"/>
      <c r="N160" s="200"/>
      <c r="O160" s="254"/>
      <c r="P160" s="201"/>
      <c r="Q160" s="201"/>
      <c r="R160" s="201"/>
      <c r="S160" s="201"/>
      <c r="T160" s="201"/>
      <c r="U160" s="201"/>
      <c r="V160" s="201"/>
      <c r="W160" s="201"/>
      <c r="X160" s="201"/>
      <c r="Y160" s="261"/>
      <c r="Z160" s="262"/>
      <c r="AA160" s="262"/>
      <c r="AB160" s="263"/>
      <c r="AC160" s="201"/>
      <c r="AD160" s="201"/>
      <c r="AE160" s="201"/>
      <c r="AF160" s="201"/>
      <c r="AG160" s="214"/>
      <c r="AH160" s="214"/>
      <c r="AI160" s="261"/>
      <c r="AJ160" s="214"/>
      <c r="AK160" s="261"/>
      <c r="AL160" s="197"/>
      <c r="AM160" s="264"/>
      <c r="AN160" s="200"/>
      <c r="AO160" s="219"/>
      <c r="AP160" s="219"/>
      <c r="AQ160" s="219"/>
      <c r="AR160" s="219"/>
      <c r="AS160" s="253"/>
      <c r="AT160" s="253"/>
      <c r="AU160" s="254"/>
      <c r="AV160" s="254"/>
    </row>
    <row r="161" ht="15.75" customHeight="1">
      <c r="A161" s="214"/>
      <c r="B161" s="197"/>
      <c r="C161" s="198"/>
      <c r="D161" s="199"/>
      <c r="E161" s="254"/>
      <c r="F161" s="254"/>
      <c r="G161" s="201"/>
      <c r="H161" s="200"/>
      <c r="I161" s="200"/>
      <c r="J161" s="254"/>
      <c r="K161" s="259"/>
      <c r="L161" s="254"/>
      <c r="M161" s="260"/>
      <c r="N161" s="200"/>
      <c r="O161" s="254"/>
      <c r="P161" s="201"/>
      <c r="Q161" s="201"/>
      <c r="R161" s="201"/>
      <c r="S161" s="201"/>
      <c r="T161" s="201"/>
      <c r="U161" s="201"/>
      <c r="V161" s="201"/>
      <c r="W161" s="201"/>
      <c r="X161" s="201"/>
      <c r="Y161" s="261"/>
      <c r="Z161" s="262"/>
      <c r="AA161" s="262"/>
      <c r="AB161" s="263"/>
      <c r="AC161" s="201"/>
      <c r="AD161" s="201"/>
      <c r="AE161" s="201"/>
      <c r="AF161" s="201"/>
      <c r="AG161" s="214"/>
      <c r="AH161" s="214"/>
      <c r="AI161" s="261"/>
      <c r="AJ161" s="214"/>
      <c r="AK161" s="261"/>
      <c r="AL161" s="197"/>
      <c r="AM161" s="264"/>
      <c r="AN161" s="200"/>
      <c r="AO161" s="219"/>
      <c r="AP161" s="219"/>
      <c r="AQ161" s="219"/>
      <c r="AR161" s="219"/>
      <c r="AS161" s="253"/>
      <c r="AT161" s="253"/>
      <c r="AU161" s="254"/>
      <c r="AV161" s="254"/>
    </row>
    <row r="162" ht="15.75" customHeight="1">
      <c r="A162" s="214"/>
      <c r="B162" s="197"/>
      <c r="C162" s="198"/>
      <c r="D162" s="199"/>
      <c r="E162" s="254"/>
      <c r="F162" s="254"/>
      <c r="G162" s="201"/>
      <c r="H162" s="200"/>
      <c r="I162" s="200"/>
      <c r="J162" s="254"/>
      <c r="K162" s="259"/>
      <c r="L162" s="254"/>
      <c r="M162" s="260"/>
      <c r="N162" s="200"/>
      <c r="O162" s="254"/>
      <c r="P162" s="201"/>
      <c r="Q162" s="201"/>
      <c r="R162" s="201"/>
      <c r="S162" s="201"/>
      <c r="T162" s="201"/>
      <c r="U162" s="201"/>
      <c r="V162" s="201"/>
      <c r="W162" s="201"/>
      <c r="X162" s="201"/>
      <c r="Y162" s="261"/>
      <c r="Z162" s="262"/>
      <c r="AA162" s="262"/>
      <c r="AB162" s="263"/>
      <c r="AC162" s="201"/>
      <c r="AD162" s="201"/>
      <c r="AE162" s="201"/>
      <c r="AF162" s="201"/>
      <c r="AG162" s="214"/>
      <c r="AH162" s="214"/>
      <c r="AI162" s="261"/>
      <c r="AJ162" s="214"/>
      <c r="AK162" s="261"/>
      <c r="AL162" s="197"/>
      <c r="AM162" s="264"/>
      <c r="AN162" s="200"/>
      <c r="AO162" s="219"/>
      <c r="AP162" s="219"/>
      <c r="AQ162" s="219"/>
      <c r="AR162" s="219"/>
      <c r="AS162" s="253"/>
      <c r="AT162" s="253"/>
      <c r="AU162" s="254"/>
      <c r="AV162" s="254"/>
    </row>
    <row r="163" ht="15.75" customHeight="1">
      <c r="A163" s="214"/>
      <c r="B163" s="197"/>
      <c r="C163" s="198"/>
      <c r="D163" s="199"/>
      <c r="E163" s="254"/>
      <c r="F163" s="254"/>
      <c r="G163" s="201"/>
      <c r="H163" s="200"/>
      <c r="I163" s="200"/>
      <c r="J163" s="254"/>
      <c r="K163" s="259"/>
      <c r="L163" s="254"/>
      <c r="M163" s="260"/>
      <c r="N163" s="200"/>
      <c r="O163" s="254"/>
      <c r="P163" s="201"/>
      <c r="Q163" s="201"/>
      <c r="R163" s="201"/>
      <c r="S163" s="201"/>
      <c r="T163" s="201"/>
      <c r="U163" s="201"/>
      <c r="V163" s="201"/>
      <c r="W163" s="201"/>
      <c r="X163" s="201"/>
      <c r="Y163" s="261"/>
      <c r="Z163" s="262"/>
      <c r="AA163" s="262"/>
      <c r="AB163" s="263"/>
      <c r="AC163" s="201"/>
      <c r="AD163" s="201"/>
      <c r="AE163" s="201"/>
      <c r="AF163" s="201"/>
      <c r="AG163" s="214"/>
      <c r="AH163" s="214"/>
      <c r="AI163" s="261"/>
      <c r="AJ163" s="214"/>
      <c r="AK163" s="261"/>
      <c r="AL163" s="197"/>
      <c r="AM163" s="264"/>
      <c r="AN163" s="200"/>
      <c r="AO163" s="219"/>
      <c r="AP163" s="219"/>
      <c r="AQ163" s="219"/>
      <c r="AR163" s="219"/>
      <c r="AS163" s="253"/>
      <c r="AT163" s="253"/>
      <c r="AU163" s="254"/>
      <c r="AV163" s="254"/>
    </row>
    <row r="164" ht="15.75" customHeight="1">
      <c r="A164" s="214"/>
      <c r="B164" s="197"/>
      <c r="C164" s="198"/>
      <c r="D164" s="199"/>
      <c r="E164" s="254"/>
      <c r="F164" s="254"/>
      <c r="G164" s="201"/>
      <c r="H164" s="200"/>
      <c r="I164" s="200"/>
      <c r="J164" s="254"/>
      <c r="K164" s="259"/>
      <c r="L164" s="254"/>
      <c r="M164" s="260"/>
      <c r="N164" s="200"/>
      <c r="O164" s="254"/>
      <c r="P164" s="201"/>
      <c r="Q164" s="201"/>
      <c r="R164" s="201"/>
      <c r="S164" s="201"/>
      <c r="T164" s="201"/>
      <c r="U164" s="201"/>
      <c r="V164" s="201"/>
      <c r="W164" s="201"/>
      <c r="X164" s="201"/>
      <c r="Y164" s="261"/>
      <c r="Z164" s="262"/>
      <c r="AA164" s="262"/>
      <c r="AB164" s="263"/>
      <c r="AC164" s="201"/>
      <c r="AD164" s="201"/>
      <c r="AE164" s="201"/>
      <c r="AF164" s="201"/>
      <c r="AG164" s="214"/>
      <c r="AH164" s="214"/>
      <c r="AI164" s="261"/>
      <c r="AJ164" s="214"/>
      <c r="AK164" s="261"/>
      <c r="AL164" s="197"/>
      <c r="AM164" s="264"/>
      <c r="AN164" s="200"/>
      <c r="AO164" s="219"/>
      <c r="AP164" s="219"/>
      <c r="AQ164" s="219"/>
      <c r="AR164" s="219"/>
      <c r="AS164" s="253"/>
      <c r="AT164" s="253"/>
      <c r="AU164" s="254"/>
      <c r="AV164" s="254"/>
    </row>
    <row r="165" ht="15.75" customHeight="1">
      <c r="A165" s="214"/>
      <c r="B165" s="197"/>
      <c r="C165" s="198"/>
      <c r="D165" s="199"/>
      <c r="E165" s="254"/>
      <c r="F165" s="254"/>
      <c r="G165" s="201"/>
      <c r="H165" s="200"/>
      <c r="I165" s="200"/>
      <c r="J165" s="254"/>
      <c r="K165" s="259"/>
      <c r="L165" s="254"/>
      <c r="M165" s="260"/>
      <c r="N165" s="200"/>
      <c r="O165" s="254"/>
      <c r="P165" s="201"/>
      <c r="Q165" s="201"/>
      <c r="R165" s="201"/>
      <c r="S165" s="201"/>
      <c r="T165" s="201"/>
      <c r="U165" s="201"/>
      <c r="V165" s="201"/>
      <c r="W165" s="201"/>
      <c r="X165" s="201"/>
      <c r="Y165" s="261"/>
      <c r="Z165" s="262"/>
      <c r="AA165" s="262"/>
      <c r="AB165" s="263"/>
      <c r="AC165" s="201"/>
      <c r="AD165" s="201"/>
      <c r="AE165" s="201"/>
      <c r="AF165" s="201"/>
      <c r="AG165" s="214"/>
      <c r="AH165" s="214"/>
      <c r="AI165" s="261"/>
      <c r="AJ165" s="214"/>
      <c r="AK165" s="261"/>
      <c r="AL165" s="197"/>
      <c r="AM165" s="264"/>
      <c r="AN165" s="200"/>
      <c r="AO165" s="219"/>
      <c r="AP165" s="219"/>
      <c r="AQ165" s="219"/>
      <c r="AR165" s="219"/>
      <c r="AS165" s="253"/>
      <c r="AT165" s="253"/>
      <c r="AU165" s="254"/>
      <c r="AV165" s="254"/>
    </row>
    <row r="166" ht="15.75" customHeight="1">
      <c r="A166" s="214"/>
      <c r="B166" s="197"/>
      <c r="C166" s="198"/>
      <c r="D166" s="199"/>
      <c r="E166" s="254"/>
      <c r="F166" s="254"/>
      <c r="G166" s="201"/>
      <c r="H166" s="200"/>
      <c r="I166" s="200"/>
      <c r="J166" s="254"/>
      <c r="K166" s="259"/>
      <c r="L166" s="254"/>
      <c r="M166" s="260"/>
      <c r="N166" s="200"/>
      <c r="O166" s="254"/>
      <c r="P166" s="201"/>
      <c r="Q166" s="201"/>
      <c r="R166" s="201"/>
      <c r="S166" s="201"/>
      <c r="T166" s="201"/>
      <c r="U166" s="201"/>
      <c r="V166" s="201"/>
      <c r="W166" s="201"/>
      <c r="X166" s="201"/>
      <c r="Y166" s="261"/>
      <c r="Z166" s="262"/>
      <c r="AA166" s="262"/>
      <c r="AB166" s="263"/>
      <c r="AC166" s="201"/>
      <c r="AD166" s="201"/>
      <c r="AE166" s="201"/>
      <c r="AF166" s="201"/>
      <c r="AG166" s="214"/>
      <c r="AH166" s="214"/>
      <c r="AI166" s="261"/>
      <c r="AJ166" s="214"/>
      <c r="AK166" s="261"/>
      <c r="AL166" s="197"/>
      <c r="AM166" s="264"/>
      <c r="AN166" s="200"/>
      <c r="AO166" s="219"/>
      <c r="AP166" s="219"/>
      <c r="AQ166" s="219"/>
      <c r="AR166" s="219"/>
      <c r="AS166" s="253"/>
      <c r="AT166" s="253"/>
      <c r="AU166" s="254"/>
      <c r="AV166" s="254"/>
    </row>
    <row r="167" ht="15.75" customHeight="1">
      <c r="A167" s="214"/>
      <c r="B167" s="197"/>
      <c r="C167" s="198"/>
      <c r="D167" s="199"/>
      <c r="E167" s="254"/>
      <c r="F167" s="254"/>
      <c r="G167" s="201"/>
      <c r="H167" s="200"/>
      <c r="I167" s="200"/>
      <c r="J167" s="254"/>
      <c r="K167" s="259"/>
      <c r="L167" s="254"/>
      <c r="M167" s="260"/>
      <c r="N167" s="200"/>
      <c r="O167" s="254"/>
      <c r="P167" s="201"/>
      <c r="Q167" s="201"/>
      <c r="R167" s="201"/>
      <c r="S167" s="201"/>
      <c r="T167" s="201"/>
      <c r="U167" s="201"/>
      <c r="V167" s="201"/>
      <c r="W167" s="201"/>
      <c r="X167" s="201"/>
      <c r="Y167" s="261"/>
      <c r="Z167" s="262"/>
      <c r="AA167" s="262"/>
      <c r="AB167" s="263"/>
      <c r="AC167" s="201"/>
      <c r="AD167" s="201"/>
      <c r="AE167" s="201"/>
      <c r="AF167" s="201"/>
      <c r="AG167" s="214"/>
      <c r="AH167" s="214"/>
      <c r="AI167" s="261"/>
      <c r="AJ167" s="214"/>
      <c r="AK167" s="261"/>
      <c r="AL167" s="197"/>
      <c r="AM167" s="264"/>
      <c r="AN167" s="200"/>
      <c r="AO167" s="219"/>
      <c r="AP167" s="219"/>
      <c r="AQ167" s="219"/>
      <c r="AR167" s="219"/>
      <c r="AS167" s="253"/>
      <c r="AT167" s="253"/>
      <c r="AU167" s="254"/>
      <c r="AV167" s="254"/>
    </row>
    <row r="168" ht="15.75" customHeight="1">
      <c r="A168" s="214"/>
      <c r="B168" s="197"/>
      <c r="C168" s="198"/>
      <c r="D168" s="199"/>
      <c r="E168" s="254"/>
      <c r="F168" s="254"/>
      <c r="G168" s="201"/>
      <c r="H168" s="200"/>
      <c r="I168" s="200"/>
      <c r="J168" s="254"/>
      <c r="K168" s="259"/>
      <c r="L168" s="254"/>
      <c r="M168" s="260"/>
      <c r="N168" s="200"/>
      <c r="O168" s="254"/>
      <c r="P168" s="201"/>
      <c r="Q168" s="201"/>
      <c r="R168" s="201"/>
      <c r="S168" s="201"/>
      <c r="T168" s="201"/>
      <c r="U168" s="201"/>
      <c r="V168" s="201"/>
      <c r="W168" s="201"/>
      <c r="X168" s="201"/>
      <c r="Y168" s="261"/>
      <c r="Z168" s="262"/>
      <c r="AA168" s="262"/>
      <c r="AB168" s="263"/>
      <c r="AC168" s="201"/>
      <c r="AD168" s="201"/>
      <c r="AE168" s="201"/>
      <c r="AF168" s="201"/>
      <c r="AG168" s="214"/>
      <c r="AH168" s="214"/>
      <c r="AI168" s="261"/>
      <c r="AJ168" s="214"/>
      <c r="AK168" s="261"/>
      <c r="AL168" s="197"/>
      <c r="AM168" s="264"/>
      <c r="AN168" s="200"/>
      <c r="AO168" s="219"/>
      <c r="AP168" s="219"/>
      <c r="AQ168" s="219"/>
      <c r="AR168" s="219"/>
      <c r="AS168" s="253"/>
      <c r="AT168" s="253"/>
      <c r="AU168" s="254"/>
      <c r="AV168" s="254"/>
    </row>
    <row r="169" ht="15.75" customHeight="1">
      <c r="A169" s="214"/>
      <c r="B169" s="197"/>
      <c r="C169" s="198"/>
      <c r="D169" s="199"/>
      <c r="E169" s="254"/>
      <c r="F169" s="254"/>
      <c r="G169" s="201"/>
      <c r="H169" s="200"/>
      <c r="I169" s="200"/>
      <c r="J169" s="254"/>
      <c r="K169" s="259"/>
      <c r="L169" s="254"/>
      <c r="M169" s="260"/>
      <c r="N169" s="200"/>
      <c r="O169" s="254"/>
      <c r="P169" s="201"/>
      <c r="Q169" s="201"/>
      <c r="R169" s="201"/>
      <c r="S169" s="201"/>
      <c r="T169" s="201"/>
      <c r="U169" s="201"/>
      <c r="V169" s="201"/>
      <c r="W169" s="201"/>
      <c r="X169" s="201"/>
      <c r="Y169" s="261"/>
      <c r="Z169" s="262"/>
      <c r="AA169" s="262"/>
      <c r="AB169" s="263"/>
      <c r="AC169" s="201"/>
      <c r="AD169" s="201"/>
      <c r="AE169" s="201"/>
      <c r="AF169" s="201"/>
      <c r="AG169" s="214"/>
      <c r="AH169" s="214"/>
      <c r="AI169" s="261"/>
      <c r="AJ169" s="214"/>
      <c r="AK169" s="261"/>
      <c r="AL169" s="197"/>
      <c r="AM169" s="264"/>
      <c r="AN169" s="200"/>
      <c r="AO169" s="219"/>
      <c r="AP169" s="219"/>
      <c r="AQ169" s="219"/>
      <c r="AR169" s="219"/>
      <c r="AS169" s="253"/>
      <c r="AT169" s="253"/>
      <c r="AU169" s="254"/>
      <c r="AV169" s="254"/>
    </row>
    <row r="170" ht="15.75" customHeight="1">
      <c r="A170" s="214"/>
      <c r="B170" s="197"/>
      <c r="C170" s="198"/>
      <c r="D170" s="199"/>
      <c r="E170" s="254"/>
      <c r="F170" s="254"/>
      <c r="G170" s="201"/>
      <c r="H170" s="200"/>
      <c r="I170" s="200"/>
      <c r="J170" s="254"/>
      <c r="K170" s="259"/>
      <c r="L170" s="254"/>
      <c r="M170" s="260"/>
      <c r="N170" s="200"/>
      <c r="O170" s="254"/>
      <c r="P170" s="201"/>
      <c r="Q170" s="201"/>
      <c r="R170" s="201"/>
      <c r="S170" s="201"/>
      <c r="T170" s="201"/>
      <c r="U170" s="201"/>
      <c r="V170" s="201"/>
      <c r="W170" s="201"/>
      <c r="X170" s="201"/>
      <c r="Y170" s="261"/>
      <c r="Z170" s="262"/>
      <c r="AA170" s="262"/>
      <c r="AB170" s="263"/>
      <c r="AC170" s="201"/>
      <c r="AD170" s="201"/>
      <c r="AE170" s="201"/>
      <c r="AF170" s="201"/>
      <c r="AG170" s="214"/>
      <c r="AH170" s="214"/>
      <c r="AI170" s="261"/>
      <c r="AJ170" s="214"/>
      <c r="AK170" s="261"/>
      <c r="AL170" s="197"/>
      <c r="AM170" s="264"/>
      <c r="AN170" s="200"/>
      <c r="AO170" s="219"/>
      <c r="AP170" s="219"/>
      <c r="AQ170" s="219"/>
      <c r="AR170" s="219"/>
      <c r="AS170" s="253"/>
      <c r="AT170" s="253"/>
      <c r="AU170" s="254"/>
      <c r="AV170" s="254"/>
    </row>
    <row r="171" ht="15.75" customHeight="1">
      <c r="A171" s="214"/>
      <c r="B171" s="197"/>
      <c r="C171" s="198"/>
      <c r="D171" s="199"/>
      <c r="E171" s="254"/>
      <c r="F171" s="254"/>
      <c r="G171" s="201"/>
      <c r="H171" s="200"/>
      <c r="I171" s="200"/>
      <c r="J171" s="254"/>
      <c r="K171" s="259"/>
      <c r="L171" s="254"/>
      <c r="M171" s="260"/>
      <c r="N171" s="200"/>
      <c r="O171" s="254"/>
      <c r="P171" s="201"/>
      <c r="Q171" s="201"/>
      <c r="R171" s="201"/>
      <c r="S171" s="201"/>
      <c r="T171" s="201"/>
      <c r="U171" s="201"/>
      <c r="V171" s="201"/>
      <c r="W171" s="201"/>
      <c r="X171" s="201"/>
      <c r="Y171" s="261"/>
      <c r="Z171" s="262"/>
      <c r="AA171" s="262"/>
      <c r="AB171" s="263"/>
      <c r="AC171" s="201"/>
      <c r="AD171" s="201"/>
      <c r="AE171" s="201"/>
      <c r="AF171" s="201"/>
      <c r="AG171" s="214"/>
      <c r="AH171" s="214"/>
      <c r="AI171" s="261"/>
      <c r="AJ171" s="214"/>
      <c r="AK171" s="261"/>
      <c r="AL171" s="197"/>
      <c r="AM171" s="264"/>
      <c r="AN171" s="200"/>
      <c r="AO171" s="219"/>
      <c r="AP171" s="219"/>
      <c r="AQ171" s="219"/>
      <c r="AR171" s="219"/>
      <c r="AS171" s="253"/>
      <c r="AT171" s="253"/>
      <c r="AU171" s="254"/>
      <c r="AV171" s="254"/>
    </row>
    <row r="172" ht="15.75" customHeight="1">
      <c r="A172" s="214"/>
      <c r="B172" s="197"/>
      <c r="C172" s="198"/>
      <c r="D172" s="199"/>
      <c r="E172" s="254"/>
      <c r="F172" s="254"/>
      <c r="G172" s="201"/>
      <c r="H172" s="200"/>
      <c r="I172" s="200"/>
      <c r="J172" s="254"/>
      <c r="K172" s="259"/>
      <c r="L172" s="254"/>
      <c r="M172" s="260"/>
      <c r="N172" s="200"/>
      <c r="O172" s="254"/>
      <c r="P172" s="201"/>
      <c r="Q172" s="201"/>
      <c r="R172" s="201"/>
      <c r="S172" s="201"/>
      <c r="T172" s="201"/>
      <c r="U172" s="201"/>
      <c r="V172" s="201"/>
      <c r="W172" s="201"/>
      <c r="X172" s="201"/>
      <c r="Y172" s="261"/>
      <c r="Z172" s="262"/>
      <c r="AA172" s="262"/>
      <c r="AB172" s="263"/>
      <c r="AC172" s="201"/>
      <c r="AD172" s="201"/>
      <c r="AE172" s="201"/>
      <c r="AF172" s="201"/>
      <c r="AG172" s="214"/>
      <c r="AH172" s="214"/>
      <c r="AI172" s="261"/>
      <c r="AJ172" s="214"/>
      <c r="AK172" s="261"/>
      <c r="AL172" s="197"/>
      <c r="AM172" s="264"/>
      <c r="AN172" s="200"/>
      <c r="AO172" s="219"/>
      <c r="AP172" s="219"/>
      <c r="AQ172" s="219"/>
      <c r="AR172" s="219"/>
      <c r="AS172" s="253"/>
      <c r="AT172" s="253"/>
      <c r="AU172" s="254"/>
      <c r="AV172" s="254"/>
    </row>
    <row r="173" ht="15.75" customHeight="1">
      <c r="A173" s="214"/>
      <c r="B173" s="197"/>
      <c r="C173" s="198"/>
      <c r="D173" s="199"/>
      <c r="E173" s="254"/>
      <c r="F173" s="254"/>
      <c r="G173" s="201"/>
      <c r="H173" s="200"/>
      <c r="I173" s="200"/>
      <c r="J173" s="254"/>
      <c r="K173" s="259"/>
      <c r="L173" s="254"/>
      <c r="M173" s="260"/>
      <c r="N173" s="200"/>
      <c r="O173" s="254"/>
      <c r="P173" s="201"/>
      <c r="Q173" s="201"/>
      <c r="R173" s="201"/>
      <c r="S173" s="201"/>
      <c r="T173" s="201"/>
      <c r="U173" s="201"/>
      <c r="V173" s="201"/>
      <c r="W173" s="201"/>
      <c r="X173" s="201"/>
      <c r="Y173" s="261"/>
      <c r="Z173" s="262"/>
      <c r="AA173" s="262"/>
      <c r="AB173" s="263"/>
      <c r="AC173" s="201"/>
      <c r="AD173" s="201"/>
      <c r="AE173" s="201"/>
      <c r="AF173" s="201"/>
      <c r="AG173" s="214"/>
      <c r="AH173" s="214"/>
      <c r="AI173" s="261"/>
      <c r="AJ173" s="214"/>
      <c r="AK173" s="261"/>
      <c r="AL173" s="197"/>
      <c r="AM173" s="264"/>
      <c r="AN173" s="200"/>
      <c r="AO173" s="219"/>
      <c r="AP173" s="219"/>
      <c r="AQ173" s="219"/>
      <c r="AR173" s="219"/>
      <c r="AS173" s="253"/>
      <c r="AT173" s="253"/>
      <c r="AU173" s="254"/>
      <c r="AV173" s="254"/>
    </row>
    <row r="174" ht="15.75" customHeight="1">
      <c r="A174" s="214"/>
      <c r="B174" s="197"/>
      <c r="C174" s="198"/>
      <c r="D174" s="199"/>
      <c r="E174" s="254"/>
      <c r="F174" s="254"/>
      <c r="G174" s="201"/>
      <c r="H174" s="200"/>
      <c r="I174" s="200"/>
      <c r="J174" s="254"/>
      <c r="K174" s="259"/>
      <c r="L174" s="254"/>
      <c r="M174" s="260"/>
      <c r="N174" s="200"/>
      <c r="O174" s="254"/>
      <c r="P174" s="201"/>
      <c r="Q174" s="201"/>
      <c r="R174" s="201"/>
      <c r="S174" s="201"/>
      <c r="T174" s="201"/>
      <c r="U174" s="201"/>
      <c r="V174" s="201"/>
      <c r="W174" s="201"/>
      <c r="X174" s="201"/>
      <c r="Y174" s="261"/>
      <c r="Z174" s="262"/>
      <c r="AA174" s="262"/>
      <c r="AB174" s="263"/>
      <c r="AC174" s="201"/>
      <c r="AD174" s="201"/>
      <c r="AE174" s="201"/>
      <c r="AF174" s="201"/>
      <c r="AG174" s="214"/>
      <c r="AH174" s="214"/>
      <c r="AI174" s="261"/>
      <c r="AJ174" s="214"/>
      <c r="AK174" s="261"/>
      <c r="AL174" s="197"/>
      <c r="AM174" s="264"/>
      <c r="AN174" s="200"/>
      <c r="AO174" s="219"/>
      <c r="AP174" s="219"/>
      <c r="AQ174" s="219"/>
      <c r="AR174" s="219"/>
      <c r="AS174" s="253"/>
      <c r="AT174" s="253"/>
      <c r="AU174" s="254"/>
      <c r="AV174" s="254"/>
    </row>
    <row r="175" ht="15.75" customHeight="1">
      <c r="A175" s="214"/>
      <c r="B175" s="197"/>
      <c r="C175" s="198"/>
      <c r="D175" s="199"/>
      <c r="E175" s="254"/>
      <c r="F175" s="254"/>
      <c r="G175" s="201"/>
      <c r="H175" s="200"/>
      <c r="I175" s="200"/>
      <c r="J175" s="254"/>
      <c r="K175" s="259"/>
      <c r="L175" s="254"/>
      <c r="M175" s="260"/>
      <c r="N175" s="200"/>
      <c r="O175" s="254"/>
      <c r="P175" s="201"/>
      <c r="Q175" s="201"/>
      <c r="R175" s="201"/>
      <c r="S175" s="201"/>
      <c r="T175" s="201"/>
      <c r="U175" s="201"/>
      <c r="V175" s="201"/>
      <c r="W175" s="201"/>
      <c r="X175" s="201"/>
      <c r="Y175" s="261"/>
      <c r="Z175" s="262"/>
      <c r="AA175" s="262"/>
      <c r="AB175" s="263"/>
      <c r="AC175" s="201"/>
      <c r="AD175" s="201"/>
      <c r="AE175" s="201"/>
      <c r="AF175" s="201"/>
      <c r="AG175" s="214"/>
      <c r="AH175" s="214"/>
      <c r="AI175" s="261"/>
      <c r="AJ175" s="214"/>
      <c r="AK175" s="261"/>
      <c r="AL175" s="197"/>
      <c r="AM175" s="264"/>
      <c r="AN175" s="200"/>
      <c r="AO175" s="219"/>
      <c r="AP175" s="219"/>
      <c r="AQ175" s="219"/>
      <c r="AR175" s="219"/>
      <c r="AS175" s="253"/>
      <c r="AT175" s="253"/>
      <c r="AU175" s="254"/>
      <c r="AV175" s="254"/>
    </row>
    <row r="176" ht="15.75" customHeight="1">
      <c r="A176" s="214"/>
      <c r="B176" s="197"/>
      <c r="C176" s="198"/>
      <c r="D176" s="199"/>
      <c r="E176" s="254"/>
      <c r="F176" s="254"/>
      <c r="G176" s="201"/>
      <c r="H176" s="200"/>
      <c r="I176" s="200"/>
      <c r="J176" s="254"/>
      <c r="K176" s="259"/>
      <c r="L176" s="254"/>
      <c r="M176" s="260"/>
      <c r="N176" s="200"/>
      <c r="O176" s="254"/>
      <c r="P176" s="201"/>
      <c r="Q176" s="201"/>
      <c r="R176" s="201"/>
      <c r="S176" s="201"/>
      <c r="T176" s="201"/>
      <c r="U176" s="201"/>
      <c r="V176" s="201"/>
      <c r="W176" s="201"/>
      <c r="X176" s="201"/>
      <c r="Y176" s="261"/>
      <c r="Z176" s="262"/>
      <c r="AA176" s="262"/>
      <c r="AB176" s="263"/>
      <c r="AC176" s="201"/>
      <c r="AD176" s="201"/>
      <c r="AE176" s="201"/>
      <c r="AF176" s="201"/>
      <c r="AG176" s="214"/>
      <c r="AH176" s="214"/>
      <c r="AI176" s="261"/>
      <c r="AJ176" s="214"/>
      <c r="AK176" s="261"/>
      <c r="AL176" s="197"/>
      <c r="AM176" s="264"/>
      <c r="AN176" s="200"/>
      <c r="AO176" s="219"/>
      <c r="AP176" s="219"/>
      <c r="AQ176" s="219"/>
      <c r="AR176" s="219"/>
      <c r="AS176" s="253"/>
      <c r="AT176" s="253"/>
      <c r="AU176" s="254"/>
      <c r="AV176" s="254"/>
    </row>
    <row r="177" ht="15.75" customHeight="1">
      <c r="A177" s="214"/>
      <c r="B177" s="197"/>
      <c r="C177" s="198"/>
      <c r="D177" s="199"/>
      <c r="E177" s="254"/>
      <c r="F177" s="254"/>
      <c r="G177" s="201"/>
      <c r="H177" s="200"/>
      <c r="I177" s="200"/>
      <c r="J177" s="254"/>
      <c r="K177" s="259"/>
      <c r="L177" s="254"/>
      <c r="M177" s="260"/>
      <c r="N177" s="200"/>
      <c r="O177" s="254"/>
      <c r="P177" s="201"/>
      <c r="Q177" s="201"/>
      <c r="R177" s="201"/>
      <c r="S177" s="201"/>
      <c r="T177" s="201"/>
      <c r="U177" s="201"/>
      <c r="V177" s="201"/>
      <c r="W177" s="201"/>
      <c r="X177" s="201"/>
      <c r="Y177" s="261"/>
      <c r="Z177" s="262"/>
      <c r="AA177" s="262"/>
      <c r="AB177" s="263"/>
      <c r="AC177" s="201"/>
      <c r="AD177" s="201"/>
      <c r="AE177" s="201"/>
      <c r="AF177" s="201"/>
      <c r="AG177" s="214"/>
      <c r="AH177" s="214"/>
      <c r="AI177" s="261"/>
      <c r="AJ177" s="214"/>
      <c r="AK177" s="261"/>
      <c r="AL177" s="197"/>
      <c r="AM177" s="264"/>
      <c r="AN177" s="200"/>
      <c r="AO177" s="219"/>
      <c r="AP177" s="219"/>
      <c r="AQ177" s="219"/>
      <c r="AR177" s="219"/>
      <c r="AS177" s="253"/>
      <c r="AT177" s="253"/>
      <c r="AU177" s="254"/>
      <c r="AV177" s="254"/>
    </row>
    <row r="178" ht="15.75" customHeight="1">
      <c r="A178" s="214"/>
      <c r="B178" s="197"/>
      <c r="C178" s="198"/>
      <c r="D178" s="199"/>
      <c r="E178" s="254"/>
      <c r="F178" s="254"/>
      <c r="G178" s="201"/>
      <c r="H178" s="200"/>
      <c r="I178" s="200"/>
      <c r="J178" s="254"/>
      <c r="K178" s="259"/>
      <c r="L178" s="254"/>
      <c r="M178" s="260"/>
      <c r="N178" s="200"/>
      <c r="O178" s="254"/>
      <c r="P178" s="201"/>
      <c r="Q178" s="201"/>
      <c r="R178" s="201"/>
      <c r="S178" s="201"/>
      <c r="T178" s="201"/>
      <c r="U178" s="201"/>
      <c r="V178" s="201"/>
      <c r="W178" s="201"/>
      <c r="X178" s="201"/>
      <c r="Y178" s="261"/>
      <c r="Z178" s="262"/>
      <c r="AA178" s="262"/>
      <c r="AB178" s="263"/>
      <c r="AC178" s="201"/>
      <c r="AD178" s="201"/>
      <c r="AE178" s="201"/>
      <c r="AF178" s="201"/>
      <c r="AG178" s="214"/>
      <c r="AH178" s="214"/>
      <c r="AI178" s="261"/>
      <c r="AJ178" s="214"/>
      <c r="AK178" s="261"/>
      <c r="AL178" s="197"/>
      <c r="AM178" s="264"/>
      <c r="AN178" s="200"/>
      <c r="AO178" s="219"/>
      <c r="AP178" s="219"/>
      <c r="AQ178" s="219"/>
      <c r="AR178" s="219"/>
      <c r="AS178" s="253"/>
      <c r="AT178" s="253"/>
      <c r="AU178" s="254"/>
      <c r="AV178" s="254"/>
    </row>
    <row r="179" ht="15.75" customHeight="1">
      <c r="A179" s="214"/>
      <c r="B179" s="197"/>
      <c r="C179" s="198"/>
      <c r="D179" s="199"/>
      <c r="E179" s="254"/>
      <c r="F179" s="254"/>
      <c r="G179" s="201"/>
      <c r="H179" s="200"/>
      <c r="I179" s="200"/>
      <c r="J179" s="254"/>
      <c r="K179" s="259"/>
      <c r="L179" s="254"/>
      <c r="M179" s="260"/>
      <c r="N179" s="200"/>
      <c r="O179" s="254"/>
      <c r="P179" s="201"/>
      <c r="Q179" s="201"/>
      <c r="R179" s="201"/>
      <c r="S179" s="201"/>
      <c r="T179" s="201"/>
      <c r="U179" s="201"/>
      <c r="V179" s="201"/>
      <c r="W179" s="201"/>
      <c r="X179" s="201"/>
      <c r="Y179" s="261"/>
      <c r="Z179" s="262"/>
      <c r="AA179" s="262"/>
      <c r="AB179" s="263"/>
      <c r="AC179" s="201"/>
      <c r="AD179" s="201"/>
      <c r="AE179" s="201"/>
      <c r="AF179" s="201"/>
      <c r="AG179" s="214"/>
      <c r="AH179" s="214"/>
      <c r="AI179" s="261"/>
      <c r="AJ179" s="214"/>
      <c r="AK179" s="261"/>
      <c r="AL179" s="197"/>
      <c r="AM179" s="264"/>
      <c r="AN179" s="200"/>
      <c r="AO179" s="219"/>
      <c r="AP179" s="219"/>
      <c r="AQ179" s="219"/>
      <c r="AR179" s="219"/>
      <c r="AS179" s="253"/>
      <c r="AT179" s="253"/>
      <c r="AU179" s="254"/>
      <c r="AV179" s="254"/>
    </row>
    <row r="180" ht="15.75" customHeight="1">
      <c r="A180" s="214"/>
      <c r="B180" s="197"/>
      <c r="C180" s="198"/>
      <c r="D180" s="199"/>
      <c r="E180" s="254"/>
      <c r="F180" s="254"/>
      <c r="G180" s="201"/>
      <c r="H180" s="200"/>
      <c r="I180" s="200"/>
      <c r="J180" s="254"/>
      <c r="K180" s="259"/>
      <c r="L180" s="254"/>
      <c r="M180" s="260"/>
      <c r="N180" s="200"/>
      <c r="O180" s="254"/>
      <c r="P180" s="201"/>
      <c r="Q180" s="201"/>
      <c r="R180" s="201"/>
      <c r="S180" s="201"/>
      <c r="T180" s="201"/>
      <c r="U180" s="201"/>
      <c r="V180" s="201"/>
      <c r="W180" s="201"/>
      <c r="X180" s="201"/>
      <c r="Y180" s="261"/>
      <c r="Z180" s="262"/>
      <c r="AA180" s="262"/>
      <c r="AB180" s="263"/>
      <c r="AC180" s="201"/>
      <c r="AD180" s="201"/>
      <c r="AE180" s="201"/>
      <c r="AF180" s="201"/>
      <c r="AG180" s="214"/>
      <c r="AH180" s="214"/>
      <c r="AI180" s="261"/>
      <c r="AJ180" s="214"/>
      <c r="AK180" s="261"/>
      <c r="AL180" s="197"/>
      <c r="AM180" s="264"/>
      <c r="AN180" s="200"/>
      <c r="AO180" s="219"/>
      <c r="AP180" s="219"/>
      <c r="AQ180" s="219"/>
      <c r="AR180" s="219"/>
      <c r="AS180" s="253"/>
      <c r="AT180" s="253"/>
      <c r="AU180" s="254"/>
      <c r="AV180" s="254"/>
    </row>
    <row r="181" ht="15.75" customHeight="1">
      <c r="A181" s="214"/>
      <c r="B181" s="197"/>
      <c r="C181" s="198"/>
      <c r="D181" s="199"/>
      <c r="E181" s="254"/>
      <c r="F181" s="254"/>
      <c r="G181" s="201"/>
      <c r="H181" s="200"/>
      <c r="I181" s="200"/>
      <c r="J181" s="254"/>
      <c r="K181" s="259"/>
      <c r="L181" s="254"/>
      <c r="M181" s="260"/>
      <c r="N181" s="200"/>
      <c r="O181" s="254"/>
      <c r="P181" s="201"/>
      <c r="Q181" s="201"/>
      <c r="R181" s="201"/>
      <c r="S181" s="201"/>
      <c r="T181" s="201"/>
      <c r="U181" s="201"/>
      <c r="V181" s="201"/>
      <c r="W181" s="201"/>
      <c r="X181" s="201"/>
      <c r="Y181" s="261"/>
      <c r="Z181" s="262"/>
      <c r="AA181" s="262"/>
      <c r="AB181" s="263"/>
      <c r="AC181" s="201"/>
      <c r="AD181" s="201"/>
      <c r="AE181" s="201"/>
      <c r="AF181" s="201"/>
      <c r="AG181" s="214"/>
      <c r="AH181" s="214"/>
      <c r="AI181" s="261"/>
      <c r="AJ181" s="214"/>
      <c r="AK181" s="261"/>
      <c r="AL181" s="197"/>
      <c r="AM181" s="264"/>
      <c r="AN181" s="200"/>
      <c r="AO181" s="219"/>
      <c r="AP181" s="219"/>
      <c r="AQ181" s="219"/>
      <c r="AR181" s="219"/>
      <c r="AS181" s="253"/>
      <c r="AT181" s="253"/>
      <c r="AU181" s="254"/>
      <c r="AV181" s="254"/>
    </row>
    <row r="182" ht="15.75" customHeight="1">
      <c r="A182" s="214"/>
      <c r="B182" s="197"/>
      <c r="C182" s="198"/>
      <c r="D182" s="199"/>
      <c r="E182" s="254"/>
      <c r="F182" s="254"/>
      <c r="G182" s="201"/>
      <c r="H182" s="200"/>
      <c r="I182" s="200"/>
      <c r="J182" s="254"/>
      <c r="K182" s="259"/>
      <c r="L182" s="254"/>
      <c r="M182" s="260"/>
      <c r="N182" s="200"/>
      <c r="O182" s="254"/>
      <c r="P182" s="201"/>
      <c r="Q182" s="201"/>
      <c r="R182" s="201"/>
      <c r="S182" s="201"/>
      <c r="T182" s="201"/>
      <c r="U182" s="201"/>
      <c r="V182" s="201"/>
      <c r="W182" s="201"/>
      <c r="X182" s="201"/>
      <c r="Y182" s="261"/>
      <c r="Z182" s="262"/>
      <c r="AA182" s="262"/>
      <c r="AB182" s="263"/>
      <c r="AC182" s="201"/>
      <c r="AD182" s="201"/>
      <c r="AE182" s="201"/>
      <c r="AF182" s="201"/>
      <c r="AG182" s="214"/>
      <c r="AH182" s="214"/>
      <c r="AI182" s="261"/>
      <c r="AJ182" s="214"/>
      <c r="AK182" s="261"/>
      <c r="AL182" s="197"/>
      <c r="AM182" s="264"/>
      <c r="AN182" s="200"/>
      <c r="AO182" s="219"/>
      <c r="AP182" s="219"/>
      <c r="AQ182" s="219"/>
      <c r="AR182" s="219"/>
      <c r="AS182" s="253"/>
      <c r="AT182" s="253"/>
      <c r="AU182" s="254"/>
      <c r="AV182" s="254"/>
    </row>
    <row r="183" ht="15.75" customHeight="1">
      <c r="A183" s="214"/>
      <c r="B183" s="197"/>
      <c r="C183" s="198"/>
      <c r="D183" s="199"/>
      <c r="E183" s="254"/>
      <c r="F183" s="254"/>
      <c r="G183" s="201"/>
      <c r="H183" s="200"/>
      <c r="I183" s="200"/>
      <c r="J183" s="254"/>
      <c r="K183" s="259"/>
      <c r="L183" s="254"/>
      <c r="M183" s="260"/>
      <c r="N183" s="200"/>
      <c r="O183" s="254"/>
      <c r="P183" s="201"/>
      <c r="Q183" s="201"/>
      <c r="R183" s="201"/>
      <c r="S183" s="201"/>
      <c r="T183" s="201"/>
      <c r="U183" s="201"/>
      <c r="V183" s="201"/>
      <c r="W183" s="201"/>
      <c r="X183" s="201"/>
      <c r="Y183" s="261"/>
      <c r="Z183" s="262"/>
      <c r="AA183" s="262"/>
      <c r="AB183" s="263"/>
      <c r="AC183" s="201"/>
      <c r="AD183" s="201"/>
      <c r="AE183" s="201"/>
      <c r="AF183" s="201"/>
      <c r="AG183" s="214"/>
      <c r="AH183" s="214"/>
      <c r="AI183" s="261"/>
      <c r="AJ183" s="214"/>
      <c r="AK183" s="261"/>
      <c r="AL183" s="197"/>
      <c r="AM183" s="264"/>
      <c r="AN183" s="200"/>
      <c r="AO183" s="219"/>
      <c r="AP183" s="219"/>
      <c r="AQ183" s="219"/>
      <c r="AR183" s="219"/>
      <c r="AS183" s="253"/>
      <c r="AT183" s="253"/>
      <c r="AU183" s="254"/>
      <c r="AV183" s="254"/>
    </row>
    <row r="184" ht="15.75" customHeight="1">
      <c r="A184" s="214"/>
      <c r="B184" s="197"/>
      <c r="C184" s="198"/>
      <c r="D184" s="199"/>
      <c r="E184" s="254"/>
      <c r="F184" s="254"/>
      <c r="G184" s="201"/>
      <c r="H184" s="200"/>
      <c r="I184" s="200"/>
      <c r="J184" s="254"/>
      <c r="K184" s="259"/>
      <c r="L184" s="254"/>
      <c r="M184" s="260"/>
      <c r="N184" s="200"/>
      <c r="O184" s="254"/>
      <c r="P184" s="201"/>
      <c r="Q184" s="201"/>
      <c r="R184" s="201"/>
      <c r="S184" s="201"/>
      <c r="T184" s="201"/>
      <c r="U184" s="201"/>
      <c r="V184" s="201"/>
      <c r="W184" s="201"/>
      <c r="X184" s="201"/>
      <c r="Y184" s="261"/>
      <c r="Z184" s="262"/>
      <c r="AA184" s="262"/>
      <c r="AB184" s="263"/>
      <c r="AC184" s="201"/>
      <c r="AD184" s="201"/>
      <c r="AE184" s="201"/>
      <c r="AF184" s="201"/>
      <c r="AG184" s="214"/>
      <c r="AH184" s="214"/>
      <c r="AI184" s="261"/>
      <c r="AJ184" s="214"/>
      <c r="AK184" s="261"/>
      <c r="AL184" s="197"/>
      <c r="AM184" s="264"/>
      <c r="AN184" s="200"/>
      <c r="AO184" s="219"/>
      <c r="AP184" s="219"/>
      <c r="AQ184" s="219"/>
      <c r="AR184" s="219"/>
      <c r="AS184" s="253"/>
      <c r="AT184" s="253"/>
      <c r="AU184" s="254"/>
      <c r="AV184" s="254"/>
    </row>
    <row r="185" ht="15.75" customHeight="1">
      <c r="A185" s="214"/>
      <c r="B185" s="197"/>
      <c r="C185" s="198"/>
      <c r="D185" s="199"/>
      <c r="E185" s="254"/>
      <c r="F185" s="254"/>
      <c r="G185" s="201"/>
      <c r="H185" s="200"/>
      <c r="I185" s="200"/>
      <c r="J185" s="254"/>
      <c r="K185" s="259"/>
      <c r="L185" s="254"/>
      <c r="M185" s="260"/>
      <c r="N185" s="200"/>
      <c r="O185" s="254"/>
      <c r="P185" s="201"/>
      <c r="Q185" s="201"/>
      <c r="R185" s="201"/>
      <c r="S185" s="201"/>
      <c r="T185" s="201"/>
      <c r="U185" s="201"/>
      <c r="V185" s="201"/>
      <c r="W185" s="201"/>
      <c r="X185" s="201"/>
      <c r="Y185" s="261"/>
      <c r="Z185" s="262"/>
      <c r="AA185" s="262"/>
      <c r="AB185" s="263"/>
      <c r="AC185" s="201"/>
      <c r="AD185" s="201"/>
      <c r="AE185" s="201"/>
      <c r="AF185" s="201"/>
      <c r="AG185" s="214"/>
      <c r="AH185" s="214"/>
      <c r="AI185" s="261"/>
      <c r="AJ185" s="214"/>
      <c r="AK185" s="261"/>
      <c r="AL185" s="197"/>
      <c r="AM185" s="264"/>
      <c r="AN185" s="200"/>
      <c r="AO185" s="219"/>
      <c r="AP185" s="219"/>
      <c r="AQ185" s="219"/>
      <c r="AR185" s="219"/>
      <c r="AS185" s="253"/>
      <c r="AT185" s="253"/>
      <c r="AU185" s="254"/>
      <c r="AV185" s="254"/>
    </row>
    <row r="186" ht="15.75" customHeight="1">
      <c r="A186" s="214"/>
      <c r="B186" s="197"/>
      <c r="C186" s="198"/>
      <c r="D186" s="199"/>
      <c r="E186" s="254"/>
      <c r="F186" s="254"/>
      <c r="G186" s="201"/>
      <c r="H186" s="200"/>
      <c r="I186" s="200"/>
      <c r="J186" s="254"/>
      <c r="K186" s="259"/>
      <c r="L186" s="254"/>
      <c r="M186" s="260"/>
      <c r="N186" s="200"/>
      <c r="O186" s="254"/>
      <c r="P186" s="201"/>
      <c r="Q186" s="201"/>
      <c r="R186" s="201"/>
      <c r="S186" s="201"/>
      <c r="T186" s="201"/>
      <c r="U186" s="201"/>
      <c r="V186" s="201"/>
      <c r="W186" s="201"/>
      <c r="X186" s="201"/>
      <c r="Y186" s="261"/>
      <c r="Z186" s="262"/>
      <c r="AA186" s="262"/>
      <c r="AB186" s="263"/>
      <c r="AC186" s="201"/>
      <c r="AD186" s="201"/>
      <c r="AE186" s="201"/>
      <c r="AF186" s="201"/>
      <c r="AG186" s="214"/>
      <c r="AH186" s="214"/>
      <c r="AI186" s="261"/>
      <c r="AJ186" s="214"/>
      <c r="AK186" s="261"/>
      <c r="AL186" s="197"/>
      <c r="AM186" s="264"/>
      <c r="AN186" s="200"/>
      <c r="AO186" s="219"/>
      <c r="AP186" s="219"/>
      <c r="AQ186" s="219"/>
      <c r="AR186" s="219"/>
      <c r="AS186" s="253"/>
      <c r="AT186" s="253"/>
      <c r="AU186" s="254"/>
      <c r="AV186" s="254"/>
    </row>
    <row r="187" ht="15.75" customHeight="1">
      <c r="A187" s="214"/>
      <c r="B187" s="197"/>
      <c r="C187" s="198"/>
      <c r="D187" s="199"/>
      <c r="E187" s="254"/>
      <c r="F187" s="254"/>
      <c r="G187" s="201"/>
      <c r="H187" s="200"/>
      <c r="I187" s="200"/>
      <c r="J187" s="254"/>
      <c r="K187" s="259"/>
      <c r="L187" s="254"/>
      <c r="M187" s="260"/>
      <c r="N187" s="200"/>
      <c r="O187" s="254"/>
      <c r="P187" s="201"/>
      <c r="Q187" s="201"/>
      <c r="R187" s="201"/>
      <c r="S187" s="201"/>
      <c r="T187" s="201"/>
      <c r="U187" s="201"/>
      <c r="V187" s="201"/>
      <c r="W187" s="201"/>
      <c r="X187" s="201"/>
      <c r="Y187" s="261"/>
      <c r="Z187" s="262"/>
      <c r="AA187" s="262"/>
      <c r="AB187" s="263"/>
      <c r="AC187" s="201"/>
      <c r="AD187" s="201"/>
      <c r="AE187" s="201"/>
      <c r="AF187" s="201"/>
      <c r="AG187" s="214"/>
      <c r="AH187" s="214"/>
      <c r="AI187" s="261"/>
      <c r="AJ187" s="214"/>
      <c r="AK187" s="261"/>
      <c r="AL187" s="197"/>
      <c r="AM187" s="264"/>
      <c r="AN187" s="200"/>
      <c r="AO187" s="219"/>
      <c r="AP187" s="219"/>
      <c r="AQ187" s="219"/>
      <c r="AR187" s="219"/>
      <c r="AS187" s="253"/>
      <c r="AT187" s="253"/>
      <c r="AU187" s="254"/>
      <c r="AV187" s="254"/>
    </row>
    <row r="188" ht="15.75" customHeight="1">
      <c r="A188" s="214"/>
      <c r="B188" s="197"/>
      <c r="C188" s="198"/>
      <c r="D188" s="199"/>
      <c r="E188" s="254"/>
      <c r="F188" s="254"/>
      <c r="G188" s="201"/>
      <c r="H188" s="200"/>
      <c r="I188" s="200"/>
      <c r="J188" s="254"/>
      <c r="K188" s="259"/>
      <c r="L188" s="254"/>
      <c r="M188" s="260"/>
      <c r="N188" s="200"/>
      <c r="O188" s="254"/>
      <c r="P188" s="201"/>
      <c r="Q188" s="201"/>
      <c r="R188" s="201"/>
      <c r="S188" s="201"/>
      <c r="T188" s="201"/>
      <c r="U188" s="201"/>
      <c r="V188" s="201"/>
      <c r="W188" s="201"/>
      <c r="X188" s="201"/>
      <c r="Y188" s="261"/>
      <c r="Z188" s="262"/>
      <c r="AA188" s="262"/>
      <c r="AB188" s="263"/>
      <c r="AC188" s="201"/>
      <c r="AD188" s="201"/>
      <c r="AE188" s="201"/>
      <c r="AF188" s="201"/>
      <c r="AG188" s="214"/>
      <c r="AH188" s="214"/>
      <c r="AI188" s="261"/>
      <c r="AJ188" s="214"/>
      <c r="AK188" s="261"/>
      <c r="AL188" s="197"/>
      <c r="AM188" s="264"/>
      <c r="AN188" s="200"/>
      <c r="AO188" s="219"/>
      <c r="AP188" s="219"/>
      <c r="AQ188" s="219"/>
      <c r="AR188" s="219"/>
      <c r="AS188" s="253"/>
      <c r="AT188" s="253"/>
      <c r="AU188" s="254"/>
      <c r="AV188" s="254"/>
    </row>
    <row r="189" ht="15.75" customHeight="1">
      <c r="A189" s="214"/>
      <c r="B189" s="197"/>
      <c r="C189" s="198"/>
      <c r="D189" s="199"/>
      <c r="E189" s="254"/>
      <c r="F189" s="254"/>
      <c r="G189" s="201"/>
      <c r="H189" s="200"/>
      <c r="I189" s="200"/>
      <c r="J189" s="254"/>
      <c r="K189" s="259"/>
      <c r="L189" s="254"/>
      <c r="M189" s="260"/>
      <c r="N189" s="200"/>
      <c r="O189" s="254"/>
      <c r="P189" s="201"/>
      <c r="Q189" s="201"/>
      <c r="R189" s="201"/>
      <c r="S189" s="201"/>
      <c r="T189" s="201"/>
      <c r="U189" s="201"/>
      <c r="V189" s="201"/>
      <c r="W189" s="201"/>
      <c r="X189" s="201"/>
      <c r="Y189" s="261"/>
      <c r="Z189" s="262"/>
      <c r="AA189" s="262"/>
      <c r="AB189" s="263"/>
      <c r="AC189" s="201"/>
      <c r="AD189" s="201"/>
      <c r="AE189" s="201"/>
      <c r="AF189" s="201"/>
      <c r="AG189" s="214"/>
      <c r="AH189" s="214"/>
      <c r="AI189" s="261"/>
      <c r="AJ189" s="214"/>
      <c r="AK189" s="261"/>
      <c r="AL189" s="197"/>
      <c r="AM189" s="264"/>
      <c r="AN189" s="200"/>
      <c r="AO189" s="219"/>
      <c r="AP189" s="219"/>
      <c r="AQ189" s="219"/>
      <c r="AR189" s="219"/>
      <c r="AS189" s="253"/>
      <c r="AT189" s="253"/>
      <c r="AU189" s="254"/>
      <c r="AV189" s="254"/>
    </row>
    <row r="190" ht="15.75" customHeight="1">
      <c r="A190" s="214"/>
      <c r="B190" s="197"/>
      <c r="C190" s="198"/>
      <c r="D190" s="199"/>
      <c r="E190" s="254"/>
      <c r="F190" s="254"/>
      <c r="G190" s="201"/>
      <c r="H190" s="200"/>
      <c r="I190" s="200"/>
      <c r="J190" s="254"/>
      <c r="K190" s="259"/>
      <c r="L190" s="254"/>
      <c r="M190" s="260"/>
      <c r="N190" s="200"/>
      <c r="O190" s="254"/>
      <c r="P190" s="201"/>
      <c r="Q190" s="201"/>
      <c r="R190" s="201"/>
      <c r="S190" s="201"/>
      <c r="T190" s="201"/>
      <c r="U190" s="201"/>
      <c r="V190" s="201"/>
      <c r="W190" s="201"/>
      <c r="X190" s="201"/>
      <c r="Y190" s="261"/>
      <c r="Z190" s="262"/>
      <c r="AA190" s="262"/>
      <c r="AB190" s="263"/>
      <c r="AC190" s="201"/>
      <c r="AD190" s="201"/>
      <c r="AE190" s="201"/>
      <c r="AF190" s="201"/>
      <c r="AG190" s="214"/>
      <c r="AH190" s="214"/>
      <c r="AI190" s="261"/>
      <c r="AJ190" s="214"/>
      <c r="AK190" s="261"/>
      <c r="AL190" s="197"/>
      <c r="AM190" s="264"/>
      <c r="AN190" s="200"/>
      <c r="AO190" s="219"/>
      <c r="AP190" s="219"/>
      <c r="AQ190" s="219"/>
      <c r="AR190" s="219"/>
      <c r="AS190" s="253"/>
      <c r="AT190" s="253"/>
      <c r="AU190" s="254"/>
      <c r="AV190" s="254"/>
    </row>
    <row r="191" ht="15.75" customHeight="1">
      <c r="A191" s="214"/>
      <c r="B191" s="197"/>
      <c r="C191" s="198"/>
      <c r="D191" s="199"/>
      <c r="E191" s="254"/>
      <c r="F191" s="254"/>
      <c r="G191" s="201"/>
      <c r="H191" s="200"/>
      <c r="I191" s="200"/>
      <c r="J191" s="254"/>
      <c r="K191" s="259"/>
      <c r="L191" s="254"/>
      <c r="M191" s="260"/>
      <c r="N191" s="200"/>
      <c r="O191" s="254"/>
      <c r="P191" s="201"/>
      <c r="Q191" s="201"/>
      <c r="R191" s="201"/>
      <c r="S191" s="201"/>
      <c r="T191" s="201"/>
      <c r="U191" s="201"/>
      <c r="V191" s="201"/>
      <c r="W191" s="201"/>
      <c r="X191" s="201"/>
      <c r="Y191" s="261"/>
      <c r="Z191" s="262"/>
      <c r="AA191" s="262"/>
      <c r="AB191" s="263"/>
      <c r="AC191" s="201"/>
      <c r="AD191" s="201"/>
      <c r="AE191" s="201"/>
      <c r="AF191" s="201"/>
      <c r="AG191" s="214"/>
      <c r="AH191" s="214"/>
      <c r="AI191" s="261"/>
      <c r="AJ191" s="214"/>
      <c r="AK191" s="261"/>
      <c r="AL191" s="197"/>
      <c r="AM191" s="264"/>
      <c r="AN191" s="200"/>
      <c r="AO191" s="219"/>
      <c r="AP191" s="219"/>
      <c r="AQ191" s="219"/>
      <c r="AR191" s="219"/>
      <c r="AS191" s="253"/>
      <c r="AT191" s="253"/>
      <c r="AU191" s="254"/>
      <c r="AV191" s="254"/>
    </row>
    <row r="192" ht="15.75" customHeight="1">
      <c r="A192" s="214"/>
      <c r="B192" s="197"/>
      <c r="C192" s="198"/>
      <c r="D192" s="199"/>
      <c r="E192" s="254"/>
      <c r="F192" s="254"/>
      <c r="G192" s="201"/>
      <c r="H192" s="200"/>
      <c r="I192" s="200"/>
      <c r="J192" s="254"/>
      <c r="K192" s="259"/>
      <c r="L192" s="254"/>
      <c r="M192" s="260"/>
      <c r="N192" s="200"/>
      <c r="O192" s="254"/>
      <c r="P192" s="201"/>
      <c r="Q192" s="201"/>
      <c r="R192" s="201"/>
      <c r="S192" s="201"/>
      <c r="T192" s="201"/>
      <c r="U192" s="201"/>
      <c r="V192" s="201"/>
      <c r="W192" s="201"/>
      <c r="X192" s="201"/>
      <c r="Y192" s="261"/>
      <c r="Z192" s="262"/>
      <c r="AA192" s="262"/>
      <c r="AB192" s="263"/>
      <c r="AC192" s="201"/>
      <c r="AD192" s="201"/>
      <c r="AE192" s="201"/>
      <c r="AF192" s="201"/>
      <c r="AG192" s="214"/>
      <c r="AH192" s="214"/>
      <c r="AI192" s="261"/>
      <c r="AJ192" s="214"/>
      <c r="AK192" s="261"/>
      <c r="AL192" s="197"/>
      <c r="AM192" s="264"/>
      <c r="AN192" s="200"/>
      <c r="AO192" s="219"/>
      <c r="AP192" s="219"/>
      <c r="AQ192" s="219"/>
      <c r="AR192" s="219"/>
      <c r="AS192" s="253"/>
      <c r="AT192" s="253"/>
      <c r="AU192" s="254"/>
      <c r="AV192" s="254"/>
    </row>
    <row r="193" ht="15.75" customHeight="1">
      <c r="A193" s="214"/>
      <c r="B193" s="197"/>
      <c r="C193" s="198"/>
      <c r="D193" s="199"/>
      <c r="E193" s="254"/>
      <c r="F193" s="254"/>
      <c r="G193" s="201"/>
      <c r="H193" s="200"/>
      <c r="I193" s="200"/>
      <c r="J193" s="254"/>
      <c r="K193" s="259"/>
      <c r="L193" s="254"/>
      <c r="M193" s="260"/>
      <c r="N193" s="200"/>
      <c r="O193" s="254"/>
      <c r="P193" s="201"/>
      <c r="Q193" s="201"/>
      <c r="R193" s="201"/>
      <c r="S193" s="201"/>
      <c r="T193" s="201"/>
      <c r="U193" s="201"/>
      <c r="V193" s="201"/>
      <c r="W193" s="201"/>
      <c r="X193" s="201"/>
      <c r="Y193" s="261"/>
      <c r="Z193" s="262"/>
      <c r="AA193" s="262"/>
      <c r="AB193" s="263"/>
      <c r="AC193" s="201"/>
      <c r="AD193" s="201"/>
      <c r="AE193" s="201"/>
      <c r="AF193" s="201"/>
      <c r="AG193" s="214"/>
      <c r="AH193" s="214"/>
      <c r="AI193" s="261"/>
      <c r="AJ193" s="214"/>
      <c r="AK193" s="261"/>
      <c r="AL193" s="197"/>
      <c r="AM193" s="264"/>
      <c r="AN193" s="200"/>
      <c r="AO193" s="219"/>
      <c r="AP193" s="219"/>
      <c r="AQ193" s="219"/>
      <c r="AR193" s="219"/>
      <c r="AS193" s="253"/>
      <c r="AT193" s="253"/>
      <c r="AU193" s="254"/>
      <c r="AV193" s="254"/>
    </row>
    <row r="194" ht="15.75" customHeight="1">
      <c r="A194" s="214"/>
      <c r="B194" s="197"/>
      <c r="C194" s="198"/>
      <c r="D194" s="199"/>
      <c r="E194" s="254"/>
      <c r="F194" s="254"/>
      <c r="G194" s="201"/>
      <c r="H194" s="200"/>
      <c r="I194" s="200"/>
      <c r="J194" s="254"/>
      <c r="K194" s="259"/>
      <c r="L194" s="254"/>
      <c r="M194" s="260"/>
      <c r="N194" s="200"/>
      <c r="O194" s="254"/>
      <c r="P194" s="201"/>
      <c r="Q194" s="201"/>
      <c r="R194" s="201"/>
      <c r="S194" s="201"/>
      <c r="T194" s="201"/>
      <c r="U194" s="201"/>
      <c r="V194" s="201"/>
      <c r="W194" s="201"/>
      <c r="X194" s="201"/>
      <c r="Y194" s="261"/>
      <c r="Z194" s="262"/>
      <c r="AA194" s="262"/>
      <c r="AB194" s="263"/>
      <c r="AC194" s="201"/>
      <c r="AD194" s="201"/>
      <c r="AE194" s="201"/>
      <c r="AF194" s="201"/>
      <c r="AG194" s="214"/>
      <c r="AH194" s="214"/>
      <c r="AI194" s="261"/>
      <c r="AJ194" s="214"/>
      <c r="AK194" s="261"/>
      <c r="AL194" s="197"/>
      <c r="AM194" s="264"/>
      <c r="AN194" s="200"/>
      <c r="AO194" s="219"/>
      <c r="AP194" s="219"/>
      <c r="AQ194" s="219"/>
      <c r="AR194" s="219"/>
      <c r="AS194" s="253"/>
      <c r="AT194" s="253"/>
      <c r="AU194" s="254"/>
      <c r="AV194" s="254"/>
    </row>
    <row r="195" ht="15.75" customHeight="1">
      <c r="A195" s="214"/>
      <c r="B195" s="197"/>
      <c r="C195" s="198"/>
      <c r="D195" s="199"/>
      <c r="E195" s="254"/>
      <c r="F195" s="254"/>
      <c r="G195" s="201"/>
      <c r="H195" s="200"/>
      <c r="I195" s="200"/>
      <c r="J195" s="254"/>
      <c r="K195" s="259"/>
      <c r="L195" s="254"/>
      <c r="M195" s="260"/>
      <c r="N195" s="200"/>
      <c r="O195" s="254"/>
      <c r="P195" s="201"/>
      <c r="Q195" s="201"/>
      <c r="R195" s="201"/>
      <c r="S195" s="201"/>
      <c r="T195" s="201"/>
      <c r="U195" s="201"/>
      <c r="V195" s="201"/>
      <c r="W195" s="201"/>
      <c r="X195" s="201"/>
      <c r="Y195" s="261"/>
      <c r="Z195" s="262"/>
      <c r="AA195" s="262"/>
      <c r="AB195" s="263"/>
      <c r="AC195" s="201"/>
      <c r="AD195" s="201"/>
      <c r="AE195" s="201"/>
      <c r="AF195" s="201"/>
      <c r="AG195" s="214"/>
      <c r="AH195" s="214"/>
      <c r="AI195" s="261"/>
      <c r="AJ195" s="214"/>
      <c r="AK195" s="261"/>
      <c r="AL195" s="197"/>
      <c r="AM195" s="264"/>
      <c r="AN195" s="200"/>
      <c r="AO195" s="219"/>
      <c r="AP195" s="219"/>
      <c r="AQ195" s="219"/>
      <c r="AR195" s="219"/>
      <c r="AS195" s="253"/>
      <c r="AT195" s="253"/>
      <c r="AU195" s="254"/>
      <c r="AV195" s="254"/>
    </row>
    <row r="196" ht="15.75" customHeight="1">
      <c r="A196" s="214"/>
      <c r="B196" s="197"/>
      <c r="C196" s="198"/>
      <c r="D196" s="199"/>
      <c r="E196" s="254"/>
      <c r="F196" s="254"/>
      <c r="G196" s="201"/>
      <c r="H196" s="200"/>
      <c r="I196" s="200"/>
      <c r="J196" s="254"/>
      <c r="K196" s="259"/>
      <c r="L196" s="254"/>
      <c r="M196" s="260"/>
      <c r="N196" s="200"/>
      <c r="O196" s="254"/>
      <c r="P196" s="201"/>
      <c r="Q196" s="201"/>
      <c r="R196" s="201"/>
      <c r="S196" s="201"/>
      <c r="T196" s="201"/>
      <c r="U196" s="201"/>
      <c r="V196" s="201"/>
      <c r="W196" s="201"/>
      <c r="X196" s="201"/>
      <c r="Y196" s="261"/>
      <c r="Z196" s="262"/>
      <c r="AA196" s="262"/>
      <c r="AB196" s="263"/>
      <c r="AC196" s="201"/>
      <c r="AD196" s="201"/>
      <c r="AE196" s="201"/>
      <c r="AF196" s="201"/>
      <c r="AG196" s="214"/>
      <c r="AH196" s="214"/>
      <c r="AI196" s="261"/>
      <c r="AJ196" s="214"/>
      <c r="AK196" s="261"/>
      <c r="AL196" s="197"/>
      <c r="AM196" s="264"/>
      <c r="AN196" s="200"/>
      <c r="AO196" s="219"/>
      <c r="AP196" s="219"/>
      <c r="AQ196" s="219"/>
      <c r="AR196" s="219"/>
      <c r="AS196" s="253"/>
      <c r="AT196" s="253"/>
      <c r="AU196" s="254"/>
      <c r="AV196" s="254"/>
    </row>
    <row r="197" ht="15.75" customHeight="1">
      <c r="A197" s="214"/>
      <c r="B197" s="197"/>
      <c r="C197" s="198"/>
      <c r="D197" s="199"/>
      <c r="E197" s="254"/>
      <c r="F197" s="254"/>
      <c r="G197" s="201"/>
      <c r="H197" s="200"/>
      <c r="I197" s="200"/>
      <c r="J197" s="254"/>
      <c r="K197" s="259"/>
      <c r="L197" s="254"/>
      <c r="M197" s="260"/>
      <c r="N197" s="200"/>
      <c r="O197" s="254"/>
      <c r="P197" s="201"/>
      <c r="Q197" s="201"/>
      <c r="R197" s="201"/>
      <c r="S197" s="201"/>
      <c r="T197" s="201"/>
      <c r="U197" s="201"/>
      <c r="V197" s="201"/>
      <c r="W197" s="201"/>
      <c r="X197" s="201"/>
      <c r="Y197" s="261"/>
      <c r="Z197" s="262"/>
      <c r="AA197" s="262"/>
      <c r="AB197" s="263"/>
      <c r="AC197" s="201"/>
      <c r="AD197" s="201"/>
      <c r="AE197" s="201"/>
      <c r="AF197" s="201"/>
      <c r="AG197" s="214"/>
      <c r="AH197" s="214"/>
      <c r="AI197" s="261"/>
      <c r="AJ197" s="214"/>
      <c r="AK197" s="261"/>
      <c r="AL197" s="197"/>
      <c r="AM197" s="264"/>
      <c r="AN197" s="200"/>
      <c r="AO197" s="219"/>
      <c r="AP197" s="219"/>
      <c r="AQ197" s="219"/>
      <c r="AR197" s="219"/>
      <c r="AS197" s="253"/>
      <c r="AT197" s="253"/>
      <c r="AU197" s="254"/>
      <c r="AV197" s="254"/>
    </row>
    <row r="198" ht="15.75" customHeight="1">
      <c r="A198" s="214"/>
      <c r="B198" s="197"/>
      <c r="C198" s="198"/>
      <c r="D198" s="199"/>
      <c r="E198" s="254"/>
      <c r="F198" s="254"/>
      <c r="G198" s="254"/>
      <c r="H198" s="254"/>
      <c r="I198" s="254"/>
      <c r="J198" s="254"/>
      <c r="K198" s="259"/>
      <c r="L198" s="254"/>
      <c r="M198" s="260"/>
      <c r="N198" s="214"/>
      <c r="O198" s="254"/>
      <c r="P198" s="214"/>
      <c r="Q198" s="214"/>
      <c r="R198" s="214"/>
      <c r="S198" s="214"/>
      <c r="T198" s="214"/>
      <c r="U198" s="214"/>
      <c r="V198" s="214"/>
      <c r="W198" s="214"/>
      <c r="X198" s="214"/>
      <c r="Y198" s="261"/>
      <c r="Z198" s="262"/>
      <c r="AA198" s="262"/>
      <c r="AB198" s="263"/>
      <c r="AC198" s="214"/>
      <c r="AD198" s="214"/>
      <c r="AE198" s="214"/>
      <c r="AF198" s="214"/>
      <c r="AG198" s="214"/>
      <c r="AH198" s="214"/>
      <c r="AI198" s="261"/>
      <c r="AJ198" s="214"/>
      <c r="AK198" s="261"/>
      <c r="AL198" s="197"/>
      <c r="AM198" s="264"/>
      <c r="AN198" s="214"/>
      <c r="AO198" s="219"/>
      <c r="AP198" s="219"/>
      <c r="AQ198" s="219"/>
      <c r="AR198" s="219"/>
      <c r="AS198" s="253"/>
      <c r="AT198" s="253"/>
      <c r="AU198" s="254"/>
      <c r="AV198" s="254"/>
    </row>
    <row r="199" ht="15.75" customHeight="1">
      <c r="A199" s="214"/>
      <c r="B199" s="197"/>
      <c r="C199" s="198"/>
      <c r="D199" s="199"/>
      <c r="E199" s="254"/>
      <c r="F199" s="254"/>
      <c r="G199" s="254"/>
      <c r="H199" s="254"/>
      <c r="I199" s="254"/>
      <c r="J199" s="254"/>
      <c r="K199" s="259"/>
      <c r="L199" s="254"/>
      <c r="M199" s="260"/>
      <c r="N199" s="214"/>
      <c r="O199" s="254"/>
      <c r="P199" s="214"/>
      <c r="Q199" s="214"/>
      <c r="R199" s="214"/>
      <c r="S199" s="214"/>
      <c r="T199" s="214"/>
      <c r="U199" s="214"/>
      <c r="V199" s="214"/>
      <c r="W199" s="214"/>
      <c r="X199" s="214"/>
      <c r="Y199" s="261"/>
      <c r="Z199" s="262"/>
      <c r="AA199" s="262"/>
      <c r="AB199" s="263"/>
      <c r="AC199" s="214"/>
      <c r="AD199" s="214"/>
      <c r="AE199" s="214"/>
      <c r="AF199" s="214"/>
      <c r="AG199" s="214"/>
      <c r="AH199" s="214"/>
      <c r="AI199" s="261"/>
      <c r="AJ199" s="214"/>
      <c r="AK199" s="261"/>
      <c r="AL199" s="197"/>
      <c r="AM199" s="264"/>
      <c r="AN199" s="214"/>
      <c r="AO199" s="219"/>
      <c r="AP199" s="219"/>
      <c r="AQ199" s="219"/>
      <c r="AR199" s="219"/>
      <c r="AS199" s="253"/>
      <c r="AT199" s="253"/>
      <c r="AU199" s="254"/>
      <c r="AV199" s="254"/>
    </row>
    <row r="200" ht="15.75" customHeight="1">
      <c r="A200" s="214"/>
      <c r="B200" s="197"/>
      <c r="C200" s="198"/>
      <c r="D200" s="199"/>
      <c r="E200" s="254"/>
      <c r="F200" s="254"/>
      <c r="G200" s="254"/>
      <c r="H200" s="254"/>
      <c r="I200" s="254"/>
      <c r="J200" s="254"/>
      <c r="K200" s="259"/>
      <c r="L200" s="254"/>
      <c r="M200" s="260"/>
      <c r="N200" s="214"/>
      <c r="O200" s="254"/>
      <c r="P200" s="214"/>
      <c r="Q200" s="214"/>
      <c r="R200" s="214"/>
      <c r="S200" s="214"/>
      <c r="T200" s="214"/>
      <c r="U200" s="214"/>
      <c r="V200" s="214"/>
      <c r="W200" s="214"/>
      <c r="X200" s="214"/>
      <c r="Y200" s="261"/>
      <c r="Z200" s="262"/>
      <c r="AA200" s="262"/>
      <c r="AB200" s="263"/>
      <c r="AC200" s="214"/>
      <c r="AD200" s="214"/>
      <c r="AE200" s="214"/>
      <c r="AF200" s="214"/>
      <c r="AG200" s="214"/>
      <c r="AH200" s="214"/>
      <c r="AI200" s="261"/>
      <c r="AJ200" s="214"/>
      <c r="AK200" s="261"/>
      <c r="AL200" s="197"/>
      <c r="AM200" s="264"/>
      <c r="AN200" s="214"/>
      <c r="AO200" s="219"/>
      <c r="AP200" s="219"/>
      <c r="AQ200" s="219"/>
      <c r="AR200" s="219"/>
      <c r="AS200" s="253"/>
      <c r="AT200" s="253"/>
      <c r="AU200" s="254"/>
      <c r="AV200" s="254"/>
    </row>
    <row r="201" ht="15.75" customHeight="1">
      <c r="A201" s="214"/>
      <c r="B201" s="197"/>
      <c r="C201" s="198"/>
      <c r="D201" s="199"/>
      <c r="E201" s="254"/>
      <c r="F201" s="254"/>
      <c r="G201" s="254"/>
      <c r="H201" s="254"/>
      <c r="I201" s="254"/>
      <c r="J201" s="254"/>
      <c r="K201" s="259"/>
      <c r="L201" s="254"/>
      <c r="M201" s="260"/>
      <c r="N201" s="214"/>
      <c r="O201" s="254"/>
      <c r="P201" s="214"/>
      <c r="Q201" s="214"/>
      <c r="R201" s="214"/>
      <c r="S201" s="214"/>
      <c r="T201" s="214"/>
      <c r="U201" s="214"/>
      <c r="V201" s="214"/>
      <c r="W201" s="214"/>
      <c r="X201" s="214"/>
      <c r="Y201" s="261"/>
      <c r="Z201" s="262"/>
      <c r="AA201" s="262"/>
      <c r="AB201" s="263"/>
      <c r="AC201" s="214"/>
      <c r="AD201" s="214"/>
      <c r="AE201" s="214"/>
      <c r="AF201" s="214"/>
      <c r="AG201" s="214"/>
      <c r="AH201" s="214"/>
      <c r="AI201" s="261"/>
      <c r="AJ201" s="214"/>
      <c r="AK201" s="261"/>
      <c r="AL201" s="197"/>
      <c r="AM201" s="264"/>
      <c r="AN201" s="214"/>
      <c r="AO201" s="219"/>
      <c r="AP201" s="219"/>
      <c r="AQ201" s="219"/>
      <c r="AR201" s="219"/>
      <c r="AS201" s="253"/>
      <c r="AT201" s="253"/>
      <c r="AU201" s="254"/>
      <c r="AV201" s="254"/>
    </row>
    <row r="202" ht="15.75" customHeight="1">
      <c r="A202" s="214"/>
      <c r="B202" s="197"/>
      <c r="C202" s="198"/>
      <c r="D202" s="199"/>
      <c r="E202" s="254"/>
      <c r="F202" s="254"/>
      <c r="G202" s="254"/>
      <c r="H202" s="254"/>
      <c r="I202" s="254"/>
      <c r="J202" s="254"/>
      <c r="K202" s="259"/>
      <c r="L202" s="254"/>
      <c r="M202" s="260"/>
      <c r="N202" s="214"/>
      <c r="O202" s="254"/>
      <c r="P202" s="214"/>
      <c r="Q202" s="214"/>
      <c r="R202" s="214"/>
      <c r="S202" s="214"/>
      <c r="T202" s="214"/>
      <c r="U202" s="214"/>
      <c r="V202" s="214"/>
      <c r="W202" s="214"/>
      <c r="X202" s="214"/>
      <c r="Y202" s="261"/>
      <c r="Z202" s="262"/>
      <c r="AA202" s="262"/>
      <c r="AB202" s="263"/>
      <c r="AC202" s="214"/>
      <c r="AD202" s="214"/>
      <c r="AE202" s="214"/>
      <c r="AF202" s="214"/>
      <c r="AG202" s="214"/>
      <c r="AH202" s="214"/>
      <c r="AI202" s="261"/>
      <c r="AJ202" s="214"/>
      <c r="AK202" s="261"/>
      <c r="AL202" s="197"/>
      <c r="AM202" s="264"/>
      <c r="AN202" s="214"/>
      <c r="AO202" s="219"/>
      <c r="AP202" s="219"/>
      <c r="AQ202" s="219"/>
      <c r="AR202" s="219"/>
      <c r="AS202" s="253"/>
      <c r="AT202" s="253"/>
      <c r="AU202" s="254"/>
      <c r="AV202" s="254"/>
    </row>
    <row r="203" ht="15.75" customHeight="1">
      <c r="A203" s="214"/>
      <c r="B203" s="197"/>
      <c r="C203" s="198"/>
      <c r="D203" s="199"/>
      <c r="E203" s="254"/>
      <c r="F203" s="254"/>
      <c r="G203" s="254"/>
      <c r="H203" s="254"/>
      <c r="I203" s="254"/>
      <c r="J203" s="254"/>
      <c r="K203" s="259"/>
      <c r="L203" s="254"/>
      <c r="M203" s="260"/>
      <c r="N203" s="214"/>
      <c r="O203" s="254"/>
      <c r="P203" s="214"/>
      <c r="Q203" s="214"/>
      <c r="R203" s="214"/>
      <c r="S203" s="214"/>
      <c r="T203" s="214"/>
      <c r="U203" s="214"/>
      <c r="V203" s="214"/>
      <c r="W203" s="214"/>
      <c r="X203" s="214"/>
      <c r="Y203" s="261"/>
      <c r="Z203" s="262"/>
      <c r="AA203" s="262"/>
      <c r="AB203" s="263"/>
      <c r="AC203" s="214"/>
      <c r="AD203" s="214"/>
      <c r="AE203" s="214"/>
      <c r="AF203" s="214"/>
      <c r="AG203" s="214"/>
      <c r="AH203" s="214"/>
      <c r="AI203" s="261"/>
      <c r="AJ203" s="214"/>
      <c r="AK203" s="261"/>
      <c r="AL203" s="197"/>
      <c r="AM203" s="264"/>
      <c r="AN203" s="214"/>
      <c r="AO203" s="219"/>
      <c r="AP203" s="219"/>
      <c r="AQ203" s="219"/>
      <c r="AR203" s="219"/>
      <c r="AS203" s="253"/>
      <c r="AT203" s="253"/>
      <c r="AU203" s="254"/>
      <c r="AV203" s="254"/>
    </row>
    <row r="204" ht="15.75" customHeight="1">
      <c r="A204" s="214"/>
      <c r="B204" s="197"/>
      <c r="C204" s="198"/>
      <c r="D204" s="199"/>
      <c r="E204" s="254"/>
      <c r="F204" s="254"/>
      <c r="G204" s="254"/>
      <c r="H204" s="254"/>
      <c r="I204" s="254"/>
      <c r="J204" s="254"/>
      <c r="K204" s="259"/>
      <c r="L204" s="254"/>
      <c r="M204" s="260"/>
      <c r="N204" s="214"/>
      <c r="O204" s="254"/>
      <c r="P204" s="214"/>
      <c r="Q204" s="214"/>
      <c r="R204" s="214"/>
      <c r="S204" s="214"/>
      <c r="T204" s="214"/>
      <c r="U204" s="214"/>
      <c r="V204" s="214"/>
      <c r="W204" s="214"/>
      <c r="X204" s="214"/>
      <c r="Y204" s="261"/>
      <c r="Z204" s="262"/>
      <c r="AA204" s="262"/>
      <c r="AB204" s="263"/>
      <c r="AC204" s="214"/>
      <c r="AD204" s="214"/>
      <c r="AE204" s="214"/>
      <c r="AF204" s="214"/>
      <c r="AG204" s="214"/>
      <c r="AH204" s="214"/>
      <c r="AI204" s="261"/>
      <c r="AJ204" s="214"/>
      <c r="AK204" s="261"/>
      <c r="AL204" s="197"/>
      <c r="AM204" s="264"/>
      <c r="AN204" s="214"/>
      <c r="AO204" s="219"/>
      <c r="AP204" s="219"/>
      <c r="AQ204" s="219"/>
      <c r="AR204" s="219"/>
      <c r="AS204" s="253"/>
      <c r="AT204" s="253"/>
      <c r="AU204" s="254"/>
      <c r="AV204" s="254"/>
    </row>
    <row r="205" ht="15.75" customHeight="1">
      <c r="A205" s="214"/>
      <c r="B205" s="197"/>
      <c r="C205" s="198"/>
      <c r="D205" s="199"/>
      <c r="E205" s="254"/>
      <c r="F205" s="254"/>
      <c r="G205" s="254"/>
      <c r="H205" s="254"/>
      <c r="I205" s="254"/>
      <c r="J205" s="254"/>
      <c r="K205" s="259"/>
      <c r="L205" s="254"/>
      <c r="M205" s="260"/>
      <c r="N205" s="214"/>
      <c r="O205" s="254"/>
      <c r="P205" s="214"/>
      <c r="Q205" s="214"/>
      <c r="R205" s="214"/>
      <c r="S205" s="214"/>
      <c r="T205" s="214"/>
      <c r="U205" s="214"/>
      <c r="V205" s="214"/>
      <c r="W205" s="214"/>
      <c r="X205" s="214"/>
      <c r="Y205" s="261"/>
      <c r="Z205" s="262"/>
      <c r="AA205" s="262"/>
      <c r="AB205" s="263"/>
      <c r="AC205" s="214"/>
      <c r="AD205" s="214"/>
      <c r="AE205" s="214"/>
      <c r="AF205" s="214"/>
      <c r="AG205" s="214"/>
      <c r="AH205" s="214"/>
      <c r="AI205" s="261"/>
      <c r="AJ205" s="214"/>
      <c r="AK205" s="261"/>
      <c r="AL205" s="197"/>
      <c r="AM205" s="264"/>
      <c r="AN205" s="214"/>
      <c r="AO205" s="219"/>
      <c r="AP205" s="219"/>
      <c r="AQ205" s="219"/>
      <c r="AR205" s="219"/>
      <c r="AS205" s="253"/>
      <c r="AT205" s="253"/>
      <c r="AU205" s="254"/>
      <c r="AV205" s="254"/>
    </row>
    <row r="206" ht="15.75" customHeight="1">
      <c r="A206" s="214"/>
      <c r="B206" s="197"/>
      <c r="C206" s="198"/>
      <c r="D206" s="199"/>
      <c r="E206" s="254"/>
      <c r="F206" s="254"/>
      <c r="G206" s="254"/>
      <c r="H206" s="254"/>
      <c r="I206" s="254"/>
      <c r="J206" s="254"/>
      <c r="K206" s="259"/>
      <c r="L206" s="254"/>
      <c r="M206" s="260"/>
      <c r="N206" s="214"/>
      <c r="O206" s="254"/>
      <c r="P206" s="214"/>
      <c r="Q206" s="214"/>
      <c r="R206" s="214"/>
      <c r="S206" s="214"/>
      <c r="T206" s="214"/>
      <c r="U206" s="214"/>
      <c r="V206" s="214"/>
      <c r="W206" s="214"/>
      <c r="X206" s="214"/>
      <c r="Y206" s="261"/>
      <c r="Z206" s="262"/>
      <c r="AA206" s="262"/>
      <c r="AB206" s="263"/>
      <c r="AC206" s="214"/>
      <c r="AD206" s="214"/>
      <c r="AE206" s="214"/>
      <c r="AF206" s="214"/>
      <c r="AG206" s="214"/>
      <c r="AH206" s="214"/>
      <c r="AI206" s="261"/>
      <c r="AJ206" s="214"/>
      <c r="AK206" s="261"/>
      <c r="AL206" s="197"/>
      <c r="AM206" s="264"/>
      <c r="AN206" s="214"/>
      <c r="AO206" s="219"/>
      <c r="AP206" s="219"/>
      <c r="AQ206" s="219"/>
      <c r="AR206" s="219"/>
      <c r="AS206" s="253"/>
      <c r="AT206" s="253"/>
      <c r="AU206" s="254"/>
      <c r="AV206" s="254"/>
    </row>
    <row r="207" ht="15.75" customHeight="1">
      <c r="A207" s="214"/>
      <c r="B207" s="197"/>
      <c r="C207" s="198"/>
      <c r="D207" s="199"/>
      <c r="E207" s="254"/>
      <c r="F207" s="254"/>
      <c r="G207" s="254"/>
      <c r="H207" s="254"/>
      <c r="I207" s="254"/>
      <c r="J207" s="254"/>
      <c r="K207" s="259"/>
      <c r="L207" s="254"/>
      <c r="M207" s="260"/>
      <c r="N207" s="214"/>
      <c r="O207" s="254"/>
      <c r="P207" s="214"/>
      <c r="Q207" s="214"/>
      <c r="R207" s="214"/>
      <c r="S207" s="214"/>
      <c r="T207" s="214"/>
      <c r="U207" s="214"/>
      <c r="V207" s="214"/>
      <c r="W207" s="214"/>
      <c r="X207" s="214"/>
      <c r="Y207" s="261"/>
      <c r="Z207" s="262"/>
      <c r="AA207" s="262"/>
      <c r="AB207" s="263"/>
      <c r="AC207" s="214"/>
      <c r="AD207" s="214"/>
      <c r="AE207" s="214"/>
      <c r="AF207" s="214"/>
      <c r="AG207" s="214"/>
      <c r="AH207" s="214"/>
      <c r="AI207" s="261"/>
      <c r="AJ207" s="214"/>
      <c r="AK207" s="261"/>
      <c r="AL207" s="197"/>
      <c r="AM207" s="264"/>
      <c r="AN207" s="214"/>
      <c r="AO207" s="219"/>
      <c r="AP207" s="219"/>
      <c r="AQ207" s="219"/>
      <c r="AR207" s="219"/>
      <c r="AS207" s="253"/>
      <c r="AT207" s="253"/>
      <c r="AU207" s="254"/>
      <c r="AV207" s="254"/>
    </row>
    <row r="208" ht="15.75" customHeight="1">
      <c r="A208" s="214"/>
      <c r="B208" s="197"/>
      <c r="C208" s="198"/>
      <c r="D208" s="199"/>
      <c r="E208" s="254"/>
      <c r="F208" s="254"/>
      <c r="G208" s="254"/>
      <c r="H208" s="254"/>
      <c r="I208" s="254"/>
      <c r="J208" s="254"/>
      <c r="K208" s="259"/>
      <c r="L208" s="254"/>
      <c r="M208" s="260"/>
      <c r="N208" s="214"/>
      <c r="O208" s="254"/>
      <c r="P208" s="214"/>
      <c r="Q208" s="214"/>
      <c r="R208" s="214"/>
      <c r="S208" s="214"/>
      <c r="T208" s="214"/>
      <c r="U208" s="214"/>
      <c r="V208" s="214"/>
      <c r="W208" s="214"/>
      <c r="X208" s="214"/>
      <c r="Y208" s="261"/>
      <c r="Z208" s="262"/>
      <c r="AA208" s="262"/>
      <c r="AB208" s="263"/>
      <c r="AC208" s="214"/>
      <c r="AD208" s="214"/>
      <c r="AE208" s="214"/>
      <c r="AF208" s="214"/>
      <c r="AG208" s="214"/>
      <c r="AH208" s="214"/>
      <c r="AI208" s="261"/>
      <c r="AJ208" s="214"/>
      <c r="AK208" s="261"/>
      <c r="AL208" s="197"/>
      <c r="AM208" s="264"/>
      <c r="AN208" s="214"/>
      <c r="AO208" s="219"/>
      <c r="AP208" s="219"/>
      <c r="AQ208" s="219"/>
      <c r="AR208" s="219"/>
      <c r="AS208" s="253"/>
      <c r="AT208" s="253"/>
      <c r="AU208" s="254"/>
      <c r="AV208" s="254"/>
    </row>
    <row r="209" ht="15.75" customHeight="1">
      <c r="A209" s="214"/>
      <c r="B209" s="197"/>
      <c r="C209" s="198"/>
      <c r="D209" s="199"/>
      <c r="E209" s="254"/>
      <c r="F209" s="254"/>
      <c r="G209" s="254"/>
      <c r="H209" s="254"/>
      <c r="I209" s="254"/>
      <c r="J209" s="254"/>
      <c r="K209" s="259"/>
      <c r="L209" s="254"/>
      <c r="M209" s="260"/>
      <c r="N209" s="214"/>
      <c r="O209" s="254"/>
      <c r="P209" s="214"/>
      <c r="Q209" s="214"/>
      <c r="R209" s="214"/>
      <c r="S209" s="214"/>
      <c r="T209" s="214"/>
      <c r="U209" s="214"/>
      <c r="V209" s="214"/>
      <c r="W209" s="214"/>
      <c r="X209" s="214"/>
      <c r="Y209" s="261"/>
      <c r="Z209" s="262"/>
      <c r="AA209" s="262"/>
      <c r="AB209" s="263"/>
      <c r="AC209" s="214"/>
      <c r="AD209" s="214"/>
      <c r="AE209" s="214"/>
      <c r="AF209" s="214"/>
      <c r="AG209" s="214"/>
      <c r="AH209" s="214"/>
      <c r="AI209" s="261"/>
      <c r="AJ209" s="214"/>
      <c r="AK209" s="261"/>
      <c r="AL209" s="197"/>
      <c r="AM209" s="264"/>
      <c r="AN209" s="214"/>
      <c r="AO209" s="219"/>
      <c r="AP209" s="219"/>
      <c r="AQ209" s="219"/>
      <c r="AR209" s="219"/>
      <c r="AS209" s="253"/>
      <c r="AT209" s="253"/>
      <c r="AU209" s="254"/>
      <c r="AV209" s="254"/>
    </row>
    <row r="210" ht="15.75" customHeight="1">
      <c r="A210" s="214"/>
      <c r="B210" s="197"/>
      <c r="C210" s="198"/>
      <c r="D210" s="199"/>
      <c r="E210" s="254"/>
      <c r="F210" s="254"/>
      <c r="G210" s="254"/>
      <c r="H210" s="254"/>
      <c r="I210" s="254"/>
      <c r="J210" s="254"/>
      <c r="K210" s="259"/>
      <c r="L210" s="254"/>
      <c r="M210" s="260"/>
      <c r="N210" s="214"/>
      <c r="O210" s="254"/>
      <c r="P210" s="214"/>
      <c r="Q210" s="214"/>
      <c r="R210" s="214"/>
      <c r="S210" s="214"/>
      <c r="T210" s="214"/>
      <c r="U210" s="214"/>
      <c r="V210" s="214"/>
      <c r="W210" s="214"/>
      <c r="X210" s="214"/>
      <c r="Y210" s="261"/>
      <c r="Z210" s="262"/>
      <c r="AA210" s="262"/>
      <c r="AB210" s="263"/>
      <c r="AC210" s="214"/>
      <c r="AD210" s="214"/>
      <c r="AE210" s="214"/>
      <c r="AF210" s="214"/>
      <c r="AG210" s="214"/>
      <c r="AH210" s="214"/>
      <c r="AI210" s="261"/>
      <c r="AJ210" s="214"/>
      <c r="AK210" s="261"/>
      <c r="AL210" s="197"/>
      <c r="AM210" s="264"/>
      <c r="AN210" s="214"/>
      <c r="AO210" s="219"/>
      <c r="AP210" s="219"/>
      <c r="AQ210" s="219"/>
      <c r="AR210" s="219"/>
      <c r="AS210" s="253"/>
      <c r="AT210" s="253"/>
      <c r="AU210" s="254"/>
      <c r="AV210" s="254"/>
    </row>
    <row r="211" ht="15.75" customHeight="1">
      <c r="A211" s="214"/>
      <c r="B211" s="197"/>
      <c r="C211" s="198"/>
      <c r="D211" s="199"/>
      <c r="E211" s="254"/>
      <c r="F211" s="254"/>
      <c r="G211" s="254"/>
      <c r="H211" s="254"/>
      <c r="I211" s="254"/>
      <c r="J211" s="254"/>
      <c r="K211" s="259"/>
      <c r="L211" s="254"/>
      <c r="M211" s="260"/>
      <c r="N211" s="214"/>
      <c r="O211" s="254"/>
      <c r="P211" s="214"/>
      <c r="Q211" s="214"/>
      <c r="R211" s="214"/>
      <c r="S211" s="214"/>
      <c r="T211" s="214"/>
      <c r="U211" s="214"/>
      <c r="V211" s="214"/>
      <c r="W211" s="214"/>
      <c r="X211" s="214"/>
      <c r="Y211" s="261"/>
      <c r="Z211" s="262"/>
      <c r="AA211" s="262"/>
      <c r="AB211" s="263"/>
      <c r="AC211" s="214"/>
      <c r="AD211" s="214"/>
      <c r="AE211" s="214"/>
      <c r="AF211" s="214"/>
      <c r="AG211" s="214"/>
      <c r="AH211" s="214"/>
      <c r="AI211" s="261"/>
      <c r="AJ211" s="214"/>
      <c r="AK211" s="261"/>
      <c r="AL211" s="197"/>
      <c r="AM211" s="264"/>
      <c r="AN211" s="214"/>
      <c r="AO211" s="219"/>
      <c r="AP211" s="219"/>
      <c r="AQ211" s="219"/>
      <c r="AR211" s="219"/>
      <c r="AS211" s="253"/>
      <c r="AT211" s="253"/>
      <c r="AU211" s="254"/>
      <c r="AV211" s="254"/>
    </row>
    <row r="212" ht="15.75" customHeight="1">
      <c r="A212" s="214"/>
      <c r="B212" s="197"/>
      <c r="C212" s="198"/>
      <c r="D212" s="199"/>
      <c r="E212" s="254"/>
      <c r="F212" s="254"/>
      <c r="G212" s="254"/>
      <c r="H212" s="254"/>
      <c r="I212" s="254"/>
      <c r="J212" s="254"/>
      <c r="K212" s="259"/>
      <c r="L212" s="254"/>
      <c r="M212" s="260"/>
      <c r="N212" s="214"/>
      <c r="O212" s="254"/>
      <c r="P212" s="214"/>
      <c r="Q212" s="214"/>
      <c r="R212" s="214"/>
      <c r="S212" s="214"/>
      <c r="T212" s="214"/>
      <c r="U212" s="214"/>
      <c r="V212" s="214"/>
      <c r="W212" s="214"/>
      <c r="X212" s="214"/>
      <c r="Y212" s="261"/>
      <c r="Z212" s="262"/>
      <c r="AA212" s="262"/>
      <c r="AB212" s="263"/>
      <c r="AC212" s="214"/>
      <c r="AD212" s="214"/>
      <c r="AE212" s="214"/>
      <c r="AF212" s="214"/>
      <c r="AG212" s="214"/>
      <c r="AH212" s="214"/>
      <c r="AI212" s="261"/>
      <c r="AJ212" s="214"/>
      <c r="AK212" s="261"/>
      <c r="AL212" s="197"/>
      <c r="AM212" s="264"/>
      <c r="AN212" s="214"/>
      <c r="AO212" s="219"/>
      <c r="AP212" s="219"/>
      <c r="AQ212" s="219"/>
      <c r="AR212" s="219"/>
      <c r="AS212" s="253"/>
      <c r="AT212" s="253"/>
      <c r="AU212" s="254"/>
      <c r="AV212" s="254"/>
    </row>
    <row r="213" ht="15.75" customHeight="1">
      <c r="A213" s="214"/>
      <c r="B213" s="197"/>
      <c r="C213" s="198"/>
      <c r="D213" s="199"/>
      <c r="E213" s="254"/>
      <c r="F213" s="254"/>
      <c r="G213" s="254"/>
      <c r="H213" s="254"/>
      <c r="I213" s="254"/>
      <c r="J213" s="254"/>
      <c r="K213" s="259"/>
      <c r="L213" s="254"/>
      <c r="M213" s="260"/>
      <c r="N213" s="214"/>
      <c r="O213" s="254"/>
      <c r="P213" s="214"/>
      <c r="Q213" s="214"/>
      <c r="R213" s="214"/>
      <c r="S213" s="214"/>
      <c r="T213" s="214"/>
      <c r="U213" s="214"/>
      <c r="V213" s="214"/>
      <c r="W213" s="214"/>
      <c r="X213" s="214"/>
      <c r="Y213" s="261"/>
      <c r="Z213" s="262"/>
      <c r="AA213" s="262"/>
      <c r="AB213" s="263"/>
      <c r="AC213" s="214"/>
      <c r="AD213" s="214"/>
      <c r="AE213" s="214"/>
      <c r="AF213" s="214"/>
      <c r="AG213" s="214"/>
      <c r="AH213" s="214"/>
      <c r="AI213" s="261"/>
      <c r="AJ213" s="214"/>
      <c r="AK213" s="261"/>
      <c r="AL213" s="197"/>
      <c r="AM213" s="264"/>
      <c r="AN213" s="214"/>
      <c r="AO213" s="219"/>
      <c r="AP213" s="219"/>
      <c r="AQ213" s="219"/>
      <c r="AR213" s="219"/>
      <c r="AS213" s="253"/>
      <c r="AT213" s="253"/>
      <c r="AU213" s="254"/>
      <c r="AV213" s="254"/>
    </row>
    <row r="214" ht="15.75" customHeight="1">
      <c r="A214" s="214"/>
      <c r="B214" s="197"/>
      <c r="C214" s="198"/>
      <c r="D214" s="199"/>
      <c r="E214" s="254"/>
      <c r="F214" s="254"/>
      <c r="G214" s="254"/>
      <c r="H214" s="254"/>
      <c r="I214" s="254"/>
      <c r="J214" s="254"/>
      <c r="K214" s="259"/>
      <c r="L214" s="254"/>
      <c r="M214" s="260"/>
      <c r="N214" s="214"/>
      <c r="O214" s="254"/>
      <c r="P214" s="214"/>
      <c r="Q214" s="214"/>
      <c r="R214" s="214"/>
      <c r="S214" s="214"/>
      <c r="T214" s="214"/>
      <c r="U214" s="214"/>
      <c r="V214" s="214"/>
      <c r="W214" s="214"/>
      <c r="X214" s="214"/>
      <c r="Y214" s="261"/>
      <c r="Z214" s="262"/>
      <c r="AA214" s="262"/>
      <c r="AB214" s="263"/>
      <c r="AC214" s="214"/>
      <c r="AD214" s="214"/>
      <c r="AE214" s="214"/>
      <c r="AF214" s="214"/>
      <c r="AG214" s="214"/>
      <c r="AH214" s="214"/>
      <c r="AI214" s="261"/>
      <c r="AJ214" s="214"/>
      <c r="AK214" s="261"/>
      <c r="AL214" s="197"/>
      <c r="AM214" s="264"/>
      <c r="AN214" s="214"/>
      <c r="AO214" s="219"/>
      <c r="AP214" s="219"/>
      <c r="AQ214" s="219"/>
      <c r="AR214" s="219"/>
      <c r="AS214" s="253"/>
      <c r="AT214" s="253"/>
      <c r="AU214" s="254"/>
      <c r="AV214" s="254"/>
    </row>
    <row r="215" ht="15.75" customHeight="1">
      <c r="A215" s="214"/>
      <c r="B215" s="197"/>
      <c r="C215" s="198"/>
      <c r="D215" s="199"/>
      <c r="E215" s="254"/>
      <c r="F215" s="254"/>
      <c r="G215" s="254"/>
      <c r="H215" s="254"/>
      <c r="I215" s="254"/>
      <c r="J215" s="254"/>
      <c r="K215" s="259"/>
      <c r="L215" s="254"/>
      <c r="M215" s="260"/>
      <c r="N215" s="214"/>
      <c r="O215" s="254"/>
      <c r="P215" s="214"/>
      <c r="Q215" s="214"/>
      <c r="R215" s="214"/>
      <c r="S215" s="214"/>
      <c r="T215" s="214"/>
      <c r="U215" s="214"/>
      <c r="V215" s="214"/>
      <c r="W215" s="214"/>
      <c r="X215" s="214"/>
      <c r="Y215" s="261"/>
      <c r="Z215" s="262"/>
      <c r="AA215" s="262"/>
      <c r="AB215" s="263"/>
      <c r="AC215" s="214"/>
      <c r="AD215" s="214"/>
      <c r="AE215" s="214"/>
      <c r="AF215" s="214"/>
      <c r="AG215" s="214"/>
      <c r="AH215" s="214"/>
      <c r="AI215" s="261"/>
      <c r="AJ215" s="214"/>
      <c r="AK215" s="261"/>
      <c r="AL215" s="197"/>
      <c r="AM215" s="264"/>
      <c r="AN215" s="214"/>
      <c r="AO215" s="219"/>
      <c r="AP215" s="219"/>
      <c r="AQ215" s="219"/>
      <c r="AR215" s="219"/>
      <c r="AS215" s="253"/>
      <c r="AT215" s="253"/>
      <c r="AU215" s="254"/>
      <c r="AV215" s="254"/>
    </row>
    <row r="216" ht="15.75" customHeight="1">
      <c r="A216" s="214"/>
      <c r="B216" s="197"/>
      <c r="C216" s="198"/>
      <c r="D216" s="199"/>
      <c r="E216" s="254"/>
      <c r="F216" s="254"/>
      <c r="G216" s="254"/>
      <c r="H216" s="254"/>
      <c r="I216" s="254"/>
      <c r="J216" s="254"/>
      <c r="K216" s="259"/>
      <c r="L216" s="254"/>
      <c r="M216" s="260"/>
      <c r="N216" s="214"/>
      <c r="O216" s="254"/>
      <c r="P216" s="214"/>
      <c r="Q216" s="214"/>
      <c r="R216" s="214"/>
      <c r="S216" s="214"/>
      <c r="T216" s="214"/>
      <c r="U216" s="214"/>
      <c r="V216" s="214"/>
      <c r="W216" s="214"/>
      <c r="X216" s="214"/>
      <c r="Y216" s="261"/>
      <c r="Z216" s="262"/>
      <c r="AA216" s="262"/>
      <c r="AB216" s="263"/>
      <c r="AC216" s="214"/>
      <c r="AD216" s="214"/>
      <c r="AE216" s="214"/>
      <c r="AF216" s="214"/>
      <c r="AG216" s="214"/>
      <c r="AH216" s="214"/>
      <c r="AI216" s="261"/>
      <c r="AJ216" s="214"/>
      <c r="AK216" s="261"/>
      <c r="AL216" s="197"/>
      <c r="AM216" s="264"/>
      <c r="AN216" s="214"/>
      <c r="AO216" s="219"/>
      <c r="AP216" s="219"/>
      <c r="AQ216" s="219"/>
      <c r="AR216" s="219"/>
      <c r="AS216" s="253"/>
      <c r="AT216" s="253"/>
      <c r="AU216" s="254"/>
      <c r="AV216" s="254"/>
    </row>
    <row r="217" ht="15.75" customHeight="1">
      <c r="A217" s="214"/>
      <c r="B217" s="197"/>
      <c r="C217" s="198"/>
      <c r="D217" s="199"/>
      <c r="E217" s="254"/>
      <c r="F217" s="254"/>
      <c r="G217" s="254"/>
      <c r="H217" s="254"/>
      <c r="I217" s="254"/>
      <c r="J217" s="254"/>
      <c r="K217" s="259"/>
      <c r="L217" s="254"/>
      <c r="M217" s="260"/>
      <c r="N217" s="214"/>
      <c r="O217" s="254"/>
      <c r="P217" s="214"/>
      <c r="Q217" s="214"/>
      <c r="R217" s="214"/>
      <c r="S217" s="214"/>
      <c r="T217" s="214"/>
      <c r="U217" s="214"/>
      <c r="V217" s="214"/>
      <c r="W217" s="214"/>
      <c r="X217" s="214"/>
      <c r="Y217" s="261"/>
      <c r="Z217" s="262"/>
      <c r="AA217" s="262"/>
      <c r="AB217" s="263"/>
      <c r="AC217" s="214"/>
      <c r="AD217" s="214"/>
      <c r="AE217" s="214"/>
      <c r="AF217" s="214"/>
      <c r="AG217" s="214"/>
      <c r="AH217" s="214"/>
      <c r="AI217" s="261"/>
      <c r="AJ217" s="214"/>
      <c r="AK217" s="261"/>
      <c r="AL217" s="197"/>
      <c r="AM217" s="264"/>
      <c r="AN217" s="214"/>
      <c r="AO217" s="219"/>
      <c r="AP217" s="219"/>
      <c r="AQ217" s="219"/>
      <c r="AR217" s="219"/>
      <c r="AS217" s="253"/>
      <c r="AT217" s="253"/>
      <c r="AU217" s="254"/>
      <c r="AV217" s="254"/>
    </row>
    <row r="218" ht="15.75" customHeight="1">
      <c r="A218" s="214"/>
      <c r="B218" s="197"/>
      <c r="C218" s="198"/>
      <c r="D218" s="199"/>
      <c r="E218" s="254"/>
      <c r="F218" s="254"/>
      <c r="G218" s="254"/>
      <c r="H218" s="254"/>
      <c r="I218" s="254"/>
      <c r="J218" s="254"/>
      <c r="K218" s="259"/>
      <c r="L218" s="254"/>
      <c r="M218" s="260"/>
      <c r="N218" s="214"/>
      <c r="O218" s="254"/>
      <c r="P218" s="214"/>
      <c r="Q218" s="214"/>
      <c r="R218" s="214"/>
      <c r="S218" s="214"/>
      <c r="T218" s="214"/>
      <c r="U218" s="214"/>
      <c r="V218" s="214"/>
      <c r="W218" s="214"/>
      <c r="X218" s="214"/>
      <c r="Y218" s="261"/>
      <c r="Z218" s="262"/>
      <c r="AA218" s="262"/>
      <c r="AB218" s="263"/>
      <c r="AC218" s="214"/>
      <c r="AD218" s="214"/>
      <c r="AE218" s="214"/>
      <c r="AF218" s="214"/>
      <c r="AG218" s="214"/>
      <c r="AH218" s="214"/>
      <c r="AI218" s="261"/>
      <c r="AJ218" s="214"/>
      <c r="AK218" s="261"/>
      <c r="AL218" s="197"/>
      <c r="AM218" s="264"/>
      <c r="AN218" s="214"/>
      <c r="AO218" s="219"/>
      <c r="AP218" s="219"/>
      <c r="AQ218" s="219"/>
      <c r="AR218" s="219"/>
      <c r="AS218" s="253"/>
      <c r="AT218" s="253"/>
      <c r="AU218" s="254"/>
      <c r="AV218" s="254"/>
    </row>
    <row r="219" ht="15.75" customHeight="1">
      <c r="A219" s="214"/>
      <c r="B219" s="197"/>
      <c r="C219" s="198"/>
      <c r="D219" s="199"/>
      <c r="E219" s="254"/>
      <c r="F219" s="254"/>
      <c r="G219" s="254"/>
      <c r="H219" s="254"/>
      <c r="I219" s="254"/>
      <c r="J219" s="254"/>
      <c r="K219" s="259"/>
      <c r="L219" s="254"/>
      <c r="M219" s="260"/>
      <c r="N219" s="214"/>
      <c r="O219" s="254"/>
      <c r="P219" s="214"/>
      <c r="Q219" s="214"/>
      <c r="R219" s="214"/>
      <c r="S219" s="214"/>
      <c r="T219" s="214"/>
      <c r="U219" s="214"/>
      <c r="V219" s="214"/>
      <c r="W219" s="214"/>
      <c r="X219" s="214"/>
      <c r="Y219" s="261"/>
      <c r="Z219" s="262"/>
      <c r="AA219" s="262"/>
      <c r="AB219" s="263"/>
      <c r="AC219" s="214"/>
      <c r="AD219" s="214"/>
      <c r="AE219" s="214"/>
      <c r="AF219" s="214"/>
      <c r="AG219" s="214"/>
      <c r="AH219" s="214"/>
      <c r="AI219" s="261"/>
      <c r="AJ219" s="214"/>
      <c r="AK219" s="261"/>
      <c r="AL219" s="197"/>
      <c r="AM219" s="264"/>
      <c r="AN219" s="214"/>
      <c r="AO219" s="219"/>
      <c r="AP219" s="219"/>
      <c r="AQ219" s="219"/>
      <c r="AR219" s="219"/>
      <c r="AS219" s="253"/>
      <c r="AT219" s="253"/>
      <c r="AU219" s="254"/>
      <c r="AV219" s="254"/>
    </row>
    <row r="220" ht="15.75" customHeight="1">
      <c r="A220" s="214"/>
      <c r="B220" s="197"/>
      <c r="C220" s="198"/>
      <c r="D220" s="199"/>
      <c r="E220" s="254"/>
      <c r="F220" s="254"/>
      <c r="G220" s="254"/>
      <c r="H220" s="254"/>
      <c r="I220" s="254"/>
      <c r="J220" s="254"/>
      <c r="K220" s="259"/>
      <c r="L220" s="254"/>
      <c r="M220" s="260"/>
      <c r="N220" s="214"/>
      <c r="O220" s="254"/>
      <c r="P220" s="214"/>
      <c r="Q220" s="214"/>
      <c r="R220" s="214"/>
      <c r="S220" s="214"/>
      <c r="T220" s="214"/>
      <c r="U220" s="214"/>
      <c r="V220" s="214"/>
      <c r="W220" s="214"/>
      <c r="X220" s="214"/>
      <c r="Y220" s="261"/>
      <c r="Z220" s="262"/>
      <c r="AA220" s="262"/>
      <c r="AB220" s="263"/>
      <c r="AC220" s="214"/>
      <c r="AD220" s="214"/>
      <c r="AE220" s="214"/>
      <c r="AF220" s="214"/>
      <c r="AG220" s="214"/>
      <c r="AH220" s="214"/>
      <c r="AI220" s="261"/>
      <c r="AJ220" s="214"/>
      <c r="AK220" s="261"/>
      <c r="AL220" s="197"/>
      <c r="AM220" s="264"/>
      <c r="AN220" s="214"/>
      <c r="AO220" s="219"/>
      <c r="AP220" s="219"/>
      <c r="AQ220" s="219"/>
      <c r="AR220" s="219"/>
      <c r="AS220" s="253"/>
      <c r="AT220" s="253"/>
      <c r="AU220" s="254"/>
      <c r="AV220" s="254"/>
    </row>
    <row r="221" ht="15.75" customHeight="1">
      <c r="A221" s="214"/>
      <c r="B221" s="197"/>
      <c r="C221" s="198"/>
      <c r="D221" s="199"/>
      <c r="E221" s="254"/>
      <c r="F221" s="254"/>
      <c r="G221" s="254"/>
      <c r="H221" s="254"/>
      <c r="I221" s="254"/>
      <c r="J221" s="254"/>
      <c r="K221" s="259"/>
      <c r="L221" s="254"/>
      <c r="M221" s="260"/>
      <c r="N221" s="214"/>
      <c r="O221" s="254"/>
      <c r="P221" s="214"/>
      <c r="Q221" s="214"/>
      <c r="R221" s="214"/>
      <c r="S221" s="214"/>
      <c r="T221" s="214"/>
      <c r="U221" s="214"/>
      <c r="V221" s="214"/>
      <c r="W221" s="214"/>
      <c r="X221" s="214"/>
      <c r="Y221" s="261"/>
      <c r="Z221" s="262"/>
      <c r="AA221" s="262"/>
      <c r="AB221" s="263"/>
      <c r="AC221" s="214"/>
      <c r="AD221" s="214"/>
      <c r="AE221" s="214"/>
      <c r="AF221" s="214"/>
      <c r="AG221" s="214"/>
      <c r="AH221" s="214"/>
      <c r="AI221" s="261"/>
      <c r="AJ221" s="214"/>
      <c r="AK221" s="261"/>
      <c r="AL221" s="197"/>
      <c r="AM221" s="264"/>
      <c r="AN221" s="214"/>
      <c r="AO221" s="219"/>
      <c r="AP221" s="219"/>
      <c r="AQ221" s="219"/>
      <c r="AR221" s="219"/>
      <c r="AS221" s="253"/>
      <c r="AT221" s="253"/>
      <c r="AU221" s="254"/>
      <c r="AV221" s="254"/>
    </row>
    <row r="222" ht="15.75" customHeight="1">
      <c r="A222" s="214"/>
      <c r="B222" s="197"/>
      <c r="C222" s="198"/>
      <c r="D222" s="199"/>
      <c r="E222" s="254"/>
      <c r="F222" s="254"/>
      <c r="G222" s="254"/>
      <c r="H222" s="254"/>
      <c r="I222" s="254"/>
      <c r="J222" s="254"/>
      <c r="K222" s="259"/>
      <c r="L222" s="254"/>
      <c r="M222" s="260"/>
      <c r="N222" s="214"/>
      <c r="O222" s="254"/>
      <c r="P222" s="214"/>
      <c r="Q222" s="214"/>
      <c r="R222" s="214"/>
      <c r="S222" s="214"/>
      <c r="T222" s="214"/>
      <c r="U222" s="214"/>
      <c r="V222" s="214"/>
      <c r="W222" s="214"/>
      <c r="X222" s="214"/>
      <c r="Y222" s="261"/>
      <c r="Z222" s="262"/>
      <c r="AA222" s="262"/>
      <c r="AB222" s="263"/>
      <c r="AC222" s="214"/>
      <c r="AD222" s="214"/>
      <c r="AE222" s="214"/>
      <c r="AF222" s="214"/>
      <c r="AG222" s="214"/>
      <c r="AH222" s="214"/>
      <c r="AI222" s="261"/>
      <c r="AJ222" s="214"/>
      <c r="AK222" s="261"/>
      <c r="AL222" s="197"/>
      <c r="AM222" s="264"/>
      <c r="AN222" s="214"/>
      <c r="AO222" s="219"/>
      <c r="AP222" s="219"/>
      <c r="AQ222" s="219"/>
      <c r="AR222" s="219"/>
      <c r="AS222" s="253"/>
      <c r="AT222" s="253"/>
      <c r="AU222" s="254"/>
      <c r="AV222" s="254"/>
    </row>
    <row r="223" ht="15.75" customHeight="1">
      <c r="A223" s="214"/>
      <c r="B223" s="197"/>
      <c r="C223" s="198"/>
      <c r="D223" s="199"/>
      <c r="E223" s="254"/>
      <c r="F223" s="254"/>
      <c r="G223" s="254"/>
      <c r="H223" s="254"/>
      <c r="I223" s="254"/>
      <c r="J223" s="254"/>
      <c r="K223" s="259"/>
      <c r="L223" s="254"/>
      <c r="M223" s="260"/>
      <c r="N223" s="214"/>
      <c r="O223" s="254"/>
      <c r="P223" s="214"/>
      <c r="Q223" s="214"/>
      <c r="R223" s="214"/>
      <c r="S223" s="214"/>
      <c r="T223" s="214"/>
      <c r="U223" s="214"/>
      <c r="V223" s="214"/>
      <c r="W223" s="214"/>
      <c r="X223" s="214"/>
      <c r="Y223" s="261"/>
      <c r="Z223" s="262"/>
      <c r="AA223" s="262"/>
      <c r="AB223" s="263"/>
      <c r="AC223" s="214"/>
      <c r="AD223" s="214"/>
      <c r="AE223" s="214"/>
      <c r="AF223" s="214"/>
      <c r="AG223" s="214"/>
      <c r="AH223" s="214"/>
      <c r="AI223" s="261"/>
      <c r="AJ223" s="214"/>
      <c r="AK223" s="261"/>
      <c r="AL223" s="197"/>
      <c r="AM223" s="264"/>
      <c r="AN223" s="214"/>
      <c r="AO223" s="219"/>
      <c r="AP223" s="219"/>
      <c r="AQ223" s="219"/>
      <c r="AR223" s="219"/>
      <c r="AS223" s="253"/>
      <c r="AT223" s="253"/>
      <c r="AU223" s="254"/>
      <c r="AV223" s="254"/>
    </row>
    <row r="224" ht="15.75" customHeight="1">
      <c r="A224" s="214"/>
      <c r="B224" s="197"/>
      <c r="C224" s="198"/>
      <c r="D224" s="199"/>
      <c r="E224" s="254"/>
      <c r="F224" s="254"/>
      <c r="G224" s="254"/>
      <c r="H224" s="254"/>
      <c r="I224" s="254"/>
      <c r="J224" s="254"/>
      <c r="K224" s="259"/>
      <c r="L224" s="254"/>
      <c r="M224" s="260"/>
      <c r="N224" s="214"/>
      <c r="O224" s="254"/>
      <c r="P224" s="214"/>
      <c r="Q224" s="214"/>
      <c r="R224" s="214"/>
      <c r="S224" s="214"/>
      <c r="T224" s="214"/>
      <c r="U224" s="214"/>
      <c r="V224" s="214"/>
      <c r="W224" s="214"/>
      <c r="X224" s="214"/>
      <c r="Y224" s="261"/>
      <c r="Z224" s="262"/>
      <c r="AA224" s="262"/>
      <c r="AB224" s="263"/>
      <c r="AC224" s="214"/>
      <c r="AD224" s="214"/>
      <c r="AE224" s="214"/>
      <c r="AF224" s="214"/>
      <c r="AG224" s="214"/>
      <c r="AH224" s="214"/>
      <c r="AI224" s="261"/>
      <c r="AJ224" s="214"/>
      <c r="AK224" s="261"/>
      <c r="AL224" s="197"/>
      <c r="AM224" s="264"/>
      <c r="AN224" s="214"/>
      <c r="AO224" s="219"/>
      <c r="AP224" s="219"/>
      <c r="AQ224" s="219"/>
      <c r="AR224" s="219"/>
      <c r="AS224" s="253"/>
      <c r="AT224" s="253"/>
      <c r="AU224" s="254"/>
      <c r="AV224" s="254"/>
    </row>
    <row r="225" ht="15.75" customHeight="1">
      <c r="A225" s="214"/>
      <c r="B225" s="197"/>
      <c r="C225" s="198"/>
      <c r="D225" s="199"/>
      <c r="E225" s="254"/>
      <c r="F225" s="254"/>
      <c r="G225" s="254"/>
      <c r="H225" s="254"/>
      <c r="I225" s="254"/>
      <c r="J225" s="254"/>
      <c r="K225" s="259"/>
      <c r="L225" s="254"/>
      <c r="M225" s="260"/>
      <c r="N225" s="214"/>
      <c r="O225" s="254"/>
      <c r="P225" s="214"/>
      <c r="Q225" s="214"/>
      <c r="R225" s="214"/>
      <c r="S225" s="214"/>
      <c r="T225" s="214"/>
      <c r="U225" s="214"/>
      <c r="V225" s="214"/>
      <c r="W225" s="214"/>
      <c r="X225" s="214"/>
      <c r="Y225" s="261"/>
      <c r="Z225" s="262"/>
      <c r="AA225" s="262"/>
      <c r="AB225" s="263"/>
      <c r="AC225" s="214"/>
      <c r="AD225" s="214"/>
      <c r="AE225" s="214"/>
      <c r="AF225" s="214"/>
      <c r="AG225" s="214"/>
      <c r="AH225" s="214"/>
      <c r="AI225" s="261"/>
      <c r="AJ225" s="214"/>
      <c r="AK225" s="261"/>
      <c r="AL225" s="197"/>
      <c r="AM225" s="264"/>
      <c r="AN225" s="214"/>
      <c r="AO225" s="219"/>
      <c r="AP225" s="219"/>
      <c r="AQ225" s="219"/>
      <c r="AR225" s="219"/>
      <c r="AS225" s="253"/>
      <c r="AT225" s="253"/>
      <c r="AU225" s="254"/>
      <c r="AV225" s="254"/>
    </row>
    <row r="226" ht="15.75" customHeight="1">
      <c r="A226" s="214"/>
      <c r="B226" s="197"/>
      <c r="C226" s="198"/>
      <c r="D226" s="199"/>
      <c r="E226" s="254"/>
      <c r="F226" s="254"/>
      <c r="G226" s="254"/>
      <c r="H226" s="254"/>
      <c r="I226" s="254"/>
      <c r="J226" s="254"/>
      <c r="K226" s="259"/>
      <c r="L226" s="254"/>
      <c r="M226" s="260"/>
      <c r="N226" s="214"/>
      <c r="O226" s="254"/>
      <c r="P226" s="214"/>
      <c r="Q226" s="214"/>
      <c r="R226" s="214"/>
      <c r="S226" s="214"/>
      <c r="T226" s="214"/>
      <c r="U226" s="214"/>
      <c r="V226" s="214"/>
      <c r="W226" s="214"/>
      <c r="X226" s="214"/>
      <c r="Y226" s="261"/>
      <c r="Z226" s="262"/>
      <c r="AA226" s="262"/>
      <c r="AB226" s="263"/>
      <c r="AC226" s="214"/>
      <c r="AD226" s="214"/>
      <c r="AE226" s="214"/>
      <c r="AF226" s="214"/>
      <c r="AG226" s="214"/>
      <c r="AH226" s="214"/>
      <c r="AI226" s="261"/>
      <c r="AJ226" s="214"/>
      <c r="AK226" s="261"/>
      <c r="AL226" s="197"/>
      <c r="AM226" s="264"/>
      <c r="AN226" s="214"/>
      <c r="AO226" s="219"/>
      <c r="AP226" s="219"/>
      <c r="AQ226" s="219"/>
      <c r="AR226" s="219"/>
      <c r="AS226" s="253"/>
      <c r="AT226" s="253"/>
      <c r="AU226" s="254"/>
      <c r="AV226" s="254"/>
    </row>
    <row r="227" ht="15.75" customHeight="1">
      <c r="A227" s="214"/>
      <c r="B227" s="197"/>
      <c r="C227" s="198"/>
      <c r="D227" s="199"/>
      <c r="E227" s="254"/>
      <c r="F227" s="254"/>
      <c r="G227" s="254"/>
      <c r="H227" s="254"/>
      <c r="I227" s="254"/>
      <c r="J227" s="254"/>
      <c r="K227" s="259"/>
      <c r="L227" s="254"/>
      <c r="M227" s="260"/>
      <c r="N227" s="214"/>
      <c r="O227" s="254"/>
      <c r="P227" s="214"/>
      <c r="Q227" s="214"/>
      <c r="R227" s="214"/>
      <c r="S227" s="214"/>
      <c r="T227" s="214"/>
      <c r="U227" s="214"/>
      <c r="V227" s="214"/>
      <c r="W227" s="214"/>
      <c r="X227" s="214"/>
      <c r="Y227" s="261"/>
      <c r="Z227" s="262"/>
      <c r="AA227" s="262"/>
      <c r="AB227" s="263"/>
      <c r="AC227" s="214"/>
      <c r="AD227" s="214"/>
      <c r="AE227" s="214"/>
      <c r="AF227" s="214"/>
      <c r="AG227" s="214"/>
      <c r="AH227" s="214"/>
      <c r="AI227" s="261"/>
      <c r="AJ227" s="214"/>
      <c r="AK227" s="261"/>
      <c r="AL227" s="197"/>
      <c r="AM227" s="264"/>
      <c r="AN227" s="214"/>
      <c r="AO227" s="219"/>
      <c r="AP227" s="219"/>
      <c r="AQ227" s="219"/>
      <c r="AR227" s="219"/>
      <c r="AS227" s="253"/>
      <c r="AT227" s="253"/>
      <c r="AU227" s="254"/>
      <c r="AV227" s="254"/>
    </row>
    <row r="228" ht="15.75" customHeight="1">
      <c r="A228" s="214"/>
      <c r="B228" s="197"/>
      <c r="C228" s="198"/>
      <c r="D228" s="199"/>
      <c r="E228" s="254"/>
      <c r="F228" s="254"/>
      <c r="G228" s="254"/>
      <c r="H228" s="254"/>
      <c r="I228" s="254"/>
      <c r="J228" s="254"/>
      <c r="K228" s="259"/>
      <c r="L228" s="254"/>
      <c r="M228" s="260"/>
      <c r="N228" s="214"/>
      <c r="O228" s="254"/>
      <c r="P228" s="214"/>
      <c r="Q228" s="214"/>
      <c r="R228" s="214"/>
      <c r="S228" s="214"/>
      <c r="T228" s="214"/>
      <c r="U228" s="214"/>
      <c r="V228" s="214"/>
      <c r="W228" s="214"/>
      <c r="X228" s="214"/>
      <c r="Y228" s="261"/>
      <c r="Z228" s="262"/>
      <c r="AA228" s="262"/>
      <c r="AB228" s="263"/>
      <c r="AC228" s="214"/>
      <c r="AD228" s="214"/>
      <c r="AE228" s="214"/>
      <c r="AF228" s="214"/>
      <c r="AG228" s="214"/>
      <c r="AH228" s="214"/>
      <c r="AI228" s="261"/>
      <c r="AJ228" s="214"/>
      <c r="AK228" s="261"/>
      <c r="AL228" s="197"/>
      <c r="AM228" s="264"/>
      <c r="AN228" s="214"/>
      <c r="AO228" s="219"/>
      <c r="AP228" s="219"/>
      <c r="AQ228" s="219"/>
      <c r="AR228" s="219"/>
      <c r="AS228" s="253"/>
      <c r="AT228" s="253"/>
      <c r="AU228" s="254"/>
      <c r="AV228" s="254"/>
    </row>
    <row r="229" ht="15.75" customHeight="1">
      <c r="A229" s="214"/>
      <c r="B229" s="197"/>
      <c r="C229" s="198"/>
      <c r="D229" s="199"/>
      <c r="E229" s="254"/>
      <c r="F229" s="254"/>
      <c r="G229" s="254"/>
      <c r="H229" s="254"/>
      <c r="I229" s="254"/>
      <c r="J229" s="254"/>
      <c r="K229" s="259"/>
      <c r="L229" s="254"/>
      <c r="M229" s="260"/>
      <c r="N229" s="214"/>
      <c r="O229" s="254"/>
      <c r="P229" s="214"/>
      <c r="Q229" s="214"/>
      <c r="R229" s="214"/>
      <c r="S229" s="214"/>
      <c r="T229" s="214"/>
      <c r="U229" s="214"/>
      <c r="V229" s="214"/>
      <c r="W229" s="214"/>
      <c r="X229" s="214"/>
      <c r="Y229" s="261"/>
      <c r="Z229" s="262"/>
      <c r="AA229" s="262"/>
      <c r="AB229" s="263"/>
      <c r="AC229" s="214"/>
      <c r="AD229" s="214"/>
      <c r="AE229" s="214"/>
      <c r="AF229" s="214"/>
      <c r="AG229" s="214"/>
      <c r="AH229" s="214"/>
      <c r="AI229" s="261"/>
      <c r="AJ229" s="214"/>
      <c r="AK229" s="261"/>
      <c r="AL229" s="197"/>
      <c r="AM229" s="264"/>
      <c r="AN229" s="214"/>
      <c r="AO229" s="219"/>
      <c r="AP229" s="219"/>
      <c r="AQ229" s="219"/>
      <c r="AR229" s="219"/>
      <c r="AS229" s="253"/>
      <c r="AT229" s="253"/>
      <c r="AU229" s="254"/>
      <c r="AV229" s="254"/>
    </row>
    <row r="230" ht="15.75" customHeight="1">
      <c r="A230" s="214"/>
      <c r="B230" s="197"/>
      <c r="C230" s="198"/>
      <c r="D230" s="199"/>
      <c r="E230" s="254"/>
      <c r="F230" s="254"/>
      <c r="G230" s="254"/>
      <c r="H230" s="254"/>
      <c r="I230" s="254"/>
      <c r="J230" s="254"/>
      <c r="K230" s="259"/>
      <c r="L230" s="254"/>
      <c r="M230" s="260"/>
      <c r="N230" s="214"/>
      <c r="O230" s="254"/>
      <c r="P230" s="214"/>
      <c r="Q230" s="214"/>
      <c r="R230" s="214"/>
      <c r="S230" s="214"/>
      <c r="T230" s="214"/>
      <c r="U230" s="214"/>
      <c r="V230" s="214"/>
      <c r="W230" s="214"/>
      <c r="X230" s="214"/>
      <c r="Y230" s="261"/>
      <c r="Z230" s="262"/>
      <c r="AA230" s="262"/>
      <c r="AB230" s="263"/>
      <c r="AC230" s="214"/>
      <c r="AD230" s="214"/>
      <c r="AE230" s="214"/>
      <c r="AF230" s="214"/>
      <c r="AG230" s="214"/>
      <c r="AH230" s="214"/>
      <c r="AI230" s="261"/>
      <c r="AJ230" s="214"/>
      <c r="AK230" s="261"/>
      <c r="AL230" s="197"/>
      <c r="AM230" s="264"/>
      <c r="AN230" s="214"/>
      <c r="AO230" s="219"/>
      <c r="AP230" s="219"/>
      <c r="AQ230" s="219"/>
      <c r="AR230" s="219"/>
      <c r="AS230" s="253"/>
      <c r="AT230" s="253"/>
      <c r="AU230" s="254"/>
      <c r="AV230" s="254"/>
    </row>
    <row r="231" ht="15.75" customHeight="1">
      <c r="A231" s="214"/>
      <c r="B231" s="197"/>
      <c r="C231" s="198"/>
      <c r="D231" s="199"/>
      <c r="E231" s="254"/>
      <c r="F231" s="254"/>
      <c r="G231" s="254"/>
      <c r="H231" s="254"/>
      <c r="I231" s="254"/>
      <c r="J231" s="254"/>
      <c r="K231" s="259"/>
      <c r="L231" s="254"/>
      <c r="M231" s="260"/>
      <c r="N231" s="214"/>
      <c r="O231" s="254"/>
      <c r="P231" s="214"/>
      <c r="Q231" s="214"/>
      <c r="R231" s="214"/>
      <c r="S231" s="214"/>
      <c r="T231" s="214"/>
      <c r="U231" s="214"/>
      <c r="V231" s="214"/>
      <c r="W231" s="214"/>
      <c r="X231" s="214"/>
      <c r="Y231" s="261"/>
      <c r="Z231" s="262"/>
      <c r="AA231" s="262"/>
      <c r="AB231" s="263"/>
      <c r="AC231" s="214"/>
      <c r="AD231" s="214"/>
      <c r="AE231" s="214"/>
      <c r="AF231" s="214"/>
      <c r="AG231" s="214"/>
      <c r="AH231" s="214"/>
      <c r="AI231" s="261"/>
      <c r="AJ231" s="214"/>
      <c r="AK231" s="261"/>
      <c r="AL231" s="197"/>
      <c r="AM231" s="264"/>
      <c r="AN231" s="214"/>
      <c r="AO231" s="219"/>
      <c r="AP231" s="219"/>
      <c r="AQ231" s="219"/>
      <c r="AR231" s="219"/>
      <c r="AS231" s="253"/>
      <c r="AT231" s="253"/>
      <c r="AU231" s="254"/>
      <c r="AV231" s="254"/>
    </row>
    <row r="232" ht="15.75" customHeight="1">
      <c r="A232" s="214"/>
      <c r="B232" s="261"/>
      <c r="C232" s="266"/>
      <c r="D232" s="267"/>
      <c r="E232" s="214"/>
      <c r="F232" s="214"/>
      <c r="G232" s="254"/>
      <c r="H232" s="214"/>
      <c r="I232" s="214"/>
      <c r="J232" s="214"/>
      <c r="K232" s="268"/>
      <c r="L232" s="214"/>
      <c r="M232" s="269"/>
      <c r="N232" s="214"/>
      <c r="O232" s="214"/>
      <c r="P232" s="214"/>
      <c r="Q232" s="214"/>
      <c r="R232" s="214"/>
      <c r="S232" s="214"/>
      <c r="T232" s="214"/>
      <c r="U232" s="214"/>
      <c r="V232" s="214"/>
      <c r="W232" s="214"/>
      <c r="X232" s="214"/>
      <c r="Y232" s="261"/>
      <c r="Z232" s="262"/>
      <c r="AA232" s="262"/>
      <c r="AB232" s="270"/>
      <c r="AC232" s="214"/>
      <c r="AD232" s="214"/>
      <c r="AE232" s="214"/>
      <c r="AF232" s="214"/>
      <c r="AG232" s="214"/>
      <c r="AH232" s="214"/>
      <c r="AI232" s="261"/>
      <c r="AJ232" s="214"/>
      <c r="AK232" s="261"/>
      <c r="AL232" s="261"/>
      <c r="AM232" s="264"/>
      <c r="AN232" s="214"/>
      <c r="AO232" s="271"/>
      <c r="AP232" s="271"/>
      <c r="AQ232" s="271"/>
      <c r="AR232" s="271"/>
      <c r="AS232" s="272"/>
      <c r="AT232" s="272"/>
      <c r="AU232" s="214"/>
      <c r="AV232" s="214"/>
    </row>
    <row r="233" ht="15.75" customHeight="1">
      <c r="A233" s="214"/>
      <c r="B233" s="261"/>
      <c r="C233" s="266"/>
      <c r="D233" s="267"/>
      <c r="E233" s="214"/>
      <c r="F233" s="214"/>
      <c r="G233" s="254"/>
      <c r="H233" s="214"/>
      <c r="I233" s="214"/>
      <c r="J233" s="214"/>
      <c r="K233" s="268"/>
      <c r="L233" s="214"/>
      <c r="M233" s="269"/>
      <c r="N233" s="214"/>
      <c r="O233" s="214"/>
      <c r="P233" s="214"/>
      <c r="Q233" s="214"/>
      <c r="R233" s="214"/>
      <c r="S233" s="214"/>
      <c r="T233" s="214"/>
      <c r="U233" s="214"/>
      <c r="V233" s="214"/>
      <c r="W233" s="214"/>
      <c r="X233" s="214"/>
      <c r="Y233" s="261"/>
      <c r="Z233" s="262"/>
      <c r="AA233" s="262"/>
      <c r="AB233" s="270"/>
      <c r="AC233" s="214"/>
      <c r="AD233" s="214"/>
      <c r="AE233" s="214"/>
      <c r="AF233" s="214"/>
      <c r="AG233" s="214"/>
      <c r="AH233" s="214"/>
      <c r="AI233" s="261"/>
      <c r="AJ233" s="214"/>
      <c r="AK233" s="261"/>
      <c r="AL233" s="261"/>
      <c r="AM233" s="264"/>
      <c r="AN233" s="214"/>
      <c r="AO233" s="271"/>
      <c r="AP233" s="271"/>
      <c r="AQ233" s="271"/>
      <c r="AR233" s="271"/>
      <c r="AS233" s="272"/>
      <c r="AT233" s="272"/>
      <c r="AU233" s="214"/>
      <c r="AV233" s="214"/>
    </row>
    <row r="234" ht="15.75" customHeight="1">
      <c r="A234" s="214"/>
      <c r="B234" s="261"/>
      <c r="C234" s="266"/>
      <c r="D234" s="267"/>
      <c r="E234" s="214"/>
      <c r="F234" s="214"/>
      <c r="G234" s="254"/>
      <c r="H234" s="214"/>
      <c r="I234" s="214"/>
      <c r="J234" s="214"/>
      <c r="K234" s="268"/>
      <c r="L234" s="214"/>
      <c r="M234" s="269"/>
      <c r="N234" s="214"/>
      <c r="O234" s="214"/>
      <c r="P234" s="214"/>
      <c r="Q234" s="214"/>
      <c r="R234" s="214"/>
      <c r="S234" s="214"/>
      <c r="T234" s="214"/>
      <c r="U234" s="214"/>
      <c r="V234" s="214"/>
      <c r="W234" s="214"/>
      <c r="X234" s="214"/>
      <c r="Y234" s="261"/>
      <c r="Z234" s="262"/>
      <c r="AA234" s="262"/>
      <c r="AB234" s="270"/>
      <c r="AC234" s="214"/>
      <c r="AD234" s="214"/>
      <c r="AE234" s="214"/>
      <c r="AF234" s="214"/>
      <c r="AG234" s="214"/>
      <c r="AH234" s="214"/>
      <c r="AI234" s="261"/>
      <c r="AJ234" s="214"/>
      <c r="AK234" s="261"/>
      <c r="AL234" s="261"/>
      <c r="AM234" s="264"/>
      <c r="AN234" s="214"/>
      <c r="AO234" s="271"/>
      <c r="AP234" s="271"/>
      <c r="AQ234" s="271"/>
      <c r="AR234" s="271"/>
      <c r="AS234" s="272"/>
      <c r="AT234" s="272"/>
      <c r="AU234" s="214"/>
      <c r="AV234" s="214"/>
    </row>
    <row r="235" ht="15.75" customHeight="1">
      <c r="A235" s="214"/>
      <c r="B235" s="261"/>
      <c r="C235" s="266"/>
      <c r="D235" s="267"/>
      <c r="E235" s="214"/>
      <c r="F235" s="214"/>
      <c r="G235" s="254"/>
      <c r="H235" s="214"/>
      <c r="I235" s="214"/>
      <c r="J235" s="214"/>
      <c r="K235" s="268"/>
      <c r="L235" s="214"/>
      <c r="M235" s="269"/>
      <c r="N235" s="214"/>
      <c r="O235" s="214"/>
      <c r="P235" s="214"/>
      <c r="Q235" s="214"/>
      <c r="R235" s="214"/>
      <c r="S235" s="214"/>
      <c r="T235" s="214"/>
      <c r="U235" s="214"/>
      <c r="V235" s="214"/>
      <c r="W235" s="214"/>
      <c r="X235" s="214"/>
      <c r="Y235" s="261"/>
      <c r="Z235" s="262"/>
      <c r="AA235" s="262"/>
      <c r="AB235" s="270"/>
      <c r="AC235" s="214"/>
      <c r="AD235" s="214"/>
      <c r="AE235" s="214"/>
      <c r="AF235" s="214"/>
      <c r="AG235" s="214"/>
      <c r="AH235" s="214"/>
      <c r="AI235" s="261"/>
      <c r="AJ235" s="214"/>
      <c r="AK235" s="261"/>
      <c r="AL235" s="261"/>
      <c r="AM235" s="264"/>
      <c r="AN235" s="214"/>
      <c r="AO235" s="271"/>
      <c r="AP235" s="271"/>
      <c r="AQ235" s="271"/>
      <c r="AR235" s="271"/>
      <c r="AS235" s="272"/>
      <c r="AT235" s="272"/>
      <c r="AU235" s="214"/>
      <c r="AV235" s="214"/>
    </row>
    <row r="236" ht="15.75" customHeight="1">
      <c r="A236" s="214"/>
      <c r="B236" s="261"/>
      <c r="C236" s="266"/>
      <c r="D236" s="267"/>
      <c r="E236" s="214"/>
      <c r="F236" s="214"/>
      <c r="G236" s="254"/>
      <c r="H236" s="214"/>
      <c r="I236" s="214"/>
      <c r="J236" s="214"/>
      <c r="K236" s="268"/>
      <c r="L236" s="214"/>
      <c r="M236" s="269"/>
      <c r="N236" s="214"/>
      <c r="O236" s="214"/>
      <c r="P236" s="214"/>
      <c r="Q236" s="214"/>
      <c r="R236" s="214"/>
      <c r="S236" s="214"/>
      <c r="T236" s="214"/>
      <c r="U236" s="214"/>
      <c r="V236" s="214"/>
      <c r="W236" s="214"/>
      <c r="X236" s="214"/>
      <c r="Y236" s="261"/>
      <c r="Z236" s="262"/>
      <c r="AA236" s="262"/>
      <c r="AB236" s="270"/>
      <c r="AC236" s="214"/>
      <c r="AD236" s="214"/>
      <c r="AE236" s="214"/>
      <c r="AF236" s="214"/>
      <c r="AG236" s="214"/>
      <c r="AH236" s="214"/>
      <c r="AI236" s="261"/>
      <c r="AJ236" s="214"/>
      <c r="AK236" s="261"/>
      <c r="AL236" s="261"/>
      <c r="AM236" s="264"/>
      <c r="AN236" s="214"/>
      <c r="AO236" s="271"/>
      <c r="AP236" s="271"/>
      <c r="AQ236" s="271"/>
      <c r="AR236" s="271"/>
      <c r="AS236" s="272"/>
      <c r="AT236" s="272"/>
      <c r="AU236" s="214"/>
      <c r="AV236" s="214"/>
    </row>
    <row r="237" ht="15.75" customHeight="1">
      <c r="A237" s="214"/>
      <c r="B237" s="261"/>
      <c r="C237" s="266"/>
      <c r="D237" s="267"/>
      <c r="E237" s="214"/>
      <c r="F237" s="214"/>
      <c r="G237" s="254"/>
      <c r="H237" s="214"/>
      <c r="I237" s="214"/>
      <c r="J237" s="214"/>
      <c r="K237" s="268"/>
      <c r="L237" s="214"/>
      <c r="M237" s="269"/>
      <c r="N237" s="214"/>
      <c r="O237" s="214"/>
      <c r="P237" s="214"/>
      <c r="Q237" s="214"/>
      <c r="R237" s="214"/>
      <c r="S237" s="214"/>
      <c r="T237" s="214"/>
      <c r="U237" s="214"/>
      <c r="V237" s="214"/>
      <c r="W237" s="214"/>
      <c r="X237" s="214"/>
      <c r="Y237" s="261"/>
      <c r="Z237" s="262"/>
      <c r="AA237" s="262"/>
      <c r="AB237" s="270"/>
      <c r="AC237" s="214"/>
      <c r="AD237" s="214"/>
      <c r="AE237" s="214"/>
      <c r="AF237" s="214"/>
      <c r="AG237" s="214"/>
      <c r="AH237" s="214"/>
      <c r="AI237" s="261"/>
      <c r="AJ237" s="214"/>
      <c r="AK237" s="261"/>
      <c r="AL237" s="261"/>
      <c r="AM237" s="264"/>
      <c r="AN237" s="214"/>
      <c r="AO237" s="271"/>
      <c r="AP237" s="271"/>
      <c r="AQ237" s="271"/>
      <c r="AR237" s="271"/>
      <c r="AS237" s="272"/>
      <c r="AT237" s="272"/>
      <c r="AU237" s="214"/>
      <c r="AV237" s="214"/>
    </row>
    <row r="238" ht="15.75" customHeight="1">
      <c r="A238" s="214"/>
      <c r="B238" s="261"/>
      <c r="C238" s="266"/>
      <c r="D238" s="267"/>
      <c r="E238" s="214"/>
      <c r="F238" s="214"/>
      <c r="G238" s="254"/>
      <c r="H238" s="214"/>
      <c r="I238" s="214"/>
      <c r="J238" s="214"/>
      <c r="K238" s="268"/>
      <c r="L238" s="214"/>
      <c r="M238" s="269"/>
      <c r="N238" s="214"/>
      <c r="O238" s="214"/>
      <c r="P238" s="214"/>
      <c r="Q238" s="214"/>
      <c r="R238" s="214"/>
      <c r="S238" s="214"/>
      <c r="T238" s="214"/>
      <c r="U238" s="214"/>
      <c r="V238" s="214"/>
      <c r="W238" s="214"/>
      <c r="X238" s="214"/>
      <c r="Y238" s="261"/>
      <c r="Z238" s="262"/>
      <c r="AA238" s="262"/>
      <c r="AB238" s="270"/>
      <c r="AC238" s="214"/>
      <c r="AD238" s="214"/>
      <c r="AE238" s="214"/>
      <c r="AF238" s="214"/>
      <c r="AG238" s="214"/>
      <c r="AH238" s="214"/>
      <c r="AI238" s="261"/>
      <c r="AJ238" s="214"/>
      <c r="AK238" s="261"/>
      <c r="AL238" s="261"/>
      <c r="AM238" s="264"/>
      <c r="AN238" s="214"/>
      <c r="AO238" s="271"/>
      <c r="AP238" s="271"/>
      <c r="AQ238" s="271"/>
      <c r="AR238" s="271"/>
      <c r="AS238" s="272"/>
      <c r="AT238" s="272"/>
      <c r="AU238" s="214"/>
      <c r="AV238" s="214"/>
    </row>
    <row r="239" ht="15.75" customHeight="1">
      <c r="A239" s="214"/>
      <c r="B239" s="261"/>
      <c r="C239" s="266"/>
      <c r="D239" s="267"/>
      <c r="E239" s="214"/>
      <c r="F239" s="214"/>
      <c r="G239" s="254"/>
      <c r="H239" s="214"/>
      <c r="I239" s="214"/>
      <c r="J239" s="214"/>
      <c r="K239" s="268"/>
      <c r="L239" s="214"/>
      <c r="M239" s="269"/>
      <c r="N239" s="214"/>
      <c r="O239" s="214"/>
      <c r="P239" s="214"/>
      <c r="Q239" s="214"/>
      <c r="R239" s="214"/>
      <c r="S239" s="214"/>
      <c r="T239" s="214"/>
      <c r="U239" s="214"/>
      <c r="V239" s="214"/>
      <c r="W239" s="214"/>
      <c r="X239" s="214"/>
      <c r="Y239" s="261"/>
      <c r="Z239" s="262"/>
      <c r="AA239" s="262"/>
      <c r="AB239" s="270"/>
      <c r="AC239" s="214"/>
      <c r="AD239" s="214"/>
      <c r="AE239" s="214"/>
      <c r="AF239" s="214"/>
      <c r="AG239" s="214"/>
      <c r="AH239" s="214"/>
      <c r="AI239" s="261"/>
      <c r="AJ239" s="214"/>
      <c r="AK239" s="261"/>
      <c r="AL239" s="261"/>
      <c r="AM239" s="264"/>
      <c r="AN239" s="214"/>
      <c r="AO239" s="271"/>
      <c r="AP239" s="271"/>
      <c r="AQ239" s="271"/>
      <c r="AR239" s="271"/>
      <c r="AS239" s="272"/>
      <c r="AT239" s="272"/>
      <c r="AU239" s="214"/>
      <c r="AV239" s="214"/>
    </row>
    <row r="240" ht="15.75" customHeight="1">
      <c r="A240" s="214"/>
      <c r="B240" s="261"/>
      <c r="C240" s="266"/>
      <c r="D240" s="267"/>
      <c r="E240" s="214"/>
      <c r="F240" s="214"/>
      <c r="G240" s="254"/>
      <c r="H240" s="214"/>
      <c r="I240" s="214"/>
      <c r="J240" s="214"/>
      <c r="K240" s="268"/>
      <c r="L240" s="214"/>
      <c r="M240" s="269"/>
      <c r="N240" s="214"/>
      <c r="O240" s="214"/>
      <c r="P240" s="214"/>
      <c r="Q240" s="214"/>
      <c r="R240" s="214"/>
      <c r="S240" s="214"/>
      <c r="T240" s="214"/>
      <c r="U240" s="214"/>
      <c r="V240" s="214"/>
      <c r="W240" s="214"/>
      <c r="X240" s="214"/>
      <c r="Y240" s="261"/>
      <c r="Z240" s="262"/>
      <c r="AA240" s="262"/>
      <c r="AB240" s="270"/>
      <c r="AC240" s="214"/>
      <c r="AD240" s="214"/>
      <c r="AE240" s="214"/>
      <c r="AF240" s="214"/>
      <c r="AG240" s="214"/>
      <c r="AH240" s="214"/>
      <c r="AI240" s="261"/>
      <c r="AJ240" s="214"/>
      <c r="AK240" s="261"/>
      <c r="AL240" s="261"/>
      <c r="AM240" s="264"/>
      <c r="AN240" s="214"/>
      <c r="AO240" s="271"/>
      <c r="AP240" s="271"/>
      <c r="AQ240" s="271"/>
      <c r="AR240" s="271"/>
      <c r="AS240" s="272"/>
      <c r="AT240" s="272"/>
      <c r="AU240" s="214"/>
      <c r="AV240" s="214"/>
    </row>
    <row r="241" ht="15.75" customHeight="1">
      <c r="A241" s="214"/>
      <c r="B241" s="261"/>
      <c r="C241" s="266"/>
      <c r="D241" s="267"/>
      <c r="E241" s="214"/>
      <c r="F241" s="214"/>
      <c r="G241" s="254"/>
      <c r="H241" s="214"/>
      <c r="I241" s="214"/>
      <c r="J241" s="214"/>
      <c r="K241" s="268"/>
      <c r="L241" s="214"/>
      <c r="M241" s="269"/>
      <c r="N241" s="214"/>
      <c r="O241" s="214"/>
      <c r="P241" s="214"/>
      <c r="Q241" s="214"/>
      <c r="R241" s="214"/>
      <c r="S241" s="214"/>
      <c r="T241" s="214"/>
      <c r="U241" s="214"/>
      <c r="V241" s="214"/>
      <c r="W241" s="214"/>
      <c r="X241" s="214"/>
      <c r="Y241" s="261"/>
      <c r="Z241" s="262"/>
      <c r="AA241" s="262"/>
      <c r="AB241" s="270"/>
      <c r="AC241" s="214"/>
      <c r="AD241" s="214"/>
      <c r="AE241" s="214"/>
      <c r="AF241" s="214"/>
      <c r="AG241" s="214"/>
      <c r="AH241" s="214"/>
      <c r="AI241" s="261"/>
      <c r="AJ241" s="214"/>
      <c r="AK241" s="261"/>
      <c r="AL241" s="261"/>
      <c r="AM241" s="264"/>
      <c r="AN241" s="214"/>
      <c r="AO241" s="271"/>
      <c r="AP241" s="271"/>
      <c r="AQ241" s="271"/>
      <c r="AR241" s="271"/>
      <c r="AS241" s="272"/>
      <c r="AT241" s="272"/>
      <c r="AU241" s="214"/>
      <c r="AV241" s="214"/>
    </row>
    <row r="242" ht="15.75" customHeight="1">
      <c r="A242" s="214"/>
      <c r="B242" s="261"/>
      <c r="C242" s="266"/>
      <c r="D242" s="267"/>
      <c r="E242" s="214"/>
      <c r="F242" s="214"/>
      <c r="G242" s="254"/>
      <c r="H242" s="214"/>
      <c r="I242" s="214"/>
      <c r="J242" s="214"/>
      <c r="K242" s="268"/>
      <c r="L242" s="214"/>
      <c r="M242" s="269"/>
      <c r="N242" s="214"/>
      <c r="O242" s="214"/>
      <c r="P242" s="214"/>
      <c r="Q242" s="214"/>
      <c r="R242" s="214"/>
      <c r="S242" s="214"/>
      <c r="T242" s="214"/>
      <c r="U242" s="214"/>
      <c r="V242" s="214"/>
      <c r="W242" s="214"/>
      <c r="X242" s="214"/>
      <c r="Y242" s="261"/>
      <c r="Z242" s="262"/>
      <c r="AA242" s="262"/>
      <c r="AB242" s="270"/>
      <c r="AC242" s="214"/>
      <c r="AD242" s="214"/>
      <c r="AE242" s="214"/>
      <c r="AF242" s="214"/>
      <c r="AG242" s="214"/>
      <c r="AH242" s="214"/>
      <c r="AI242" s="261"/>
      <c r="AJ242" s="214"/>
      <c r="AK242" s="261"/>
      <c r="AL242" s="261"/>
      <c r="AM242" s="264"/>
      <c r="AN242" s="214"/>
      <c r="AO242" s="271"/>
      <c r="AP242" s="271"/>
      <c r="AQ242" s="271"/>
      <c r="AR242" s="271"/>
      <c r="AS242" s="272"/>
      <c r="AT242" s="272"/>
      <c r="AU242" s="214"/>
      <c r="AV242" s="214"/>
    </row>
    <row r="243" ht="15.75" customHeight="1">
      <c r="A243" s="214"/>
      <c r="B243" s="261"/>
      <c r="C243" s="266"/>
      <c r="D243" s="267"/>
      <c r="E243" s="214"/>
      <c r="F243" s="214"/>
      <c r="G243" s="254"/>
      <c r="H243" s="214"/>
      <c r="I243" s="214"/>
      <c r="J243" s="214"/>
      <c r="K243" s="268"/>
      <c r="L243" s="214"/>
      <c r="M243" s="269"/>
      <c r="N243" s="214"/>
      <c r="O243" s="214"/>
      <c r="P243" s="214"/>
      <c r="Q243" s="214"/>
      <c r="R243" s="214"/>
      <c r="S243" s="214"/>
      <c r="T243" s="214"/>
      <c r="U243" s="214"/>
      <c r="V243" s="214"/>
      <c r="W243" s="214"/>
      <c r="X243" s="214"/>
      <c r="Y243" s="261"/>
      <c r="Z243" s="262"/>
      <c r="AA243" s="262"/>
      <c r="AB243" s="270"/>
      <c r="AC243" s="214"/>
      <c r="AD243" s="214"/>
      <c r="AE243" s="214"/>
      <c r="AF243" s="214"/>
      <c r="AG243" s="214"/>
      <c r="AH243" s="214"/>
      <c r="AI243" s="261"/>
      <c r="AJ243" s="214"/>
      <c r="AK243" s="261"/>
      <c r="AL243" s="261"/>
      <c r="AM243" s="264"/>
      <c r="AN243" s="214"/>
      <c r="AO243" s="271"/>
      <c r="AP243" s="271"/>
      <c r="AQ243" s="271"/>
      <c r="AR243" s="271"/>
      <c r="AS243" s="272"/>
      <c r="AT243" s="272"/>
      <c r="AU243" s="214"/>
      <c r="AV243" s="214"/>
    </row>
    <row r="244" ht="15.75" customHeight="1">
      <c r="A244" s="214"/>
      <c r="B244" s="261"/>
      <c r="C244" s="266"/>
      <c r="D244" s="267"/>
      <c r="E244" s="214"/>
      <c r="F244" s="214"/>
      <c r="G244" s="254"/>
      <c r="H244" s="214"/>
      <c r="I244" s="214"/>
      <c r="J244" s="214"/>
      <c r="K244" s="268"/>
      <c r="L244" s="214"/>
      <c r="M244" s="269"/>
      <c r="N244" s="214"/>
      <c r="O244" s="214"/>
      <c r="P244" s="214"/>
      <c r="Q244" s="214"/>
      <c r="R244" s="214"/>
      <c r="S244" s="214"/>
      <c r="T244" s="214"/>
      <c r="U244" s="214"/>
      <c r="V244" s="214"/>
      <c r="W244" s="214"/>
      <c r="X244" s="214"/>
      <c r="Y244" s="261"/>
      <c r="Z244" s="262"/>
      <c r="AA244" s="262"/>
      <c r="AB244" s="270"/>
      <c r="AC244" s="214"/>
      <c r="AD244" s="214"/>
      <c r="AE244" s="214"/>
      <c r="AF244" s="214"/>
      <c r="AG244" s="214"/>
      <c r="AH244" s="214"/>
      <c r="AI244" s="261"/>
      <c r="AJ244" s="214"/>
      <c r="AK244" s="261"/>
      <c r="AL244" s="261"/>
      <c r="AM244" s="264"/>
      <c r="AN244" s="214"/>
      <c r="AO244" s="271"/>
      <c r="AP244" s="271"/>
      <c r="AQ244" s="271"/>
      <c r="AR244" s="271"/>
      <c r="AS244" s="272"/>
      <c r="AT244" s="272"/>
      <c r="AU244" s="214"/>
      <c r="AV244" s="214"/>
    </row>
    <row r="245" ht="15.75" customHeight="1">
      <c r="A245" s="214"/>
      <c r="B245" s="261"/>
      <c r="C245" s="266"/>
      <c r="D245" s="267"/>
      <c r="E245" s="214"/>
      <c r="F245" s="214"/>
      <c r="G245" s="254"/>
      <c r="H245" s="214"/>
      <c r="I245" s="214"/>
      <c r="J245" s="214"/>
      <c r="K245" s="268"/>
      <c r="L245" s="214"/>
      <c r="M245" s="269"/>
      <c r="N245" s="214"/>
      <c r="O245" s="214"/>
      <c r="P245" s="214"/>
      <c r="Q245" s="214"/>
      <c r="R245" s="214"/>
      <c r="S245" s="214"/>
      <c r="T245" s="214"/>
      <c r="U245" s="214"/>
      <c r="V245" s="214"/>
      <c r="W245" s="214"/>
      <c r="X245" s="214"/>
      <c r="Y245" s="261"/>
      <c r="Z245" s="262"/>
      <c r="AA245" s="262"/>
      <c r="AB245" s="270"/>
      <c r="AC245" s="214"/>
      <c r="AD245" s="214"/>
      <c r="AE245" s="214"/>
      <c r="AF245" s="214"/>
      <c r="AG245" s="214"/>
      <c r="AH245" s="214"/>
      <c r="AI245" s="261"/>
      <c r="AJ245" s="214"/>
      <c r="AK245" s="261"/>
      <c r="AL245" s="261"/>
      <c r="AM245" s="264"/>
      <c r="AN245" s="214"/>
      <c r="AO245" s="271"/>
      <c r="AP245" s="271"/>
      <c r="AQ245" s="271"/>
      <c r="AR245" s="271"/>
      <c r="AS245" s="272"/>
      <c r="AT245" s="272"/>
      <c r="AU245" s="214"/>
      <c r="AV245" s="214"/>
    </row>
    <row r="246" ht="15.75" customHeight="1">
      <c r="A246" s="214"/>
      <c r="B246" s="261"/>
      <c r="C246" s="266"/>
      <c r="D246" s="267"/>
      <c r="E246" s="214"/>
      <c r="F246" s="214"/>
      <c r="G246" s="254"/>
      <c r="H246" s="214"/>
      <c r="I246" s="214"/>
      <c r="J246" s="214"/>
      <c r="K246" s="268"/>
      <c r="L246" s="214"/>
      <c r="M246" s="269"/>
      <c r="N246" s="214"/>
      <c r="O246" s="214"/>
      <c r="P246" s="214"/>
      <c r="Q246" s="214"/>
      <c r="R246" s="214"/>
      <c r="S246" s="214"/>
      <c r="T246" s="214"/>
      <c r="U246" s="214"/>
      <c r="V246" s="214"/>
      <c r="W246" s="214"/>
      <c r="X246" s="214"/>
      <c r="Y246" s="261"/>
      <c r="Z246" s="262"/>
      <c r="AA246" s="262"/>
      <c r="AB246" s="270"/>
      <c r="AC246" s="214"/>
      <c r="AD246" s="214"/>
      <c r="AE246" s="214"/>
      <c r="AF246" s="214"/>
      <c r="AG246" s="214"/>
      <c r="AH246" s="214"/>
      <c r="AI246" s="261"/>
      <c r="AJ246" s="214"/>
      <c r="AK246" s="261"/>
      <c r="AL246" s="261"/>
      <c r="AM246" s="264"/>
      <c r="AN246" s="214"/>
      <c r="AO246" s="271"/>
      <c r="AP246" s="271"/>
      <c r="AQ246" s="271"/>
      <c r="AR246" s="271"/>
      <c r="AS246" s="272"/>
      <c r="AT246" s="272"/>
      <c r="AU246" s="214"/>
      <c r="AV246" s="214"/>
    </row>
    <row r="247" ht="15.75" customHeight="1">
      <c r="A247" s="214"/>
      <c r="B247" s="261"/>
      <c r="C247" s="266"/>
      <c r="D247" s="267"/>
      <c r="E247" s="214"/>
      <c r="F247" s="214"/>
      <c r="G247" s="254"/>
      <c r="H247" s="214"/>
      <c r="I247" s="214"/>
      <c r="J247" s="214"/>
      <c r="K247" s="268"/>
      <c r="L247" s="214"/>
      <c r="M247" s="269"/>
      <c r="N247" s="214"/>
      <c r="O247" s="214"/>
      <c r="P247" s="214"/>
      <c r="Q247" s="214"/>
      <c r="R247" s="214"/>
      <c r="S247" s="214"/>
      <c r="T247" s="214"/>
      <c r="U247" s="214"/>
      <c r="V247" s="214"/>
      <c r="W247" s="214"/>
      <c r="X247" s="214"/>
      <c r="Y247" s="261"/>
      <c r="Z247" s="262"/>
      <c r="AA247" s="262"/>
      <c r="AB247" s="270"/>
      <c r="AC247" s="214"/>
      <c r="AD247" s="214"/>
      <c r="AE247" s="214"/>
      <c r="AF247" s="214"/>
      <c r="AG247" s="214"/>
      <c r="AH247" s="214"/>
      <c r="AI247" s="261"/>
      <c r="AJ247" s="214"/>
      <c r="AK247" s="261"/>
      <c r="AL247" s="261"/>
      <c r="AM247" s="264"/>
      <c r="AN247" s="214"/>
      <c r="AO247" s="271"/>
      <c r="AP247" s="271"/>
      <c r="AQ247" s="271"/>
      <c r="AR247" s="271"/>
      <c r="AS247" s="272"/>
      <c r="AT247" s="272"/>
      <c r="AU247" s="214"/>
      <c r="AV247" s="214"/>
    </row>
    <row r="248" ht="15.75" customHeight="1">
      <c r="A248" s="214"/>
      <c r="B248" s="261"/>
      <c r="C248" s="266"/>
      <c r="D248" s="267"/>
      <c r="E248" s="214"/>
      <c r="F248" s="214"/>
      <c r="G248" s="254"/>
      <c r="H248" s="214"/>
      <c r="I248" s="214"/>
      <c r="J248" s="214"/>
      <c r="K248" s="268"/>
      <c r="L248" s="214"/>
      <c r="M248" s="269"/>
      <c r="N248" s="214"/>
      <c r="O248" s="214"/>
      <c r="P248" s="214"/>
      <c r="Q248" s="214"/>
      <c r="R248" s="214"/>
      <c r="S248" s="214"/>
      <c r="T248" s="214"/>
      <c r="U248" s="214"/>
      <c r="V248" s="214"/>
      <c r="W248" s="214"/>
      <c r="X248" s="214"/>
      <c r="Y248" s="261"/>
      <c r="Z248" s="262"/>
      <c r="AA248" s="262"/>
      <c r="AB248" s="270"/>
      <c r="AC248" s="214"/>
      <c r="AD248" s="214"/>
      <c r="AE248" s="214"/>
      <c r="AF248" s="214"/>
      <c r="AG248" s="214"/>
      <c r="AH248" s="214"/>
      <c r="AI248" s="261"/>
      <c r="AJ248" s="214"/>
      <c r="AK248" s="261"/>
      <c r="AL248" s="261"/>
      <c r="AM248" s="264"/>
      <c r="AN248" s="214"/>
      <c r="AO248" s="271"/>
      <c r="AP248" s="271"/>
      <c r="AQ248" s="271"/>
      <c r="AR248" s="271"/>
      <c r="AS248" s="272"/>
      <c r="AT248" s="272"/>
      <c r="AU248" s="214"/>
      <c r="AV248" s="214"/>
    </row>
    <row r="249" ht="15.75" customHeight="1">
      <c r="A249" s="214"/>
      <c r="B249" s="261"/>
      <c r="C249" s="266"/>
      <c r="D249" s="267"/>
      <c r="E249" s="214"/>
      <c r="F249" s="214"/>
      <c r="G249" s="254"/>
      <c r="H249" s="214"/>
      <c r="I249" s="214"/>
      <c r="J249" s="214"/>
      <c r="K249" s="268"/>
      <c r="L249" s="214"/>
      <c r="M249" s="269"/>
      <c r="N249" s="214"/>
      <c r="O249" s="214"/>
      <c r="P249" s="214"/>
      <c r="Q249" s="214"/>
      <c r="R249" s="214"/>
      <c r="S249" s="214"/>
      <c r="T249" s="214"/>
      <c r="U249" s="214"/>
      <c r="V249" s="214"/>
      <c r="W249" s="214"/>
      <c r="X249" s="214"/>
      <c r="Y249" s="261"/>
      <c r="Z249" s="262"/>
      <c r="AA249" s="262"/>
      <c r="AB249" s="270"/>
      <c r="AC249" s="214"/>
      <c r="AD249" s="214"/>
      <c r="AE249" s="214"/>
      <c r="AF249" s="214"/>
      <c r="AG249" s="214"/>
      <c r="AH249" s="214"/>
      <c r="AI249" s="261"/>
      <c r="AJ249" s="214"/>
      <c r="AK249" s="261"/>
      <c r="AL249" s="261"/>
      <c r="AM249" s="264"/>
      <c r="AN249" s="214"/>
      <c r="AO249" s="271"/>
      <c r="AP249" s="271"/>
      <c r="AQ249" s="271"/>
      <c r="AR249" s="271"/>
      <c r="AS249" s="272"/>
      <c r="AT249" s="272"/>
      <c r="AU249" s="214"/>
      <c r="AV249" s="214"/>
    </row>
    <row r="250" ht="15.75" customHeight="1">
      <c r="A250" s="214"/>
      <c r="B250" s="261"/>
      <c r="C250" s="266"/>
      <c r="D250" s="267"/>
      <c r="E250" s="214"/>
      <c r="F250" s="214"/>
      <c r="G250" s="254"/>
      <c r="H250" s="214"/>
      <c r="I250" s="214"/>
      <c r="J250" s="214"/>
      <c r="K250" s="268"/>
      <c r="L250" s="214"/>
      <c r="M250" s="269"/>
      <c r="N250" s="214"/>
      <c r="O250" s="214"/>
      <c r="P250" s="214"/>
      <c r="Q250" s="214"/>
      <c r="R250" s="214"/>
      <c r="S250" s="214"/>
      <c r="T250" s="214"/>
      <c r="U250" s="214"/>
      <c r="V250" s="214"/>
      <c r="W250" s="214"/>
      <c r="X250" s="214"/>
      <c r="Y250" s="261"/>
      <c r="Z250" s="262"/>
      <c r="AA250" s="262"/>
      <c r="AB250" s="270"/>
      <c r="AC250" s="214"/>
      <c r="AD250" s="214"/>
      <c r="AE250" s="214"/>
      <c r="AF250" s="214"/>
      <c r="AG250" s="214"/>
      <c r="AH250" s="214"/>
      <c r="AI250" s="261"/>
      <c r="AJ250" s="214"/>
      <c r="AK250" s="261"/>
      <c r="AL250" s="261"/>
      <c r="AM250" s="264"/>
      <c r="AN250" s="214"/>
      <c r="AO250" s="271"/>
      <c r="AP250" s="271"/>
      <c r="AQ250" s="271"/>
      <c r="AR250" s="271"/>
      <c r="AS250" s="272"/>
      <c r="AT250" s="272"/>
      <c r="AU250" s="214"/>
      <c r="AV250" s="214"/>
    </row>
    <row r="251" ht="15.75" customHeight="1">
      <c r="A251" s="214"/>
      <c r="B251" s="261"/>
      <c r="C251" s="266"/>
      <c r="D251" s="267"/>
      <c r="E251" s="214"/>
      <c r="F251" s="214"/>
      <c r="G251" s="254"/>
      <c r="H251" s="214"/>
      <c r="I251" s="214"/>
      <c r="J251" s="214"/>
      <c r="K251" s="268"/>
      <c r="L251" s="214"/>
      <c r="M251" s="269"/>
      <c r="N251" s="214"/>
      <c r="O251" s="214"/>
      <c r="P251" s="214"/>
      <c r="Q251" s="214"/>
      <c r="R251" s="214"/>
      <c r="S251" s="214"/>
      <c r="T251" s="214"/>
      <c r="U251" s="214"/>
      <c r="V251" s="214"/>
      <c r="W251" s="214"/>
      <c r="X251" s="214"/>
      <c r="Y251" s="261"/>
      <c r="Z251" s="262"/>
      <c r="AA251" s="262"/>
      <c r="AB251" s="270"/>
      <c r="AC251" s="214"/>
      <c r="AD251" s="214"/>
      <c r="AE251" s="214"/>
      <c r="AF251" s="214"/>
      <c r="AG251" s="214"/>
      <c r="AH251" s="214"/>
      <c r="AI251" s="261"/>
      <c r="AJ251" s="214"/>
      <c r="AK251" s="261"/>
      <c r="AL251" s="261"/>
      <c r="AM251" s="264"/>
      <c r="AN251" s="214"/>
      <c r="AO251" s="271"/>
      <c r="AP251" s="271"/>
      <c r="AQ251" s="271"/>
      <c r="AR251" s="271"/>
      <c r="AS251" s="272"/>
      <c r="AT251" s="272"/>
      <c r="AU251" s="214"/>
      <c r="AV251" s="214"/>
    </row>
    <row r="252" ht="15.75" customHeight="1">
      <c r="A252" s="214"/>
      <c r="B252" s="261"/>
      <c r="C252" s="266"/>
      <c r="D252" s="267"/>
      <c r="E252" s="214"/>
      <c r="F252" s="214"/>
      <c r="G252" s="254"/>
      <c r="H252" s="214"/>
      <c r="I252" s="214"/>
      <c r="J252" s="214"/>
      <c r="K252" s="268"/>
      <c r="L252" s="214"/>
      <c r="M252" s="269"/>
      <c r="N252" s="214"/>
      <c r="O252" s="214"/>
      <c r="P252" s="214"/>
      <c r="Q252" s="214"/>
      <c r="R252" s="214"/>
      <c r="S252" s="214"/>
      <c r="T252" s="214"/>
      <c r="U252" s="214"/>
      <c r="V252" s="214"/>
      <c r="W252" s="214"/>
      <c r="X252" s="214"/>
      <c r="Y252" s="261"/>
      <c r="Z252" s="262"/>
      <c r="AA252" s="262"/>
      <c r="AB252" s="270"/>
      <c r="AC252" s="214"/>
      <c r="AD252" s="214"/>
      <c r="AE252" s="214"/>
      <c r="AF252" s="214"/>
      <c r="AG252" s="214"/>
      <c r="AH252" s="214"/>
      <c r="AI252" s="261"/>
      <c r="AJ252" s="214"/>
      <c r="AK252" s="261"/>
      <c r="AL252" s="261"/>
      <c r="AM252" s="264"/>
      <c r="AN252" s="214"/>
      <c r="AO252" s="271"/>
      <c r="AP252" s="271"/>
      <c r="AQ252" s="271"/>
      <c r="AR252" s="271"/>
      <c r="AS252" s="272"/>
      <c r="AT252" s="272"/>
      <c r="AU252" s="214"/>
      <c r="AV252" s="214"/>
    </row>
    <row r="253" ht="15.75" customHeight="1">
      <c r="A253" s="214"/>
      <c r="B253" s="261"/>
      <c r="C253" s="266"/>
      <c r="D253" s="267"/>
      <c r="E253" s="214"/>
      <c r="F253" s="214"/>
      <c r="G253" s="254"/>
      <c r="H253" s="214"/>
      <c r="I253" s="214"/>
      <c r="J253" s="214"/>
      <c r="K253" s="268"/>
      <c r="L253" s="214"/>
      <c r="M253" s="269"/>
      <c r="N253" s="214"/>
      <c r="O253" s="214"/>
      <c r="P253" s="214"/>
      <c r="Q253" s="214"/>
      <c r="R253" s="214"/>
      <c r="S253" s="214"/>
      <c r="T253" s="214"/>
      <c r="U253" s="214"/>
      <c r="V253" s="214"/>
      <c r="W253" s="214"/>
      <c r="X253" s="214"/>
      <c r="Y253" s="261"/>
      <c r="Z253" s="262"/>
      <c r="AA253" s="262"/>
      <c r="AB253" s="270"/>
      <c r="AC253" s="214"/>
      <c r="AD253" s="214"/>
      <c r="AE253" s="214"/>
      <c r="AF253" s="214"/>
      <c r="AG253" s="214"/>
      <c r="AH253" s="214"/>
      <c r="AI253" s="261"/>
      <c r="AJ253" s="214"/>
      <c r="AK253" s="261"/>
      <c r="AL253" s="261"/>
      <c r="AM253" s="264"/>
      <c r="AN253" s="214"/>
      <c r="AO253" s="271"/>
      <c r="AP253" s="271"/>
      <c r="AQ253" s="271"/>
      <c r="AR253" s="271"/>
      <c r="AS253" s="272"/>
      <c r="AT253" s="272"/>
      <c r="AU253" s="214"/>
      <c r="AV253" s="214"/>
    </row>
    <row r="254" ht="15.75" customHeight="1">
      <c r="A254" s="214"/>
      <c r="B254" s="261"/>
      <c r="C254" s="266"/>
      <c r="D254" s="267"/>
      <c r="E254" s="214"/>
      <c r="F254" s="214"/>
      <c r="G254" s="254"/>
      <c r="H254" s="214"/>
      <c r="I254" s="214"/>
      <c r="J254" s="214"/>
      <c r="K254" s="268"/>
      <c r="L254" s="214"/>
      <c r="M254" s="269"/>
      <c r="N254" s="214"/>
      <c r="O254" s="214"/>
      <c r="P254" s="214"/>
      <c r="Q254" s="214"/>
      <c r="R254" s="214"/>
      <c r="S254" s="214"/>
      <c r="T254" s="214"/>
      <c r="U254" s="214"/>
      <c r="V254" s="214"/>
      <c r="W254" s="214"/>
      <c r="X254" s="214"/>
      <c r="Y254" s="261"/>
      <c r="Z254" s="262"/>
      <c r="AA254" s="262"/>
      <c r="AB254" s="270"/>
      <c r="AC254" s="214"/>
      <c r="AD254" s="214"/>
      <c r="AE254" s="214"/>
      <c r="AF254" s="214"/>
      <c r="AG254" s="214"/>
      <c r="AH254" s="214"/>
      <c r="AI254" s="261"/>
      <c r="AJ254" s="214"/>
      <c r="AK254" s="261"/>
      <c r="AL254" s="261"/>
      <c r="AM254" s="264"/>
      <c r="AN254" s="214"/>
      <c r="AO254" s="271"/>
      <c r="AP254" s="271"/>
      <c r="AQ254" s="271"/>
      <c r="AR254" s="271"/>
      <c r="AS254" s="272"/>
      <c r="AT254" s="272"/>
      <c r="AU254" s="214"/>
      <c r="AV254" s="214"/>
    </row>
    <row r="255" ht="15.75" customHeight="1">
      <c r="A255" s="214"/>
      <c r="B255" s="261"/>
      <c r="C255" s="266"/>
      <c r="D255" s="267"/>
      <c r="E255" s="214"/>
      <c r="F255" s="214"/>
      <c r="G255" s="254"/>
      <c r="H255" s="214"/>
      <c r="I255" s="214"/>
      <c r="J255" s="214"/>
      <c r="K255" s="268"/>
      <c r="L255" s="214"/>
      <c r="M255" s="269"/>
      <c r="N255" s="214"/>
      <c r="O255" s="214"/>
      <c r="P255" s="214"/>
      <c r="Q255" s="214"/>
      <c r="R255" s="214"/>
      <c r="S255" s="214"/>
      <c r="T255" s="214"/>
      <c r="U255" s="214"/>
      <c r="V255" s="214"/>
      <c r="W255" s="214"/>
      <c r="X255" s="214"/>
      <c r="Y255" s="261"/>
      <c r="Z255" s="262"/>
      <c r="AA255" s="262"/>
      <c r="AB255" s="270"/>
      <c r="AC255" s="214"/>
      <c r="AD255" s="214"/>
      <c r="AE255" s="214"/>
      <c r="AF255" s="214"/>
      <c r="AG255" s="214"/>
      <c r="AH255" s="214"/>
      <c r="AI255" s="261"/>
      <c r="AJ255" s="214"/>
      <c r="AK255" s="261"/>
      <c r="AL255" s="261"/>
      <c r="AM255" s="264"/>
      <c r="AN255" s="214"/>
      <c r="AO255" s="271"/>
      <c r="AP255" s="271"/>
      <c r="AQ255" s="271"/>
      <c r="AR255" s="271"/>
      <c r="AS255" s="272"/>
      <c r="AT255" s="272"/>
      <c r="AU255" s="214"/>
      <c r="AV255" s="214"/>
    </row>
    <row r="256" ht="15.75" customHeight="1">
      <c r="A256" s="214"/>
      <c r="B256" s="261"/>
      <c r="C256" s="266"/>
      <c r="D256" s="267"/>
      <c r="E256" s="214"/>
      <c r="F256" s="214"/>
      <c r="G256" s="254"/>
      <c r="H256" s="214"/>
      <c r="I256" s="214"/>
      <c r="J256" s="214"/>
      <c r="K256" s="268"/>
      <c r="L256" s="214"/>
      <c r="M256" s="269"/>
      <c r="N256" s="214"/>
      <c r="O256" s="214"/>
      <c r="P256" s="214"/>
      <c r="Q256" s="214"/>
      <c r="R256" s="214"/>
      <c r="S256" s="214"/>
      <c r="T256" s="214"/>
      <c r="U256" s="214"/>
      <c r="V256" s="214"/>
      <c r="W256" s="214"/>
      <c r="X256" s="214"/>
      <c r="Y256" s="261"/>
      <c r="Z256" s="262"/>
      <c r="AA256" s="262"/>
      <c r="AB256" s="270"/>
      <c r="AC256" s="214"/>
      <c r="AD256" s="214"/>
      <c r="AE256" s="214"/>
      <c r="AF256" s="214"/>
      <c r="AG256" s="214"/>
      <c r="AH256" s="214"/>
      <c r="AI256" s="261"/>
      <c r="AJ256" s="214"/>
      <c r="AK256" s="261"/>
      <c r="AL256" s="261"/>
      <c r="AM256" s="264"/>
      <c r="AN256" s="214"/>
      <c r="AO256" s="271"/>
      <c r="AP256" s="271"/>
      <c r="AQ256" s="271"/>
      <c r="AR256" s="271"/>
      <c r="AS256" s="272"/>
      <c r="AT256" s="272"/>
      <c r="AU256" s="214"/>
      <c r="AV256" s="214"/>
    </row>
    <row r="257" ht="15.75" customHeight="1">
      <c r="A257" s="214"/>
      <c r="B257" s="261"/>
      <c r="C257" s="266"/>
      <c r="D257" s="267"/>
      <c r="E257" s="214"/>
      <c r="F257" s="214"/>
      <c r="G257" s="254"/>
      <c r="H257" s="214"/>
      <c r="I257" s="214"/>
      <c r="J257" s="214"/>
      <c r="K257" s="268"/>
      <c r="L257" s="214"/>
      <c r="M257" s="269"/>
      <c r="N257" s="214"/>
      <c r="O257" s="214"/>
      <c r="P257" s="214"/>
      <c r="Q257" s="214"/>
      <c r="R257" s="214"/>
      <c r="S257" s="214"/>
      <c r="T257" s="214"/>
      <c r="U257" s="214"/>
      <c r="V257" s="214"/>
      <c r="W257" s="214"/>
      <c r="X257" s="214"/>
      <c r="Y257" s="261"/>
      <c r="Z257" s="262"/>
      <c r="AA257" s="262"/>
      <c r="AB257" s="270"/>
      <c r="AC257" s="214"/>
      <c r="AD257" s="214"/>
      <c r="AE257" s="214"/>
      <c r="AF257" s="214"/>
      <c r="AG257" s="214"/>
      <c r="AH257" s="214"/>
      <c r="AI257" s="261"/>
      <c r="AJ257" s="214"/>
      <c r="AK257" s="261"/>
      <c r="AL257" s="261"/>
      <c r="AM257" s="264"/>
      <c r="AN257" s="214"/>
      <c r="AO257" s="271"/>
      <c r="AP257" s="271"/>
      <c r="AQ257" s="271"/>
      <c r="AR257" s="271"/>
      <c r="AS257" s="272"/>
      <c r="AT257" s="272"/>
      <c r="AU257" s="214"/>
      <c r="AV257" s="214"/>
    </row>
    <row r="258" ht="15.75" customHeight="1">
      <c r="A258" s="214"/>
      <c r="B258" s="261"/>
      <c r="C258" s="266"/>
      <c r="D258" s="267"/>
      <c r="E258" s="214"/>
      <c r="F258" s="214"/>
      <c r="G258" s="254"/>
      <c r="H258" s="214"/>
      <c r="I258" s="214"/>
      <c r="J258" s="214"/>
      <c r="K258" s="268"/>
      <c r="L258" s="214"/>
      <c r="M258" s="269"/>
      <c r="N258" s="214"/>
      <c r="O258" s="214"/>
      <c r="P258" s="214"/>
      <c r="Q258" s="214"/>
      <c r="R258" s="214"/>
      <c r="S258" s="214"/>
      <c r="T258" s="214"/>
      <c r="U258" s="214"/>
      <c r="V258" s="214"/>
      <c r="W258" s="214"/>
      <c r="X258" s="214"/>
      <c r="Y258" s="261"/>
      <c r="Z258" s="262"/>
      <c r="AA258" s="262"/>
      <c r="AB258" s="270"/>
      <c r="AC258" s="214"/>
      <c r="AD258" s="214"/>
      <c r="AE258" s="214"/>
      <c r="AF258" s="214"/>
      <c r="AG258" s="214"/>
      <c r="AH258" s="214"/>
      <c r="AI258" s="261"/>
      <c r="AJ258" s="214"/>
      <c r="AK258" s="261"/>
      <c r="AL258" s="261"/>
      <c r="AM258" s="264"/>
      <c r="AN258" s="214"/>
      <c r="AO258" s="271"/>
      <c r="AP258" s="271"/>
      <c r="AQ258" s="271"/>
      <c r="AR258" s="271"/>
      <c r="AS258" s="272"/>
      <c r="AT258" s="272"/>
      <c r="AU258" s="214"/>
      <c r="AV258" s="214"/>
    </row>
    <row r="259" ht="15.75" customHeight="1">
      <c r="A259" s="214"/>
      <c r="B259" s="261"/>
      <c r="C259" s="266"/>
      <c r="D259" s="267"/>
      <c r="E259" s="214"/>
      <c r="F259" s="214"/>
      <c r="G259" s="254"/>
      <c r="H259" s="214"/>
      <c r="I259" s="214"/>
      <c r="J259" s="214"/>
      <c r="K259" s="268"/>
      <c r="L259" s="214"/>
      <c r="M259" s="269"/>
      <c r="N259" s="214"/>
      <c r="O259" s="214"/>
      <c r="P259" s="214"/>
      <c r="Q259" s="214"/>
      <c r="R259" s="214"/>
      <c r="S259" s="214"/>
      <c r="T259" s="214"/>
      <c r="U259" s="214"/>
      <c r="V259" s="214"/>
      <c r="W259" s="214"/>
      <c r="X259" s="214"/>
      <c r="Y259" s="261"/>
      <c r="Z259" s="262"/>
      <c r="AA259" s="262"/>
      <c r="AB259" s="270"/>
      <c r="AC259" s="214"/>
      <c r="AD259" s="214"/>
      <c r="AE259" s="214"/>
      <c r="AF259" s="214"/>
      <c r="AG259" s="214"/>
      <c r="AH259" s="214"/>
      <c r="AI259" s="261"/>
      <c r="AJ259" s="214"/>
      <c r="AK259" s="261"/>
      <c r="AL259" s="261"/>
      <c r="AM259" s="264"/>
      <c r="AN259" s="214"/>
      <c r="AO259" s="271"/>
      <c r="AP259" s="271"/>
      <c r="AQ259" s="271"/>
      <c r="AR259" s="271"/>
      <c r="AS259" s="272"/>
      <c r="AT259" s="272"/>
      <c r="AU259" s="214"/>
      <c r="AV259" s="214"/>
    </row>
    <row r="260" ht="15.75" customHeight="1">
      <c r="A260" s="214"/>
      <c r="B260" s="261"/>
      <c r="C260" s="266"/>
      <c r="D260" s="267"/>
      <c r="E260" s="214"/>
      <c r="F260" s="214"/>
      <c r="G260" s="254"/>
      <c r="H260" s="214"/>
      <c r="I260" s="214"/>
      <c r="J260" s="214"/>
      <c r="K260" s="268"/>
      <c r="L260" s="214"/>
      <c r="M260" s="269"/>
      <c r="N260" s="214"/>
      <c r="O260" s="214"/>
      <c r="P260" s="214"/>
      <c r="Q260" s="214"/>
      <c r="R260" s="214"/>
      <c r="S260" s="214"/>
      <c r="T260" s="214"/>
      <c r="U260" s="214"/>
      <c r="V260" s="214"/>
      <c r="W260" s="214"/>
      <c r="X260" s="214"/>
      <c r="Y260" s="261"/>
      <c r="Z260" s="262"/>
      <c r="AA260" s="262"/>
      <c r="AB260" s="270"/>
      <c r="AC260" s="214"/>
      <c r="AD260" s="214"/>
      <c r="AE260" s="214"/>
      <c r="AF260" s="214"/>
      <c r="AG260" s="214"/>
      <c r="AH260" s="214"/>
      <c r="AI260" s="261"/>
      <c r="AJ260" s="214"/>
      <c r="AK260" s="261"/>
      <c r="AL260" s="261"/>
      <c r="AM260" s="264"/>
      <c r="AN260" s="214"/>
      <c r="AO260" s="271"/>
      <c r="AP260" s="271"/>
      <c r="AQ260" s="271"/>
      <c r="AR260" s="271"/>
      <c r="AS260" s="272"/>
      <c r="AT260" s="272"/>
      <c r="AU260" s="214"/>
      <c r="AV260" s="214"/>
    </row>
    <row r="261" ht="15.75" customHeight="1">
      <c r="A261" s="214"/>
      <c r="B261" s="261"/>
      <c r="C261" s="266"/>
      <c r="D261" s="267"/>
      <c r="E261" s="214"/>
      <c r="F261" s="214"/>
      <c r="G261" s="254"/>
      <c r="H261" s="214"/>
      <c r="I261" s="214"/>
      <c r="J261" s="214"/>
      <c r="K261" s="268"/>
      <c r="L261" s="214"/>
      <c r="M261" s="269"/>
      <c r="N261" s="214"/>
      <c r="O261" s="214"/>
      <c r="P261" s="214"/>
      <c r="Q261" s="214"/>
      <c r="R261" s="214"/>
      <c r="S261" s="214"/>
      <c r="T261" s="214"/>
      <c r="U261" s="214"/>
      <c r="V261" s="214"/>
      <c r="W261" s="214"/>
      <c r="X261" s="214"/>
      <c r="Y261" s="261"/>
      <c r="Z261" s="262"/>
      <c r="AA261" s="262"/>
      <c r="AB261" s="270"/>
      <c r="AC261" s="214"/>
      <c r="AD261" s="214"/>
      <c r="AE261" s="214"/>
      <c r="AF261" s="214"/>
      <c r="AG261" s="214"/>
      <c r="AH261" s="214"/>
      <c r="AI261" s="261"/>
      <c r="AJ261" s="214"/>
      <c r="AK261" s="261"/>
      <c r="AL261" s="261"/>
      <c r="AM261" s="264"/>
      <c r="AN261" s="214"/>
      <c r="AO261" s="271"/>
      <c r="AP261" s="271"/>
      <c r="AQ261" s="271"/>
      <c r="AR261" s="271"/>
      <c r="AS261" s="272"/>
      <c r="AT261" s="272"/>
      <c r="AU261" s="214"/>
      <c r="AV261" s="214"/>
    </row>
    <row r="262" ht="15.75" customHeight="1">
      <c r="A262" s="214"/>
      <c r="B262" s="261"/>
      <c r="C262" s="266"/>
      <c r="D262" s="267"/>
      <c r="E262" s="214"/>
      <c r="F262" s="214"/>
      <c r="G262" s="254"/>
      <c r="H262" s="214"/>
      <c r="I262" s="214"/>
      <c r="J262" s="214"/>
      <c r="K262" s="268"/>
      <c r="L262" s="214"/>
      <c r="M262" s="269"/>
      <c r="N262" s="214"/>
      <c r="O262" s="214"/>
      <c r="P262" s="214"/>
      <c r="Q262" s="214"/>
      <c r="R262" s="214"/>
      <c r="S262" s="214"/>
      <c r="T262" s="214"/>
      <c r="U262" s="214"/>
      <c r="V262" s="214"/>
      <c r="W262" s="214"/>
      <c r="X262" s="214"/>
      <c r="Y262" s="261"/>
      <c r="Z262" s="262"/>
      <c r="AA262" s="262"/>
      <c r="AB262" s="270"/>
      <c r="AC262" s="214"/>
      <c r="AD262" s="214"/>
      <c r="AE262" s="214"/>
      <c r="AF262" s="214"/>
      <c r="AG262" s="214"/>
      <c r="AH262" s="214"/>
      <c r="AI262" s="261"/>
      <c r="AJ262" s="214"/>
      <c r="AK262" s="261"/>
      <c r="AL262" s="261"/>
      <c r="AM262" s="264"/>
      <c r="AN262" s="214"/>
      <c r="AO262" s="271"/>
      <c r="AP262" s="271"/>
      <c r="AQ262" s="271"/>
      <c r="AR262" s="271"/>
      <c r="AS262" s="272"/>
      <c r="AT262" s="272"/>
      <c r="AU262" s="214"/>
      <c r="AV262" s="214"/>
    </row>
    <row r="263" ht="15.75" customHeight="1">
      <c r="A263" s="214"/>
      <c r="B263" s="261"/>
      <c r="C263" s="266"/>
      <c r="D263" s="267"/>
      <c r="E263" s="214"/>
      <c r="F263" s="214"/>
      <c r="G263" s="254"/>
      <c r="H263" s="214"/>
      <c r="I263" s="214"/>
      <c r="J263" s="214"/>
      <c r="K263" s="268"/>
      <c r="L263" s="214"/>
      <c r="M263" s="269"/>
      <c r="N263" s="214"/>
      <c r="O263" s="214"/>
      <c r="P263" s="214"/>
      <c r="Q263" s="214"/>
      <c r="R263" s="214"/>
      <c r="S263" s="214"/>
      <c r="T263" s="214"/>
      <c r="U263" s="214"/>
      <c r="V263" s="214"/>
      <c r="W263" s="214"/>
      <c r="X263" s="214"/>
      <c r="Y263" s="261"/>
      <c r="Z263" s="262"/>
      <c r="AA263" s="262"/>
      <c r="AB263" s="270"/>
      <c r="AC263" s="214"/>
      <c r="AD263" s="214"/>
      <c r="AE263" s="214"/>
      <c r="AF263" s="214"/>
      <c r="AG263" s="214"/>
      <c r="AH263" s="214"/>
      <c r="AI263" s="261"/>
      <c r="AJ263" s="214"/>
      <c r="AK263" s="261"/>
      <c r="AL263" s="261"/>
      <c r="AM263" s="264"/>
      <c r="AN263" s="214"/>
      <c r="AO263" s="271"/>
      <c r="AP263" s="271"/>
      <c r="AQ263" s="271"/>
      <c r="AR263" s="271"/>
      <c r="AS263" s="272"/>
      <c r="AT263" s="272"/>
      <c r="AU263" s="214"/>
      <c r="AV263" s="214"/>
    </row>
    <row r="264" ht="15.75" customHeight="1">
      <c r="A264" s="214"/>
      <c r="B264" s="261"/>
      <c r="C264" s="266"/>
      <c r="D264" s="267"/>
      <c r="E264" s="214"/>
      <c r="F264" s="214"/>
      <c r="G264" s="254"/>
      <c r="H264" s="214"/>
      <c r="I264" s="214"/>
      <c r="J264" s="214"/>
      <c r="K264" s="268"/>
      <c r="L264" s="214"/>
      <c r="M264" s="269"/>
      <c r="N264" s="214"/>
      <c r="O264" s="214"/>
      <c r="P264" s="214"/>
      <c r="Q264" s="214"/>
      <c r="R264" s="214"/>
      <c r="S264" s="214"/>
      <c r="T264" s="214"/>
      <c r="U264" s="214"/>
      <c r="V264" s="214"/>
      <c r="W264" s="214"/>
      <c r="X264" s="214"/>
      <c r="Y264" s="261"/>
      <c r="Z264" s="262"/>
      <c r="AA264" s="262"/>
      <c r="AB264" s="270"/>
      <c r="AC264" s="214"/>
      <c r="AD264" s="214"/>
      <c r="AE264" s="214"/>
      <c r="AF264" s="214"/>
      <c r="AG264" s="214"/>
      <c r="AH264" s="214"/>
      <c r="AI264" s="261"/>
      <c r="AJ264" s="214"/>
      <c r="AK264" s="261"/>
      <c r="AL264" s="261"/>
      <c r="AM264" s="264"/>
      <c r="AN264" s="214"/>
      <c r="AO264" s="271"/>
      <c r="AP264" s="271"/>
      <c r="AQ264" s="271"/>
      <c r="AR264" s="271"/>
      <c r="AS264" s="272"/>
      <c r="AT264" s="272"/>
      <c r="AU264" s="214"/>
      <c r="AV264" s="214"/>
    </row>
    <row r="265" ht="15.75" customHeight="1">
      <c r="A265" s="214"/>
      <c r="B265" s="261"/>
      <c r="C265" s="266"/>
      <c r="D265" s="267"/>
      <c r="E265" s="214"/>
      <c r="F265" s="214"/>
      <c r="G265" s="214"/>
      <c r="H265" s="214"/>
      <c r="I265" s="214"/>
      <c r="J265" s="214"/>
      <c r="K265" s="268"/>
      <c r="L265" s="214"/>
      <c r="M265" s="269"/>
      <c r="N265" s="214"/>
      <c r="O265" s="214"/>
      <c r="P265" s="214"/>
      <c r="Q265" s="214"/>
      <c r="R265" s="214"/>
      <c r="S265" s="214"/>
      <c r="T265" s="214"/>
      <c r="U265" s="214"/>
      <c r="V265" s="214"/>
      <c r="W265" s="214"/>
      <c r="X265" s="214"/>
      <c r="Y265" s="261"/>
      <c r="Z265" s="262"/>
      <c r="AA265" s="262"/>
      <c r="AB265" s="270"/>
      <c r="AC265" s="214"/>
      <c r="AD265" s="214"/>
      <c r="AE265" s="214"/>
      <c r="AF265" s="214"/>
      <c r="AG265" s="214"/>
      <c r="AH265" s="214"/>
      <c r="AI265" s="261"/>
      <c r="AJ265" s="214"/>
      <c r="AK265" s="261"/>
      <c r="AL265" s="261"/>
      <c r="AM265" s="264"/>
      <c r="AN265" s="214"/>
      <c r="AO265" s="271"/>
      <c r="AP265" s="271"/>
      <c r="AQ265" s="271"/>
      <c r="AR265" s="271"/>
      <c r="AS265" s="272"/>
      <c r="AT265" s="272"/>
      <c r="AU265" s="214"/>
      <c r="AV265" s="214"/>
    </row>
    <row r="266" ht="15.75" customHeight="1">
      <c r="A266" s="214"/>
      <c r="B266" s="261"/>
      <c r="C266" s="266"/>
      <c r="D266" s="267"/>
      <c r="E266" s="214"/>
      <c r="F266" s="214"/>
      <c r="G266" s="214"/>
      <c r="H266" s="214"/>
      <c r="I266" s="214"/>
      <c r="J266" s="214"/>
      <c r="K266" s="268"/>
      <c r="L266" s="214"/>
      <c r="M266" s="269"/>
      <c r="N266" s="214"/>
      <c r="O266" s="214"/>
      <c r="P266" s="214"/>
      <c r="Q266" s="214"/>
      <c r="R266" s="214"/>
      <c r="S266" s="214"/>
      <c r="T266" s="214"/>
      <c r="U266" s="214"/>
      <c r="V266" s="214"/>
      <c r="W266" s="214"/>
      <c r="X266" s="214"/>
      <c r="Y266" s="261"/>
      <c r="Z266" s="262"/>
      <c r="AA266" s="262"/>
      <c r="AB266" s="270"/>
      <c r="AC266" s="214"/>
      <c r="AD266" s="214"/>
      <c r="AE266" s="214"/>
      <c r="AF266" s="214"/>
      <c r="AG266" s="214"/>
      <c r="AH266" s="214"/>
      <c r="AI266" s="261"/>
      <c r="AJ266" s="214"/>
      <c r="AK266" s="261"/>
      <c r="AL266" s="261"/>
      <c r="AM266" s="264"/>
      <c r="AN266" s="214"/>
      <c r="AO266" s="271"/>
      <c r="AP266" s="271"/>
      <c r="AQ266" s="271"/>
      <c r="AR266" s="271"/>
      <c r="AS266" s="272"/>
      <c r="AT266" s="272"/>
      <c r="AU266" s="214"/>
      <c r="AV266" s="214"/>
    </row>
    <row r="267" ht="15.75" customHeight="1">
      <c r="A267" s="214"/>
      <c r="B267" s="261"/>
      <c r="C267" s="266"/>
      <c r="D267" s="267"/>
      <c r="E267" s="214"/>
      <c r="F267" s="214"/>
      <c r="G267" s="214"/>
      <c r="H267" s="214"/>
      <c r="I267" s="214"/>
      <c r="J267" s="214"/>
      <c r="K267" s="268"/>
      <c r="L267" s="214"/>
      <c r="M267" s="269"/>
      <c r="N267" s="214"/>
      <c r="O267" s="214"/>
      <c r="P267" s="214"/>
      <c r="Q267" s="214"/>
      <c r="R267" s="214"/>
      <c r="S267" s="214"/>
      <c r="T267" s="214"/>
      <c r="U267" s="214"/>
      <c r="V267" s="214"/>
      <c r="W267" s="214"/>
      <c r="X267" s="214"/>
      <c r="Y267" s="261"/>
      <c r="Z267" s="262"/>
      <c r="AA267" s="262"/>
      <c r="AB267" s="270"/>
      <c r="AC267" s="214"/>
      <c r="AD267" s="214"/>
      <c r="AE267" s="214"/>
      <c r="AF267" s="214"/>
      <c r="AG267" s="214"/>
      <c r="AH267" s="214"/>
      <c r="AI267" s="261"/>
      <c r="AJ267" s="214"/>
      <c r="AK267" s="261"/>
      <c r="AL267" s="261"/>
      <c r="AM267" s="264"/>
      <c r="AN267" s="214"/>
      <c r="AO267" s="271"/>
      <c r="AP267" s="271"/>
      <c r="AQ267" s="271"/>
      <c r="AR267" s="271"/>
      <c r="AS267" s="272"/>
      <c r="AT267" s="272"/>
      <c r="AU267" s="214"/>
      <c r="AV267" s="214"/>
    </row>
    <row r="268" ht="15.75" customHeight="1">
      <c r="A268" s="214"/>
      <c r="B268" s="261"/>
      <c r="C268" s="266"/>
      <c r="D268" s="267"/>
      <c r="E268" s="214"/>
      <c r="F268" s="214"/>
      <c r="G268" s="214"/>
      <c r="H268" s="214"/>
      <c r="I268" s="214"/>
      <c r="J268" s="214"/>
      <c r="K268" s="268"/>
      <c r="L268" s="214"/>
      <c r="M268" s="269"/>
      <c r="N268" s="214"/>
      <c r="O268" s="214"/>
      <c r="P268" s="214"/>
      <c r="Q268" s="214"/>
      <c r="R268" s="214"/>
      <c r="S268" s="214"/>
      <c r="T268" s="214"/>
      <c r="U268" s="214"/>
      <c r="V268" s="214"/>
      <c r="W268" s="214"/>
      <c r="X268" s="214"/>
      <c r="Y268" s="261"/>
      <c r="Z268" s="262"/>
      <c r="AA268" s="262"/>
      <c r="AB268" s="270"/>
      <c r="AC268" s="214"/>
      <c r="AD268" s="214"/>
      <c r="AE268" s="214"/>
      <c r="AF268" s="214"/>
      <c r="AG268" s="214"/>
      <c r="AH268" s="214"/>
      <c r="AI268" s="261"/>
      <c r="AJ268" s="214"/>
      <c r="AK268" s="261"/>
      <c r="AL268" s="261"/>
      <c r="AM268" s="264"/>
      <c r="AN268" s="214"/>
      <c r="AO268" s="271"/>
      <c r="AP268" s="271"/>
      <c r="AQ268" s="271"/>
      <c r="AR268" s="271"/>
      <c r="AS268" s="272"/>
      <c r="AT268" s="272"/>
      <c r="AU268" s="214"/>
      <c r="AV268" s="214"/>
    </row>
    <row r="269" ht="15.75" customHeight="1">
      <c r="A269" s="214"/>
      <c r="B269" s="261"/>
      <c r="C269" s="266"/>
      <c r="D269" s="267"/>
      <c r="E269" s="214"/>
      <c r="F269" s="214"/>
      <c r="G269" s="214"/>
      <c r="H269" s="214"/>
      <c r="I269" s="214"/>
      <c r="J269" s="214"/>
      <c r="K269" s="268"/>
      <c r="L269" s="214"/>
      <c r="M269" s="269"/>
      <c r="N269" s="214"/>
      <c r="O269" s="214"/>
      <c r="P269" s="214"/>
      <c r="Q269" s="214"/>
      <c r="R269" s="214"/>
      <c r="S269" s="214"/>
      <c r="T269" s="214"/>
      <c r="U269" s="214"/>
      <c r="V269" s="214"/>
      <c r="W269" s="214"/>
      <c r="X269" s="214"/>
      <c r="Y269" s="261"/>
      <c r="Z269" s="262"/>
      <c r="AA269" s="262"/>
      <c r="AB269" s="270"/>
      <c r="AC269" s="214"/>
      <c r="AD269" s="214"/>
      <c r="AE269" s="214"/>
      <c r="AF269" s="214"/>
      <c r="AG269" s="214"/>
      <c r="AH269" s="214"/>
      <c r="AI269" s="261"/>
      <c r="AJ269" s="214"/>
      <c r="AK269" s="261"/>
      <c r="AL269" s="261"/>
      <c r="AM269" s="264"/>
      <c r="AN269" s="214"/>
      <c r="AO269" s="271"/>
      <c r="AP269" s="271"/>
      <c r="AQ269" s="271"/>
      <c r="AR269" s="271"/>
      <c r="AS269" s="272"/>
      <c r="AT269" s="272"/>
      <c r="AU269" s="214"/>
      <c r="AV269" s="214"/>
    </row>
    <row r="270" ht="15.75" customHeight="1">
      <c r="A270" s="214"/>
      <c r="B270" s="261"/>
      <c r="C270" s="266"/>
      <c r="D270" s="267"/>
      <c r="E270" s="214"/>
      <c r="F270" s="214"/>
      <c r="G270" s="214"/>
      <c r="H270" s="214"/>
      <c r="I270" s="214"/>
      <c r="J270" s="214"/>
      <c r="K270" s="268"/>
      <c r="L270" s="214"/>
      <c r="M270" s="269"/>
      <c r="N270" s="214"/>
      <c r="O270" s="214"/>
      <c r="P270" s="214"/>
      <c r="Q270" s="214"/>
      <c r="R270" s="214"/>
      <c r="S270" s="214"/>
      <c r="T270" s="214"/>
      <c r="U270" s="214"/>
      <c r="V270" s="214"/>
      <c r="W270" s="214"/>
      <c r="X270" s="214"/>
      <c r="Y270" s="261"/>
      <c r="Z270" s="262"/>
      <c r="AA270" s="262"/>
      <c r="AB270" s="270"/>
      <c r="AC270" s="214"/>
      <c r="AD270" s="214"/>
      <c r="AE270" s="214"/>
      <c r="AF270" s="214"/>
      <c r="AG270" s="214"/>
      <c r="AH270" s="214"/>
      <c r="AI270" s="261"/>
      <c r="AJ270" s="214"/>
      <c r="AK270" s="261"/>
      <c r="AL270" s="261"/>
      <c r="AM270" s="264"/>
      <c r="AN270" s="214"/>
      <c r="AO270" s="271"/>
      <c r="AP270" s="271"/>
      <c r="AQ270" s="271"/>
      <c r="AR270" s="271"/>
      <c r="AS270" s="272"/>
      <c r="AT270" s="272"/>
      <c r="AU270" s="214"/>
      <c r="AV270" s="214"/>
    </row>
    <row r="271" ht="15.75" customHeight="1">
      <c r="A271" s="214"/>
      <c r="B271" s="261"/>
      <c r="C271" s="266"/>
      <c r="D271" s="267"/>
      <c r="E271" s="214"/>
      <c r="F271" s="214"/>
      <c r="G271" s="214"/>
      <c r="H271" s="214"/>
      <c r="I271" s="214"/>
      <c r="J271" s="214"/>
      <c r="K271" s="268"/>
      <c r="L271" s="214"/>
      <c r="M271" s="269"/>
      <c r="N271" s="214"/>
      <c r="O271" s="214"/>
      <c r="P271" s="214"/>
      <c r="Q271" s="214"/>
      <c r="R271" s="214"/>
      <c r="S271" s="214"/>
      <c r="T271" s="214"/>
      <c r="U271" s="214"/>
      <c r="V271" s="214"/>
      <c r="W271" s="214"/>
      <c r="X271" s="214"/>
      <c r="Y271" s="261"/>
      <c r="Z271" s="262"/>
      <c r="AA271" s="262"/>
      <c r="AB271" s="270"/>
      <c r="AC271" s="214"/>
      <c r="AD271" s="214"/>
      <c r="AE271" s="214"/>
      <c r="AF271" s="214"/>
      <c r="AG271" s="214"/>
      <c r="AH271" s="214"/>
      <c r="AI271" s="261"/>
      <c r="AJ271" s="214"/>
      <c r="AK271" s="261"/>
      <c r="AL271" s="261"/>
      <c r="AM271" s="264"/>
      <c r="AN271" s="214"/>
      <c r="AO271" s="271"/>
      <c r="AP271" s="271"/>
      <c r="AQ271" s="271"/>
      <c r="AR271" s="271"/>
      <c r="AS271" s="272"/>
      <c r="AT271" s="272"/>
      <c r="AU271" s="214"/>
      <c r="AV271" s="214"/>
    </row>
    <row r="272" ht="15.75" customHeight="1">
      <c r="A272" s="214"/>
      <c r="B272" s="261"/>
      <c r="C272" s="266"/>
      <c r="D272" s="267"/>
      <c r="E272" s="214"/>
      <c r="F272" s="214"/>
      <c r="G272" s="214"/>
      <c r="H272" s="214"/>
      <c r="I272" s="214"/>
      <c r="J272" s="214"/>
      <c r="K272" s="268"/>
      <c r="L272" s="214"/>
      <c r="M272" s="269"/>
      <c r="N272" s="214"/>
      <c r="O272" s="214"/>
      <c r="P272" s="214"/>
      <c r="Q272" s="214"/>
      <c r="R272" s="214"/>
      <c r="S272" s="214"/>
      <c r="T272" s="214"/>
      <c r="U272" s="214"/>
      <c r="V272" s="214"/>
      <c r="W272" s="214"/>
      <c r="X272" s="214"/>
      <c r="Y272" s="261"/>
      <c r="Z272" s="262"/>
      <c r="AA272" s="262"/>
      <c r="AB272" s="270"/>
      <c r="AC272" s="214"/>
      <c r="AD272" s="214"/>
      <c r="AE272" s="214"/>
      <c r="AF272" s="214"/>
      <c r="AG272" s="214"/>
      <c r="AH272" s="214"/>
      <c r="AI272" s="261"/>
      <c r="AJ272" s="214"/>
      <c r="AK272" s="261"/>
      <c r="AL272" s="261"/>
      <c r="AM272" s="264"/>
      <c r="AN272" s="214"/>
      <c r="AO272" s="271"/>
      <c r="AP272" s="271"/>
      <c r="AQ272" s="271"/>
      <c r="AR272" s="271"/>
      <c r="AS272" s="272"/>
      <c r="AT272" s="272"/>
      <c r="AU272" s="214"/>
      <c r="AV272" s="214"/>
    </row>
    <row r="273" ht="15.75" customHeight="1">
      <c r="A273" s="214"/>
      <c r="B273" s="261"/>
      <c r="C273" s="266"/>
      <c r="D273" s="267"/>
      <c r="E273" s="214"/>
      <c r="F273" s="214"/>
      <c r="G273" s="214"/>
      <c r="H273" s="214"/>
      <c r="I273" s="214"/>
      <c r="J273" s="214"/>
      <c r="K273" s="268"/>
      <c r="L273" s="214"/>
      <c r="M273" s="269"/>
      <c r="N273" s="214"/>
      <c r="O273" s="214"/>
      <c r="P273" s="214"/>
      <c r="Q273" s="214"/>
      <c r="R273" s="214"/>
      <c r="S273" s="214"/>
      <c r="T273" s="214"/>
      <c r="U273" s="214"/>
      <c r="V273" s="214"/>
      <c r="W273" s="214"/>
      <c r="X273" s="214"/>
      <c r="Y273" s="261"/>
      <c r="Z273" s="262"/>
      <c r="AA273" s="262"/>
      <c r="AB273" s="270"/>
      <c r="AC273" s="214"/>
      <c r="AD273" s="214"/>
      <c r="AE273" s="214"/>
      <c r="AF273" s="214"/>
      <c r="AG273" s="214"/>
      <c r="AH273" s="214"/>
      <c r="AI273" s="261"/>
      <c r="AJ273" s="214"/>
      <c r="AK273" s="261"/>
      <c r="AL273" s="261"/>
      <c r="AM273" s="264"/>
      <c r="AN273" s="214"/>
      <c r="AO273" s="271"/>
      <c r="AP273" s="271"/>
      <c r="AQ273" s="271"/>
      <c r="AR273" s="271"/>
      <c r="AS273" s="272"/>
      <c r="AT273" s="272"/>
      <c r="AU273" s="214"/>
      <c r="AV273" s="214"/>
    </row>
    <row r="274" ht="15.75" customHeight="1">
      <c r="A274" s="214"/>
      <c r="B274" s="261"/>
      <c r="C274" s="266"/>
      <c r="D274" s="267"/>
      <c r="E274" s="214"/>
      <c r="F274" s="214"/>
      <c r="G274" s="214"/>
      <c r="H274" s="214"/>
      <c r="I274" s="214"/>
      <c r="J274" s="214"/>
      <c r="K274" s="268"/>
      <c r="L274" s="214"/>
      <c r="M274" s="269"/>
      <c r="N274" s="214"/>
      <c r="O274" s="214"/>
      <c r="P274" s="214"/>
      <c r="Q274" s="214"/>
      <c r="R274" s="214"/>
      <c r="S274" s="214"/>
      <c r="T274" s="214"/>
      <c r="U274" s="214"/>
      <c r="V274" s="214"/>
      <c r="W274" s="214"/>
      <c r="X274" s="214"/>
      <c r="Y274" s="261"/>
      <c r="Z274" s="262"/>
      <c r="AA274" s="262"/>
      <c r="AB274" s="270"/>
      <c r="AC274" s="214"/>
      <c r="AD274" s="214"/>
      <c r="AE274" s="214"/>
      <c r="AF274" s="214"/>
      <c r="AG274" s="214"/>
      <c r="AH274" s="214"/>
      <c r="AI274" s="261"/>
      <c r="AJ274" s="214"/>
      <c r="AK274" s="261"/>
      <c r="AL274" s="261"/>
      <c r="AM274" s="264"/>
      <c r="AN274" s="214"/>
      <c r="AO274" s="271"/>
      <c r="AP274" s="271"/>
      <c r="AQ274" s="271"/>
      <c r="AR274" s="271"/>
      <c r="AS274" s="272"/>
      <c r="AT274" s="272"/>
      <c r="AU274" s="214"/>
      <c r="AV274" s="214"/>
    </row>
    <row r="275" ht="15.75" customHeight="1">
      <c r="A275" s="214"/>
      <c r="B275" s="261"/>
      <c r="C275" s="266"/>
      <c r="D275" s="267"/>
      <c r="E275" s="214"/>
      <c r="F275" s="214"/>
      <c r="G275" s="214"/>
      <c r="H275" s="214"/>
      <c r="I275" s="214"/>
      <c r="J275" s="214"/>
      <c r="K275" s="268"/>
      <c r="L275" s="214"/>
      <c r="M275" s="269"/>
      <c r="N275" s="214"/>
      <c r="O275" s="214"/>
      <c r="P275" s="214"/>
      <c r="Q275" s="214"/>
      <c r="R275" s="214"/>
      <c r="S275" s="214"/>
      <c r="T275" s="214"/>
      <c r="U275" s="214"/>
      <c r="V275" s="214"/>
      <c r="W275" s="214"/>
      <c r="X275" s="214"/>
      <c r="Y275" s="261"/>
      <c r="Z275" s="262"/>
      <c r="AA275" s="262"/>
      <c r="AB275" s="270"/>
      <c r="AC275" s="214"/>
      <c r="AD275" s="214"/>
      <c r="AE275" s="214"/>
      <c r="AF275" s="214"/>
      <c r="AG275" s="214"/>
      <c r="AH275" s="214"/>
      <c r="AI275" s="261"/>
      <c r="AJ275" s="214"/>
      <c r="AK275" s="261"/>
      <c r="AL275" s="261"/>
      <c r="AM275" s="264"/>
      <c r="AN275" s="214"/>
      <c r="AO275" s="271"/>
      <c r="AP275" s="271"/>
      <c r="AQ275" s="271"/>
      <c r="AR275" s="271"/>
      <c r="AS275" s="272"/>
      <c r="AT275" s="272"/>
      <c r="AU275" s="214"/>
      <c r="AV275" s="214"/>
    </row>
    <row r="276" ht="15.75" customHeight="1">
      <c r="A276" s="214"/>
      <c r="B276" s="261"/>
      <c r="C276" s="266"/>
      <c r="D276" s="267"/>
      <c r="E276" s="214"/>
      <c r="F276" s="214"/>
      <c r="G276" s="214"/>
      <c r="H276" s="214"/>
      <c r="I276" s="214"/>
      <c r="J276" s="214"/>
      <c r="K276" s="268"/>
      <c r="L276" s="214"/>
      <c r="M276" s="269"/>
      <c r="N276" s="214"/>
      <c r="O276" s="214"/>
      <c r="P276" s="214"/>
      <c r="Q276" s="214"/>
      <c r="R276" s="214"/>
      <c r="S276" s="214"/>
      <c r="T276" s="214"/>
      <c r="U276" s="214"/>
      <c r="V276" s="214"/>
      <c r="W276" s="214"/>
      <c r="X276" s="214"/>
      <c r="Y276" s="261"/>
      <c r="Z276" s="262"/>
      <c r="AA276" s="262"/>
      <c r="AB276" s="270"/>
      <c r="AC276" s="214"/>
      <c r="AD276" s="214"/>
      <c r="AE276" s="214"/>
      <c r="AF276" s="214"/>
      <c r="AG276" s="214"/>
      <c r="AH276" s="214"/>
      <c r="AI276" s="261"/>
      <c r="AJ276" s="214"/>
      <c r="AK276" s="261"/>
      <c r="AL276" s="261"/>
      <c r="AM276" s="264"/>
      <c r="AN276" s="214"/>
      <c r="AO276" s="271"/>
      <c r="AP276" s="271"/>
      <c r="AQ276" s="271"/>
      <c r="AR276" s="271"/>
      <c r="AS276" s="272"/>
      <c r="AT276" s="272"/>
      <c r="AU276" s="214"/>
      <c r="AV276" s="214"/>
    </row>
    <row r="277" ht="15.75" customHeight="1">
      <c r="A277" s="214"/>
      <c r="B277" s="261"/>
      <c r="C277" s="266"/>
      <c r="D277" s="267"/>
      <c r="E277" s="214"/>
      <c r="F277" s="214"/>
      <c r="G277" s="214"/>
      <c r="H277" s="214"/>
      <c r="I277" s="214"/>
      <c r="J277" s="214"/>
      <c r="K277" s="268"/>
      <c r="L277" s="214"/>
      <c r="M277" s="269"/>
      <c r="N277" s="214"/>
      <c r="O277" s="214"/>
      <c r="P277" s="214"/>
      <c r="Q277" s="214"/>
      <c r="R277" s="214"/>
      <c r="S277" s="214"/>
      <c r="T277" s="214"/>
      <c r="U277" s="214"/>
      <c r="V277" s="214"/>
      <c r="W277" s="214"/>
      <c r="X277" s="214"/>
      <c r="Y277" s="261"/>
      <c r="Z277" s="262"/>
      <c r="AA277" s="262"/>
      <c r="AB277" s="270"/>
      <c r="AC277" s="214"/>
      <c r="AD277" s="214"/>
      <c r="AE277" s="214"/>
      <c r="AF277" s="214"/>
      <c r="AG277" s="214"/>
      <c r="AH277" s="214"/>
      <c r="AI277" s="261"/>
      <c r="AJ277" s="214"/>
      <c r="AK277" s="261"/>
      <c r="AL277" s="261"/>
      <c r="AM277" s="264"/>
      <c r="AN277" s="214"/>
      <c r="AO277" s="271"/>
      <c r="AP277" s="271"/>
      <c r="AQ277" s="271"/>
      <c r="AR277" s="271"/>
      <c r="AS277" s="272"/>
      <c r="AT277" s="272"/>
      <c r="AU277" s="214"/>
      <c r="AV277" s="214"/>
    </row>
    <row r="278" ht="15.75" customHeight="1">
      <c r="A278" s="214"/>
      <c r="B278" s="261"/>
      <c r="C278" s="266"/>
      <c r="D278" s="267"/>
      <c r="E278" s="214"/>
      <c r="F278" s="214"/>
      <c r="G278" s="214"/>
      <c r="H278" s="214"/>
      <c r="I278" s="214"/>
      <c r="J278" s="214"/>
      <c r="K278" s="268"/>
      <c r="L278" s="214"/>
      <c r="M278" s="269"/>
      <c r="N278" s="214"/>
      <c r="O278" s="214"/>
      <c r="P278" s="214"/>
      <c r="Q278" s="214"/>
      <c r="R278" s="214"/>
      <c r="S278" s="214"/>
      <c r="T278" s="214"/>
      <c r="U278" s="214"/>
      <c r="V278" s="214"/>
      <c r="W278" s="214"/>
      <c r="X278" s="214"/>
      <c r="Y278" s="261"/>
      <c r="Z278" s="262"/>
      <c r="AA278" s="262"/>
      <c r="AB278" s="270"/>
      <c r="AC278" s="214"/>
      <c r="AD278" s="214"/>
      <c r="AE278" s="214"/>
      <c r="AF278" s="214"/>
      <c r="AG278" s="214"/>
      <c r="AH278" s="214"/>
      <c r="AI278" s="261"/>
      <c r="AJ278" s="214"/>
      <c r="AK278" s="261"/>
      <c r="AL278" s="261"/>
      <c r="AM278" s="264"/>
      <c r="AN278" s="214"/>
      <c r="AO278" s="271"/>
      <c r="AP278" s="271"/>
      <c r="AQ278" s="271"/>
      <c r="AR278" s="271"/>
      <c r="AS278" s="272"/>
      <c r="AT278" s="272"/>
      <c r="AU278" s="214"/>
      <c r="AV278" s="214"/>
    </row>
    <row r="279" ht="15.75" customHeight="1">
      <c r="A279" s="214"/>
      <c r="B279" s="261"/>
      <c r="C279" s="266"/>
      <c r="D279" s="267"/>
      <c r="E279" s="214"/>
      <c r="F279" s="214"/>
      <c r="G279" s="214"/>
      <c r="H279" s="214"/>
      <c r="I279" s="214"/>
      <c r="J279" s="214"/>
      <c r="K279" s="268"/>
      <c r="L279" s="214"/>
      <c r="M279" s="269"/>
      <c r="N279" s="214"/>
      <c r="O279" s="214"/>
      <c r="P279" s="214"/>
      <c r="Q279" s="214"/>
      <c r="R279" s="214"/>
      <c r="S279" s="214"/>
      <c r="T279" s="214"/>
      <c r="U279" s="214"/>
      <c r="V279" s="214"/>
      <c r="W279" s="214"/>
      <c r="X279" s="214"/>
      <c r="Y279" s="261"/>
      <c r="Z279" s="262"/>
      <c r="AA279" s="262"/>
      <c r="AB279" s="270"/>
      <c r="AC279" s="214"/>
      <c r="AD279" s="214"/>
      <c r="AE279" s="214"/>
      <c r="AF279" s="214"/>
      <c r="AG279" s="214"/>
      <c r="AH279" s="214"/>
      <c r="AI279" s="261"/>
      <c r="AJ279" s="214"/>
      <c r="AK279" s="261"/>
      <c r="AL279" s="261"/>
      <c r="AM279" s="264"/>
      <c r="AN279" s="214"/>
      <c r="AO279" s="271"/>
      <c r="AP279" s="271"/>
      <c r="AQ279" s="271"/>
      <c r="AR279" s="271"/>
      <c r="AS279" s="272"/>
      <c r="AT279" s="272"/>
      <c r="AU279" s="214"/>
      <c r="AV279" s="214"/>
    </row>
    <row r="280" ht="15.75" customHeight="1">
      <c r="A280" s="214"/>
      <c r="B280" s="261"/>
      <c r="C280" s="266"/>
      <c r="D280" s="267"/>
      <c r="E280" s="214"/>
      <c r="F280" s="214"/>
      <c r="G280" s="214"/>
      <c r="H280" s="214"/>
      <c r="I280" s="214"/>
      <c r="J280" s="214"/>
      <c r="K280" s="268"/>
      <c r="L280" s="214"/>
      <c r="M280" s="269"/>
      <c r="N280" s="214"/>
      <c r="O280" s="214"/>
      <c r="P280" s="214"/>
      <c r="Q280" s="214"/>
      <c r="R280" s="214"/>
      <c r="S280" s="214"/>
      <c r="T280" s="214"/>
      <c r="U280" s="214"/>
      <c r="V280" s="214"/>
      <c r="W280" s="214"/>
      <c r="X280" s="214"/>
      <c r="Y280" s="261"/>
      <c r="Z280" s="262"/>
      <c r="AA280" s="262"/>
      <c r="AB280" s="270"/>
      <c r="AC280" s="214"/>
      <c r="AD280" s="214"/>
      <c r="AE280" s="214"/>
      <c r="AF280" s="214"/>
      <c r="AG280" s="214"/>
      <c r="AH280" s="214"/>
      <c r="AI280" s="261"/>
      <c r="AJ280" s="214"/>
      <c r="AK280" s="261"/>
      <c r="AL280" s="261"/>
      <c r="AM280" s="264"/>
      <c r="AN280" s="214"/>
      <c r="AO280" s="271"/>
      <c r="AP280" s="271"/>
      <c r="AQ280" s="271"/>
      <c r="AR280" s="271"/>
      <c r="AS280" s="272"/>
      <c r="AT280" s="272"/>
      <c r="AU280" s="214"/>
      <c r="AV280" s="214"/>
    </row>
    <row r="281" ht="15.75" customHeight="1">
      <c r="A281" s="214"/>
      <c r="B281" s="261"/>
      <c r="C281" s="266"/>
      <c r="D281" s="267"/>
      <c r="E281" s="214"/>
      <c r="F281" s="214"/>
      <c r="G281" s="214"/>
      <c r="H281" s="214"/>
      <c r="I281" s="214"/>
      <c r="J281" s="214"/>
      <c r="K281" s="268"/>
      <c r="L281" s="214"/>
      <c r="M281" s="269"/>
      <c r="N281" s="214"/>
      <c r="O281" s="214"/>
      <c r="P281" s="214"/>
      <c r="Q281" s="214"/>
      <c r="R281" s="214"/>
      <c r="S281" s="214"/>
      <c r="T281" s="214"/>
      <c r="U281" s="214"/>
      <c r="V281" s="214"/>
      <c r="W281" s="214"/>
      <c r="X281" s="214"/>
      <c r="Y281" s="261"/>
      <c r="Z281" s="262"/>
      <c r="AA281" s="262"/>
      <c r="AB281" s="270"/>
      <c r="AC281" s="214"/>
      <c r="AD281" s="214"/>
      <c r="AE281" s="214"/>
      <c r="AF281" s="214"/>
      <c r="AG281" s="214"/>
      <c r="AH281" s="214"/>
      <c r="AI281" s="261"/>
      <c r="AJ281" s="214"/>
      <c r="AK281" s="261"/>
      <c r="AL281" s="261"/>
      <c r="AM281" s="264"/>
      <c r="AN281" s="214"/>
      <c r="AO281" s="271"/>
      <c r="AP281" s="271"/>
      <c r="AQ281" s="271"/>
      <c r="AR281" s="271"/>
      <c r="AS281" s="272"/>
      <c r="AT281" s="272"/>
      <c r="AU281" s="214"/>
      <c r="AV281" s="214"/>
    </row>
    <row r="282" ht="15.75" customHeight="1">
      <c r="A282" s="214"/>
      <c r="B282" s="261"/>
      <c r="C282" s="266"/>
      <c r="D282" s="267"/>
      <c r="E282" s="214"/>
      <c r="F282" s="214"/>
      <c r="G282" s="214"/>
      <c r="H282" s="214"/>
      <c r="I282" s="214"/>
      <c r="J282" s="214"/>
      <c r="K282" s="268"/>
      <c r="L282" s="214"/>
      <c r="M282" s="269"/>
      <c r="N282" s="214"/>
      <c r="O282" s="214"/>
      <c r="P282" s="214"/>
      <c r="Q282" s="214"/>
      <c r="R282" s="214"/>
      <c r="S282" s="214"/>
      <c r="T282" s="214"/>
      <c r="U282" s="214"/>
      <c r="V282" s="214"/>
      <c r="W282" s="214"/>
      <c r="X282" s="214"/>
      <c r="Y282" s="261"/>
      <c r="Z282" s="262"/>
      <c r="AA282" s="262"/>
      <c r="AB282" s="270"/>
      <c r="AC282" s="214"/>
      <c r="AD282" s="214"/>
      <c r="AE282" s="214"/>
      <c r="AF282" s="214"/>
      <c r="AG282" s="214"/>
      <c r="AH282" s="214"/>
      <c r="AI282" s="261"/>
      <c r="AJ282" s="214"/>
      <c r="AK282" s="261"/>
      <c r="AL282" s="261"/>
      <c r="AM282" s="264"/>
      <c r="AN282" s="214"/>
      <c r="AO282" s="271"/>
      <c r="AP282" s="271"/>
      <c r="AQ282" s="271"/>
      <c r="AR282" s="271"/>
      <c r="AS282" s="272"/>
      <c r="AT282" s="272"/>
      <c r="AU282" s="214"/>
      <c r="AV282" s="214"/>
    </row>
    <row r="283" ht="15.75" customHeight="1">
      <c r="A283" s="214"/>
      <c r="B283" s="261"/>
      <c r="C283" s="266"/>
      <c r="D283" s="267"/>
      <c r="E283" s="214"/>
      <c r="F283" s="214"/>
      <c r="G283" s="214"/>
      <c r="H283" s="214"/>
      <c r="I283" s="214"/>
      <c r="J283" s="214"/>
      <c r="K283" s="268"/>
      <c r="L283" s="214"/>
      <c r="M283" s="269"/>
      <c r="N283" s="214"/>
      <c r="O283" s="214"/>
      <c r="P283" s="214"/>
      <c r="Q283" s="214"/>
      <c r="R283" s="214"/>
      <c r="S283" s="214"/>
      <c r="T283" s="214"/>
      <c r="U283" s="214"/>
      <c r="V283" s="214"/>
      <c r="W283" s="214"/>
      <c r="X283" s="214"/>
      <c r="Y283" s="261"/>
      <c r="Z283" s="262"/>
      <c r="AA283" s="262"/>
      <c r="AB283" s="270"/>
      <c r="AC283" s="214"/>
      <c r="AD283" s="214"/>
      <c r="AE283" s="214"/>
      <c r="AF283" s="214"/>
      <c r="AG283" s="214"/>
      <c r="AH283" s="214"/>
      <c r="AI283" s="261"/>
      <c r="AJ283" s="214"/>
      <c r="AK283" s="261"/>
      <c r="AL283" s="261"/>
      <c r="AM283" s="264"/>
      <c r="AN283" s="214"/>
      <c r="AO283" s="271"/>
      <c r="AP283" s="271"/>
      <c r="AQ283" s="271"/>
      <c r="AR283" s="271"/>
      <c r="AS283" s="272"/>
      <c r="AT283" s="272"/>
      <c r="AU283" s="214"/>
      <c r="AV283" s="214"/>
    </row>
    <row r="284" ht="15.75" customHeight="1">
      <c r="A284" s="214"/>
      <c r="B284" s="261"/>
      <c r="C284" s="266"/>
      <c r="D284" s="267"/>
      <c r="E284" s="214"/>
      <c r="F284" s="214"/>
      <c r="G284" s="214"/>
      <c r="H284" s="214"/>
      <c r="I284" s="214"/>
      <c r="J284" s="214"/>
      <c r="K284" s="268"/>
      <c r="L284" s="214"/>
      <c r="M284" s="269"/>
      <c r="N284" s="214"/>
      <c r="O284" s="214"/>
      <c r="P284" s="214"/>
      <c r="Q284" s="214"/>
      <c r="R284" s="214"/>
      <c r="S284" s="214"/>
      <c r="T284" s="214"/>
      <c r="U284" s="214"/>
      <c r="V284" s="214"/>
      <c r="W284" s="214"/>
      <c r="X284" s="214"/>
      <c r="Y284" s="261"/>
      <c r="Z284" s="262"/>
      <c r="AA284" s="262"/>
      <c r="AB284" s="270"/>
      <c r="AC284" s="214"/>
      <c r="AD284" s="214"/>
      <c r="AE284" s="214"/>
      <c r="AF284" s="214"/>
      <c r="AG284" s="214"/>
      <c r="AH284" s="214"/>
      <c r="AI284" s="261"/>
      <c r="AJ284" s="214"/>
      <c r="AK284" s="261"/>
      <c r="AL284" s="261"/>
      <c r="AM284" s="264"/>
      <c r="AN284" s="214"/>
      <c r="AO284" s="271"/>
      <c r="AP284" s="271"/>
      <c r="AQ284" s="271"/>
      <c r="AR284" s="271"/>
      <c r="AS284" s="272"/>
      <c r="AT284" s="272"/>
      <c r="AU284" s="214"/>
      <c r="AV284" s="214"/>
    </row>
    <row r="285" ht="15.75" customHeight="1">
      <c r="A285" s="214"/>
      <c r="B285" s="261"/>
      <c r="C285" s="266"/>
      <c r="D285" s="267"/>
      <c r="E285" s="214"/>
      <c r="F285" s="214"/>
      <c r="G285" s="214"/>
      <c r="H285" s="214"/>
      <c r="I285" s="214"/>
      <c r="J285" s="214"/>
      <c r="K285" s="268"/>
      <c r="L285" s="214"/>
      <c r="M285" s="269"/>
      <c r="N285" s="214"/>
      <c r="O285" s="214"/>
      <c r="P285" s="214"/>
      <c r="Q285" s="214"/>
      <c r="R285" s="214"/>
      <c r="S285" s="214"/>
      <c r="T285" s="214"/>
      <c r="U285" s="214"/>
      <c r="V285" s="214"/>
      <c r="W285" s="214"/>
      <c r="X285" s="214"/>
      <c r="Y285" s="261"/>
      <c r="Z285" s="262"/>
      <c r="AA285" s="262"/>
      <c r="AB285" s="270"/>
      <c r="AC285" s="214"/>
      <c r="AD285" s="214"/>
      <c r="AE285" s="214"/>
      <c r="AF285" s="214"/>
      <c r="AG285" s="214"/>
      <c r="AH285" s="214"/>
      <c r="AI285" s="261"/>
      <c r="AJ285" s="214"/>
      <c r="AK285" s="261"/>
      <c r="AL285" s="261"/>
      <c r="AM285" s="264"/>
      <c r="AN285" s="214"/>
      <c r="AO285" s="271"/>
      <c r="AP285" s="271"/>
      <c r="AQ285" s="271"/>
      <c r="AR285" s="271"/>
      <c r="AS285" s="272"/>
      <c r="AT285" s="272"/>
      <c r="AU285" s="214"/>
      <c r="AV285" s="214"/>
    </row>
    <row r="286" ht="15.75" customHeight="1">
      <c r="A286" s="214"/>
      <c r="B286" s="261"/>
      <c r="C286" s="266"/>
      <c r="D286" s="267"/>
      <c r="E286" s="214"/>
      <c r="F286" s="214"/>
      <c r="G286" s="214"/>
      <c r="H286" s="214"/>
      <c r="I286" s="214"/>
      <c r="J286" s="214"/>
      <c r="K286" s="268"/>
      <c r="L286" s="214"/>
      <c r="M286" s="269"/>
      <c r="N286" s="214"/>
      <c r="O286" s="214"/>
      <c r="P286" s="214"/>
      <c r="Q286" s="214"/>
      <c r="R286" s="214"/>
      <c r="S286" s="214"/>
      <c r="T286" s="214"/>
      <c r="U286" s="214"/>
      <c r="V286" s="214"/>
      <c r="W286" s="214"/>
      <c r="X286" s="214"/>
      <c r="Y286" s="261"/>
      <c r="Z286" s="262"/>
      <c r="AA286" s="262"/>
      <c r="AB286" s="270"/>
      <c r="AC286" s="214"/>
      <c r="AD286" s="214"/>
      <c r="AE286" s="214"/>
      <c r="AF286" s="214"/>
      <c r="AG286" s="214"/>
      <c r="AH286" s="214"/>
      <c r="AI286" s="261"/>
      <c r="AJ286" s="214"/>
      <c r="AK286" s="261"/>
      <c r="AL286" s="261"/>
      <c r="AM286" s="264"/>
      <c r="AN286" s="214"/>
      <c r="AO286" s="271"/>
      <c r="AP286" s="271"/>
      <c r="AQ286" s="271"/>
      <c r="AR286" s="271"/>
      <c r="AS286" s="272"/>
      <c r="AT286" s="272"/>
      <c r="AU286" s="214"/>
      <c r="AV286" s="214"/>
    </row>
    <row r="287" ht="15.75" customHeight="1">
      <c r="A287" s="214"/>
      <c r="B287" s="261"/>
      <c r="C287" s="266"/>
      <c r="D287" s="267"/>
      <c r="E287" s="214"/>
      <c r="F287" s="214"/>
      <c r="G287" s="214"/>
      <c r="H287" s="214"/>
      <c r="I287" s="214"/>
      <c r="J287" s="214"/>
      <c r="K287" s="268"/>
      <c r="L287" s="214"/>
      <c r="M287" s="269"/>
      <c r="N287" s="214"/>
      <c r="O287" s="214"/>
      <c r="P287" s="214"/>
      <c r="Q287" s="214"/>
      <c r="R287" s="214"/>
      <c r="S287" s="214"/>
      <c r="T287" s="214"/>
      <c r="U287" s="214"/>
      <c r="V287" s="214"/>
      <c r="W287" s="214"/>
      <c r="X287" s="214"/>
      <c r="Y287" s="261"/>
      <c r="Z287" s="262"/>
      <c r="AA287" s="262"/>
      <c r="AB287" s="270"/>
      <c r="AC287" s="214"/>
      <c r="AD287" s="214"/>
      <c r="AE287" s="214"/>
      <c r="AF287" s="214"/>
      <c r="AG287" s="214"/>
      <c r="AH287" s="214"/>
      <c r="AI287" s="261"/>
      <c r="AJ287" s="214"/>
      <c r="AK287" s="261"/>
      <c r="AL287" s="261"/>
      <c r="AM287" s="264"/>
      <c r="AN287" s="214"/>
      <c r="AO287" s="271"/>
      <c r="AP287" s="271"/>
      <c r="AQ287" s="271"/>
      <c r="AR287" s="271"/>
      <c r="AS287" s="272"/>
      <c r="AT287" s="272"/>
      <c r="AU287" s="214"/>
      <c r="AV287" s="214"/>
    </row>
    <row r="288" ht="15.75" customHeight="1">
      <c r="A288" s="214"/>
      <c r="B288" s="261"/>
      <c r="C288" s="266"/>
      <c r="D288" s="267"/>
      <c r="E288" s="214"/>
      <c r="F288" s="214"/>
      <c r="G288" s="214"/>
      <c r="H288" s="214"/>
      <c r="I288" s="214"/>
      <c r="J288" s="214"/>
      <c r="K288" s="268"/>
      <c r="L288" s="214"/>
      <c r="M288" s="269"/>
      <c r="N288" s="214"/>
      <c r="O288" s="214"/>
      <c r="P288" s="214"/>
      <c r="Q288" s="214"/>
      <c r="R288" s="214"/>
      <c r="S288" s="214"/>
      <c r="T288" s="214"/>
      <c r="U288" s="214"/>
      <c r="V288" s="214"/>
      <c r="W288" s="214"/>
      <c r="X288" s="214"/>
      <c r="Y288" s="261"/>
      <c r="Z288" s="262"/>
      <c r="AA288" s="262"/>
      <c r="AB288" s="270"/>
      <c r="AC288" s="214"/>
      <c r="AD288" s="214"/>
      <c r="AE288" s="214"/>
      <c r="AF288" s="214"/>
      <c r="AG288" s="214"/>
      <c r="AH288" s="214"/>
      <c r="AI288" s="261"/>
      <c r="AJ288" s="214"/>
      <c r="AK288" s="261"/>
      <c r="AL288" s="261"/>
      <c r="AM288" s="264"/>
      <c r="AN288" s="214"/>
      <c r="AO288" s="271"/>
      <c r="AP288" s="271"/>
      <c r="AQ288" s="271"/>
      <c r="AR288" s="271"/>
      <c r="AS288" s="272"/>
      <c r="AT288" s="272"/>
      <c r="AU288" s="214"/>
      <c r="AV288" s="214"/>
    </row>
    <row r="289" ht="15.75" customHeight="1">
      <c r="A289" s="214"/>
      <c r="B289" s="261"/>
      <c r="C289" s="266"/>
      <c r="D289" s="267"/>
      <c r="E289" s="214"/>
      <c r="F289" s="214"/>
      <c r="G289" s="214"/>
      <c r="H289" s="214"/>
      <c r="I289" s="214"/>
      <c r="J289" s="214"/>
      <c r="K289" s="268"/>
      <c r="L289" s="214"/>
      <c r="M289" s="269"/>
      <c r="N289" s="214"/>
      <c r="O289" s="214"/>
      <c r="P289" s="214"/>
      <c r="Q289" s="214"/>
      <c r="R289" s="214"/>
      <c r="S289" s="214"/>
      <c r="T289" s="214"/>
      <c r="U289" s="214"/>
      <c r="V289" s="214"/>
      <c r="W289" s="214"/>
      <c r="X289" s="214"/>
      <c r="Y289" s="261"/>
      <c r="Z289" s="262"/>
      <c r="AA289" s="262"/>
      <c r="AB289" s="270"/>
      <c r="AC289" s="214"/>
      <c r="AD289" s="214"/>
      <c r="AE289" s="214"/>
      <c r="AF289" s="214"/>
      <c r="AG289" s="214"/>
      <c r="AH289" s="214"/>
      <c r="AI289" s="261"/>
      <c r="AJ289" s="214"/>
      <c r="AK289" s="261"/>
      <c r="AL289" s="261"/>
      <c r="AM289" s="264"/>
      <c r="AN289" s="214"/>
      <c r="AO289" s="271"/>
      <c r="AP289" s="271"/>
      <c r="AQ289" s="271"/>
      <c r="AR289" s="271"/>
      <c r="AS289" s="272"/>
      <c r="AT289" s="272"/>
      <c r="AU289" s="214"/>
      <c r="AV289" s="214"/>
    </row>
    <row r="290" ht="15.75" customHeight="1">
      <c r="A290" s="214"/>
      <c r="B290" s="261"/>
      <c r="C290" s="266"/>
      <c r="D290" s="267"/>
      <c r="E290" s="214"/>
      <c r="F290" s="214"/>
      <c r="G290" s="214"/>
      <c r="H290" s="214"/>
      <c r="I290" s="214"/>
      <c r="J290" s="214"/>
      <c r="K290" s="268"/>
      <c r="L290" s="214"/>
      <c r="M290" s="269"/>
      <c r="N290" s="214"/>
      <c r="O290" s="214"/>
      <c r="P290" s="214"/>
      <c r="Q290" s="214"/>
      <c r="R290" s="214"/>
      <c r="S290" s="214"/>
      <c r="T290" s="214"/>
      <c r="U290" s="214"/>
      <c r="V290" s="214"/>
      <c r="W290" s="214"/>
      <c r="X290" s="214"/>
      <c r="Y290" s="261"/>
      <c r="Z290" s="262"/>
      <c r="AA290" s="262"/>
      <c r="AB290" s="270"/>
      <c r="AC290" s="214"/>
      <c r="AD290" s="214"/>
      <c r="AE290" s="214"/>
      <c r="AF290" s="214"/>
      <c r="AG290" s="214"/>
      <c r="AH290" s="214"/>
      <c r="AI290" s="261"/>
      <c r="AJ290" s="214"/>
      <c r="AK290" s="261"/>
      <c r="AL290" s="261"/>
      <c r="AM290" s="264"/>
      <c r="AN290" s="214"/>
      <c r="AO290" s="271"/>
      <c r="AP290" s="271"/>
      <c r="AQ290" s="271"/>
      <c r="AR290" s="271"/>
      <c r="AS290" s="272"/>
      <c r="AT290" s="272"/>
      <c r="AU290" s="214"/>
      <c r="AV290" s="214"/>
    </row>
    <row r="291" ht="15.75" customHeight="1">
      <c r="A291" s="214"/>
      <c r="B291" s="261"/>
      <c r="C291" s="266"/>
      <c r="D291" s="267"/>
      <c r="E291" s="214"/>
      <c r="F291" s="214"/>
      <c r="G291" s="214"/>
      <c r="H291" s="214"/>
      <c r="I291" s="214"/>
      <c r="J291" s="214"/>
      <c r="K291" s="268"/>
      <c r="L291" s="214"/>
      <c r="M291" s="269"/>
      <c r="N291" s="214"/>
      <c r="O291" s="214"/>
      <c r="P291" s="214"/>
      <c r="Q291" s="214"/>
      <c r="R291" s="214"/>
      <c r="S291" s="214"/>
      <c r="T291" s="214"/>
      <c r="U291" s="214"/>
      <c r="V291" s="214"/>
      <c r="W291" s="214"/>
      <c r="X291" s="214"/>
      <c r="Y291" s="261"/>
      <c r="Z291" s="262"/>
      <c r="AA291" s="262"/>
      <c r="AB291" s="270"/>
      <c r="AC291" s="214"/>
      <c r="AD291" s="214"/>
      <c r="AE291" s="214"/>
      <c r="AF291" s="214"/>
      <c r="AG291" s="214"/>
      <c r="AH291" s="214"/>
      <c r="AI291" s="261"/>
      <c r="AJ291" s="214"/>
      <c r="AK291" s="261"/>
      <c r="AL291" s="261"/>
      <c r="AM291" s="264"/>
      <c r="AN291" s="214"/>
      <c r="AO291" s="271"/>
      <c r="AP291" s="271"/>
      <c r="AQ291" s="271"/>
      <c r="AR291" s="271"/>
      <c r="AS291" s="272"/>
      <c r="AT291" s="272"/>
      <c r="AU291" s="214"/>
      <c r="AV291" s="214"/>
    </row>
    <row r="292" ht="15.75" customHeight="1">
      <c r="A292" s="214"/>
      <c r="B292" s="261"/>
      <c r="C292" s="266"/>
      <c r="D292" s="267"/>
      <c r="E292" s="214"/>
      <c r="F292" s="214"/>
      <c r="G292" s="214"/>
      <c r="H292" s="214"/>
      <c r="I292" s="214"/>
      <c r="J292" s="214"/>
      <c r="K292" s="268"/>
      <c r="L292" s="214"/>
      <c r="M292" s="269"/>
      <c r="N292" s="214"/>
      <c r="O292" s="214"/>
      <c r="P292" s="214"/>
      <c r="Q292" s="214"/>
      <c r="R292" s="214"/>
      <c r="S292" s="214"/>
      <c r="T292" s="214"/>
      <c r="U292" s="214"/>
      <c r="V292" s="214"/>
      <c r="W292" s="214"/>
      <c r="X292" s="214"/>
      <c r="Y292" s="261"/>
      <c r="Z292" s="262"/>
      <c r="AA292" s="262"/>
      <c r="AB292" s="270"/>
      <c r="AC292" s="214"/>
      <c r="AD292" s="214"/>
      <c r="AE292" s="214"/>
      <c r="AF292" s="214"/>
      <c r="AG292" s="214"/>
      <c r="AH292" s="214"/>
      <c r="AI292" s="261"/>
      <c r="AJ292" s="214"/>
      <c r="AK292" s="261"/>
      <c r="AL292" s="261"/>
      <c r="AM292" s="264"/>
      <c r="AN292" s="214"/>
      <c r="AO292" s="271"/>
      <c r="AP292" s="271"/>
      <c r="AQ292" s="271"/>
      <c r="AR292" s="271"/>
      <c r="AS292" s="272"/>
      <c r="AT292" s="272"/>
      <c r="AU292" s="214"/>
      <c r="AV292" s="214"/>
    </row>
    <row r="293" ht="15.75" customHeight="1">
      <c r="A293" s="214"/>
      <c r="B293" s="261"/>
      <c r="C293" s="266"/>
      <c r="D293" s="267"/>
      <c r="E293" s="214"/>
      <c r="F293" s="214"/>
      <c r="G293" s="214"/>
      <c r="H293" s="214"/>
      <c r="I293" s="214"/>
      <c r="J293" s="214"/>
      <c r="K293" s="268"/>
      <c r="L293" s="214"/>
      <c r="M293" s="269"/>
      <c r="N293" s="214"/>
      <c r="O293" s="214"/>
      <c r="P293" s="214"/>
      <c r="Q293" s="214"/>
      <c r="R293" s="214"/>
      <c r="S293" s="214"/>
      <c r="T293" s="214"/>
      <c r="U293" s="214"/>
      <c r="V293" s="214"/>
      <c r="W293" s="214"/>
      <c r="X293" s="214"/>
      <c r="Y293" s="261"/>
      <c r="Z293" s="262"/>
      <c r="AA293" s="262"/>
      <c r="AB293" s="270"/>
      <c r="AC293" s="214"/>
      <c r="AD293" s="214"/>
      <c r="AE293" s="214"/>
      <c r="AF293" s="214"/>
      <c r="AG293" s="214"/>
      <c r="AH293" s="214"/>
      <c r="AI293" s="261"/>
      <c r="AJ293" s="214"/>
      <c r="AK293" s="261"/>
      <c r="AL293" s="261"/>
      <c r="AM293" s="264"/>
      <c r="AN293" s="214"/>
      <c r="AO293" s="271"/>
      <c r="AP293" s="271"/>
      <c r="AQ293" s="271"/>
      <c r="AR293" s="271"/>
      <c r="AS293" s="272"/>
      <c r="AT293" s="272"/>
      <c r="AU293" s="214"/>
      <c r="AV293" s="214"/>
    </row>
    <row r="294" ht="15.75" customHeight="1">
      <c r="A294" s="214"/>
      <c r="B294" s="261"/>
      <c r="C294" s="266"/>
      <c r="D294" s="267"/>
      <c r="E294" s="214"/>
      <c r="F294" s="214"/>
      <c r="G294" s="214"/>
      <c r="H294" s="214"/>
      <c r="I294" s="214"/>
      <c r="J294" s="214"/>
      <c r="K294" s="268"/>
      <c r="L294" s="214"/>
      <c r="M294" s="269"/>
      <c r="N294" s="214"/>
      <c r="O294" s="214"/>
      <c r="P294" s="214"/>
      <c r="Q294" s="214"/>
      <c r="R294" s="214"/>
      <c r="S294" s="214"/>
      <c r="T294" s="214"/>
      <c r="U294" s="214"/>
      <c r="V294" s="214"/>
      <c r="W294" s="214"/>
      <c r="X294" s="214"/>
      <c r="Y294" s="261"/>
      <c r="Z294" s="262"/>
      <c r="AA294" s="262"/>
      <c r="AB294" s="270"/>
      <c r="AC294" s="214"/>
      <c r="AD294" s="214"/>
      <c r="AE294" s="214"/>
      <c r="AF294" s="214"/>
      <c r="AG294" s="214"/>
      <c r="AH294" s="214"/>
      <c r="AI294" s="261"/>
      <c r="AJ294" s="214"/>
      <c r="AK294" s="261"/>
      <c r="AL294" s="261"/>
      <c r="AM294" s="264"/>
      <c r="AN294" s="214"/>
      <c r="AO294" s="271"/>
      <c r="AP294" s="271"/>
      <c r="AQ294" s="271"/>
      <c r="AR294" s="271"/>
      <c r="AS294" s="272"/>
      <c r="AT294" s="272"/>
      <c r="AU294" s="214"/>
      <c r="AV294" s="214"/>
    </row>
    <row r="295" ht="15.75" customHeight="1">
      <c r="A295" s="214"/>
      <c r="B295" s="261"/>
      <c r="C295" s="266"/>
      <c r="D295" s="267"/>
      <c r="E295" s="214"/>
      <c r="F295" s="214"/>
      <c r="G295" s="214"/>
      <c r="H295" s="214"/>
      <c r="I295" s="214"/>
      <c r="J295" s="214"/>
      <c r="K295" s="268"/>
      <c r="L295" s="214"/>
      <c r="M295" s="269"/>
      <c r="N295" s="214"/>
      <c r="O295" s="214"/>
      <c r="P295" s="214"/>
      <c r="Q295" s="214"/>
      <c r="R295" s="214"/>
      <c r="S295" s="214"/>
      <c r="T295" s="214"/>
      <c r="U295" s="214"/>
      <c r="V295" s="214"/>
      <c r="W295" s="214"/>
      <c r="X295" s="214"/>
      <c r="Y295" s="261"/>
      <c r="Z295" s="262"/>
      <c r="AA295" s="262"/>
      <c r="AB295" s="270"/>
      <c r="AC295" s="214"/>
      <c r="AD295" s="214"/>
      <c r="AE295" s="214"/>
      <c r="AF295" s="214"/>
      <c r="AG295" s="214"/>
      <c r="AH295" s="214"/>
      <c r="AI295" s="261"/>
      <c r="AJ295" s="214"/>
      <c r="AK295" s="261"/>
      <c r="AL295" s="261"/>
      <c r="AM295" s="264"/>
      <c r="AN295" s="214"/>
      <c r="AO295" s="271"/>
      <c r="AP295" s="271"/>
      <c r="AQ295" s="271"/>
      <c r="AR295" s="271"/>
      <c r="AS295" s="272"/>
      <c r="AT295" s="272"/>
      <c r="AU295" s="214"/>
      <c r="AV295" s="214"/>
    </row>
    <row r="296" ht="15.75" customHeight="1">
      <c r="A296" s="214"/>
      <c r="B296" s="261"/>
      <c r="C296" s="266"/>
      <c r="D296" s="267"/>
      <c r="E296" s="214"/>
      <c r="F296" s="214"/>
      <c r="G296" s="214"/>
      <c r="H296" s="214"/>
      <c r="I296" s="214"/>
      <c r="J296" s="214"/>
      <c r="K296" s="268"/>
      <c r="L296" s="214"/>
      <c r="M296" s="269"/>
      <c r="N296" s="214"/>
      <c r="O296" s="214"/>
      <c r="P296" s="214"/>
      <c r="Q296" s="214"/>
      <c r="R296" s="214"/>
      <c r="S296" s="214"/>
      <c r="T296" s="214"/>
      <c r="U296" s="214"/>
      <c r="V296" s="214"/>
      <c r="W296" s="214"/>
      <c r="X296" s="214"/>
      <c r="Y296" s="261"/>
      <c r="Z296" s="262"/>
      <c r="AA296" s="262"/>
      <c r="AB296" s="270"/>
      <c r="AC296" s="214"/>
      <c r="AD296" s="214"/>
      <c r="AE296" s="214"/>
      <c r="AF296" s="214"/>
      <c r="AG296" s="214"/>
      <c r="AH296" s="214"/>
      <c r="AI296" s="261"/>
      <c r="AJ296" s="214"/>
      <c r="AK296" s="261"/>
      <c r="AL296" s="261"/>
      <c r="AM296" s="264"/>
      <c r="AN296" s="214"/>
      <c r="AO296" s="271"/>
      <c r="AP296" s="271"/>
      <c r="AQ296" s="271"/>
      <c r="AR296" s="271"/>
      <c r="AS296" s="272"/>
      <c r="AT296" s="272"/>
      <c r="AU296" s="214"/>
      <c r="AV296" s="214"/>
    </row>
    <row r="297" ht="15.75" customHeight="1">
      <c r="A297" s="214"/>
      <c r="B297" s="261"/>
      <c r="C297" s="266"/>
      <c r="D297" s="267"/>
      <c r="E297" s="214"/>
      <c r="F297" s="214"/>
      <c r="G297" s="214"/>
      <c r="H297" s="214"/>
      <c r="I297" s="214"/>
      <c r="J297" s="214"/>
      <c r="K297" s="268"/>
      <c r="L297" s="214"/>
      <c r="M297" s="269"/>
      <c r="N297" s="214"/>
      <c r="O297" s="214"/>
      <c r="P297" s="214"/>
      <c r="Q297" s="214"/>
      <c r="R297" s="214"/>
      <c r="S297" s="214"/>
      <c r="T297" s="214"/>
      <c r="U297" s="214"/>
      <c r="V297" s="214"/>
      <c r="W297" s="214"/>
      <c r="X297" s="214"/>
      <c r="Y297" s="261"/>
      <c r="Z297" s="262"/>
      <c r="AA297" s="262"/>
      <c r="AB297" s="270"/>
      <c r="AC297" s="214"/>
      <c r="AD297" s="214"/>
      <c r="AE297" s="214"/>
      <c r="AF297" s="214"/>
      <c r="AG297" s="214"/>
      <c r="AH297" s="214"/>
      <c r="AI297" s="261"/>
      <c r="AJ297" s="214"/>
      <c r="AK297" s="261"/>
      <c r="AL297" s="261"/>
      <c r="AM297" s="264"/>
      <c r="AN297" s="214"/>
      <c r="AO297" s="271"/>
      <c r="AP297" s="271"/>
      <c r="AQ297" s="271"/>
      <c r="AR297" s="271"/>
      <c r="AS297" s="272"/>
      <c r="AT297" s="272"/>
      <c r="AU297" s="214"/>
      <c r="AV297" s="214"/>
    </row>
    <row r="298" ht="15.75" customHeight="1">
      <c r="A298" s="214"/>
      <c r="B298" s="261"/>
      <c r="C298" s="266"/>
      <c r="D298" s="267"/>
      <c r="E298" s="214"/>
      <c r="F298" s="214"/>
      <c r="G298" s="214"/>
      <c r="H298" s="214"/>
      <c r="I298" s="214"/>
      <c r="J298" s="214"/>
      <c r="K298" s="268"/>
      <c r="L298" s="214"/>
      <c r="M298" s="269"/>
      <c r="N298" s="214"/>
      <c r="O298" s="214"/>
      <c r="P298" s="214"/>
      <c r="Q298" s="214"/>
      <c r="R298" s="214"/>
      <c r="S298" s="214"/>
      <c r="T298" s="214"/>
      <c r="U298" s="214"/>
      <c r="V298" s="214"/>
      <c r="W298" s="214"/>
      <c r="X298" s="214"/>
      <c r="Y298" s="261"/>
      <c r="Z298" s="262"/>
      <c r="AA298" s="262"/>
      <c r="AB298" s="270"/>
      <c r="AC298" s="214"/>
      <c r="AD298" s="214"/>
      <c r="AE298" s="214"/>
      <c r="AF298" s="214"/>
      <c r="AG298" s="214"/>
      <c r="AH298" s="214"/>
      <c r="AI298" s="261"/>
      <c r="AJ298" s="214"/>
      <c r="AK298" s="261"/>
      <c r="AL298" s="261"/>
      <c r="AM298" s="264"/>
      <c r="AN298" s="214"/>
      <c r="AO298" s="271"/>
      <c r="AP298" s="271"/>
      <c r="AQ298" s="271"/>
      <c r="AR298" s="271"/>
      <c r="AS298" s="272"/>
      <c r="AT298" s="272"/>
      <c r="AU298" s="214"/>
      <c r="AV298" s="214"/>
    </row>
    <row r="299" ht="15.75" customHeight="1">
      <c r="A299" s="214"/>
      <c r="B299" s="261"/>
      <c r="C299" s="266"/>
      <c r="D299" s="267"/>
      <c r="E299" s="214"/>
      <c r="F299" s="214"/>
      <c r="G299" s="214"/>
      <c r="H299" s="214"/>
      <c r="I299" s="214"/>
      <c r="J299" s="214"/>
      <c r="K299" s="268"/>
      <c r="L299" s="214"/>
      <c r="M299" s="269"/>
      <c r="N299" s="214"/>
      <c r="O299" s="214"/>
      <c r="P299" s="214"/>
      <c r="Q299" s="214"/>
      <c r="R299" s="214"/>
      <c r="S299" s="214"/>
      <c r="T299" s="214"/>
      <c r="U299" s="214"/>
      <c r="V299" s="214"/>
      <c r="W299" s="214"/>
      <c r="X299" s="214"/>
      <c r="Y299" s="261"/>
      <c r="Z299" s="262"/>
      <c r="AA299" s="262"/>
      <c r="AB299" s="270"/>
      <c r="AC299" s="214"/>
      <c r="AD299" s="214"/>
      <c r="AE299" s="214"/>
      <c r="AF299" s="214"/>
      <c r="AG299" s="214"/>
      <c r="AH299" s="214"/>
      <c r="AI299" s="261"/>
      <c r="AJ299" s="214"/>
      <c r="AK299" s="261"/>
      <c r="AL299" s="261"/>
      <c r="AM299" s="264"/>
      <c r="AN299" s="214"/>
      <c r="AO299" s="271"/>
      <c r="AP299" s="271"/>
      <c r="AQ299" s="271"/>
      <c r="AR299" s="271"/>
      <c r="AS299" s="272"/>
      <c r="AT299" s="272"/>
      <c r="AU299" s="214"/>
      <c r="AV299" s="214"/>
    </row>
    <row r="300" ht="15.75" customHeight="1">
      <c r="A300" s="214"/>
      <c r="B300" s="261"/>
      <c r="C300" s="266"/>
      <c r="D300" s="267"/>
      <c r="E300" s="214"/>
      <c r="F300" s="214"/>
      <c r="G300" s="214"/>
      <c r="H300" s="214"/>
      <c r="I300" s="214"/>
      <c r="J300" s="214"/>
      <c r="K300" s="268"/>
      <c r="L300" s="214"/>
      <c r="M300" s="269"/>
      <c r="N300" s="214"/>
      <c r="O300" s="214"/>
      <c r="P300" s="214"/>
      <c r="Q300" s="214"/>
      <c r="R300" s="214"/>
      <c r="S300" s="214"/>
      <c r="T300" s="214"/>
      <c r="U300" s="214"/>
      <c r="V300" s="214"/>
      <c r="W300" s="214"/>
      <c r="X300" s="214"/>
      <c r="Y300" s="261"/>
      <c r="Z300" s="262"/>
      <c r="AA300" s="262"/>
      <c r="AB300" s="270"/>
      <c r="AC300" s="214"/>
      <c r="AD300" s="214"/>
      <c r="AE300" s="214"/>
      <c r="AF300" s="214"/>
      <c r="AG300" s="214"/>
      <c r="AH300" s="214"/>
      <c r="AI300" s="261"/>
      <c r="AJ300" s="214"/>
      <c r="AK300" s="261"/>
      <c r="AL300" s="261"/>
      <c r="AM300" s="264"/>
      <c r="AN300" s="214"/>
      <c r="AO300" s="271"/>
      <c r="AP300" s="271"/>
      <c r="AQ300" s="271"/>
      <c r="AR300" s="271"/>
      <c r="AS300" s="272"/>
      <c r="AT300" s="272"/>
      <c r="AU300" s="214"/>
      <c r="AV300" s="214"/>
    </row>
    <row r="301" ht="15.75" customHeight="1">
      <c r="A301" s="214"/>
      <c r="B301" s="261"/>
      <c r="C301" s="266"/>
      <c r="D301" s="267"/>
      <c r="E301" s="214"/>
      <c r="F301" s="214"/>
      <c r="G301" s="214"/>
      <c r="H301" s="214"/>
      <c r="I301" s="214"/>
      <c r="J301" s="214"/>
      <c r="K301" s="268"/>
      <c r="L301" s="214"/>
      <c r="M301" s="269"/>
      <c r="N301" s="214"/>
      <c r="O301" s="214"/>
      <c r="P301" s="214"/>
      <c r="Q301" s="214"/>
      <c r="R301" s="214"/>
      <c r="S301" s="214"/>
      <c r="T301" s="214"/>
      <c r="U301" s="214"/>
      <c r="V301" s="214"/>
      <c r="W301" s="214"/>
      <c r="X301" s="214"/>
      <c r="Y301" s="261"/>
      <c r="Z301" s="262"/>
      <c r="AA301" s="262"/>
      <c r="AB301" s="270"/>
      <c r="AC301" s="214"/>
      <c r="AD301" s="214"/>
      <c r="AE301" s="214"/>
      <c r="AF301" s="214"/>
      <c r="AG301" s="214"/>
      <c r="AH301" s="214"/>
      <c r="AI301" s="261"/>
      <c r="AJ301" s="214"/>
      <c r="AK301" s="261"/>
      <c r="AL301" s="261"/>
      <c r="AM301" s="264"/>
      <c r="AN301" s="214"/>
      <c r="AO301" s="271"/>
      <c r="AP301" s="271"/>
      <c r="AQ301" s="271"/>
      <c r="AR301" s="271"/>
      <c r="AS301" s="272"/>
      <c r="AT301" s="272"/>
      <c r="AU301" s="214"/>
      <c r="AV301" s="214"/>
    </row>
    <row r="302" ht="15.75" customHeight="1">
      <c r="A302" s="214"/>
      <c r="B302" s="261"/>
      <c r="C302" s="266"/>
      <c r="D302" s="267"/>
      <c r="E302" s="214"/>
      <c r="F302" s="214"/>
      <c r="G302" s="214"/>
      <c r="H302" s="214"/>
      <c r="I302" s="214"/>
      <c r="J302" s="214"/>
      <c r="K302" s="268"/>
      <c r="L302" s="214"/>
      <c r="M302" s="269"/>
      <c r="N302" s="214"/>
      <c r="O302" s="214"/>
      <c r="P302" s="214"/>
      <c r="Q302" s="214"/>
      <c r="R302" s="214"/>
      <c r="S302" s="214"/>
      <c r="T302" s="214"/>
      <c r="U302" s="214"/>
      <c r="V302" s="214"/>
      <c r="W302" s="214"/>
      <c r="X302" s="214"/>
      <c r="Y302" s="261"/>
      <c r="Z302" s="262"/>
      <c r="AA302" s="262"/>
      <c r="AB302" s="270"/>
      <c r="AC302" s="214"/>
      <c r="AD302" s="214"/>
      <c r="AE302" s="214"/>
      <c r="AF302" s="214"/>
      <c r="AG302" s="214"/>
      <c r="AH302" s="214"/>
      <c r="AI302" s="261"/>
      <c r="AJ302" s="214"/>
      <c r="AK302" s="261"/>
      <c r="AL302" s="261"/>
      <c r="AM302" s="264"/>
      <c r="AN302" s="214"/>
      <c r="AO302" s="271"/>
      <c r="AP302" s="271"/>
      <c r="AQ302" s="271"/>
      <c r="AR302" s="271"/>
      <c r="AS302" s="272"/>
      <c r="AT302" s="272"/>
      <c r="AU302" s="214"/>
      <c r="AV302" s="214"/>
    </row>
    <row r="303" ht="15.75" customHeight="1">
      <c r="A303" s="214"/>
      <c r="B303" s="261"/>
      <c r="C303" s="266"/>
      <c r="D303" s="267"/>
      <c r="E303" s="214"/>
      <c r="F303" s="214"/>
      <c r="G303" s="214"/>
      <c r="H303" s="214"/>
      <c r="I303" s="214"/>
      <c r="J303" s="214"/>
      <c r="K303" s="268"/>
      <c r="L303" s="214"/>
      <c r="M303" s="269"/>
      <c r="N303" s="214"/>
      <c r="O303" s="214"/>
      <c r="P303" s="214"/>
      <c r="Q303" s="214"/>
      <c r="R303" s="214"/>
      <c r="S303" s="214"/>
      <c r="T303" s="214"/>
      <c r="U303" s="214"/>
      <c r="V303" s="214"/>
      <c r="W303" s="214"/>
      <c r="X303" s="214"/>
      <c r="Y303" s="261"/>
      <c r="Z303" s="262"/>
      <c r="AA303" s="262"/>
      <c r="AB303" s="270"/>
      <c r="AC303" s="214"/>
      <c r="AD303" s="214"/>
      <c r="AE303" s="214"/>
      <c r="AF303" s="214"/>
      <c r="AG303" s="214"/>
      <c r="AH303" s="214"/>
      <c r="AI303" s="261"/>
      <c r="AJ303" s="214"/>
      <c r="AK303" s="261"/>
      <c r="AL303" s="261"/>
      <c r="AM303" s="264"/>
      <c r="AN303" s="214"/>
      <c r="AO303" s="271"/>
      <c r="AP303" s="271"/>
      <c r="AQ303" s="271"/>
      <c r="AR303" s="271"/>
      <c r="AS303" s="272"/>
      <c r="AT303" s="272"/>
      <c r="AU303" s="214"/>
      <c r="AV303" s="214"/>
    </row>
    <row r="304" ht="15.75" customHeight="1">
      <c r="A304" s="214"/>
      <c r="B304" s="261"/>
      <c r="C304" s="266"/>
      <c r="D304" s="267"/>
      <c r="E304" s="214"/>
      <c r="F304" s="214"/>
      <c r="G304" s="214"/>
      <c r="H304" s="214"/>
      <c r="I304" s="214"/>
      <c r="J304" s="214"/>
      <c r="K304" s="268"/>
      <c r="L304" s="214"/>
      <c r="M304" s="269"/>
      <c r="N304" s="214"/>
      <c r="O304" s="214"/>
      <c r="P304" s="214"/>
      <c r="Q304" s="214"/>
      <c r="R304" s="214"/>
      <c r="S304" s="214"/>
      <c r="T304" s="214"/>
      <c r="U304" s="214"/>
      <c r="V304" s="214"/>
      <c r="W304" s="214"/>
      <c r="X304" s="214"/>
      <c r="Y304" s="261"/>
      <c r="Z304" s="262"/>
      <c r="AA304" s="262"/>
      <c r="AB304" s="270"/>
      <c r="AC304" s="214"/>
      <c r="AD304" s="214"/>
      <c r="AE304" s="214"/>
      <c r="AF304" s="214"/>
      <c r="AG304" s="214"/>
      <c r="AH304" s="214"/>
      <c r="AI304" s="261"/>
      <c r="AJ304" s="214"/>
      <c r="AK304" s="261"/>
      <c r="AL304" s="261"/>
      <c r="AM304" s="264"/>
      <c r="AN304" s="214"/>
      <c r="AO304" s="271"/>
      <c r="AP304" s="271"/>
      <c r="AQ304" s="271"/>
      <c r="AR304" s="271"/>
      <c r="AS304" s="272"/>
      <c r="AT304" s="272"/>
      <c r="AU304" s="214"/>
      <c r="AV304" s="214"/>
    </row>
    <row r="305" ht="15.75" customHeight="1">
      <c r="A305" s="214"/>
      <c r="B305" s="261"/>
      <c r="C305" s="266"/>
      <c r="D305" s="267"/>
      <c r="E305" s="214"/>
      <c r="F305" s="214"/>
      <c r="G305" s="214"/>
      <c r="H305" s="214"/>
      <c r="I305" s="214"/>
      <c r="J305" s="214"/>
      <c r="K305" s="268"/>
      <c r="L305" s="214"/>
      <c r="M305" s="269"/>
      <c r="N305" s="214"/>
      <c r="O305" s="214"/>
      <c r="P305" s="214"/>
      <c r="Q305" s="214"/>
      <c r="R305" s="214"/>
      <c r="S305" s="214"/>
      <c r="T305" s="214"/>
      <c r="U305" s="214"/>
      <c r="V305" s="214"/>
      <c r="W305" s="214"/>
      <c r="X305" s="214"/>
      <c r="Y305" s="261"/>
      <c r="Z305" s="262"/>
      <c r="AA305" s="262"/>
      <c r="AB305" s="270"/>
      <c r="AC305" s="214"/>
      <c r="AD305" s="214"/>
      <c r="AE305" s="214"/>
      <c r="AF305" s="214"/>
      <c r="AG305" s="214"/>
      <c r="AH305" s="214"/>
      <c r="AI305" s="261"/>
      <c r="AJ305" s="214"/>
      <c r="AK305" s="261"/>
      <c r="AL305" s="261"/>
      <c r="AM305" s="264"/>
      <c r="AN305" s="214"/>
      <c r="AO305" s="271"/>
      <c r="AP305" s="271"/>
      <c r="AQ305" s="271"/>
      <c r="AR305" s="271"/>
      <c r="AS305" s="272"/>
      <c r="AT305" s="272"/>
      <c r="AU305" s="214"/>
      <c r="AV305" s="214"/>
    </row>
    <row r="306" ht="15.75" customHeight="1">
      <c r="A306" s="214"/>
      <c r="B306" s="261"/>
      <c r="C306" s="266"/>
      <c r="D306" s="267"/>
      <c r="E306" s="214"/>
      <c r="F306" s="214"/>
      <c r="G306" s="214"/>
      <c r="H306" s="214"/>
      <c r="I306" s="214"/>
      <c r="J306" s="214"/>
      <c r="K306" s="268"/>
      <c r="L306" s="214"/>
      <c r="M306" s="269"/>
      <c r="N306" s="214"/>
      <c r="O306" s="214"/>
      <c r="P306" s="214"/>
      <c r="Q306" s="214"/>
      <c r="R306" s="214"/>
      <c r="S306" s="214"/>
      <c r="T306" s="214"/>
      <c r="U306" s="214"/>
      <c r="V306" s="214"/>
      <c r="W306" s="214"/>
      <c r="X306" s="214"/>
      <c r="Y306" s="261"/>
      <c r="Z306" s="262"/>
      <c r="AA306" s="262"/>
      <c r="AB306" s="270"/>
      <c r="AC306" s="214"/>
      <c r="AD306" s="214"/>
      <c r="AE306" s="214"/>
      <c r="AF306" s="214"/>
      <c r="AG306" s="214"/>
      <c r="AH306" s="214"/>
      <c r="AI306" s="261"/>
      <c r="AJ306" s="214"/>
      <c r="AK306" s="261"/>
      <c r="AL306" s="261"/>
      <c r="AM306" s="264"/>
      <c r="AN306" s="214"/>
      <c r="AO306" s="271"/>
      <c r="AP306" s="271"/>
      <c r="AQ306" s="271"/>
      <c r="AR306" s="271"/>
      <c r="AS306" s="272"/>
      <c r="AT306" s="272"/>
      <c r="AU306" s="214"/>
      <c r="AV306" s="214"/>
    </row>
    <row r="307" ht="15.75" customHeight="1">
      <c r="A307" s="214"/>
      <c r="B307" s="261"/>
      <c r="C307" s="266"/>
      <c r="D307" s="267"/>
      <c r="E307" s="214"/>
      <c r="F307" s="214"/>
      <c r="G307" s="214"/>
      <c r="H307" s="214"/>
      <c r="I307" s="214"/>
      <c r="J307" s="214"/>
      <c r="K307" s="268"/>
      <c r="L307" s="214"/>
      <c r="M307" s="269"/>
      <c r="N307" s="214"/>
      <c r="O307" s="214"/>
      <c r="P307" s="214"/>
      <c r="Q307" s="214"/>
      <c r="R307" s="214"/>
      <c r="S307" s="214"/>
      <c r="T307" s="214"/>
      <c r="U307" s="214"/>
      <c r="V307" s="214"/>
      <c r="W307" s="214"/>
      <c r="X307" s="214"/>
      <c r="Y307" s="261"/>
      <c r="Z307" s="262"/>
      <c r="AA307" s="262"/>
      <c r="AB307" s="270"/>
      <c r="AC307" s="214"/>
      <c r="AD307" s="214"/>
      <c r="AE307" s="214"/>
      <c r="AF307" s="214"/>
      <c r="AG307" s="214"/>
      <c r="AH307" s="214"/>
      <c r="AI307" s="261"/>
      <c r="AJ307" s="214"/>
      <c r="AK307" s="261"/>
      <c r="AL307" s="261"/>
      <c r="AM307" s="264"/>
      <c r="AN307" s="214"/>
      <c r="AO307" s="271"/>
      <c r="AP307" s="271"/>
      <c r="AQ307" s="271"/>
      <c r="AR307" s="271"/>
      <c r="AS307" s="272"/>
      <c r="AT307" s="272"/>
      <c r="AU307" s="214"/>
      <c r="AV307" s="214"/>
    </row>
    <row r="308" ht="15.75" customHeight="1">
      <c r="A308" s="214"/>
      <c r="B308" s="261"/>
      <c r="C308" s="266"/>
      <c r="D308" s="267"/>
      <c r="E308" s="214"/>
      <c r="F308" s="214"/>
      <c r="G308" s="214"/>
      <c r="H308" s="214"/>
      <c r="I308" s="214"/>
      <c r="J308" s="214"/>
      <c r="K308" s="268"/>
      <c r="L308" s="214"/>
      <c r="M308" s="269"/>
      <c r="N308" s="214"/>
      <c r="O308" s="214"/>
      <c r="P308" s="214"/>
      <c r="Q308" s="214"/>
      <c r="R308" s="214"/>
      <c r="S308" s="214"/>
      <c r="T308" s="214"/>
      <c r="U308" s="214"/>
      <c r="V308" s="214"/>
      <c r="W308" s="214"/>
      <c r="X308" s="214"/>
      <c r="Y308" s="261"/>
      <c r="Z308" s="262"/>
      <c r="AA308" s="262"/>
      <c r="AB308" s="270"/>
      <c r="AC308" s="214"/>
      <c r="AD308" s="214"/>
      <c r="AE308" s="214"/>
      <c r="AF308" s="214"/>
      <c r="AG308" s="214"/>
      <c r="AH308" s="214"/>
      <c r="AI308" s="261"/>
      <c r="AJ308" s="214"/>
      <c r="AK308" s="261"/>
      <c r="AL308" s="261"/>
      <c r="AM308" s="264"/>
      <c r="AN308" s="214"/>
      <c r="AO308" s="271"/>
      <c r="AP308" s="271"/>
      <c r="AQ308" s="271"/>
      <c r="AR308" s="271"/>
      <c r="AS308" s="272"/>
      <c r="AT308" s="272"/>
      <c r="AU308" s="214"/>
      <c r="AV308" s="214"/>
    </row>
    <row r="309" ht="15.75" customHeight="1">
      <c r="A309" s="214"/>
      <c r="B309" s="261"/>
      <c r="C309" s="266"/>
      <c r="D309" s="267"/>
      <c r="E309" s="214"/>
      <c r="F309" s="214"/>
      <c r="G309" s="214"/>
      <c r="H309" s="214"/>
      <c r="I309" s="214"/>
      <c r="J309" s="214"/>
      <c r="K309" s="268"/>
      <c r="L309" s="214"/>
      <c r="M309" s="269"/>
      <c r="N309" s="214"/>
      <c r="O309" s="214"/>
      <c r="P309" s="214"/>
      <c r="Q309" s="214"/>
      <c r="R309" s="214"/>
      <c r="S309" s="214"/>
      <c r="T309" s="214"/>
      <c r="U309" s="214"/>
      <c r="V309" s="214"/>
      <c r="W309" s="214"/>
      <c r="X309" s="214"/>
      <c r="Y309" s="261"/>
      <c r="Z309" s="262"/>
      <c r="AA309" s="262"/>
      <c r="AB309" s="270"/>
      <c r="AC309" s="214"/>
      <c r="AD309" s="214"/>
      <c r="AE309" s="214"/>
      <c r="AF309" s="214"/>
      <c r="AG309" s="214"/>
      <c r="AH309" s="214"/>
      <c r="AI309" s="261"/>
      <c r="AJ309" s="214"/>
      <c r="AK309" s="261"/>
      <c r="AL309" s="261"/>
      <c r="AM309" s="264"/>
      <c r="AN309" s="214"/>
      <c r="AO309" s="271"/>
      <c r="AP309" s="271"/>
      <c r="AQ309" s="271"/>
      <c r="AR309" s="271"/>
      <c r="AS309" s="272"/>
      <c r="AT309" s="272"/>
      <c r="AU309" s="214"/>
      <c r="AV309" s="214"/>
    </row>
    <row r="310" ht="15.75" customHeight="1">
      <c r="A310" s="214"/>
      <c r="B310" s="261"/>
      <c r="C310" s="266"/>
      <c r="D310" s="267"/>
      <c r="E310" s="214"/>
      <c r="F310" s="214"/>
      <c r="G310" s="214"/>
      <c r="H310" s="214"/>
      <c r="I310" s="214"/>
      <c r="J310" s="214"/>
      <c r="K310" s="268"/>
      <c r="L310" s="214"/>
      <c r="M310" s="269"/>
      <c r="N310" s="214"/>
      <c r="O310" s="214"/>
      <c r="P310" s="214"/>
      <c r="Q310" s="214"/>
      <c r="R310" s="214"/>
      <c r="S310" s="214"/>
      <c r="T310" s="214"/>
      <c r="U310" s="214"/>
      <c r="V310" s="214"/>
      <c r="W310" s="214"/>
      <c r="X310" s="214"/>
      <c r="Y310" s="261"/>
      <c r="Z310" s="262"/>
      <c r="AA310" s="262"/>
      <c r="AB310" s="270"/>
      <c r="AC310" s="214"/>
      <c r="AD310" s="214"/>
      <c r="AE310" s="214"/>
      <c r="AF310" s="214"/>
      <c r="AG310" s="214"/>
      <c r="AH310" s="214"/>
      <c r="AI310" s="261"/>
      <c r="AJ310" s="214"/>
      <c r="AK310" s="261"/>
      <c r="AL310" s="261"/>
      <c r="AM310" s="264"/>
      <c r="AN310" s="214"/>
      <c r="AO310" s="271"/>
      <c r="AP310" s="271"/>
      <c r="AQ310" s="271"/>
      <c r="AR310" s="271"/>
      <c r="AS310" s="272"/>
      <c r="AT310" s="272"/>
      <c r="AU310" s="214"/>
      <c r="AV310" s="214"/>
    </row>
    <row r="311" ht="15.75" customHeight="1">
      <c r="A311" s="214"/>
      <c r="B311" s="261"/>
      <c r="C311" s="266"/>
      <c r="D311" s="267"/>
      <c r="E311" s="214"/>
      <c r="F311" s="214"/>
      <c r="G311" s="214"/>
      <c r="H311" s="214"/>
      <c r="I311" s="214"/>
      <c r="J311" s="214"/>
      <c r="K311" s="268"/>
      <c r="L311" s="214"/>
      <c r="M311" s="269"/>
      <c r="N311" s="214"/>
      <c r="O311" s="214"/>
      <c r="P311" s="214"/>
      <c r="Q311" s="214"/>
      <c r="R311" s="214"/>
      <c r="S311" s="214"/>
      <c r="T311" s="214"/>
      <c r="U311" s="214"/>
      <c r="V311" s="214"/>
      <c r="W311" s="214"/>
      <c r="X311" s="214"/>
      <c r="Y311" s="261"/>
      <c r="Z311" s="262"/>
      <c r="AA311" s="262"/>
      <c r="AB311" s="270"/>
      <c r="AC311" s="214"/>
      <c r="AD311" s="214"/>
      <c r="AE311" s="214"/>
      <c r="AF311" s="214"/>
      <c r="AG311" s="214"/>
      <c r="AH311" s="214"/>
      <c r="AI311" s="261"/>
      <c r="AJ311" s="214"/>
      <c r="AK311" s="261"/>
      <c r="AL311" s="261"/>
      <c r="AM311" s="264"/>
      <c r="AN311" s="214"/>
      <c r="AO311" s="271"/>
      <c r="AP311" s="271"/>
      <c r="AQ311" s="271"/>
      <c r="AR311" s="271"/>
      <c r="AS311" s="272"/>
      <c r="AT311" s="272"/>
      <c r="AU311" s="214"/>
      <c r="AV311" s="214"/>
    </row>
    <row r="312" ht="15.75" customHeight="1">
      <c r="A312" s="214"/>
      <c r="B312" s="261"/>
      <c r="C312" s="266"/>
      <c r="D312" s="267"/>
      <c r="E312" s="214"/>
      <c r="F312" s="214"/>
      <c r="G312" s="214"/>
      <c r="H312" s="214"/>
      <c r="I312" s="214"/>
      <c r="J312" s="214"/>
      <c r="K312" s="268"/>
      <c r="L312" s="214"/>
      <c r="M312" s="269"/>
      <c r="N312" s="214"/>
      <c r="O312" s="214"/>
      <c r="P312" s="214"/>
      <c r="Q312" s="214"/>
      <c r="R312" s="214"/>
      <c r="S312" s="214"/>
      <c r="T312" s="214"/>
      <c r="U312" s="214"/>
      <c r="V312" s="214"/>
      <c r="W312" s="214"/>
      <c r="X312" s="214"/>
      <c r="Y312" s="261"/>
      <c r="Z312" s="262"/>
      <c r="AA312" s="262"/>
      <c r="AB312" s="270"/>
      <c r="AC312" s="214"/>
      <c r="AD312" s="214"/>
      <c r="AE312" s="214"/>
      <c r="AF312" s="214"/>
      <c r="AG312" s="214"/>
      <c r="AH312" s="214"/>
      <c r="AI312" s="261"/>
      <c r="AJ312" s="214"/>
      <c r="AK312" s="261"/>
      <c r="AL312" s="261"/>
      <c r="AM312" s="264"/>
      <c r="AN312" s="214"/>
      <c r="AO312" s="271"/>
      <c r="AP312" s="271"/>
      <c r="AQ312" s="271"/>
      <c r="AR312" s="271"/>
      <c r="AS312" s="272"/>
      <c r="AT312" s="272"/>
      <c r="AU312" s="214"/>
      <c r="AV312" s="214"/>
    </row>
    <row r="313" ht="15.75" customHeight="1">
      <c r="A313" s="214"/>
      <c r="B313" s="261"/>
      <c r="C313" s="266"/>
      <c r="D313" s="267"/>
      <c r="E313" s="214"/>
      <c r="F313" s="214"/>
      <c r="G313" s="214"/>
      <c r="H313" s="214"/>
      <c r="I313" s="214"/>
      <c r="J313" s="214"/>
      <c r="K313" s="268"/>
      <c r="L313" s="214"/>
      <c r="M313" s="269"/>
      <c r="N313" s="214"/>
      <c r="O313" s="214"/>
      <c r="P313" s="214"/>
      <c r="Q313" s="214"/>
      <c r="R313" s="214"/>
      <c r="S313" s="214"/>
      <c r="T313" s="214"/>
      <c r="U313" s="214"/>
      <c r="V313" s="214"/>
      <c r="W313" s="214"/>
      <c r="X313" s="214"/>
      <c r="Y313" s="261"/>
      <c r="Z313" s="262"/>
      <c r="AA313" s="262"/>
      <c r="AB313" s="270"/>
      <c r="AC313" s="214"/>
      <c r="AD313" s="214"/>
      <c r="AE313" s="214"/>
      <c r="AF313" s="214"/>
      <c r="AG313" s="214"/>
      <c r="AH313" s="214"/>
      <c r="AI313" s="261"/>
      <c r="AJ313" s="214"/>
      <c r="AK313" s="261"/>
      <c r="AL313" s="261"/>
      <c r="AM313" s="264"/>
      <c r="AN313" s="214"/>
      <c r="AO313" s="271"/>
      <c r="AP313" s="271"/>
      <c r="AQ313" s="271"/>
      <c r="AR313" s="271"/>
      <c r="AS313" s="272"/>
      <c r="AT313" s="272"/>
      <c r="AU313" s="214"/>
      <c r="AV313" s="214"/>
    </row>
    <row r="314" ht="15.75" customHeight="1">
      <c r="A314" s="214"/>
      <c r="B314" s="261"/>
      <c r="C314" s="266"/>
      <c r="D314" s="267"/>
      <c r="E314" s="214"/>
      <c r="F314" s="214"/>
      <c r="G314" s="214"/>
      <c r="H314" s="214"/>
      <c r="I314" s="214"/>
      <c r="J314" s="214"/>
      <c r="K314" s="268"/>
      <c r="L314" s="214"/>
      <c r="M314" s="269"/>
      <c r="N314" s="214"/>
      <c r="O314" s="214"/>
      <c r="P314" s="214"/>
      <c r="Q314" s="214"/>
      <c r="R314" s="214"/>
      <c r="S314" s="214"/>
      <c r="T314" s="214"/>
      <c r="U314" s="214"/>
      <c r="V314" s="214"/>
      <c r="W314" s="214"/>
      <c r="X314" s="214"/>
      <c r="Y314" s="261"/>
      <c r="Z314" s="262"/>
      <c r="AA314" s="262"/>
      <c r="AB314" s="270"/>
      <c r="AC314" s="214"/>
      <c r="AD314" s="214"/>
      <c r="AE314" s="214"/>
      <c r="AF314" s="214"/>
      <c r="AG314" s="214"/>
      <c r="AH314" s="214"/>
      <c r="AI314" s="261"/>
      <c r="AJ314" s="214"/>
      <c r="AK314" s="261"/>
      <c r="AL314" s="261"/>
      <c r="AM314" s="264"/>
      <c r="AN314" s="214"/>
      <c r="AO314" s="271"/>
      <c r="AP314" s="271"/>
      <c r="AQ314" s="271"/>
      <c r="AR314" s="271"/>
      <c r="AS314" s="272"/>
      <c r="AT314" s="272"/>
      <c r="AU314" s="214"/>
      <c r="AV314" s="214"/>
    </row>
    <row r="315" ht="15.75" customHeight="1">
      <c r="A315" s="214"/>
      <c r="B315" s="261"/>
      <c r="C315" s="266"/>
      <c r="D315" s="267"/>
      <c r="E315" s="214"/>
      <c r="F315" s="214"/>
      <c r="G315" s="214"/>
      <c r="H315" s="214"/>
      <c r="I315" s="214"/>
      <c r="J315" s="214"/>
      <c r="K315" s="268"/>
      <c r="L315" s="214"/>
      <c r="M315" s="269"/>
      <c r="N315" s="214"/>
      <c r="O315" s="214"/>
      <c r="P315" s="214"/>
      <c r="Q315" s="214"/>
      <c r="R315" s="214"/>
      <c r="S315" s="214"/>
      <c r="T315" s="214"/>
      <c r="U315" s="214"/>
      <c r="V315" s="214"/>
      <c r="W315" s="214"/>
      <c r="X315" s="214"/>
      <c r="Y315" s="261"/>
      <c r="Z315" s="262"/>
      <c r="AA315" s="262"/>
      <c r="AB315" s="270"/>
      <c r="AC315" s="214"/>
      <c r="AD315" s="214"/>
      <c r="AE315" s="214"/>
      <c r="AF315" s="214"/>
      <c r="AG315" s="214"/>
      <c r="AH315" s="214"/>
      <c r="AI315" s="261"/>
      <c r="AJ315" s="214"/>
      <c r="AK315" s="261"/>
      <c r="AL315" s="261"/>
      <c r="AM315" s="264"/>
      <c r="AN315" s="214"/>
      <c r="AO315" s="271"/>
      <c r="AP315" s="271"/>
      <c r="AQ315" s="271"/>
      <c r="AR315" s="271"/>
      <c r="AS315" s="272"/>
      <c r="AT315" s="272"/>
      <c r="AU315" s="214"/>
      <c r="AV315" s="214"/>
    </row>
    <row r="316" ht="15.75" customHeight="1">
      <c r="A316" s="214"/>
      <c r="B316" s="261"/>
      <c r="C316" s="266"/>
      <c r="D316" s="267"/>
      <c r="E316" s="214"/>
      <c r="F316" s="214"/>
      <c r="G316" s="214"/>
      <c r="H316" s="214"/>
      <c r="I316" s="214"/>
      <c r="J316" s="214"/>
      <c r="K316" s="268"/>
      <c r="L316" s="214"/>
      <c r="M316" s="269"/>
      <c r="N316" s="214"/>
      <c r="O316" s="214"/>
      <c r="P316" s="214"/>
      <c r="Q316" s="214"/>
      <c r="R316" s="214"/>
      <c r="S316" s="214"/>
      <c r="T316" s="214"/>
      <c r="U316" s="214"/>
      <c r="V316" s="214"/>
      <c r="W316" s="214"/>
      <c r="X316" s="214"/>
      <c r="Y316" s="261"/>
      <c r="Z316" s="262"/>
      <c r="AA316" s="262"/>
      <c r="AB316" s="270"/>
      <c r="AC316" s="214"/>
      <c r="AD316" s="214"/>
      <c r="AE316" s="214"/>
      <c r="AF316" s="214"/>
      <c r="AG316" s="214"/>
      <c r="AH316" s="214"/>
      <c r="AI316" s="261"/>
      <c r="AJ316" s="214"/>
      <c r="AK316" s="261"/>
      <c r="AL316" s="261"/>
      <c r="AM316" s="264"/>
      <c r="AN316" s="214"/>
      <c r="AO316" s="271"/>
      <c r="AP316" s="271"/>
      <c r="AQ316" s="271"/>
      <c r="AR316" s="271"/>
      <c r="AS316" s="272"/>
      <c r="AT316" s="272"/>
      <c r="AU316" s="214"/>
      <c r="AV316" s="214"/>
    </row>
    <row r="317" ht="15.75" customHeight="1">
      <c r="A317" s="214"/>
      <c r="B317" s="261"/>
      <c r="C317" s="266"/>
      <c r="D317" s="267"/>
      <c r="E317" s="214"/>
      <c r="F317" s="214"/>
      <c r="G317" s="214"/>
      <c r="H317" s="214"/>
      <c r="I317" s="214"/>
      <c r="J317" s="214"/>
      <c r="K317" s="268"/>
      <c r="L317" s="214"/>
      <c r="M317" s="269"/>
      <c r="N317" s="214"/>
      <c r="O317" s="214"/>
      <c r="P317" s="214"/>
      <c r="Q317" s="214"/>
      <c r="R317" s="214"/>
      <c r="S317" s="214"/>
      <c r="T317" s="214"/>
      <c r="U317" s="214"/>
      <c r="V317" s="214"/>
      <c r="W317" s="214"/>
      <c r="X317" s="214"/>
      <c r="Y317" s="261"/>
      <c r="Z317" s="262"/>
      <c r="AA317" s="262"/>
      <c r="AB317" s="270"/>
      <c r="AC317" s="214"/>
      <c r="AD317" s="214"/>
      <c r="AE317" s="214"/>
      <c r="AF317" s="214"/>
      <c r="AG317" s="214"/>
      <c r="AH317" s="214"/>
      <c r="AI317" s="261"/>
      <c r="AJ317" s="214"/>
      <c r="AK317" s="261"/>
      <c r="AL317" s="261"/>
      <c r="AM317" s="264"/>
      <c r="AN317" s="214"/>
      <c r="AO317" s="271"/>
      <c r="AP317" s="271"/>
      <c r="AQ317" s="271"/>
      <c r="AR317" s="271"/>
      <c r="AS317" s="272"/>
      <c r="AT317" s="272"/>
      <c r="AU317" s="214"/>
      <c r="AV317" s="214"/>
    </row>
    <row r="318" ht="15.75" customHeight="1">
      <c r="A318" s="214"/>
      <c r="B318" s="261"/>
      <c r="C318" s="266"/>
      <c r="D318" s="267"/>
      <c r="E318" s="214"/>
      <c r="F318" s="214"/>
      <c r="G318" s="214"/>
      <c r="H318" s="214"/>
      <c r="I318" s="214"/>
      <c r="J318" s="214"/>
      <c r="K318" s="268"/>
      <c r="L318" s="214"/>
      <c r="M318" s="269"/>
      <c r="N318" s="214"/>
      <c r="O318" s="214"/>
      <c r="P318" s="214"/>
      <c r="Q318" s="214"/>
      <c r="R318" s="214"/>
      <c r="S318" s="214"/>
      <c r="T318" s="214"/>
      <c r="U318" s="214"/>
      <c r="V318" s="214"/>
      <c r="W318" s="214"/>
      <c r="X318" s="214"/>
      <c r="Y318" s="261"/>
      <c r="Z318" s="262"/>
      <c r="AA318" s="262"/>
      <c r="AB318" s="270"/>
      <c r="AC318" s="214"/>
      <c r="AD318" s="214"/>
      <c r="AE318" s="214"/>
      <c r="AF318" s="214"/>
      <c r="AG318" s="214"/>
      <c r="AH318" s="214"/>
      <c r="AI318" s="261"/>
      <c r="AJ318" s="214"/>
      <c r="AK318" s="261"/>
      <c r="AL318" s="261"/>
      <c r="AM318" s="264"/>
      <c r="AN318" s="214"/>
      <c r="AO318" s="271"/>
      <c r="AP318" s="271"/>
      <c r="AQ318" s="271"/>
      <c r="AR318" s="271"/>
      <c r="AS318" s="272"/>
      <c r="AT318" s="272"/>
      <c r="AU318" s="214"/>
      <c r="AV318" s="214"/>
    </row>
    <row r="319" ht="15.75" customHeight="1">
      <c r="A319" s="214"/>
      <c r="B319" s="261"/>
      <c r="C319" s="266"/>
      <c r="D319" s="267"/>
      <c r="E319" s="214"/>
      <c r="F319" s="214"/>
      <c r="G319" s="214"/>
      <c r="H319" s="214"/>
      <c r="I319" s="214"/>
      <c r="J319" s="214"/>
      <c r="K319" s="268"/>
      <c r="L319" s="214"/>
      <c r="M319" s="269"/>
      <c r="N319" s="214"/>
      <c r="O319" s="214"/>
      <c r="P319" s="214"/>
      <c r="Q319" s="214"/>
      <c r="R319" s="214"/>
      <c r="S319" s="214"/>
      <c r="T319" s="214"/>
      <c r="U319" s="214"/>
      <c r="V319" s="214"/>
      <c r="W319" s="214"/>
      <c r="X319" s="214"/>
      <c r="Y319" s="261"/>
      <c r="Z319" s="262"/>
      <c r="AA319" s="262"/>
      <c r="AB319" s="270"/>
      <c r="AC319" s="214"/>
      <c r="AD319" s="214"/>
      <c r="AE319" s="214"/>
      <c r="AF319" s="214"/>
      <c r="AG319" s="214"/>
      <c r="AH319" s="214"/>
      <c r="AI319" s="261"/>
      <c r="AJ319" s="214"/>
      <c r="AK319" s="261"/>
      <c r="AL319" s="261"/>
      <c r="AM319" s="264"/>
      <c r="AN319" s="214"/>
      <c r="AO319" s="271"/>
      <c r="AP319" s="271"/>
      <c r="AQ319" s="271"/>
      <c r="AR319" s="271"/>
      <c r="AS319" s="272"/>
      <c r="AT319" s="272"/>
      <c r="AU319" s="214"/>
      <c r="AV319" s="214"/>
    </row>
    <row r="320" ht="15.75" customHeight="1">
      <c r="A320" s="214"/>
      <c r="B320" s="261"/>
      <c r="C320" s="266"/>
      <c r="D320" s="267"/>
      <c r="E320" s="214"/>
      <c r="F320" s="214"/>
      <c r="G320" s="214"/>
      <c r="H320" s="214"/>
      <c r="I320" s="214"/>
      <c r="J320" s="214"/>
      <c r="K320" s="268"/>
      <c r="L320" s="214"/>
      <c r="M320" s="269"/>
      <c r="N320" s="214"/>
      <c r="O320" s="214"/>
      <c r="P320" s="214"/>
      <c r="Q320" s="214"/>
      <c r="R320" s="214"/>
      <c r="S320" s="214"/>
      <c r="T320" s="214"/>
      <c r="U320" s="214"/>
      <c r="V320" s="214"/>
      <c r="W320" s="214"/>
      <c r="X320" s="214"/>
      <c r="Y320" s="261"/>
      <c r="Z320" s="262"/>
      <c r="AA320" s="262"/>
      <c r="AB320" s="270"/>
      <c r="AC320" s="214"/>
      <c r="AD320" s="214"/>
      <c r="AE320" s="214"/>
      <c r="AF320" s="214"/>
      <c r="AG320" s="214"/>
      <c r="AH320" s="214"/>
      <c r="AI320" s="261"/>
      <c r="AJ320" s="214"/>
      <c r="AK320" s="261"/>
      <c r="AL320" s="261"/>
      <c r="AM320" s="264"/>
      <c r="AN320" s="214"/>
      <c r="AO320" s="271"/>
      <c r="AP320" s="271"/>
      <c r="AQ320" s="271"/>
      <c r="AR320" s="271"/>
      <c r="AS320" s="272"/>
      <c r="AT320" s="272"/>
      <c r="AU320" s="214"/>
      <c r="AV320" s="214"/>
    </row>
    <row r="321" ht="15.75" customHeight="1">
      <c r="A321" s="214"/>
      <c r="B321" s="261"/>
      <c r="C321" s="266"/>
      <c r="D321" s="267"/>
      <c r="E321" s="214"/>
      <c r="F321" s="214"/>
      <c r="G321" s="214"/>
      <c r="H321" s="214"/>
      <c r="I321" s="214"/>
      <c r="J321" s="214"/>
      <c r="K321" s="268"/>
      <c r="L321" s="214"/>
      <c r="M321" s="269"/>
      <c r="N321" s="214"/>
      <c r="O321" s="214"/>
      <c r="P321" s="214"/>
      <c r="Q321" s="214"/>
      <c r="R321" s="214"/>
      <c r="S321" s="214"/>
      <c r="T321" s="214"/>
      <c r="U321" s="214"/>
      <c r="V321" s="214"/>
      <c r="W321" s="214"/>
      <c r="X321" s="214"/>
      <c r="Y321" s="261"/>
      <c r="Z321" s="262"/>
      <c r="AA321" s="262"/>
      <c r="AB321" s="270"/>
      <c r="AC321" s="214"/>
      <c r="AD321" s="214"/>
      <c r="AE321" s="214"/>
      <c r="AF321" s="214"/>
      <c r="AG321" s="214"/>
      <c r="AH321" s="214"/>
      <c r="AI321" s="261"/>
      <c r="AJ321" s="214"/>
      <c r="AK321" s="261"/>
      <c r="AL321" s="261"/>
      <c r="AM321" s="264"/>
      <c r="AN321" s="214"/>
      <c r="AO321" s="271"/>
      <c r="AP321" s="271"/>
      <c r="AQ321" s="271"/>
      <c r="AR321" s="271"/>
      <c r="AS321" s="272"/>
      <c r="AT321" s="272"/>
      <c r="AU321" s="214"/>
      <c r="AV321" s="214"/>
    </row>
    <row r="322" ht="15.75" customHeight="1">
      <c r="A322" s="214"/>
      <c r="B322" s="261"/>
      <c r="C322" s="266"/>
      <c r="D322" s="267"/>
      <c r="E322" s="214"/>
      <c r="F322" s="214"/>
      <c r="G322" s="214"/>
      <c r="H322" s="214"/>
      <c r="I322" s="214"/>
      <c r="J322" s="214"/>
      <c r="K322" s="268"/>
      <c r="L322" s="214"/>
      <c r="M322" s="269"/>
      <c r="N322" s="214"/>
      <c r="O322" s="214"/>
      <c r="P322" s="214"/>
      <c r="Q322" s="214"/>
      <c r="R322" s="214"/>
      <c r="S322" s="214"/>
      <c r="T322" s="214"/>
      <c r="U322" s="214"/>
      <c r="V322" s="214"/>
      <c r="W322" s="214"/>
      <c r="X322" s="214"/>
      <c r="Y322" s="261"/>
      <c r="Z322" s="262"/>
      <c r="AA322" s="262"/>
      <c r="AB322" s="270"/>
      <c r="AC322" s="214"/>
      <c r="AD322" s="214"/>
      <c r="AE322" s="214"/>
      <c r="AF322" s="214"/>
      <c r="AG322" s="214"/>
      <c r="AH322" s="214"/>
      <c r="AI322" s="261"/>
      <c r="AJ322" s="214"/>
      <c r="AK322" s="261"/>
      <c r="AL322" s="261"/>
      <c r="AM322" s="264"/>
      <c r="AN322" s="214"/>
      <c r="AO322" s="271"/>
      <c r="AP322" s="271"/>
      <c r="AQ322" s="271"/>
      <c r="AR322" s="271"/>
      <c r="AS322" s="272"/>
      <c r="AT322" s="272"/>
      <c r="AU322" s="214"/>
      <c r="AV322" s="214"/>
    </row>
    <row r="323" ht="15.75" customHeight="1">
      <c r="A323" s="214"/>
      <c r="B323" s="261"/>
      <c r="C323" s="266"/>
      <c r="D323" s="267"/>
      <c r="E323" s="214"/>
      <c r="F323" s="214"/>
      <c r="G323" s="214"/>
      <c r="H323" s="214"/>
      <c r="I323" s="214"/>
      <c r="J323" s="214"/>
      <c r="K323" s="268"/>
      <c r="L323" s="214"/>
      <c r="M323" s="269"/>
      <c r="N323" s="214"/>
      <c r="O323" s="214"/>
      <c r="P323" s="214"/>
      <c r="Q323" s="214"/>
      <c r="R323" s="214"/>
      <c r="S323" s="214"/>
      <c r="T323" s="214"/>
      <c r="U323" s="214"/>
      <c r="V323" s="214"/>
      <c r="W323" s="214"/>
      <c r="X323" s="214"/>
      <c r="Y323" s="261"/>
      <c r="Z323" s="262"/>
      <c r="AA323" s="262"/>
      <c r="AB323" s="270"/>
      <c r="AC323" s="214"/>
      <c r="AD323" s="214"/>
      <c r="AE323" s="214"/>
      <c r="AF323" s="214"/>
      <c r="AG323" s="214"/>
      <c r="AH323" s="214"/>
      <c r="AI323" s="261"/>
      <c r="AJ323" s="214"/>
      <c r="AK323" s="261"/>
      <c r="AL323" s="261"/>
      <c r="AM323" s="264"/>
      <c r="AN323" s="214"/>
      <c r="AO323" s="271"/>
      <c r="AP323" s="271"/>
      <c r="AQ323" s="271"/>
      <c r="AR323" s="271"/>
      <c r="AS323" s="272"/>
      <c r="AT323" s="272"/>
      <c r="AU323" s="214"/>
      <c r="AV323" s="214"/>
    </row>
    <row r="324" ht="15.75" customHeight="1">
      <c r="A324" s="214"/>
      <c r="B324" s="261"/>
      <c r="C324" s="266"/>
      <c r="D324" s="267"/>
      <c r="E324" s="214"/>
      <c r="F324" s="214"/>
      <c r="G324" s="214"/>
      <c r="H324" s="214"/>
      <c r="I324" s="214"/>
      <c r="J324" s="214"/>
      <c r="K324" s="268"/>
      <c r="L324" s="214"/>
      <c r="M324" s="269"/>
      <c r="N324" s="214"/>
      <c r="O324" s="214"/>
      <c r="P324" s="214"/>
      <c r="Q324" s="214"/>
      <c r="R324" s="214"/>
      <c r="S324" s="214"/>
      <c r="T324" s="214"/>
      <c r="U324" s="214"/>
      <c r="V324" s="214"/>
      <c r="W324" s="214"/>
      <c r="X324" s="214"/>
      <c r="Y324" s="261"/>
      <c r="Z324" s="262"/>
      <c r="AA324" s="262"/>
      <c r="AB324" s="270"/>
      <c r="AC324" s="214"/>
      <c r="AD324" s="214"/>
      <c r="AE324" s="214"/>
      <c r="AF324" s="214"/>
      <c r="AG324" s="214"/>
      <c r="AH324" s="214"/>
      <c r="AI324" s="261"/>
      <c r="AJ324" s="214"/>
      <c r="AK324" s="261"/>
      <c r="AL324" s="261"/>
      <c r="AM324" s="264"/>
      <c r="AN324" s="214"/>
      <c r="AO324" s="271"/>
      <c r="AP324" s="271"/>
      <c r="AQ324" s="271"/>
      <c r="AR324" s="271"/>
      <c r="AS324" s="272"/>
      <c r="AT324" s="272"/>
      <c r="AU324" s="214"/>
      <c r="AV324" s="214"/>
    </row>
    <row r="325" ht="15.75" customHeight="1">
      <c r="A325" s="214"/>
      <c r="B325" s="261"/>
      <c r="C325" s="266"/>
      <c r="D325" s="267"/>
      <c r="E325" s="214"/>
      <c r="F325" s="214"/>
      <c r="G325" s="214"/>
      <c r="H325" s="214"/>
      <c r="I325" s="214"/>
      <c r="J325" s="214"/>
      <c r="K325" s="268"/>
      <c r="L325" s="214"/>
      <c r="M325" s="269"/>
      <c r="N325" s="214"/>
      <c r="O325" s="214"/>
      <c r="P325" s="214"/>
      <c r="Q325" s="214"/>
      <c r="R325" s="214"/>
      <c r="S325" s="214"/>
      <c r="T325" s="214"/>
      <c r="U325" s="214"/>
      <c r="V325" s="214"/>
      <c r="W325" s="214"/>
      <c r="X325" s="214"/>
      <c r="Y325" s="261"/>
      <c r="Z325" s="262"/>
      <c r="AA325" s="262"/>
      <c r="AB325" s="270"/>
      <c r="AC325" s="214"/>
      <c r="AD325" s="214"/>
      <c r="AE325" s="214"/>
      <c r="AF325" s="214"/>
      <c r="AG325" s="214"/>
      <c r="AH325" s="214"/>
      <c r="AI325" s="261"/>
      <c r="AJ325" s="214"/>
      <c r="AK325" s="261"/>
      <c r="AL325" s="261"/>
      <c r="AM325" s="264"/>
      <c r="AN325" s="214"/>
      <c r="AO325" s="271"/>
      <c r="AP325" s="271"/>
      <c r="AQ325" s="271"/>
      <c r="AR325" s="271"/>
      <c r="AS325" s="272"/>
      <c r="AT325" s="272"/>
      <c r="AU325" s="214"/>
      <c r="AV325" s="214"/>
    </row>
    <row r="326" ht="15.75" customHeight="1">
      <c r="A326" s="214"/>
      <c r="B326" s="261"/>
      <c r="C326" s="266"/>
      <c r="D326" s="267"/>
      <c r="E326" s="214"/>
      <c r="F326" s="214"/>
      <c r="G326" s="214"/>
      <c r="H326" s="214"/>
      <c r="I326" s="214"/>
      <c r="J326" s="214"/>
      <c r="K326" s="268"/>
      <c r="L326" s="214"/>
      <c r="M326" s="269"/>
      <c r="N326" s="214"/>
      <c r="O326" s="214"/>
      <c r="P326" s="214"/>
      <c r="Q326" s="214"/>
      <c r="R326" s="214"/>
      <c r="S326" s="214"/>
      <c r="T326" s="214"/>
      <c r="U326" s="214"/>
      <c r="V326" s="214"/>
      <c r="W326" s="214"/>
      <c r="X326" s="214"/>
      <c r="Y326" s="261"/>
      <c r="Z326" s="262"/>
      <c r="AA326" s="262"/>
      <c r="AB326" s="270"/>
      <c r="AC326" s="214"/>
      <c r="AD326" s="214"/>
      <c r="AE326" s="214"/>
      <c r="AF326" s="214"/>
      <c r="AG326" s="214"/>
      <c r="AH326" s="214"/>
      <c r="AI326" s="261"/>
      <c r="AJ326" s="214"/>
      <c r="AK326" s="261"/>
      <c r="AL326" s="261"/>
      <c r="AM326" s="264"/>
      <c r="AN326" s="214"/>
      <c r="AO326" s="271"/>
      <c r="AP326" s="271"/>
      <c r="AQ326" s="271"/>
      <c r="AR326" s="271"/>
      <c r="AS326" s="272"/>
      <c r="AT326" s="272"/>
      <c r="AU326" s="214"/>
      <c r="AV326" s="214"/>
    </row>
    <row r="327" ht="15.75" customHeight="1">
      <c r="A327" s="214"/>
      <c r="B327" s="261"/>
      <c r="C327" s="266"/>
      <c r="D327" s="267"/>
      <c r="E327" s="214"/>
      <c r="F327" s="214"/>
      <c r="G327" s="214"/>
      <c r="H327" s="214"/>
      <c r="I327" s="214"/>
      <c r="J327" s="214"/>
      <c r="K327" s="268"/>
      <c r="L327" s="214"/>
      <c r="M327" s="269"/>
      <c r="N327" s="214"/>
      <c r="O327" s="214"/>
      <c r="P327" s="214"/>
      <c r="Q327" s="214"/>
      <c r="R327" s="214"/>
      <c r="S327" s="214"/>
      <c r="T327" s="214"/>
      <c r="U327" s="214"/>
      <c r="V327" s="214"/>
      <c r="W327" s="214"/>
      <c r="X327" s="214"/>
      <c r="Y327" s="261"/>
      <c r="Z327" s="262"/>
      <c r="AA327" s="262"/>
      <c r="AB327" s="270"/>
      <c r="AC327" s="214"/>
      <c r="AD327" s="214"/>
      <c r="AE327" s="214"/>
      <c r="AF327" s="214"/>
      <c r="AG327" s="214"/>
      <c r="AH327" s="214"/>
      <c r="AI327" s="261"/>
      <c r="AJ327" s="214"/>
      <c r="AK327" s="261"/>
      <c r="AL327" s="261"/>
      <c r="AM327" s="264"/>
      <c r="AN327" s="214"/>
      <c r="AO327" s="271"/>
      <c r="AP327" s="271"/>
      <c r="AQ327" s="271"/>
      <c r="AR327" s="271"/>
      <c r="AS327" s="272"/>
      <c r="AT327" s="272"/>
      <c r="AU327" s="214"/>
      <c r="AV327" s="214"/>
    </row>
    <row r="328" ht="15.75" customHeight="1">
      <c r="A328" s="214"/>
      <c r="B328" s="261"/>
      <c r="C328" s="266"/>
      <c r="D328" s="267"/>
      <c r="E328" s="214"/>
      <c r="F328" s="214"/>
      <c r="G328" s="214"/>
      <c r="H328" s="214"/>
      <c r="I328" s="214"/>
      <c r="J328" s="214"/>
      <c r="K328" s="268"/>
      <c r="L328" s="214"/>
      <c r="M328" s="269"/>
      <c r="N328" s="214"/>
      <c r="O328" s="214"/>
      <c r="P328" s="214"/>
      <c r="Q328" s="214"/>
      <c r="R328" s="214"/>
      <c r="S328" s="214"/>
      <c r="T328" s="214"/>
      <c r="U328" s="214"/>
      <c r="V328" s="214"/>
      <c r="W328" s="214"/>
      <c r="X328" s="214"/>
      <c r="Y328" s="261"/>
      <c r="Z328" s="262"/>
      <c r="AA328" s="262"/>
      <c r="AB328" s="270"/>
      <c r="AC328" s="214"/>
      <c r="AD328" s="214"/>
      <c r="AE328" s="214"/>
      <c r="AF328" s="214"/>
      <c r="AG328" s="214"/>
      <c r="AH328" s="214"/>
      <c r="AI328" s="261"/>
      <c r="AJ328" s="214"/>
      <c r="AK328" s="261"/>
      <c r="AL328" s="261"/>
      <c r="AM328" s="264"/>
      <c r="AN328" s="214"/>
      <c r="AO328" s="271"/>
      <c r="AP328" s="271"/>
      <c r="AQ328" s="271"/>
      <c r="AR328" s="271"/>
      <c r="AS328" s="272"/>
      <c r="AT328" s="272"/>
      <c r="AU328" s="214"/>
      <c r="AV328" s="214"/>
    </row>
    <row r="329" ht="15.75" customHeight="1">
      <c r="A329" s="214"/>
      <c r="B329" s="261"/>
      <c r="C329" s="266"/>
      <c r="D329" s="267"/>
      <c r="E329" s="214"/>
      <c r="F329" s="214"/>
      <c r="G329" s="214"/>
      <c r="H329" s="214"/>
      <c r="I329" s="214"/>
      <c r="J329" s="214"/>
      <c r="K329" s="268"/>
      <c r="L329" s="214"/>
      <c r="M329" s="269"/>
      <c r="N329" s="214"/>
      <c r="O329" s="214"/>
      <c r="P329" s="214"/>
      <c r="Q329" s="214"/>
      <c r="R329" s="214"/>
      <c r="S329" s="214"/>
      <c r="T329" s="214"/>
      <c r="U329" s="214"/>
      <c r="V329" s="214"/>
      <c r="W329" s="214"/>
      <c r="X329" s="214"/>
      <c r="Y329" s="261"/>
      <c r="Z329" s="262"/>
      <c r="AA329" s="262"/>
      <c r="AB329" s="270"/>
      <c r="AC329" s="214"/>
      <c r="AD329" s="214"/>
      <c r="AE329" s="214"/>
      <c r="AF329" s="214"/>
      <c r="AG329" s="214"/>
      <c r="AH329" s="214"/>
      <c r="AI329" s="261"/>
      <c r="AJ329" s="214"/>
      <c r="AK329" s="261"/>
      <c r="AL329" s="261"/>
      <c r="AM329" s="264"/>
      <c r="AN329" s="214"/>
      <c r="AO329" s="271"/>
      <c r="AP329" s="271"/>
      <c r="AQ329" s="271"/>
      <c r="AR329" s="271"/>
      <c r="AS329" s="272"/>
      <c r="AT329" s="272"/>
      <c r="AU329" s="214"/>
      <c r="AV329" s="214"/>
    </row>
    <row r="330" ht="15.75" customHeight="1">
      <c r="A330" s="214"/>
      <c r="B330" s="261"/>
      <c r="C330" s="266"/>
      <c r="D330" s="267"/>
      <c r="E330" s="214"/>
      <c r="F330" s="214"/>
      <c r="G330" s="214"/>
      <c r="H330" s="214"/>
      <c r="I330" s="214"/>
      <c r="J330" s="214"/>
      <c r="K330" s="268"/>
      <c r="L330" s="214"/>
      <c r="M330" s="269"/>
      <c r="N330" s="214"/>
      <c r="O330" s="214"/>
      <c r="P330" s="214"/>
      <c r="Q330" s="214"/>
      <c r="R330" s="214"/>
      <c r="S330" s="214"/>
      <c r="T330" s="214"/>
      <c r="U330" s="214"/>
      <c r="V330" s="214"/>
      <c r="W330" s="214"/>
      <c r="X330" s="214"/>
      <c r="Y330" s="261"/>
      <c r="Z330" s="262"/>
      <c r="AA330" s="262"/>
      <c r="AB330" s="270"/>
      <c r="AC330" s="214"/>
      <c r="AD330" s="214"/>
      <c r="AE330" s="214"/>
      <c r="AF330" s="214"/>
      <c r="AG330" s="214"/>
      <c r="AH330" s="214"/>
      <c r="AI330" s="261"/>
      <c r="AJ330" s="214"/>
      <c r="AK330" s="261"/>
      <c r="AL330" s="261"/>
      <c r="AM330" s="264"/>
      <c r="AN330" s="214"/>
      <c r="AO330" s="271"/>
      <c r="AP330" s="271"/>
      <c r="AQ330" s="271"/>
      <c r="AR330" s="271"/>
      <c r="AS330" s="272"/>
      <c r="AT330" s="272"/>
      <c r="AU330" s="214"/>
      <c r="AV330" s="214"/>
    </row>
    <row r="331" ht="15.75" customHeight="1">
      <c r="A331" s="214"/>
      <c r="B331" s="261"/>
      <c r="C331" s="266"/>
      <c r="D331" s="267"/>
      <c r="E331" s="214"/>
      <c r="F331" s="214"/>
      <c r="G331" s="214"/>
      <c r="H331" s="214"/>
      <c r="I331" s="214"/>
      <c r="J331" s="214"/>
      <c r="K331" s="268"/>
      <c r="L331" s="214"/>
      <c r="M331" s="269"/>
      <c r="N331" s="214"/>
      <c r="O331" s="214"/>
      <c r="P331" s="214"/>
      <c r="Q331" s="214"/>
      <c r="R331" s="214"/>
      <c r="S331" s="214"/>
      <c r="T331" s="214"/>
      <c r="U331" s="214"/>
      <c r="V331" s="214"/>
      <c r="W331" s="214"/>
      <c r="X331" s="214"/>
      <c r="Y331" s="261"/>
      <c r="Z331" s="262"/>
      <c r="AA331" s="262"/>
      <c r="AB331" s="270"/>
      <c r="AC331" s="214"/>
      <c r="AD331" s="214"/>
      <c r="AE331" s="214"/>
      <c r="AF331" s="214"/>
      <c r="AG331" s="214"/>
      <c r="AH331" s="214"/>
      <c r="AI331" s="261"/>
      <c r="AJ331" s="214"/>
      <c r="AK331" s="261"/>
      <c r="AL331" s="261"/>
      <c r="AM331" s="264"/>
      <c r="AN331" s="214"/>
      <c r="AO331" s="271"/>
      <c r="AP331" s="271"/>
      <c r="AQ331" s="271"/>
      <c r="AR331" s="271"/>
      <c r="AS331" s="272"/>
      <c r="AT331" s="272"/>
      <c r="AU331" s="214"/>
      <c r="AV331" s="214"/>
    </row>
    <row r="332" ht="15.75" customHeight="1">
      <c r="A332" s="214"/>
      <c r="B332" s="261"/>
      <c r="C332" s="266"/>
      <c r="D332" s="267"/>
      <c r="E332" s="214"/>
      <c r="F332" s="214"/>
      <c r="G332" s="214"/>
      <c r="H332" s="214"/>
      <c r="I332" s="214"/>
      <c r="J332" s="214"/>
      <c r="K332" s="268"/>
      <c r="L332" s="214"/>
      <c r="M332" s="269"/>
      <c r="N332" s="214"/>
      <c r="O332" s="214"/>
      <c r="P332" s="214"/>
      <c r="Q332" s="214"/>
      <c r="R332" s="214"/>
      <c r="S332" s="214"/>
      <c r="T332" s="214"/>
      <c r="U332" s="214"/>
      <c r="V332" s="214"/>
      <c r="W332" s="214"/>
      <c r="X332" s="214"/>
      <c r="Y332" s="261"/>
      <c r="Z332" s="262"/>
      <c r="AA332" s="262"/>
      <c r="AB332" s="270"/>
      <c r="AC332" s="214"/>
      <c r="AD332" s="214"/>
      <c r="AE332" s="214"/>
      <c r="AF332" s="214"/>
      <c r="AG332" s="214"/>
      <c r="AH332" s="214"/>
      <c r="AI332" s="261"/>
      <c r="AJ332" s="214"/>
      <c r="AK332" s="261"/>
      <c r="AL332" s="261"/>
      <c r="AM332" s="264"/>
      <c r="AN332" s="214"/>
      <c r="AO332" s="271"/>
      <c r="AP332" s="271"/>
      <c r="AQ332" s="271"/>
      <c r="AR332" s="271"/>
      <c r="AS332" s="272"/>
      <c r="AT332" s="272"/>
      <c r="AU332" s="214"/>
      <c r="AV332" s="214"/>
    </row>
    <row r="333" ht="15.75" customHeight="1">
      <c r="A333" s="214"/>
      <c r="B333" s="261"/>
      <c r="C333" s="266"/>
      <c r="D333" s="267"/>
      <c r="E333" s="214"/>
      <c r="F333" s="214"/>
      <c r="G333" s="214"/>
      <c r="H333" s="214"/>
      <c r="I333" s="214"/>
      <c r="J333" s="214"/>
      <c r="K333" s="268"/>
      <c r="L333" s="214"/>
      <c r="M333" s="269"/>
      <c r="N333" s="214"/>
      <c r="O333" s="214"/>
      <c r="P333" s="214"/>
      <c r="Q333" s="214"/>
      <c r="R333" s="214"/>
      <c r="S333" s="214"/>
      <c r="T333" s="214"/>
      <c r="U333" s="214"/>
      <c r="V333" s="214"/>
      <c r="W333" s="214"/>
      <c r="X333" s="214"/>
      <c r="Y333" s="261"/>
      <c r="Z333" s="262"/>
      <c r="AA333" s="262"/>
      <c r="AB333" s="270"/>
      <c r="AC333" s="214"/>
      <c r="AD333" s="214"/>
      <c r="AE333" s="214"/>
      <c r="AF333" s="214"/>
      <c r="AG333" s="214"/>
      <c r="AH333" s="214"/>
      <c r="AI333" s="261"/>
      <c r="AJ333" s="214"/>
      <c r="AK333" s="261"/>
      <c r="AL333" s="261"/>
      <c r="AM333" s="264"/>
      <c r="AN333" s="214"/>
      <c r="AO333" s="271"/>
      <c r="AP333" s="271"/>
      <c r="AQ333" s="271"/>
      <c r="AR333" s="271"/>
      <c r="AS333" s="272"/>
      <c r="AT333" s="272"/>
      <c r="AU333" s="214"/>
      <c r="AV333" s="214"/>
    </row>
    <row r="334" ht="15.75" customHeight="1">
      <c r="A334" s="214"/>
      <c r="B334" s="261"/>
      <c r="C334" s="266"/>
      <c r="D334" s="267"/>
      <c r="E334" s="214"/>
      <c r="F334" s="214"/>
      <c r="G334" s="214"/>
      <c r="H334" s="214"/>
      <c r="I334" s="214"/>
      <c r="J334" s="214"/>
      <c r="K334" s="268"/>
      <c r="L334" s="214"/>
      <c r="M334" s="269"/>
      <c r="N334" s="214"/>
      <c r="O334" s="214"/>
      <c r="P334" s="214"/>
      <c r="Q334" s="214"/>
      <c r="R334" s="214"/>
      <c r="S334" s="214"/>
      <c r="T334" s="214"/>
      <c r="U334" s="214"/>
      <c r="V334" s="214"/>
      <c r="W334" s="214"/>
      <c r="X334" s="214"/>
      <c r="Y334" s="261"/>
      <c r="Z334" s="262"/>
      <c r="AA334" s="262"/>
      <c r="AB334" s="270"/>
      <c r="AC334" s="214"/>
      <c r="AD334" s="214"/>
      <c r="AE334" s="214"/>
      <c r="AF334" s="214"/>
      <c r="AG334" s="214"/>
      <c r="AH334" s="214"/>
      <c r="AI334" s="261"/>
      <c r="AJ334" s="214"/>
      <c r="AK334" s="261"/>
      <c r="AL334" s="261"/>
      <c r="AM334" s="264"/>
      <c r="AN334" s="214"/>
      <c r="AO334" s="271"/>
      <c r="AP334" s="271"/>
      <c r="AQ334" s="271"/>
      <c r="AR334" s="271"/>
      <c r="AS334" s="272"/>
      <c r="AT334" s="272"/>
      <c r="AU334" s="214"/>
      <c r="AV334" s="214"/>
    </row>
    <row r="335" ht="15.75" customHeight="1">
      <c r="A335" s="214"/>
      <c r="B335" s="261"/>
      <c r="C335" s="266"/>
      <c r="D335" s="267"/>
      <c r="E335" s="214"/>
      <c r="F335" s="214"/>
      <c r="G335" s="214"/>
      <c r="H335" s="214"/>
      <c r="I335" s="214"/>
      <c r="J335" s="214"/>
      <c r="K335" s="268"/>
      <c r="L335" s="214"/>
      <c r="M335" s="269"/>
      <c r="N335" s="214"/>
      <c r="O335" s="214"/>
      <c r="P335" s="214"/>
      <c r="Q335" s="214"/>
      <c r="R335" s="214"/>
      <c r="S335" s="214"/>
      <c r="T335" s="214"/>
      <c r="U335" s="214"/>
      <c r="V335" s="214"/>
      <c r="W335" s="214"/>
      <c r="X335" s="214"/>
      <c r="Y335" s="261"/>
      <c r="Z335" s="262"/>
      <c r="AA335" s="262"/>
      <c r="AB335" s="270"/>
      <c r="AC335" s="214"/>
      <c r="AD335" s="214"/>
      <c r="AE335" s="214"/>
      <c r="AF335" s="214"/>
      <c r="AG335" s="214"/>
      <c r="AH335" s="214"/>
      <c r="AI335" s="261"/>
      <c r="AJ335" s="214"/>
      <c r="AK335" s="261"/>
      <c r="AL335" s="261"/>
      <c r="AM335" s="264"/>
      <c r="AN335" s="214"/>
      <c r="AO335" s="271"/>
      <c r="AP335" s="271"/>
      <c r="AQ335" s="271"/>
      <c r="AR335" s="271"/>
      <c r="AS335" s="272"/>
      <c r="AT335" s="272"/>
      <c r="AU335" s="214"/>
      <c r="AV335" s="214"/>
    </row>
    <row r="336" ht="15.75" customHeight="1">
      <c r="A336" s="214"/>
      <c r="B336" s="261"/>
      <c r="C336" s="266"/>
      <c r="D336" s="267"/>
      <c r="E336" s="214"/>
      <c r="F336" s="214"/>
      <c r="G336" s="214"/>
      <c r="H336" s="214"/>
      <c r="I336" s="214"/>
      <c r="J336" s="214"/>
      <c r="K336" s="268"/>
      <c r="L336" s="214"/>
      <c r="M336" s="269"/>
      <c r="N336" s="214"/>
      <c r="O336" s="214"/>
      <c r="P336" s="214"/>
      <c r="Q336" s="214"/>
      <c r="R336" s="214"/>
      <c r="S336" s="214"/>
      <c r="T336" s="214"/>
      <c r="U336" s="214"/>
      <c r="V336" s="214"/>
      <c r="W336" s="214"/>
      <c r="X336" s="214"/>
      <c r="Y336" s="261"/>
      <c r="Z336" s="262"/>
      <c r="AA336" s="262"/>
      <c r="AB336" s="270"/>
      <c r="AC336" s="214"/>
      <c r="AD336" s="214"/>
      <c r="AE336" s="214"/>
      <c r="AF336" s="214"/>
      <c r="AG336" s="214"/>
      <c r="AH336" s="214"/>
      <c r="AI336" s="261"/>
      <c r="AJ336" s="214"/>
      <c r="AK336" s="261"/>
      <c r="AL336" s="261"/>
      <c r="AM336" s="264"/>
      <c r="AN336" s="214"/>
      <c r="AO336" s="271"/>
      <c r="AP336" s="271"/>
      <c r="AQ336" s="271"/>
      <c r="AR336" s="271"/>
      <c r="AS336" s="272"/>
      <c r="AT336" s="272"/>
      <c r="AU336" s="214"/>
      <c r="AV336" s="214"/>
    </row>
    <row r="337" ht="15.75" customHeight="1">
      <c r="A337" s="214"/>
      <c r="B337" s="261"/>
      <c r="C337" s="266"/>
      <c r="D337" s="267"/>
      <c r="E337" s="214"/>
      <c r="F337" s="214"/>
      <c r="G337" s="214"/>
      <c r="H337" s="214"/>
      <c r="I337" s="214"/>
      <c r="J337" s="214"/>
      <c r="K337" s="268"/>
      <c r="L337" s="214"/>
      <c r="M337" s="269"/>
      <c r="N337" s="214"/>
      <c r="O337" s="214"/>
      <c r="P337" s="214"/>
      <c r="Q337" s="214"/>
      <c r="R337" s="214"/>
      <c r="S337" s="214"/>
      <c r="T337" s="214"/>
      <c r="U337" s="214"/>
      <c r="V337" s="214"/>
      <c r="W337" s="214"/>
      <c r="X337" s="214"/>
      <c r="Y337" s="261"/>
      <c r="Z337" s="262"/>
      <c r="AA337" s="262"/>
      <c r="AB337" s="270"/>
      <c r="AC337" s="214"/>
      <c r="AD337" s="214"/>
      <c r="AE337" s="214"/>
      <c r="AF337" s="214"/>
      <c r="AG337" s="214"/>
      <c r="AH337" s="214"/>
      <c r="AI337" s="261"/>
      <c r="AJ337" s="214"/>
      <c r="AK337" s="261"/>
      <c r="AL337" s="261"/>
      <c r="AM337" s="264"/>
      <c r="AN337" s="214"/>
      <c r="AO337" s="271"/>
      <c r="AP337" s="271"/>
      <c r="AQ337" s="271"/>
      <c r="AR337" s="271"/>
      <c r="AS337" s="272"/>
      <c r="AT337" s="272"/>
      <c r="AU337" s="214"/>
      <c r="AV337" s="214"/>
    </row>
    <row r="338" ht="15.75" customHeight="1">
      <c r="A338" s="214"/>
      <c r="B338" s="261"/>
      <c r="C338" s="266"/>
      <c r="D338" s="267"/>
      <c r="E338" s="214"/>
      <c r="F338" s="214"/>
      <c r="G338" s="214"/>
      <c r="H338" s="214"/>
      <c r="I338" s="214"/>
      <c r="J338" s="214"/>
      <c r="K338" s="268"/>
      <c r="L338" s="214"/>
      <c r="M338" s="269"/>
      <c r="N338" s="214"/>
      <c r="O338" s="214"/>
      <c r="P338" s="214"/>
      <c r="Q338" s="214"/>
      <c r="R338" s="214"/>
      <c r="S338" s="214"/>
      <c r="T338" s="214"/>
      <c r="U338" s="214"/>
      <c r="V338" s="214"/>
      <c r="W338" s="214"/>
      <c r="X338" s="214"/>
      <c r="Y338" s="261"/>
      <c r="Z338" s="262"/>
      <c r="AA338" s="262"/>
      <c r="AB338" s="270"/>
      <c r="AC338" s="214"/>
      <c r="AD338" s="214"/>
      <c r="AE338" s="214"/>
      <c r="AF338" s="214"/>
      <c r="AG338" s="214"/>
      <c r="AH338" s="214"/>
      <c r="AI338" s="261"/>
      <c r="AJ338" s="214"/>
      <c r="AK338" s="261"/>
      <c r="AL338" s="261"/>
      <c r="AM338" s="264"/>
      <c r="AN338" s="214"/>
      <c r="AO338" s="271"/>
      <c r="AP338" s="271"/>
      <c r="AQ338" s="271"/>
      <c r="AR338" s="271"/>
      <c r="AS338" s="272"/>
      <c r="AT338" s="272"/>
      <c r="AU338" s="214"/>
      <c r="AV338" s="214"/>
    </row>
    <row r="339" ht="15.75" customHeight="1">
      <c r="A339" s="214"/>
      <c r="B339" s="261"/>
      <c r="C339" s="266"/>
      <c r="D339" s="267"/>
      <c r="E339" s="214"/>
      <c r="F339" s="214"/>
      <c r="G339" s="214"/>
      <c r="H339" s="214"/>
      <c r="I339" s="214"/>
      <c r="J339" s="214"/>
      <c r="K339" s="268"/>
      <c r="L339" s="214"/>
      <c r="M339" s="269"/>
      <c r="N339" s="214"/>
      <c r="O339" s="214"/>
      <c r="P339" s="214"/>
      <c r="Q339" s="214"/>
      <c r="R339" s="214"/>
      <c r="S339" s="214"/>
      <c r="T339" s="214"/>
      <c r="U339" s="214"/>
      <c r="V339" s="214"/>
      <c r="W339" s="214"/>
      <c r="X339" s="214"/>
      <c r="Y339" s="261"/>
      <c r="Z339" s="262"/>
      <c r="AA339" s="262"/>
      <c r="AB339" s="270"/>
      <c r="AC339" s="214"/>
      <c r="AD339" s="214"/>
      <c r="AE339" s="214"/>
      <c r="AF339" s="214"/>
      <c r="AG339" s="214"/>
      <c r="AH339" s="214"/>
      <c r="AI339" s="261"/>
      <c r="AJ339" s="214"/>
      <c r="AK339" s="261"/>
      <c r="AL339" s="261"/>
      <c r="AM339" s="264"/>
      <c r="AN339" s="214"/>
      <c r="AO339" s="271"/>
      <c r="AP339" s="271"/>
      <c r="AQ339" s="271"/>
      <c r="AR339" s="271"/>
      <c r="AS339" s="272"/>
      <c r="AT339" s="272"/>
      <c r="AU339" s="214"/>
      <c r="AV339" s="214"/>
    </row>
    <row r="340" ht="15.75" customHeight="1">
      <c r="A340" s="214"/>
      <c r="B340" s="261"/>
      <c r="C340" s="266"/>
      <c r="D340" s="267"/>
      <c r="E340" s="214"/>
      <c r="F340" s="214"/>
      <c r="G340" s="214"/>
      <c r="H340" s="214"/>
      <c r="I340" s="214"/>
      <c r="J340" s="214"/>
      <c r="K340" s="268"/>
      <c r="L340" s="214"/>
      <c r="M340" s="269"/>
      <c r="N340" s="214"/>
      <c r="O340" s="214"/>
      <c r="P340" s="214"/>
      <c r="Q340" s="214"/>
      <c r="R340" s="214"/>
      <c r="S340" s="214"/>
      <c r="T340" s="214"/>
      <c r="U340" s="214"/>
      <c r="V340" s="214"/>
      <c r="W340" s="214"/>
      <c r="X340" s="214"/>
      <c r="Y340" s="261"/>
      <c r="Z340" s="262"/>
      <c r="AA340" s="262"/>
      <c r="AB340" s="270"/>
      <c r="AC340" s="214"/>
      <c r="AD340" s="214"/>
      <c r="AE340" s="214"/>
      <c r="AF340" s="214"/>
      <c r="AG340" s="214"/>
      <c r="AH340" s="214"/>
      <c r="AI340" s="261"/>
      <c r="AJ340" s="214"/>
      <c r="AK340" s="261"/>
      <c r="AL340" s="261"/>
      <c r="AM340" s="264"/>
      <c r="AN340" s="214"/>
      <c r="AO340" s="271"/>
      <c r="AP340" s="271"/>
      <c r="AQ340" s="271"/>
      <c r="AR340" s="271"/>
      <c r="AS340" s="272"/>
      <c r="AT340" s="272"/>
      <c r="AU340" s="214"/>
      <c r="AV340" s="214"/>
    </row>
    <row r="341" ht="15.75" customHeight="1">
      <c r="A341" s="214"/>
      <c r="B341" s="261"/>
      <c r="C341" s="266"/>
      <c r="D341" s="267"/>
      <c r="E341" s="214"/>
      <c r="F341" s="214"/>
      <c r="G341" s="214"/>
      <c r="H341" s="214"/>
      <c r="I341" s="214"/>
      <c r="J341" s="214"/>
      <c r="K341" s="268"/>
      <c r="L341" s="214"/>
      <c r="M341" s="269"/>
      <c r="N341" s="214"/>
      <c r="O341" s="214"/>
      <c r="P341" s="214"/>
      <c r="Q341" s="214"/>
      <c r="R341" s="214"/>
      <c r="S341" s="214"/>
      <c r="T341" s="214"/>
      <c r="U341" s="214"/>
      <c r="V341" s="214"/>
      <c r="W341" s="214"/>
      <c r="X341" s="214"/>
      <c r="Y341" s="261"/>
      <c r="Z341" s="262"/>
      <c r="AA341" s="262"/>
      <c r="AB341" s="270"/>
      <c r="AC341" s="214"/>
      <c r="AD341" s="214"/>
      <c r="AE341" s="214"/>
      <c r="AF341" s="214"/>
      <c r="AG341" s="214"/>
      <c r="AH341" s="214"/>
      <c r="AI341" s="261"/>
      <c r="AJ341" s="214"/>
      <c r="AK341" s="261"/>
      <c r="AL341" s="261"/>
      <c r="AM341" s="264"/>
      <c r="AN341" s="214"/>
      <c r="AO341" s="271"/>
      <c r="AP341" s="271"/>
      <c r="AQ341" s="271"/>
      <c r="AR341" s="271"/>
      <c r="AS341" s="272"/>
      <c r="AT341" s="272"/>
      <c r="AU341" s="214"/>
      <c r="AV341" s="214"/>
    </row>
    <row r="342" ht="15.75" customHeight="1">
      <c r="A342" s="214"/>
      <c r="B342" s="261"/>
      <c r="C342" s="266"/>
      <c r="D342" s="267"/>
      <c r="E342" s="214"/>
      <c r="F342" s="214"/>
      <c r="G342" s="214"/>
      <c r="H342" s="214"/>
      <c r="I342" s="214"/>
      <c r="J342" s="214"/>
      <c r="K342" s="268"/>
      <c r="L342" s="214"/>
      <c r="M342" s="269"/>
      <c r="N342" s="214"/>
      <c r="O342" s="214"/>
      <c r="P342" s="214"/>
      <c r="Q342" s="214"/>
      <c r="R342" s="214"/>
      <c r="S342" s="214"/>
      <c r="T342" s="214"/>
      <c r="U342" s="214"/>
      <c r="V342" s="214"/>
      <c r="W342" s="214"/>
      <c r="X342" s="214"/>
      <c r="Y342" s="261"/>
      <c r="Z342" s="262"/>
      <c r="AA342" s="262"/>
      <c r="AB342" s="270"/>
      <c r="AC342" s="214"/>
      <c r="AD342" s="214"/>
      <c r="AE342" s="214"/>
      <c r="AF342" s="214"/>
      <c r="AG342" s="214"/>
      <c r="AH342" s="214"/>
      <c r="AI342" s="261"/>
      <c r="AJ342" s="214"/>
      <c r="AK342" s="261"/>
      <c r="AL342" s="261"/>
      <c r="AM342" s="264"/>
      <c r="AN342" s="214"/>
      <c r="AO342" s="271"/>
      <c r="AP342" s="271"/>
      <c r="AQ342" s="271"/>
      <c r="AR342" s="271"/>
      <c r="AS342" s="272"/>
      <c r="AT342" s="272"/>
      <c r="AU342" s="214"/>
      <c r="AV342" s="214"/>
    </row>
    <row r="343" ht="15.75" customHeight="1">
      <c r="A343" s="214"/>
      <c r="B343" s="261"/>
      <c r="C343" s="266"/>
      <c r="D343" s="267"/>
      <c r="E343" s="214"/>
      <c r="F343" s="214"/>
      <c r="G343" s="214"/>
      <c r="H343" s="214"/>
      <c r="I343" s="214"/>
      <c r="J343" s="214"/>
      <c r="K343" s="268"/>
      <c r="L343" s="214"/>
      <c r="M343" s="269"/>
      <c r="N343" s="214"/>
      <c r="O343" s="214"/>
      <c r="P343" s="214"/>
      <c r="Q343" s="214"/>
      <c r="R343" s="214"/>
      <c r="S343" s="214"/>
      <c r="T343" s="214"/>
      <c r="U343" s="214"/>
      <c r="V343" s="214"/>
      <c r="W343" s="214"/>
      <c r="X343" s="214"/>
      <c r="Y343" s="261"/>
      <c r="Z343" s="262"/>
      <c r="AA343" s="262"/>
      <c r="AB343" s="270"/>
      <c r="AC343" s="214"/>
      <c r="AD343" s="214"/>
      <c r="AE343" s="214"/>
      <c r="AF343" s="214"/>
      <c r="AG343" s="214"/>
      <c r="AH343" s="214"/>
      <c r="AI343" s="261"/>
      <c r="AJ343" s="214"/>
      <c r="AK343" s="261"/>
      <c r="AL343" s="261"/>
      <c r="AM343" s="264"/>
      <c r="AN343" s="214"/>
      <c r="AO343" s="271"/>
      <c r="AP343" s="271"/>
      <c r="AQ343" s="271"/>
      <c r="AR343" s="271"/>
      <c r="AS343" s="272"/>
      <c r="AT343" s="272"/>
      <c r="AU343" s="214"/>
      <c r="AV343" s="214"/>
    </row>
    <row r="344" ht="15.75" customHeight="1">
      <c r="A344" s="214"/>
      <c r="B344" s="261"/>
      <c r="C344" s="266"/>
      <c r="D344" s="267"/>
      <c r="E344" s="214"/>
      <c r="F344" s="214"/>
      <c r="G344" s="214"/>
      <c r="H344" s="214"/>
      <c r="I344" s="214"/>
      <c r="J344" s="214"/>
      <c r="K344" s="268"/>
      <c r="L344" s="214"/>
      <c r="M344" s="269"/>
      <c r="N344" s="214"/>
      <c r="O344" s="214"/>
      <c r="P344" s="214"/>
      <c r="Q344" s="214"/>
      <c r="R344" s="214"/>
      <c r="S344" s="214"/>
      <c r="T344" s="214"/>
      <c r="U344" s="214"/>
      <c r="V344" s="214"/>
      <c r="W344" s="214"/>
      <c r="X344" s="214"/>
      <c r="Y344" s="261"/>
      <c r="Z344" s="262"/>
      <c r="AA344" s="262"/>
      <c r="AB344" s="270"/>
      <c r="AC344" s="214"/>
      <c r="AD344" s="214"/>
      <c r="AE344" s="214"/>
      <c r="AF344" s="214"/>
      <c r="AG344" s="214"/>
      <c r="AH344" s="214"/>
      <c r="AI344" s="261"/>
      <c r="AJ344" s="214"/>
      <c r="AK344" s="261"/>
      <c r="AL344" s="261"/>
      <c r="AM344" s="264"/>
      <c r="AN344" s="214"/>
      <c r="AO344" s="271"/>
      <c r="AP344" s="271"/>
      <c r="AQ344" s="271"/>
      <c r="AR344" s="271"/>
      <c r="AS344" s="272"/>
      <c r="AT344" s="272"/>
      <c r="AU344" s="214"/>
      <c r="AV344" s="214"/>
    </row>
    <row r="345" ht="15.75" customHeight="1">
      <c r="A345" s="214"/>
      <c r="B345" s="261"/>
      <c r="C345" s="266"/>
      <c r="D345" s="267"/>
      <c r="E345" s="214"/>
      <c r="F345" s="214"/>
      <c r="G345" s="214"/>
      <c r="H345" s="214"/>
      <c r="I345" s="214"/>
      <c r="J345" s="214"/>
      <c r="K345" s="268"/>
      <c r="L345" s="214"/>
      <c r="M345" s="269"/>
      <c r="N345" s="214"/>
      <c r="O345" s="214"/>
      <c r="P345" s="214"/>
      <c r="Q345" s="214"/>
      <c r="R345" s="214"/>
      <c r="S345" s="214"/>
      <c r="T345" s="214"/>
      <c r="U345" s="214"/>
      <c r="V345" s="214"/>
      <c r="W345" s="214"/>
      <c r="X345" s="214"/>
      <c r="Y345" s="261"/>
      <c r="Z345" s="262"/>
      <c r="AA345" s="262"/>
      <c r="AB345" s="270"/>
      <c r="AC345" s="214"/>
      <c r="AD345" s="214"/>
      <c r="AE345" s="214"/>
      <c r="AF345" s="214"/>
      <c r="AG345" s="214"/>
      <c r="AH345" s="214"/>
      <c r="AI345" s="261"/>
      <c r="AJ345" s="214"/>
      <c r="AK345" s="261"/>
      <c r="AL345" s="261"/>
      <c r="AM345" s="264"/>
      <c r="AN345" s="214"/>
      <c r="AO345" s="271"/>
      <c r="AP345" s="271"/>
      <c r="AQ345" s="271"/>
      <c r="AR345" s="271"/>
      <c r="AS345" s="272"/>
      <c r="AT345" s="272"/>
      <c r="AU345" s="214"/>
      <c r="AV345" s="214"/>
    </row>
    <row r="346" ht="15.75" customHeight="1">
      <c r="A346" s="214"/>
      <c r="B346" s="261"/>
      <c r="C346" s="266"/>
      <c r="D346" s="267"/>
      <c r="E346" s="214"/>
      <c r="F346" s="214"/>
      <c r="G346" s="214"/>
      <c r="H346" s="214"/>
      <c r="I346" s="214"/>
      <c r="J346" s="214"/>
      <c r="K346" s="268"/>
      <c r="L346" s="214"/>
      <c r="M346" s="269"/>
      <c r="N346" s="214"/>
      <c r="O346" s="214"/>
      <c r="P346" s="214"/>
      <c r="Q346" s="214"/>
      <c r="R346" s="214"/>
      <c r="S346" s="214"/>
      <c r="T346" s="214"/>
      <c r="U346" s="214"/>
      <c r="V346" s="214"/>
      <c r="W346" s="214"/>
      <c r="X346" s="214"/>
      <c r="Y346" s="261"/>
      <c r="Z346" s="262"/>
      <c r="AA346" s="262"/>
      <c r="AB346" s="270"/>
      <c r="AC346" s="214"/>
      <c r="AD346" s="214"/>
      <c r="AE346" s="214"/>
      <c r="AF346" s="214"/>
      <c r="AG346" s="214"/>
      <c r="AH346" s="214"/>
      <c r="AI346" s="261"/>
      <c r="AJ346" s="214"/>
      <c r="AK346" s="261"/>
      <c r="AL346" s="261"/>
      <c r="AM346" s="264"/>
      <c r="AN346" s="214"/>
      <c r="AO346" s="271"/>
      <c r="AP346" s="271"/>
      <c r="AQ346" s="271"/>
      <c r="AR346" s="271"/>
      <c r="AS346" s="272"/>
      <c r="AT346" s="272"/>
      <c r="AU346" s="214"/>
      <c r="AV346" s="214"/>
    </row>
    <row r="347" ht="15.75" customHeight="1">
      <c r="A347" s="214"/>
      <c r="B347" s="261"/>
      <c r="C347" s="266"/>
      <c r="D347" s="267"/>
      <c r="E347" s="214"/>
      <c r="F347" s="214"/>
      <c r="G347" s="214"/>
      <c r="H347" s="214"/>
      <c r="I347" s="214"/>
      <c r="J347" s="214"/>
      <c r="K347" s="268"/>
      <c r="L347" s="214"/>
      <c r="M347" s="269"/>
      <c r="N347" s="214"/>
      <c r="O347" s="214"/>
      <c r="P347" s="214"/>
      <c r="Q347" s="214"/>
      <c r="R347" s="214"/>
      <c r="S347" s="214"/>
      <c r="T347" s="214"/>
      <c r="U347" s="214"/>
      <c r="V347" s="214"/>
      <c r="W347" s="214"/>
      <c r="X347" s="214"/>
      <c r="Y347" s="261"/>
      <c r="Z347" s="262"/>
      <c r="AA347" s="262"/>
      <c r="AB347" s="270"/>
      <c r="AC347" s="214"/>
      <c r="AD347" s="214"/>
      <c r="AE347" s="214"/>
      <c r="AF347" s="214"/>
      <c r="AG347" s="214"/>
      <c r="AH347" s="214"/>
      <c r="AI347" s="261"/>
      <c r="AJ347" s="214"/>
      <c r="AK347" s="261"/>
      <c r="AL347" s="261"/>
      <c r="AM347" s="264"/>
      <c r="AN347" s="214"/>
      <c r="AO347" s="271"/>
      <c r="AP347" s="271"/>
      <c r="AQ347" s="271"/>
      <c r="AR347" s="271"/>
      <c r="AS347" s="272"/>
      <c r="AT347" s="272"/>
      <c r="AU347" s="214"/>
      <c r="AV347" s="214"/>
    </row>
    <row r="348" ht="15.75" customHeight="1">
      <c r="A348" s="214"/>
      <c r="B348" s="261"/>
      <c r="C348" s="266"/>
      <c r="D348" s="267"/>
      <c r="E348" s="214"/>
      <c r="F348" s="214"/>
      <c r="G348" s="214"/>
      <c r="H348" s="214"/>
      <c r="I348" s="214"/>
      <c r="J348" s="214"/>
      <c r="K348" s="268"/>
      <c r="L348" s="214"/>
      <c r="M348" s="269"/>
      <c r="N348" s="214"/>
      <c r="O348" s="214"/>
      <c r="P348" s="214"/>
      <c r="Q348" s="214"/>
      <c r="R348" s="214"/>
      <c r="S348" s="214"/>
      <c r="T348" s="214"/>
      <c r="U348" s="214"/>
      <c r="V348" s="214"/>
      <c r="W348" s="214"/>
      <c r="X348" s="214"/>
      <c r="Y348" s="261"/>
      <c r="Z348" s="262"/>
      <c r="AA348" s="262"/>
      <c r="AB348" s="270"/>
      <c r="AC348" s="214"/>
      <c r="AD348" s="214"/>
      <c r="AE348" s="214"/>
      <c r="AF348" s="214"/>
      <c r="AG348" s="214"/>
      <c r="AH348" s="214"/>
      <c r="AI348" s="261"/>
      <c r="AJ348" s="214"/>
      <c r="AK348" s="261"/>
      <c r="AL348" s="261"/>
      <c r="AM348" s="264"/>
      <c r="AN348" s="214"/>
      <c r="AO348" s="271"/>
      <c r="AP348" s="271"/>
      <c r="AQ348" s="271"/>
      <c r="AR348" s="271"/>
      <c r="AS348" s="272"/>
      <c r="AT348" s="272"/>
      <c r="AU348" s="214"/>
      <c r="AV348" s="214"/>
    </row>
    <row r="349" ht="15.75" customHeight="1">
      <c r="A349" s="214"/>
      <c r="B349" s="261"/>
      <c r="C349" s="266"/>
      <c r="D349" s="267"/>
      <c r="E349" s="214"/>
      <c r="F349" s="214"/>
      <c r="G349" s="214"/>
      <c r="H349" s="214"/>
      <c r="I349" s="214"/>
      <c r="J349" s="214"/>
      <c r="K349" s="268"/>
      <c r="L349" s="214"/>
      <c r="M349" s="269"/>
      <c r="N349" s="214"/>
      <c r="O349" s="214"/>
      <c r="P349" s="214"/>
      <c r="Q349" s="214"/>
      <c r="R349" s="214"/>
      <c r="S349" s="214"/>
      <c r="T349" s="214"/>
      <c r="U349" s="214"/>
      <c r="V349" s="214"/>
      <c r="W349" s="214"/>
      <c r="X349" s="214"/>
      <c r="Y349" s="261"/>
      <c r="Z349" s="262"/>
      <c r="AA349" s="262"/>
      <c r="AB349" s="270"/>
      <c r="AC349" s="214"/>
      <c r="AD349" s="214"/>
      <c r="AE349" s="214"/>
      <c r="AF349" s="214"/>
      <c r="AG349" s="214"/>
      <c r="AH349" s="214"/>
      <c r="AI349" s="261"/>
      <c r="AJ349" s="214"/>
      <c r="AK349" s="261"/>
      <c r="AL349" s="261"/>
      <c r="AM349" s="264"/>
      <c r="AN349" s="214"/>
      <c r="AO349" s="271"/>
      <c r="AP349" s="271"/>
      <c r="AQ349" s="271"/>
      <c r="AR349" s="271"/>
      <c r="AS349" s="272"/>
      <c r="AT349" s="272"/>
      <c r="AU349" s="214"/>
      <c r="AV349" s="214"/>
    </row>
    <row r="350" ht="15.75" customHeight="1">
      <c r="A350" s="214"/>
      <c r="B350" s="261"/>
      <c r="C350" s="266"/>
      <c r="D350" s="267"/>
      <c r="E350" s="214"/>
      <c r="F350" s="214"/>
      <c r="G350" s="214"/>
      <c r="H350" s="214"/>
      <c r="I350" s="214"/>
      <c r="J350" s="214"/>
      <c r="K350" s="268"/>
      <c r="L350" s="214"/>
      <c r="M350" s="269"/>
      <c r="N350" s="214"/>
      <c r="O350" s="214"/>
      <c r="P350" s="214"/>
      <c r="Q350" s="214"/>
      <c r="R350" s="214"/>
      <c r="S350" s="214"/>
      <c r="T350" s="214"/>
      <c r="U350" s="214"/>
      <c r="V350" s="214"/>
      <c r="W350" s="214"/>
      <c r="X350" s="214"/>
      <c r="Y350" s="261"/>
      <c r="Z350" s="262"/>
      <c r="AA350" s="262"/>
      <c r="AB350" s="270"/>
      <c r="AC350" s="214"/>
      <c r="AD350" s="214"/>
      <c r="AE350" s="214"/>
      <c r="AF350" s="214"/>
      <c r="AG350" s="214"/>
      <c r="AH350" s="214"/>
      <c r="AI350" s="261"/>
      <c r="AJ350" s="214"/>
      <c r="AK350" s="261"/>
      <c r="AL350" s="261"/>
      <c r="AM350" s="264"/>
      <c r="AN350" s="214"/>
      <c r="AO350" s="271"/>
      <c r="AP350" s="271"/>
      <c r="AQ350" s="271"/>
      <c r="AR350" s="271"/>
      <c r="AS350" s="272"/>
      <c r="AT350" s="272"/>
      <c r="AU350" s="214"/>
      <c r="AV350" s="214"/>
    </row>
    <row r="351" ht="15.75" customHeight="1">
      <c r="A351" s="214"/>
      <c r="B351" s="261"/>
      <c r="C351" s="266"/>
      <c r="D351" s="267"/>
      <c r="E351" s="214"/>
      <c r="F351" s="214"/>
      <c r="G351" s="214"/>
      <c r="H351" s="214"/>
      <c r="I351" s="214"/>
      <c r="J351" s="214"/>
      <c r="K351" s="268"/>
      <c r="L351" s="214"/>
      <c r="M351" s="269"/>
      <c r="N351" s="214"/>
      <c r="O351" s="214"/>
      <c r="P351" s="214"/>
      <c r="Q351" s="214"/>
      <c r="R351" s="214"/>
      <c r="S351" s="214"/>
      <c r="T351" s="214"/>
      <c r="U351" s="214"/>
      <c r="V351" s="214"/>
      <c r="W351" s="214"/>
      <c r="X351" s="214"/>
      <c r="Y351" s="261"/>
      <c r="Z351" s="262"/>
      <c r="AA351" s="262"/>
      <c r="AB351" s="270"/>
      <c r="AC351" s="214"/>
      <c r="AD351" s="214"/>
      <c r="AE351" s="214"/>
      <c r="AF351" s="214"/>
      <c r="AG351" s="214"/>
      <c r="AH351" s="214"/>
      <c r="AI351" s="261"/>
      <c r="AJ351" s="214"/>
      <c r="AK351" s="261"/>
      <c r="AL351" s="261"/>
      <c r="AM351" s="264"/>
      <c r="AN351" s="214"/>
      <c r="AO351" s="271"/>
      <c r="AP351" s="271"/>
      <c r="AQ351" s="271"/>
      <c r="AR351" s="271"/>
      <c r="AS351" s="272"/>
      <c r="AT351" s="272"/>
      <c r="AU351" s="214"/>
      <c r="AV351" s="214"/>
    </row>
    <row r="352" ht="15.75" customHeight="1">
      <c r="A352" s="214"/>
      <c r="B352" s="261"/>
      <c r="C352" s="266"/>
      <c r="D352" s="267"/>
      <c r="E352" s="214"/>
      <c r="F352" s="214"/>
      <c r="G352" s="214"/>
      <c r="H352" s="214"/>
      <c r="I352" s="214"/>
      <c r="J352" s="214"/>
      <c r="K352" s="268"/>
      <c r="L352" s="214"/>
      <c r="M352" s="269"/>
      <c r="N352" s="214"/>
      <c r="O352" s="214"/>
      <c r="P352" s="214"/>
      <c r="Q352" s="214"/>
      <c r="R352" s="214"/>
      <c r="S352" s="214"/>
      <c r="T352" s="214"/>
      <c r="U352" s="214"/>
      <c r="V352" s="214"/>
      <c r="W352" s="214"/>
      <c r="X352" s="214"/>
      <c r="Y352" s="261"/>
      <c r="Z352" s="262"/>
      <c r="AA352" s="262"/>
      <c r="AB352" s="270"/>
      <c r="AC352" s="214"/>
      <c r="AD352" s="214"/>
      <c r="AE352" s="214"/>
      <c r="AF352" s="214"/>
      <c r="AG352" s="214"/>
      <c r="AH352" s="214"/>
      <c r="AI352" s="261"/>
      <c r="AJ352" s="214"/>
      <c r="AK352" s="261"/>
      <c r="AL352" s="261"/>
      <c r="AM352" s="264"/>
      <c r="AN352" s="214"/>
      <c r="AO352" s="271"/>
      <c r="AP352" s="271"/>
      <c r="AQ352" s="271"/>
      <c r="AR352" s="271"/>
      <c r="AS352" s="272"/>
      <c r="AT352" s="272"/>
      <c r="AU352" s="214"/>
      <c r="AV352" s="214"/>
    </row>
    <row r="353" ht="15.75" customHeight="1">
      <c r="A353" s="214"/>
      <c r="B353" s="261"/>
      <c r="C353" s="266"/>
      <c r="D353" s="267"/>
      <c r="E353" s="214"/>
      <c r="F353" s="214"/>
      <c r="G353" s="214"/>
      <c r="H353" s="214"/>
      <c r="I353" s="214"/>
      <c r="J353" s="214"/>
      <c r="K353" s="268"/>
      <c r="L353" s="214"/>
      <c r="M353" s="269"/>
      <c r="N353" s="214"/>
      <c r="O353" s="214"/>
      <c r="P353" s="214"/>
      <c r="Q353" s="214"/>
      <c r="R353" s="214"/>
      <c r="S353" s="214"/>
      <c r="T353" s="214"/>
      <c r="U353" s="214"/>
      <c r="V353" s="214"/>
      <c r="W353" s="214"/>
      <c r="X353" s="214"/>
      <c r="Y353" s="261"/>
      <c r="Z353" s="262"/>
      <c r="AA353" s="262"/>
      <c r="AB353" s="270"/>
      <c r="AC353" s="214"/>
      <c r="AD353" s="214"/>
      <c r="AE353" s="214"/>
      <c r="AF353" s="214"/>
      <c r="AG353" s="214"/>
      <c r="AH353" s="214"/>
      <c r="AI353" s="261"/>
      <c r="AJ353" s="214"/>
      <c r="AK353" s="261"/>
      <c r="AL353" s="261"/>
      <c r="AM353" s="264"/>
      <c r="AN353" s="214"/>
      <c r="AO353" s="271"/>
      <c r="AP353" s="271"/>
      <c r="AQ353" s="271"/>
      <c r="AR353" s="271"/>
      <c r="AS353" s="272"/>
      <c r="AT353" s="272"/>
      <c r="AU353" s="214"/>
      <c r="AV353" s="214"/>
    </row>
    <row r="354" ht="15.75" customHeight="1">
      <c r="A354" s="214"/>
      <c r="B354" s="261"/>
      <c r="C354" s="266"/>
      <c r="D354" s="267"/>
      <c r="E354" s="214"/>
      <c r="F354" s="214"/>
      <c r="G354" s="214"/>
      <c r="H354" s="214"/>
      <c r="I354" s="214"/>
      <c r="J354" s="214"/>
      <c r="K354" s="268"/>
      <c r="L354" s="214"/>
      <c r="M354" s="269"/>
      <c r="N354" s="214"/>
      <c r="O354" s="214"/>
      <c r="P354" s="214"/>
      <c r="Q354" s="214"/>
      <c r="R354" s="214"/>
      <c r="S354" s="214"/>
      <c r="T354" s="214"/>
      <c r="U354" s="214"/>
      <c r="V354" s="214"/>
      <c r="W354" s="214"/>
      <c r="X354" s="214"/>
      <c r="Y354" s="261"/>
      <c r="Z354" s="262"/>
      <c r="AA354" s="262"/>
      <c r="AB354" s="270"/>
      <c r="AC354" s="214"/>
      <c r="AD354" s="214"/>
      <c r="AE354" s="214"/>
      <c r="AF354" s="214"/>
      <c r="AG354" s="214"/>
      <c r="AH354" s="214"/>
      <c r="AI354" s="261"/>
      <c r="AJ354" s="214"/>
      <c r="AK354" s="261"/>
      <c r="AL354" s="261"/>
      <c r="AM354" s="264"/>
      <c r="AN354" s="214"/>
      <c r="AO354" s="271"/>
      <c r="AP354" s="271"/>
      <c r="AQ354" s="271"/>
      <c r="AR354" s="271"/>
      <c r="AS354" s="272"/>
      <c r="AT354" s="272"/>
      <c r="AU354" s="214"/>
      <c r="AV354" s="214"/>
    </row>
    <row r="355" ht="15.75" customHeight="1">
      <c r="A355" s="214"/>
      <c r="B355" s="261"/>
      <c r="C355" s="266"/>
      <c r="D355" s="267"/>
      <c r="E355" s="214"/>
      <c r="F355" s="214"/>
      <c r="G355" s="214"/>
      <c r="H355" s="214"/>
      <c r="I355" s="214"/>
      <c r="J355" s="214"/>
      <c r="K355" s="268"/>
      <c r="L355" s="214"/>
      <c r="M355" s="269"/>
      <c r="N355" s="214"/>
      <c r="O355" s="214"/>
      <c r="P355" s="214"/>
      <c r="Q355" s="214"/>
      <c r="R355" s="214"/>
      <c r="S355" s="214"/>
      <c r="T355" s="214"/>
      <c r="U355" s="214"/>
      <c r="V355" s="214"/>
      <c r="W355" s="214"/>
      <c r="X355" s="214"/>
      <c r="Y355" s="261"/>
      <c r="Z355" s="262"/>
      <c r="AA355" s="262"/>
      <c r="AB355" s="270"/>
      <c r="AC355" s="214"/>
      <c r="AD355" s="214"/>
      <c r="AE355" s="214"/>
      <c r="AF355" s="214"/>
      <c r="AG355" s="214"/>
      <c r="AH355" s="214"/>
      <c r="AI355" s="261"/>
      <c r="AJ355" s="214"/>
      <c r="AK355" s="261"/>
      <c r="AL355" s="261"/>
      <c r="AM355" s="264"/>
      <c r="AN355" s="214"/>
      <c r="AO355" s="271"/>
      <c r="AP355" s="271"/>
      <c r="AQ355" s="271"/>
      <c r="AR355" s="271"/>
      <c r="AS355" s="272"/>
      <c r="AT355" s="272"/>
      <c r="AU355" s="214"/>
      <c r="AV355" s="214"/>
    </row>
    <row r="356" ht="15.75" customHeight="1">
      <c r="A356" s="214"/>
      <c r="B356" s="261"/>
      <c r="C356" s="266"/>
      <c r="D356" s="267"/>
      <c r="E356" s="214"/>
      <c r="F356" s="214"/>
      <c r="G356" s="214"/>
      <c r="H356" s="214"/>
      <c r="I356" s="214"/>
      <c r="J356" s="214"/>
      <c r="K356" s="268"/>
      <c r="L356" s="214"/>
      <c r="M356" s="269"/>
      <c r="N356" s="214"/>
      <c r="O356" s="214"/>
      <c r="P356" s="214"/>
      <c r="Q356" s="214"/>
      <c r="R356" s="214"/>
      <c r="S356" s="214"/>
      <c r="T356" s="214"/>
      <c r="U356" s="214"/>
      <c r="V356" s="214"/>
      <c r="W356" s="214"/>
      <c r="X356" s="214"/>
      <c r="Y356" s="261"/>
      <c r="Z356" s="262"/>
      <c r="AA356" s="262"/>
      <c r="AB356" s="270"/>
      <c r="AC356" s="214"/>
      <c r="AD356" s="214"/>
      <c r="AE356" s="214"/>
      <c r="AF356" s="214"/>
      <c r="AG356" s="214"/>
      <c r="AH356" s="214"/>
      <c r="AI356" s="261"/>
      <c r="AJ356" s="214"/>
      <c r="AK356" s="261"/>
      <c r="AL356" s="261"/>
      <c r="AM356" s="264"/>
      <c r="AN356" s="214"/>
      <c r="AO356" s="271"/>
      <c r="AP356" s="271"/>
      <c r="AQ356" s="271"/>
      <c r="AR356" s="271"/>
      <c r="AS356" s="272"/>
      <c r="AT356" s="272"/>
      <c r="AU356" s="214"/>
      <c r="AV356" s="214"/>
    </row>
    <row r="357" ht="15.75" customHeight="1">
      <c r="A357" s="214"/>
      <c r="B357" s="261"/>
      <c r="C357" s="266"/>
      <c r="D357" s="267"/>
      <c r="E357" s="214"/>
      <c r="F357" s="214"/>
      <c r="G357" s="214"/>
      <c r="H357" s="214"/>
      <c r="I357" s="214"/>
      <c r="J357" s="214"/>
      <c r="K357" s="268"/>
      <c r="L357" s="214"/>
      <c r="M357" s="269"/>
      <c r="N357" s="214"/>
      <c r="O357" s="214"/>
      <c r="P357" s="214"/>
      <c r="Q357" s="214"/>
      <c r="R357" s="214"/>
      <c r="S357" s="214"/>
      <c r="T357" s="214"/>
      <c r="U357" s="214"/>
      <c r="V357" s="214"/>
      <c r="W357" s="214"/>
      <c r="X357" s="214"/>
      <c r="Y357" s="261"/>
      <c r="Z357" s="262"/>
      <c r="AA357" s="262"/>
      <c r="AB357" s="270"/>
      <c r="AC357" s="214"/>
      <c r="AD357" s="214"/>
      <c r="AE357" s="214"/>
      <c r="AF357" s="214"/>
      <c r="AG357" s="214"/>
      <c r="AH357" s="214"/>
      <c r="AI357" s="261"/>
      <c r="AJ357" s="214"/>
      <c r="AK357" s="261"/>
      <c r="AL357" s="261"/>
      <c r="AM357" s="264"/>
      <c r="AN357" s="214"/>
      <c r="AO357" s="271"/>
      <c r="AP357" s="271"/>
      <c r="AQ357" s="271"/>
      <c r="AR357" s="271"/>
      <c r="AS357" s="272"/>
      <c r="AT357" s="272"/>
      <c r="AU357" s="214"/>
      <c r="AV357" s="214"/>
    </row>
    <row r="358" ht="15.75" customHeight="1">
      <c r="A358" s="214"/>
      <c r="B358" s="261"/>
      <c r="C358" s="266"/>
      <c r="D358" s="267"/>
      <c r="E358" s="214"/>
      <c r="F358" s="214"/>
      <c r="G358" s="214"/>
      <c r="H358" s="214"/>
      <c r="I358" s="214"/>
      <c r="J358" s="214"/>
      <c r="K358" s="268"/>
      <c r="L358" s="214"/>
      <c r="M358" s="269"/>
      <c r="N358" s="214"/>
      <c r="O358" s="214"/>
      <c r="P358" s="214"/>
      <c r="Q358" s="214"/>
      <c r="R358" s="214"/>
      <c r="S358" s="214"/>
      <c r="T358" s="214"/>
      <c r="U358" s="214"/>
      <c r="V358" s="214"/>
      <c r="W358" s="214"/>
      <c r="X358" s="214"/>
      <c r="Y358" s="261"/>
      <c r="Z358" s="262"/>
      <c r="AA358" s="262"/>
      <c r="AB358" s="270"/>
      <c r="AC358" s="214"/>
      <c r="AD358" s="214"/>
      <c r="AE358" s="214"/>
      <c r="AF358" s="214"/>
      <c r="AG358" s="214"/>
      <c r="AH358" s="214"/>
      <c r="AI358" s="261"/>
      <c r="AJ358" s="214"/>
      <c r="AK358" s="261"/>
      <c r="AL358" s="261"/>
      <c r="AM358" s="264"/>
      <c r="AN358" s="214"/>
      <c r="AO358" s="271"/>
      <c r="AP358" s="271"/>
      <c r="AQ358" s="271"/>
      <c r="AR358" s="271"/>
      <c r="AS358" s="272"/>
      <c r="AT358" s="272"/>
      <c r="AU358" s="214"/>
      <c r="AV358" s="214"/>
    </row>
    <row r="359" ht="15.75" customHeight="1">
      <c r="A359" s="214"/>
      <c r="B359" s="261"/>
      <c r="C359" s="266"/>
      <c r="D359" s="267"/>
      <c r="E359" s="214"/>
      <c r="F359" s="214"/>
      <c r="G359" s="214"/>
      <c r="H359" s="214"/>
      <c r="I359" s="214"/>
      <c r="J359" s="214"/>
      <c r="K359" s="268"/>
      <c r="L359" s="214"/>
      <c r="M359" s="269"/>
      <c r="N359" s="214"/>
      <c r="O359" s="214"/>
      <c r="P359" s="214"/>
      <c r="Q359" s="214"/>
      <c r="R359" s="214"/>
      <c r="S359" s="214"/>
      <c r="T359" s="214"/>
      <c r="U359" s="214"/>
      <c r="V359" s="214"/>
      <c r="W359" s="214"/>
      <c r="X359" s="214"/>
      <c r="Y359" s="261"/>
      <c r="Z359" s="262"/>
      <c r="AA359" s="262"/>
      <c r="AB359" s="270"/>
      <c r="AC359" s="214"/>
      <c r="AD359" s="214"/>
      <c r="AE359" s="214"/>
      <c r="AF359" s="214"/>
      <c r="AG359" s="214"/>
      <c r="AH359" s="214"/>
      <c r="AI359" s="261"/>
      <c r="AJ359" s="214"/>
      <c r="AK359" s="261"/>
      <c r="AL359" s="261"/>
      <c r="AM359" s="264"/>
      <c r="AN359" s="214"/>
      <c r="AO359" s="271"/>
      <c r="AP359" s="271"/>
      <c r="AQ359" s="271"/>
      <c r="AR359" s="271"/>
      <c r="AS359" s="272"/>
      <c r="AT359" s="272"/>
      <c r="AU359" s="214"/>
      <c r="AV359" s="214"/>
    </row>
    <row r="360" ht="15.75" customHeight="1">
      <c r="A360" s="214"/>
      <c r="B360" s="261"/>
      <c r="C360" s="266"/>
      <c r="D360" s="267"/>
      <c r="E360" s="214"/>
      <c r="F360" s="214"/>
      <c r="G360" s="214"/>
      <c r="H360" s="214"/>
      <c r="I360" s="214"/>
      <c r="J360" s="214"/>
      <c r="K360" s="268"/>
      <c r="L360" s="214"/>
      <c r="M360" s="269"/>
      <c r="N360" s="214"/>
      <c r="O360" s="214"/>
      <c r="P360" s="214"/>
      <c r="Q360" s="214"/>
      <c r="R360" s="214"/>
      <c r="S360" s="214"/>
      <c r="T360" s="214"/>
      <c r="U360" s="214"/>
      <c r="V360" s="214"/>
      <c r="W360" s="214"/>
      <c r="X360" s="214"/>
      <c r="Y360" s="261"/>
      <c r="Z360" s="262"/>
      <c r="AA360" s="262"/>
      <c r="AB360" s="270"/>
      <c r="AC360" s="214"/>
      <c r="AD360" s="214"/>
      <c r="AE360" s="214"/>
      <c r="AF360" s="214"/>
      <c r="AG360" s="214"/>
      <c r="AH360" s="214"/>
      <c r="AI360" s="261"/>
      <c r="AJ360" s="214"/>
      <c r="AK360" s="261"/>
      <c r="AL360" s="261"/>
      <c r="AM360" s="264"/>
      <c r="AN360" s="214"/>
      <c r="AO360" s="271"/>
      <c r="AP360" s="271"/>
      <c r="AQ360" s="271"/>
      <c r="AR360" s="271"/>
      <c r="AS360" s="272"/>
      <c r="AT360" s="272"/>
      <c r="AU360" s="214"/>
      <c r="AV360" s="214"/>
    </row>
    <row r="361" ht="15.75" customHeight="1">
      <c r="A361" s="214"/>
      <c r="B361" s="261"/>
      <c r="C361" s="266"/>
      <c r="D361" s="267"/>
      <c r="E361" s="214"/>
      <c r="F361" s="214"/>
      <c r="G361" s="214"/>
      <c r="H361" s="214"/>
      <c r="I361" s="214"/>
      <c r="J361" s="214"/>
      <c r="K361" s="268"/>
      <c r="L361" s="214"/>
      <c r="M361" s="269"/>
      <c r="N361" s="214"/>
      <c r="O361" s="214"/>
      <c r="P361" s="214"/>
      <c r="Q361" s="214"/>
      <c r="R361" s="214"/>
      <c r="S361" s="214"/>
      <c r="T361" s="214"/>
      <c r="U361" s="214"/>
      <c r="V361" s="214"/>
      <c r="W361" s="214"/>
      <c r="X361" s="214"/>
      <c r="Y361" s="261"/>
      <c r="Z361" s="262"/>
      <c r="AA361" s="262"/>
      <c r="AB361" s="270"/>
      <c r="AC361" s="214"/>
      <c r="AD361" s="214"/>
      <c r="AE361" s="214"/>
      <c r="AF361" s="214"/>
      <c r="AG361" s="214"/>
      <c r="AH361" s="214"/>
      <c r="AI361" s="261"/>
      <c r="AJ361" s="214"/>
      <c r="AK361" s="261"/>
      <c r="AL361" s="261"/>
      <c r="AM361" s="264"/>
      <c r="AN361" s="214"/>
      <c r="AO361" s="271"/>
      <c r="AP361" s="271"/>
      <c r="AQ361" s="271"/>
      <c r="AR361" s="271"/>
      <c r="AS361" s="272"/>
      <c r="AT361" s="272"/>
      <c r="AU361" s="214"/>
      <c r="AV361" s="214"/>
    </row>
    <row r="362" ht="15.75" customHeight="1">
      <c r="A362" s="214"/>
      <c r="B362" s="261"/>
      <c r="C362" s="266"/>
      <c r="D362" s="267"/>
      <c r="E362" s="214"/>
      <c r="F362" s="214"/>
      <c r="G362" s="214"/>
      <c r="H362" s="214"/>
      <c r="I362" s="214"/>
      <c r="J362" s="214"/>
      <c r="K362" s="268"/>
      <c r="L362" s="214"/>
      <c r="M362" s="269"/>
      <c r="N362" s="214"/>
      <c r="O362" s="214"/>
      <c r="P362" s="214"/>
      <c r="Q362" s="214"/>
      <c r="R362" s="214"/>
      <c r="S362" s="214"/>
      <c r="T362" s="214"/>
      <c r="U362" s="214"/>
      <c r="V362" s="214"/>
      <c r="W362" s="214"/>
      <c r="X362" s="214"/>
      <c r="Y362" s="261"/>
      <c r="Z362" s="262"/>
      <c r="AA362" s="262"/>
      <c r="AB362" s="270"/>
      <c r="AC362" s="214"/>
      <c r="AD362" s="214"/>
      <c r="AE362" s="214"/>
      <c r="AF362" s="214"/>
      <c r="AG362" s="214"/>
      <c r="AH362" s="214"/>
      <c r="AI362" s="261"/>
      <c r="AJ362" s="214"/>
      <c r="AK362" s="261"/>
      <c r="AL362" s="261"/>
      <c r="AM362" s="264"/>
      <c r="AN362" s="214"/>
      <c r="AO362" s="271"/>
      <c r="AP362" s="271"/>
      <c r="AQ362" s="271"/>
      <c r="AR362" s="271"/>
      <c r="AS362" s="272"/>
      <c r="AT362" s="272"/>
      <c r="AU362" s="214"/>
      <c r="AV362" s="214"/>
    </row>
    <row r="363" ht="15.75" customHeight="1">
      <c r="A363" s="214"/>
      <c r="B363" s="261"/>
      <c r="C363" s="266"/>
      <c r="D363" s="267"/>
      <c r="E363" s="214"/>
      <c r="F363" s="214"/>
      <c r="G363" s="214"/>
      <c r="H363" s="214"/>
      <c r="I363" s="214"/>
      <c r="J363" s="214"/>
      <c r="K363" s="268"/>
      <c r="L363" s="214"/>
      <c r="M363" s="269"/>
      <c r="N363" s="214"/>
      <c r="O363" s="214"/>
      <c r="P363" s="214"/>
      <c r="Q363" s="214"/>
      <c r="R363" s="214"/>
      <c r="S363" s="214"/>
      <c r="T363" s="214"/>
      <c r="U363" s="214"/>
      <c r="V363" s="214"/>
      <c r="W363" s="214"/>
      <c r="X363" s="214"/>
      <c r="Y363" s="261"/>
      <c r="Z363" s="262"/>
      <c r="AA363" s="262"/>
      <c r="AB363" s="270"/>
      <c r="AC363" s="214"/>
      <c r="AD363" s="214"/>
      <c r="AE363" s="214"/>
      <c r="AF363" s="214"/>
      <c r="AG363" s="214"/>
      <c r="AH363" s="214"/>
      <c r="AI363" s="261"/>
      <c r="AJ363" s="214"/>
      <c r="AK363" s="261"/>
      <c r="AL363" s="261"/>
      <c r="AM363" s="264"/>
      <c r="AN363" s="214"/>
      <c r="AO363" s="271"/>
      <c r="AP363" s="271"/>
      <c r="AQ363" s="271"/>
      <c r="AR363" s="271"/>
      <c r="AS363" s="272"/>
      <c r="AT363" s="272"/>
      <c r="AU363" s="214"/>
      <c r="AV363" s="214"/>
    </row>
    <row r="364" ht="15.75" customHeight="1">
      <c r="A364" s="214"/>
      <c r="B364" s="261"/>
      <c r="C364" s="266"/>
      <c r="D364" s="267"/>
      <c r="E364" s="214"/>
      <c r="F364" s="214"/>
      <c r="G364" s="214"/>
      <c r="H364" s="214"/>
      <c r="I364" s="214"/>
      <c r="J364" s="214"/>
      <c r="K364" s="268"/>
      <c r="L364" s="214"/>
      <c r="M364" s="269"/>
      <c r="N364" s="214"/>
      <c r="O364" s="214"/>
      <c r="P364" s="214"/>
      <c r="Q364" s="214"/>
      <c r="R364" s="214"/>
      <c r="S364" s="214"/>
      <c r="T364" s="214"/>
      <c r="U364" s="214"/>
      <c r="V364" s="214"/>
      <c r="W364" s="214"/>
      <c r="X364" s="214"/>
      <c r="Y364" s="261"/>
      <c r="Z364" s="262"/>
      <c r="AA364" s="262"/>
      <c r="AB364" s="270"/>
      <c r="AC364" s="214"/>
      <c r="AD364" s="214"/>
      <c r="AE364" s="214"/>
      <c r="AF364" s="214"/>
      <c r="AG364" s="214"/>
      <c r="AH364" s="214"/>
      <c r="AI364" s="261"/>
      <c r="AJ364" s="214"/>
      <c r="AK364" s="261"/>
      <c r="AL364" s="261"/>
      <c r="AM364" s="264"/>
      <c r="AN364" s="214"/>
      <c r="AO364" s="271"/>
      <c r="AP364" s="271"/>
      <c r="AQ364" s="271"/>
      <c r="AR364" s="271"/>
      <c r="AS364" s="272"/>
      <c r="AT364" s="272"/>
      <c r="AU364" s="214"/>
      <c r="AV364" s="214"/>
    </row>
    <row r="365" ht="15.75" customHeight="1">
      <c r="A365" s="214"/>
      <c r="B365" s="261"/>
      <c r="C365" s="266"/>
      <c r="D365" s="267"/>
      <c r="E365" s="214"/>
      <c r="F365" s="214"/>
      <c r="G365" s="214"/>
      <c r="H365" s="214"/>
      <c r="I365" s="214"/>
      <c r="J365" s="214"/>
      <c r="K365" s="268"/>
      <c r="L365" s="214"/>
      <c r="M365" s="269"/>
      <c r="N365" s="214"/>
      <c r="O365" s="214"/>
      <c r="P365" s="214"/>
      <c r="Q365" s="214"/>
      <c r="R365" s="214"/>
      <c r="S365" s="214"/>
      <c r="T365" s="214"/>
      <c r="U365" s="214"/>
      <c r="V365" s="214"/>
      <c r="W365" s="214"/>
      <c r="X365" s="214"/>
      <c r="Y365" s="261"/>
      <c r="Z365" s="262"/>
      <c r="AA365" s="262"/>
      <c r="AB365" s="270"/>
      <c r="AC365" s="214"/>
      <c r="AD365" s="214"/>
      <c r="AE365" s="214"/>
      <c r="AF365" s="214"/>
      <c r="AG365" s="214"/>
      <c r="AH365" s="214"/>
      <c r="AI365" s="261"/>
      <c r="AJ365" s="214"/>
      <c r="AK365" s="261"/>
      <c r="AL365" s="261"/>
      <c r="AM365" s="264"/>
      <c r="AN365" s="214"/>
      <c r="AO365" s="271"/>
      <c r="AP365" s="271"/>
      <c r="AQ365" s="271"/>
      <c r="AR365" s="271"/>
      <c r="AS365" s="272"/>
      <c r="AT365" s="272"/>
      <c r="AU365" s="214"/>
      <c r="AV365" s="214"/>
    </row>
    <row r="366" ht="15.75" customHeight="1">
      <c r="A366" s="214"/>
      <c r="B366" s="261"/>
      <c r="C366" s="266"/>
      <c r="D366" s="267"/>
      <c r="E366" s="214"/>
      <c r="F366" s="214"/>
      <c r="G366" s="214"/>
      <c r="H366" s="214"/>
      <c r="I366" s="214"/>
      <c r="J366" s="214"/>
      <c r="K366" s="268"/>
      <c r="L366" s="214"/>
      <c r="M366" s="269"/>
      <c r="N366" s="214"/>
      <c r="O366" s="214"/>
      <c r="P366" s="214"/>
      <c r="Q366" s="214"/>
      <c r="R366" s="214"/>
      <c r="S366" s="214"/>
      <c r="T366" s="214"/>
      <c r="U366" s="214"/>
      <c r="V366" s="214"/>
      <c r="W366" s="214"/>
      <c r="X366" s="214"/>
      <c r="Y366" s="261"/>
      <c r="Z366" s="262"/>
      <c r="AA366" s="262"/>
      <c r="AB366" s="270"/>
      <c r="AC366" s="214"/>
      <c r="AD366" s="214"/>
      <c r="AE366" s="214"/>
      <c r="AF366" s="214"/>
      <c r="AG366" s="214"/>
      <c r="AH366" s="214"/>
      <c r="AI366" s="261"/>
      <c r="AJ366" s="214"/>
      <c r="AK366" s="261"/>
      <c r="AL366" s="261"/>
      <c r="AM366" s="264"/>
      <c r="AN366" s="214"/>
      <c r="AO366" s="271"/>
      <c r="AP366" s="271"/>
      <c r="AQ366" s="271"/>
      <c r="AR366" s="271"/>
      <c r="AS366" s="272"/>
      <c r="AT366" s="272"/>
      <c r="AU366" s="214"/>
      <c r="AV366" s="214"/>
    </row>
    <row r="367" ht="15.75" customHeight="1">
      <c r="A367" s="214"/>
      <c r="B367" s="261"/>
      <c r="C367" s="266"/>
      <c r="D367" s="267"/>
      <c r="E367" s="214"/>
      <c r="F367" s="214"/>
      <c r="G367" s="214"/>
      <c r="H367" s="214"/>
      <c r="I367" s="214"/>
      <c r="J367" s="214"/>
      <c r="K367" s="268"/>
      <c r="L367" s="214"/>
      <c r="M367" s="269"/>
      <c r="N367" s="214"/>
      <c r="O367" s="214"/>
      <c r="P367" s="214"/>
      <c r="Q367" s="214"/>
      <c r="R367" s="214"/>
      <c r="S367" s="214"/>
      <c r="T367" s="214"/>
      <c r="U367" s="214"/>
      <c r="V367" s="214"/>
      <c r="W367" s="214"/>
      <c r="X367" s="214"/>
      <c r="Y367" s="261"/>
      <c r="Z367" s="262"/>
      <c r="AA367" s="262"/>
      <c r="AB367" s="270"/>
      <c r="AC367" s="214"/>
      <c r="AD367" s="214"/>
      <c r="AE367" s="214"/>
      <c r="AF367" s="214"/>
      <c r="AG367" s="214"/>
      <c r="AH367" s="214"/>
      <c r="AI367" s="261"/>
      <c r="AJ367" s="214"/>
      <c r="AK367" s="261"/>
      <c r="AL367" s="261"/>
      <c r="AM367" s="264"/>
      <c r="AN367" s="214"/>
      <c r="AO367" s="271"/>
      <c r="AP367" s="271"/>
      <c r="AQ367" s="271"/>
      <c r="AR367" s="271"/>
      <c r="AS367" s="272"/>
      <c r="AT367" s="272"/>
      <c r="AU367" s="214"/>
      <c r="AV367" s="214"/>
    </row>
    <row r="368" ht="15.75" customHeight="1">
      <c r="A368" s="214"/>
      <c r="B368" s="261"/>
      <c r="C368" s="266"/>
      <c r="D368" s="267"/>
      <c r="E368" s="214"/>
      <c r="F368" s="214"/>
      <c r="G368" s="214"/>
      <c r="H368" s="214"/>
      <c r="I368" s="214"/>
      <c r="J368" s="214"/>
      <c r="K368" s="268"/>
      <c r="L368" s="214"/>
      <c r="M368" s="269"/>
      <c r="N368" s="214"/>
      <c r="O368" s="214"/>
      <c r="P368" s="214"/>
      <c r="Q368" s="214"/>
      <c r="R368" s="214"/>
      <c r="S368" s="214"/>
      <c r="T368" s="214"/>
      <c r="U368" s="214"/>
      <c r="V368" s="214"/>
      <c r="W368" s="214"/>
      <c r="X368" s="214"/>
      <c r="Y368" s="261"/>
      <c r="Z368" s="262"/>
      <c r="AA368" s="262"/>
      <c r="AB368" s="270"/>
      <c r="AC368" s="214"/>
      <c r="AD368" s="214"/>
      <c r="AE368" s="214"/>
      <c r="AF368" s="214"/>
      <c r="AG368" s="214"/>
      <c r="AH368" s="214"/>
      <c r="AI368" s="261"/>
      <c r="AJ368" s="214"/>
      <c r="AK368" s="261"/>
      <c r="AL368" s="261"/>
      <c r="AM368" s="264"/>
      <c r="AN368" s="214"/>
      <c r="AO368" s="271"/>
      <c r="AP368" s="271"/>
      <c r="AQ368" s="271"/>
      <c r="AR368" s="271"/>
      <c r="AS368" s="272"/>
      <c r="AT368" s="272"/>
      <c r="AU368" s="214"/>
      <c r="AV368" s="214"/>
    </row>
    <row r="369" ht="15.75" customHeight="1">
      <c r="A369" s="214"/>
      <c r="B369" s="261"/>
      <c r="C369" s="266"/>
      <c r="D369" s="267"/>
      <c r="E369" s="214"/>
      <c r="F369" s="214"/>
      <c r="G369" s="214"/>
      <c r="H369" s="214"/>
      <c r="I369" s="214"/>
      <c r="J369" s="214"/>
      <c r="K369" s="268"/>
      <c r="L369" s="214"/>
      <c r="M369" s="269"/>
      <c r="N369" s="214"/>
      <c r="O369" s="214"/>
      <c r="P369" s="214"/>
      <c r="Q369" s="214"/>
      <c r="R369" s="214"/>
      <c r="S369" s="214"/>
      <c r="T369" s="214"/>
      <c r="U369" s="214"/>
      <c r="V369" s="214"/>
      <c r="W369" s="214"/>
      <c r="X369" s="214"/>
      <c r="Y369" s="261"/>
      <c r="Z369" s="262"/>
      <c r="AA369" s="262"/>
      <c r="AB369" s="270"/>
      <c r="AC369" s="214"/>
      <c r="AD369" s="214"/>
      <c r="AE369" s="214"/>
      <c r="AF369" s="214"/>
      <c r="AG369" s="214"/>
      <c r="AH369" s="214"/>
      <c r="AI369" s="261"/>
      <c r="AJ369" s="214"/>
      <c r="AK369" s="261"/>
      <c r="AL369" s="261"/>
      <c r="AM369" s="264"/>
      <c r="AN369" s="214"/>
      <c r="AO369" s="271"/>
      <c r="AP369" s="271"/>
      <c r="AQ369" s="271"/>
      <c r="AR369" s="271"/>
      <c r="AS369" s="272"/>
      <c r="AT369" s="272"/>
      <c r="AU369" s="214"/>
      <c r="AV369" s="214"/>
    </row>
    <row r="370" ht="15.75" customHeight="1">
      <c r="A370" s="214"/>
      <c r="B370" s="261"/>
      <c r="C370" s="266"/>
      <c r="D370" s="267"/>
      <c r="E370" s="214"/>
      <c r="F370" s="214"/>
      <c r="G370" s="214"/>
      <c r="H370" s="214"/>
      <c r="I370" s="214"/>
      <c r="J370" s="214"/>
      <c r="K370" s="268"/>
      <c r="L370" s="214"/>
      <c r="M370" s="269"/>
      <c r="N370" s="214"/>
      <c r="O370" s="214"/>
      <c r="P370" s="214"/>
      <c r="Q370" s="214"/>
      <c r="R370" s="214"/>
      <c r="S370" s="214"/>
      <c r="T370" s="214"/>
      <c r="U370" s="214"/>
      <c r="V370" s="214"/>
      <c r="W370" s="214"/>
      <c r="X370" s="214"/>
      <c r="Y370" s="261"/>
      <c r="Z370" s="262"/>
      <c r="AA370" s="262"/>
      <c r="AB370" s="270"/>
      <c r="AC370" s="214"/>
      <c r="AD370" s="214"/>
      <c r="AE370" s="214"/>
      <c r="AF370" s="214"/>
      <c r="AG370" s="214"/>
      <c r="AH370" s="214"/>
      <c r="AI370" s="261"/>
      <c r="AJ370" s="214"/>
      <c r="AK370" s="261"/>
      <c r="AL370" s="261"/>
      <c r="AM370" s="264"/>
      <c r="AN370" s="214"/>
      <c r="AO370" s="271"/>
      <c r="AP370" s="271"/>
      <c r="AQ370" s="271"/>
      <c r="AR370" s="271"/>
      <c r="AS370" s="272"/>
      <c r="AT370" s="272"/>
      <c r="AU370" s="214"/>
      <c r="AV370" s="214"/>
    </row>
    <row r="371" ht="15.75" customHeight="1">
      <c r="A371" s="214"/>
      <c r="B371" s="261"/>
      <c r="C371" s="266"/>
      <c r="D371" s="267"/>
      <c r="E371" s="214"/>
      <c r="F371" s="214"/>
      <c r="G371" s="214"/>
      <c r="H371" s="214"/>
      <c r="I371" s="214"/>
      <c r="J371" s="214"/>
      <c r="K371" s="268"/>
      <c r="L371" s="214"/>
      <c r="M371" s="269"/>
      <c r="N371" s="214"/>
      <c r="O371" s="214"/>
      <c r="P371" s="214"/>
      <c r="Q371" s="214"/>
      <c r="R371" s="214"/>
      <c r="S371" s="214"/>
      <c r="T371" s="214"/>
      <c r="U371" s="214"/>
      <c r="V371" s="214"/>
      <c r="W371" s="214"/>
      <c r="X371" s="214"/>
      <c r="Y371" s="261"/>
      <c r="Z371" s="262"/>
      <c r="AA371" s="262"/>
      <c r="AB371" s="270"/>
      <c r="AC371" s="214"/>
      <c r="AD371" s="214"/>
      <c r="AE371" s="214"/>
      <c r="AF371" s="214"/>
      <c r="AG371" s="214"/>
      <c r="AH371" s="214"/>
      <c r="AI371" s="261"/>
      <c r="AJ371" s="214"/>
      <c r="AK371" s="261"/>
      <c r="AL371" s="261"/>
      <c r="AM371" s="264"/>
      <c r="AN371" s="214"/>
      <c r="AO371" s="271"/>
      <c r="AP371" s="271"/>
      <c r="AQ371" s="271"/>
      <c r="AR371" s="271"/>
      <c r="AS371" s="272"/>
      <c r="AT371" s="272"/>
      <c r="AU371" s="214"/>
      <c r="AV371" s="214"/>
    </row>
    <row r="372" ht="15.75" customHeight="1">
      <c r="A372" s="214"/>
      <c r="B372" s="261"/>
      <c r="C372" s="266"/>
      <c r="D372" s="267"/>
      <c r="E372" s="214"/>
      <c r="F372" s="214"/>
      <c r="G372" s="214"/>
      <c r="H372" s="214"/>
      <c r="I372" s="214"/>
      <c r="J372" s="214"/>
      <c r="K372" s="268"/>
      <c r="L372" s="214"/>
      <c r="M372" s="269"/>
      <c r="N372" s="214"/>
      <c r="O372" s="214"/>
      <c r="P372" s="214"/>
      <c r="Q372" s="214"/>
      <c r="R372" s="214"/>
      <c r="S372" s="214"/>
      <c r="T372" s="214"/>
      <c r="U372" s="214"/>
      <c r="V372" s="214"/>
      <c r="W372" s="214"/>
      <c r="X372" s="214"/>
      <c r="Y372" s="261"/>
      <c r="Z372" s="262"/>
      <c r="AA372" s="262"/>
      <c r="AB372" s="270"/>
      <c r="AC372" s="214"/>
      <c r="AD372" s="214"/>
      <c r="AE372" s="214"/>
      <c r="AF372" s="214"/>
      <c r="AG372" s="214"/>
      <c r="AH372" s="214"/>
      <c r="AI372" s="261"/>
      <c r="AJ372" s="214"/>
      <c r="AK372" s="261"/>
      <c r="AL372" s="261"/>
      <c r="AM372" s="264"/>
      <c r="AN372" s="214"/>
      <c r="AO372" s="271"/>
      <c r="AP372" s="271"/>
      <c r="AQ372" s="271"/>
      <c r="AR372" s="271"/>
      <c r="AS372" s="272"/>
      <c r="AT372" s="272"/>
      <c r="AU372" s="214"/>
      <c r="AV372" s="214"/>
    </row>
    <row r="373" ht="15.75" customHeight="1">
      <c r="A373" s="214"/>
      <c r="B373" s="261"/>
      <c r="C373" s="266"/>
      <c r="D373" s="267"/>
      <c r="E373" s="214"/>
      <c r="F373" s="214"/>
      <c r="G373" s="214"/>
      <c r="H373" s="214"/>
      <c r="I373" s="214"/>
      <c r="J373" s="214"/>
      <c r="K373" s="268"/>
      <c r="L373" s="214"/>
      <c r="M373" s="269"/>
      <c r="N373" s="214"/>
      <c r="O373" s="214"/>
      <c r="P373" s="214"/>
      <c r="Q373" s="214"/>
      <c r="R373" s="214"/>
      <c r="S373" s="214"/>
      <c r="T373" s="214"/>
      <c r="U373" s="214"/>
      <c r="V373" s="214"/>
      <c r="W373" s="214"/>
      <c r="X373" s="214"/>
      <c r="Y373" s="261"/>
      <c r="Z373" s="262"/>
      <c r="AA373" s="262"/>
      <c r="AB373" s="270"/>
      <c r="AC373" s="214"/>
      <c r="AD373" s="214"/>
      <c r="AE373" s="214"/>
      <c r="AF373" s="214"/>
      <c r="AG373" s="214"/>
      <c r="AH373" s="214"/>
      <c r="AI373" s="261"/>
      <c r="AJ373" s="214"/>
      <c r="AK373" s="261"/>
      <c r="AL373" s="261"/>
      <c r="AM373" s="264"/>
      <c r="AN373" s="214"/>
      <c r="AO373" s="271"/>
      <c r="AP373" s="271"/>
      <c r="AQ373" s="271"/>
      <c r="AR373" s="271"/>
      <c r="AS373" s="272"/>
      <c r="AT373" s="272"/>
      <c r="AU373" s="214"/>
      <c r="AV373" s="214"/>
    </row>
    <row r="374" ht="15.75" customHeight="1">
      <c r="A374" s="214"/>
      <c r="B374" s="261"/>
      <c r="C374" s="266"/>
      <c r="D374" s="267"/>
      <c r="E374" s="214"/>
      <c r="F374" s="214"/>
      <c r="G374" s="214"/>
      <c r="H374" s="214"/>
      <c r="I374" s="214"/>
      <c r="J374" s="214"/>
      <c r="K374" s="268"/>
      <c r="L374" s="214"/>
      <c r="M374" s="269"/>
      <c r="N374" s="214"/>
      <c r="O374" s="214"/>
      <c r="P374" s="214"/>
      <c r="Q374" s="214"/>
      <c r="R374" s="214"/>
      <c r="S374" s="214"/>
      <c r="T374" s="214"/>
      <c r="U374" s="214"/>
      <c r="V374" s="214"/>
      <c r="W374" s="214"/>
      <c r="X374" s="214"/>
      <c r="Y374" s="261"/>
      <c r="Z374" s="262"/>
      <c r="AA374" s="262"/>
      <c r="AB374" s="270"/>
      <c r="AC374" s="214"/>
      <c r="AD374" s="214"/>
      <c r="AE374" s="214"/>
      <c r="AF374" s="214"/>
      <c r="AG374" s="214"/>
      <c r="AH374" s="214"/>
      <c r="AI374" s="261"/>
      <c r="AJ374" s="214"/>
      <c r="AK374" s="261"/>
      <c r="AL374" s="261"/>
      <c r="AM374" s="264"/>
      <c r="AN374" s="214"/>
      <c r="AO374" s="271"/>
      <c r="AP374" s="271"/>
      <c r="AQ374" s="271"/>
      <c r="AR374" s="271"/>
      <c r="AS374" s="272"/>
      <c r="AT374" s="272"/>
      <c r="AU374" s="214"/>
      <c r="AV374" s="214"/>
    </row>
    <row r="375" ht="15.75" customHeight="1">
      <c r="A375" s="214"/>
      <c r="B375" s="261"/>
      <c r="C375" s="266"/>
      <c r="D375" s="267"/>
      <c r="E375" s="214"/>
      <c r="F375" s="214"/>
      <c r="G375" s="214"/>
      <c r="H375" s="214"/>
      <c r="I375" s="214"/>
      <c r="J375" s="214"/>
      <c r="K375" s="268"/>
      <c r="L375" s="214"/>
      <c r="M375" s="269"/>
      <c r="N375" s="214"/>
      <c r="O375" s="214"/>
      <c r="P375" s="214"/>
      <c r="Q375" s="214"/>
      <c r="R375" s="214"/>
      <c r="S375" s="214"/>
      <c r="T375" s="214"/>
      <c r="U375" s="214"/>
      <c r="V375" s="214"/>
      <c r="W375" s="214"/>
      <c r="X375" s="214"/>
      <c r="Y375" s="261"/>
      <c r="Z375" s="262"/>
      <c r="AA375" s="262"/>
      <c r="AB375" s="270"/>
      <c r="AC375" s="214"/>
      <c r="AD375" s="214"/>
      <c r="AE375" s="214"/>
      <c r="AF375" s="214"/>
      <c r="AG375" s="214"/>
      <c r="AH375" s="214"/>
      <c r="AI375" s="261"/>
      <c r="AJ375" s="214"/>
      <c r="AK375" s="261"/>
      <c r="AL375" s="261"/>
      <c r="AM375" s="264"/>
      <c r="AN375" s="214"/>
      <c r="AO375" s="271"/>
      <c r="AP375" s="271"/>
      <c r="AQ375" s="271"/>
      <c r="AR375" s="271"/>
      <c r="AS375" s="272"/>
      <c r="AT375" s="272"/>
      <c r="AU375" s="214"/>
      <c r="AV375" s="214"/>
    </row>
    <row r="376" ht="15.75" customHeight="1">
      <c r="A376" s="214"/>
      <c r="B376" s="261"/>
      <c r="C376" s="266"/>
      <c r="D376" s="267"/>
      <c r="E376" s="214"/>
      <c r="F376" s="214"/>
      <c r="G376" s="214"/>
      <c r="H376" s="214"/>
      <c r="I376" s="214"/>
      <c r="J376" s="214"/>
      <c r="K376" s="268"/>
      <c r="L376" s="214"/>
      <c r="M376" s="269"/>
      <c r="N376" s="214"/>
      <c r="O376" s="214"/>
      <c r="P376" s="214"/>
      <c r="Q376" s="214"/>
      <c r="R376" s="214"/>
      <c r="S376" s="214"/>
      <c r="T376" s="214"/>
      <c r="U376" s="214"/>
      <c r="V376" s="214"/>
      <c r="W376" s="214"/>
      <c r="X376" s="214"/>
      <c r="Y376" s="261"/>
      <c r="Z376" s="262"/>
      <c r="AA376" s="262"/>
      <c r="AB376" s="270"/>
      <c r="AC376" s="214"/>
      <c r="AD376" s="214"/>
      <c r="AE376" s="214"/>
      <c r="AF376" s="214"/>
      <c r="AG376" s="214"/>
      <c r="AH376" s="214"/>
      <c r="AI376" s="261"/>
      <c r="AJ376" s="214"/>
      <c r="AK376" s="261"/>
      <c r="AL376" s="261"/>
      <c r="AM376" s="264"/>
      <c r="AN376" s="214"/>
      <c r="AO376" s="271"/>
      <c r="AP376" s="271"/>
      <c r="AQ376" s="271"/>
      <c r="AR376" s="271"/>
      <c r="AS376" s="272"/>
      <c r="AT376" s="272"/>
      <c r="AU376" s="214"/>
      <c r="AV376" s="214"/>
    </row>
    <row r="377" ht="15.75" customHeight="1">
      <c r="A377" s="214"/>
      <c r="B377" s="261"/>
      <c r="C377" s="266"/>
      <c r="D377" s="267"/>
      <c r="E377" s="214"/>
      <c r="F377" s="214"/>
      <c r="G377" s="214"/>
      <c r="H377" s="214"/>
      <c r="I377" s="214"/>
      <c r="J377" s="214"/>
      <c r="K377" s="268"/>
      <c r="L377" s="214"/>
      <c r="M377" s="269"/>
      <c r="N377" s="214"/>
      <c r="O377" s="214"/>
      <c r="P377" s="214"/>
      <c r="Q377" s="214"/>
      <c r="R377" s="214"/>
      <c r="S377" s="214"/>
      <c r="T377" s="214"/>
      <c r="U377" s="214"/>
      <c r="V377" s="214"/>
      <c r="W377" s="214"/>
      <c r="X377" s="214"/>
      <c r="Y377" s="261"/>
      <c r="Z377" s="262"/>
      <c r="AA377" s="262"/>
      <c r="AB377" s="270"/>
      <c r="AC377" s="214"/>
      <c r="AD377" s="214"/>
      <c r="AE377" s="214"/>
      <c r="AF377" s="214"/>
      <c r="AG377" s="214"/>
      <c r="AH377" s="214"/>
      <c r="AI377" s="261"/>
      <c r="AJ377" s="214"/>
      <c r="AK377" s="261"/>
      <c r="AL377" s="261"/>
      <c r="AM377" s="264"/>
      <c r="AN377" s="214"/>
      <c r="AO377" s="271"/>
      <c r="AP377" s="271"/>
      <c r="AQ377" s="271"/>
      <c r="AR377" s="271"/>
      <c r="AS377" s="272"/>
      <c r="AT377" s="272"/>
      <c r="AU377" s="214"/>
      <c r="AV377" s="214"/>
    </row>
    <row r="378" ht="15.75" customHeight="1">
      <c r="A378" s="214"/>
      <c r="B378" s="261"/>
      <c r="C378" s="266"/>
      <c r="D378" s="267"/>
      <c r="E378" s="214"/>
      <c r="F378" s="214"/>
      <c r="G378" s="214"/>
      <c r="H378" s="214"/>
      <c r="I378" s="214"/>
      <c r="J378" s="214"/>
      <c r="K378" s="268"/>
      <c r="L378" s="214"/>
      <c r="M378" s="269"/>
      <c r="N378" s="214"/>
      <c r="O378" s="214"/>
      <c r="P378" s="214"/>
      <c r="Q378" s="214"/>
      <c r="R378" s="214"/>
      <c r="S378" s="214"/>
      <c r="T378" s="214"/>
      <c r="U378" s="214"/>
      <c r="V378" s="214"/>
      <c r="W378" s="214"/>
      <c r="X378" s="214"/>
      <c r="Y378" s="261"/>
      <c r="Z378" s="262"/>
      <c r="AA378" s="262"/>
      <c r="AB378" s="270"/>
      <c r="AC378" s="214"/>
      <c r="AD378" s="214"/>
      <c r="AE378" s="214"/>
      <c r="AF378" s="214"/>
      <c r="AG378" s="214"/>
      <c r="AH378" s="214"/>
      <c r="AI378" s="261"/>
      <c r="AJ378" s="214"/>
      <c r="AK378" s="261"/>
      <c r="AL378" s="261"/>
      <c r="AM378" s="264"/>
      <c r="AN378" s="214"/>
      <c r="AO378" s="271"/>
      <c r="AP378" s="271"/>
      <c r="AQ378" s="271"/>
      <c r="AR378" s="271"/>
      <c r="AS378" s="272"/>
      <c r="AT378" s="272"/>
      <c r="AU378" s="214"/>
      <c r="AV378" s="214"/>
    </row>
    <row r="379" ht="15.75" customHeight="1">
      <c r="A379" s="214"/>
      <c r="B379" s="261"/>
      <c r="C379" s="266"/>
      <c r="D379" s="267"/>
      <c r="E379" s="214"/>
      <c r="F379" s="214"/>
      <c r="G379" s="214"/>
      <c r="H379" s="214"/>
      <c r="I379" s="214"/>
      <c r="J379" s="214"/>
      <c r="K379" s="268"/>
      <c r="L379" s="214"/>
      <c r="M379" s="269"/>
      <c r="N379" s="214"/>
      <c r="O379" s="214"/>
      <c r="P379" s="214"/>
      <c r="Q379" s="214"/>
      <c r="R379" s="214"/>
      <c r="S379" s="214"/>
      <c r="T379" s="214"/>
      <c r="U379" s="214"/>
      <c r="V379" s="214"/>
      <c r="W379" s="214"/>
      <c r="X379" s="214"/>
      <c r="Y379" s="261"/>
      <c r="Z379" s="262"/>
      <c r="AA379" s="262"/>
      <c r="AB379" s="270"/>
      <c r="AC379" s="214"/>
      <c r="AD379" s="214"/>
      <c r="AE379" s="214"/>
      <c r="AF379" s="214"/>
      <c r="AG379" s="214"/>
      <c r="AH379" s="214"/>
      <c r="AI379" s="261"/>
      <c r="AJ379" s="214"/>
      <c r="AK379" s="261"/>
      <c r="AL379" s="261"/>
      <c r="AM379" s="264"/>
      <c r="AN379" s="214"/>
      <c r="AO379" s="271"/>
      <c r="AP379" s="271"/>
      <c r="AQ379" s="271"/>
      <c r="AR379" s="271"/>
      <c r="AS379" s="272"/>
      <c r="AT379" s="272"/>
      <c r="AU379" s="214"/>
      <c r="AV379" s="214"/>
    </row>
    <row r="380" ht="15.75" customHeight="1">
      <c r="A380" s="214"/>
      <c r="B380" s="261"/>
      <c r="C380" s="266"/>
      <c r="D380" s="267"/>
      <c r="E380" s="214"/>
      <c r="F380" s="214"/>
      <c r="G380" s="214"/>
      <c r="H380" s="214"/>
      <c r="I380" s="214"/>
      <c r="J380" s="214"/>
      <c r="K380" s="268"/>
      <c r="L380" s="214"/>
      <c r="M380" s="269"/>
      <c r="N380" s="214"/>
      <c r="O380" s="214"/>
      <c r="P380" s="214"/>
      <c r="Q380" s="214"/>
      <c r="R380" s="214"/>
      <c r="S380" s="214"/>
      <c r="T380" s="214"/>
      <c r="U380" s="214"/>
      <c r="V380" s="214"/>
      <c r="W380" s="214"/>
      <c r="X380" s="214"/>
      <c r="Y380" s="261"/>
      <c r="Z380" s="262"/>
      <c r="AA380" s="262"/>
      <c r="AB380" s="270"/>
      <c r="AC380" s="214"/>
      <c r="AD380" s="214"/>
      <c r="AE380" s="214"/>
      <c r="AF380" s="214"/>
      <c r="AG380" s="214"/>
      <c r="AH380" s="214"/>
      <c r="AI380" s="261"/>
      <c r="AJ380" s="214"/>
      <c r="AK380" s="261"/>
      <c r="AL380" s="261"/>
      <c r="AM380" s="264"/>
      <c r="AN380" s="214"/>
      <c r="AO380" s="271"/>
      <c r="AP380" s="271"/>
      <c r="AQ380" s="271"/>
      <c r="AR380" s="271"/>
      <c r="AS380" s="272"/>
      <c r="AT380" s="272"/>
      <c r="AU380" s="214"/>
      <c r="AV380" s="214"/>
    </row>
    <row r="381" ht="15.75" customHeight="1">
      <c r="A381" s="214"/>
      <c r="B381" s="261"/>
      <c r="C381" s="266"/>
      <c r="D381" s="267"/>
      <c r="E381" s="214"/>
      <c r="F381" s="214"/>
      <c r="G381" s="214"/>
      <c r="H381" s="214"/>
      <c r="I381" s="214"/>
      <c r="J381" s="214"/>
      <c r="K381" s="268"/>
      <c r="L381" s="214"/>
      <c r="M381" s="269"/>
      <c r="N381" s="214"/>
      <c r="O381" s="214"/>
      <c r="P381" s="214"/>
      <c r="Q381" s="214"/>
      <c r="R381" s="214"/>
      <c r="S381" s="214"/>
      <c r="T381" s="214"/>
      <c r="U381" s="214"/>
      <c r="V381" s="214"/>
      <c r="W381" s="214"/>
      <c r="X381" s="214"/>
      <c r="Y381" s="261"/>
      <c r="Z381" s="262"/>
      <c r="AA381" s="262"/>
      <c r="AB381" s="270"/>
      <c r="AC381" s="214"/>
      <c r="AD381" s="214"/>
      <c r="AE381" s="214"/>
      <c r="AF381" s="214"/>
      <c r="AG381" s="214"/>
      <c r="AH381" s="214"/>
      <c r="AI381" s="261"/>
      <c r="AJ381" s="214"/>
      <c r="AK381" s="261"/>
      <c r="AL381" s="261"/>
      <c r="AM381" s="264"/>
      <c r="AN381" s="214"/>
      <c r="AO381" s="271"/>
      <c r="AP381" s="271"/>
      <c r="AQ381" s="271"/>
      <c r="AR381" s="271"/>
      <c r="AS381" s="272"/>
      <c r="AT381" s="272"/>
      <c r="AU381" s="214"/>
      <c r="AV381" s="214"/>
    </row>
    <row r="382" ht="15.75" customHeight="1">
      <c r="A382" s="214"/>
      <c r="B382" s="261"/>
      <c r="C382" s="266"/>
      <c r="D382" s="267"/>
      <c r="E382" s="214"/>
      <c r="F382" s="214"/>
      <c r="G382" s="214"/>
      <c r="H382" s="214"/>
      <c r="I382" s="214"/>
      <c r="J382" s="214"/>
      <c r="K382" s="268"/>
      <c r="L382" s="214"/>
      <c r="M382" s="269"/>
      <c r="N382" s="214"/>
      <c r="O382" s="214"/>
      <c r="P382" s="214"/>
      <c r="Q382" s="214"/>
      <c r="R382" s="214"/>
      <c r="S382" s="214"/>
      <c r="T382" s="214"/>
      <c r="U382" s="214"/>
      <c r="V382" s="214"/>
      <c r="W382" s="214"/>
      <c r="X382" s="214"/>
      <c r="Y382" s="261"/>
      <c r="Z382" s="262"/>
      <c r="AA382" s="262"/>
      <c r="AB382" s="270"/>
      <c r="AC382" s="214"/>
      <c r="AD382" s="214"/>
      <c r="AE382" s="214"/>
      <c r="AF382" s="214"/>
      <c r="AG382" s="214"/>
      <c r="AH382" s="214"/>
      <c r="AI382" s="261"/>
      <c r="AJ382" s="214"/>
      <c r="AK382" s="261"/>
      <c r="AL382" s="261"/>
      <c r="AM382" s="264"/>
      <c r="AN382" s="214"/>
      <c r="AO382" s="271"/>
      <c r="AP382" s="271"/>
      <c r="AQ382" s="271"/>
      <c r="AR382" s="271"/>
      <c r="AS382" s="272"/>
      <c r="AT382" s="272"/>
      <c r="AU382" s="214"/>
      <c r="AV382" s="214"/>
    </row>
    <row r="383" ht="15.75" customHeight="1">
      <c r="A383" s="214"/>
      <c r="B383" s="261"/>
      <c r="C383" s="266"/>
      <c r="D383" s="267"/>
      <c r="E383" s="214"/>
      <c r="F383" s="214"/>
      <c r="G383" s="214"/>
      <c r="H383" s="214"/>
      <c r="I383" s="214"/>
      <c r="J383" s="214"/>
      <c r="K383" s="268"/>
      <c r="L383" s="214"/>
      <c r="M383" s="269"/>
      <c r="N383" s="214"/>
      <c r="O383" s="214"/>
      <c r="P383" s="214"/>
      <c r="Q383" s="214"/>
      <c r="R383" s="214"/>
      <c r="S383" s="214"/>
      <c r="T383" s="214"/>
      <c r="U383" s="214"/>
      <c r="V383" s="214"/>
      <c r="W383" s="214"/>
      <c r="X383" s="214"/>
      <c r="Y383" s="261"/>
      <c r="Z383" s="262"/>
      <c r="AA383" s="262"/>
      <c r="AB383" s="270"/>
      <c r="AC383" s="214"/>
      <c r="AD383" s="214"/>
      <c r="AE383" s="214"/>
      <c r="AF383" s="214"/>
      <c r="AG383" s="214"/>
      <c r="AH383" s="214"/>
      <c r="AI383" s="261"/>
      <c r="AJ383" s="214"/>
      <c r="AK383" s="261"/>
      <c r="AL383" s="261"/>
      <c r="AM383" s="264"/>
      <c r="AN383" s="214"/>
      <c r="AO383" s="271"/>
      <c r="AP383" s="271"/>
      <c r="AQ383" s="271"/>
      <c r="AR383" s="271"/>
      <c r="AS383" s="272"/>
      <c r="AT383" s="272"/>
      <c r="AU383" s="214"/>
      <c r="AV383" s="214"/>
    </row>
    <row r="384" ht="15.75" customHeight="1">
      <c r="A384" s="214"/>
      <c r="B384" s="261"/>
      <c r="C384" s="266"/>
      <c r="D384" s="267"/>
      <c r="E384" s="214"/>
      <c r="F384" s="214"/>
      <c r="G384" s="214"/>
      <c r="H384" s="214"/>
      <c r="I384" s="214"/>
      <c r="J384" s="214"/>
      <c r="K384" s="268"/>
      <c r="L384" s="214"/>
      <c r="M384" s="269"/>
      <c r="N384" s="214"/>
      <c r="O384" s="214"/>
      <c r="P384" s="214"/>
      <c r="Q384" s="214"/>
      <c r="R384" s="214"/>
      <c r="S384" s="214"/>
      <c r="T384" s="214"/>
      <c r="U384" s="214"/>
      <c r="V384" s="214"/>
      <c r="W384" s="214"/>
      <c r="X384" s="214"/>
      <c r="Y384" s="261"/>
      <c r="Z384" s="262"/>
      <c r="AA384" s="262"/>
      <c r="AB384" s="270"/>
      <c r="AC384" s="214"/>
      <c r="AD384" s="214"/>
      <c r="AE384" s="214"/>
      <c r="AF384" s="214"/>
      <c r="AG384" s="214"/>
      <c r="AH384" s="214"/>
      <c r="AI384" s="261"/>
      <c r="AJ384" s="214"/>
      <c r="AK384" s="261"/>
      <c r="AL384" s="261"/>
      <c r="AM384" s="264"/>
      <c r="AN384" s="214"/>
      <c r="AO384" s="271"/>
      <c r="AP384" s="271"/>
      <c r="AQ384" s="271"/>
      <c r="AR384" s="271"/>
      <c r="AS384" s="272"/>
      <c r="AT384" s="272"/>
      <c r="AU384" s="214"/>
      <c r="AV384" s="214"/>
    </row>
    <row r="385" ht="15.75" customHeight="1">
      <c r="A385" s="214"/>
      <c r="B385" s="261"/>
      <c r="C385" s="266"/>
      <c r="D385" s="267"/>
      <c r="E385" s="214"/>
      <c r="F385" s="214"/>
      <c r="G385" s="214"/>
      <c r="H385" s="214"/>
      <c r="I385" s="214"/>
      <c r="J385" s="214"/>
      <c r="K385" s="268"/>
      <c r="L385" s="214"/>
      <c r="M385" s="269"/>
      <c r="N385" s="214"/>
      <c r="O385" s="214"/>
      <c r="P385" s="214"/>
      <c r="Q385" s="214"/>
      <c r="R385" s="214"/>
      <c r="S385" s="214"/>
      <c r="T385" s="214"/>
      <c r="U385" s="214"/>
      <c r="V385" s="214"/>
      <c r="W385" s="214"/>
      <c r="X385" s="214"/>
      <c r="Y385" s="261"/>
      <c r="Z385" s="262"/>
      <c r="AA385" s="262"/>
      <c r="AB385" s="270"/>
      <c r="AC385" s="214"/>
      <c r="AD385" s="214"/>
      <c r="AE385" s="214"/>
      <c r="AF385" s="214"/>
      <c r="AG385" s="214"/>
      <c r="AH385" s="214"/>
      <c r="AI385" s="261"/>
      <c r="AJ385" s="214"/>
      <c r="AK385" s="261"/>
      <c r="AL385" s="261"/>
      <c r="AM385" s="264"/>
      <c r="AN385" s="214"/>
      <c r="AO385" s="271"/>
      <c r="AP385" s="271"/>
      <c r="AQ385" s="271"/>
      <c r="AR385" s="271"/>
      <c r="AS385" s="272"/>
      <c r="AT385" s="272"/>
      <c r="AU385" s="214"/>
      <c r="AV385" s="214"/>
    </row>
    <row r="386" ht="15.75" customHeight="1">
      <c r="A386" s="214"/>
      <c r="B386" s="261"/>
      <c r="C386" s="266"/>
      <c r="D386" s="267"/>
      <c r="E386" s="214"/>
      <c r="F386" s="214"/>
      <c r="G386" s="214"/>
      <c r="H386" s="214"/>
      <c r="I386" s="214"/>
      <c r="J386" s="214"/>
      <c r="K386" s="268"/>
      <c r="L386" s="214"/>
      <c r="M386" s="269"/>
      <c r="N386" s="214"/>
      <c r="O386" s="214"/>
      <c r="P386" s="214"/>
      <c r="Q386" s="214"/>
      <c r="R386" s="214"/>
      <c r="S386" s="214"/>
      <c r="T386" s="214"/>
      <c r="U386" s="214"/>
      <c r="V386" s="214"/>
      <c r="W386" s="214"/>
      <c r="X386" s="214"/>
      <c r="Y386" s="261"/>
      <c r="Z386" s="262"/>
      <c r="AA386" s="262"/>
      <c r="AB386" s="270"/>
      <c r="AC386" s="214"/>
      <c r="AD386" s="214"/>
      <c r="AE386" s="214"/>
      <c r="AF386" s="214"/>
      <c r="AG386" s="214"/>
      <c r="AH386" s="214"/>
      <c r="AI386" s="261"/>
      <c r="AJ386" s="214"/>
      <c r="AK386" s="261"/>
      <c r="AL386" s="261"/>
      <c r="AM386" s="264"/>
      <c r="AN386" s="214"/>
      <c r="AO386" s="271"/>
      <c r="AP386" s="271"/>
      <c r="AQ386" s="271"/>
      <c r="AR386" s="271"/>
      <c r="AS386" s="272"/>
      <c r="AT386" s="272"/>
      <c r="AU386" s="214"/>
      <c r="AV386" s="214"/>
    </row>
    <row r="387" ht="15.75" customHeight="1">
      <c r="A387" s="214"/>
      <c r="B387" s="261"/>
      <c r="C387" s="266"/>
      <c r="D387" s="267"/>
      <c r="E387" s="214"/>
      <c r="F387" s="214"/>
      <c r="G387" s="214"/>
      <c r="H387" s="214"/>
      <c r="I387" s="214"/>
      <c r="J387" s="214"/>
      <c r="K387" s="268"/>
      <c r="L387" s="214"/>
      <c r="M387" s="269"/>
      <c r="N387" s="214"/>
      <c r="O387" s="214"/>
      <c r="P387" s="214"/>
      <c r="Q387" s="214"/>
      <c r="R387" s="214"/>
      <c r="S387" s="214"/>
      <c r="T387" s="214"/>
      <c r="U387" s="214"/>
      <c r="V387" s="214"/>
      <c r="W387" s="214"/>
      <c r="X387" s="214"/>
      <c r="Y387" s="261"/>
      <c r="Z387" s="262"/>
      <c r="AA387" s="262"/>
      <c r="AB387" s="270"/>
      <c r="AC387" s="214"/>
      <c r="AD387" s="214"/>
      <c r="AE387" s="214"/>
      <c r="AF387" s="214"/>
      <c r="AG387" s="214"/>
      <c r="AH387" s="214"/>
      <c r="AI387" s="261"/>
      <c r="AJ387" s="214"/>
      <c r="AK387" s="261"/>
      <c r="AL387" s="261"/>
      <c r="AM387" s="264"/>
      <c r="AN387" s="214"/>
      <c r="AO387" s="271"/>
      <c r="AP387" s="271"/>
      <c r="AQ387" s="271"/>
      <c r="AR387" s="271"/>
      <c r="AS387" s="272"/>
      <c r="AT387" s="272"/>
      <c r="AU387" s="214"/>
      <c r="AV387" s="214"/>
    </row>
    <row r="388" ht="15.75" customHeight="1">
      <c r="A388" s="214"/>
      <c r="B388" s="261"/>
      <c r="C388" s="266"/>
      <c r="D388" s="267"/>
      <c r="E388" s="214"/>
      <c r="F388" s="214"/>
      <c r="G388" s="214"/>
      <c r="H388" s="214"/>
      <c r="I388" s="214"/>
      <c r="J388" s="214"/>
      <c r="K388" s="268"/>
      <c r="L388" s="214"/>
      <c r="M388" s="269"/>
      <c r="N388" s="214"/>
      <c r="O388" s="214"/>
      <c r="P388" s="214"/>
      <c r="Q388" s="214"/>
      <c r="R388" s="214"/>
      <c r="S388" s="214"/>
      <c r="T388" s="214"/>
      <c r="U388" s="214"/>
      <c r="V388" s="214"/>
      <c r="W388" s="214"/>
      <c r="X388" s="214"/>
      <c r="Y388" s="261"/>
      <c r="Z388" s="262"/>
      <c r="AA388" s="262"/>
      <c r="AB388" s="270"/>
      <c r="AC388" s="214"/>
      <c r="AD388" s="214"/>
      <c r="AE388" s="214"/>
      <c r="AF388" s="214"/>
      <c r="AG388" s="214"/>
      <c r="AH388" s="214"/>
      <c r="AI388" s="261"/>
      <c r="AJ388" s="214"/>
      <c r="AK388" s="261"/>
      <c r="AL388" s="261"/>
      <c r="AM388" s="264"/>
      <c r="AN388" s="214"/>
      <c r="AO388" s="271"/>
      <c r="AP388" s="271"/>
      <c r="AQ388" s="271"/>
      <c r="AR388" s="271"/>
      <c r="AS388" s="272"/>
      <c r="AT388" s="272"/>
      <c r="AU388" s="214"/>
      <c r="AV388" s="214"/>
    </row>
    <row r="389" ht="15.75" customHeight="1">
      <c r="A389" s="214"/>
      <c r="B389" s="261"/>
      <c r="C389" s="266"/>
      <c r="D389" s="267"/>
      <c r="E389" s="214"/>
      <c r="F389" s="214"/>
      <c r="G389" s="214"/>
      <c r="H389" s="214"/>
      <c r="I389" s="214"/>
      <c r="J389" s="214"/>
      <c r="K389" s="268"/>
      <c r="L389" s="214"/>
      <c r="M389" s="269"/>
      <c r="N389" s="214"/>
      <c r="O389" s="214"/>
      <c r="P389" s="214"/>
      <c r="Q389" s="214"/>
      <c r="R389" s="214"/>
      <c r="S389" s="214"/>
      <c r="T389" s="214"/>
      <c r="U389" s="214"/>
      <c r="V389" s="214"/>
      <c r="W389" s="214"/>
      <c r="X389" s="214"/>
      <c r="Y389" s="261"/>
      <c r="Z389" s="262"/>
      <c r="AA389" s="262"/>
      <c r="AB389" s="270"/>
      <c r="AC389" s="214"/>
      <c r="AD389" s="214"/>
      <c r="AE389" s="214"/>
      <c r="AF389" s="214"/>
      <c r="AG389" s="214"/>
      <c r="AH389" s="214"/>
      <c r="AI389" s="261"/>
      <c r="AJ389" s="214"/>
      <c r="AK389" s="261"/>
      <c r="AL389" s="261"/>
      <c r="AM389" s="264"/>
      <c r="AN389" s="214"/>
      <c r="AO389" s="271"/>
      <c r="AP389" s="271"/>
      <c r="AQ389" s="271"/>
      <c r="AR389" s="271"/>
      <c r="AS389" s="272"/>
      <c r="AT389" s="272"/>
      <c r="AU389" s="214"/>
      <c r="AV389" s="214"/>
    </row>
    <row r="390" ht="15.75" customHeight="1">
      <c r="A390" s="214"/>
      <c r="B390" s="261"/>
      <c r="C390" s="266"/>
      <c r="D390" s="267"/>
      <c r="E390" s="214"/>
      <c r="F390" s="214"/>
      <c r="G390" s="214"/>
      <c r="H390" s="214"/>
      <c r="I390" s="214"/>
      <c r="J390" s="214"/>
      <c r="K390" s="268"/>
      <c r="L390" s="214"/>
      <c r="M390" s="269"/>
      <c r="N390" s="214"/>
      <c r="O390" s="214"/>
      <c r="P390" s="214"/>
      <c r="Q390" s="214"/>
      <c r="R390" s="214"/>
      <c r="S390" s="214"/>
      <c r="T390" s="214"/>
      <c r="U390" s="214"/>
      <c r="V390" s="214"/>
      <c r="W390" s="214"/>
      <c r="X390" s="214"/>
      <c r="Y390" s="261"/>
      <c r="Z390" s="262"/>
      <c r="AA390" s="262"/>
      <c r="AB390" s="270"/>
      <c r="AC390" s="214"/>
      <c r="AD390" s="214"/>
      <c r="AE390" s="214"/>
      <c r="AF390" s="214"/>
      <c r="AG390" s="214"/>
      <c r="AH390" s="214"/>
      <c r="AI390" s="261"/>
      <c r="AJ390" s="214"/>
      <c r="AK390" s="261"/>
      <c r="AL390" s="261"/>
      <c r="AM390" s="264"/>
      <c r="AN390" s="214"/>
      <c r="AO390" s="271"/>
      <c r="AP390" s="271"/>
      <c r="AQ390" s="271"/>
      <c r="AR390" s="271"/>
      <c r="AS390" s="272"/>
      <c r="AT390" s="272"/>
      <c r="AU390" s="214"/>
      <c r="AV390" s="214"/>
    </row>
    <row r="391" ht="15.75" customHeight="1">
      <c r="A391" s="214"/>
      <c r="B391" s="261"/>
      <c r="C391" s="266"/>
      <c r="D391" s="267"/>
      <c r="E391" s="214"/>
      <c r="F391" s="214"/>
      <c r="G391" s="214"/>
      <c r="H391" s="214"/>
      <c r="I391" s="214"/>
      <c r="J391" s="214"/>
      <c r="K391" s="268"/>
      <c r="L391" s="214"/>
      <c r="M391" s="269"/>
      <c r="N391" s="214"/>
      <c r="O391" s="214"/>
      <c r="P391" s="214"/>
      <c r="Q391" s="214"/>
      <c r="R391" s="214"/>
      <c r="S391" s="214"/>
      <c r="T391" s="214"/>
      <c r="U391" s="214"/>
      <c r="V391" s="214"/>
      <c r="W391" s="214"/>
      <c r="X391" s="214"/>
      <c r="Y391" s="261"/>
      <c r="Z391" s="262"/>
      <c r="AA391" s="262"/>
      <c r="AB391" s="270"/>
      <c r="AC391" s="214"/>
      <c r="AD391" s="214"/>
      <c r="AE391" s="214"/>
      <c r="AF391" s="214"/>
      <c r="AG391" s="214"/>
      <c r="AH391" s="214"/>
      <c r="AI391" s="261"/>
      <c r="AJ391" s="214"/>
      <c r="AK391" s="261"/>
      <c r="AL391" s="261"/>
      <c r="AM391" s="264"/>
      <c r="AN391" s="214"/>
      <c r="AO391" s="271"/>
      <c r="AP391" s="271"/>
      <c r="AQ391" s="271"/>
      <c r="AR391" s="271"/>
      <c r="AS391" s="272"/>
      <c r="AT391" s="272"/>
      <c r="AU391" s="214"/>
      <c r="AV391" s="214"/>
    </row>
    <row r="392" ht="15.75" customHeight="1">
      <c r="A392" s="214"/>
      <c r="B392" s="261"/>
      <c r="C392" s="266"/>
      <c r="D392" s="267"/>
      <c r="E392" s="214"/>
      <c r="F392" s="214"/>
      <c r="G392" s="214"/>
      <c r="H392" s="214"/>
      <c r="I392" s="214"/>
      <c r="J392" s="214"/>
      <c r="K392" s="268"/>
      <c r="L392" s="214"/>
      <c r="M392" s="269"/>
      <c r="N392" s="214"/>
      <c r="O392" s="214"/>
      <c r="P392" s="214"/>
      <c r="Q392" s="214"/>
      <c r="R392" s="214"/>
      <c r="S392" s="214"/>
      <c r="T392" s="214"/>
      <c r="U392" s="214"/>
      <c r="V392" s="214"/>
      <c r="W392" s="214"/>
      <c r="X392" s="214"/>
      <c r="Y392" s="261"/>
      <c r="Z392" s="262"/>
      <c r="AA392" s="262"/>
      <c r="AB392" s="270"/>
      <c r="AC392" s="214"/>
      <c r="AD392" s="214"/>
      <c r="AE392" s="214"/>
      <c r="AF392" s="214"/>
      <c r="AG392" s="214"/>
      <c r="AH392" s="214"/>
      <c r="AI392" s="261"/>
      <c r="AJ392" s="214"/>
      <c r="AK392" s="261"/>
      <c r="AL392" s="261"/>
      <c r="AM392" s="264"/>
      <c r="AN392" s="214"/>
      <c r="AO392" s="271"/>
      <c r="AP392" s="271"/>
      <c r="AQ392" s="271"/>
      <c r="AR392" s="271"/>
      <c r="AS392" s="272"/>
      <c r="AT392" s="272"/>
      <c r="AU392" s="214"/>
      <c r="AV392" s="214"/>
    </row>
    <row r="393" ht="15.75" customHeight="1">
      <c r="A393" s="214"/>
      <c r="B393" s="261"/>
      <c r="C393" s="266"/>
      <c r="D393" s="267"/>
      <c r="E393" s="214"/>
      <c r="F393" s="214"/>
      <c r="G393" s="214"/>
      <c r="H393" s="214"/>
      <c r="I393" s="214"/>
      <c r="J393" s="214"/>
      <c r="K393" s="268"/>
      <c r="L393" s="214"/>
      <c r="M393" s="269"/>
      <c r="N393" s="214"/>
      <c r="O393" s="214"/>
      <c r="P393" s="214"/>
      <c r="Q393" s="214"/>
      <c r="R393" s="214"/>
      <c r="S393" s="214"/>
      <c r="T393" s="214"/>
      <c r="U393" s="214"/>
      <c r="V393" s="214"/>
      <c r="W393" s="214"/>
      <c r="X393" s="214"/>
      <c r="Y393" s="261"/>
      <c r="Z393" s="262"/>
      <c r="AA393" s="262"/>
      <c r="AB393" s="270"/>
      <c r="AC393" s="214"/>
      <c r="AD393" s="214"/>
      <c r="AE393" s="214"/>
      <c r="AF393" s="214"/>
      <c r="AG393" s="214"/>
      <c r="AH393" s="214"/>
      <c r="AI393" s="261"/>
      <c r="AJ393" s="214"/>
      <c r="AK393" s="261"/>
      <c r="AL393" s="261"/>
      <c r="AM393" s="264"/>
      <c r="AN393" s="214"/>
      <c r="AO393" s="271"/>
      <c r="AP393" s="271"/>
      <c r="AQ393" s="271"/>
      <c r="AR393" s="271"/>
      <c r="AS393" s="272"/>
      <c r="AT393" s="272"/>
      <c r="AU393" s="214"/>
      <c r="AV393" s="214"/>
    </row>
    <row r="394" ht="15.75" customHeight="1">
      <c r="A394" s="214"/>
      <c r="B394" s="261"/>
      <c r="C394" s="266"/>
      <c r="D394" s="267"/>
      <c r="E394" s="214"/>
      <c r="F394" s="214"/>
      <c r="G394" s="214"/>
      <c r="H394" s="214"/>
      <c r="I394" s="214"/>
      <c r="J394" s="214"/>
      <c r="K394" s="268"/>
      <c r="L394" s="214"/>
      <c r="M394" s="269"/>
      <c r="N394" s="214"/>
      <c r="O394" s="214"/>
      <c r="P394" s="214"/>
      <c r="Q394" s="214"/>
      <c r="R394" s="214"/>
      <c r="S394" s="214"/>
      <c r="T394" s="214"/>
      <c r="U394" s="214"/>
      <c r="V394" s="214"/>
      <c r="W394" s="214"/>
      <c r="X394" s="214"/>
      <c r="Y394" s="261"/>
      <c r="Z394" s="262"/>
      <c r="AA394" s="262"/>
      <c r="AB394" s="270"/>
      <c r="AC394" s="214"/>
      <c r="AD394" s="214"/>
      <c r="AE394" s="214"/>
      <c r="AF394" s="214"/>
      <c r="AG394" s="214"/>
      <c r="AH394" s="214"/>
      <c r="AI394" s="261"/>
      <c r="AJ394" s="214"/>
      <c r="AK394" s="261"/>
      <c r="AL394" s="261"/>
      <c r="AM394" s="264"/>
      <c r="AN394" s="214"/>
      <c r="AO394" s="271"/>
      <c r="AP394" s="271"/>
      <c r="AQ394" s="271"/>
      <c r="AR394" s="271"/>
      <c r="AS394" s="272"/>
      <c r="AT394" s="272"/>
      <c r="AU394" s="214"/>
      <c r="AV394" s="214"/>
    </row>
    <row r="395" ht="15.75" customHeight="1">
      <c r="A395" s="214"/>
      <c r="B395" s="261"/>
      <c r="C395" s="266"/>
      <c r="D395" s="267"/>
      <c r="E395" s="214"/>
      <c r="F395" s="214"/>
      <c r="G395" s="214"/>
      <c r="H395" s="214"/>
      <c r="I395" s="214"/>
      <c r="J395" s="214"/>
      <c r="K395" s="268"/>
      <c r="L395" s="214"/>
      <c r="M395" s="269"/>
      <c r="N395" s="214"/>
      <c r="O395" s="214"/>
      <c r="P395" s="214"/>
      <c r="Q395" s="214"/>
      <c r="R395" s="214"/>
      <c r="S395" s="214"/>
      <c r="T395" s="214"/>
      <c r="U395" s="214"/>
      <c r="V395" s="214"/>
      <c r="W395" s="214"/>
      <c r="X395" s="214"/>
      <c r="Y395" s="261"/>
      <c r="Z395" s="262"/>
      <c r="AA395" s="262"/>
      <c r="AB395" s="270"/>
      <c r="AC395" s="214"/>
      <c r="AD395" s="214"/>
      <c r="AE395" s="214"/>
      <c r="AF395" s="214"/>
      <c r="AG395" s="214"/>
      <c r="AH395" s="214"/>
      <c r="AI395" s="261"/>
      <c r="AJ395" s="214"/>
      <c r="AK395" s="261"/>
      <c r="AL395" s="261"/>
      <c r="AM395" s="264"/>
      <c r="AN395" s="214"/>
      <c r="AO395" s="271"/>
      <c r="AP395" s="271"/>
      <c r="AQ395" s="271"/>
      <c r="AR395" s="271"/>
      <c r="AS395" s="272"/>
      <c r="AT395" s="272"/>
      <c r="AU395" s="214"/>
      <c r="AV395" s="214"/>
    </row>
    <row r="396" ht="15.75" customHeight="1">
      <c r="A396" s="214"/>
      <c r="B396" s="261"/>
      <c r="C396" s="266"/>
      <c r="D396" s="267"/>
      <c r="E396" s="214"/>
      <c r="F396" s="214"/>
      <c r="G396" s="214"/>
      <c r="H396" s="214"/>
      <c r="I396" s="214"/>
      <c r="J396" s="214"/>
      <c r="K396" s="268"/>
      <c r="L396" s="214"/>
      <c r="M396" s="269"/>
      <c r="N396" s="214"/>
      <c r="O396" s="214"/>
      <c r="P396" s="214"/>
      <c r="Q396" s="214"/>
      <c r="R396" s="214"/>
      <c r="S396" s="214"/>
      <c r="T396" s="214"/>
      <c r="U396" s="214"/>
      <c r="V396" s="214"/>
      <c r="W396" s="214"/>
      <c r="X396" s="214"/>
      <c r="Y396" s="261"/>
      <c r="Z396" s="262"/>
      <c r="AA396" s="262"/>
      <c r="AB396" s="270"/>
      <c r="AC396" s="214"/>
      <c r="AD396" s="214"/>
      <c r="AE396" s="214"/>
      <c r="AF396" s="214"/>
      <c r="AG396" s="214"/>
      <c r="AH396" s="214"/>
      <c r="AI396" s="261"/>
      <c r="AJ396" s="214"/>
      <c r="AK396" s="261"/>
      <c r="AL396" s="261"/>
      <c r="AM396" s="264"/>
      <c r="AN396" s="214"/>
      <c r="AO396" s="271"/>
      <c r="AP396" s="271"/>
      <c r="AQ396" s="271"/>
      <c r="AR396" s="271"/>
      <c r="AS396" s="272"/>
      <c r="AT396" s="272"/>
      <c r="AU396" s="214"/>
      <c r="AV396" s="214"/>
    </row>
    <row r="397" ht="15.75" customHeight="1">
      <c r="A397" s="214"/>
      <c r="B397" s="261"/>
      <c r="C397" s="266"/>
      <c r="D397" s="267"/>
      <c r="E397" s="214"/>
      <c r="F397" s="214"/>
      <c r="G397" s="214"/>
      <c r="H397" s="214"/>
      <c r="I397" s="214"/>
      <c r="J397" s="214"/>
      <c r="K397" s="268"/>
      <c r="L397" s="214"/>
      <c r="M397" s="269"/>
      <c r="N397" s="214"/>
      <c r="O397" s="214"/>
      <c r="P397" s="214"/>
      <c r="Q397" s="214"/>
      <c r="R397" s="214"/>
      <c r="S397" s="214"/>
      <c r="T397" s="214"/>
      <c r="U397" s="214"/>
      <c r="V397" s="214"/>
      <c r="W397" s="214"/>
      <c r="X397" s="214"/>
      <c r="Y397" s="261"/>
      <c r="Z397" s="262"/>
      <c r="AA397" s="262"/>
      <c r="AB397" s="270"/>
      <c r="AC397" s="214"/>
      <c r="AD397" s="214"/>
      <c r="AE397" s="214"/>
      <c r="AF397" s="214"/>
      <c r="AG397" s="214"/>
      <c r="AH397" s="214"/>
      <c r="AI397" s="261"/>
      <c r="AJ397" s="214"/>
      <c r="AK397" s="261"/>
      <c r="AL397" s="261"/>
      <c r="AM397" s="264"/>
      <c r="AN397" s="214"/>
      <c r="AO397" s="271"/>
      <c r="AP397" s="271"/>
      <c r="AQ397" s="271"/>
      <c r="AR397" s="271"/>
      <c r="AS397" s="272"/>
      <c r="AT397" s="272"/>
      <c r="AU397" s="214"/>
      <c r="AV397" s="214"/>
    </row>
    <row r="398" ht="15.75" customHeight="1">
      <c r="A398" s="214"/>
      <c r="B398" s="261"/>
      <c r="C398" s="266"/>
      <c r="D398" s="267"/>
      <c r="E398" s="214"/>
      <c r="F398" s="214"/>
      <c r="G398" s="214"/>
      <c r="H398" s="214"/>
      <c r="I398" s="214"/>
      <c r="J398" s="214"/>
      <c r="K398" s="268"/>
      <c r="L398" s="214"/>
      <c r="M398" s="269"/>
      <c r="N398" s="214"/>
      <c r="O398" s="214"/>
      <c r="P398" s="214"/>
      <c r="Q398" s="214"/>
      <c r="R398" s="214"/>
      <c r="S398" s="214"/>
      <c r="T398" s="214"/>
      <c r="U398" s="214"/>
      <c r="V398" s="214"/>
      <c r="W398" s="214"/>
      <c r="X398" s="214"/>
      <c r="Y398" s="261"/>
      <c r="Z398" s="262"/>
      <c r="AA398" s="262"/>
      <c r="AB398" s="270"/>
      <c r="AC398" s="214"/>
      <c r="AD398" s="214"/>
      <c r="AE398" s="214"/>
      <c r="AF398" s="214"/>
      <c r="AG398" s="214"/>
      <c r="AH398" s="214"/>
      <c r="AI398" s="261"/>
      <c r="AJ398" s="214"/>
      <c r="AK398" s="261"/>
      <c r="AL398" s="261"/>
      <c r="AM398" s="264"/>
      <c r="AN398" s="214"/>
      <c r="AO398" s="271"/>
      <c r="AP398" s="271"/>
      <c r="AQ398" s="271"/>
      <c r="AR398" s="271"/>
      <c r="AS398" s="272"/>
      <c r="AT398" s="272"/>
      <c r="AU398" s="214"/>
      <c r="AV398" s="214"/>
    </row>
    <row r="399" ht="15.75" customHeight="1">
      <c r="A399" s="214"/>
      <c r="B399" s="261"/>
      <c r="C399" s="266"/>
      <c r="D399" s="267"/>
      <c r="E399" s="214"/>
      <c r="F399" s="214"/>
      <c r="G399" s="214"/>
      <c r="H399" s="214"/>
      <c r="I399" s="214"/>
      <c r="J399" s="214"/>
      <c r="K399" s="268"/>
      <c r="L399" s="214"/>
      <c r="M399" s="269"/>
      <c r="N399" s="214"/>
      <c r="O399" s="214"/>
      <c r="P399" s="214"/>
      <c r="Q399" s="214"/>
      <c r="R399" s="214"/>
      <c r="S399" s="214"/>
      <c r="T399" s="214"/>
      <c r="U399" s="214"/>
      <c r="V399" s="214"/>
      <c r="W399" s="214"/>
      <c r="X399" s="214"/>
      <c r="Y399" s="261"/>
      <c r="Z399" s="262"/>
      <c r="AA399" s="262"/>
      <c r="AB399" s="270"/>
      <c r="AC399" s="214"/>
      <c r="AD399" s="214"/>
      <c r="AE399" s="214"/>
      <c r="AF399" s="214"/>
      <c r="AG399" s="214"/>
      <c r="AH399" s="214"/>
      <c r="AI399" s="261"/>
      <c r="AJ399" s="214"/>
      <c r="AK399" s="261"/>
      <c r="AL399" s="261"/>
      <c r="AM399" s="264"/>
      <c r="AN399" s="214"/>
      <c r="AO399" s="271"/>
      <c r="AP399" s="271"/>
      <c r="AQ399" s="271"/>
      <c r="AR399" s="271"/>
      <c r="AS399" s="272"/>
      <c r="AT399" s="272"/>
      <c r="AU399" s="214"/>
      <c r="AV399" s="214"/>
    </row>
    <row r="400" ht="15.75" customHeight="1">
      <c r="A400" s="214"/>
      <c r="B400" s="261"/>
      <c r="C400" s="266"/>
      <c r="D400" s="267"/>
      <c r="E400" s="214"/>
      <c r="F400" s="214"/>
      <c r="G400" s="214"/>
      <c r="H400" s="214"/>
      <c r="I400" s="214"/>
      <c r="J400" s="214"/>
      <c r="K400" s="268"/>
      <c r="L400" s="214"/>
      <c r="M400" s="269"/>
      <c r="N400" s="214"/>
      <c r="O400" s="214"/>
      <c r="P400" s="214"/>
      <c r="Q400" s="214"/>
      <c r="R400" s="214"/>
      <c r="S400" s="214"/>
      <c r="T400" s="214"/>
      <c r="U400" s="214"/>
      <c r="V400" s="214"/>
      <c r="W400" s="214"/>
      <c r="X400" s="214"/>
      <c r="Y400" s="261"/>
      <c r="Z400" s="262"/>
      <c r="AA400" s="262"/>
      <c r="AB400" s="270"/>
      <c r="AC400" s="214"/>
      <c r="AD400" s="214"/>
      <c r="AE400" s="214"/>
      <c r="AF400" s="214"/>
      <c r="AG400" s="214"/>
      <c r="AH400" s="214"/>
      <c r="AI400" s="261"/>
      <c r="AJ400" s="214"/>
      <c r="AK400" s="261"/>
      <c r="AL400" s="261"/>
      <c r="AM400" s="264"/>
      <c r="AN400" s="214"/>
      <c r="AO400" s="271"/>
      <c r="AP400" s="271"/>
      <c r="AQ400" s="271"/>
      <c r="AR400" s="271"/>
      <c r="AS400" s="272"/>
      <c r="AT400" s="272"/>
      <c r="AU400" s="214"/>
      <c r="AV400" s="214"/>
    </row>
    <row r="401" ht="15.75" customHeight="1">
      <c r="A401" s="214"/>
      <c r="B401" s="261"/>
      <c r="C401" s="266"/>
      <c r="D401" s="267"/>
      <c r="E401" s="214"/>
      <c r="F401" s="214"/>
      <c r="G401" s="214"/>
      <c r="H401" s="214"/>
      <c r="I401" s="214"/>
      <c r="J401" s="214"/>
      <c r="K401" s="268"/>
      <c r="L401" s="214"/>
      <c r="M401" s="269"/>
      <c r="N401" s="214"/>
      <c r="O401" s="214"/>
      <c r="P401" s="214"/>
      <c r="Q401" s="214"/>
      <c r="R401" s="214"/>
      <c r="S401" s="214"/>
      <c r="T401" s="214"/>
      <c r="U401" s="214"/>
      <c r="V401" s="214"/>
      <c r="W401" s="214"/>
      <c r="X401" s="214"/>
      <c r="Y401" s="261"/>
      <c r="Z401" s="262"/>
      <c r="AA401" s="262"/>
      <c r="AB401" s="270"/>
      <c r="AC401" s="214"/>
      <c r="AD401" s="214"/>
      <c r="AE401" s="214"/>
      <c r="AF401" s="214"/>
      <c r="AG401" s="214"/>
      <c r="AH401" s="214"/>
      <c r="AI401" s="261"/>
      <c r="AJ401" s="214"/>
      <c r="AK401" s="261"/>
      <c r="AL401" s="261"/>
      <c r="AM401" s="264"/>
      <c r="AN401" s="214"/>
      <c r="AO401" s="271"/>
      <c r="AP401" s="271"/>
      <c r="AQ401" s="271"/>
      <c r="AR401" s="271"/>
      <c r="AS401" s="272"/>
      <c r="AT401" s="272"/>
      <c r="AU401" s="214"/>
      <c r="AV401" s="214"/>
    </row>
    <row r="402" ht="15.75" customHeight="1">
      <c r="A402" s="214"/>
      <c r="B402" s="261"/>
      <c r="C402" s="266"/>
      <c r="D402" s="267"/>
      <c r="E402" s="214"/>
      <c r="F402" s="214"/>
      <c r="G402" s="214"/>
      <c r="H402" s="214"/>
      <c r="I402" s="214"/>
      <c r="J402" s="214"/>
      <c r="K402" s="268"/>
      <c r="L402" s="214"/>
      <c r="M402" s="269"/>
      <c r="N402" s="214"/>
      <c r="O402" s="214"/>
      <c r="P402" s="214"/>
      <c r="Q402" s="214"/>
      <c r="R402" s="214"/>
      <c r="S402" s="214"/>
      <c r="T402" s="214"/>
      <c r="U402" s="214"/>
      <c r="V402" s="214"/>
      <c r="W402" s="214"/>
      <c r="X402" s="214"/>
      <c r="Y402" s="261"/>
      <c r="Z402" s="262"/>
      <c r="AA402" s="262"/>
      <c r="AB402" s="270"/>
      <c r="AC402" s="214"/>
      <c r="AD402" s="214"/>
      <c r="AE402" s="214"/>
      <c r="AF402" s="214"/>
      <c r="AG402" s="214"/>
      <c r="AH402" s="214"/>
      <c r="AI402" s="261"/>
      <c r="AJ402" s="214"/>
      <c r="AK402" s="261"/>
      <c r="AL402" s="261"/>
      <c r="AM402" s="264"/>
      <c r="AN402" s="214"/>
      <c r="AO402" s="271"/>
      <c r="AP402" s="271"/>
      <c r="AQ402" s="271"/>
      <c r="AR402" s="271"/>
      <c r="AS402" s="272"/>
      <c r="AT402" s="272"/>
      <c r="AU402" s="214"/>
      <c r="AV402" s="214"/>
    </row>
    <row r="403" ht="15.75" customHeight="1">
      <c r="A403" s="214"/>
      <c r="B403" s="261"/>
      <c r="C403" s="266"/>
      <c r="D403" s="267"/>
      <c r="E403" s="214"/>
      <c r="F403" s="214"/>
      <c r="G403" s="214"/>
      <c r="H403" s="214"/>
      <c r="I403" s="214"/>
      <c r="J403" s="214"/>
      <c r="K403" s="268"/>
      <c r="L403" s="214"/>
      <c r="M403" s="269"/>
      <c r="N403" s="214"/>
      <c r="O403" s="214"/>
      <c r="P403" s="214"/>
      <c r="Q403" s="214"/>
      <c r="R403" s="214"/>
      <c r="S403" s="214"/>
      <c r="T403" s="214"/>
      <c r="U403" s="214"/>
      <c r="V403" s="214"/>
      <c r="W403" s="214"/>
      <c r="X403" s="214"/>
      <c r="Y403" s="261"/>
      <c r="Z403" s="262"/>
      <c r="AA403" s="262"/>
      <c r="AB403" s="270"/>
      <c r="AC403" s="214"/>
      <c r="AD403" s="214"/>
      <c r="AE403" s="214"/>
      <c r="AF403" s="214"/>
      <c r="AG403" s="214"/>
      <c r="AH403" s="214"/>
      <c r="AI403" s="261"/>
      <c r="AJ403" s="214"/>
      <c r="AK403" s="261"/>
      <c r="AL403" s="261"/>
      <c r="AM403" s="264"/>
      <c r="AN403" s="214"/>
      <c r="AO403" s="271"/>
      <c r="AP403" s="271"/>
      <c r="AQ403" s="271"/>
      <c r="AR403" s="271"/>
      <c r="AS403" s="272"/>
      <c r="AT403" s="272"/>
      <c r="AU403" s="214"/>
      <c r="AV403" s="214"/>
    </row>
    <row r="404" ht="15.75" customHeight="1">
      <c r="A404" s="214"/>
      <c r="B404" s="261"/>
      <c r="C404" s="266"/>
      <c r="D404" s="267"/>
      <c r="E404" s="214"/>
      <c r="F404" s="214"/>
      <c r="G404" s="214"/>
      <c r="H404" s="214"/>
      <c r="I404" s="214"/>
      <c r="J404" s="214"/>
      <c r="K404" s="268"/>
      <c r="L404" s="214"/>
      <c r="M404" s="269"/>
      <c r="N404" s="214"/>
      <c r="O404" s="214"/>
      <c r="P404" s="214"/>
      <c r="Q404" s="214"/>
      <c r="R404" s="214"/>
      <c r="S404" s="214"/>
      <c r="T404" s="214"/>
      <c r="U404" s="214"/>
      <c r="V404" s="214"/>
      <c r="W404" s="214"/>
      <c r="X404" s="214"/>
      <c r="Y404" s="261"/>
      <c r="Z404" s="262"/>
      <c r="AA404" s="262"/>
      <c r="AB404" s="270"/>
      <c r="AC404" s="214"/>
      <c r="AD404" s="214"/>
      <c r="AE404" s="214"/>
      <c r="AF404" s="214"/>
      <c r="AG404" s="214"/>
      <c r="AH404" s="214"/>
      <c r="AI404" s="261"/>
      <c r="AJ404" s="214"/>
      <c r="AK404" s="261"/>
      <c r="AL404" s="261"/>
      <c r="AM404" s="264"/>
      <c r="AN404" s="214"/>
      <c r="AO404" s="271"/>
      <c r="AP404" s="271"/>
      <c r="AQ404" s="271"/>
      <c r="AR404" s="271"/>
      <c r="AS404" s="272"/>
      <c r="AT404" s="272"/>
      <c r="AU404" s="214"/>
      <c r="AV404" s="214"/>
    </row>
    <row r="405" ht="15.75" customHeight="1">
      <c r="A405" s="214"/>
      <c r="B405" s="261"/>
      <c r="C405" s="266"/>
      <c r="D405" s="267"/>
      <c r="E405" s="214"/>
      <c r="F405" s="214"/>
      <c r="G405" s="214"/>
      <c r="H405" s="214"/>
      <c r="I405" s="214"/>
      <c r="J405" s="214"/>
      <c r="K405" s="268"/>
      <c r="L405" s="214"/>
      <c r="M405" s="269"/>
      <c r="N405" s="214"/>
      <c r="O405" s="214"/>
      <c r="P405" s="214"/>
      <c r="Q405" s="214"/>
      <c r="R405" s="214"/>
      <c r="S405" s="214"/>
      <c r="T405" s="214"/>
      <c r="U405" s="214"/>
      <c r="V405" s="214"/>
      <c r="W405" s="214"/>
      <c r="X405" s="214"/>
      <c r="Y405" s="261"/>
      <c r="Z405" s="262"/>
      <c r="AA405" s="262"/>
      <c r="AB405" s="270"/>
      <c r="AC405" s="214"/>
      <c r="AD405" s="214"/>
      <c r="AE405" s="214"/>
      <c r="AF405" s="214"/>
      <c r="AG405" s="214"/>
      <c r="AH405" s="214"/>
      <c r="AI405" s="261"/>
      <c r="AJ405" s="214"/>
      <c r="AK405" s="261"/>
      <c r="AL405" s="261"/>
      <c r="AM405" s="264"/>
      <c r="AN405" s="214"/>
      <c r="AO405" s="271"/>
      <c r="AP405" s="271"/>
      <c r="AQ405" s="271"/>
      <c r="AR405" s="271"/>
      <c r="AS405" s="272"/>
      <c r="AT405" s="272"/>
      <c r="AU405" s="214"/>
      <c r="AV405" s="214"/>
    </row>
    <row r="406" ht="15.75" customHeight="1">
      <c r="A406" s="214"/>
      <c r="B406" s="261"/>
      <c r="C406" s="266"/>
      <c r="D406" s="267"/>
      <c r="E406" s="214"/>
      <c r="F406" s="214"/>
      <c r="G406" s="214"/>
      <c r="H406" s="214"/>
      <c r="I406" s="214"/>
      <c r="J406" s="214"/>
      <c r="K406" s="268"/>
      <c r="L406" s="214"/>
      <c r="M406" s="269"/>
      <c r="N406" s="214"/>
      <c r="O406" s="214"/>
      <c r="P406" s="214"/>
      <c r="Q406" s="214"/>
      <c r="R406" s="214"/>
      <c r="S406" s="214"/>
      <c r="T406" s="214"/>
      <c r="U406" s="214"/>
      <c r="V406" s="214"/>
      <c r="W406" s="214"/>
      <c r="X406" s="214"/>
      <c r="Y406" s="261"/>
      <c r="Z406" s="262"/>
      <c r="AA406" s="262"/>
      <c r="AB406" s="270"/>
      <c r="AC406" s="214"/>
      <c r="AD406" s="214"/>
      <c r="AE406" s="214"/>
      <c r="AF406" s="214"/>
      <c r="AG406" s="214"/>
      <c r="AH406" s="214"/>
      <c r="AI406" s="261"/>
      <c r="AJ406" s="214"/>
      <c r="AK406" s="261"/>
      <c r="AL406" s="261"/>
      <c r="AM406" s="264"/>
      <c r="AN406" s="214"/>
      <c r="AO406" s="271"/>
      <c r="AP406" s="271"/>
      <c r="AQ406" s="271"/>
      <c r="AR406" s="271"/>
      <c r="AS406" s="272"/>
      <c r="AT406" s="272"/>
      <c r="AU406" s="214"/>
      <c r="AV406" s="214"/>
    </row>
    <row r="407" ht="15.75" customHeight="1">
      <c r="A407" s="214"/>
      <c r="B407" s="261"/>
      <c r="C407" s="266"/>
      <c r="D407" s="267"/>
      <c r="E407" s="214"/>
      <c r="F407" s="214"/>
      <c r="G407" s="214"/>
      <c r="H407" s="214"/>
      <c r="I407" s="214"/>
      <c r="J407" s="214"/>
      <c r="K407" s="268"/>
      <c r="L407" s="214"/>
      <c r="M407" s="269"/>
      <c r="N407" s="214"/>
      <c r="O407" s="214"/>
      <c r="P407" s="214"/>
      <c r="Q407" s="214"/>
      <c r="R407" s="214"/>
      <c r="S407" s="214"/>
      <c r="T407" s="214"/>
      <c r="U407" s="214"/>
      <c r="V407" s="214"/>
      <c r="W407" s="214"/>
      <c r="X407" s="214"/>
      <c r="Y407" s="261"/>
      <c r="Z407" s="262"/>
      <c r="AA407" s="262"/>
      <c r="AB407" s="270"/>
      <c r="AC407" s="214"/>
      <c r="AD407" s="214"/>
      <c r="AE407" s="214"/>
      <c r="AF407" s="214"/>
      <c r="AG407" s="214"/>
      <c r="AH407" s="214"/>
      <c r="AI407" s="261"/>
      <c r="AJ407" s="214"/>
      <c r="AK407" s="261"/>
      <c r="AL407" s="261"/>
      <c r="AM407" s="264"/>
      <c r="AN407" s="214"/>
      <c r="AO407" s="271"/>
      <c r="AP407" s="271"/>
      <c r="AQ407" s="271"/>
      <c r="AR407" s="271"/>
      <c r="AS407" s="272"/>
      <c r="AT407" s="272"/>
      <c r="AU407" s="214"/>
      <c r="AV407" s="214"/>
    </row>
    <row r="408" ht="15.75" customHeight="1">
      <c r="A408" s="214"/>
      <c r="B408" s="261"/>
      <c r="C408" s="266"/>
      <c r="D408" s="267"/>
      <c r="E408" s="214"/>
      <c r="F408" s="214"/>
      <c r="G408" s="214"/>
      <c r="H408" s="214"/>
      <c r="I408" s="214"/>
      <c r="J408" s="214"/>
      <c r="K408" s="268"/>
      <c r="L408" s="214"/>
      <c r="M408" s="269"/>
      <c r="N408" s="214"/>
      <c r="O408" s="214"/>
      <c r="P408" s="214"/>
      <c r="Q408" s="214"/>
      <c r="R408" s="214"/>
      <c r="S408" s="214"/>
      <c r="T408" s="214"/>
      <c r="U408" s="214"/>
      <c r="V408" s="214"/>
      <c r="W408" s="214"/>
      <c r="X408" s="214"/>
      <c r="Y408" s="261"/>
      <c r="Z408" s="262"/>
      <c r="AA408" s="262"/>
      <c r="AB408" s="270"/>
      <c r="AC408" s="214"/>
      <c r="AD408" s="214"/>
      <c r="AE408" s="214"/>
      <c r="AF408" s="214"/>
      <c r="AG408" s="214"/>
      <c r="AH408" s="214"/>
      <c r="AI408" s="261"/>
      <c r="AJ408" s="214"/>
      <c r="AK408" s="261"/>
      <c r="AL408" s="261"/>
      <c r="AM408" s="264"/>
      <c r="AN408" s="214"/>
      <c r="AO408" s="271"/>
      <c r="AP408" s="271"/>
      <c r="AQ408" s="271"/>
      <c r="AR408" s="271"/>
      <c r="AS408" s="272"/>
      <c r="AT408" s="272"/>
      <c r="AU408" s="214"/>
      <c r="AV408" s="214"/>
    </row>
    <row r="409" ht="15.75" customHeight="1">
      <c r="A409" s="214"/>
      <c r="B409" s="261"/>
      <c r="C409" s="266"/>
      <c r="D409" s="267"/>
      <c r="E409" s="214"/>
      <c r="F409" s="214"/>
      <c r="G409" s="214"/>
      <c r="H409" s="214"/>
      <c r="I409" s="214"/>
      <c r="J409" s="214"/>
      <c r="K409" s="268"/>
      <c r="L409" s="214"/>
      <c r="M409" s="269"/>
      <c r="N409" s="214"/>
      <c r="O409" s="214"/>
      <c r="P409" s="214"/>
      <c r="Q409" s="214"/>
      <c r="R409" s="214"/>
      <c r="S409" s="214"/>
      <c r="T409" s="214"/>
      <c r="U409" s="214"/>
      <c r="V409" s="214"/>
      <c r="W409" s="214"/>
      <c r="X409" s="214"/>
      <c r="Y409" s="261"/>
      <c r="Z409" s="262"/>
      <c r="AA409" s="262"/>
      <c r="AB409" s="270"/>
      <c r="AC409" s="214"/>
      <c r="AD409" s="214"/>
      <c r="AE409" s="214"/>
      <c r="AF409" s="214"/>
      <c r="AG409" s="214"/>
      <c r="AH409" s="214"/>
      <c r="AI409" s="261"/>
      <c r="AJ409" s="214"/>
      <c r="AK409" s="261"/>
      <c r="AL409" s="261"/>
      <c r="AM409" s="264"/>
      <c r="AN409" s="214"/>
      <c r="AO409" s="271"/>
      <c r="AP409" s="271"/>
      <c r="AQ409" s="271"/>
      <c r="AR409" s="271"/>
      <c r="AS409" s="272"/>
      <c r="AT409" s="272"/>
      <c r="AU409" s="214"/>
      <c r="AV409" s="214"/>
    </row>
    <row r="410" ht="15.75" customHeight="1">
      <c r="A410" s="214"/>
      <c r="B410" s="261"/>
      <c r="C410" s="266"/>
      <c r="D410" s="267"/>
      <c r="E410" s="214"/>
      <c r="F410" s="214"/>
      <c r="G410" s="214"/>
      <c r="H410" s="214"/>
      <c r="I410" s="214"/>
      <c r="J410" s="214"/>
      <c r="K410" s="268"/>
      <c r="L410" s="214"/>
      <c r="M410" s="269"/>
      <c r="N410" s="214"/>
      <c r="O410" s="214"/>
      <c r="P410" s="214"/>
      <c r="Q410" s="214"/>
      <c r="R410" s="214"/>
      <c r="S410" s="214"/>
      <c r="T410" s="214"/>
      <c r="U410" s="214"/>
      <c r="V410" s="214"/>
      <c r="W410" s="214"/>
      <c r="X410" s="214"/>
      <c r="Y410" s="261"/>
      <c r="Z410" s="262"/>
      <c r="AA410" s="262"/>
      <c r="AB410" s="270"/>
      <c r="AC410" s="214"/>
      <c r="AD410" s="214"/>
      <c r="AE410" s="214"/>
      <c r="AF410" s="214"/>
      <c r="AG410" s="214"/>
      <c r="AH410" s="214"/>
      <c r="AI410" s="261"/>
      <c r="AJ410" s="214"/>
      <c r="AK410" s="261"/>
      <c r="AL410" s="261"/>
      <c r="AM410" s="264"/>
      <c r="AN410" s="214"/>
      <c r="AO410" s="271"/>
      <c r="AP410" s="271"/>
      <c r="AQ410" s="271"/>
      <c r="AR410" s="271"/>
      <c r="AS410" s="272"/>
      <c r="AT410" s="272"/>
      <c r="AU410" s="214"/>
      <c r="AV410" s="214"/>
    </row>
    <row r="411" ht="15.75" customHeight="1">
      <c r="A411" s="214"/>
      <c r="B411" s="261"/>
      <c r="C411" s="266"/>
      <c r="D411" s="267"/>
      <c r="E411" s="214"/>
      <c r="F411" s="214"/>
      <c r="G411" s="214"/>
      <c r="H411" s="214"/>
      <c r="I411" s="214"/>
      <c r="J411" s="214"/>
      <c r="K411" s="268"/>
      <c r="L411" s="214"/>
      <c r="M411" s="269"/>
      <c r="N411" s="214"/>
      <c r="O411" s="214"/>
      <c r="P411" s="214"/>
      <c r="Q411" s="214"/>
      <c r="R411" s="214"/>
      <c r="S411" s="214"/>
      <c r="T411" s="214"/>
      <c r="U411" s="214"/>
      <c r="V411" s="214"/>
      <c r="W411" s="214"/>
      <c r="X411" s="214"/>
      <c r="Y411" s="261"/>
      <c r="Z411" s="262"/>
      <c r="AA411" s="262"/>
      <c r="AB411" s="270"/>
      <c r="AC411" s="214"/>
      <c r="AD411" s="214"/>
      <c r="AE411" s="214"/>
      <c r="AF411" s="214"/>
      <c r="AG411" s="214"/>
      <c r="AH411" s="214"/>
      <c r="AI411" s="261"/>
      <c r="AJ411" s="214"/>
      <c r="AK411" s="261"/>
      <c r="AL411" s="261"/>
      <c r="AM411" s="264"/>
      <c r="AN411" s="214"/>
      <c r="AO411" s="271"/>
      <c r="AP411" s="271"/>
      <c r="AQ411" s="271"/>
      <c r="AR411" s="271"/>
      <c r="AS411" s="272"/>
      <c r="AT411" s="272"/>
      <c r="AU411" s="214"/>
      <c r="AV411" s="214"/>
    </row>
    <row r="412" ht="15.75" customHeight="1">
      <c r="A412" s="214"/>
      <c r="B412" s="261"/>
      <c r="C412" s="266"/>
      <c r="D412" s="267"/>
      <c r="E412" s="214"/>
      <c r="F412" s="214"/>
      <c r="G412" s="214"/>
      <c r="H412" s="214"/>
      <c r="I412" s="214"/>
      <c r="J412" s="214"/>
      <c r="K412" s="268"/>
      <c r="L412" s="214"/>
      <c r="M412" s="269"/>
      <c r="N412" s="214"/>
      <c r="O412" s="214"/>
      <c r="P412" s="214"/>
      <c r="Q412" s="214"/>
      <c r="R412" s="214"/>
      <c r="S412" s="214"/>
      <c r="T412" s="214"/>
      <c r="U412" s="214"/>
      <c r="V412" s="214"/>
      <c r="W412" s="214"/>
      <c r="X412" s="214"/>
      <c r="Y412" s="261"/>
      <c r="Z412" s="262"/>
      <c r="AA412" s="262"/>
      <c r="AB412" s="270"/>
      <c r="AC412" s="214"/>
      <c r="AD412" s="214"/>
      <c r="AE412" s="214"/>
      <c r="AF412" s="214"/>
      <c r="AG412" s="214"/>
      <c r="AH412" s="214"/>
      <c r="AI412" s="261"/>
      <c r="AJ412" s="214"/>
      <c r="AK412" s="261"/>
      <c r="AL412" s="261"/>
      <c r="AM412" s="264"/>
      <c r="AN412" s="214"/>
      <c r="AO412" s="271"/>
      <c r="AP412" s="271"/>
      <c r="AQ412" s="271"/>
      <c r="AR412" s="271"/>
      <c r="AS412" s="272"/>
      <c r="AT412" s="272"/>
      <c r="AU412" s="214"/>
      <c r="AV412" s="214"/>
    </row>
    <row r="413" ht="15.75" customHeight="1">
      <c r="A413" s="214"/>
      <c r="B413" s="261"/>
      <c r="C413" s="266"/>
      <c r="D413" s="267"/>
      <c r="E413" s="214"/>
      <c r="F413" s="214"/>
      <c r="G413" s="214"/>
      <c r="H413" s="214"/>
      <c r="I413" s="214"/>
      <c r="J413" s="214"/>
      <c r="K413" s="268"/>
      <c r="L413" s="214"/>
      <c r="M413" s="269"/>
      <c r="N413" s="214"/>
      <c r="O413" s="214"/>
      <c r="P413" s="214"/>
      <c r="Q413" s="214"/>
      <c r="R413" s="214"/>
      <c r="S413" s="214"/>
      <c r="T413" s="214"/>
      <c r="U413" s="214"/>
      <c r="V413" s="214"/>
      <c r="W413" s="214"/>
      <c r="X413" s="214"/>
      <c r="Y413" s="261"/>
      <c r="Z413" s="262"/>
      <c r="AA413" s="262"/>
      <c r="AB413" s="270"/>
      <c r="AC413" s="214"/>
      <c r="AD413" s="214"/>
      <c r="AE413" s="214"/>
      <c r="AF413" s="214"/>
      <c r="AG413" s="214"/>
      <c r="AH413" s="214"/>
      <c r="AI413" s="261"/>
      <c r="AJ413" s="214"/>
      <c r="AK413" s="261"/>
      <c r="AL413" s="261"/>
      <c r="AM413" s="264"/>
      <c r="AN413" s="214"/>
      <c r="AO413" s="271"/>
      <c r="AP413" s="271"/>
      <c r="AQ413" s="271"/>
      <c r="AR413" s="271"/>
      <c r="AS413" s="272"/>
      <c r="AT413" s="272"/>
      <c r="AU413" s="214"/>
      <c r="AV413" s="214"/>
    </row>
    <row r="414" ht="15.75" customHeight="1">
      <c r="A414" s="214"/>
      <c r="B414" s="261"/>
      <c r="C414" s="266"/>
      <c r="D414" s="267"/>
      <c r="E414" s="214"/>
      <c r="F414" s="214"/>
      <c r="G414" s="214"/>
      <c r="H414" s="214"/>
      <c r="I414" s="214"/>
      <c r="J414" s="214"/>
      <c r="K414" s="268"/>
      <c r="L414" s="214"/>
      <c r="M414" s="269"/>
      <c r="N414" s="214"/>
      <c r="O414" s="214"/>
      <c r="P414" s="214"/>
      <c r="Q414" s="214"/>
      <c r="R414" s="214"/>
      <c r="S414" s="214"/>
      <c r="T414" s="214"/>
      <c r="U414" s="214"/>
      <c r="V414" s="214"/>
      <c r="W414" s="214"/>
      <c r="X414" s="214"/>
      <c r="Y414" s="261"/>
      <c r="Z414" s="262"/>
      <c r="AA414" s="262"/>
      <c r="AB414" s="270"/>
      <c r="AC414" s="214"/>
      <c r="AD414" s="214"/>
      <c r="AE414" s="214"/>
      <c r="AF414" s="214"/>
      <c r="AG414" s="214"/>
      <c r="AH414" s="214"/>
      <c r="AI414" s="261"/>
      <c r="AJ414" s="214"/>
      <c r="AK414" s="261"/>
      <c r="AL414" s="261"/>
      <c r="AM414" s="264"/>
      <c r="AN414" s="214"/>
      <c r="AO414" s="271"/>
      <c r="AP414" s="271"/>
      <c r="AQ414" s="271"/>
      <c r="AR414" s="271"/>
      <c r="AS414" s="272"/>
      <c r="AT414" s="272"/>
      <c r="AU414" s="214"/>
      <c r="AV414" s="214"/>
    </row>
    <row r="415" ht="15.75" customHeight="1">
      <c r="A415" s="214"/>
      <c r="B415" s="261"/>
      <c r="C415" s="266"/>
      <c r="D415" s="267"/>
      <c r="E415" s="214"/>
      <c r="F415" s="214"/>
      <c r="G415" s="214"/>
      <c r="H415" s="214"/>
      <c r="I415" s="214"/>
      <c r="J415" s="214"/>
      <c r="K415" s="268"/>
      <c r="L415" s="214"/>
      <c r="M415" s="269"/>
      <c r="N415" s="214"/>
      <c r="O415" s="214"/>
      <c r="P415" s="214"/>
      <c r="Q415" s="214"/>
      <c r="R415" s="214"/>
      <c r="S415" s="214"/>
      <c r="T415" s="214"/>
      <c r="U415" s="214"/>
      <c r="V415" s="214"/>
      <c r="W415" s="214"/>
      <c r="X415" s="214"/>
      <c r="Y415" s="261"/>
      <c r="Z415" s="262"/>
      <c r="AA415" s="262"/>
      <c r="AB415" s="270"/>
      <c r="AC415" s="214"/>
      <c r="AD415" s="214"/>
      <c r="AE415" s="214"/>
      <c r="AF415" s="214"/>
      <c r="AG415" s="214"/>
      <c r="AH415" s="214"/>
      <c r="AI415" s="261"/>
      <c r="AJ415" s="214"/>
      <c r="AK415" s="261"/>
      <c r="AL415" s="261"/>
      <c r="AM415" s="264"/>
      <c r="AN415" s="214"/>
      <c r="AO415" s="271"/>
      <c r="AP415" s="271"/>
      <c r="AQ415" s="271"/>
      <c r="AR415" s="271"/>
      <c r="AS415" s="272"/>
      <c r="AT415" s="272"/>
      <c r="AU415" s="214"/>
      <c r="AV415" s="214"/>
    </row>
    <row r="416" ht="15.75" customHeight="1">
      <c r="A416" s="214"/>
      <c r="B416" s="261"/>
      <c r="C416" s="266"/>
      <c r="D416" s="267"/>
      <c r="E416" s="214"/>
      <c r="F416" s="214"/>
      <c r="G416" s="214"/>
      <c r="H416" s="214"/>
      <c r="I416" s="214"/>
      <c r="J416" s="214"/>
      <c r="K416" s="268"/>
      <c r="L416" s="214"/>
      <c r="M416" s="269"/>
      <c r="N416" s="214"/>
      <c r="O416" s="214"/>
      <c r="P416" s="214"/>
      <c r="Q416" s="214"/>
      <c r="R416" s="214"/>
      <c r="S416" s="214"/>
      <c r="T416" s="214"/>
      <c r="U416" s="214"/>
      <c r="V416" s="214"/>
      <c r="W416" s="214"/>
      <c r="X416" s="214"/>
      <c r="Y416" s="261"/>
      <c r="Z416" s="262"/>
      <c r="AA416" s="262"/>
      <c r="AB416" s="270"/>
      <c r="AC416" s="214"/>
      <c r="AD416" s="214"/>
      <c r="AE416" s="214"/>
      <c r="AF416" s="214"/>
      <c r="AG416" s="214"/>
      <c r="AH416" s="214"/>
      <c r="AI416" s="261"/>
      <c r="AJ416" s="214"/>
      <c r="AK416" s="261"/>
      <c r="AL416" s="261"/>
      <c r="AM416" s="264"/>
      <c r="AN416" s="214"/>
      <c r="AO416" s="271"/>
      <c r="AP416" s="271"/>
      <c r="AQ416" s="271"/>
      <c r="AR416" s="271"/>
      <c r="AS416" s="272"/>
      <c r="AT416" s="272"/>
      <c r="AU416" s="214"/>
      <c r="AV416" s="214"/>
    </row>
    <row r="417" ht="15.75" customHeight="1">
      <c r="A417" s="214"/>
      <c r="B417" s="261"/>
      <c r="C417" s="266"/>
      <c r="D417" s="267"/>
      <c r="E417" s="214"/>
      <c r="F417" s="214"/>
      <c r="G417" s="214"/>
      <c r="H417" s="214"/>
      <c r="I417" s="214"/>
      <c r="J417" s="214"/>
      <c r="K417" s="268"/>
      <c r="L417" s="214"/>
      <c r="M417" s="269"/>
      <c r="N417" s="214"/>
      <c r="O417" s="214"/>
      <c r="P417" s="214"/>
      <c r="Q417" s="214"/>
      <c r="R417" s="214"/>
      <c r="S417" s="214"/>
      <c r="T417" s="214"/>
      <c r="U417" s="214"/>
      <c r="V417" s="214"/>
      <c r="W417" s="214"/>
      <c r="X417" s="214"/>
      <c r="Y417" s="261"/>
      <c r="Z417" s="262"/>
      <c r="AA417" s="262"/>
      <c r="AB417" s="270"/>
      <c r="AC417" s="214"/>
      <c r="AD417" s="214"/>
      <c r="AE417" s="214"/>
      <c r="AF417" s="214"/>
      <c r="AG417" s="214"/>
      <c r="AH417" s="214"/>
      <c r="AI417" s="261"/>
      <c r="AJ417" s="214"/>
      <c r="AK417" s="261"/>
      <c r="AL417" s="261"/>
      <c r="AM417" s="264"/>
      <c r="AN417" s="214"/>
      <c r="AO417" s="271"/>
      <c r="AP417" s="271"/>
      <c r="AQ417" s="271"/>
      <c r="AR417" s="271"/>
      <c r="AS417" s="272"/>
      <c r="AT417" s="272"/>
      <c r="AU417" s="214"/>
      <c r="AV417" s="214"/>
    </row>
    <row r="418" ht="15.75" customHeight="1">
      <c r="A418" s="214"/>
      <c r="B418" s="261"/>
      <c r="C418" s="266"/>
      <c r="D418" s="267"/>
      <c r="E418" s="214"/>
      <c r="F418" s="214"/>
      <c r="G418" s="214"/>
      <c r="H418" s="214"/>
      <c r="I418" s="214"/>
      <c r="J418" s="214"/>
      <c r="K418" s="268"/>
      <c r="L418" s="214"/>
      <c r="M418" s="269"/>
      <c r="N418" s="214"/>
      <c r="O418" s="214"/>
      <c r="P418" s="214"/>
      <c r="Q418" s="214"/>
      <c r="R418" s="214"/>
      <c r="S418" s="214"/>
      <c r="T418" s="214"/>
      <c r="U418" s="214"/>
      <c r="V418" s="214"/>
      <c r="W418" s="214"/>
      <c r="X418" s="214"/>
      <c r="Y418" s="261"/>
      <c r="Z418" s="262"/>
      <c r="AA418" s="262"/>
      <c r="AB418" s="270"/>
      <c r="AC418" s="214"/>
      <c r="AD418" s="214"/>
      <c r="AE418" s="214"/>
      <c r="AF418" s="214"/>
      <c r="AG418" s="214"/>
      <c r="AH418" s="214"/>
      <c r="AI418" s="261"/>
      <c r="AJ418" s="214"/>
      <c r="AK418" s="261"/>
      <c r="AL418" s="261"/>
      <c r="AM418" s="264"/>
      <c r="AN418" s="214"/>
      <c r="AO418" s="271"/>
      <c r="AP418" s="271"/>
      <c r="AQ418" s="271"/>
      <c r="AR418" s="271"/>
      <c r="AS418" s="272"/>
      <c r="AT418" s="272"/>
      <c r="AU418" s="214"/>
      <c r="AV418" s="214"/>
    </row>
    <row r="419" ht="15.75" customHeight="1">
      <c r="A419" s="214"/>
      <c r="B419" s="261"/>
      <c r="C419" s="266"/>
      <c r="D419" s="267"/>
      <c r="E419" s="214"/>
      <c r="F419" s="214"/>
      <c r="G419" s="214"/>
      <c r="H419" s="214"/>
      <c r="I419" s="214"/>
      <c r="J419" s="214"/>
      <c r="K419" s="268"/>
      <c r="L419" s="214"/>
      <c r="M419" s="269"/>
      <c r="N419" s="214"/>
      <c r="O419" s="214"/>
      <c r="P419" s="214"/>
      <c r="Q419" s="214"/>
      <c r="R419" s="214"/>
      <c r="S419" s="214"/>
      <c r="T419" s="214"/>
      <c r="U419" s="214"/>
      <c r="V419" s="214"/>
      <c r="W419" s="214"/>
      <c r="X419" s="214"/>
      <c r="Y419" s="261"/>
      <c r="Z419" s="262"/>
      <c r="AA419" s="262"/>
      <c r="AB419" s="270"/>
      <c r="AC419" s="214"/>
      <c r="AD419" s="214"/>
      <c r="AE419" s="214"/>
      <c r="AF419" s="214"/>
      <c r="AG419" s="214"/>
      <c r="AH419" s="214"/>
      <c r="AI419" s="261"/>
      <c r="AJ419" s="214"/>
      <c r="AK419" s="261"/>
      <c r="AL419" s="261"/>
      <c r="AM419" s="264"/>
      <c r="AN419" s="214"/>
      <c r="AO419" s="271"/>
      <c r="AP419" s="271"/>
      <c r="AQ419" s="271"/>
      <c r="AR419" s="271"/>
      <c r="AS419" s="272"/>
      <c r="AT419" s="272"/>
      <c r="AU419" s="214"/>
      <c r="AV419" s="214"/>
    </row>
    <row r="420" ht="15.75" customHeight="1">
      <c r="A420" s="214"/>
      <c r="B420" s="261"/>
      <c r="C420" s="266"/>
      <c r="D420" s="267"/>
      <c r="E420" s="214"/>
      <c r="F420" s="214"/>
      <c r="G420" s="214"/>
      <c r="H420" s="214"/>
      <c r="I420" s="214"/>
      <c r="J420" s="214"/>
      <c r="K420" s="268"/>
      <c r="L420" s="214"/>
      <c r="M420" s="269"/>
      <c r="N420" s="214"/>
      <c r="O420" s="214"/>
      <c r="P420" s="214"/>
      <c r="Q420" s="214"/>
      <c r="R420" s="214"/>
      <c r="S420" s="214"/>
      <c r="T420" s="214"/>
      <c r="U420" s="214"/>
      <c r="V420" s="214"/>
      <c r="W420" s="214"/>
      <c r="X420" s="214"/>
      <c r="Y420" s="261"/>
      <c r="Z420" s="262"/>
      <c r="AA420" s="262"/>
      <c r="AB420" s="270"/>
      <c r="AC420" s="214"/>
      <c r="AD420" s="214"/>
      <c r="AE420" s="214"/>
      <c r="AF420" s="214"/>
      <c r="AG420" s="214"/>
      <c r="AH420" s="214"/>
      <c r="AI420" s="261"/>
      <c r="AJ420" s="214"/>
      <c r="AK420" s="261"/>
      <c r="AL420" s="261"/>
      <c r="AM420" s="264"/>
      <c r="AN420" s="214"/>
      <c r="AO420" s="271"/>
      <c r="AP420" s="271"/>
      <c r="AQ420" s="271"/>
      <c r="AR420" s="271"/>
      <c r="AS420" s="272"/>
      <c r="AT420" s="272"/>
      <c r="AU420" s="214"/>
      <c r="AV420" s="214"/>
    </row>
    <row r="421" ht="15.75" customHeight="1">
      <c r="A421" s="214"/>
      <c r="B421" s="261"/>
      <c r="C421" s="266"/>
      <c r="D421" s="267"/>
      <c r="E421" s="214"/>
      <c r="F421" s="214"/>
      <c r="G421" s="214"/>
      <c r="H421" s="214"/>
      <c r="I421" s="214"/>
      <c r="J421" s="214"/>
      <c r="K421" s="268"/>
      <c r="L421" s="214"/>
      <c r="M421" s="269"/>
      <c r="N421" s="214"/>
      <c r="O421" s="214"/>
      <c r="P421" s="214"/>
      <c r="Q421" s="214"/>
      <c r="R421" s="214"/>
      <c r="S421" s="214"/>
      <c r="T421" s="214"/>
      <c r="U421" s="214"/>
      <c r="V421" s="214"/>
      <c r="W421" s="214"/>
      <c r="X421" s="214"/>
      <c r="Y421" s="261"/>
      <c r="Z421" s="262"/>
      <c r="AA421" s="262"/>
      <c r="AB421" s="270"/>
      <c r="AC421" s="214"/>
      <c r="AD421" s="214"/>
      <c r="AE421" s="214"/>
      <c r="AF421" s="214"/>
      <c r="AG421" s="214"/>
      <c r="AH421" s="214"/>
      <c r="AI421" s="261"/>
      <c r="AJ421" s="214"/>
      <c r="AK421" s="261"/>
      <c r="AL421" s="261"/>
      <c r="AM421" s="264"/>
      <c r="AN421" s="214"/>
      <c r="AO421" s="271"/>
      <c r="AP421" s="271"/>
      <c r="AQ421" s="271"/>
      <c r="AR421" s="271"/>
      <c r="AS421" s="272"/>
      <c r="AT421" s="272"/>
      <c r="AU421" s="214"/>
      <c r="AV421" s="214"/>
    </row>
    <row r="422" ht="15.75" customHeight="1">
      <c r="A422" s="214"/>
      <c r="B422" s="261"/>
      <c r="C422" s="266"/>
      <c r="D422" s="267"/>
      <c r="E422" s="214"/>
      <c r="F422" s="214"/>
      <c r="G422" s="214"/>
      <c r="H422" s="214"/>
      <c r="I422" s="214"/>
      <c r="J422" s="214"/>
      <c r="K422" s="268"/>
      <c r="L422" s="214"/>
      <c r="M422" s="269"/>
      <c r="N422" s="214"/>
      <c r="O422" s="214"/>
      <c r="P422" s="214"/>
      <c r="Q422" s="214"/>
      <c r="R422" s="214"/>
      <c r="S422" s="214"/>
      <c r="T422" s="214"/>
      <c r="U422" s="214"/>
      <c r="V422" s="214"/>
      <c r="W422" s="214"/>
      <c r="X422" s="214"/>
      <c r="Y422" s="261"/>
      <c r="Z422" s="262"/>
      <c r="AA422" s="262"/>
      <c r="AB422" s="270"/>
      <c r="AC422" s="214"/>
      <c r="AD422" s="214"/>
      <c r="AE422" s="214"/>
      <c r="AF422" s="214"/>
      <c r="AG422" s="214"/>
      <c r="AH422" s="214"/>
      <c r="AI422" s="261"/>
      <c r="AJ422" s="214"/>
      <c r="AK422" s="261"/>
      <c r="AL422" s="261"/>
      <c r="AM422" s="264"/>
      <c r="AN422" s="214"/>
      <c r="AO422" s="271"/>
      <c r="AP422" s="271"/>
      <c r="AQ422" s="271"/>
      <c r="AR422" s="271"/>
      <c r="AS422" s="272"/>
      <c r="AT422" s="272"/>
      <c r="AU422" s="214"/>
      <c r="AV422" s="214"/>
    </row>
    <row r="423" ht="15.75" customHeight="1">
      <c r="A423" s="214"/>
      <c r="B423" s="261"/>
      <c r="C423" s="266"/>
      <c r="D423" s="267"/>
      <c r="E423" s="214"/>
      <c r="F423" s="214"/>
      <c r="G423" s="214"/>
      <c r="H423" s="214"/>
      <c r="I423" s="214"/>
      <c r="J423" s="214"/>
      <c r="K423" s="268"/>
      <c r="L423" s="214"/>
      <c r="M423" s="269"/>
      <c r="N423" s="214"/>
      <c r="O423" s="214"/>
      <c r="P423" s="214"/>
      <c r="Q423" s="214"/>
      <c r="R423" s="214"/>
      <c r="S423" s="214"/>
      <c r="T423" s="214"/>
      <c r="U423" s="214"/>
      <c r="V423" s="214"/>
      <c r="W423" s="214"/>
      <c r="X423" s="214"/>
      <c r="Y423" s="261"/>
      <c r="Z423" s="262"/>
      <c r="AA423" s="262"/>
      <c r="AB423" s="270"/>
      <c r="AC423" s="214"/>
      <c r="AD423" s="214"/>
      <c r="AE423" s="214"/>
      <c r="AF423" s="214"/>
      <c r="AG423" s="214"/>
      <c r="AH423" s="214"/>
      <c r="AI423" s="261"/>
      <c r="AJ423" s="214"/>
      <c r="AK423" s="261"/>
      <c r="AL423" s="261"/>
      <c r="AM423" s="264"/>
      <c r="AN423" s="214"/>
      <c r="AO423" s="271"/>
      <c r="AP423" s="271"/>
      <c r="AQ423" s="271"/>
      <c r="AR423" s="271"/>
      <c r="AS423" s="272"/>
      <c r="AT423" s="272"/>
      <c r="AU423" s="214"/>
      <c r="AV423" s="214"/>
    </row>
    <row r="424" ht="15.75" customHeight="1">
      <c r="A424" s="214"/>
      <c r="B424" s="261"/>
      <c r="C424" s="266"/>
      <c r="D424" s="267"/>
      <c r="E424" s="214"/>
      <c r="F424" s="214"/>
      <c r="G424" s="214"/>
      <c r="H424" s="214"/>
      <c r="I424" s="214"/>
      <c r="J424" s="214"/>
      <c r="K424" s="268"/>
      <c r="L424" s="214"/>
      <c r="M424" s="269"/>
      <c r="N424" s="214"/>
      <c r="O424" s="214"/>
      <c r="P424" s="214"/>
      <c r="Q424" s="214"/>
      <c r="R424" s="214"/>
      <c r="S424" s="214"/>
      <c r="T424" s="214"/>
      <c r="U424" s="214"/>
      <c r="V424" s="214"/>
      <c r="W424" s="214"/>
      <c r="X424" s="214"/>
      <c r="Y424" s="261"/>
      <c r="Z424" s="262"/>
      <c r="AA424" s="262"/>
      <c r="AB424" s="270"/>
      <c r="AC424" s="214"/>
      <c r="AD424" s="214"/>
      <c r="AE424" s="214"/>
      <c r="AF424" s="214"/>
      <c r="AG424" s="214"/>
      <c r="AH424" s="214"/>
      <c r="AI424" s="261"/>
      <c r="AJ424" s="214"/>
      <c r="AK424" s="261"/>
      <c r="AL424" s="261"/>
      <c r="AM424" s="264"/>
      <c r="AN424" s="214"/>
      <c r="AO424" s="271"/>
      <c r="AP424" s="271"/>
      <c r="AQ424" s="271"/>
      <c r="AR424" s="271"/>
      <c r="AS424" s="272"/>
      <c r="AT424" s="272"/>
      <c r="AU424" s="214"/>
      <c r="AV424" s="214"/>
    </row>
    <row r="425" ht="15.75" customHeight="1">
      <c r="A425" s="214"/>
      <c r="B425" s="261"/>
      <c r="C425" s="266"/>
      <c r="D425" s="267"/>
      <c r="E425" s="214"/>
      <c r="F425" s="214"/>
      <c r="G425" s="214"/>
      <c r="H425" s="214"/>
      <c r="I425" s="214"/>
      <c r="J425" s="214"/>
      <c r="K425" s="268"/>
      <c r="L425" s="214"/>
      <c r="M425" s="269"/>
      <c r="N425" s="214"/>
      <c r="O425" s="214"/>
      <c r="P425" s="214"/>
      <c r="Q425" s="214"/>
      <c r="R425" s="214"/>
      <c r="S425" s="214"/>
      <c r="T425" s="214"/>
      <c r="U425" s="214"/>
      <c r="V425" s="214"/>
      <c r="W425" s="214"/>
      <c r="X425" s="214"/>
      <c r="Y425" s="261"/>
      <c r="Z425" s="262"/>
      <c r="AA425" s="262"/>
      <c r="AB425" s="270"/>
      <c r="AC425" s="214"/>
      <c r="AD425" s="214"/>
      <c r="AE425" s="214"/>
      <c r="AF425" s="214"/>
      <c r="AG425" s="214"/>
      <c r="AH425" s="214"/>
      <c r="AI425" s="261"/>
      <c r="AJ425" s="214"/>
      <c r="AK425" s="261"/>
      <c r="AL425" s="261"/>
      <c r="AM425" s="264"/>
      <c r="AN425" s="214"/>
      <c r="AO425" s="271"/>
      <c r="AP425" s="271"/>
      <c r="AQ425" s="271"/>
      <c r="AR425" s="271"/>
      <c r="AS425" s="272"/>
      <c r="AT425" s="272"/>
      <c r="AU425" s="214"/>
      <c r="AV425" s="214"/>
    </row>
    <row r="426" ht="15.75" customHeight="1">
      <c r="A426" s="214"/>
      <c r="B426" s="261"/>
      <c r="C426" s="266"/>
      <c r="D426" s="267"/>
      <c r="E426" s="214"/>
      <c r="F426" s="214"/>
      <c r="G426" s="214"/>
      <c r="H426" s="214"/>
      <c r="I426" s="214"/>
      <c r="J426" s="214"/>
      <c r="K426" s="268"/>
      <c r="L426" s="214"/>
      <c r="M426" s="269"/>
      <c r="N426" s="214"/>
      <c r="O426" s="214"/>
      <c r="P426" s="214"/>
      <c r="Q426" s="214"/>
      <c r="R426" s="214"/>
      <c r="S426" s="214"/>
      <c r="T426" s="214"/>
      <c r="U426" s="214"/>
      <c r="V426" s="214"/>
      <c r="W426" s="214"/>
      <c r="X426" s="214"/>
      <c r="Y426" s="261"/>
      <c r="Z426" s="262"/>
      <c r="AA426" s="262"/>
      <c r="AB426" s="270"/>
      <c r="AC426" s="214"/>
      <c r="AD426" s="214"/>
      <c r="AE426" s="214"/>
      <c r="AF426" s="214"/>
      <c r="AG426" s="214"/>
      <c r="AH426" s="214"/>
      <c r="AI426" s="261"/>
      <c r="AJ426" s="214"/>
      <c r="AK426" s="261"/>
      <c r="AL426" s="261"/>
      <c r="AM426" s="264"/>
      <c r="AN426" s="214"/>
      <c r="AO426" s="271"/>
      <c r="AP426" s="271"/>
      <c r="AQ426" s="271"/>
      <c r="AR426" s="271"/>
      <c r="AS426" s="272"/>
      <c r="AT426" s="272"/>
      <c r="AU426" s="214"/>
      <c r="AV426" s="214"/>
    </row>
    <row r="427" ht="15.75" customHeight="1">
      <c r="A427" s="214"/>
      <c r="B427" s="261"/>
      <c r="C427" s="266"/>
      <c r="D427" s="267"/>
      <c r="E427" s="214"/>
      <c r="F427" s="214"/>
      <c r="G427" s="214"/>
      <c r="H427" s="214"/>
      <c r="I427" s="214"/>
      <c r="J427" s="214"/>
      <c r="K427" s="268"/>
      <c r="L427" s="214"/>
      <c r="M427" s="269"/>
      <c r="N427" s="214"/>
      <c r="O427" s="214"/>
      <c r="P427" s="214"/>
      <c r="Q427" s="214"/>
      <c r="R427" s="214"/>
      <c r="S427" s="214"/>
      <c r="T427" s="214"/>
      <c r="U427" s="214"/>
      <c r="V427" s="214"/>
      <c r="W427" s="214"/>
      <c r="X427" s="214"/>
      <c r="Y427" s="261"/>
      <c r="Z427" s="262"/>
      <c r="AA427" s="262"/>
      <c r="AB427" s="270"/>
      <c r="AC427" s="214"/>
      <c r="AD427" s="214"/>
      <c r="AE427" s="214"/>
      <c r="AF427" s="214"/>
      <c r="AG427" s="214"/>
      <c r="AH427" s="214"/>
      <c r="AI427" s="261"/>
      <c r="AJ427" s="214"/>
      <c r="AK427" s="261"/>
      <c r="AL427" s="261"/>
      <c r="AM427" s="264"/>
      <c r="AN427" s="214"/>
      <c r="AO427" s="271"/>
      <c r="AP427" s="271"/>
      <c r="AQ427" s="271"/>
      <c r="AR427" s="271"/>
      <c r="AS427" s="272"/>
      <c r="AT427" s="272"/>
      <c r="AU427" s="214"/>
      <c r="AV427" s="214"/>
    </row>
    <row r="428" ht="15.75" customHeight="1">
      <c r="A428" s="214"/>
      <c r="B428" s="261"/>
      <c r="C428" s="266"/>
      <c r="D428" s="267"/>
      <c r="E428" s="214"/>
      <c r="F428" s="214"/>
      <c r="G428" s="214"/>
      <c r="H428" s="214"/>
      <c r="I428" s="214"/>
      <c r="J428" s="214"/>
      <c r="K428" s="268"/>
      <c r="L428" s="214"/>
      <c r="M428" s="269"/>
      <c r="N428" s="214"/>
      <c r="O428" s="214"/>
      <c r="P428" s="214"/>
      <c r="Q428" s="214"/>
      <c r="R428" s="214"/>
      <c r="S428" s="214"/>
      <c r="T428" s="214"/>
      <c r="U428" s="214"/>
      <c r="V428" s="214"/>
      <c r="W428" s="214"/>
      <c r="X428" s="214"/>
      <c r="Y428" s="261"/>
      <c r="Z428" s="262"/>
      <c r="AA428" s="262"/>
      <c r="AB428" s="270"/>
      <c r="AC428" s="214"/>
      <c r="AD428" s="214"/>
      <c r="AE428" s="214"/>
      <c r="AF428" s="214"/>
      <c r="AG428" s="214"/>
      <c r="AH428" s="214"/>
      <c r="AI428" s="261"/>
      <c r="AJ428" s="214"/>
      <c r="AK428" s="261"/>
      <c r="AL428" s="261"/>
      <c r="AM428" s="264"/>
      <c r="AN428" s="214"/>
      <c r="AO428" s="271"/>
      <c r="AP428" s="271"/>
      <c r="AQ428" s="271"/>
      <c r="AR428" s="271"/>
      <c r="AS428" s="272"/>
      <c r="AT428" s="272"/>
      <c r="AU428" s="214"/>
      <c r="AV428" s="214"/>
    </row>
    <row r="429" ht="15.75" customHeight="1">
      <c r="A429" s="214"/>
      <c r="B429" s="261"/>
      <c r="C429" s="266"/>
      <c r="D429" s="267"/>
      <c r="E429" s="214"/>
      <c r="F429" s="214"/>
      <c r="G429" s="214"/>
      <c r="H429" s="214"/>
      <c r="I429" s="214"/>
      <c r="J429" s="214"/>
      <c r="K429" s="268"/>
      <c r="L429" s="214"/>
      <c r="M429" s="269"/>
      <c r="N429" s="214"/>
      <c r="O429" s="214"/>
      <c r="P429" s="214"/>
      <c r="Q429" s="214"/>
      <c r="R429" s="214"/>
      <c r="S429" s="214"/>
      <c r="T429" s="214"/>
      <c r="U429" s="214"/>
      <c r="V429" s="214"/>
      <c r="W429" s="214"/>
      <c r="X429" s="214"/>
      <c r="Y429" s="261"/>
      <c r="Z429" s="262"/>
      <c r="AA429" s="262"/>
      <c r="AB429" s="270"/>
      <c r="AC429" s="214"/>
      <c r="AD429" s="214"/>
      <c r="AE429" s="214"/>
      <c r="AF429" s="214"/>
      <c r="AG429" s="214"/>
      <c r="AH429" s="214"/>
      <c r="AI429" s="261"/>
      <c r="AJ429" s="214"/>
      <c r="AK429" s="261"/>
      <c r="AL429" s="261"/>
      <c r="AM429" s="264"/>
      <c r="AN429" s="214"/>
      <c r="AO429" s="271"/>
      <c r="AP429" s="271"/>
      <c r="AQ429" s="271"/>
      <c r="AR429" s="271"/>
      <c r="AS429" s="272"/>
      <c r="AT429" s="272"/>
      <c r="AU429" s="214"/>
      <c r="AV429" s="214"/>
    </row>
    <row r="430" ht="15.75" customHeight="1">
      <c r="A430" s="214"/>
      <c r="B430" s="261"/>
      <c r="C430" s="266"/>
      <c r="D430" s="267"/>
      <c r="E430" s="214"/>
      <c r="F430" s="214"/>
      <c r="G430" s="214"/>
      <c r="H430" s="214"/>
      <c r="I430" s="214"/>
      <c r="J430" s="214"/>
      <c r="K430" s="268"/>
      <c r="L430" s="214"/>
      <c r="M430" s="269"/>
      <c r="N430" s="214"/>
      <c r="O430" s="214"/>
      <c r="P430" s="214"/>
      <c r="Q430" s="214"/>
      <c r="R430" s="214"/>
      <c r="S430" s="214"/>
      <c r="T430" s="214"/>
      <c r="U430" s="214"/>
      <c r="V430" s="214"/>
      <c r="W430" s="214"/>
      <c r="X430" s="214"/>
      <c r="Y430" s="261"/>
      <c r="Z430" s="262"/>
      <c r="AA430" s="262"/>
      <c r="AB430" s="270"/>
      <c r="AC430" s="214"/>
      <c r="AD430" s="214"/>
      <c r="AE430" s="214"/>
      <c r="AF430" s="214"/>
      <c r="AG430" s="214"/>
      <c r="AH430" s="214"/>
      <c r="AI430" s="261"/>
      <c r="AJ430" s="214"/>
      <c r="AK430" s="261"/>
      <c r="AL430" s="261"/>
      <c r="AM430" s="264"/>
      <c r="AN430" s="214"/>
      <c r="AO430" s="271"/>
      <c r="AP430" s="271"/>
      <c r="AQ430" s="271"/>
      <c r="AR430" s="271"/>
      <c r="AS430" s="272"/>
      <c r="AT430" s="272"/>
      <c r="AU430" s="214"/>
      <c r="AV430" s="214"/>
    </row>
    <row r="431" ht="15.75" customHeight="1">
      <c r="A431" s="214"/>
      <c r="B431" s="261"/>
      <c r="C431" s="266"/>
      <c r="D431" s="267"/>
      <c r="E431" s="214"/>
      <c r="F431" s="214"/>
      <c r="G431" s="214"/>
      <c r="H431" s="214"/>
      <c r="I431" s="214"/>
      <c r="J431" s="214"/>
      <c r="K431" s="268"/>
      <c r="L431" s="214"/>
      <c r="M431" s="269"/>
      <c r="N431" s="214"/>
      <c r="O431" s="214"/>
      <c r="P431" s="214"/>
      <c r="Q431" s="214"/>
      <c r="R431" s="214"/>
      <c r="S431" s="214"/>
      <c r="T431" s="214"/>
      <c r="U431" s="214"/>
      <c r="V431" s="214"/>
      <c r="W431" s="214"/>
      <c r="X431" s="214"/>
      <c r="Y431" s="261"/>
      <c r="Z431" s="262"/>
      <c r="AA431" s="262"/>
      <c r="AB431" s="270"/>
      <c r="AC431" s="214"/>
      <c r="AD431" s="214"/>
      <c r="AE431" s="214"/>
      <c r="AF431" s="214"/>
      <c r="AG431" s="214"/>
      <c r="AH431" s="214"/>
      <c r="AI431" s="261"/>
      <c r="AJ431" s="214"/>
      <c r="AK431" s="261"/>
      <c r="AL431" s="261"/>
      <c r="AM431" s="264"/>
      <c r="AN431" s="214"/>
      <c r="AO431" s="271"/>
      <c r="AP431" s="271"/>
      <c r="AQ431" s="271"/>
      <c r="AR431" s="271"/>
      <c r="AS431" s="272"/>
      <c r="AT431" s="272"/>
      <c r="AU431" s="214"/>
      <c r="AV431" s="214"/>
    </row>
    <row r="432" ht="15.75" customHeight="1">
      <c r="A432" s="214"/>
      <c r="B432" s="261"/>
      <c r="C432" s="266"/>
      <c r="D432" s="267"/>
      <c r="E432" s="214"/>
      <c r="F432" s="214"/>
      <c r="G432" s="214"/>
      <c r="H432" s="214"/>
      <c r="I432" s="214"/>
      <c r="J432" s="214"/>
      <c r="K432" s="268"/>
      <c r="L432" s="214"/>
      <c r="M432" s="269"/>
      <c r="N432" s="214"/>
      <c r="O432" s="214"/>
      <c r="P432" s="214"/>
      <c r="Q432" s="214"/>
      <c r="R432" s="214"/>
      <c r="S432" s="214"/>
      <c r="T432" s="214"/>
      <c r="U432" s="214"/>
      <c r="V432" s="214"/>
      <c r="W432" s="214"/>
      <c r="X432" s="214"/>
      <c r="Y432" s="261"/>
      <c r="Z432" s="262"/>
      <c r="AA432" s="262"/>
      <c r="AB432" s="270"/>
      <c r="AC432" s="214"/>
      <c r="AD432" s="214"/>
      <c r="AE432" s="214"/>
      <c r="AF432" s="214"/>
      <c r="AG432" s="214"/>
      <c r="AH432" s="214"/>
      <c r="AI432" s="261"/>
      <c r="AJ432" s="214"/>
      <c r="AK432" s="261"/>
      <c r="AL432" s="261"/>
      <c r="AM432" s="264"/>
      <c r="AN432" s="214"/>
      <c r="AO432" s="271"/>
      <c r="AP432" s="271"/>
      <c r="AQ432" s="271"/>
      <c r="AR432" s="271"/>
      <c r="AS432" s="272"/>
      <c r="AT432" s="272"/>
      <c r="AU432" s="214"/>
      <c r="AV432" s="214"/>
    </row>
    <row r="433" ht="15.75" customHeight="1">
      <c r="A433" s="214"/>
      <c r="B433" s="261"/>
      <c r="C433" s="266"/>
      <c r="D433" s="267"/>
      <c r="E433" s="214"/>
      <c r="F433" s="214"/>
      <c r="G433" s="214"/>
      <c r="H433" s="214"/>
      <c r="I433" s="214"/>
      <c r="J433" s="214"/>
      <c r="K433" s="268"/>
      <c r="L433" s="214"/>
      <c r="M433" s="269"/>
      <c r="N433" s="214"/>
      <c r="O433" s="214"/>
      <c r="P433" s="214"/>
      <c r="Q433" s="214"/>
      <c r="R433" s="214"/>
      <c r="S433" s="214"/>
      <c r="T433" s="214"/>
      <c r="U433" s="214"/>
      <c r="V433" s="214"/>
      <c r="W433" s="214"/>
      <c r="X433" s="214"/>
      <c r="Y433" s="261"/>
      <c r="Z433" s="262"/>
      <c r="AA433" s="262"/>
      <c r="AB433" s="270"/>
      <c r="AC433" s="214"/>
      <c r="AD433" s="214"/>
      <c r="AE433" s="214"/>
      <c r="AF433" s="214"/>
      <c r="AG433" s="214"/>
      <c r="AH433" s="214"/>
      <c r="AI433" s="261"/>
      <c r="AJ433" s="214"/>
      <c r="AK433" s="261"/>
      <c r="AL433" s="261"/>
      <c r="AM433" s="264"/>
      <c r="AN433" s="214"/>
      <c r="AO433" s="271"/>
      <c r="AP433" s="271"/>
      <c r="AQ433" s="271"/>
      <c r="AR433" s="271"/>
      <c r="AS433" s="272"/>
      <c r="AT433" s="272"/>
      <c r="AU433" s="214"/>
      <c r="AV433" s="214"/>
    </row>
    <row r="434" ht="15.75" customHeight="1">
      <c r="A434" s="214"/>
      <c r="B434" s="261"/>
      <c r="C434" s="266"/>
      <c r="D434" s="267"/>
      <c r="E434" s="214"/>
      <c r="F434" s="214"/>
      <c r="G434" s="214"/>
      <c r="H434" s="214"/>
      <c r="I434" s="214"/>
      <c r="J434" s="214"/>
      <c r="K434" s="268"/>
      <c r="L434" s="214"/>
      <c r="M434" s="269"/>
      <c r="N434" s="214"/>
      <c r="O434" s="214"/>
      <c r="P434" s="214"/>
      <c r="Q434" s="214"/>
      <c r="R434" s="214"/>
      <c r="S434" s="214"/>
      <c r="T434" s="214"/>
      <c r="U434" s="214"/>
      <c r="V434" s="214"/>
      <c r="W434" s="214"/>
      <c r="X434" s="214"/>
      <c r="Y434" s="261"/>
      <c r="Z434" s="262"/>
      <c r="AA434" s="262"/>
      <c r="AB434" s="270"/>
      <c r="AC434" s="214"/>
      <c r="AD434" s="214"/>
      <c r="AE434" s="214"/>
      <c r="AF434" s="214"/>
      <c r="AG434" s="214"/>
      <c r="AH434" s="214"/>
      <c r="AI434" s="261"/>
      <c r="AJ434" s="214"/>
      <c r="AK434" s="261"/>
      <c r="AL434" s="261"/>
      <c r="AM434" s="264"/>
      <c r="AN434" s="214"/>
      <c r="AO434" s="271"/>
      <c r="AP434" s="271"/>
      <c r="AQ434" s="271"/>
      <c r="AR434" s="271"/>
      <c r="AS434" s="272"/>
      <c r="AT434" s="272"/>
      <c r="AU434" s="214"/>
      <c r="AV434" s="214"/>
    </row>
    <row r="435" ht="15.75" customHeight="1">
      <c r="A435" s="214"/>
      <c r="B435" s="261"/>
      <c r="C435" s="266"/>
      <c r="D435" s="267"/>
      <c r="E435" s="214"/>
      <c r="F435" s="214"/>
      <c r="G435" s="214"/>
      <c r="H435" s="214"/>
      <c r="I435" s="214"/>
      <c r="J435" s="214"/>
      <c r="K435" s="268"/>
      <c r="L435" s="214"/>
      <c r="M435" s="269"/>
      <c r="N435" s="214"/>
      <c r="O435" s="214"/>
      <c r="P435" s="214"/>
      <c r="Q435" s="214"/>
      <c r="R435" s="214"/>
      <c r="S435" s="214"/>
      <c r="T435" s="214"/>
      <c r="U435" s="214"/>
      <c r="V435" s="214"/>
      <c r="W435" s="214"/>
      <c r="X435" s="214"/>
      <c r="Y435" s="261"/>
      <c r="Z435" s="262"/>
      <c r="AA435" s="262"/>
      <c r="AB435" s="270"/>
      <c r="AC435" s="214"/>
      <c r="AD435" s="214"/>
      <c r="AE435" s="214"/>
      <c r="AF435" s="214"/>
      <c r="AG435" s="214"/>
      <c r="AH435" s="214"/>
      <c r="AI435" s="261"/>
      <c r="AJ435" s="214"/>
      <c r="AK435" s="261"/>
      <c r="AL435" s="261"/>
      <c r="AM435" s="264"/>
      <c r="AN435" s="214"/>
      <c r="AO435" s="271"/>
      <c r="AP435" s="271"/>
      <c r="AQ435" s="271"/>
      <c r="AR435" s="271"/>
      <c r="AS435" s="272"/>
      <c r="AT435" s="272"/>
      <c r="AU435" s="214"/>
      <c r="AV435" s="214"/>
    </row>
    <row r="436" ht="15.75" customHeight="1">
      <c r="A436" s="214"/>
      <c r="B436" s="261"/>
      <c r="C436" s="266"/>
      <c r="D436" s="267"/>
      <c r="E436" s="214"/>
      <c r="F436" s="214"/>
      <c r="G436" s="214"/>
      <c r="H436" s="214"/>
      <c r="I436" s="214"/>
      <c r="J436" s="214"/>
      <c r="K436" s="268"/>
      <c r="L436" s="214"/>
      <c r="M436" s="269"/>
      <c r="N436" s="214"/>
      <c r="O436" s="214"/>
      <c r="P436" s="214"/>
      <c r="Q436" s="214"/>
      <c r="R436" s="214"/>
      <c r="S436" s="214"/>
      <c r="T436" s="214"/>
      <c r="U436" s="214"/>
      <c r="V436" s="214"/>
      <c r="W436" s="214"/>
      <c r="X436" s="214"/>
      <c r="Y436" s="261"/>
      <c r="Z436" s="262"/>
      <c r="AA436" s="262"/>
      <c r="AB436" s="270"/>
      <c r="AC436" s="214"/>
      <c r="AD436" s="214"/>
      <c r="AE436" s="214"/>
      <c r="AF436" s="214"/>
      <c r="AG436" s="214"/>
      <c r="AH436" s="214"/>
      <c r="AI436" s="261"/>
      <c r="AJ436" s="214"/>
      <c r="AK436" s="261"/>
      <c r="AL436" s="261"/>
      <c r="AM436" s="264"/>
      <c r="AN436" s="214"/>
      <c r="AO436" s="271"/>
      <c r="AP436" s="271"/>
      <c r="AQ436" s="271"/>
      <c r="AR436" s="271"/>
      <c r="AS436" s="272"/>
      <c r="AT436" s="272"/>
      <c r="AU436" s="214"/>
      <c r="AV436" s="214"/>
    </row>
    <row r="437" ht="15.75" customHeight="1">
      <c r="A437" s="214"/>
      <c r="B437" s="261"/>
      <c r="C437" s="266"/>
      <c r="D437" s="267"/>
      <c r="E437" s="214"/>
      <c r="F437" s="214"/>
      <c r="G437" s="214"/>
      <c r="H437" s="214"/>
      <c r="I437" s="214"/>
      <c r="J437" s="214"/>
      <c r="K437" s="268"/>
      <c r="L437" s="214"/>
      <c r="M437" s="269"/>
      <c r="N437" s="214"/>
      <c r="O437" s="214"/>
      <c r="P437" s="214"/>
      <c r="Q437" s="214"/>
      <c r="R437" s="214"/>
      <c r="S437" s="214"/>
      <c r="T437" s="214"/>
      <c r="U437" s="214"/>
      <c r="V437" s="214"/>
      <c r="W437" s="214"/>
      <c r="X437" s="214"/>
      <c r="Y437" s="261"/>
      <c r="Z437" s="262"/>
      <c r="AA437" s="262"/>
      <c r="AB437" s="270"/>
      <c r="AC437" s="214"/>
      <c r="AD437" s="214"/>
      <c r="AE437" s="214"/>
      <c r="AF437" s="214"/>
      <c r="AG437" s="214"/>
      <c r="AH437" s="214"/>
      <c r="AI437" s="261"/>
      <c r="AJ437" s="214"/>
      <c r="AK437" s="261"/>
      <c r="AL437" s="261"/>
      <c r="AM437" s="264"/>
      <c r="AN437" s="214"/>
      <c r="AO437" s="271"/>
      <c r="AP437" s="271"/>
      <c r="AQ437" s="271"/>
      <c r="AR437" s="271"/>
      <c r="AS437" s="272"/>
      <c r="AT437" s="272"/>
      <c r="AU437" s="214"/>
      <c r="AV437" s="214"/>
    </row>
    <row r="438" ht="15.75" customHeight="1">
      <c r="A438" s="214"/>
      <c r="B438" s="261"/>
      <c r="C438" s="266"/>
      <c r="D438" s="267"/>
      <c r="E438" s="214"/>
      <c r="F438" s="214"/>
      <c r="G438" s="214"/>
      <c r="H438" s="214"/>
      <c r="I438" s="214"/>
      <c r="J438" s="214"/>
      <c r="K438" s="268"/>
      <c r="L438" s="214"/>
      <c r="M438" s="269"/>
      <c r="N438" s="214"/>
      <c r="O438" s="214"/>
      <c r="P438" s="214"/>
      <c r="Q438" s="214"/>
      <c r="R438" s="214"/>
      <c r="S438" s="214"/>
      <c r="T438" s="214"/>
      <c r="U438" s="214"/>
      <c r="V438" s="214"/>
      <c r="W438" s="214"/>
      <c r="X438" s="214"/>
      <c r="Y438" s="261"/>
      <c r="Z438" s="262"/>
      <c r="AA438" s="262"/>
      <c r="AB438" s="270"/>
      <c r="AC438" s="214"/>
      <c r="AD438" s="214"/>
      <c r="AE438" s="214"/>
      <c r="AF438" s="214"/>
      <c r="AG438" s="214"/>
      <c r="AH438" s="214"/>
      <c r="AI438" s="261"/>
      <c r="AJ438" s="214"/>
      <c r="AK438" s="261"/>
      <c r="AL438" s="261"/>
      <c r="AM438" s="264"/>
      <c r="AN438" s="214"/>
      <c r="AO438" s="271"/>
      <c r="AP438" s="271"/>
      <c r="AQ438" s="271"/>
      <c r="AR438" s="271"/>
      <c r="AS438" s="272"/>
      <c r="AT438" s="272"/>
      <c r="AU438" s="214"/>
      <c r="AV438" s="214"/>
    </row>
    <row r="439" ht="15.75" customHeight="1">
      <c r="A439" s="214"/>
      <c r="B439" s="261"/>
      <c r="C439" s="266"/>
      <c r="D439" s="267"/>
      <c r="E439" s="214"/>
      <c r="F439" s="214"/>
      <c r="G439" s="214"/>
      <c r="H439" s="214"/>
      <c r="I439" s="214"/>
      <c r="J439" s="214"/>
      <c r="K439" s="268"/>
      <c r="L439" s="214"/>
      <c r="M439" s="269"/>
      <c r="N439" s="214"/>
      <c r="O439" s="214"/>
      <c r="P439" s="214"/>
      <c r="Q439" s="214"/>
      <c r="R439" s="214"/>
      <c r="S439" s="214"/>
      <c r="T439" s="214"/>
      <c r="U439" s="214"/>
      <c r="V439" s="214"/>
      <c r="W439" s="214"/>
      <c r="X439" s="214"/>
      <c r="Y439" s="261"/>
      <c r="Z439" s="262"/>
      <c r="AA439" s="262"/>
      <c r="AB439" s="270"/>
      <c r="AC439" s="214"/>
      <c r="AD439" s="214"/>
      <c r="AE439" s="214"/>
      <c r="AF439" s="214"/>
      <c r="AG439" s="214"/>
      <c r="AH439" s="214"/>
      <c r="AI439" s="261"/>
      <c r="AJ439" s="214"/>
      <c r="AK439" s="261"/>
      <c r="AL439" s="261"/>
      <c r="AM439" s="264"/>
      <c r="AN439" s="214"/>
      <c r="AO439" s="271"/>
      <c r="AP439" s="271"/>
      <c r="AQ439" s="271"/>
      <c r="AR439" s="271"/>
      <c r="AS439" s="272"/>
      <c r="AT439" s="272"/>
      <c r="AU439" s="214"/>
      <c r="AV439" s="214"/>
    </row>
    <row r="440" ht="15.75" customHeight="1">
      <c r="A440" s="214"/>
      <c r="B440" s="261"/>
      <c r="C440" s="266"/>
      <c r="D440" s="267"/>
      <c r="E440" s="214"/>
      <c r="F440" s="214"/>
      <c r="G440" s="214"/>
      <c r="H440" s="214"/>
      <c r="I440" s="214"/>
      <c r="J440" s="214"/>
      <c r="K440" s="268"/>
      <c r="L440" s="214"/>
      <c r="M440" s="269"/>
      <c r="N440" s="214"/>
      <c r="O440" s="214"/>
      <c r="P440" s="214"/>
      <c r="Q440" s="214"/>
      <c r="R440" s="214"/>
      <c r="S440" s="214"/>
      <c r="T440" s="214"/>
      <c r="U440" s="214"/>
      <c r="V440" s="214"/>
      <c r="W440" s="214"/>
      <c r="X440" s="214"/>
      <c r="Y440" s="261"/>
      <c r="Z440" s="262"/>
      <c r="AA440" s="262"/>
      <c r="AB440" s="270"/>
      <c r="AC440" s="214"/>
      <c r="AD440" s="214"/>
      <c r="AE440" s="214"/>
      <c r="AF440" s="214"/>
      <c r="AG440" s="214"/>
      <c r="AH440" s="214"/>
      <c r="AI440" s="261"/>
      <c r="AJ440" s="214"/>
      <c r="AK440" s="261"/>
      <c r="AL440" s="261"/>
      <c r="AM440" s="264"/>
      <c r="AN440" s="214"/>
      <c r="AO440" s="271"/>
      <c r="AP440" s="271"/>
      <c r="AQ440" s="271"/>
      <c r="AR440" s="271"/>
      <c r="AS440" s="272"/>
      <c r="AT440" s="272"/>
      <c r="AU440" s="214"/>
      <c r="AV440" s="214"/>
    </row>
    <row r="441" ht="15.75" customHeight="1">
      <c r="A441" s="214"/>
      <c r="B441" s="261"/>
      <c r="C441" s="266"/>
      <c r="D441" s="267"/>
      <c r="E441" s="214"/>
      <c r="F441" s="214"/>
      <c r="G441" s="214"/>
      <c r="H441" s="214"/>
      <c r="I441" s="214"/>
      <c r="J441" s="214"/>
      <c r="K441" s="268"/>
      <c r="L441" s="214"/>
      <c r="M441" s="269"/>
      <c r="N441" s="214"/>
      <c r="O441" s="214"/>
      <c r="P441" s="214"/>
      <c r="Q441" s="214"/>
      <c r="R441" s="214"/>
      <c r="S441" s="214"/>
      <c r="T441" s="214"/>
      <c r="U441" s="214"/>
      <c r="V441" s="214"/>
      <c r="W441" s="214"/>
      <c r="X441" s="214"/>
      <c r="Y441" s="261"/>
      <c r="Z441" s="262"/>
      <c r="AA441" s="262"/>
      <c r="AB441" s="270"/>
      <c r="AC441" s="214"/>
      <c r="AD441" s="214"/>
      <c r="AE441" s="214"/>
      <c r="AF441" s="214"/>
      <c r="AG441" s="214"/>
      <c r="AH441" s="214"/>
      <c r="AI441" s="261"/>
      <c r="AJ441" s="214"/>
      <c r="AK441" s="261"/>
      <c r="AL441" s="261"/>
      <c r="AM441" s="264"/>
      <c r="AN441" s="214"/>
      <c r="AO441" s="271"/>
      <c r="AP441" s="271"/>
      <c r="AQ441" s="271"/>
      <c r="AR441" s="271"/>
      <c r="AS441" s="272"/>
      <c r="AT441" s="272"/>
      <c r="AU441" s="214"/>
      <c r="AV441" s="214"/>
    </row>
    <row r="442" ht="15.75" customHeight="1">
      <c r="A442" s="214"/>
      <c r="B442" s="261"/>
      <c r="C442" s="266"/>
      <c r="D442" s="267"/>
      <c r="E442" s="214"/>
      <c r="F442" s="214"/>
      <c r="G442" s="214"/>
      <c r="H442" s="214"/>
      <c r="I442" s="214"/>
      <c r="J442" s="214"/>
      <c r="K442" s="268"/>
      <c r="L442" s="214"/>
      <c r="M442" s="269"/>
      <c r="N442" s="214"/>
      <c r="O442" s="214"/>
      <c r="P442" s="214"/>
      <c r="Q442" s="214"/>
      <c r="R442" s="214"/>
      <c r="S442" s="214"/>
      <c r="T442" s="214"/>
      <c r="U442" s="214"/>
      <c r="V442" s="214"/>
      <c r="W442" s="214"/>
      <c r="X442" s="214"/>
      <c r="Y442" s="261"/>
      <c r="Z442" s="262"/>
      <c r="AA442" s="262"/>
      <c r="AB442" s="270"/>
      <c r="AC442" s="214"/>
      <c r="AD442" s="214"/>
      <c r="AE442" s="214"/>
      <c r="AF442" s="214"/>
      <c r="AG442" s="214"/>
      <c r="AH442" s="214"/>
      <c r="AI442" s="261"/>
      <c r="AJ442" s="214"/>
      <c r="AK442" s="261"/>
      <c r="AL442" s="261"/>
      <c r="AM442" s="264"/>
      <c r="AN442" s="214"/>
      <c r="AO442" s="271"/>
      <c r="AP442" s="271"/>
      <c r="AQ442" s="271"/>
      <c r="AR442" s="271"/>
      <c r="AS442" s="272"/>
      <c r="AT442" s="272"/>
      <c r="AU442" s="214"/>
      <c r="AV442" s="214"/>
    </row>
    <row r="443" ht="15.75" customHeight="1">
      <c r="A443" s="214"/>
      <c r="B443" s="261"/>
      <c r="C443" s="266"/>
      <c r="D443" s="267"/>
      <c r="E443" s="214"/>
      <c r="F443" s="214"/>
      <c r="G443" s="214"/>
      <c r="H443" s="214"/>
      <c r="I443" s="214"/>
      <c r="J443" s="214"/>
      <c r="K443" s="268"/>
      <c r="L443" s="214"/>
      <c r="M443" s="269"/>
      <c r="N443" s="214"/>
      <c r="O443" s="214"/>
      <c r="P443" s="214"/>
      <c r="Q443" s="214"/>
      <c r="R443" s="214"/>
      <c r="S443" s="214"/>
      <c r="T443" s="214"/>
      <c r="U443" s="214"/>
      <c r="V443" s="214"/>
      <c r="W443" s="214"/>
      <c r="X443" s="214"/>
      <c r="Y443" s="261"/>
      <c r="Z443" s="262"/>
      <c r="AA443" s="262"/>
      <c r="AB443" s="270"/>
      <c r="AC443" s="214"/>
      <c r="AD443" s="214"/>
      <c r="AE443" s="214"/>
      <c r="AF443" s="214"/>
      <c r="AG443" s="214"/>
      <c r="AH443" s="214"/>
      <c r="AI443" s="261"/>
      <c r="AJ443" s="214"/>
      <c r="AK443" s="261"/>
      <c r="AL443" s="261"/>
      <c r="AM443" s="264"/>
      <c r="AN443" s="214"/>
      <c r="AO443" s="271"/>
      <c r="AP443" s="271"/>
      <c r="AQ443" s="271"/>
      <c r="AR443" s="271"/>
      <c r="AS443" s="272"/>
      <c r="AT443" s="272"/>
      <c r="AU443" s="214"/>
      <c r="AV443" s="214"/>
    </row>
    <row r="444" ht="15.75" customHeight="1">
      <c r="A444" s="214"/>
      <c r="B444" s="261"/>
      <c r="C444" s="266"/>
      <c r="D444" s="267"/>
      <c r="E444" s="214"/>
      <c r="F444" s="214"/>
      <c r="G444" s="214"/>
      <c r="H444" s="214"/>
      <c r="I444" s="214"/>
      <c r="J444" s="214"/>
      <c r="K444" s="268"/>
      <c r="L444" s="214"/>
      <c r="M444" s="269"/>
      <c r="N444" s="214"/>
      <c r="O444" s="214"/>
      <c r="P444" s="214"/>
      <c r="Q444" s="214"/>
      <c r="R444" s="214"/>
      <c r="S444" s="214"/>
      <c r="T444" s="214"/>
      <c r="U444" s="214"/>
      <c r="V444" s="214"/>
      <c r="W444" s="214"/>
      <c r="X444" s="214"/>
      <c r="Y444" s="261"/>
      <c r="Z444" s="262"/>
      <c r="AA444" s="262"/>
      <c r="AB444" s="270"/>
      <c r="AC444" s="214"/>
      <c r="AD444" s="214"/>
      <c r="AE444" s="214"/>
      <c r="AF444" s="214"/>
      <c r="AG444" s="214"/>
      <c r="AH444" s="214"/>
      <c r="AI444" s="261"/>
      <c r="AJ444" s="214"/>
      <c r="AK444" s="261"/>
      <c r="AL444" s="261"/>
      <c r="AM444" s="264"/>
      <c r="AN444" s="214"/>
      <c r="AO444" s="271"/>
      <c r="AP444" s="271"/>
      <c r="AQ444" s="271"/>
      <c r="AR444" s="271"/>
      <c r="AS444" s="272"/>
      <c r="AT444" s="272"/>
      <c r="AU444" s="214"/>
      <c r="AV444" s="214"/>
    </row>
    <row r="445" ht="15.75" customHeight="1">
      <c r="A445" s="214"/>
      <c r="B445" s="261"/>
      <c r="C445" s="266"/>
      <c r="D445" s="267"/>
      <c r="E445" s="214"/>
      <c r="F445" s="214"/>
      <c r="G445" s="214"/>
      <c r="H445" s="214"/>
      <c r="I445" s="214"/>
      <c r="J445" s="214"/>
      <c r="K445" s="268"/>
      <c r="L445" s="214"/>
      <c r="M445" s="269"/>
      <c r="N445" s="214"/>
      <c r="O445" s="214"/>
      <c r="P445" s="214"/>
      <c r="Q445" s="214"/>
      <c r="R445" s="214"/>
      <c r="S445" s="214"/>
      <c r="T445" s="214"/>
      <c r="U445" s="214"/>
      <c r="V445" s="214"/>
      <c r="W445" s="214"/>
      <c r="X445" s="214"/>
      <c r="Y445" s="261"/>
      <c r="Z445" s="262"/>
      <c r="AA445" s="262"/>
      <c r="AB445" s="270"/>
      <c r="AC445" s="214"/>
      <c r="AD445" s="214"/>
      <c r="AE445" s="214"/>
      <c r="AF445" s="214"/>
      <c r="AG445" s="214"/>
      <c r="AH445" s="214"/>
      <c r="AI445" s="261"/>
      <c r="AJ445" s="214"/>
      <c r="AK445" s="261"/>
      <c r="AL445" s="261"/>
      <c r="AM445" s="264"/>
      <c r="AN445" s="214"/>
      <c r="AO445" s="271"/>
      <c r="AP445" s="271"/>
      <c r="AQ445" s="271"/>
      <c r="AR445" s="271"/>
      <c r="AS445" s="272"/>
      <c r="AT445" s="272"/>
      <c r="AU445" s="214"/>
      <c r="AV445" s="214"/>
    </row>
    <row r="446" ht="15.75" customHeight="1">
      <c r="A446" s="214"/>
      <c r="B446" s="261"/>
      <c r="C446" s="266"/>
      <c r="D446" s="267"/>
      <c r="E446" s="214"/>
      <c r="F446" s="214"/>
      <c r="G446" s="214"/>
      <c r="H446" s="214"/>
      <c r="I446" s="214"/>
      <c r="J446" s="214"/>
      <c r="K446" s="268"/>
      <c r="L446" s="214"/>
      <c r="M446" s="269"/>
      <c r="N446" s="214"/>
      <c r="O446" s="214"/>
      <c r="P446" s="214"/>
      <c r="Q446" s="214"/>
      <c r="R446" s="214"/>
      <c r="S446" s="214"/>
      <c r="T446" s="214"/>
      <c r="U446" s="214"/>
      <c r="V446" s="214"/>
      <c r="W446" s="214"/>
      <c r="X446" s="214"/>
      <c r="Y446" s="261"/>
      <c r="Z446" s="262"/>
      <c r="AA446" s="262"/>
      <c r="AB446" s="270"/>
      <c r="AC446" s="214"/>
      <c r="AD446" s="214"/>
      <c r="AE446" s="214"/>
      <c r="AF446" s="214"/>
      <c r="AG446" s="214"/>
      <c r="AH446" s="214"/>
      <c r="AI446" s="261"/>
      <c r="AJ446" s="214"/>
      <c r="AK446" s="261"/>
      <c r="AL446" s="261"/>
      <c r="AM446" s="264"/>
      <c r="AN446" s="214"/>
      <c r="AO446" s="271"/>
      <c r="AP446" s="271"/>
      <c r="AQ446" s="271"/>
      <c r="AR446" s="271"/>
      <c r="AS446" s="272"/>
      <c r="AT446" s="272"/>
      <c r="AU446" s="214"/>
      <c r="AV446" s="214"/>
    </row>
    <row r="447" ht="15.75" customHeight="1">
      <c r="A447" s="214"/>
      <c r="B447" s="261"/>
      <c r="C447" s="266"/>
      <c r="D447" s="267"/>
      <c r="E447" s="214"/>
      <c r="F447" s="214"/>
      <c r="G447" s="214"/>
      <c r="H447" s="214"/>
      <c r="I447" s="214"/>
      <c r="J447" s="214"/>
      <c r="K447" s="268"/>
      <c r="L447" s="214"/>
      <c r="M447" s="269"/>
      <c r="N447" s="214"/>
      <c r="O447" s="214"/>
      <c r="P447" s="214"/>
      <c r="Q447" s="214"/>
      <c r="R447" s="214"/>
      <c r="S447" s="214"/>
      <c r="T447" s="214"/>
      <c r="U447" s="214"/>
      <c r="V447" s="214"/>
      <c r="W447" s="214"/>
      <c r="X447" s="214"/>
      <c r="Y447" s="261"/>
      <c r="Z447" s="262"/>
      <c r="AA447" s="262"/>
      <c r="AB447" s="270"/>
      <c r="AC447" s="214"/>
      <c r="AD447" s="214"/>
      <c r="AE447" s="214"/>
      <c r="AF447" s="214"/>
      <c r="AG447" s="214"/>
      <c r="AH447" s="214"/>
      <c r="AI447" s="261"/>
      <c r="AJ447" s="214"/>
      <c r="AK447" s="261"/>
      <c r="AL447" s="261"/>
      <c r="AM447" s="264"/>
      <c r="AN447" s="214"/>
      <c r="AO447" s="271"/>
      <c r="AP447" s="271"/>
      <c r="AQ447" s="271"/>
      <c r="AR447" s="271"/>
      <c r="AS447" s="272"/>
      <c r="AT447" s="272"/>
      <c r="AU447" s="214"/>
      <c r="AV447" s="214"/>
    </row>
    <row r="448" ht="15.75" customHeight="1">
      <c r="A448" s="214"/>
      <c r="B448" s="261"/>
      <c r="C448" s="266"/>
      <c r="D448" s="267"/>
      <c r="E448" s="214"/>
      <c r="F448" s="214"/>
      <c r="G448" s="214"/>
      <c r="H448" s="214"/>
      <c r="I448" s="214"/>
      <c r="J448" s="214"/>
      <c r="K448" s="268"/>
      <c r="L448" s="214"/>
      <c r="M448" s="269"/>
      <c r="N448" s="214"/>
      <c r="O448" s="214"/>
      <c r="P448" s="214"/>
      <c r="Q448" s="214"/>
      <c r="R448" s="214"/>
      <c r="S448" s="214"/>
      <c r="T448" s="214"/>
      <c r="U448" s="214"/>
      <c r="V448" s="214"/>
      <c r="W448" s="214"/>
      <c r="X448" s="214"/>
      <c r="Y448" s="261"/>
      <c r="Z448" s="262"/>
      <c r="AA448" s="262"/>
      <c r="AB448" s="270"/>
      <c r="AC448" s="214"/>
      <c r="AD448" s="214"/>
      <c r="AE448" s="214"/>
      <c r="AF448" s="214"/>
      <c r="AG448" s="214"/>
      <c r="AH448" s="214"/>
      <c r="AI448" s="261"/>
      <c r="AJ448" s="214"/>
      <c r="AK448" s="261"/>
      <c r="AL448" s="261"/>
      <c r="AM448" s="264"/>
      <c r="AN448" s="214"/>
      <c r="AO448" s="271"/>
      <c r="AP448" s="271"/>
      <c r="AQ448" s="271"/>
      <c r="AR448" s="271"/>
      <c r="AS448" s="272"/>
      <c r="AT448" s="272"/>
      <c r="AU448" s="214"/>
      <c r="AV448" s="214"/>
    </row>
    <row r="449" ht="15.75" customHeight="1">
      <c r="A449" s="214"/>
      <c r="B449" s="261"/>
      <c r="C449" s="266"/>
      <c r="D449" s="267"/>
      <c r="E449" s="214"/>
      <c r="F449" s="214"/>
      <c r="G449" s="214"/>
      <c r="H449" s="214"/>
      <c r="I449" s="214"/>
      <c r="J449" s="214"/>
      <c r="K449" s="268"/>
      <c r="L449" s="214"/>
      <c r="M449" s="269"/>
      <c r="N449" s="214"/>
      <c r="O449" s="214"/>
      <c r="P449" s="214"/>
      <c r="Q449" s="214"/>
      <c r="R449" s="214"/>
      <c r="S449" s="214"/>
      <c r="T449" s="214"/>
      <c r="U449" s="214"/>
      <c r="V449" s="214"/>
      <c r="W449" s="214"/>
      <c r="X449" s="214"/>
      <c r="Y449" s="261"/>
      <c r="Z449" s="262"/>
      <c r="AA449" s="262"/>
      <c r="AB449" s="270"/>
      <c r="AC449" s="214"/>
      <c r="AD449" s="214"/>
      <c r="AE449" s="214"/>
      <c r="AF449" s="214"/>
      <c r="AG449" s="214"/>
      <c r="AH449" s="214"/>
      <c r="AI449" s="261"/>
      <c r="AJ449" s="214"/>
      <c r="AK449" s="261"/>
      <c r="AL449" s="261"/>
      <c r="AM449" s="264"/>
      <c r="AN449" s="214"/>
      <c r="AO449" s="271"/>
      <c r="AP449" s="271"/>
      <c r="AQ449" s="271"/>
      <c r="AR449" s="271"/>
      <c r="AS449" s="272"/>
      <c r="AT449" s="272"/>
      <c r="AU449" s="214"/>
      <c r="AV449" s="214"/>
    </row>
    <row r="450" ht="15.75" customHeight="1">
      <c r="A450" s="214"/>
      <c r="B450" s="261"/>
      <c r="C450" s="266"/>
      <c r="D450" s="267"/>
      <c r="E450" s="214"/>
      <c r="F450" s="214"/>
      <c r="G450" s="214"/>
      <c r="H450" s="214"/>
      <c r="I450" s="214"/>
      <c r="J450" s="214"/>
      <c r="K450" s="268"/>
      <c r="L450" s="214"/>
      <c r="M450" s="269"/>
      <c r="N450" s="214"/>
      <c r="O450" s="214"/>
      <c r="P450" s="214"/>
      <c r="Q450" s="214"/>
      <c r="R450" s="214"/>
      <c r="S450" s="214"/>
      <c r="T450" s="214"/>
      <c r="U450" s="214"/>
      <c r="V450" s="214"/>
      <c r="W450" s="214"/>
      <c r="X450" s="214"/>
      <c r="Y450" s="261"/>
      <c r="Z450" s="262"/>
      <c r="AA450" s="262"/>
      <c r="AB450" s="270"/>
      <c r="AC450" s="214"/>
      <c r="AD450" s="214"/>
      <c r="AE450" s="214"/>
      <c r="AF450" s="214"/>
      <c r="AG450" s="214"/>
      <c r="AH450" s="214"/>
      <c r="AI450" s="261"/>
      <c r="AJ450" s="214"/>
      <c r="AK450" s="261"/>
      <c r="AL450" s="261"/>
      <c r="AM450" s="264"/>
      <c r="AN450" s="214"/>
      <c r="AO450" s="271"/>
      <c r="AP450" s="271"/>
      <c r="AQ450" s="271"/>
      <c r="AR450" s="271"/>
      <c r="AS450" s="272"/>
      <c r="AT450" s="272"/>
      <c r="AU450" s="214"/>
      <c r="AV450" s="214"/>
    </row>
    <row r="451" ht="15.75" customHeight="1">
      <c r="A451" s="214"/>
      <c r="B451" s="261"/>
      <c r="C451" s="266"/>
      <c r="D451" s="267"/>
      <c r="E451" s="214"/>
      <c r="F451" s="214"/>
      <c r="G451" s="214"/>
      <c r="H451" s="214"/>
      <c r="I451" s="214"/>
      <c r="J451" s="214"/>
      <c r="K451" s="268"/>
      <c r="L451" s="214"/>
      <c r="M451" s="269"/>
      <c r="N451" s="214"/>
      <c r="O451" s="214"/>
      <c r="P451" s="214"/>
      <c r="Q451" s="214"/>
      <c r="R451" s="214"/>
      <c r="S451" s="214"/>
      <c r="T451" s="214"/>
      <c r="U451" s="214"/>
      <c r="V451" s="214"/>
      <c r="W451" s="214"/>
      <c r="X451" s="214"/>
      <c r="Y451" s="261"/>
      <c r="Z451" s="262"/>
      <c r="AA451" s="262"/>
      <c r="AB451" s="270"/>
      <c r="AC451" s="214"/>
      <c r="AD451" s="214"/>
      <c r="AE451" s="214"/>
      <c r="AF451" s="214"/>
      <c r="AG451" s="214"/>
      <c r="AH451" s="214"/>
      <c r="AI451" s="261"/>
      <c r="AJ451" s="214"/>
      <c r="AK451" s="261"/>
      <c r="AL451" s="261"/>
      <c r="AM451" s="264"/>
      <c r="AN451" s="214"/>
      <c r="AO451" s="271"/>
      <c r="AP451" s="271"/>
      <c r="AQ451" s="271"/>
      <c r="AR451" s="271"/>
      <c r="AS451" s="272"/>
      <c r="AT451" s="272"/>
      <c r="AU451" s="214"/>
      <c r="AV451" s="214"/>
    </row>
    <row r="452" ht="15.75" customHeight="1">
      <c r="A452" s="214"/>
      <c r="B452" s="261"/>
      <c r="C452" s="266"/>
      <c r="D452" s="267"/>
      <c r="E452" s="214"/>
      <c r="F452" s="214"/>
      <c r="G452" s="214"/>
      <c r="H452" s="214"/>
      <c r="I452" s="214"/>
      <c r="J452" s="214"/>
      <c r="K452" s="268"/>
      <c r="L452" s="214"/>
      <c r="M452" s="269"/>
      <c r="N452" s="214"/>
      <c r="O452" s="214"/>
      <c r="P452" s="214"/>
      <c r="Q452" s="214"/>
      <c r="R452" s="214"/>
      <c r="S452" s="214"/>
      <c r="T452" s="214"/>
      <c r="U452" s="214"/>
      <c r="V452" s="214"/>
      <c r="W452" s="214"/>
      <c r="X452" s="214"/>
      <c r="Y452" s="261"/>
      <c r="Z452" s="262"/>
      <c r="AA452" s="262"/>
      <c r="AB452" s="270"/>
      <c r="AC452" s="214"/>
      <c r="AD452" s="214"/>
      <c r="AE452" s="214"/>
      <c r="AF452" s="214"/>
      <c r="AG452" s="214"/>
      <c r="AH452" s="214"/>
      <c r="AI452" s="261"/>
      <c r="AJ452" s="214"/>
      <c r="AK452" s="261"/>
      <c r="AL452" s="261"/>
      <c r="AM452" s="264"/>
      <c r="AN452" s="214"/>
      <c r="AO452" s="271"/>
      <c r="AP452" s="271"/>
      <c r="AQ452" s="271"/>
      <c r="AR452" s="271"/>
      <c r="AS452" s="272"/>
      <c r="AT452" s="272"/>
      <c r="AU452" s="214"/>
      <c r="AV452" s="214"/>
    </row>
    <row r="453" ht="15.75" customHeight="1">
      <c r="A453" s="214"/>
      <c r="B453" s="261"/>
      <c r="C453" s="266"/>
      <c r="D453" s="267"/>
      <c r="E453" s="214"/>
      <c r="F453" s="214"/>
      <c r="G453" s="214"/>
      <c r="H453" s="214"/>
      <c r="I453" s="214"/>
      <c r="J453" s="214"/>
      <c r="K453" s="268"/>
      <c r="L453" s="214"/>
      <c r="M453" s="269"/>
      <c r="N453" s="214"/>
      <c r="O453" s="214"/>
      <c r="P453" s="214"/>
      <c r="Q453" s="214"/>
      <c r="R453" s="214"/>
      <c r="S453" s="214"/>
      <c r="T453" s="214"/>
      <c r="U453" s="214"/>
      <c r="V453" s="214"/>
      <c r="W453" s="214"/>
      <c r="X453" s="214"/>
      <c r="Y453" s="261"/>
      <c r="Z453" s="262"/>
      <c r="AA453" s="262"/>
      <c r="AB453" s="270"/>
      <c r="AC453" s="214"/>
      <c r="AD453" s="214"/>
      <c r="AE453" s="214"/>
      <c r="AF453" s="214"/>
      <c r="AG453" s="214"/>
      <c r="AH453" s="214"/>
      <c r="AI453" s="261"/>
      <c r="AJ453" s="214"/>
      <c r="AK453" s="261"/>
      <c r="AL453" s="261"/>
      <c r="AM453" s="264"/>
      <c r="AN453" s="214"/>
      <c r="AO453" s="271"/>
      <c r="AP453" s="271"/>
      <c r="AQ453" s="271"/>
      <c r="AR453" s="271"/>
      <c r="AS453" s="272"/>
      <c r="AT453" s="272"/>
      <c r="AU453" s="214"/>
      <c r="AV453" s="214"/>
    </row>
    <row r="454" ht="15.75" customHeight="1">
      <c r="A454" s="214"/>
      <c r="B454" s="261"/>
      <c r="C454" s="266"/>
      <c r="D454" s="267"/>
      <c r="E454" s="214"/>
      <c r="F454" s="214"/>
      <c r="G454" s="214"/>
      <c r="H454" s="214"/>
      <c r="I454" s="214"/>
      <c r="J454" s="214"/>
      <c r="K454" s="268"/>
      <c r="L454" s="214"/>
      <c r="M454" s="269"/>
      <c r="N454" s="214"/>
      <c r="O454" s="214"/>
      <c r="P454" s="214"/>
      <c r="Q454" s="214"/>
      <c r="R454" s="214"/>
      <c r="S454" s="214"/>
      <c r="T454" s="214"/>
      <c r="U454" s="214"/>
      <c r="V454" s="214"/>
      <c r="W454" s="214"/>
      <c r="X454" s="214"/>
      <c r="Y454" s="261"/>
      <c r="Z454" s="262"/>
      <c r="AA454" s="262"/>
      <c r="AB454" s="270"/>
      <c r="AC454" s="214"/>
      <c r="AD454" s="214"/>
      <c r="AE454" s="214"/>
      <c r="AF454" s="214"/>
      <c r="AG454" s="214"/>
      <c r="AH454" s="214"/>
      <c r="AI454" s="261"/>
      <c r="AJ454" s="214"/>
      <c r="AK454" s="261"/>
      <c r="AL454" s="261"/>
      <c r="AM454" s="264"/>
      <c r="AN454" s="214"/>
      <c r="AO454" s="271"/>
      <c r="AP454" s="271"/>
      <c r="AQ454" s="271"/>
      <c r="AR454" s="271"/>
      <c r="AS454" s="272"/>
      <c r="AT454" s="272"/>
      <c r="AU454" s="214"/>
      <c r="AV454" s="214"/>
    </row>
    <row r="455" ht="15.75" customHeight="1">
      <c r="A455" s="214"/>
      <c r="B455" s="261"/>
      <c r="C455" s="266"/>
      <c r="D455" s="267"/>
      <c r="E455" s="214"/>
      <c r="F455" s="214"/>
      <c r="G455" s="214"/>
      <c r="H455" s="214"/>
      <c r="I455" s="214"/>
      <c r="J455" s="214"/>
      <c r="K455" s="268"/>
      <c r="L455" s="214"/>
      <c r="M455" s="269"/>
      <c r="N455" s="214"/>
      <c r="O455" s="214"/>
      <c r="P455" s="214"/>
      <c r="Q455" s="214"/>
      <c r="R455" s="214"/>
      <c r="S455" s="214"/>
      <c r="T455" s="214"/>
      <c r="U455" s="214"/>
      <c r="V455" s="214"/>
      <c r="W455" s="214"/>
      <c r="X455" s="214"/>
      <c r="Y455" s="261"/>
      <c r="Z455" s="262"/>
      <c r="AA455" s="262"/>
      <c r="AB455" s="270"/>
      <c r="AC455" s="214"/>
      <c r="AD455" s="214"/>
      <c r="AE455" s="214"/>
      <c r="AF455" s="214"/>
      <c r="AG455" s="214"/>
      <c r="AH455" s="214"/>
      <c r="AI455" s="261"/>
      <c r="AJ455" s="214"/>
      <c r="AK455" s="261"/>
      <c r="AL455" s="261"/>
      <c r="AM455" s="264"/>
      <c r="AN455" s="214"/>
      <c r="AO455" s="271"/>
      <c r="AP455" s="271"/>
      <c r="AQ455" s="271"/>
      <c r="AR455" s="271"/>
      <c r="AS455" s="272"/>
      <c r="AT455" s="272"/>
      <c r="AU455" s="214"/>
      <c r="AV455" s="214"/>
    </row>
    <row r="456" ht="15.75" customHeight="1">
      <c r="A456" s="214"/>
      <c r="B456" s="261"/>
      <c r="C456" s="266"/>
      <c r="D456" s="267"/>
      <c r="E456" s="214"/>
      <c r="F456" s="214"/>
      <c r="G456" s="214"/>
      <c r="H456" s="214"/>
      <c r="I456" s="214"/>
      <c r="J456" s="214"/>
      <c r="K456" s="268"/>
      <c r="L456" s="214"/>
      <c r="M456" s="269"/>
      <c r="N456" s="214"/>
      <c r="O456" s="214"/>
      <c r="P456" s="214"/>
      <c r="Q456" s="214"/>
      <c r="R456" s="214"/>
      <c r="S456" s="214"/>
      <c r="T456" s="214"/>
      <c r="U456" s="214"/>
      <c r="V456" s="214"/>
      <c r="W456" s="214"/>
      <c r="X456" s="214"/>
      <c r="Y456" s="261"/>
      <c r="Z456" s="262"/>
      <c r="AA456" s="262"/>
      <c r="AB456" s="270"/>
      <c r="AC456" s="214"/>
      <c r="AD456" s="214"/>
      <c r="AE456" s="214"/>
      <c r="AF456" s="214"/>
      <c r="AG456" s="214"/>
      <c r="AH456" s="214"/>
      <c r="AI456" s="261"/>
      <c r="AJ456" s="214"/>
      <c r="AK456" s="261"/>
      <c r="AL456" s="261"/>
      <c r="AM456" s="264"/>
      <c r="AN456" s="214"/>
      <c r="AO456" s="271"/>
      <c r="AP456" s="271"/>
      <c r="AQ456" s="271"/>
      <c r="AR456" s="271"/>
      <c r="AS456" s="272"/>
      <c r="AT456" s="272"/>
      <c r="AU456" s="214"/>
      <c r="AV456" s="214"/>
    </row>
    <row r="457" ht="15.75" customHeight="1">
      <c r="A457" s="214"/>
      <c r="B457" s="261"/>
      <c r="C457" s="266"/>
      <c r="D457" s="267"/>
      <c r="E457" s="214"/>
      <c r="F457" s="214"/>
      <c r="G457" s="214"/>
      <c r="H457" s="214"/>
      <c r="I457" s="214"/>
      <c r="J457" s="214"/>
      <c r="K457" s="268"/>
      <c r="L457" s="214"/>
      <c r="M457" s="269"/>
      <c r="N457" s="214"/>
      <c r="O457" s="214"/>
      <c r="P457" s="214"/>
      <c r="Q457" s="214"/>
      <c r="R457" s="214"/>
      <c r="S457" s="214"/>
      <c r="T457" s="214"/>
      <c r="U457" s="214"/>
      <c r="V457" s="214"/>
      <c r="W457" s="214"/>
      <c r="X457" s="214"/>
      <c r="Y457" s="261"/>
      <c r="Z457" s="262"/>
      <c r="AA457" s="262"/>
      <c r="AB457" s="270"/>
      <c r="AC457" s="214"/>
      <c r="AD457" s="214"/>
      <c r="AE457" s="214"/>
      <c r="AF457" s="214"/>
      <c r="AG457" s="214"/>
      <c r="AH457" s="214"/>
      <c r="AI457" s="261"/>
      <c r="AJ457" s="214"/>
      <c r="AK457" s="261"/>
      <c r="AL457" s="261"/>
      <c r="AM457" s="264"/>
      <c r="AN457" s="214"/>
      <c r="AO457" s="271"/>
      <c r="AP457" s="271"/>
      <c r="AQ457" s="271"/>
      <c r="AR457" s="271"/>
      <c r="AS457" s="272"/>
      <c r="AT457" s="272"/>
      <c r="AU457" s="214"/>
      <c r="AV457" s="214"/>
    </row>
    <row r="458" ht="15.75" customHeight="1">
      <c r="A458" s="214"/>
      <c r="B458" s="261"/>
      <c r="C458" s="266"/>
      <c r="D458" s="267"/>
      <c r="E458" s="214"/>
      <c r="F458" s="214"/>
      <c r="G458" s="214"/>
      <c r="H458" s="214"/>
      <c r="I458" s="214"/>
      <c r="J458" s="214"/>
      <c r="K458" s="268"/>
      <c r="L458" s="214"/>
      <c r="M458" s="269"/>
      <c r="N458" s="214"/>
      <c r="O458" s="214"/>
      <c r="P458" s="214"/>
      <c r="Q458" s="214"/>
      <c r="R458" s="214"/>
      <c r="S458" s="214"/>
      <c r="T458" s="214"/>
      <c r="U458" s="214"/>
      <c r="V458" s="214"/>
      <c r="W458" s="214"/>
      <c r="X458" s="214"/>
      <c r="Y458" s="261"/>
      <c r="Z458" s="262"/>
      <c r="AA458" s="262"/>
      <c r="AB458" s="270"/>
      <c r="AC458" s="214"/>
      <c r="AD458" s="214"/>
      <c r="AE458" s="214"/>
      <c r="AF458" s="214"/>
      <c r="AG458" s="214"/>
      <c r="AH458" s="214"/>
      <c r="AI458" s="261"/>
      <c r="AJ458" s="214"/>
      <c r="AK458" s="261"/>
      <c r="AL458" s="261"/>
      <c r="AM458" s="264"/>
      <c r="AN458" s="214"/>
      <c r="AO458" s="271"/>
      <c r="AP458" s="271"/>
      <c r="AQ458" s="271"/>
      <c r="AR458" s="271"/>
      <c r="AS458" s="272"/>
      <c r="AT458" s="272"/>
      <c r="AU458" s="214"/>
      <c r="AV458" s="214"/>
    </row>
    <row r="459" ht="15.75" customHeight="1">
      <c r="A459" s="214"/>
      <c r="B459" s="261"/>
      <c r="C459" s="266"/>
      <c r="D459" s="267"/>
      <c r="E459" s="214"/>
      <c r="F459" s="214"/>
      <c r="G459" s="214"/>
      <c r="H459" s="214"/>
      <c r="I459" s="214"/>
      <c r="J459" s="214"/>
      <c r="K459" s="268"/>
      <c r="L459" s="214"/>
      <c r="M459" s="269"/>
      <c r="N459" s="214"/>
      <c r="O459" s="214"/>
      <c r="P459" s="214"/>
      <c r="Q459" s="214"/>
      <c r="R459" s="214"/>
      <c r="S459" s="214"/>
      <c r="T459" s="214"/>
      <c r="U459" s="214"/>
      <c r="V459" s="214"/>
      <c r="W459" s="214"/>
      <c r="X459" s="214"/>
      <c r="Y459" s="261"/>
      <c r="Z459" s="262"/>
      <c r="AA459" s="262"/>
      <c r="AB459" s="270"/>
      <c r="AC459" s="214"/>
      <c r="AD459" s="214"/>
      <c r="AE459" s="214"/>
      <c r="AF459" s="214"/>
      <c r="AG459" s="214"/>
      <c r="AH459" s="214"/>
      <c r="AI459" s="261"/>
      <c r="AJ459" s="214"/>
      <c r="AK459" s="261"/>
      <c r="AL459" s="261"/>
      <c r="AM459" s="264"/>
      <c r="AN459" s="214"/>
      <c r="AO459" s="271"/>
      <c r="AP459" s="271"/>
      <c r="AQ459" s="271"/>
      <c r="AR459" s="271"/>
      <c r="AS459" s="272"/>
      <c r="AT459" s="272"/>
      <c r="AU459" s="214"/>
      <c r="AV459" s="214"/>
    </row>
    <row r="460" ht="15.75" customHeight="1">
      <c r="A460" s="214"/>
      <c r="B460" s="261"/>
      <c r="C460" s="266"/>
      <c r="D460" s="267"/>
      <c r="E460" s="214"/>
      <c r="F460" s="214"/>
      <c r="G460" s="214"/>
      <c r="H460" s="214"/>
      <c r="I460" s="214"/>
      <c r="J460" s="214"/>
      <c r="K460" s="268"/>
      <c r="L460" s="214"/>
      <c r="M460" s="269"/>
      <c r="N460" s="214"/>
      <c r="O460" s="214"/>
      <c r="P460" s="214"/>
      <c r="Q460" s="214"/>
      <c r="R460" s="214"/>
      <c r="S460" s="214"/>
      <c r="T460" s="214"/>
      <c r="U460" s="214"/>
      <c r="V460" s="214"/>
      <c r="W460" s="214"/>
      <c r="X460" s="214"/>
      <c r="Y460" s="261"/>
      <c r="Z460" s="262"/>
      <c r="AA460" s="262"/>
      <c r="AB460" s="270"/>
      <c r="AC460" s="214"/>
      <c r="AD460" s="214"/>
      <c r="AE460" s="214"/>
      <c r="AF460" s="214"/>
      <c r="AG460" s="214"/>
      <c r="AH460" s="214"/>
      <c r="AI460" s="261"/>
      <c r="AJ460" s="214"/>
      <c r="AK460" s="261"/>
      <c r="AL460" s="261"/>
      <c r="AM460" s="264"/>
      <c r="AN460" s="214"/>
      <c r="AO460" s="271"/>
      <c r="AP460" s="271"/>
      <c r="AQ460" s="271"/>
      <c r="AR460" s="271"/>
      <c r="AS460" s="272"/>
      <c r="AT460" s="272"/>
      <c r="AU460" s="214"/>
      <c r="AV460" s="214"/>
    </row>
    <row r="461" ht="15.75" customHeight="1">
      <c r="A461" s="214"/>
      <c r="B461" s="261"/>
      <c r="C461" s="266"/>
      <c r="D461" s="267"/>
      <c r="E461" s="214"/>
      <c r="F461" s="214"/>
      <c r="G461" s="214"/>
      <c r="H461" s="214"/>
      <c r="I461" s="214"/>
      <c r="J461" s="214"/>
      <c r="K461" s="268"/>
      <c r="L461" s="214"/>
      <c r="M461" s="269"/>
      <c r="N461" s="214"/>
      <c r="O461" s="214"/>
      <c r="P461" s="214"/>
      <c r="Q461" s="214"/>
      <c r="R461" s="214"/>
      <c r="S461" s="214"/>
      <c r="T461" s="214"/>
      <c r="U461" s="214"/>
      <c r="V461" s="214"/>
      <c r="W461" s="214"/>
      <c r="X461" s="214"/>
      <c r="Y461" s="261"/>
      <c r="Z461" s="262"/>
      <c r="AA461" s="262"/>
      <c r="AB461" s="270"/>
      <c r="AC461" s="214"/>
      <c r="AD461" s="214"/>
      <c r="AE461" s="214"/>
      <c r="AF461" s="214"/>
      <c r="AG461" s="214"/>
      <c r="AH461" s="214"/>
      <c r="AI461" s="261"/>
      <c r="AJ461" s="214"/>
      <c r="AK461" s="261"/>
      <c r="AL461" s="261"/>
      <c r="AM461" s="264"/>
      <c r="AN461" s="214"/>
      <c r="AO461" s="271"/>
      <c r="AP461" s="271"/>
      <c r="AQ461" s="271"/>
      <c r="AR461" s="271"/>
      <c r="AS461" s="272"/>
      <c r="AT461" s="272"/>
      <c r="AU461" s="214"/>
      <c r="AV461" s="214"/>
    </row>
    <row r="462" ht="15.75" customHeight="1">
      <c r="A462" s="214"/>
      <c r="B462" s="261"/>
      <c r="C462" s="266"/>
      <c r="D462" s="267"/>
      <c r="E462" s="214"/>
      <c r="F462" s="214"/>
      <c r="G462" s="214"/>
      <c r="H462" s="214"/>
      <c r="I462" s="214"/>
      <c r="J462" s="214"/>
      <c r="K462" s="268"/>
      <c r="L462" s="214"/>
      <c r="M462" s="269"/>
      <c r="N462" s="214"/>
      <c r="O462" s="214"/>
      <c r="P462" s="214"/>
      <c r="Q462" s="214"/>
      <c r="R462" s="214"/>
      <c r="S462" s="214"/>
      <c r="T462" s="214"/>
      <c r="U462" s="214"/>
      <c r="V462" s="214"/>
      <c r="W462" s="214"/>
      <c r="X462" s="214"/>
      <c r="Y462" s="261"/>
      <c r="Z462" s="262"/>
      <c r="AA462" s="262"/>
      <c r="AB462" s="270"/>
      <c r="AC462" s="214"/>
      <c r="AD462" s="214"/>
      <c r="AE462" s="214"/>
      <c r="AF462" s="214"/>
      <c r="AG462" s="214"/>
      <c r="AH462" s="214"/>
      <c r="AI462" s="261"/>
      <c r="AJ462" s="214"/>
      <c r="AK462" s="261"/>
      <c r="AL462" s="261"/>
      <c r="AM462" s="264"/>
      <c r="AN462" s="214"/>
      <c r="AO462" s="271"/>
      <c r="AP462" s="271"/>
      <c r="AQ462" s="271"/>
      <c r="AR462" s="271"/>
      <c r="AS462" s="272"/>
      <c r="AT462" s="272"/>
      <c r="AU462" s="214"/>
      <c r="AV462" s="214"/>
    </row>
    <row r="463" ht="15.75" customHeight="1">
      <c r="A463" s="214"/>
      <c r="B463" s="261"/>
      <c r="C463" s="266"/>
      <c r="D463" s="267"/>
      <c r="E463" s="214"/>
      <c r="F463" s="214"/>
      <c r="G463" s="214"/>
      <c r="H463" s="214"/>
      <c r="I463" s="214"/>
      <c r="J463" s="214"/>
      <c r="K463" s="268"/>
      <c r="L463" s="214"/>
      <c r="M463" s="269"/>
      <c r="N463" s="214"/>
      <c r="O463" s="214"/>
      <c r="P463" s="214"/>
      <c r="Q463" s="214"/>
      <c r="R463" s="214"/>
      <c r="S463" s="214"/>
      <c r="T463" s="214"/>
      <c r="U463" s="214"/>
      <c r="V463" s="214"/>
      <c r="W463" s="214"/>
      <c r="X463" s="214"/>
      <c r="Y463" s="261"/>
      <c r="Z463" s="262"/>
      <c r="AA463" s="262"/>
      <c r="AB463" s="270"/>
      <c r="AC463" s="214"/>
      <c r="AD463" s="214"/>
      <c r="AE463" s="214"/>
      <c r="AF463" s="214"/>
      <c r="AG463" s="214"/>
      <c r="AH463" s="214"/>
      <c r="AI463" s="261"/>
      <c r="AJ463" s="214"/>
      <c r="AK463" s="261"/>
      <c r="AL463" s="261"/>
      <c r="AM463" s="264"/>
      <c r="AN463" s="214"/>
      <c r="AO463" s="271"/>
      <c r="AP463" s="271"/>
      <c r="AQ463" s="271"/>
      <c r="AR463" s="271"/>
      <c r="AS463" s="272"/>
      <c r="AT463" s="272"/>
      <c r="AU463" s="214"/>
      <c r="AV463" s="214"/>
    </row>
    <row r="464" ht="15.75" customHeight="1">
      <c r="A464" s="214"/>
      <c r="B464" s="261"/>
      <c r="C464" s="266"/>
      <c r="D464" s="267"/>
      <c r="E464" s="214"/>
      <c r="F464" s="214"/>
      <c r="G464" s="214"/>
      <c r="H464" s="214"/>
      <c r="I464" s="214"/>
      <c r="J464" s="214"/>
      <c r="K464" s="268"/>
      <c r="L464" s="214"/>
      <c r="M464" s="269"/>
      <c r="N464" s="214"/>
      <c r="O464" s="214"/>
      <c r="P464" s="214"/>
      <c r="Q464" s="214"/>
      <c r="R464" s="214"/>
      <c r="S464" s="214"/>
      <c r="T464" s="214"/>
      <c r="U464" s="214"/>
      <c r="V464" s="214"/>
      <c r="W464" s="214"/>
      <c r="X464" s="214"/>
      <c r="Y464" s="261"/>
      <c r="Z464" s="262"/>
      <c r="AA464" s="262"/>
      <c r="AB464" s="270"/>
      <c r="AC464" s="214"/>
      <c r="AD464" s="214"/>
      <c r="AE464" s="214"/>
      <c r="AF464" s="214"/>
      <c r="AG464" s="214"/>
      <c r="AH464" s="214"/>
      <c r="AI464" s="261"/>
      <c r="AJ464" s="214"/>
      <c r="AK464" s="261"/>
      <c r="AL464" s="261"/>
      <c r="AM464" s="264"/>
      <c r="AN464" s="214"/>
      <c r="AO464" s="271"/>
      <c r="AP464" s="271"/>
      <c r="AQ464" s="271"/>
      <c r="AR464" s="271"/>
      <c r="AS464" s="272"/>
      <c r="AT464" s="272"/>
      <c r="AU464" s="214"/>
      <c r="AV464" s="214"/>
    </row>
    <row r="465" ht="15.75" customHeight="1">
      <c r="A465" s="214"/>
      <c r="B465" s="261"/>
      <c r="C465" s="266"/>
      <c r="D465" s="267"/>
      <c r="E465" s="214"/>
      <c r="F465" s="214"/>
      <c r="G465" s="214"/>
      <c r="H465" s="214"/>
      <c r="I465" s="214"/>
      <c r="J465" s="214"/>
      <c r="K465" s="268"/>
      <c r="L465" s="214"/>
      <c r="M465" s="269"/>
      <c r="N465" s="214"/>
      <c r="O465" s="214"/>
      <c r="P465" s="214"/>
      <c r="Q465" s="214"/>
      <c r="R465" s="214"/>
      <c r="S465" s="214"/>
      <c r="T465" s="214"/>
      <c r="U465" s="214"/>
      <c r="V465" s="214"/>
      <c r="W465" s="214"/>
      <c r="X465" s="214"/>
      <c r="Y465" s="261"/>
      <c r="Z465" s="262"/>
      <c r="AA465" s="262"/>
      <c r="AB465" s="270"/>
      <c r="AC465" s="214"/>
      <c r="AD465" s="214"/>
      <c r="AE465" s="214"/>
      <c r="AF465" s="214"/>
      <c r="AG465" s="214"/>
      <c r="AH465" s="214"/>
      <c r="AI465" s="261"/>
      <c r="AJ465" s="214"/>
      <c r="AK465" s="261"/>
      <c r="AL465" s="261"/>
      <c r="AM465" s="264"/>
      <c r="AN465" s="214"/>
      <c r="AO465" s="271"/>
      <c r="AP465" s="271"/>
      <c r="AQ465" s="271"/>
      <c r="AR465" s="271"/>
      <c r="AS465" s="272"/>
      <c r="AT465" s="272"/>
      <c r="AU465" s="214"/>
      <c r="AV465" s="214"/>
    </row>
    <row r="466" ht="15.75" customHeight="1">
      <c r="A466" s="214"/>
      <c r="B466" s="261"/>
      <c r="C466" s="266"/>
      <c r="D466" s="267"/>
      <c r="E466" s="214"/>
      <c r="F466" s="214"/>
      <c r="G466" s="214"/>
      <c r="H466" s="214"/>
      <c r="I466" s="214"/>
      <c r="J466" s="214"/>
      <c r="K466" s="268"/>
      <c r="L466" s="214"/>
      <c r="M466" s="269"/>
      <c r="N466" s="214"/>
      <c r="O466" s="214"/>
      <c r="P466" s="214"/>
      <c r="Q466" s="214"/>
      <c r="R466" s="214"/>
      <c r="S466" s="214"/>
      <c r="T466" s="214"/>
      <c r="U466" s="214"/>
      <c r="V466" s="214"/>
      <c r="W466" s="214"/>
      <c r="X466" s="214"/>
      <c r="Y466" s="261"/>
      <c r="Z466" s="262"/>
      <c r="AA466" s="262"/>
      <c r="AB466" s="270"/>
      <c r="AC466" s="214"/>
      <c r="AD466" s="214"/>
      <c r="AE466" s="214"/>
      <c r="AF466" s="214"/>
      <c r="AG466" s="214"/>
      <c r="AH466" s="214"/>
      <c r="AI466" s="261"/>
      <c r="AJ466" s="214"/>
      <c r="AK466" s="261"/>
      <c r="AL466" s="261"/>
      <c r="AM466" s="264"/>
      <c r="AN466" s="214"/>
      <c r="AO466" s="271"/>
      <c r="AP466" s="271"/>
      <c r="AQ466" s="271"/>
      <c r="AR466" s="271"/>
      <c r="AS466" s="272"/>
      <c r="AT466" s="272"/>
      <c r="AU466" s="214"/>
      <c r="AV466" s="214"/>
    </row>
    <row r="467" ht="15.75" customHeight="1">
      <c r="A467" s="214"/>
      <c r="B467" s="261"/>
      <c r="C467" s="266"/>
      <c r="D467" s="267"/>
      <c r="E467" s="214"/>
      <c r="F467" s="214"/>
      <c r="G467" s="214"/>
      <c r="H467" s="214"/>
      <c r="I467" s="214"/>
      <c r="J467" s="214"/>
      <c r="K467" s="268"/>
      <c r="L467" s="214"/>
      <c r="M467" s="269"/>
      <c r="N467" s="214"/>
      <c r="O467" s="214"/>
      <c r="P467" s="214"/>
      <c r="Q467" s="214"/>
      <c r="R467" s="214"/>
      <c r="S467" s="214"/>
      <c r="T467" s="214"/>
      <c r="U467" s="214"/>
      <c r="V467" s="214"/>
      <c r="W467" s="214"/>
      <c r="X467" s="214"/>
      <c r="Y467" s="261"/>
      <c r="Z467" s="262"/>
      <c r="AA467" s="262"/>
      <c r="AB467" s="270"/>
      <c r="AC467" s="214"/>
      <c r="AD467" s="214"/>
      <c r="AE467" s="214"/>
      <c r="AF467" s="214"/>
      <c r="AG467" s="214"/>
      <c r="AH467" s="214"/>
      <c r="AI467" s="261"/>
      <c r="AJ467" s="214"/>
      <c r="AK467" s="261"/>
      <c r="AL467" s="261"/>
      <c r="AM467" s="264"/>
      <c r="AN467" s="214"/>
      <c r="AO467" s="271"/>
      <c r="AP467" s="271"/>
      <c r="AQ467" s="271"/>
      <c r="AR467" s="271"/>
      <c r="AS467" s="272"/>
      <c r="AT467" s="272"/>
      <c r="AU467" s="214"/>
      <c r="AV467" s="214"/>
    </row>
    <row r="468" ht="15.75" customHeight="1">
      <c r="A468" s="214"/>
      <c r="B468" s="261"/>
      <c r="C468" s="266"/>
      <c r="D468" s="267"/>
      <c r="E468" s="214"/>
      <c r="F468" s="214"/>
      <c r="G468" s="214"/>
      <c r="H468" s="214"/>
      <c r="I468" s="214"/>
      <c r="J468" s="214"/>
      <c r="K468" s="268"/>
      <c r="L468" s="214"/>
      <c r="M468" s="269"/>
      <c r="N468" s="214"/>
      <c r="O468" s="214"/>
      <c r="P468" s="214"/>
      <c r="Q468" s="214"/>
      <c r="R468" s="214"/>
      <c r="S468" s="214"/>
      <c r="T468" s="214"/>
      <c r="U468" s="214"/>
      <c r="V468" s="214"/>
      <c r="W468" s="214"/>
      <c r="X468" s="214"/>
      <c r="Y468" s="261"/>
      <c r="Z468" s="262"/>
      <c r="AA468" s="262"/>
      <c r="AB468" s="270"/>
      <c r="AC468" s="214"/>
      <c r="AD468" s="214"/>
      <c r="AE468" s="214"/>
      <c r="AF468" s="214"/>
      <c r="AG468" s="214"/>
      <c r="AH468" s="214"/>
      <c r="AI468" s="261"/>
      <c r="AJ468" s="214"/>
      <c r="AK468" s="261"/>
      <c r="AL468" s="261"/>
      <c r="AM468" s="264"/>
      <c r="AN468" s="214"/>
      <c r="AO468" s="271"/>
      <c r="AP468" s="271"/>
      <c r="AQ468" s="271"/>
      <c r="AR468" s="271"/>
      <c r="AS468" s="272"/>
      <c r="AT468" s="272"/>
      <c r="AU468" s="214"/>
      <c r="AV468" s="214"/>
    </row>
    <row r="469" ht="15.75" customHeight="1">
      <c r="A469" s="214"/>
      <c r="B469" s="261"/>
      <c r="C469" s="266"/>
      <c r="D469" s="267"/>
      <c r="E469" s="214"/>
      <c r="F469" s="214"/>
      <c r="G469" s="214"/>
      <c r="H469" s="214"/>
      <c r="I469" s="214"/>
      <c r="J469" s="214"/>
      <c r="K469" s="268"/>
      <c r="L469" s="214"/>
      <c r="M469" s="269"/>
      <c r="N469" s="214"/>
      <c r="O469" s="214"/>
      <c r="P469" s="214"/>
      <c r="Q469" s="214"/>
      <c r="R469" s="214"/>
      <c r="S469" s="214"/>
      <c r="T469" s="214"/>
      <c r="U469" s="214"/>
      <c r="V469" s="214"/>
      <c r="W469" s="214"/>
      <c r="X469" s="214"/>
      <c r="Y469" s="261"/>
      <c r="Z469" s="262"/>
      <c r="AA469" s="262"/>
      <c r="AB469" s="270"/>
      <c r="AC469" s="214"/>
      <c r="AD469" s="214"/>
      <c r="AE469" s="214"/>
      <c r="AF469" s="214"/>
      <c r="AG469" s="214"/>
      <c r="AH469" s="214"/>
      <c r="AI469" s="261"/>
      <c r="AJ469" s="214"/>
      <c r="AK469" s="261"/>
      <c r="AL469" s="261"/>
      <c r="AM469" s="264"/>
      <c r="AN469" s="214"/>
      <c r="AO469" s="271"/>
      <c r="AP469" s="271"/>
      <c r="AQ469" s="271"/>
      <c r="AR469" s="271"/>
      <c r="AS469" s="272"/>
      <c r="AT469" s="272"/>
      <c r="AU469" s="214"/>
      <c r="AV469" s="214"/>
    </row>
    <row r="470" ht="15.75" customHeight="1">
      <c r="A470" s="214"/>
      <c r="B470" s="261"/>
      <c r="C470" s="266"/>
      <c r="D470" s="267"/>
      <c r="E470" s="214"/>
      <c r="F470" s="214"/>
      <c r="G470" s="214"/>
      <c r="H470" s="214"/>
      <c r="I470" s="214"/>
      <c r="J470" s="214"/>
      <c r="K470" s="268"/>
      <c r="L470" s="214"/>
      <c r="M470" s="269"/>
      <c r="N470" s="214"/>
      <c r="O470" s="214"/>
      <c r="P470" s="214"/>
      <c r="Q470" s="214"/>
      <c r="R470" s="214"/>
      <c r="S470" s="214"/>
      <c r="T470" s="214"/>
      <c r="U470" s="214"/>
      <c r="V470" s="214"/>
      <c r="W470" s="214"/>
      <c r="X470" s="214"/>
      <c r="Y470" s="261"/>
      <c r="Z470" s="262"/>
      <c r="AA470" s="262"/>
      <c r="AB470" s="270"/>
      <c r="AC470" s="214"/>
      <c r="AD470" s="214"/>
      <c r="AE470" s="214"/>
      <c r="AF470" s="214"/>
      <c r="AG470" s="214"/>
      <c r="AH470" s="214"/>
      <c r="AI470" s="261"/>
      <c r="AJ470" s="214"/>
      <c r="AK470" s="261"/>
      <c r="AL470" s="261"/>
      <c r="AM470" s="264"/>
      <c r="AN470" s="214"/>
      <c r="AO470" s="271"/>
      <c r="AP470" s="271"/>
      <c r="AQ470" s="271"/>
      <c r="AR470" s="271"/>
      <c r="AS470" s="272"/>
      <c r="AT470" s="272"/>
      <c r="AU470" s="214"/>
      <c r="AV470" s="214"/>
    </row>
    <row r="471" ht="15.75" customHeight="1">
      <c r="A471" s="214"/>
      <c r="B471" s="261"/>
      <c r="C471" s="266"/>
      <c r="D471" s="267"/>
      <c r="E471" s="214"/>
      <c r="F471" s="214"/>
      <c r="G471" s="214"/>
      <c r="H471" s="214"/>
      <c r="I471" s="214"/>
      <c r="J471" s="214"/>
      <c r="K471" s="268"/>
      <c r="L471" s="214"/>
      <c r="M471" s="269"/>
      <c r="N471" s="214"/>
      <c r="O471" s="214"/>
      <c r="P471" s="214"/>
      <c r="Q471" s="214"/>
      <c r="R471" s="214"/>
      <c r="S471" s="214"/>
      <c r="T471" s="214"/>
      <c r="U471" s="214"/>
      <c r="V471" s="214"/>
      <c r="W471" s="214"/>
      <c r="X471" s="214"/>
      <c r="Y471" s="261"/>
      <c r="Z471" s="262"/>
      <c r="AA471" s="262"/>
      <c r="AB471" s="270"/>
      <c r="AC471" s="214"/>
      <c r="AD471" s="214"/>
      <c r="AE471" s="214"/>
      <c r="AF471" s="214"/>
      <c r="AG471" s="214"/>
      <c r="AH471" s="214"/>
      <c r="AI471" s="261"/>
      <c r="AJ471" s="214"/>
      <c r="AK471" s="261"/>
      <c r="AL471" s="261"/>
      <c r="AM471" s="264"/>
      <c r="AN471" s="214"/>
      <c r="AO471" s="271"/>
      <c r="AP471" s="271"/>
      <c r="AQ471" s="271"/>
      <c r="AR471" s="271"/>
      <c r="AS471" s="272"/>
      <c r="AT471" s="272"/>
      <c r="AU471" s="214"/>
      <c r="AV471" s="214"/>
    </row>
    <row r="472" ht="15.75" customHeight="1">
      <c r="A472" s="214"/>
      <c r="B472" s="261"/>
      <c r="C472" s="266"/>
      <c r="D472" s="267"/>
      <c r="E472" s="214"/>
      <c r="F472" s="214"/>
      <c r="G472" s="214"/>
      <c r="H472" s="214"/>
      <c r="I472" s="214"/>
      <c r="J472" s="214"/>
      <c r="K472" s="268"/>
      <c r="L472" s="214"/>
      <c r="M472" s="269"/>
      <c r="N472" s="214"/>
      <c r="O472" s="214"/>
      <c r="P472" s="214"/>
      <c r="Q472" s="214"/>
      <c r="R472" s="214"/>
      <c r="S472" s="214"/>
      <c r="T472" s="214"/>
      <c r="U472" s="214"/>
      <c r="V472" s="214"/>
      <c r="W472" s="214"/>
      <c r="X472" s="214"/>
      <c r="Y472" s="261"/>
      <c r="Z472" s="262"/>
      <c r="AA472" s="262"/>
      <c r="AB472" s="270"/>
      <c r="AC472" s="214"/>
      <c r="AD472" s="214"/>
      <c r="AE472" s="214"/>
      <c r="AF472" s="214"/>
      <c r="AG472" s="214"/>
      <c r="AH472" s="214"/>
      <c r="AI472" s="261"/>
      <c r="AJ472" s="214"/>
      <c r="AK472" s="261"/>
      <c r="AL472" s="261"/>
      <c r="AM472" s="264"/>
      <c r="AN472" s="214"/>
      <c r="AO472" s="271"/>
      <c r="AP472" s="271"/>
      <c r="AQ472" s="271"/>
      <c r="AR472" s="271"/>
      <c r="AS472" s="272"/>
      <c r="AT472" s="272"/>
      <c r="AU472" s="214"/>
      <c r="AV472" s="214"/>
    </row>
    <row r="473" ht="15.75" customHeight="1">
      <c r="A473" s="214"/>
      <c r="B473" s="261"/>
      <c r="C473" s="266"/>
      <c r="D473" s="267"/>
      <c r="E473" s="214"/>
      <c r="F473" s="214"/>
      <c r="G473" s="214"/>
      <c r="H473" s="214"/>
      <c r="I473" s="214"/>
      <c r="J473" s="214"/>
      <c r="K473" s="268"/>
      <c r="L473" s="214"/>
      <c r="M473" s="269"/>
      <c r="N473" s="214"/>
      <c r="O473" s="214"/>
      <c r="P473" s="214"/>
      <c r="Q473" s="214"/>
      <c r="R473" s="214"/>
      <c r="S473" s="214"/>
      <c r="T473" s="214"/>
      <c r="U473" s="214"/>
      <c r="V473" s="214"/>
      <c r="W473" s="214"/>
      <c r="X473" s="214"/>
      <c r="Y473" s="261"/>
      <c r="Z473" s="262"/>
      <c r="AA473" s="262"/>
      <c r="AB473" s="270"/>
      <c r="AC473" s="214"/>
      <c r="AD473" s="214"/>
      <c r="AE473" s="214"/>
      <c r="AF473" s="214"/>
      <c r="AG473" s="214"/>
      <c r="AH473" s="214"/>
      <c r="AI473" s="261"/>
      <c r="AJ473" s="214"/>
      <c r="AK473" s="261"/>
      <c r="AL473" s="261"/>
      <c r="AM473" s="264"/>
      <c r="AN473" s="214"/>
      <c r="AO473" s="271"/>
      <c r="AP473" s="271"/>
      <c r="AQ473" s="271"/>
      <c r="AR473" s="271"/>
      <c r="AS473" s="272"/>
      <c r="AT473" s="272"/>
      <c r="AU473" s="214"/>
      <c r="AV473" s="214"/>
    </row>
    <row r="474" ht="15.75" customHeight="1">
      <c r="A474" s="214"/>
      <c r="B474" s="261"/>
      <c r="C474" s="266"/>
      <c r="D474" s="267"/>
      <c r="E474" s="214"/>
      <c r="F474" s="214"/>
      <c r="G474" s="214"/>
      <c r="H474" s="214"/>
      <c r="I474" s="214"/>
      <c r="J474" s="214"/>
      <c r="K474" s="268"/>
      <c r="L474" s="214"/>
      <c r="M474" s="269"/>
      <c r="N474" s="214"/>
      <c r="O474" s="214"/>
      <c r="P474" s="214"/>
      <c r="Q474" s="214"/>
      <c r="R474" s="214"/>
      <c r="S474" s="214"/>
      <c r="T474" s="214"/>
      <c r="U474" s="214"/>
      <c r="V474" s="214"/>
      <c r="W474" s="214"/>
      <c r="X474" s="214"/>
      <c r="Y474" s="261"/>
      <c r="Z474" s="262"/>
      <c r="AA474" s="262"/>
      <c r="AB474" s="270"/>
      <c r="AC474" s="214"/>
      <c r="AD474" s="214"/>
      <c r="AE474" s="214"/>
      <c r="AF474" s="214"/>
      <c r="AG474" s="214"/>
      <c r="AH474" s="214"/>
      <c r="AI474" s="261"/>
      <c r="AJ474" s="214"/>
      <c r="AK474" s="261"/>
      <c r="AL474" s="261"/>
      <c r="AM474" s="264"/>
      <c r="AN474" s="214"/>
      <c r="AO474" s="271"/>
      <c r="AP474" s="271"/>
      <c r="AQ474" s="271"/>
      <c r="AR474" s="271"/>
      <c r="AS474" s="272"/>
      <c r="AT474" s="272"/>
      <c r="AU474" s="214"/>
      <c r="AV474" s="214"/>
    </row>
    <row r="475" ht="15.75" customHeight="1">
      <c r="A475" s="214"/>
      <c r="B475" s="261"/>
      <c r="C475" s="266"/>
      <c r="D475" s="267"/>
      <c r="E475" s="214"/>
      <c r="F475" s="214"/>
      <c r="G475" s="214"/>
      <c r="H475" s="214"/>
      <c r="I475" s="214"/>
      <c r="J475" s="214"/>
      <c r="K475" s="268"/>
      <c r="L475" s="214"/>
      <c r="M475" s="269"/>
      <c r="N475" s="214"/>
      <c r="O475" s="214"/>
      <c r="P475" s="214"/>
      <c r="Q475" s="214"/>
      <c r="R475" s="214"/>
      <c r="S475" s="214"/>
      <c r="T475" s="214"/>
      <c r="U475" s="214"/>
      <c r="V475" s="214"/>
      <c r="W475" s="214"/>
      <c r="X475" s="214"/>
      <c r="Y475" s="261"/>
      <c r="Z475" s="262"/>
      <c r="AA475" s="262"/>
      <c r="AB475" s="270"/>
      <c r="AC475" s="214"/>
      <c r="AD475" s="214"/>
      <c r="AE475" s="214"/>
      <c r="AF475" s="214"/>
      <c r="AG475" s="214"/>
      <c r="AH475" s="214"/>
      <c r="AI475" s="261"/>
      <c r="AJ475" s="214"/>
      <c r="AK475" s="261"/>
      <c r="AL475" s="261"/>
      <c r="AM475" s="264"/>
      <c r="AN475" s="214"/>
      <c r="AO475" s="271"/>
      <c r="AP475" s="271"/>
      <c r="AQ475" s="271"/>
      <c r="AR475" s="271"/>
      <c r="AS475" s="272"/>
      <c r="AT475" s="272"/>
      <c r="AU475" s="214"/>
      <c r="AV475" s="214"/>
    </row>
    <row r="476" ht="15.75" customHeight="1">
      <c r="A476" s="214"/>
      <c r="B476" s="261"/>
      <c r="C476" s="266"/>
      <c r="D476" s="267"/>
      <c r="E476" s="214"/>
      <c r="F476" s="214"/>
      <c r="G476" s="214"/>
      <c r="H476" s="214"/>
      <c r="I476" s="214"/>
      <c r="J476" s="214"/>
      <c r="K476" s="268"/>
      <c r="L476" s="214"/>
      <c r="M476" s="269"/>
      <c r="N476" s="214"/>
      <c r="O476" s="214"/>
      <c r="P476" s="214"/>
      <c r="Q476" s="214"/>
      <c r="R476" s="214"/>
      <c r="S476" s="214"/>
      <c r="T476" s="214"/>
      <c r="U476" s="214"/>
      <c r="V476" s="214"/>
      <c r="W476" s="214"/>
      <c r="X476" s="214"/>
      <c r="Y476" s="261"/>
      <c r="Z476" s="262"/>
      <c r="AA476" s="262"/>
      <c r="AB476" s="270"/>
      <c r="AC476" s="214"/>
      <c r="AD476" s="214"/>
      <c r="AE476" s="214"/>
      <c r="AF476" s="214"/>
      <c r="AG476" s="214"/>
      <c r="AH476" s="214"/>
      <c r="AI476" s="261"/>
      <c r="AJ476" s="214"/>
      <c r="AK476" s="261"/>
      <c r="AL476" s="261"/>
      <c r="AM476" s="264"/>
      <c r="AN476" s="214"/>
      <c r="AO476" s="271"/>
      <c r="AP476" s="271"/>
      <c r="AQ476" s="271"/>
      <c r="AR476" s="271"/>
      <c r="AS476" s="272"/>
      <c r="AT476" s="272"/>
      <c r="AU476" s="214"/>
      <c r="AV476" s="214"/>
    </row>
    <row r="477" ht="15.75" customHeight="1">
      <c r="A477" s="214"/>
      <c r="B477" s="261"/>
      <c r="C477" s="266"/>
      <c r="D477" s="267"/>
      <c r="E477" s="214"/>
      <c r="F477" s="214"/>
      <c r="G477" s="214"/>
      <c r="H477" s="214"/>
      <c r="I477" s="214"/>
      <c r="J477" s="214"/>
      <c r="K477" s="268"/>
      <c r="L477" s="214"/>
      <c r="M477" s="269"/>
      <c r="N477" s="214"/>
      <c r="O477" s="214"/>
      <c r="P477" s="214"/>
      <c r="Q477" s="214"/>
      <c r="R477" s="214"/>
      <c r="S477" s="214"/>
      <c r="T477" s="214"/>
      <c r="U477" s="214"/>
      <c r="V477" s="214"/>
      <c r="W477" s="214"/>
      <c r="X477" s="214"/>
      <c r="Y477" s="261"/>
      <c r="Z477" s="262"/>
      <c r="AA477" s="262"/>
      <c r="AB477" s="270"/>
      <c r="AC477" s="214"/>
      <c r="AD477" s="214"/>
      <c r="AE477" s="214"/>
      <c r="AF477" s="214"/>
      <c r="AG477" s="214"/>
      <c r="AH477" s="214"/>
      <c r="AI477" s="261"/>
      <c r="AJ477" s="214"/>
      <c r="AK477" s="261"/>
      <c r="AL477" s="261"/>
      <c r="AM477" s="264"/>
      <c r="AN477" s="214"/>
      <c r="AO477" s="271"/>
      <c r="AP477" s="271"/>
      <c r="AQ477" s="271"/>
      <c r="AR477" s="271"/>
      <c r="AS477" s="272"/>
      <c r="AT477" s="272"/>
      <c r="AU477" s="214"/>
      <c r="AV477" s="214"/>
    </row>
    <row r="478" ht="15.75" customHeight="1">
      <c r="A478" s="214"/>
      <c r="B478" s="261"/>
      <c r="C478" s="266"/>
      <c r="D478" s="267"/>
      <c r="E478" s="214"/>
      <c r="F478" s="214"/>
      <c r="G478" s="214"/>
      <c r="H478" s="214"/>
      <c r="I478" s="214"/>
      <c r="J478" s="214"/>
      <c r="K478" s="268"/>
      <c r="L478" s="214"/>
      <c r="M478" s="269"/>
      <c r="N478" s="214"/>
      <c r="O478" s="214"/>
      <c r="P478" s="214"/>
      <c r="Q478" s="214"/>
      <c r="R478" s="214"/>
      <c r="S478" s="214"/>
      <c r="T478" s="214"/>
      <c r="U478" s="214"/>
      <c r="V478" s="214"/>
      <c r="W478" s="214"/>
      <c r="X478" s="214"/>
      <c r="Y478" s="261"/>
      <c r="Z478" s="262"/>
      <c r="AA478" s="262"/>
      <c r="AB478" s="270"/>
      <c r="AC478" s="214"/>
      <c r="AD478" s="214"/>
      <c r="AE478" s="214"/>
      <c r="AF478" s="214"/>
      <c r="AG478" s="214"/>
      <c r="AH478" s="214"/>
      <c r="AI478" s="261"/>
      <c r="AJ478" s="214"/>
      <c r="AK478" s="261"/>
      <c r="AL478" s="261"/>
      <c r="AM478" s="264"/>
      <c r="AN478" s="214"/>
      <c r="AO478" s="271"/>
      <c r="AP478" s="271"/>
      <c r="AQ478" s="271"/>
      <c r="AR478" s="271"/>
      <c r="AS478" s="272"/>
      <c r="AT478" s="272"/>
      <c r="AU478" s="214"/>
      <c r="AV478" s="214"/>
    </row>
    <row r="479" ht="15.75" customHeight="1">
      <c r="A479" s="214"/>
      <c r="B479" s="261"/>
      <c r="C479" s="266"/>
      <c r="D479" s="267"/>
      <c r="E479" s="214"/>
      <c r="F479" s="214"/>
      <c r="G479" s="214"/>
      <c r="H479" s="214"/>
      <c r="I479" s="214"/>
      <c r="J479" s="214"/>
      <c r="K479" s="268"/>
      <c r="L479" s="214"/>
      <c r="M479" s="269"/>
      <c r="N479" s="214"/>
      <c r="O479" s="214"/>
      <c r="P479" s="214"/>
      <c r="Q479" s="214"/>
      <c r="R479" s="214"/>
      <c r="S479" s="214"/>
      <c r="T479" s="214"/>
      <c r="U479" s="214"/>
      <c r="V479" s="214"/>
      <c r="W479" s="214"/>
      <c r="X479" s="214"/>
      <c r="Y479" s="261"/>
      <c r="Z479" s="262"/>
      <c r="AA479" s="262"/>
      <c r="AB479" s="270"/>
      <c r="AC479" s="214"/>
      <c r="AD479" s="214"/>
      <c r="AE479" s="214"/>
      <c r="AF479" s="214"/>
      <c r="AG479" s="214"/>
      <c r="AH479" s="214"/>
      <c r="AI479" s="261"/>
      <c r="AJ479" s="214"/>
      <c r="AK479" s="261"/>
      <c r="AL479" s="261"/>
      <c r="AM479" s="264"/>
      <c r="AN479" s="214"/>
      <c r="AO479" s="271"/>
      <c r="AP479" s="271"/>
      <c r="AQ479" s="271"/>
      <c r="AR479" s="271"/>
      <c r="AS479" s="272"/>
      <c r="AT479" s="272"/>
      <c r="AU479" s="214"/>
      <c r="AV479" s="214"/>
    </row>
    <row r="480" ht="15.75" customHeight="1">
      <c r="A480" s="214"/>
      <c r="B480" s="261"/>
      <c r="C480" s="266"/>
      <c r="D480" s="267"/>
      <c r="E480" s="214"/>
      <c r="F480" s="214"/>
      <c r="G480" s="214"/>
      <c r="H480" s="214"/>
      <c r="I480" s="214"/>
      <c r="J480" s="214"/>
      <c r="K480" s="268"/>
      <c r="L480" s="214"/>
      <c r="M480" s="269"/>
      <c r="N480" s="214"/>
      <c r="O480" s="214"/>
      <c r="P480" s="214"/>
      <c r="Q480" s="214"/>
      <c r="R480" s="214"/>
      <c r="S480" s="214"/>
      <c r="T480" s="214"/>
      <c r="U480" s="214"/>
      <c r="V480" s="214"/>
      <c r="W480" s="214"/>
      <c r="X480" s="214"/>
      <c r="Y480" s="261"/>
      <c r="Z480" s="262"/>
      <c r="AA480" s="262"/>
      <c r="AB480" s="270"/>
      <c r="AC480" s="214"/>
      <c r="AD480" s="214"/>
      <c r="AE480" s="214"/>
      <c r="AF480" s="214"/>
      <c r="AG480" s="214"/>
      <c r="AH480" s="214"/>
      <c r="AI480" s="261"/>
      <c r="AJ480" s="214"/>
      <c r="AK480" s="261"/>
      <c r="AL480" s="261"/>
      <c r="AM480" s="264"/>
      <c r="AN480" s="214"/>
      <c r="AO480" s="271"/>
      <c r="AP480" s="271"/>
      <c r="AQ480" s="271"/>
      <c r="AR480" s="271"/>
      <c r="AS480" s="272"/>
      <c r="AT480" s="272"/>
      <c r="AU480" s="214"/>
      <c r="AV480" s="214"/>
    </row>
    <row r="481" ht="15.75" customHeight="1">
      <c r="A481" s="214"/>
      <c r="B481" s="261"/>
      <c r="C481" s="266"/>
      <c r="D481" s="267"/>
      <c r="E481" s="214"/>
      <c r="F481" s="214"/>
      <c r="G481" s="214"/>
      <c r="H481" s="214"/>
      <c r="I481" s="214"/>
      <c r="J481" s="214"/>
      <c r="K481" s="268"/>
      <c r="L481" s="214"/>
      <c r="M481" s="269"/>
      <c r="N481" s="214"/>
      <c r="O481" s="214"/>
      <c r="P481" s="214"/>
      <c r="Q481" s="214"/>
      <c r="R481" s="214"/>
      <c r="S481" s="214"/>
      <c r="T481" s="214"/>
      <c r="U481" s="214"/>
      <c r="V481" s="214"/>
      <c r="W481" s="214"/>
      <c r="X481" s="214"/>
      <c r="Y481" s="261"/>
      <c r="Z481" s="262"/>
      <c r="AA481" s="262"/>
      <c r="AB481" s="270"/>
      <c r="AC481" s="214"/>
      <c r="AD481" s="214"/>
      <c r="AE481" s="214"/>
      <c r="AF481" s="214"/>
      <c r="AG481" s="214"/>
      <c r="AH481" s="214"/>
      <c r="AI481" s="261"/>
      <c r="AJ481" s="214"/>
      <c r="AK481" s="261"/>
      <c r="AL481" s="261"/>
      <c r="AM481" s="264"/>
      <c r="AN481" s="214"/>
      <c r="AO481" s="271"/>
      <c r="AP481" s="271"/>
      <c r="AQ481" s="271"/>
      <c r="AR481" s="271"/>
      <c r="AS481" s="272"/>
      <c r="AT481" s="272"/>
      <c r="AU481" s="214"/>
      <c r="AV481" s="214"/>
    </row>
    <row r="482" ht="15.75" customHeight="1">
      <c r="A482" s="214"/>
      <c r="B482" s="261"/>
      <c r="C482" s="266"/>
      <c r="D482" s="267"/>
      <c r="E482" s="214"/>
      <c r="F482" s="214"/>
      <c r="G482" s="214"/>
      <c r="H482" s="214"/>
      <c r="I482" s="214"/>
      <c r="J482" s="214"/>
      <c r="K482" s="268"/>
      <c r="L482" s="214"/>
      <c r="M482" s="269"/>
      <c r="N482" s="214"/>
      <c r="O482" s="214"/>
      <c r="P482" s="214"/>
      <c r="Q482" s="214"/>
      <c r="R482" s="214"/>
      <c r="S482" s="214"/>
      <c r="T482" s="214"/>
      <c r="U482" s="214"/>
      <c r="V482" s="214"/>
      <c r="W482" s="214"/>
      <c r="X482" s="214"/>
      <c r="Y482" s="261"/>
      <c r="Z482" s="262"/>
      <c r="AA482" s="262"/>
      <c r="AB482" s="270"/>
      <c r="AC482" s="214"/>
      <c r="AD482" s="214"/>
      <c r="AE482" s="214"/>
      <c r="AF482" s="214"/>
      <c r="AG482" s="214"/>
      <c r="AH482" s="214"/>
      <c r="AI482" s="261"/>
      <c r="AJ482" s="214"/>
      <c r="AK482" s="261"/>
      <c r="AL482" s="261"/>
      <c r="AM482" s="264"/>
      <c r="AN482" s="214"/>
      <c r="AO482" s="271"/>
      <c r="AP482" s="271"/>
      <c r="AQ482" s="271"/>
      <c r="AR482" s="271"/>
      <c r="AS482" s="272"/>
      <c r="AT482" s="272"/>
      <c r="AU482" s="214"/>
      <c r="AV482" s="214"/>
    </row>
    <row r="483" ht="15.75" customHeight="1">
      <c r="A483" s="214"/>
      <c r="B483" s="261"/>
      <c r="C483" s="266"/>
      <c r="D483" s="267"/>
      <c r="E483" s="214"/>
      <c r="F483" s="214"/>
      <c r="G483" s="214"/>
      <c r="H483" s="214"/>
      <c r="I483" s="214"/>
      <c r="J483" s="214"/>
      <c r="K483" s="268"/>
      <c r="L483" s="214"/>
      <c r="M483" s="269"/>
      <c r="N483" s="214"/>
      <c r="O483" s="214"/>
      <c r="P483" s="214"/>
      <c r="Q483" s="214"/>
      <c r="R483" s="214"/>
      <c r="S483" s="214"/>
      <c r="T483" s="214"/>
      <c r="U483" s="214"/>
      <c r="V483" s="214"/>
      <c r="W483" s="214"/>
      <c r="X483" s="214"/>
      <c r="Y483" s="261"/>
      <c r="Z483" s="262"/>
      <c r="AA483" s="262"/>
      <c r="AB483" s="270"/>
      <c r="AC483" s="214"/>
      <c r="AD483" s="214"/>
      <c r="AE483" s="214"/>
      <c r="AF483" s="214"/>
      <c r="AG483" s="214"/>
      <c r="AH483" s="214"/>
      <c r="AI483" s="261"/>
      <c r="AJ483" s="214"/>
      <c r="AK483" s="261"/>
      <c r="AL483" s="261"/>
      <c r="AM483" s="264"/>
      <c r="AN483" s="214"/>
      <c r="AO483" s="271"/>
      <c r="AP483" s="271"/>
      <c r="AQ483" s="271"/>
      <c r="AR483" s="271"/>
      <c r="AS483" s="272"/>
      <c r="AT483" s="272"/>
      <c r="AU483" s="214"/>
      <c r="AV483" s="214"/>
    </row>
    <row r="484" ht="15.75" customHeight="1">
      <c r="A484" s="214"/>
      <c r="B484" s="261"/>
      <c r="C484" s="266"/>
      <c r="D484" s="267"/>
      <c r="E484" s="214"/>
      <c r="F484" s="214"/>
      <c r="G484" s="214"/>
      <c r="H484" s="214"/>
      <c r="I484" s="214"/>
      <c r="J484" s="214"/>
      <c r="K484" s="268"/>
      <c r="L484" s="214"/>
      <c r="M484" s="269"/>
      <c r="N484" s="214"/>
      <c r="O484" s="214"/>
      <c r="P484" s="214"/>
      <c r="Q484" s="214"/>
      <c r="R484" s="214"/>
      <c r="S484" s="214"/>
      <c r="T484" s="214"/>
      <c r="U484" s="214"/>
      <c r="V484" s="214"/>
      <c r="W484" s="214"/>
      <c r="X484" s="214"/>
      <c r="Y484" s="261"/>
      <c r="Z484" s="262"/>
      <c r="AA484" s="262"/>
      <c r="AB484" s="270"/>
      <c r="AC484" s="214"/>
      <c r="AD484" s="214"/>
      <c r="AE484" s="214"/>
      <c r="AF484" s="214"/>
      <c r="AG484" s="214"/>
      <c r="AH484" s="214"/>
      <c r="AI484" s="261"/>
      <c r="AJ484" s="214"/>
      <c r="AK484" s="261"/>
      <c r="AL484" s="261"/>
      <c r="AM484" s="264"/>
      <c r="AN484" s="214"/>
      <c r="AO484" s="271"/>
      <c r="AP484" s="271"/>
      <c r="AQ484" s="271"/>
      <c r="AR484" s="271"/>
      <c r="AS484" s="272"/>
      <c r="AT484" s="272"/>
      <c r="AU484" s="214"/>
      <c r="AV484" s="214"/>
    </row>
    <row r="485" ht="15.75" customHeight="1">
      <c r="A485" s="214"/>
      <c r="B485" s="261"/>
      <c r="C485" s="266"/>
      <c r="D485" s="267"/>
      <c r="E485" s="214"/>
      <c r="F485" s="214"/>
      <c r="G485" s="214"/>
      <c r="H485" s="214"/>
      <c r="I485" s="214"/>
      <c r="J485" s="214"/>
      <c r="K485" s="268"/>
      <c r="L485" s="214"/>
      <c r="M485" s="269"/>
      <c r="N485" s="214"/>
      <c r="O485" s="214"/>
      <c r="P485" s="214"/>
      <c r="Q485" s="214"/>
      <c r="R485" s="214"/>
      <c r="S485" s="214"/>
      <c r="T485" s="214"/>
      <c r="U485" s="214"/>
      <c r="V485" s="214"/>
      <c r="W485" s="214"/>
      <c r="X485" s="214"/>
      <c r="Y485" s="261"/>
      <c r="Z485" s="262"/>
      <c r="AA485" s="262"/>
      <c r="AB485" s="270"/>
      <c r="AC485" s="214"/>
      <c r="AD485" s="214"/>
      <c r="AE485" s="214"/>
      <c r="AF485" s="214"/>
      <c r="AG485" s="214"/>
      <c r="AH485" s="214"/>
      <c r="AI485" s="261"/>
      <c r="AJ485" s="214"/>
      <c r="AK485" s="261"/>
      <c r="AL485" s="261"/>
      <c r="AM485" s="264"/>
      <c r="AN485" s="214"/>
      <c r="AO485" s="271"/>
      <c r="AP485" s="271"/>
      <c r="AQ485" s="271"/>
      <c r="AR485" s="271"/>
      <c r="AS485" s="272"/>
      <c r="AT485" s="272"/>
      <c r="AU485" s="214"/>
      <c r="AV485" s="214"/>
    </row>
    <row r="486" ht="15.75" customHeight="1">
      <c r="A486" s="214"/>
      <c r="B486" s="261"/>
      <c r="C486" s="266"/>
      <c r="D486" s="267"/>
      <c r="E486" s="214"/>
      <c r="F486" s="214"/>
      <c r="G486" s="214"/>
      <c r="H486" s="214"/>
      <c r="I486" s="214"/>
      <c r="J486" s="214"/>
      <c r="K486" s="268"/>
      <c r="L486" s="214"/>
      <c r="M486" s="269"/>
      <c r="N486" s="214"/>
      <c r="O486" s="214"/>
      <c r="P486" s="214"/>
      <c r="Q486" s="214"/>
      <c r="R486" s="214"/>
      <c r="S486" s="214"/>
      <c r="T486" s="214"/>
      <c r="U486" s="214"/>
      <c r="V486" s="214"/>
      <c r="W486" s="214"/>
      <c r="X486" s="214"/>
      <c r="Y486" s="261"/>
      <c r="Z486" s="262"/>
      <c r="AA486" s="262"/>
      <c r="AB486" s="270"/>
      <c r="AC486" s="214"/>
      <c r="AD486" s="214"/>
      <c r="AE486" s="214"/>
      <c r="AF486" s="214"/>
      <c r="AG486" s="214"/>
      <c r="AH486" s="214"/>
      <c r="AI486" s="261"/>
      <c r="AJ486" s="214"/>
      <c r="AK486" s="261"/>
      <c r="AL486" s="261"/>
      <c r="AM486" s="264"/>
      <c r="AN486" s="214"/>
      <c r="AO486" s="271"/>
      <c r="AP486" s="271"/>
      <c r="AQ486" s="271"/>
      <c r="AR486" s="271"/>
      <c r="AS486" s="272"/>
      <c r="AT486" s="272"/>
      <c r="AU486" s="214"/>
      <c r="AV486" s="214"/>
    </row>
    <row r="487" ht="15.75" customHeight="1">
      <c r="A487" s="214"/>
      <c r="B487" s="261"/>
      <c r="C487" s="266"/>
      <c r="D487" s="267"/>
      <c r="E487" s="214"/>
      <c r="F487" s="214"/>
      <c r="G487" s="214"/>
      <c r="H487" s="214"/>
      <c r="I487" s="214"/>
      <c r="J487" s="214"/>
      <c r="K487" s="268"/>
      <c r="L487" s="214"/>
      <c r="M487" s="269"/>
      <c r="N487" s="214"/>
      <c r="O487" s="214"/>
      <c r="P487" s="214"/>
      <c r="Q487" s="214"/>
      <c r="R487" s="214"/>
      <c r="S487" s="214"/>
      <c r="T487" s="214"/>
      <c r="U487" s="214"/>
      <c r="V487" s="214"/>
      <c r="W487" s="214"/>
      <c r="X487" s="214"/>
      <c r="Y487" s="261"/>
      <c r="Z487" s="262"/>
      <c r="AA487" s="262"/>
      <c r="AB487" s="270"/>
      <c r="AC487" s="214"/>
      <c r="AD487" s="214"/>
      <c r="AE487" s="214"/>
      <c r="AF487" s="214"/>
      <c r="AG487" s="214"/>
      <c r="AH487" s="214"/>
      <c r="AI487" s="261"/>
      <c r="AJ487" s="214"/>
      <c r="AK487" s="261"/>
      <c r="AL487" s="261"/>
      <c r="AM487" s="264"/>
      <c r="AN487" s="214"/>
      <c r="AO487" s="271"/>
      <c r="AP487" s="271"/>
      <c r="AQ487" s="271"/>
      <c r="AR487" s="271"/>
      <c r="AS487" s="272"/>
      <c r="AT487" s="272"/>
      <c r="AU487" s="214"/>
      <c r="AV487" s="214"/>
    </row>
    <row r="488" ht="15.75" customHeight="1">
      <c r="A488" s="214"/>
      <c r="B488" s="261"/>
      <c r="C488" s="266"/>
      <c r="D488" s="267"/>
      <c r="E488" s="214"/>
      <c r="F488" s="214"/>
      <c r="G488" s="214"/>
      <c r="H488" s="214"/>
      <c r="I488" s="214"/>
      <c r="J488" s="214"/>
      <c r="K488" s="268"/>
      <c r="L488" s="214"/>
      <c r="M488" s="269"/>
      <c r="N488" s="214"/>
      <c r="O488" s="214"/>
      <c r="P488" s="214"/>
      <c r="Q488" s="214"/>
      <c r="R488" s="214"/>
      <c r="S488" s="214"/>
      <c r="T488" s="214"/>
      <c r="U488" s="214"/>
      <c r="V488" s="214"/>
      <c r="W488" s="214"/>
      <c r="X488" s="214"/>
      <c r="Y488" s="261"/>
      <c r="Z488" s="262"/>
      <c r="AA488" s="262"/>
      <c r="AB488" s="270"/>
      <c r="AC488" s="214"/>
      <c r="AD488" s="214"/>
      <c r="AE488" s="214"/>
      <c r="AF488" s="214"/>
      <c r="AG488" s="214"/>
      <c r="AH488" s="214"/>
      <c r="AI488" s="261"/>
      <c r="AJ488" s="214"/>
      <c r="AK488" s="261"/>
      <c r="AL488" s="261"/>
      <c r="AM488" s="264"/>
      <c r="AN488" s="214"/>
      <c r="AO488" s="271"/>
      <c r="AP488" s="271"/>
      <c r="AQ488" s="271"/>
      <c r="AR488" s="271"/>
      <c r="AS488" s="272"/>
      <c r="AT488" s="272"/>
      <c r="AU488" s="214"/>
      <c r="AV488" s="214"/>
    </row>
    <row r="489" ht="15.75" customHeight="1">
      <c r="A489" s="214"/>
      <c r="B489" s="261"/>
      <c r="C489" s="266"/>
      <c r="D489" s="267"/>
      <c r="E489" s="214"/>
      <c r="F489" s="214"/>
      <c r="G489" s="214"/>
      <c r="H489" s="214"/>
      <c r="I489" s="214"/>
      <c r="J489" s="214"/>
      <c r="K489" s="268"/>
      <c r="L489" s="214"/>
      <c r="M489" s="269"/>
      <c r="N489" s="214"/>
      <c r="O489" s="214"/>
      <c r="P489" s="214"/>
      <c r="Q489" s="214"/>
      <c r="R489" s="214"/>
      <c r="S489" s="214"/>
      <c r="T489" s="214"/>
      <c r="U489" s="214"/>
      <c r="V489" s="214"/>
      <c r="W489" s="214"/>
      <c r="X489" s="214"/>
      <c r="Y489" s="261"/>
      <c r="Z489" s="262"/>
      <c r="AA489" s="262"/>
      <c r="AB489" s="270"/>
      <c r="AC489" s="214"/>
      <c r="AD489" s="214"/>
      <c r="AE489" s="214"/>
      <c r="AF489" s="214"/>
      <c r="AG489" s="214"/>
      <c r="AH489" s="214"/>
      <c r="AI489" s="261"/>
      <c r="AJ489" s="214"/>
      <c r="AK489" s="261"/>
      <c r="AL489" s="261"/>
      <c r="AM489" s="264"/>
      <c r="AN489" s="214"/>
      <c r="AO489" s="271"/>
      <c r="AP489" s="271"/>
      <c r="AQ489" s="271"/>
      <c r="AR489" s="271"/>
      <c r="AS489" s="272"/>
      <c r="AT489" s="272"/>
      <c r="AU489" s="214"/>
      <c r="AV489" s="214"/>
    </row>
    <row r="490" ht="15.75" customHeight="1">
      <c r="A490" s="214"/>
      <c r="B490" s="261"/>
      <c r="C490" s="266"/>
      <c r="D490" s="267"/>
      <c r="E490" s="214"/>
      <c r="F490" s="214"/>
      <c r="G490" s="214"/>
      <c r="H490" s="214"/>
      <c r="I490" s="214"/>
      <c r="J490" s="214"/>
      <c r="K490" s="268"/>
      <c r="L490" s="214"/>
      <c r="M490" s="269"/>
      <c r="N490" s="214"/>
      <c r="O490" s="214"/>
      <c r="P490" s="214"/>
      <c r="Q490" s="214"/>
      <c r="R490" s="214"/>
      <c r="S490" s="214"/>
      <c r="T490" s="214"/>
      <c r="U490" s="214"/>
      <c r="V490" s="214"/>
      <c r="W490" s="214"/>
      <c r="X490" s="214"/>
      <c r="Y490" s="261"/>
      <c r="Z490" s="262"/>
      <c r="AA490" s="262"/>
      <c r="AB490" s="270"/>
      <c r="AC490" s="214"/>
      <c r="AD490" s="214"/>
      <c r="AE490" s="214"/>
      <c r="AF490" s="214"/>
      <c r="AG490" s="214"/>
      <c r="AH490" s="214"/>
      <c r="AI490" s="261"/>
      <c r="AJ490" s="214"/>
      <c r="AK490" s="261"/>
      <c r="AL490" s="261"/>
      <c r="AM490" s="264"/>
      <c r="AN490" s="214"/>
      <c r="AO490" s="271"/>
      <c r="AP490" s="271"/>
      <c r="AQ490" s="271"/>
      <c r="AR490" s="271"/>
      <c r="AS490" s="272"/>
      <c r="AT490" s="272"/>
      <c r="AU490" s="214"/>
      <c r="AV490" s="214"/>
    </row>
    <row r="491" ht="15.75" customHeight="1">
      <c r="A491" s="214"/>
      <c r="B491" s="261"/>
      <c r="C491" s="266"/>
      <c r="D491" s="267"/>
      <c r="E491" s="214"/>
      <c r="F491" s="214"/>
      <c r="G491" s="214"/>
      <c r="H491" s="214"/>
      <c r="I491" s="214"/>
      <c r="J491" s="214"/>
      <c r="K491" s="268"/>
      <c r="L491" s="214"/>
      <c r="M491" s="269"/>
      <c r="N491" s="214"/>
      <c r="O491" s="214"/>
      <c r="P491" s="214"/>
      <c r="Q491" s="214"/>
      <c r="R491" s="214"/>
      <c r="S491" s="214"/>
      <c r="T491" s="214"/>
      <c r="U491" s="214"/>
      <c r="V491" s="214"/>
      <c r="W491" s="214"/>
      <c r="X491" s="214"/>
      <c r="Y491" s="261"/>
      <c r="Z491" s="262"/>
      <c r="AA491" s="262"/>
      <c r="AB491" s="270"/>
      <c r="AC491" s="214"/>
      <c r="AD491" s="214"/>
      <c r="AE491" s="214"/>
      <c r="AF491" s="214"/>
      <c r="AG491" s="214"/>
      <c r="AH491" s="214"/>
      <c r="AI491" s="261"/>
      <c r="AJ491" s="214"/>
      <c r="AK491" s="261"/>
      <c r="AL491" s="261"/>
      <c r="AM491" s="264"/>
      <c r="AN491" s="214"/>
      <c r="AO491" s="271"/>
      <c r="AP491" s="271"/>
      <c r="AQ491" s="271"/>
      <c r="AR491" s="271"/>
      <c r="AS491" s="272"/>
      <c r="AT491" s="272"/>
      <c r="AU491" s="214"/>
      <c r="AV491" s="214"/>
    </row>
    <row r="492" ht="15.75" customHeight="1">
      <c r="A492" s="214"/>
      <c r="B492" s="261"/>
      <c r="C492" s="266"/>
      <c r="D492" s="267"/>
      <c r="E492" s="214"/>
      <c r="F492" s="214"/>
      <c r="G492" s="214"/>
      <c r="H492" s="214"/>
      <c r="I492" s="214"/>
      <c r="J492" s="214"/>
      <c r="K492" s="268"/>
      <c r="L492" s="214"/>
      <c r="M492" s="269"/>
      <c r="N492" s="214"/>
      <c r="O492" s="214"/>
      <c r="P492" s="214"/>
      <c r="Q492" s="214"/>
      <c r="R492" s="214"/>
      <c r="S492" s="214"/>
      <c r="T492" s="214"/>
      <c r="U492" s="214"/>
      <c r="V492" s="214"/>
      <c r="W492" s="214"/>
      <c r="X492" s="214"/>
      <c r="Y492" s="261"/>
      <c r="Z492" s="262"/>
      <c r="AA492" s="262"/>
      <c r="AB492" s="270"/>
      <c r="AC492" s="214"/>
      <c r="AD492" s="214"/>
      <c r="AE492" s="214"/>
      <c r="AF492" s="214"/>
      <c r="AG492" s="214"/>
      <c r="AH492" s="214"/>
      <c r="AI492" s="261"/>
      <c r="AJ492" s="214"/>
      <c r="AK492" s="261"/>
      <c r="AL492" s="261"/>
      <c r="AM492" s="264"/>
      <c r="AN492" s="214"/>
      <c r="AO492" s="271"/>
      <c r="AP492" s="271"/>
      <c r="AQ492" s="271"/>
      <c r="AR492" s="271"/>
      <c r="AS492" s="272"/>
      <c r="AT492" s="272"/>
      <c r="AU492" s="214"/>
      <c r="AV492" s="214"/>
    </row>
    <row r="493" ht="15.75" customHeight="1">
      <c r="A493" s="214"/>
      <c r="B493" s="261"/>
      <c r="C493" s="266"/>
      <c r="D493" s="267"/>
      <c r="E493" s="214"/>
      <c r="F493" s="214"/>
      <c r="G493" s="214"/>
      <c r="H493" s="214"/>
      <c r="I493" s="214"/>
      <c r="J493" s="214"/>
      <c r="K493" s="268"/>
      <c r="L493" s="214"/>
      <c r="M493" s="269"/>
      <c r="N493" s="214"/>
      <c r="O493" s="214"/>
      <c r="P493" s="214"/>
      <c r="Q493" s="214"/>
      <c r="R493" s="214"/>
      <c r="S493" s="214"/>
      <c r="T493" s="214"/>
      <c r="U493" s="214"/>
      <c r="V493" s="214"/>
      <c r="W493" s="214"/>
      <c r="X493" s="214"/>
      <c r="Y493" s="261"/>
      <c r="Z493" s="262"/>
      <c r="AA493" s="262"/>
      <c r="AB493" s="270"/>
      <c r="AC493" s="214"/>
      <c r="AD493" s="214"/>
      <c r="AE493" s="214"/>
      <c r="AF493" s="214"/>
      <c r="AG493" s="214"/>
      <c r="AH493" s="214"/>
      <c r="AI493" s="261"/>
      <c r="AJ493" s="214"/>
      <c r="AK493" s="261"/>
      <c r="AL493" s="261"/>
      <c r="AM493" s="264"/>
      <c r="AN493" s="214"/>
      <c r="AO493" s="271"/>
      <c r="AP493" s="271"/>
      <c r="AQ493" s="271"/>
      <c r="AR493" s="271"/>
      <c r="AS493" s="272"/>
      <c r="AT493" s="272"/>
      <c r="AU493" s="214"/>
      <c r="AV493" s="214"/>
    </row>
    <row r="494" ht="15.75" customHeight="1">
      <c r="A494" s="214"/>
      <c r="B494" s="261"/>
      <c r="C494" s="266"/>
      <c r="D494" s="267"/>
      <c r="E494" s="214"/>
      <c r="F494" s="214"/>
      <c r="G494" s="214"/>
      <c r="H494" s="214"/>
      <c r="I494" s="214"/>
      <c r="J494" s="214"/>
      <c r="K494" s="268"/>
      <c r="L494" s="214"/>
      <c r="M494" s="269"/>
      <c r="N494" s="214"/>
      <c r="O494" s="214"/>
      <c r="P494" s="214"/>
      <c r="Q494" s="214"/>
      <c r="R494" s="214"/>
      <c r="S494" s="214"/>
      <c r="T494" s="214"/>
      <c r="U494" s="214"/>
      <c r="V494" s="214"/>
      <c r="W494" s="214"/>
      <c r="X494" s="214"/>
      <c r="Y494" s="261"/>
      <c r="Z494" s="262"/>
      <c r="AA494" s="262"/>
      <c r="AB494" s="270"/>
      <c r="AC494" s="214"/>
      <c r="AD494" s="214"/>
      <c r="AE494" s="214"/>
      <c r="AF494" s="214"/>
      <c r="AG494" s="214"/>
      <c r="AH494" s="214"/>
      <c r="AI494" s="261"/>
      <c r="AJ494" s="214"/>
      <c r="AK494" s="261"/>
      <c r="AL494" s="261"/>
      <c r="AM494" s="264"/>
      <c r="AN494" s="214"/>
      <c r="AO494" s="271"/>
      <c r="AP494" s="271"/>
      <c r="AQ494" s="271"/>
      <c r="AR494" s="271"/>
      <c r="AS494" s="272"/>
      <c r="AT494" s="272"/>
      <c r="AU494" s="214"/>
      <c r="AV494" s="214"/>
    </row>
    <row r="495" ht="15.75" customHeight="1">
      <c r="A495" s="214"/>
      <c r="B495" s="261"/>
      <c r="C495" s="266"/>
      <c r="D495" s="267"/>
      <c r="E495" s="214"/>
      <c r="F495" s="214"/>
      <c r="G495" s="214"/>
      <c r="H495" s="214"/>
      <c r="I495" s="214"/>
      <c r="J495" s="214"/>
      <c r="K495" s="268"/>
      <c r="L495" s="214"/>
      <c r="M495" s="269"/>
      <c r="N495" s="214"/>
      <c r="O495" s="214"/>
      <c r="P495" s="214"/>
      <c r="Q495" s="214"/>
      <c r="R495" s="214"/>
      <c r="S495" s="214"/>
      <c r="T495" s="214"/>
      <c r="U495" s="214"/>
      <c r="V495" s="214"/>
      <c r="W495" s="214"/>
      <c r="X495" s="214"/>
      <c r="Y495" s="261"/>
      <c r="Z495" s="262"/>
      <c r="AA495" s="262"/>
      <c r="AB495" s="270"/>
      <c r="AC495" s="214"/>
      <c r="AD495" s="214"/>
      <c r="AE495" s="214"/>
      <c r="AF495" s="214"/>
      <c r="AG495" s="214"/>
      <c r="AH495" s="214"/>
      <c r="AI495" s="261"/>
      <c r="AJ495" s="214"/>
      <c r="AK495" s="261"/>
      <c r="AL495" s="261"/>
      <c r="AM495" s="264"/>
      <c r="AN495" s="214"/>
      <c r="AO495" s="271"/>
      <c r="AP495" s="271"/>
      <c r="AQ495" s="271"/>
      <c r="AR495" s="271"/>
      <c r="AS495" s="272"/>
      <c r="AT495" s="272"/>
      <c r="AU495" s="214"/>
      <c r="AV495" s="214"/>
    </row>
    <row r="496" ht="15.75" customHeight="1">
      <c r="A496" s="214"/>
      <c r="B496" s="261"/>
      <c r="C496" s="266"/>
      <c r="D496" s="267"/>
      <c r="E496" s="214"/>
      <c r="F496" s="214"/>
      <c r="G496" s="214"/>
      <c r="H496" s="214"/>
      <c r="I496" s="214"/>
      <c r="J496" s="214"/>
      <c r="K496" s="268"/>
      <c r="L496" s="214"/>
      <c r="M496" s="269"/>
      <c r="N496" s="214"/>
      <c r="O496" s="214"/>
      <c r="P496" s="214"/>
      <c r="Q496" s="214"/>
      <c r="R496" s="214"/>
      <c r="S496" s="214"/>
      <c r="T496" s="214"/>
      <c r="U496" s="214"/>
      <c r="V496" s="214"/>
      <c r="W496" s="214"/>
      <c r="X496" s="214"/>
      <c r="Y496" s="261"/>
      <c r="Z496" s="262"/>
      <c r="AA496" s="262"/>
      <c r="AB496" s="270"/>
      <c r="AC496" s="214"/>
      <c r="AD496" s="214"/>
      <c r="AE496" s="214"/>
      <c r="AF496" s="214"/>
      <c r="AG496" s="214"/>
      <c r="AH496" s="214"/>
      <c r="AI496" s="261"/>
      <c r="AJ496" s="214"/>
      <c r="AK496" s="261"/>
      <c r="AL496" s="261"/>
      <c r="AM496" s="264"/>
      <c r="AN496" s="214"/>
      <c r="AO496" s="271"/>
      <c r="AP496" s="271"/>
      <c r="AQ496" s="271"/>
      <c r="AR496" s="271"/>
      <c r="AS496" s="272"/>
      <c r="AT496" s="272"/>
      <c r="AU496" s="214"/>
      <c r="AV496" s="214"/>
    </row>
    <row r="497" ht="15.75" customHeight="1">
      <c r="A497" s="214"/>
      <c r="B497" s="261"/>
      <c r="C497" s="266"/>
      <c r="D497" s="267"/>
      <c r="E497" s="214"/>
      <c r="F497" s="214"/>
      <c r="G497" s="214"/>
      <c r="H497" s="214"/>
      <c r="I497" s="214"/>
      <c r="J497" s="214"/>
      <c r="K497" s="268"/>
      <c r="L497" s="214"/>
      <c r="M497" s="269"/>
      <c r="N497" s="214"/>
      <c r="O497" s="214"/>
      <c r="P497" s="214"/>
      <c r="Q497" s="214"/>
      <c r="R497" s="214"/>
      <c r="S497" s="214"/>
      <c r="T497" s="214"/>
      <c r="U497" s="214"/>
      <c r="V497" s="214"/>
      <c r="W497" s="214"/>
      <c r="X497" s="214"/>
      <c r="Y497" s="261"/>
      <c r="Z497" s="262"/>
      <c r="AA497" s="262"/>
      <c r="AB497" s="270"/>
      <c r="AC497" s="214"/>
      <c r="AD497" s="214"/>
      <c r="AE497" s="214"/>
      <c r="AF497" s="214"/>
      <c r="AG497" s="214"/>
      <c r="AH497" s="214"/>
      <c r="AI497" s="261"/>
      <c r="AJ497" s="214"/>
      <c r="AK497" s="261"/>
      <c r="AL497" s="261"/>
      <c r="AM497" s="264"/>
      <c r="AN497" s="214"/>
      <c r="AO497" s="271"/>
      <c r="AP497" s="271"/>
      <c r="AQ497" s="271"/>
      <c r="AR497" s="271"/>
      <c r="AS497" s="272"/>
      <c r="AT497" s="272"/>
      <c r="AU497" s="214"/>
      <c r="AV497" s="214"/>
    </row>
    <row r="498" ht="15.75" customHeight="1">
      <c r="A498" s="214"/>
      <c r="B498" s="261"/>
      <c r="C498" s="266"/>
      <c r="D498" s="267"/>
      <c r="E498" s="214"/>
      <c r="F498" s="214"/>
      <c r="G498" s="214"/>
      <c r="H498" s="214"/>
      <c r="I498" s="214"/>
      <c r="J498" s="214"/>
      <c r="K498" s="268"/>
      <c r="L498" s="214"/>
      <c r="M498" s="269"/>
      <c r="N498" s="214"/>
      <c r="O498" s="214"/>
      <c r="P498" s="214"/>
      <c r="Q498" s="214"/>
      <c r="R498" s="214"/>
      <c r="S498" s="214"/>
      <c r="T498" s="214"/>
      <c r="U498" s="214"/>
      <c r="V498" s="214"/>
      <c r="W498" s="214"/>
      <c r="X498" s="214"/>
      <c r="Y498" s="261"/>
      <c r="Z498" s="262"/>
      <c r="AA498" s="262"/>
      <c r="AB498" s="270"/>
      <c r="AC498" s="214"/>
      <c r="AD498" s="214"/>
      <c r="AE498" s="214"/>
      <c r="AF498" s="214"/>
      <c r="AG498" s="214"/>
      <c r="AH498" s="214"/>
      <c r="AI498" s="261"/>
      <c r="AJ498" s="214"/>
      <c r="AK498" s="261"/>
      <c r="AL498" s="261"/>
      <c r="AM498" s="264"/>
      <c r="AN498" s="214"/>
      <c r="AO498" s="271"/>
      <c r="AP498" s="271"/>
      <c r="AQ498" s="271"/>
      <c r="AR498" s="271"/>
      <c r="AS498" s="272"/>
      <c r="AT498" s="272"/>
      <c r="AU498" s="214"/>
      <c r="AV498" s="214"/>
    </row>
    <row r="499" ht="15.75" customHeight="1">
      <c r="A499" s="214"/>
      <c r="B499" s="261"/>
      <c r="C499" s="266"/>
      <c r="D499" s="267"/>
      <c r="E499" s="214"/>
      <c r="F499" s="214"/>
      <c r="G499" s="214"/>
      <c r="H499" s="214"/>
      <c r="I499" s="214"/>
      <c r="J499" s="214"/>
      <c r="K499" s="268"/>
      <c r="L499" s="214"/>
      <c r="M499" s="269"/>
      <c r="N499" s="214"/>
      <c r="O499" s="214"/>
      <c r="P499" s="214"/>
      <c r="Q499" s="214"/>
      <c r="R499" s="214"/>
      <c r="S499" s="214"/>
      <c r="T499" s="214"/>
      <c r="U499" s="214"/>
      <c r="V499" s="214"/>
      <c r="W499" s="214"/>
      <c r="X499" s="214"/>
      <c r="Y499" s="261"/>
      <c r="Z499" s="262"/>
      <c r="AA499" s="262"/>
      <c r="AB499" s="270"/>
      <c r="AC499" s="214"/>
      <c r="AD499" s="214"/>
      <c r="AE499" s="214"/>
      <c r="AF499" s="214"/>
      <c r="AG499" s="214"/>
      <c r="AH499" s="214"/>
      <c r="AI499" s="261"/>
      <c r="AJ499" s="214"/>
      <c r="AK499" s="261"/>
      <c r="AL499" s="261"/>
      <c r="AM499" s="264"/>
      <c r="AN499" s="214"/>
      <c r="AO499" s="271"/>
      <c r="AP499" s="271"/>
      <c r="AQ499" s="271"/>
      <c r="AR499" s="271"/>
      <c r="AS499" s="272"/>
      <c r="AT499" s="272"/>
      <c r="AU499" s="214"/>
      <c r="AV499" s="214"/>
    </row>
    <row r="500" ht="15.75" customHeight="1">
      <c r="A500" s="214"/>
      <c r="B500" s="261"/>
      <c r="C500" s="266"/>
      <c r="D500" s="267"/>
      <c r="E500" s="214"/>
      <c r="F500" s="214"/>
      <c r="G500" s="214"/>
      <c r="H500" s="214"/>
      <c r="I500" s="214"/>
      <c r="J500" s="214"/>
      <c r="K500" s="268"/>
      <c r="L500" s="214"/>
      <c r="M500" s="269"/>
      <c r="N500" s="214"/>
      <c r="O500" s="214"/>
      <c r="P500" s="214"/>
      <c r="Q500" s="214"/>
      <c r="R500" s="214"/>
      <c r="S500" s="214"/>
      <c r="T500" s="214"/>
      <c r="U500" s="214"/>
      <c r="V500" s="214"/>
      <c r="W500" s="214"/>
      <c r="X500" s="214"/>
      <c r="Y500" s="261"/>
      <c r="Z500" s="262"/>
      <c r="AA500" s="262"/>
      <c r="AB500" s="270"/>
      <c r="AC500" s="214"/>
      <c r="AD500" s="214"/>
      <c r="AE500" s="214"/>
      <c r="AF500" s="214"/>
      <c r="AG500" s="214"/>
      <c r="AH500" s="214"/>
      <c r="AI500" s="261"/>
      <c r="AJ500" s="214"/>
      <c r="AK500" s="261"/>
      <c r="AL500" s="261"/>
      <c r="AM500" s="264"/>
      <c r="AN500" s="214"/>
      <c r="AO500" s="271"/>
      <c r="AP500" s="271"/>
      <c r="AQ500" s="271"/>
      <c r="AR500" s="271"/>
      <c r="AS500" s="272"/>
      <c r="AT500" s="272"/>
      <c r="AU500" s="214"/>
      <c r="AV500" s="214"/>
    </row>
    <row r="501" ht="15.75" customHeight="1">
      <c r="A501" s="214"/>
      <c r="B501" s="261"/>
      <c r="C501" s="266"/>
      <c r="D501" s="267"/>
      <c r="E501" s="214"/>
      <c r="F501" s="214"/>
      <c r="G501" s="214"/>
      <c r="H501" s="214"/>
      <c r="I501" s="214"/>
      <c r="J501" s="214"/>
      <c r="K501" s="268"/>
      <c r="L501" s="214"/>
      <c r="M501" s="269"/>
      <c r="N501" s="214"/>
      <c r="O501" s="214"/>
      <c r="P501" s="214"/>
      <c r="Q501" s="214"/>
      <c r="R501" s="214"/>
      <c r="S501" s="214"/>
      <c r="T501" s="214"/>
      <c r="U501" s="214"/>
      <c r="V501" s="214"/>
      <c r="W501" s="214"/>
      <c r="X501" s="214"/>
      <c r="Y501" s="261"/>
      <c r="Z501" s="262"/>
      <c r="AA501" s="262"/>
      <c r="AB501" s="270"/>
      <c r="AC501" s="214"/>
      <c r="AD501" s="214"/>
      <c r="AE501" s="214"/>
      <c r="AF501" s="214"/>
      <c r="AG501" s="214"/>
      <c r="AH501" s="214"/>
      <c r="AI501" s="261"/>
      <c r="AJ501" s="214"/>
      <c r="AK501" s="261"/>
      <c r="AL501" s="261"/>
      <c r="AM501" s="264"/>
      <c r="AN501" s="214"/>
      <c r="AO501" s="271"/>
      <c r="AP501" s="271"/>
      <c r="AQ501" s="271"/>
      <c r="AR501" s="271"/>
      <c r="AS501" s="272"/>
      <c r="AT501" s="272"/>
      <c r="AU501" s="214"/>
      <c r="AV501" s="214"/>
    </row>
    <row r="502" ht="15.75" customHeight="1">
      <c r="A502" s="214"/>
      <c r="B502" s="261"/>
      <c r="C502" s="266"/>
      <c r="D502" s="267"/>
      <c r="E502" s="214"/>
      <c r="F502" s="214"/>
      <c r="G502" s="214"/>
      <c r="H502" s="214"/>
      <c r="I502" s="214"/>
      <c r="J502" s="214"/>
      <c r="K502" s="268"/>
      <c r="L502" s="214"/>
      <c r="M502" s="269"/>
      <c r="N502" s="214"/>
      <c r="O502" s="214"/>
      <c r="P502" s="214"/>
      <c r="Q502" s="214"/>
      <c r="R502" s="214"/>
      <c r="S502" s="214"/>
      <c r="T502" s="214"/>
      <c r="U502" s="214"/>
      <c r="V502" s="214"/>
      <c r="W502" s="214"/>
      <c r="X502" s="214"/>
      <c r="Y502" s="261"/>
      <c r="Z502" s="262"/>
      <c r="AA502" s="262"/>
      <c r="AB502" s="270"/>
      <c r="AC502" s="214"/>
      <c r="AD502" s="214"/>
      <c r="AE502" s="214"/>
      <c r="AF502" s="214"/>
      <c r="AG502" s="214"/>
      <c r="AH502" s="214"/>
      <c r="AI502" s="261"/>
      <c r="AJ502" s="214"/>
      <c r="AK502" s="261"/>
      <c r="AL502" s="261"/>
      <c r="AM502" s="264"/>
      <c r="AN502" s="214"/>
      <c r="AO502" s="271"/>
      <c r="AP502" s="271"/>
      <c r="AQ502" s="271"/>
      <c r="AR502" s="271"/>
      <c r="AS502" s="272"/>
      <c r="AT502" s="272"/>
      <c r="AU502" s="214"/>
      <c r="AV502" s="214"/>
    </row>
    <row r="503" ht="15.75" customHeight="1">
      <c r="A503" s="214"/>
      <c r="B503" s="261"/>
      <c r="C503" s="266"/>
      <c r="D503" s="267"/>
      <c r="E503" s="214"/>
      <c r="F503" s="214"/>
      <c r="G503" s="214"/>
      <c r="H503" s="214"/>
      <c r="I503" s="214"/>
      <c r="J503" s="214"/>
      <c r="K503" s="268"/>
      <c r="L503" s="214"/>
      <c r="M503" s="269"/>
      <c r="N503" s="214"/>
      <c r="O503" s="214"/>
      <c r="P503" s="214"/>
      <c r="Q503" s="214"/>
      <c r="R503" s="214"/>
      <c r="S503" s="214"/>
      <c r="T503" s="214"/>
      <c r="U503" s="214"/>
      <c r="V503" s="214"/>
      <c r="W503" s="214"/>
      <c r="X503" s="214"/>
      <c r="Y503" s="261"/>
      <c r="Z503" s="262"/>
      <c r="AA503" s="262"/>
      <c r="AB503" s="270"/>
      <c r="AC503" s="214"/>
      <c r="AD503" s="214"/>
      <c r="AE503" s="214"/>
      <c r="AF503" s="214"/>
      <c r="AG503" s="214"/>
      <c r="AH503" s="214"/>
      <c r="AI503" s="261"/>
      <c r="AJ503" s="214"/>
      <c r="AK503" s="261"/>
      <c r="AL503" s="261"/>
      <c r="AM503" s="264"/>
      <c r="AN503" s="214"/>
      <c r="AO503" s="271"/>
      <c r="AP503" s="271"/>
      <c r="AQ503" s="271"/>
      <c r="AR503" s="271"/>
      <c r="AS503" s="272"/>
      <c r="AT503" s="272"/>
      <c r="AU503" s="214"/>
      <c r="AV503" s="214"/>
    </row>
    <row r="504" ht="15.75" customHeight="1">
      <c r="A504" s="214"/>
      <c r="B504" s="261"/>
      <c r="C504" s="266"/>
      <c r="D504" s="267"/>
      <c r="E504" s="214"/>
      <c r="F504" s="214"/>
      <c r="G504" s="214"/>
      <c r="H504" s="214"/>
      <c r="I504" s="214"/>
      <c r="J504" s="214"/>
      <c r="K504" s="268"/>
      <c r="L504" s="214"/>
      <c r="M504" s="269"/>
      <c r="N504" s="214"/>
      <c r="O504" s="214"/>
      <c r="P504" s="214"/>
      <c r="Q504" s="214"/>
      <c r="R504" s="214"/>
      <c r="S504" s="214"/>
      <c r="T504" s="214"/>
      <c r="U504" s="214"/>
      <c r="V504" s="214"/>
      <c r="W504" s="214"/>
      <c r="X504" s="214"/>
      <c r="Y504" s="261"/>
      <c r="Z504" s="262"/>
      <c r="AA504" s="262"/>
      <c r="AB504" s="270"/>
      <c r="AC504" s="214"/>
      <c r="AD504" s="214"/>
      <c r="AE504" s="214"/>
      <c r="AF504" s="214"/>
      <c r="AG504" s="214"/>
      <c r="AH504" s="214"/>
      <c r="AI504" s="261"/>
      <c r="AJ504" s="214"/>
      <c r="AK504" s="261"/>
      <c r="AL504" s="261"/>
      <c r="AM504" s="264"/>
      <c r="AN504" s="214"/>
      <c r="AO504" s="271"/>
      <c r="AP504" s="271"/>
      <c r="AQ504" s="271"/>
      <c r="AR504" s="271"/>
      <c r="AS504" s="272"/>
      <c r="AT504" s="272"/>
      <c r="AU504" s="214"/>
      <c r="AV504" s="214"/>
    </row>
    <row r="505" ht="15.75" customHeight="1">
      <c r="A505" s="214"/>
      <c r="B505" s="261"/>
      <c r="C505" s="266"/>
      <c r="D505" s="267"/>
      <c r="E505" s="214"/>
      <c r="F505" s="214"/>
      <c r="G505" s="214"/>
      <c r="H505" s="214"/>
      <c r="I505" s="214"/>
      <c r="J505" s="214"/>
      <c r="K505" s="268"/>
      <c r="L505" s="214"/>
      <c r="M505" s="269"/>
      <c r="N505" s="214"/>
      <c r="O505" s="214"/>
      <c r="P505" s="214"/>
      <c r="Q505" s="214"/>
      <c r="R505" s="214"/>
      <c r="S505" s="214"/>
      <c r="T505" s="214"/>
      <c r="U505" s="214"/>
      <c r="V505" s="214"/>
      <c r="W505" s="214"/>
      <c r="X505" s="214"/>
      <c r="Y505" s="261"/>
      <c r="Z505" s="262"/>
      <c r="AA505" s="262"/>
      <c r="AB505" s="270"/>
      <c r="AC505" s="214"/>
      <c r="AD505" s="214"/>
      <c r="AE505" s="214"/>
      <c r="AF505" s="214"/>
      <c r="AG505" s="214"/>
      <c r="AH505" s="214"/>
      <c r="AI505" s="261"/>
      <c r="AJ505" s="214"/>
      <c r="AK505" s="261"/>
      <c r="AL505" s="261"/>
      <c r="AM505" s="264"/>
      <c r="AN505" s="214"/>
      <c r="AO505" s="271"/>
      <c r="AP505" s="271"/>
      <c r="AQ505" s="271"/>
      <c r="AR505" s="271"/>
      <c r="AS505" s="272"/>
      <c r="AT505" s="272"/>
      <c r="AU505" s="214"/>
      <c r="AV505" s="214"/>
    </row>
    <row r="506" ht="15.75" customHeight="1">
      <c r="A506" s="214"/>
      <c r="B506" s="261"/>
      <c r="C506" s="266"/>
      <c r="D506" s="267"/>
      <c r="E506" s="214"/>
      <c r="F506" s="214"/>
      <c r="G506" s="214"/>
      <c r="H506" s="214"/>
      <c r="I506" s="214"/>
      <c r="J506" s="214"/>
      <c r="K506" s="268"/>
      <c r="L506" s="214"/>
      <c r="M506" s="269"/>
      <c r="N506" s="214"/>
      <c r="O506" s="214"/>
      <c r="P506" s="214"/>
      <c r="Q506" s="214"/>
      <c r="R506" s="214"/>
      <c r="S506" s="214"/>
      <c r="T506" s="214"/>
      <c r="U506" s="214"/>
      <c r="V506" s="214"/>
      <c r="W506" s="214"/>
      <c r="X506" s="214"/>
      <c r="Y506" s="261"/>
      <c r="Z506" s="262"/>
      <c r="AA506" s="262"/>
      <c r="AB506" s="270"/>
      <c r="AC506" s="214"/>
      <c r="AD506" s="214"/>
      <c r="AE506" s="214"/>
      <c r="AF506" s="214"/>
      <c r="AG506" s="214"/>
      <c r="AH506" s="214"/>
      <c r="AI506" s="261"/>
      <c r="AJ506" s="214"/>
      <c r="AK506" s="261"/>
      <c r="AL506" s="261"/>
      <c r="AM506" s="264"/>
      <c r="AN506" s="214"/>
      <c r="AO506" s="271"/>
      <c r="AP506" s="271"/>
      <c r="AQ506" s="271"/>
      <c r="AR506" s="271"/>
      <c r="AS506" s="272"/>
      <c r="AT506" s="272"/>
      <c r="AU506" s="214"/>
      <c r="AV506" s="214"/>
    </row>
    <row r="507" ht="15.75" customHeight="1">
      <c r="A507" s="214"/>
      <c r="B507" s="261"/>
      <c r="C507" s="266"/>
      <c r="D507" s="267"/>
      <c r="E507" s="214"/>
      <c r="F507" s="214"/>
      <c r="G507" s="214"/>
      <c r="H507" s="214"/>
      <c r="I507" s="214"/>
      <c r="J507" s="214"/>
      <c r="K507" s="268"/>
      <c r="L507" s="214"/>
      <c r="M507" s="269"/>
      <c r="N507" s="214"/>
      <c r="O507" s="214"/>
      <c r="P507" s="214"/>
      <c r="Q507" s="214"/>
      <c r="R507" s="214"/>
      <c r="S507" s="214"/>
      <c r="T507" s="214"/>
      <c r="U507" s="214"/>
      <c r="V507" s="214"/>
      <c r="W507" s="214"/>
      <c r="X507" s="214"/>
      <c r="Y507" s="261"/>
      <c r="Z507" s="262"/>
      <c r="AA507" s="262"/>
      <c r="AB507" s="270"/>
      <c r="AC507" s="214"/>
      <c r="AD507" s="214"/>
      <c r="AE507" s="214"/>
      <c r="AF507" s="214"/>
      <c r="AG507" s="214"/>
      <c r="AH507" s="214"/>
      <c r="AI507" s="261"/>
      <c r="AJ507" s="214"/>
      <c r="AK507" s="261"/>
      <c r="AL507" s="261"/>
      <c r="AM507" s="264"/>
      <c r="AN507" s="214"/>
      <c r="AO507" s="271"/>
      <c r="AP507" s="271"/>
      <c r="AQ507" s="271"/>
      <c r="AR507" s="271"/>
      <c r="AS507" s="272"/>
      <c r="AT507" s="272"/>
      <c r="AU507" s="214"/>
      <c r="AV507" s="214"/>
    </row>
    <row r="508" ht="15.75" customHeight="1">
      <c r="A508" s="214"/>
      <c r="B508" s="261"/>
      <c r="C508" s="266"/>
      <c r="D508" s="267"/>
      <c r="E508" s="214"/>
      <c r="F508" s="214"/>
      <c r="G508" s="214"/>
      <c r="H508" s="214"/>
      <c r="I508" s="214"/>
      <c r="J508" s="214"/>
      <c r="K508" s="268"/>
      <c r="L508" s="214"/>
      <c r="M508" s="269"/>
      <c r="N508" s="214"/>
      <c r="O508" s="214"/>
      <c r="P508" s="214"/>
      <c r="Q508" s="214"/>
      <c r="R508" s="214"/>
      <c r="S508" s="214"/>
      <c r="T508" s="214"/>
      <c r="U508" s="214"/>
      <c r="V508" s="214"/>
      <c r="W508" s="214"/>
      <c r="X508" s="214"/>
      <c r="Y508" s="261"/>
      <c r="Z508" s="262"/>
      <c r="AA508" s="262"/>
      <c r="AB508" s="270"/>
      <c r="AC508" s="214"/>
      <c r="AD508" s="214"/>
      <c r="AE508" s="214"/>
      <c r="AF508" s="214"/>
      <c r="AG508" s="214"/>
      <c r="AH508" s="214"/>
      <c r="AI508" s="261"/>
      <c r="AJ508" s="214"/>
      <c r="AK508" s="261"/>
      <c r="AL508" s="261"/>
      <c r="AM508" s="264"/>
      <c r="AN508" s="214"/>
      <c r="AO508" s="271"/>
      <c r="AP508" s="271"/>
      <c r="AQ508" s="271"/>
      <c r="AR508" s="271"/>
      <c r="AS508" s="272"/>
      <c r="AT508" s="272"/>
      <c r="AU508" s="214"/>
      <c r="AV508" s="214"/>
    </row>
    <row r="509" ht="15.75" customHeight="1">
      <c r="A509" s="214"/>
      <c r="B509" s="261"/>
      <c r="C509" s="266"/>
      <c r="D509" s="267"/>
      <c r="E509" s="214"/>
      <c r="F509" s="214"/>
      <c r="G509" s="214"/>
      <c r="H509" s="214"/>
      <c r="I509" s="214"/>
      <c r="J509" s="214"/>
      <c r="K509" s="268"/>
      <c r="L509" s="214"/>
      <c r="M509" s="269"/>
      <c r="N509" s="214"/>
      <c r="O509" s="214"/>
      <c r="P509" s="214"/>
      <c r="Q509" s="214"/>
      <c r="R509" s="214"/>
      <c r="S509" s="214"/>
      <c r="T509" s="214"/>
      <c r="U509" s="214"/>
      <c r="V509" s="214"/>
      <c r="W509" s="214"/>
      <c r="X509" s="214"/>
      <c r="Y509" s="261"/>
      <c r="Z509" s="262"/>
      <c r="AA509" s="262"/>
      <c r="AB509" s="270"/>
      <c r="AC509" s="214"/>
      <c r="AD509" s="214"/>
      <c r="AE509" s="214"/>
      <c r="AF509" s="214"/>
      <c r="AG509" s="214"/>
      <c r="AH509" s="214"/>
      <c r="AI509" s="261"/>
      <c r="AJ509" s="214"/>
      <c r="AK509" s="261"/>
      <c r="AL509" s="261"/>
      <c r="AM509" s="264"/>
      <c r="AN509" s="214"/>
      <c r="AO509" s="271"/>
      <c r="AP509" s="271"/>
      <c r="AQ509" s="271"/>
      <c r="AR509" s="271"/>
      <c r="AS509" s="272"/>
      <c r="AT509" s="272"/>
      <c r="AU509" s="214"/>
      <c r="AV509" s="214"/>
    </row>
    <row r="510" ht="15.75" customHeight="1">
      <c r="A510" s="214"/>
      <c r="B510" s="261"/>
      <c r="C510" s="266"/>
      <c r="D510" s="267"/>
      <c r="E510" s="214"/>
      <c r="F510" s="214"/>
      <c r="G510" s="214"/>
      <c r="H510" s="214"/>
      <c r="I510" s="214"/>
      <c r="J510" s="214"/>
      <c r="K510" s="268"/>
      <c r="L510" s="214"/>
      <c r="M510" s="269"/>
      <c r="N510" s="214"/>
      <c r="O510" s="214"/>
      <c r="P510" s="214"/>
      <c r="Q510" s="214"/>
      <c r="R510" s="214"/>
      <c r="S510" s="214"/>
      <c r="T510" s="214"/>
      <c r="U510" s="214"/>
      <c r="V510" s="214"/>
      <c r="W510" s="214"/>
      <c r="X510" s="214"/>
      <c r="Y510" s="261"/>
      <c r="Z510" s="262"/>
      <c r="AA510" s="262"/>
      <c r="AB510" s="270"/>
      <c r="AC510" s="214"/>
      <c r="AD510" s="214"/>
      <c r="AE510" s="214"/>
      <c r="AF510" s="214"/>
      <c r="AG510" s="214"/>
      <c r="AH510" s="214"/>
      <c r="AI510" s="261"/>
      <c r="AJ510" s="214"/>
      <c r="AK510" s="261"/>
      <c r="AL510" s="261"/>
      <c r="AM510" s="264"/>
      <c r="AN510" s="214"/>
      <c r="AO510" s="271"/>
      <c r="AP510" s="271"/>
      <c r="AQ510" s="271"/>
      <c r="AR510" s="271"/>
      <c r="AS510" s="272"/>
      <c r="AT510" s="272"/>
      <c r="AU510" s="214"/>
      <c r="AV510" s="214"/>
    </row>
    <row r="511" ht="15.75" customHeight="1">
      <c r="A511" s="214"/>
      <c r="B511" s="261"/>
      <c r="C511" s="266"/>
      <c r="D511" s="267"/>
      <c r="E511" s="214"/>
      <c r="F511" s="214"/>
      <c r="G511" s="214"/>
      <c r="H511" s="214"/>
      <c r="I511" s="214"/>
      <c r="J511" s="214"/>
      <c r="K511" s="268"/>
      <c r="L511" s="214"/>
      <c r="M511" s="269"/>
      <c r="N511" s="214"/>
      <c r="O511" s="214"/>
      <c r="P511" s="214"/>
      <c r="Q511" s="214"/>
      <c r="R511" s="214"/>
      <c r="S511" s="214"/>
      <c r="T511" s="214"/>
      <c r="U511" s="214"/>
      <c r="V511" s="214"/>
      <c r="W511" s="214"/>
      <c r="X511" s="214"/>
      <c r="Y511" s="261"/>
      <c r="Z511" s="262"/>
      <c r="AA511" s="262"/>
      <c r="AB511" s="270"/>
      <c r="AC511" s="214"/>
      <c r="AD511" s="214"/>
      <c r="AE511" s="214"/>
      <c r="AF511" s="214"/>
      <c r="AG511" s="214"/>
      <c r="AH511" s="214"/>
      <c r="AI511" s="261"/>
      <c r="AJ511" s="214"/>
      <c r="AK511" s="261"/>
      <c r="AL511" s="261"/>
      <c r="AM511" s="264"/>
      <c r="AN511" s="214"/>
      <c r="AO511" s="271"/>
      <c r="AP511" s="271"/>
      <c r="AQ511" s="271"/>
      <c r="AR511" s="271"/>
      <c r="AS511" s="272"/>
      <c r="AT511" s="272"/>
      <c r="AU511" s="214"/>
      <c r="AV511" s="214"/>
    </row>
    <row r="512" ht="15.75" customHeight="1">
      <c r="A512" s="214"/>
      <c r="B512" s="261"/>
      <c r="C512" s="266"/>
      <c r="D512" s="267"/>
      <c r="E512" s="214"/>
      <c r="F512" s="214"/>
      <c r="G512" s="214"/>
      <c r="H512" s="214"/>
      <c r="I512" s="214"/>
      <c r="J512" s="214"/>
      <c r="K512" s="268"/>
      <c r="L512" s="214"/>
      <c r="M512" s="269"/>
      <c r="N512" s="214"/>
      <c r="O512" s="214"/>
      <c r="P512" s="214"/>
      <c r="Q512" s="214"/>
      <c r="R512" s="214"/>
      <c r="S512" s="214"/>
      <c r="T512" s="214"/>
      <c r="U512" s="214"/>
      <c r="V512" s="214"/>
      <c r="W512" s="214"/>
      <c r="X512" s="214"/>
      <c r="Y512" s="261"/>
      <c r="Z512" s="262"/>
      <c r="AA512" s="262"/>
      <c r="AB512" s="270"/>
      <c r="AC512" s="214"/>
      <c r="AD512" s="214"/>
      <c r="AE512" s="214"/>
      <c r="AF512" s="214"/>
      <c r="AG512" s="214"/>
      <c r="AH512" s="214"/>
      <c r="AI512" s="261"/>
      <c r="AJ512" s="214"/>
      <c r="AK512" s="261"/>
      <c r="AL512" s="261"/>
      <c r="AM512" s="264"/>
      <c r="AN512" s="214"/>
      <c r="AO512" s="271"/>
      <c r="AP512" s="271"/>
      <c r="AQ512" s="271"/>
      <c r="AR512" s="271"/>
      <c r="AS512" s="272"/>
      <c r="AT512" s="272"/>
      <c r="AU512" s="214"/>
      <c r="AV512" s="214"/>
    </row>
    <row r="513" ht="15.75" customHeight="1">
      <c r="A513" s="214"/>
      <c r="B513" s="261"/>
      <c r="C513" s="266"/>
      <c r="D513" s="267"/>
      <c r="E513" s="214"/>
      <c r="F513" s="214"/>
      <c r="G513" s="214"/>
      <c r="H513" s="214"/>
      <c r="I513" s="214"/>
      <c r="J513" s="214"/>
      <c r="K513" s="268"/>
      <c r="L513" s="214"/>
      <c r="M513" s="269"/>
      <c r="N513" s="214"/>
      <c r="O513" s="214"/>
      <c r="P513" s="214"/>
      <c r="Q513" s="214"/>
      <c r="R513" s="214"/>
      <c r="S513" s="214"/>
      <c r="T513" s="214"/>
      <c r="U513" s="214"/>
      <c r="V513" s="214"/>
      <c r="W513" s="214"/>
      <c r="X513" s="214"/>
      <c r="Y513" s="261"/>
      <c r="Z513" s="262"/>
      <c r="AA513" s="262"/>
      <c r="AB513" s="270"/>
      <c r="AC513" s="214"/>
      <c r="AD513" s="214"/>
      <c r="AE513" s="214"/>
      <c r="AF513" s="214"/>
      <c r="AG513" s="214"/>
      <c r="AH513" s="214"/>
      <c r="AI513" s="261"/>
      <c r="AJ513" s="214"/>
      <c r="AK513" s="261"/>
      <c r="AL513" s="261"/>
      <c r="AM513" s="264"/>
      <c r="AN513" s="214"/>
      <c r="AO513" s="271"/>
      <c r="AP513" s="271"/>
      <c r="AQ513" s="271"/>
      <c r="AR513" s="271"/>
      <c r="AS513" s="272"/>
      <c r="AT513" s="272"/>
      <c r="AU513" s="214"/>
      <c r="AV513" s="214"/>
    </row>
    <row r="514" ht="15.75" customHeight="1">
      <c r="A514" s="214"/>
      <c r="B514" s="261"/>
      <c r="C514" s="266"/>
      <c r="D514" s="267"/>
      <c r="E514" s="214"/>
      <c r="F514" s="214"/>
      <c r="G514" s="214"/>
      <c r="H514" s="214"/>
      <c r="I514" s="214"/>
      <c r="J514" s="214"/>
      <c r="K514" s="268"/>
      <c r="L514" s="214"/>
      <c r="M514" s="269"/>
      <c r="N514" s="214"/>
      <c r="O514" s="214"/>
      <c r="P514" s="214"/>
      <c r="Q514" s="214"/>
      <c r="R514" s="214"/>
      <c r="S514" s="214"/>
      <c r="T514" s="214"/>
      <c r="U514" s="214"/>
      <c r="V514" s="214"/>
      <c r="W514" s="214"/>
      <c r="X514" s="214"/>
      <c r="Y514" s="261"/>
      <c r="Z514" s="262"/>
      <c r="AA514" s="262"/>
      <c r="AB514" s="270"/>
      <c r="AC514" s="214"/>
      <c r="AD514" s="214"/>
      <c r="AE514" s="214"/>
      <c r="AF514" s="214"/>
      <c r="AG514" s="214"/>
      <c r="AH514" s="214"/>
      <c r="AI514" s="261"/>
      <c r="AJ514" s="214"/>
      <c r="AK514" s="261"/>
      <c r="AL514" s="261"/>
      <c r="AM514" s="264"/>
      <c r="AN514" s="214"/>
      <c r="AO514" s="271"/>
      <c r="AP514" s="271"/>
      <c r="AQ514" s="271"/>
      <c r="AR514" s="271"/>
      <c r="AS514" s="272"/>
      <c r="AT514" s="272"/>
      <c r="AU514" s="214"/>
      <c r="AV514" s="214"/>
    </row>
    <row r="515" ht="15.75" customHeight="1">
      <c r="A515" s="214"/>
      <c r="B515" s="261"/>
      <c r="C515" s="266"/>
      <c r="D515" s="267"/>
      <c r="E515" s="214"/>
      <c r="F515" s="214"/>
      <c r="G515" s="214"/>
      <c r="H515" s="214"/>
      <c r="I515" s="214"/>
      <c r="J515" s="214"/>
      <c r="K515" s="268"/>
      <c r="L515" s="214"/>
      <c r="M515" s="269"/>
      <c r="N515" s="214"/>
      <c r="O515" s="214"/>
      <c r="P515" s="214"/>
      <c r="Q515" s="214"/>
      <c r="R515" s="214"/>
      <c r="S515" s="214"/>
      <c r="T515" s="214"/>
      <c r="U515" s="214"/>
      <c r="V515" s="214"/>
      <c r="W515" s="214"/>
      <c r="X515" s="214"/>
      <c r="Y515" s="261"/>
      <c r="Z515" s="262"/>
      <c r="AA515" s="262"/>
      <c r="AB515" s="270"/>
      <c r="AC515" s="214"/>
      <c r="AD515" s="214"/>
      <c r="AE515" s="214"/>
      <c r="AF515" s="214"/>
      <c r="AG515" s="214"/>
      <c r="AH515" s="214"/>
      <c r="AI515" s="261"/>
      <c r="AJ515" s="214"/>
      <c r="AK515" s="261"/>
      <c r="AL515" s="261"/>
      <c r="AM515" s="264"/>
      <c r="AN515" s="214"/>
      <c r="AO515" s="271"/>
      <c r="AP515" s="271"/>
      <c r="AQ515" s="271"/>
      <c r="AR515" s="271"/>
      <c r="AS515" s="272"/>
      <c r="AT515" s="272"/>
      <c r="AU515" s="214"/>
      <c r="AV515" s="214"/>
    </row>
    <row r="516" ht="15.75" customHeight="1">
      <c r="A516" s="214"/>
      <c r="B516" s="261"/>
      <c r="C516" s="266"/>
      <c r="D516" s="267"/>
      <c r="E516" s="214"/>
      <c r="F516" s="214"/>
      <c r="G516" s="214"/>
      <c r="H516" s="214"/>
      <c r="I516" s="214"/>
      <c r="J516" s="214"/>
      <c r="K516" s="268"/>
      <c r="L516" s="214"/>
      <c r="M516" s="269"/>
      <c r="N516" s="214"/>
      <c r="O516" s="214"/>
      <c r="P516" s="214"/>
      <c r="Q516" s="214"/>
      <c r="R516" s="214"/>
      <c r="S516" s="214"/>
      <c r="T516" s="214"/>
      <c r="U516" s="214"/>
      <c r="V516" s="214"/>
      <c r="W516" s="214"/>
      <c r="X516" s="214"/>
      <c r="Y516" s="261"/>
      <c r="Z516" s="262"/>
      <c r="AA516" s="262"/>
      <c r="AB516" s="270"/>
      <c r="AC516" s="214"/>
      <c r="AD516" s="214"/>
      <c r="AE516" s="214"/>
      <c r="AF516" s="214"/>
      <c r="AG516" s="214"/>
      <c r="AH516" s="214"/>
      <c r="AI516" s="261"/>
      <c r="AJ516" s="214"/>
      <c r="AK516" s="261"/>
      <c r="AL516" s="261"/>
      <c r="AM516" s="264"/>
      <c r="AN516" s="214"/>
      <c r="AO516" s="271"/>
      <c r="AP516" s="271"/>
      <c r="AQ516" s="271"/>
      <c r="AR516" s="271"/>
      <c r="AS516" s="272"/>
      <c r="AT516" s="272"/>
      <c r="AU516" s="214"/>
      <c r="AV516" s="214"/>
    </row>
    <row r="517" ht="15.75" customHeight="1">
      <c r="A517" s="214"/>
      <c r="B517" s="261"/>
      <c r="C517" s="266"/>
      <c r="D517" s="267"/>
      <c r="E517" s="214"/>
      <c r="F517" s="214"/>
      <c r="G517" s="214"/>
      <c r="H517" s="214"/>
      <c r="I517" s="214"/>
      <c r="J517" s="214"/>
      <c r="K517" s="268"/>
      <c r="L517" s="214"/>
      <c r="M517" s="269"/>
      <c r="N517" s="214"/>
      <c r="O517" s="214"/>
      <c r="P517" s="214"/>
      <c r="Q517" s="214"/>
      <c r="R517" s="214"/>
      <c r="S517" s="214"/>
      <c r="T517" s="214"/>
      <c r="U517" s="214"/>
      <c r="V517" s="214"/>
      <c r="W517" s="214"/>
      <c r="X517" s="214"/>
      <c r="Y517" s="261"/>
      <c r="Z517" s="262"/>
      <c r="AA517" s="262"/>
      <c r="AB517" s="270"/>
      <c r="AC517" s="214"/>
      <c r="AD517" s="214"/>
      <c r="AE517" s="214"/>
      <c r="AF517" s="214"/>
      <c r="AG517" s="214"/>
      <c r="AH517" s="214"/>
      <c r="AI517" s="261"/>
      <c r="AJ517" s="214"/>
      <c r="AK517" s="261"/>
      <c r="AL517" s="261"/>
      <c r="AM517" s="264"/>
      <c r="AN517" s="214"/>
      <c r="AO517" s="271"/>
      <c r="AP517" s="271"/>
      <c r="AQ517" s="271"/>
      <c r="AR517" s="271"/>
      <c r="AS517" s="272"/>
      <c r="AT517" s="272"/>
      <c r="AU517" s="214"/>
      <c r="AV517" s="214"/>
    </row>
    <row r="518" ht="15.75" customHeight="1">
      <c r="A518" s="214"/>
      <c r="B518" s="261"/>
      <c r="C518" s="266"/>
      <c r="D518" s="267"/>
      <c r="E518" s="214"/>
      <c r="F518" s="214"/>
      <c r="G518" s="214"/>
      <c r="H518" s="214"/>
      <c r="I518" s="214"/>
      <c r="J518" s="214"/>
      <c r="K518" s="268"/>
      <c r="L518" s="214"/>
      <c r="M518" s="269"/>
      <c r="N518" s="214"/>
      <c r="O518" s="214"/>
      <c r="P518" s="214"/>
      <c r="Q518" s="214"/>
      <c r="R518" s="214"/>
      <c r="S518" s="214"/>
      <c r="T518" s="214"/>
      <c r="U518" s="214"/>
      <c r="V518" s="214"/>
      <c r="W518" s="214"/>
      <c r="X518" s="214"/>
      <c r="Y518" s="261"/>
      <c r="Z518" s="262"/>
      <c r="AA518" s="262"/>
      <c r="AB518" s="270"/>
      <c r="AC518" s="214"/>
      <c r="AD518" s="214"/>
      <c r="AE518" s="214"/>
      <c r="AF518" s="214"/>
      <c r="AG518" s="214"/>
      <c r="AH518" s="214"/>
      <c r="AI518" s="261"/>
      <c r="AJ518" s="214"/>
      <c r="AK518" s="261"/>
      <c r="AL518" s="261"/>
      <c r="AM518" s="264"/>
      <c r="AN518" s="214"/>
      <c r="AO518" s="271"/>
      <c r="AP518" s="271"/>
      <c r="AQ518" s="271"/>
      <c r="AR518" s="271"/>
      <c r="AS518" s="272"/>
      <c r="AT518" s="272"/>
      <c r="AU518" s="214"/>
      <c r="AV518" s="214"/>
    </row>
    <row r="519" ht="15.75" customHeight="1">
      <c r="A519" s="214"/>
      <c r="B519" s="261"/>
      <c r="C519" s="266"/>
      <c r="D519" s="267"/>
      <c r="E519" s="214"/>
      <c r="F519" s="214"/>
      <c r="G519" s="214"/>
      <c r="H519" s="214"/>
      <c r="I519" s="214"/>
      <c r="J519" s="214"/>
      <c r="K519" s="268"/>
      <c r="L519" s="214"/>
      <c r="M519" s="269"/>
      <c r="N519" s="214"/>
      <c r="O519" s="214"/>
      <c r="P519" s="214"/>
      <c r="Q519" s="214"/>
      <c r="R519" s="214"/>
      <c r="S519" s="214"/>
      <c r="T519" s="214"/>
      <c r="U519" s="214"/>
      <c r="V519" s="214"/>
      <c r="W519" s="214"/>
      <c r="X519" s="214"/>
      <c r="Y519" s="261"/>
      <c r="Z519" s="262"/>
      <c r="AA519" s="262"/>
      <c r="AB519" s="270"/>
      <c r="AC519" s="214"/>
      <c r="AD519" s="214"/>
      <c r="AE519" s="214"/>
      <c r="AF519" s="214"/>
      <c r="AG519" s="214"/>
      <c r="AH519" s="214"/>
      <c r="AI519" s="261"/>
      <c r="AJ519" s="214"/>
      <c r="AK519" s="261"/>
      <c r="AL519" s="261"/>
      <c r="AM519" s="264"/>
      <c r="AN519" s="214"/>
      <c r="AO519" s="271"/>
      <c r="AP519" s="271"/>
      <c r="AQ519" s="271"/>
      <c r="AR519" s="271"/>
      <c r="AS519" s="272"/>
      <c r="AT519" s="272"/>
      <c r="AU519" s="214"/>
      <c r="AV519" s="214"/>
    </row>
    <row r="520" ht="15.75" customHeight="1">
      <c r="A520" s="214"/>
      <c r="B520" s="261"/>
      <c r="C520" s="266"/>
      <c r="D520" s="267"/>
      <c r="E520" s="214"/>
      <c r="F520" s="214"/>
      <c r="G520" s="214"/>
      <c r="H520" s="214"/>
      <c r="I520" s="214"/>
      <c r="J520" s="214"/>
      <c r="K520" s="268"/>
      <c r="L520" s="214"/>
      <c r="M520" s="269"/>
      <c r="N520" s="214"/>
      <c r="O520" s="214"/>
      <c r="P520" s="214"/>
      <c r="Q520" s="214"/>
      <c r="R520" s="214"/>
      <c r="S520" s="214"/>
      <c r="T520" s="214"/>
      <c r="U520" s="214"/>
      <c r="V520" s="214"/>
      <c r="W520" s="214"/>
      <c r="X520" s="214"/>
      <c r="Y520" s="261"/>
      <c r="Z520" s="262"/>
      <c r="AA520" s="262"/>
      <c r="AB520" s="270"/>
      <c r="AC520" s="214"/>
      <c r="AD520" s="214"/>
      <c r="AE520" s="214"/>
      <c r="AF520" s="214"/>
      <c r="AG520" s="214"/>
      <c r="AH520" s="214"/>
      <c r="AI520" s="261"/>
      <c r="AJ520" s="214"/>
      <c r="AK520" s="261"/>
      <c r="AL520" s="261"/>
      <c r="AM520" s="264"/>
      <c r="AN520" s="214"/>
      <c r="AO520" s="271"/>
      <c r="AP520" s="271"/>
      <c r="AQ520" s="271"/>
      <c r="AR520" s="271"/>
      <c r="AS520" s="272"/>
      <c r="AT520" s="272"/>
      <c r="AU520" s="214"/>
      <c r="AV520" s="214"/>
    </row>
    <row r="521" ht="15.75" customHeight="1">
      <c r="A521" s="214"/>
      <c r="B521" s="261"/>
      <c r="C521" s="266"/>
      <c r="D521" s="267"/>
      <c r="E521" s="214"/>
      <c r="F521" s="214"/>
      <c r="G521" s="214"/>
      <c r="H521" s="214"/>
      <c r="I521" s="214"/>
      <c r="J521" s="214"/>
      <c r="K521" s="268"/>
      <c r="L521" s="214"/>
      <c r="M521" s="269"/>
      <c r="N521" s="214"/>
      <c r="O521" s="214"/>
      <c r="P521" s="214"/>
      <c r="Q521" s="214"/>
      <c r="R521" s="214"/>
      <c r="S521" s="214"/>
      <c r="T521" s="214"/>
      <c r="U521" s="214"/>
      <c r="V521" s="214"/>
      <c r="W521" s="214"/>
      <c r="X521" s="214"/>
      <c r="Y521" s="261"/>
      <c r="Z521" s="262"/>
      <c r="AA521" s="262"/>
      <c r="AB521" s="270"/>
      <c r="AC521" s="214"/>
      <c r="AD521" s="214"/>
      <c r="AE521" s="214"/>
      <c r="AF521" s="214"/>
      <c r="AG521" s="214"/>
      <c r="AH521" s="214"/>
      <c r="AI521" s="261"/>
      <c r="AJ521" s="214"/>
      <c r="AK521" s="261"/>
      <c r="AL521" s="261"/>
      <c r="AM521" s="264"/>
      <c r="AN521" s="214"/>
      <c r="AO521" s="271"/>
      <c r="AP521" s="271"/>
      <c r="AQ521" s="271"/>
      <c r="AR521" s="271"/>
      <c r="AS521" s="272"/>
      <c r="AT521" s="272"/>
      <c r="AU521" s="214"/>
      <c r="AV521" s="214"/>
    </row>
    <row r="522" ht="15.75" customHeight="1">
      <c r="A522" s="214"/>
      <c r="B522" s="261"/>
      <c r="C522" s="266"/>
      <c r="D522" s="267"/>
      <c r="E522" s="214"/>
      <c r="F522" s="214"/>
      <c r="G522" s="214"/>
      <c r="H522" s="214"/>
      <c r="I522" s="214"/>
      <c r="J522" s="214"/>
      <c r="K522" s="268"/>
      <c r="L522" s="214"/>
      <c r="M522" s="269"/>
      <c r="N522" s="214"/>
      <c r="O522" s="214"/>
      <c r="P522" s="214"/>
      <c r="Q522" s="214"/>
      <c r="R522" s="214"/>
      <c r="S522" s="214"/>
      <c r="T522" s="214"/>
      <c r="U522" s="214"/>
      <c r="V522" s="214"/>
      <c r="W522" s="214"/>
      <c r="X522" s="214"/>
      <c r="Y522" s="261"/>
      <c r="Z522" s="262"/>
      <c r="AA522" s="262"/>
      <c r="AB522" s="270"/>
      <c r="AC522" s="214"/>
      <c r="AD522" s="214"/>
      <c r="AE522" s="214"/>
      <c r="AF522" s="214"/>
      <c r="AG522" s="214"/>
      <c r="AH522" s="214"/>
      <c r="AI522" s="261"/>
      <c r="AJ522" s="214"/>
      <c r="AK522" s="261"/>
      <c r="AL522" s="261"/>
      <c r="AM522" s="264"/>
      <c r="AN522" s="214"/>
      <c r="AO522" s="271"/>
      <c r="AP522" s="271"/>
      <c r="AQ522" s="271"/>
      <c r="AR522" s="271"/>
      <c r="AS522" s="272"/>
      <c r="AT522" s="272"/>
      <c r="AU522" s="214"/>
      <c r="AV522" s="214"/>
    </row>
    <row r="523" ht="15.75" customHeight="1">
      <c r="A523" s="214"/>
      <c r="B523" s="261"/>
      <c r="C523" s="266"/>
      <c r="D523" s="267"/>
      <c r="E523" s="214"/>
      <c r="F523" s="214"/>
      <c r="G523" s="214"/>
      <c r="H523" s="214"/>
      <c r="I523" s="214"/>
      <c r="J523" s="214"/>
      <c r="K523" s="268"/>
      <c r="L523" s="214"/>
      <c r="M523" s="269"/>
      <c r="N523" s="214"/>
      <c r="O523" s="214"/>
      <c r="P523" s="214"/>
      <c r="Q523" s="214"/>
      <c r="R523" s="214"/>
      <c r="S523" s="214"/>
      <c r="T523" s="214"/>
      <c r="U523" s="214"/>
      <c r="V523" s="214"/>
      <c r="W523" s="214"/>
      <c r="X523" s="214"/>
      <c r="Y523" s="261"/>
      <c r="Z523" s="262"/>
      <c r="AA523" s="262"/>
      <c r="AB523" s="270"/>
      <c r="AC523" s="214"/>
      <c r="AD523" s="214"/>
      <c r="AE523" s="214"/>
      <c r="AF523" s="214"/>
      <c r="AG523" s="214"/>
      <c r="AH523" s="214"/>
      <c r="AI523" s="261"/>
      <c r="AJ523" s="214"/>
      <c r="AK523" s="261"/>
      <c r="AL523" s="261"/>
      <c r="AM523" s="264"/>
      <c r="AN523" s="214"/>
      <c r="AO523" s="271"/>
      <c r="AP523" s="271"/>
      <c r="AQ523" s="271"/>
      <c r="AR523" s="271"/>
      <c r="AS523" s="272"/>
      <c r="AT523" s="272"/>
      <c r="AU523" s="214"/>
      <c r="AV523" s="214"/>
    </row>
    <row r="524" ht="15.75" customHeight="1">
      <c r="A524" s="214"/>
      <c r="B524" s="261"/>
      <c r="C524" s="266"/>
      <c r="D524" s="267"/>
      <c r="E524" s="214"/>
      <c r="F524" s="214"/>
      <c r="G524" s="214"/>
      <c r="H524" s="214"/>
      <c r="I524" s="214"/>
      <c r="J524" s="214"/>
      <c r="K524" s="268"/>
      <c r="L524" s="214"/>
      <c r="M524" s="269"/>
      <c r="N524" s="214"/>
      <c r="O524" s="214"/>
      <c r="P524" s="214"/>
      <c r="Q524" s="214"/>
      <c r="R524" s="214"/>
      <c r="S524" s="214"/>
      <c r="T524" s="214"/>
      <c r="U524" s="214"/>
      <c r="V524" s="214"/>
      <c r="W524" s="214"/>
      <c r="X524" s="214"/>
      <c r="Y524" s="261"/>
      <c r="Z524" s="262"/>
      <c r="AA524" s="262"/>
      <c r="AB524" s="270"/>
      <c r="AC524" s="214"/>
      <c r="AD524" s="214"/>
      <c r="AE524" s="214"/>
      <c r="AF524" s="214"/>
      <c r="AG524" s="214"/>
      <c r="AH524" s="214"/>
      <c r="AI524" s="261"/>
      <c r="AJ524" s="214"/>
      <c r="AK524" s="261"/>
      <c r="AL524" s="261"/>
      <c r="AM524" s="264"/>
      <c r="AN524" s="214"/>
      <c r="AO524" s="271"/>
      <c r="AP524" s="271"/>
      <c r="AQ524" s="271"/>
      <c r="AR524" s="271"/>
      <c r="AS524" s="272"/>
      <c r="AT524" s="272"/>
      <c r="AU524" s="214"/>
      <c r="AV524" s="214"/>
    </row>
    <row r="525" ht="15.75" customHeight="1">
      <c r="A525" s="214"/>
      <c r="B525" s="261"/>
      <c r="C525" s="266"/>
      <c r="D525" s="267"/>
      <c r="E525" s="214"/>
      <c r="F525" s="214"/>
      <c r="G525" s="214"/>
      <c r="H525" s="214"/>
      <c r="I525" s="214"/>
      <c r="J525" s="214"/>
      <c r="K525" s="268"/>
      <c r="L525" s="214"/>
      <c r="M525" s="269"/>
      <c r="N525" s="214"/>
      <c r="O525" s="214"/>
      <c r="P525" s="214"/>
      <c r="Q525" s="214"/>
      <c r="R525" s="214"/>
      <c r="S525" s="214"/>
      <c r="T525" s="214"/>
      <c r="U525" s="214"/>
      <c r="V525" s="214"/>
      <c r="W525" s="214"/>
      <c r="X525" s="214"/>
      <c r="Y525" s="261"/>
      <c r="Z525" s="262"/>
      <c r="AA525" s="262"/>
      <c r="AB525" s="270"/>
      <c r="AC525" s="214"/>
      <c r="AD525" s="214"/>
      <c r="AE525" s="214"/>
      <c r="AF525" s="214"/>
      <c r="AG525" s="214"/>
      <c r="AH525" s="214"/>
      <c r="AI525" s="261"/>
      <c r="AJ525" s="214"/>
      <c r="AK525" s="261"/>
      <c r="AL525" s="261"/>
      <c r="AM525" s="264"/>
      <c r="AN525" s="214"/>
      <c r="AO525" s="271"/>
      <c r="AP525" s="271"/>
      <c r="AQ525" s="271"/>
      <c r="AR525" s="271"/>
      <c r="AS525" s="272"/>
      <c r="AT525" s="272"/>
      <c r="AU525" s="214"/>
      <c r="AV525" s="214"/>
    </row>
    <row r="526" ht="15.75" customHeight="1">
      <c r="A526" s="214"/>
      <c r="B526" s="261"/>
      <c r="C526" s="266"/>
      <c r="D526" s="267"/>
      <c r="E526" s="214"/>
      <c r="F526" s="214"/>
      <c r="G526" s="214"/>
      <c r="H526" s="214"/>
      <c r="I526" s="214"/>
      <c r="J526" s="214"/>
      <c r="K526" s="268"/>
      <c r="L526" s="214"/>
      <c r="M526" s="269"/>
      <c r="N526" s="214"/>
      <c r="O526" s="214"/>
      <c r="P526" s="214"/>
      <c r="Q526" s="214"/>
      <c r="R526" s="214"/>
      <c r="S526" s="214"/>
      <c r="T526" s="214"/>
      <c r="U526" s="214"/>
      <c r="V526" s="214"/>
      <c r="W526" s="214"/>
      <c r="X526" s="214"/>
      <c r="Y526" s="261"/>
      <c r="Z526" s="262"/>
      <c r="AA526" s="262"/>
      <c r="AB526" s="270"/>
      <c r="AC526" s="214"/>
      <c r="AD526" s="214"/>
      <c r="AE526" s="214"/>
      <c r="AF526" s="214"/>
      <c r="AG526" s="214"/>
      <c r="AH526" s="214"/>
      <c r="AI526" s="261"/>
      <c r="AJ526" s="214"/>
      <c r="AK526" s="261"/>
      <c r="AL526" s="261"/>
      <c r="AM526" s="264"/>
      <c r="AN526" s="214"/>
      <c r="AO526" s="271"/>
      <c r="AP526" s="271"/>
      <c r="AQ526" s="271"/>
      <c r="AR526" s="271"/>
      <c r="AS526" s="272"/>
      <c r="AT526" s="272"/>
      <c r="AU526" s="214"/>
      <c r="AV526" s="214"/>
    </row>
    <row r="527" ht="15.75" customHeight="1">
      <c r="A527" s="214"/>
      <c r="B527" s="261"/>
      <c r="C527" s="266"/>
      <c r="D527" s="267"/>
      <c r="E527" s="214"/>
      <c r="F527" s="214"/>
      <c r="G527" s="214"/>
      <c r="H527" s="214"/>
      <c r="I527" s="214"/>
      <c r="J527" s="214"/>
      <c r="K527" s="268"/>
      <c r="L527" s="214"/>
      <c r="M527" s="269"/>
      <c r="N527" s="214"/>
      <c r="O527" s="214"/>
      <c r="P527" s="214"/>
      <c r="Q527" s="214"/>
      <c r="R527" s="214"/>
      <c r="S527" s="214"/>
      <c r="T527" s="214"/>
      <c r="U527" s="214"/>
      <c r="V527" s="214"/>
      <c r="W527" s="214"/>
      <c r="X527" s="214"/>
      <c r="Y527" s="261"/>
      <c r="Z527" s="262"/>
      <c r="AA527" s="262"/>
      <c r="AB527" s="270"/>
      <c r="AC527" s="214"/>
      <c r="AD527" s="214"/>
      <c r="AE527" s="214"/>
      <c r="AF527" s="214"/>
      <c r="AG527" s="214"/>
      <c r="AH527" s="214"/>
      <c r="AI527" s="261"/>
      <c r="AJ527" s="214"/>
      <c r="AK527" s="261"/>
      <c r="AL527" s="261"/>
      <c r="AM527" s="264"/>
      <c r="AN527" s="214"/>
      <c r="AO527" s="271"/>
      <c r="AP527" s="271"/>
      <c r="AQ527" s="271"/>
      <c r="AR527" s="271"/>
      <c r="AS527" s="272"/>
      <c r="AT527" s="272"/>
      <c r="AU527" s="214"/>
      <c r="AV527" s="214"/>
    </row>
    <row r="528" ht="15.75" customHeight="1">
      <c r="A528" s="214"/>
      <c r="B528" s="261"/>
      <c r="C528" s="266"/>
      <c r="D528" s="267"/>
      <c r="E528" s="214"/>
      <c r="F528" s="214"/>
      <c r="G528" s="214"/>
      <c r="H528" s="214"/>
      <c r="I528" s="214"/>
      <c r="J528" s="214"/>
      <c r="K528" s="268"/>
      <c r="L528" s="214"/>
      <c r="M528" s="269"/>
      <c r="N528" s="214"/>
      <c r="O528" s="214"/>
      <c r="P528" s="214"/>
      <c r="Q528" s="214"/>
      <c r="R528" s="214"/>
      <c r="S528" s="214"/>
      <c r="T528" s="214"/>
      <c r="U528" s="214"/>
      <c r="V528" s="214"/>
      <c r="W528" s="214"/>
      <c r="X528" s="214"/>
      <c r="Y528" s="261"/>
      <c r="Z528" s="262"/>
      <c r="AA528" s="262"/>
      <c r="AB528" s="270"/>
      <c r="AC528" s="214"/>
      <c r="AD528" s="214"/>
      <c r="AE528" s="214"/>
      <c r="AF528" s="214"/>
      <c r="AG528" s="214"/>
      <c r="AH528" s="214"/>
      <c r="AI528" s="261"/>
      <c r="AJ528" s="214"/>
      <c r="AK528" s="261"/>
      <c r="AL528" s="261"/>
      <c r="AM528" s="264"/>
      <c r="AN528" s="214"/>
      <c r="AO528" s="271"/>
      <c r="AP528" s="271"/>
      <c r="AQ528" s="271"/>
      <c r="AR528" s="271"/>
      <c r="AS528" s="272"/>
      <c r="AT528" s="272"/>
      <c r="AU528" s="214"/>
      <c r="AV528" s="214"/>
    </row>
    <row r="529" ht="15.75" customHeight="1">
      <c r="A529" s="214"/>
      <c r="B529" s="261"/>
      <c r="C529" s="266"/>
      <c r="D529" s="267"/>
      <c r="E529" s="214"/>
      <c r="F529" s="214"/>
      <c r="G529" s="214"/>
      <c r="H529" s="214"/>
      <c r="I529" s="214"/>
      <c r="J529" s="214"/>
      <c r="K529" s="268"/>
      <c r="L529" s="214"/>
      <c r="M529" s="269"/>
      <c r="N529" s="214"/>
      <c r="O529" s="214"/>
      <c r="P529" s="214"/>
      <c r="Q529" s="214"/>
      <c r="R529" s="214"/>
      <c r="S529" s="214"/>
      <c r="T529" s="214"/>
      <c r="U529" s="214"/>
      <c r="V529" s="214"/>
      <c r="W529" s="214"/>
      <c r="X529" s="214"/>
      <c r="Y529" s="261"/>
      <c r="Z529" s="262"/>
      <c r="AA529" s="262"/>
      <c r="AB529" s="270"/>
      <c r="AC529" s="214"/>
      <c r="AD529" s="214"/>
      <c r="AE529" s="214"/>
      <c r="AF529" s="214"/>
      <c r="AG529" s="214"/>
      <c r="AH529" s="214"/>
      <c r="AI529" s="261"/>
      <c r="AJ529" s="214"/>
      <c r="AK529" s="261"/>
      <c r="AL529" s="261"/>
      <c r="AM529" s="264"/>
      <c r="AN529" s="214"/>
      <c r="AO529" s="271"/>
      <c r="AP529" s="271"/>
      <c r="AQ529" s="271"/>
      <c r="AR529" s="271"/>
      <c r="AS529" s="272"/>
      <c r="AT529" s="272"/>
      <c r="AU529" s="214"/>
      <c r="AV529" s="214"/>
    </row>
    <row r="530" ht="15.75" customHeight="1">
      <c r="A530" s="214"/>
      <c r="B530" s="261"/>
      <c r="C530" s="266"/>
      <c r="D530" s="267"/>
      <c r="E530" s="214"/>
      <c r="F530" s="214"/>
      <c r="G530" s="214"/>
      <c r="H530" s="214"/>
      <c r="I530" s="214"/>
      <c r="J530" s="214"/>
      <c r="K530" s="268"/>
      <c r="L530" s="214"/>
      <c r="M530" s="269"/>
      <c r="N530" s="214"/>
      <c r="O530" s="214"/>
      <c r="P530" s="214"/>
      <c r="Q530" s="214"/>
      <c r="R530" s="214"/>
      <c r="S530" s="214"/>
      <c r="T530" s="214"/>
      <c r="U530" s="214"/>
      <c r="V530" s="214"/>
      <c r="W530" s="214"/>
      <c r="X530" s="214"/>
      <c r="Y530" s="261"/>
      <c r="Z530" s="262"/>
      <c r="AA530" s="262"/>
      <c r="AB530" s="270"/>
      <c r="AC530" s="214"/>
      <c r="AD530" s="214"/>
      <c r="AE530" s="214"/>
      <c r="AF530" s="214"/>
      <c r="AG530" s="214"/>
      <c r="AH530" s="214"/>
      <c r="AI530" s="261"/>
      <c r="AJ530" s="214"/>
      <c r="AK530" s="261"/>
      <c r="AL530" s="261"/>
      <c r="AM530" s="264"/>
      <c r="AN530" s="214"/>
      <c r="AO530" s="271"/>
      <c r="AP530" s="271"/>
      <c r="AQ530" s="271"/>
      <c r="AR530" s="271"/>
      <c r="AS530" s="272"/>
      <c r="AT530" s="272"/>
      <c r="AU530" s="214"/>
      <c r="AV530" s="214"/>
    </row>
    <row r="531" ht="15.75" customHeight="1">
      <c r="A531" s="214"/>
      <c r="B531" s="261"/>
      <c r="C531" s="266"/>
      <c r="D531" s="267"/>
      <c r="E531" s="214"/>
      <c r="F531" s="214"/>
      <c r="G531" s="214"/>
      <c r="H531" s="214"/>
      <c r="I531" s="214"/>
      <c r="J531" s="214"/>
      <c r="K531" s="268"/>
      <c r="L531" s="214"/>
      <c r="M531" s="269"/>
      <c r="N531" s="214"/>
      <c r="O531" s="214"/>
      <c r="P531" s="214"/>
      <c r="Q531" s="214"/>
      <c r="R531" s="214"/>
      <c r="S531" s="214"/>
      <c r="T531" s="214"/>
      <c r="U531" s="214"/>
      <c r="V531" s="214"/>
      <c r="W531" s="214"/>
      <c r="X531" s="214"/>
      <c r="Y531" s="261"/>
      <c r="Z531" s="262"/>
      <c r="AA531" s="262"/>
      <c r="AB531" s="270"/>
      <c r="AC531" s="214"/>
      <c r="AD531" s="214"/>
      <c r="AE531" s="214"/>
      <c r="AF531" s="214"/>
      <c r="AG531" s="214"/>
      <c r="AH531" s="214"/>
      <c r="AI531" s="261"/>
      <c r="AJ531" s="214"/>
      <c r="AK531" s="261"/>
      <c r="AL531" s="261"/>
      <c r="AM531" s="264"/>
      <c r="AN531" s="214"/>
      <c r="AO531" s="271"/>
      <c r="AP531" s="271"/>
      <c r="AQ531" s="271"/>
      <c r="AR531" s="271"/>
      <c r="AS531" s="272"/>
      <c r="AT531" s="272"/>
      <c r="AU531" s="214"/>
      <c r="AV531" s="214"/>
    </row>
    <row r="532" ht="15.75" customHeight="1">
      <c r="A532" s="214"/>
      <c r="B532" s="261"/>
      <c r="C532" s="266"/>
      <c r="D532" s="267"/>
      <c r="E532" s="214"/>
      <c r="F532" s="214"/>
      <c r="G532" s="214"/>
      <c r="H532" s="214"/>
      <c r="I532" s="214"/>
      <c r="J532" s="214"/>
      <c r="K532" s="268"/>
      <c r="L532" s="214"/>
      <c r="M532" s="269"/>
      <c r="N532" s="214"/>
      <c r="O532" s="214"/>
      <c r="P532" s="214"/>
      <c r="Q532" s="214"/>
      <c r="R532" s="214"/>
      <c r="S532" s="214"/>
      <c r="T532" s="214"/>
      <c r="U532" s="214"/>
      <c r="V532" s="214"/>
      <c r="W532" s="214"/>
      <c r="X532" s="214"/>
      <c r="Y532" s="261"/>
      <c r="Z532" s="262"/>
      <c r="AA532" s="262"/>
      <c r="AB532" s="270"/>
      <c r="AC532" s="214"/>
      <c r="AD532" s="214"/>
      <c r="AE532" s="214"/>
      <c r="AF532" s="214"/>
      <c r="AG532" s="214"/>
      <c r="AH532" s="214"/>
      <c r="AI532" s="261"/>
      <c r="AJ532" s="214"/>
      <c r="AK532" s="261"/>
      <c r="AL532" s="261"/>
      <c r="AM532" s="264"/>
      <c r="AN532" s="214"/>
      <c r="AO532" s="271"/>
      <c r="AP532" s="271"/>
      <c r="AQ532" s="271"/>
      <c r="AR532" s="271"/>
      <c r="AS532" s="272"/>
      <c r="AT532" s="272"/>
      <c r="AU532" s="214"/>
      <c r="AV532" s="214"/>
    </row>
    <row r="533" ht="15.75" customHeight="1">
      <c r="A533" s="214"/>
      <c r="B533" s="261"/>
      <c r="C533" s="266"/>
      <c r="D533" s="267"/>
      <c r="E533" s="214"/>
      <c r="F533" s="214"/>
      <c r="G533" s="214"/>
      <c r="H533" s="214"/>
      <c r="I533" s="214"/>
      <c r="J533" s="214"/>
      <c r="K533" s="268"/>
      <c r="L533" s="214"/>
      <c r="M533" s="269"/>
      <c r="N533" s="214"/>
      <c r="O533" s="214"/>
      <c r="P533" s="214"/>
      <c r="Q533" s="214"/>
      <c r="R533" s="214"/>
      <c r="S533" s="214"/>
      <c r="T533" s="214"/>
      <c r="U533" s="214"/>
      <c r="V533" s="214"/>
      <c r="W533" s="214"/>
      <c r="X533" s="214"/>
      <c r="Y533" s="261"/>
      <c r="Z533" s="262"/>
      <c r="AA533" s="262"/>
      <c r="AB533" s="270"/>
      <c r="AC533" s="214"/>
      <c r="AD533" s="214"/>
      <c r="AE533" s="214"/>
      <c r="AF533" s="214"/>
      <c r="AG533" s="214"/>
      <c r="AH533" s="214"/>
      <c r="AI533" s="261"/>
      <c r="AJ533" s="214"/>
      <c r="AK533" s="261"/>
      <c r="AL533" s="261"/>
      <c r="AM533" s="264"/>
      <c r="AN533" s="214"/>
      <c r="AO533" s="271"/>
      <c r="AP533" s="271"/>
      <c r="AQ533" s="271"/>
      <c r="AR533" s="271"/>
      <c r="AS533" s="272"/>
      <c r="AT533" s="272"/>
      <c r="AU533" s="214"/>
      <c r="AV533" s="214"/>
    </row>
    <row r="534" ht="15.75" customHeight="1">
      <c r="A534" s="214"/>
      <c r="B534" s="261"/>
      <c r="C534" s="266"/>
      <c r="D534" s="267"/>
      <c r="E534" s="214"/>
      <c r="F534" s="214"/>
      <c r="G534" s="214"/>
      <c r="H534" s="214"/>
      <c r="I534" s="214"/>
      <c r="J534" s="214"/>
      <c r="K534" s="268"/>
      <c r="L534" s="214"/>
      <c r="M534" s="269"/>
      <c r="N534" s="214"/>
      <c r="O534" s="214"/>
      <c r="P534" s="214"/>
      <c r="Q534" s="214"/>
      <c r="R534" s="214"/>
      <c r="S534" s="214"/>
      <c r="T534" s="214"/>
      <c r="U534" s="214"/>
      <c r="V534" s="214"/>
      <c r="W534" s="214"/>
      <c r="X534" s="214"/>
      <c r="Y534" s="261"/>
      <c r="Z534" s="262"/>
      <c r="AA534" s="262"/>
      <c r="AB534" s="270"/>
      <c r="AC534" s="214"/>
      <c r="AD534" s="214"/>
      <c r="AE534" s="214"/>
      <c r="AF534" s="214"/>
      <c r="AG534" s="214"/>
      <c r="AH534" s="214"/>
      <c r="AI534" s="261"/>
      <c r="AJ534" s="214"/>
      <c r="AK534" s="261"/>
      <c r="AL534" s="261"/>
      <c r="AM534" s="264"/>
      <c r="AN534" s="214"/>
      <c r="AO534" s="271"/>
      <c r="AP534" s="271"/>
      <c r="AQ534" s="271"/>
      <c r="AR534" s="271"/>
      <c r="AS534" s="272"/>
      <c r="AT534" s="272"/>
      <c r="AU534" s="214"/>
      <c r="AV534" s="214"/>
    </row>
    <row r="535" ht="15.75" customHeight="1">
      <c r="A535" s="214"/>
      <c r="B535" s="261"/>
      <c r="C535" s="266"/>
      <c r="D535" s="267"/>
      <c r="E535" s="214"/>
      <c r="F535" s="214"/>
      <c r="G535" s="214"/>
      <c r="H535" s="214"/>
      <c r="I535" s="214"/>
      <c r="J535" s="214"/>
      <c r="K535" s="268"/>
      <c r="L535" s="214"/>
      <c r="M535" s="269"/>
      <c r="N535" s="214"/>
      <c r="O535" s="214"/>
      <c r="P535" s="214"/>
      <c r="Q535" s="214"/>
      <c r="R535" s="214"/>
      <c r="S535" s="214"/>
      <c r="T535" s="214"/>
      <c r="U535" s="214"/>
      <c r="V535" s="214"/>
      <c r="W535" s="214"/>
      <c r="X535" s="214"/>
      <c r="Y535" s="261"/>
      <c r="Z535" s="262"/>
      <c r="AA535" s="262"/>
      <c r="AB535" s="270"/>
      <c r="AC535" s="214"/>
      <c r="AD535" s="214"/>
      <c r="AE535" s="214"/>
      <c r="AF535" s="214"/>
      <c r="AG535" s="214"/>
      <c r="AH535" s="214"/>
      <c r="AI535" s="261"/>
      <c r="AJ535" s="214"/>
      <c r="AK535" s="261"/>
      <c r="AL535" s="261"/>
      <c r="AM535" s="264"/>
      <c r="AN535" s="214"/>
      <c r="AO535" s="271"/>
      <c r="AP535" s="271"/>
      <c r="AQ535" s="271"/>
      <c r="AR535" s="271"/>
      <c r="AS535" s="272"/>
      <c r="AT535" s="272"/>
      <c r="AU535" s="214"/>
      <c r="AV535" s="214"/>
    </row>
    <row r="536" ht="15.75" customHeight="1">
      <c r="A536" s="214"/>
      <c r="B536" s="261"/>
      <c r="C536" s="266"/>
      <c r="D536" s="267"/>
      <c r="E536" s="214"/>
      <c r="F536" s="214"/>
      <c r="G536" s="214"/>
      <c r="H536" s="214"/>
      <c r="I536" s="214"/>
      <c r="J536" s="214"/>
      <c r="K536" s="268"/>
      <c r="L536" s="214"/>
      <c r="M536" s="269"/>
      <c r="N536" s="214"/>
      <c r="O536" s="214"/>
      <c r="P536" s="214"/>
      <c r="Q536" s="214"/>
      <c r="R536" s="214"/>
      <c r="S536" s="214"/>
      <c r="T536" s="214"/>
      <c r="U536" s="214"/>
      <c r="V536" s="214"/>
      <c r="W536" s="214"/>
      <c r="X536" s="214"/>
      <c r="Y536" s="261"/>
      <c r="Z536" s="262"/>
      <c r="AA536" s="262"/>
      <c r="AB536" s="270"/>
      <c r="AC536" s="214"/>
      <c r="AD536" s="214"/>
      <c r="AE536" s="214"/>
      <c r="AF536" s="214"/>
      <c r="AG536" s="214"/>
      <c r="AH536" s="214"/>
      <c r="AI536" s="261"/>
      <c r="AJ536" s="214"/>
      <c r="AK536" s="261"/>
      <c r="AL536" s="261"/>
      <c r="AM536" s="264"/>
      <c r="AN536" s="214"/>
      <c r="AO536" s="271"/>
      <c r="AP536" s="271"/>
      <c r="AQ536" s="271"/>
      <c r="AR536" s="271"/>
      <c r="AS536" s="272"/>
      <c r="AT536" s="272"/>
      <c r="AU536" s="214"/>
      <c r="AV536" s="214"/>
    </row>
    <row r="537" ht="15.75" customHeight="1">
      <c r="A537" s="214"/>
      <c r="B537" s="261"/>
      <c r="C537" s="266"/>
      <c r="D537" s="267"/>
      <c r="E537" s="214"/>
      <c r="F537" s="214"/>
      <c r="G537" s="214"/>
      <c r="H537" s="214"/>
      <c r="I537" s="214"/>
      <c r="J537" s="214"/>
      <c r="K537" s="268"/>
      <c r="L537" s="214"/>
      <c r="M537" s="269"/>
      <c r="N537" s="214"/>
      <c r="O537" s="214"/>
      <c r="P537" s="214"/>
      <c r="Q537" s="214"/>
      <c r="R537" s="214"/>
      <c r="S537" s="214"/>
      <c r="T537" s="214"/>
      <c r="U537" s="214"/>
      <c r="V537" s="214"/>
      <c r="W537" s="214"/>
      <c r="X537" s="214"/>
      <c r="Y537" s="261"/>
      <c r="Z537" s="262"/>
      <c r="AA537" s="262"/>
      <c r="AB537" s="270"/>
      <c r="AC537" s="214"/>
      <c r="AD537" s="214"/>
      <c r="AE537" s="214"/>
      <c r="AF537" s="214"/>
      <c r="AG537" s="214"/>
      <c r="AH537" s="214"/>
      <c r="AI537" s="261"/>
      <c r="AJ537" s="214"/>
      <c r="AK537" s="261"/>
      <c r="AL537" s="261"/>
      <c r="AM537" s="264"/>
      <c r="AN537" s="214"/>
      <c r="AO537" s="271"/>
      <c r="AP537" s="271"/>
      <c r="AQ537" s="271"/>
      <c r="AR537" s="271"/>
      <c r="AS537" s="272"/>
      <c r="AT537" s="272"/>
      <c r="AU537" s="214"/>
      <c r="AV537" s="214"/>
    </row>
    <row r="538" ht="15.75" customHeight="1">
      <c r="A538" s="214"/>
      <c r="B538" s="261"/>
      <c r="C538" s="266"/>
      <c r="D538" s="267"/>
      <c r="E538" s="214"/>
      <c r="F538" s="214"/>
      <c r="G538" s="214"/>
      <c r="H538" s="214"/>
      <c r="I538" s="214"/>
      <c r="J538" s="214"/>
      <c r="K538" s="268"/>
      <c r="L538" s="214"/>
      <c r="M538" s="269"/>
      <c r="N538" s="214"/>
      <c r="O538" s="214"/>
      <c r="P538" s="214"/>
      <c r="Q538" s="214"/>
      <c r="R538" s="214"/>
      <c r="S538" s="214"/>
      <c r="T538" s="214"/>
      <c r="U538" s="214"/>
      <c r="V538" s="214"/>
      <c r="W538" s="214"/>
      <c r="X538" s="214"/>
      <c r="Y538" s="261"/>
      <c r="Z538" s="262"/>
      <c r="AA538" s="262"/>
      <c r="AB538" s="270"/>
      <c r="AC538" s="214"/>
      <c r="AD538" s="214"/>
      <c r="AE538" s="214"/>
      <c r="AF538" s="214"/>
      <c r="AG538" s="214"/>
      <c r="AH538" s="214"/>
      <c r="AI538" s="261"/>
      <c r="AJ538" s="214"/>
      <c r="AK538" s="261"/>
      <c r="AL538" s="261"/>
      <c r="AM538" s="264"/>
      <c r="AN538" s="214"/>
      <c r="AO538" s="271"/>
      <c r="AP538" s="271"/>
      <c r="AQ538" s="271"/>
      <c r="AR538" s="271"/>
      <c r="AS538" s="272"/>
      <c r="AT538" s="272"/>
      <c r="AU538" s="214"/>
      <c r="AV538" s="214"/>
    </row>
    <row r="539" ht="15.75" customHeight="1">
      <c r="A539" s="214"/>
      <c r="B539" s="261"/>
      <c r="C539" s="266"/>
      <c r="D539" s="267"/>
      <c r="E539" s="214"/>
      <c r="F539" s="214"/>
      <c r="G539" s="214"/>
      <c r="H539" s="214"/>
      <c r="I539" s="214"/>
      <c r="J539" s="214"/>
      <c r="K539" s="268"/>
      <c r="L539" s="214"/>
      <c r="M539" s="269"/>
      <c r="N539" s="214"/>
      <c r="O539" s="214"/>
      <c r="P539" s="214"/>
      <c r="Q539" s="214"/>
      <c r="R539" s="214"/>
      <c r="S539" s="214"/>
      <c r="T539" s="214"/>
      <c r="U539" s="214"/>
      <c r="V539" s="214"/>
      <c r="W539" s="214"/>
      <c r="X539" s="214"/>
      <c r="Y539" s="261"/>
      <c r="Z539" s="262"/>
      <c r="AA539" s="262"/>
      <c r="AB539" s="270"/>
      <c r="AC539" s="214"/>
      <c r="AD539" s="214"/>
      <c r="AE539" s="214"/>
      <c r="AF539" s="214"/>
      <c r="AG539" s="214"/>
      <c r="AH539" s="214"/>
      <c r="AI539" s="261"/>
      <c r="AJ539" s="214"/>
      <c r="AK539" s="261"/>
      <c r="AL539" s="261"/>
      <c r="AM539" s="264"/>
      <c r="AN539" s="214"/>
      <c r="AO539" s="271"/>
      <c r="AP539" s="271"/>
      <c r="AQ539" s="271"/>
      <c r="AR539" s="271"/>
      <c r="AS539" s="272"/>
      <c r="AT539" s="272"/>
      <c r="AU539" s="214"/>
      <c r="AV539" s="214"/>
    </row>
    <row r="540" ht="15.75" customHeight="1">
      <c r="A540" s="214"/>
      <c r="B540" s="261"/>
      <c r="C540" s="266"/>
      <c r="D540" s="267"/>
      <c r="E540" s="214"/>
      <c r="F540" s="214"/>
      <c r="G540" s="214"/>
      <c r="H540" s="214"/>
      <c r="I540" s="214"/>
      <c r="J540" s="214"/>
      <c r="K540" s="268"/>
      <c r="L540" s="214"/>
      <c r="M540" s="269"/>
      <c r="N540" s="214"/>
      <c r="O540" s="214"/>
      <c r="P540" s="214"/>
      <c r="Q540" s="214"/>
      <c r="R540" s="214"/>
      <c r="S540" s="214"/>
      <c r="T540" s="214"/>
      <c r="U540" s="214"/>
      <c r="V540" s="214"/>
      <c r="W540" s="214"/>
      <c r="X540" s="214"/>
      <c r="Y540" s="261"/>
      <c r="Z540" s="262"/>
      <c r="AA540" s="262"/>
      <c r="AB540" s="270"/>
      <c r="AC540" s="214"/>
      <c r="AD540" s="214"/>
      <c r="AE540" s="214"/>
      <c r="AF540" s="214"/>
      <c r="AG540" s="214"/>
      <c r="AH540" s="214"/>
      <c r="AI540" s="261"/>
      <c r="AJ540" s="214"/>
      <c r="AK540" s="261"/>
      <c r="AL540" s="261"/>
      <c r="AM540" s="264"/>
      <c r="AN540" s="214"/>
      <c r="AO540" s="271"/>
      <c r="AP540" s="271"/>
      <c r="AQ540" s="271"/>
      <c r="AR540" s="271"/>
      <c r="AS540" s="272"/>
      <c r="AT540" s="272"/>
      <c r="AU540" s="214"/>
      <c r="AV540" s="214"/>
    </row>
    <row r="541" ht="15.75" customHeight="1">
      <c r="A541" s="214"/>
      <c r="B541" s="261"/>
      <c r="C541" s="266"/>
      <c r="D541" s="267"/>
      <c r="E541" s="214"/>
      <c r="F541" s="214"/>
      <c r="G541" s="214"/>
      <c r="H541" s="214"/>
      <c r="I541" s="214"/>
      <c r="J541" s="214"/>
      <c r="K541" s="268"/>
      <c r="L541" s="214"/>
      <c r="M541" s="269"/>
      <c r="N541" s="214"/>
      <c r="O541" s="214"/>
      <c r="P541" s="214"/>
      <c r="Q541" s="214"/>
      <c r="R541" s="214"/>
      <c r="S541" s="214"/>
      <c r="T541" s="214"/>
      <c r="U541" s="214"/>
      <c r="V541" s="214"/>
      <c r="W541" s="214"/>
      <c r="X541" s="214"/>
      <c r="Y541" s="261"/>
      <c r="Z541" s="262"/>
      <c r="AA541" s="262"/>
      <c r="AB541" s="270"/>
      <c r="AC541" s="214"/>
      <c r="AD541" s="214"/>
      <c r="AE541" s="214"/>
      <c r="AF541" s="214"/>
      <c r="AG541" s="214"/>
      <c r="AH541" s="214"/>
      <c r="AI541" s="261"/>
      <c r="AJ541" s="214"/>
      <c r="AK541" s="261"/>
      <c r="AL541" s="261"/>
      <c r="AM541" s="264"/>
      <c r="AN541" s="214"/>
      <c r="AO541" s="271"/>
      <c r="AP541" s="271"/>
      <c r="AQ541" s="271"/>
      <c r="AR541" s="271"/>
      <c r="AS541" s="272"/>
      <c r="AT541" s="272"/>
      <c r="AU541" s="214"/>
      <c r="AV541" s="214"/>
    </row>
    <row r="542" ht="15.75" customHeight="1">
      <c r="A542" s="214"/>
      <c r="B542" s="261"/>
      <c r="C542" s="266"/>
      <c r="D542" s="267"/>
      <c r="E542" s="214"/>
      <c r="F542" s="214"/>
      <c r="G542" s="214"/>
      <c r="H542" s="214"/>
      <c r="I542" s="214"/>
      <c r="J542" s="214"/>
      <c r="K542" s="268"/>
      <c r="L542" s="214"/>
      <c r="M542" s="269"/>
      <c r="N542" s="214"/>
      <c r="O542" s="214"/>
      <c r="P542" s="214"/>
      <c r="Q542" s="214"/>
      <c r="R542" s="214"/>
      <c r="S542" s="214"/>
      <c r="T542" s="214"/>
      <c r="U542" s="214"/>
      <c r="V542" s="214"/>
      <c r="W542" s="214"/>
      <c r="X542" s="214"/>
      <c r="Y542" s="261"/>
      <c r="Z542" s="262"/>
      <c r="AA542" s="262"/>
      <c r="AB542" s="270"/>
      <c r="AC542" s="214"/>
      <c r="AD542" s="214"/>
      <c r="AE542" s="214"/>
      <c r="AF542" s="214"/>
      <c r="AG542" s="214"/>
      <c r="AH542" s="214"/>
      <c r="AI542" s="261"/>
      <c r="AJ542" s="214"/>
      <c r="AK542" s="261"/>
      <c r="AL542" s="261"/>
      <c r="AM542" s="264"/>
      <c r="AN542" s="214"/>
      <c r="AO542" s="271"/>
      <c r="AP542" s="271"/>
      <c r="AQ542" s="271"/>
      <c r="AR542" s="271"/>
      <c r="AS542" s="272"/>
      <c r="AT542" s="272"/>
      <c r="AU542" s="214"/>
      <c r="AV542" s="214"/>
    </row>
    <row r="543" ht="15.75" customHeight="1">
      <c r="A543" s="214"/>
      <c r="B543" s="261"/>
      <c r="C543" s="266"/>
      <c r="D543" s="267"/>
      <c r="E543" s="214"/>
      <c r="F543" s="214"/>
      <c r="G543" s="214"/>
      <c r="H543" s="214"/>
      <c r="I543" s="214"/>
      <c r="J543" s="214"/>
      <c r="K543" s="268"/>
      <c r="L543" s="214"/>
      <c r="M543" s="269"/>
      <c r="N543" s="214"/>
      <c r="O543" s="214"/>
      <c r="P543" s="214"/>
      <c r="Q543" s="214"/>
      <c r="R543" s="214"/>
      <c r="S543" s="214"/>
      <c r="T543" s="214"/>
      <c r="U543" s="214"/>
      <c r="V543" s="214"/>
      <c r="W543" s="214"/>
      <c r="X543" s="214"/>
      <c r="Y543" s="261"/>
      <c r="Z543" s="262"/>
      <c r="AA543" s="262"/>
      <c r="AB543" s="270"/>
      <c r="AC543" s="214"/>
      <c r="AD543" s="214"/>
      <c r="AE543" s="214"/>
      <c r="AF543" s="214"/>
      <c r="AG543" s="214"/>
      <c r="AH543" s="214"/>
      <c r="AI543" s="261"/>
      <c r="AJ543" s="214"/>
      <c r="AK543" s="261"/>
      <c r="AL543" s="261"/>
      <c r="AM543" s="264"/>
      <c r="AN543" s="214"/>
      <c r="AO543" s="271"/>
      <c r="AP543" s="271"/>
      <c r="AQ543" s="271"/>
      <c r="AR543" s="271"/>
      <c r="AS543" s="272"/>
      <c r="AT543" s="272"/>
      <c r="AU543" s="214"/>
      <c r="AV543" s="214"/>
    </row>
    <row r="544" ht="15.75" customHeight="1">
      <c r="A544" s="214"/>
      <c r="B544" s="261"/>
      <c r="C544" s="266"/>
      <c r="D544" s="267"/>
      <c r="E544" s="214"/>
      <c r="F544" s="214"/>
      <c r="G544" s="214"/>
      <c r="H544" s="214"/>
      <c r="I544" s="214"/>
      <c r="J544" s="214"/>
      <c r="K544" s="268"/>
      <c r="L544" s="214"/>
      <c r="M544" s="269"/>
      <c r="N544" s="214"/>
      <c r="O544" s="214"/>
      <c r="P544" s="214"/>
      <c r="Q544" s="214"/>
      <c r="R544" s="214"/>
      <c r="S544" s="214"/>
      <c r="T544" s="214"/>
      <c r="U544" s="214"/>
      <c r="V544" s="214"/>
      <c r="W544" s="214"/>
      <c r="X544" s="214"/>
      <c r="Y544" s="261"/>
      <c r="Z544" s="262"/>
      <c r="AA544" s="262"/>
      <c r="AB544" s="270"/>
      <c r="AC544" s="214"/>
      <c r="AD544" s="214"/>
      <c r="AE544" s="214"/>
      <c r="AF544" s="214"/>
      <c r="AG544" s="214"/>
      <c r="AH544" s="214"/>
      <c r="AI544" s="261"/>
      <c r="AJ544" s="214"/>
      <c r="AK544" s="261"/>
      <c r="AL544" s="261"/>
      <c r="AM544" s="264"/>
      <c r="AN544" s="214"/>
      <c r="AO544" s="271"/>
      <c r="AP544" s="271"/>
      <c r="AQ544" s="271"/>
      <c r="AR544" s="271"/>
      <c r="AS544" s="272"/>
      <c r="AT544" s="272"/>
      <c r="AU544" s="214"/>
      <c r="AV544" s="214"/>
    </row>
    <row r="545" ht="15.75" customHeight="1">
      <c r="A545" s="214"/>
      <c r="B545" s="261"/>
      <c r="C545" s="266"/>
      <c r="D545" s="267"/>
      <c r="E545" s="214"/>
      <c r="F545" s="214"/>
      <c r="G545" s="214"/>
      <c r="H545" s="214"/>
      <c r="I545" s="214"/>
      <c r="J545" s="214"/>
      <c r="K545" s="268"/>
      <c r="L545" s="214"/>
      <c r="M545" s="269"/>
      <c r="N545" s="214"/>
      <c r="O545" s="214"/>
      <c r="P545" s="214"/>
      <c r="Q545" s="214"/>
      <c r="R545" s="214"/>
      <c r="S545" s="214"/>
      <c r="T545" s="214"/>
      <c r="U545" s="214"/>
      <c r="V545" s="214"/>
      <c r="W545" s="214"/>
      <c r="X545" s="214"/>
      <c r="Y545" s="261"/>
      <c r="Z545" s="262"/>
      <c r="AA545" s="262"/>
      <c r="AB545" s="270"/>
      <c r="AC545" s="214"/>
      <c r="AD545" s="214"/>
      <c r="AE545" s="214"/>
      <c r="AF545" s="214"/>
      <c r="AG545" s="214"/>
      <c r="AH545" s="214"/>
      <c r="AI545" s="261"/>
      <c r="AJ545" s="214"/>
      <c r="AK545" s="261"/>
      <c r="AL545" s="261"/>
      <c r="AM545" s="264"/>
      <c r="AN545" s="214"/>
      <c r="AO545" s="271"/>
      <c r="AP545" s="271"/>
      <c r="AQ545" s="271"/>
      <c r="AR545" s="271"/>
      <c r="AS545" s="272"/>
      <c r="AT545" s="272"/>
      <c r="AU545" s="214"/>
      <c r="AV545" s="214"/>
    </row>
    <row r="546" ht="15.75" customHeight="1">
      <c r="A546" s="214"/>
      <c r="B546" s="261"/>
      <c r="C546" s="266"/>
      <c r="D546" s="267"/>
      <c r="E546" s="214"/>
      <c r="F546" s="214"/>
      <c r="G546" s="214"/>
      <c r="H546" s="214"/>
      <c r="I546" s="214"/>
      <c r="J546" s="214"/>
      <c r="K546" s="268"/>
      <c r="L546" s="214"/>
      <c r="M546" s="269"/>
      <c r="N546" s="214"/>
      <c r="O546" s="214"/>
      <c r="P546" s="214"/>
      <c r="Q546" s="214"/>
      <c r="R546" s="214"/>
      <c r="S546" s="214"/>
      <c r="T546" s="214"/>
      <c r="U546" s="214"/>
      <c r="V546" s="214"/>
      <c r="W546" s="214"/>
      <c r="X546" s="214"/>
      <c r="Y546" s="261"/>
      <c r="Z546" s="262"/>
      <c r="AA546" s="262"/>
      <c r="AB546" s="270"/>
      <c r="AC546" s="214"/>
      <c r="AD546" s="214"/>
      <c r="AE546" s="214"/>
      <c r="AF546" s="214"/>
      <c r="AG546" s="214"/>
      <c r="AH546" s="214"/>
      <c r="AI546" s="261"/>
      <c r="AJ546" s="214"/>
      <c r="AK546" s="261"/>
      <c r="AL546" s="261"/>
      <c r="AM546" s="264"/>
      <c r="AN546" s="214"/>
      <c r="AO546" s="271"/>
      <c r="AP546" s="271"/>
      <c r="AQ546" s="271"/>
      <c r="AR546" s="271"/>
      <c r="AS546" s="272"/>
      <c r="AT546" s="272"/>
      <c r="AU546" s="214"/>
      <c r="AV546" s="214"/>
    </row>
    <row r="547" ht="15.75" customHeight="1">
      <c r="A547" s="214"/>
      <c r="B547" s="261"/>
      <c r="C547" s="266"/>
      <c r="D547" s="267"/>
      <c r="E547" s="214"/>
      <c r="F547" s="214"/>
      <c r="G547" s="214"/>
      <c r="H547" s="214"/>
      <c r="I547" s="214"/>
      <c r="J547" s="214"/>
      <c r="K547" s="268"/>
      <c r="L547" s="214"/>
      <c r="M547" s="269"/>
      <c r="N547" s="214"/>
      <c r="O547" s="214"/>
      <c r="P547" s="214"/>
      <c r="Q547" s="214"/>
      <c r="R547" s="214"/>
      <c r="S547" s="214"/>
      <c r="T547" s="214"/>
      <c r="U547" s="214"/>
      <c r="V547" s="214"/>
      <c r="W547" s="214"/>
      <c r="X547" s="214"/>
      <c r="Y547" s="261"/>
      <c r="Z547" s="262"/>
      <c r="AA547" s="262"/>
      <c r="AB547" s="270"/>
      <c r="AC547" s="214"/>
      <c r="AD547" s="214"/>
      <c r="AE547" s="214"/>
      <c r="AF547" s="214"/>
      <c r="AG547" s="214"/>
      <c r="AH547" s="214"/>
      <c r="AI547" s="261"/>
      <c r="AJ547" s="214"/>
      <c r="AK547" s="261"/>
      <c r="AL547" s="261"/>
      <c r="AM547" s="264"/>
      <c r="AN547" s="214"/>
      <c r="AO547" s="271"/>
      <c r="AP547" s="271"/>
      <c r="AQ547" s="271"/>
      <c r="AR547" s="271"/>
      <c r="AS547" s="272"/>
      <c r="AT547" s="272"/>
      <c r="AU547" s="214"/>
      <c r="AV547" s="214"/>
    </row>
    <row r="548" ht="15.75" customHeight="1">
      <c r="A548" s="214"/>
      <c r="B548" s="261"/>
      <c r="C548" s="266"/>
      <c r="D548" s="267"/>
      <c r="E548" s="214"/>
      <c r="F548" s="214"/>
      <c r="G548" s="214"/>
      <c r="H548" s="214"/>
      <c r="I548" s="214"/>
      <c r="J548" s="214"/>
      <c r="K548" s="268"/>
      <c r="L548" s="214"/>
      <c r="M548" s="269"/>
      <c r="N548" s="214"/>
      <c r="O548" s="214"/>
      <c r="P548" s="214"/>
      <c r="Q548" s="214"/>
      <c r="R548" s="214"/>
      <c r="S548" s="214"/>
      <c r="T548" s="214"/>
      <c r="U548" s="214"/>
      <c r="V548" s="214"/>
      <c r="W548" s="214"/>
      <c r="X548" s="214"/>
      <c r="Y548" s="261"/>
      <c r="Z548" s="262"/>
      <c r="AA548" s="262"/>
      <c r="AB548" s="270"/>
      <c r="AC548" s="214"/>
      <c r="AD548" s="214"/>
      <c r="AE548" s="214"/>
      <c r="AF548" s="214"/>
      <c r="AG548" s="214"/>
      <c r="AH548" s="214"/>
      <c r="AI548" s="261"/>
      <c r="AJ548" s="214"/>
      <c r="AK548" s="261"/>
      <c r="AL548" s="261"/>
      <c r="AM548" s="264"/>
      <c r="AN548" s="214"/>
      <c r="AO548" s="271"/>
      <c r="AP548" s="271"/>
      <c r="AQ548" s="271"/>
      <c r="AR548" s="271"/>
      <c r="AS548" s="272"/>
      <c r="AT548" s="272"/>
      <c r="AU548" s="214"/>
      <c r="AV548" s="214"/>
    </row>
    <row r="549" ht="15.75" customHeight="1">
      <c r="A549" s="214"/>
      <c r="B549" s="261"/>
      <c r="C549" s="266"/>
      <c r="D549" s="267"/>
      <c r="E549" s="214"/>
      <c r="F549" s="214"/>
      <c r="G549" s="214"/>
      <c r="H549" s="214"/>
      <c r="I549" s="214"/>
      <c r="J549" s="214"/>
      <c r="K549" s="268"/>
      <c r="L549" s="214"/>
      <c r="M549" s="269"/>
      <c r="N549" s="214"/>
      <c r="O549" s="214"/>
      <c r="P549" s="214"/>
      <c r="Q549" s="214"/>
      <c r="R549" s="214"/>
      <c r="S549" s="214"/>
      <c r="T549" s="214"/>
      <c r="U549" s="214"/>
      <c r="V549" s="214"/>
      <c r="W549" s="214"/>
      <c r="X549" s="214"/>
      <c r="Y549" s="261"/>
      <c r="Z549" s="262"/>
      <c r="AA549" s="262"/>
      <c r="AB549" s="270"/>
      <c r="AC549" s="214"/>
      <c r="AD549" s="214"/>
      <c r="AE549" s="214"/>
      <c r="AF549" s="214"/>
      <c r="AG549" s="214"/>
      <c r="AH549" s="214"/>
      <c r="AI549" s="261"/>
      <c r="AJ549" s="214"/>
      <c r="AK549" s="261"/>
      <c r="AL549" s="261"/>
      <c r="AM549" s="264"/>
      <c r="AN549" s="214"/>
      <c r="AO549" s="271"/>
      <c r="AP549" s="271"/>
      <c r="AQ549" s="271"/>
      <c r="AR549" s="271"/>
      <c r="AS549" s="272"/>
      <c r="AT549" s="272"/>
      <c r="AU549" s="214"/>
      <c r="AV549" s="214"/>
    </row>
    <row r="550" ht="15.75" customHeight="1">
      <c r="A550" s="214"/>
      <c r="B550" s="261"/>
      <c r="C550" s="266"/>
      <c r="D550" s="267"/>
      <c r="E550" s="214"/>
      <c r="F550" s="214"/>
      <c r="G550" s="214"/>
      <c r="H550" s="214"/>
      <c r="I550" s="214"/>
      <c r="J550" s="214"/>
      <c r="K550" s="268"/>
      <c r="L550" s="214"/>
      <c r="M550" s="269"/>
      <c r="N550" s="214"/>
      <c r="O550" s="214"/>
      <c r="P550" s="214"/>
      <c r="Q550" s="214"/>
      <c r="R550" s="214"/>
      <c r="S550" s="214"/>
      <c r="T550" s="214"/>
      <c r="U550" s="214"/>
      <c r="V550" s="214"/>
      <c r="W550" s="214"/>
      <c r="X550" s="214"/>
      <c r="Y550" s="261"/>
      <c r="Z550" s="262"/>
      <c r="AA550" s="262"/>
      <c r="AB550" s="270"/>
      <c r="AC550" s="214"/>
      <c r="AD550" s="214"/>
      <c r="AE550" s="214"/>
      <c r="AF550" s="214"/>
      <c r="AG550" s="214"/>
      <c r="AH550" s="214"/>
      <c r="AI550" s="261"/>
      <c r="AJ550" s="214"/>
      <c r="AK550" s="261"/>
      <c r="AL550" s="261"/>
      <c r="AM550" s="264"/>
      <c r="AN550" s="214"/>
      <c r="AO550" s="271"/>
      <c r="AP550" s="271"/>
      <c r="AQ550" s="271"/>
      <c r="AR550" s="271"/>
      <c r="AS550" s="272"/>
      <c r="AT550" s="272"/>
      <c r="AU550" s="214"/>
      <c r="AV550" s="214"/>
    </row>
    <row r="551" ht="15.75" customHeight="1">
      <c r="A551" s="214"/>
      <c r="B551" s="261"/>
      <c r="C551" s="266"/>
      <c r="D551" s="267"/>
      <c r="E551" s="214"/>
      <c r="F551" s="214"/>
      <c r="G551" s="214"/>
      <c r="H551" s="214"/>
      <c r="I551" s="214"/>
      <c r="J551" s="214"/>
      <c r="K551" s="268"/>
      <c r="L551" s="214"/>
      <c r="M551" s="269"/>
      <c r="N551" s="214"/>
      <c r="O551" s="214"/>
      <c r="P551" s="214"/>
      <c r="Q551" s="214"/>
      <c r="R551" s="214"/>
      <c r="S551" s="214"/>
      <c r="T551" s="214"/>
      <c r="U551" s="214"/>
      <c r="V551" s="214"/>
      <c r="W551" s="214"/>
      <c r="X551" s="214"/>
      <c r="Y551" s="261"/>
      <c r="Z551" s="262"/>
      <c r="AA551" s="262"/>
      <c r="AB551" s="270"/>
      <c r="AC551" s="214"/>
      <c r="AD551" s="214"/>
      <c r="AE551" s="214"/>
      <c r="AF551" s="214"/>
      <c r="AG551" s="214"/>
      <c r="AH551" s="214"/>
      <c r="AI551" s="261"/>
      <c r="AJ551" s="214"/>
      <c r="AK551" s="261"/>
      <c r="AL551" s="261"/>
      <c r="AM551" s="264"/>
      <c r="AN551" s="214"/>
      <c r="AO551" s="271"/>
      <c r="AP551" s="271"/>
      <c r="AQ551" s="271"/>
      <c r="AR551" s="271"/>
      <c r="AS551" s="272"/>
      <c r="AT551" s="272"/>
      <c r="AU551" s="214"/>
      <c r="AV551" s="214"/>
    </row>
    <row r="552" ht="15.75" customHeight="1">
      <c r="A552" s="214"/>
      <c r="B552" s="261"/>
      <c r="C552" s="266"/>
      <c r="D552" s="267"/>
      <c r="E552" s="214"/>
      <c r="F552" s="214"/>
      <c r="G552" s="214"/>
      <c r="H552" s="214"/>
      <c r="I552" s="214"/>
      <c r="J552" s="214"/>
      <c r="K552" s="268"/>
      <c r="L552" s="214"/>
      <c r="M552" s="269"/>
      <c r="N552" s="214"/>
      <c r="O552" s="214"/>
      <c r="P552" s="214"/>
      <c r="Q552" s="214"/>
      <c r="R552" s="214"/>
      <c r="S552" s="214"/>
      <c r="T552" s="214"/>
      <c r="U552" s="214"/>
      <c r="V552" s="214"/>
      <c r="W552" s="214"/>
      <c r="X552" s="214"/>
      <c r="Y552" s="261"/>
      <c r="Z552" s="262"/>
      <c r="AA552" s="262"/>
      <c r="AB552" s="270"/>
      <c r="AC552" s="214"/>
      <c r="AD552" s="214"/>
      <c r="AE552" s="214"/>
      <c r="AF552" s="214"/>
      <c r="AG552" s="214"/>
      <c r="AH552" s="214"/>
      <c r="AI552" s="261"/>
      <c r="AJ552" s="214"/>
      <c r="AK552" s="261"/>
      <c r="AL552" s="261"/>
      <c r="AM552" s="264"/>
      <c r="AN552" s="214"/>
      <c r="AO552" s="271"/>
      <c r="AP552" s="271"/>
      <c r="AQ552" s="271"/>
      <c r="AR552" s="271"/>
      <c r="AS552" s="272"/>
      <c r="AT552" s="272"/>
      <c r="AU552" s="214"/>
      <c r="AV552" s="214"/>
    </row>
    <row r="553" ht="15.75" customHeight="1">
      <c r="A553" s="214"/>
      <c r="B553" s="261"/>
      <c r="C553" s="266"/>
      <c r="D553" s="267"/>
      <c r="E553" s="214"/>
      <c r="F553" s="214"/>
      <c r="G553" s="214"/>
      <c r="H553" s="214"/>
      <c r="I553" s="214"/>
      <c r="J553" s="214"/>
      <c r="K553" s="268"/>
      <c r="L553" s="214"/>
      <c r="M553" s="269"/>
      <c r="N553" s="214"/>
      <c r="O553" s="214"/>
      <c r="P553" s="214"/>
      <c r="Q553" s="214"/>
      <c r="R553" s="214"/>
      <c r="S553" s="214"/>
      <c r="T553" s="214"/>
      <c r="U553" s="214"/>
      <c r="V553" s="214"/>
      <c r="W553" s="214"/>
      <c r="X553" s="214"/>
      <c r="Y553" s="261"/>
      <c r="Z553" s="262"/>
      <c r="AA553" s="262"/>
      <c r="AB553" s="270"/>
      <c r="AC553" s="214"/>
      <c r="AD553" s="214"/>
      <c r="AE553" s="214"/>
      <c r="AF553" s="214"/>
      <c r="AG553" s="214"/>
      <c r="AH553" s="214"/>
      <c r="AI553" s="261"/>
      <c r="AJ553" s="214"/>
      <c r="AK553" s="261"/>
      <c r="AL553" s="261"/>
      <c r="AM553" s="264"/>
      <c r="AN553" s="214"/>
      <c r="AO553" s="271"/>
      <c r="AP553" s="271"/>
      <c r="AQ553" s="271"/>
      <c r="AR553" s="271"/>
      <c r="AS553" s="272"/>
      <c r="AT553" s="272"/>
      <c r="AU553" s="214"/>
      <c r="AV553" s="214"/>
    </row>
    <row r="554" ht="15.75" customHeight="1">
      <c r="A554" s="214"/>
      <c r="B554" s="261"/>
      <c r="C554" s="266"/>
      <c r="D554" s="267"/>
      <c r="E554" s="214"/>
      <c r="F554" s="214"/>
      <c r="G554" s="214"/>
      <c r="H554" s="214"/>
      <c r="I554" s="214"/>
      <c r="J554" s="214"/>
      <c r="K554" s="268"/>
      <c r="L554" s="214"/>
      <c r="M554" s="269"/>
      <c r="N554" s="214"/>
      <c r="O554" s="214"/>
      <c r="P554" s="214"/>
      <c r="Q554" s="214"/>
      <c r="R554" s="214"/>
      <c r="S554" s="214"/>
      <c r="T554" s="214"/>
      <c r="U554" s="214"/>
      <c r="V554" s="214"/>
      <c r="W554" s="214"/>
      <c r="X554" s="214"/>
      <c r="Y554" s="261"/>
      <c r="Z554" s="262"/>
      <c r="AA554" s="262"/>
      <c r="AB554" s="270"/>
      <c r="AC554" s="214"/>
      <c r="AD554" s="214"/>
      <c r="AE554" s="214"/>
      <c r="AF554" s="214"/>
      <c r="AG554" s="214"/>
      <c r="AH554" s="214"/>
      <c r="AI554" s="261"/>
      <c r="AJ554" s="214"/>
      <c r="AK554" s="261"/>
      <c r="AL554" s="261"/>
      <c r="AM554" s="264"/>
      <c r="AN554" s="214"/>
      <c r="AO554" s="271"/>
      <c r="AP554" s="271"/>
      <c r="AQ554" s="271"/>
      <c r="AR554" s="271"/>
      <c r="AS554" s="272"/>
      <c r="AT554" s="272"/>
      <c r="AU554" s="214"/>
      <c r="AV554" s="214"/>
    </row>
    <row r="555" ht="15.75" customHeight="1">
      <c r="A555" s="214"/>
      <c r="B555" s="261"/>
      <c r="C555" s="266"/>
      <c r="D555" s="267"/>
      <c r="E555" s="214"/>
      <c r="F555" s="214"/>
      <c r="G555" s="214"/>
      <c r="H555" s="214"/>
      <c r="I555" s="214"/>
      <c r="J555" s="214"/>
      <c r="K555" s="268"/>
      <c r="L555" s="214"/>
      <c r="M555" s="269"/>
      <c r="N555" s="214"/>
      <c r="O555" s="214"/>
      <c r="P555" s="214"/>
      <c r="Q555" s="214"/>
      <c r="R555" s="214"/>
      <c r="S555" s="214"/>
      <c r="T555" s="214"/>
      <c r="U555" s="214"/>
      <c r="V555" s="214"/>
      <c r="W555" s="214"/>
      <c r="X555" s="214"/>
      <c r="Y555" s="261"/>
      <c r="Z555" s="262"/>
      <c r="AA555" s="262"/>
      <c r="AB555" s="270"/>
      <c r="AC555" s="214"/>
      <c r="AD555" s="214"/>
      <c r="AE555" s="214"/>
      <c r="AF555" s="214"/>
      <c r="AG555" s="214"/>
      <c r="AH555" s="214"/>
      <c r="AI555" s="261"/>
      <c r="AJ555" s="214"/>
      <c r="AK555" s="261"/>
      <c r="AL555" s="261"/>
      <c r="AM555" s="264"/>
      <c r="AN555" s="214"/>
      <c r="AO555" s="271"/>
      <c r="AP555" s="271"/>
      <c r="AQ555" s="271"/>
      <c r="AR555" s="271"/>
      <c r="AS555" s="272"/>
      <c r="AT555" s="272"/>
      <c r="AU555" s="214"/>
      <c r="AV555" s="214"/>
    </row>
    <row r="556" ht="15.75" customHeight="1">
      <c r="A556" s="214"/>
      <c r="B556" s="261"/>
      <c r="C556" s="266"/>
      <c r="D556" s="267"/>
      <c r="E556" s="214"/>
      <c r="F556" s="214"/>
      <c r="G556" s="214"/>
      <c r="H556" s="214"/>
      <c r="I556" s="214"/>
      <c r="J556" s="214"/>
      <c r="K556" s="268"/>
      <c r="L556" s="214"/>
      <c r="M556" s="269"/>
      <c r="N556" s="214"/>
      <c r="O556" s="214"/>
      <c r="P556" s="214"/>
      <c r="Q556" s="214"/>
      <c r="R556" s="214"/>
      <c r="S556" s="214"/>
      <c r="T556" s="214"/>
      <c r="U556" s="214"/>
      <c r="V556" s="214"/>
      <c r="W556" s="214"/>
      <c r="X556" s="214"/>
      <c r="Y556" s="261"/>
      <c r="Z556" s="262"/>
      <c r="AA556" s="262"/>
      <c r="AB556" s="270"/>
      <c r="AC556" s="214"/>
      <c r="AD556" s="214"/>
      <c r="AE556" s="214"/>
      <c r="AF556" s="214"/>
      <c r="AG556" s="214"/>
      <c r="AH556" s="214"/>
      <c r="AI556" s="261"/>
      <c r="AJ556" s="214"/>
      <c r="AK556" s="261"/>
      <c r="AL556" s="261"/>
      <c r="AM556" s="264"/>
      <c r="AN556" s="214"/>
      <c r="AO556" s="271"/>
      <c r="AP556" s="271"/>
      <c r="AQ556" s="271"/>
      <c r="AR556" s="271"/>
      <c r="AS556" s="272"/>
      <c r="AT556" s="272"/>
      <c r="AU556" s="214"/>
      <c r="AV556" s="214"/>
    </row>
    <row r="557" ht="15.75" customHeight="1">
      <c r="A557" s="214"/>
      <c r="B557" s="261"/>
      <c r="C557" s="266"/>
      <c r="D557" s="267"/>
      <c r="E557" s="214"/>
      <c r="F557" s="214"/>
      <c r="G557" s="214"/>
      <c r="H557" s="214"/>
      <c r="I557" s="214"/>
      <c r="J557" s="214"/>
      <c r="K557" s="268"/>
      <c r="L557" s="214"/>
      <c r="M557" s="269"/>
      <c r="N557" s="214"/>
      <c r="O557" s="214"/>
      <c r="P557" s="214"/>
      <c r="Q557" s="214"/>
      <c r="R557" s="214"/>
      <c r="S557" s="214"/>
      <c r="T557" s="214"/>
      <c r="U557" s="214"/>
      <c r="V557" s="214"/>
      <c r="W557" s="214"/>
      <c r="X557" s="214"/>
      <c r="Y557" s="261"/>
      <c r="Z557" s="262"/>
      <c r="AA557" s="262"/>
      <c r="AB557" s="270"/>
      <c r="AC557" s="214"/>
      <c r="AD557" s="214"/>
      <c r="AE557" s="214"/>
      <c r="AF557" s="214"/>
      <c r="AG557" s="214"/>
      <c r="AH557" s="214"/>
      <c r="AI557" s="261"/>
      <c r="AJ557" s="214"/>
      <c r="AK557" s="261"/>
      <c r="AL557" s="261"/>
      <c r="AM557" s="264"/>
      <c r="AN557" s="214"/>
      <c r="AO557" s="271"/>
      <c r="AP557" s="271"/>
      <c r="AQ557" s="271"/>
      <c r="AR557" s="271"/>
      <c r="AS557" s="272"/>
      <c r="AT557" s="272"/>
      <c r="AU557" s="214"/>
      <c r="AV557" s="214"/>
    </row>
    <row r="558" ht="15.75" customHeight="1">
      <c r="A558" s="214"/>
      <c r="B558" s="261"/>
      <c r="C558" s="266"/>
      <c r="D558" s="267"/>
      <c r="E558" s="214"/>
      <c r="F558" s="214"/>
      <c r="G558" s="214"/>
      <c r="H558" s="214"/>
      <c r="I558" s="214"/>
      <c r="J558" s="214"/>
      <c r="K558" s="268"/>
      <c r="L558" s="214"/>
      <c r="M558" s="269"/>
      <c r="N558" s="214"/>
      <c r="O558" s="214"/>
      <c r="P558" s="214"/>
      <c r="Q558" s="214"/>
      <c r="R558" s="214"/>
      <c r="S558" s="214"/>
      <c r="T558" s="214"/>
      <c r="U558" s="214"/>
      <c r="V558" s="214"/>
      <c r="W558" s="214"/>
      <c r="X558" s="214"/>
      <c r="Y558" s="261"/>
      <c r="Z558" s="262"/>
      <c r="AA558" s="262"/>
      <c r="AB558" s="270"/>
      <c r="AC558" s="214"/>
      <c r="AD558" s="214"/>
      <c r="AE558" s="214"/>
      <c r="AF558" s="214"/>
      <c r="AG558" s="214"/>
      <c r="AH558" s="214"/>
      <c r="AI558" s="261"/>
      <c r="AJ558" s="214"/>
      <c r="AK558" s="261"/>
      <c r="AL558" s="261"/>
      <c r="AM558" s="264"/>
      <c r="AN558" s="214"/>
      <c r="AO558" s="271"/>
      <c r="AP558" s="271"/>
      <c r="AQ558" s="271"/>
      <c r="AR558" s="271"/>
      <c r="AS558" s="272"/>
      <c r="AT558" s="272"/>
      <c r="AU558" s="214"/>
      <c r="AV558" s="214"/>
    </row>
    <row r="559" ht="15.75" customHeight="1">
      <c r="A559" s="214"/>
      <c r="B559" s="261"/>
      <c r="C559" s="266"/>
      <c r="D559" s="267"/>
      <c r="E559" s="214"/>
      <c r="F559" s="214"/>
      <c r="G559" s="214"/>
      <c r="H559" s="214"/>
      <c r="I559" s="214"/>
      <c r="J559" s="214"/>
      <c r="K559" s="268"/>
      <c r="L559" s="214"/>
      <c r="M559" s="269"/>
      <c r="N559" s="214"/>
      <c r="O559" s="214"/>
      <c r="P559" s="214"/>
      <c r="Q559" s="214"/>
      <c r="R559" s="214"/>
      <c r="S559" s="214"/>
      <c r="T559" s="214"/>
      <c r="U559" s="214"/>
      <c r="V559" s="214"/>
      <c r="W559" s="214"/>
      <c r="X559" s="214"/>
      <c r="Y559" s="261"/>
      <c r="Z559" s="262"/>
      <c r="AA559" s="262"/>
      <c r="AB559" s="270"/>
      <c r="AC559" s="214"/>
      <c r="AD559" s="214"/>
      <c r="AE559" s="214"/>
      <c r="AF559" s="214"/>
      <c r="AG559" s="214"/>
      <c r="AH559" s="214"/>
      <c r="AI559" s="261"/>
      <c r="AJ559" s="214"/>
      <c r="AK559" s="261"/>
      <c r="AL559" s="261"/>
      <c r="AM559" s="264"/>
      <c r="AN559" s="214"/>
      <c r="AO559" s="271"/>
      <c r="AP559" s="271"/>
      <c r="AQ559" s="271"/>
      <c r="AR559" s="271"/>
      <c r="AS559" s="272"/>
      <c r="AT559" s="272"/>
      <c r="AU559" s="214"/>
      <c r="AV559" s="214"/>
    </row>
    <row r="560" ht="15.75" customHeight="1">
      <c r="A560" s="214"/>
      <c r="B560" s="261"/>
      <c r="C560" s="266"/>
      <c r="D560" s="267"/>
      <c r="E560" s="214"/>
      <c r="F560" s="214"/>
      <c r="G560" s="214"/>
      <c r="H560" s="214"/>
      <c r="I560" s="214"/>
      <c r="J560" s="214"/>
      <c r="K560" s="268"/>
      <c r="L560" s="214"/>
      <c r="M560" s="269"/>
      <c r="N560" s="214"/>
      <c r="O560" s="214"/>
      <c r="P560" s="214"/>
      <c r="Q560" s="214"/>
      <c r="R560" s="214"/>
      <c r="S560" s="214"/>
      <c r="T560" s="214"/>
      <c r="U560" s="214"/>
      <c r="V560" s="214"/>
      <c r="W560" s="214"/>
      <c r="X560" s="214"/>
      <c r="Y560" s="261"/>
      <c r="Z560" s="262"/>
      <c r="AA560" s="262"/>
      <c r="AB560" s="270"/>
      <c r="AC560" s="214"/>
      <c r="AD560" s="214"/>
      <c r="AE560" s="214"/>
      <c r="AF560" s="214"/>
      <c r="AG560" s="214"/>
      <c r="AH560" s="214"/>
      <c r="AI560" s="261"/>
      <c r="AJ560" s="214"/>
      <c r="AK560" s="261"/>
      <c r="AL560" s="261"/>
      <c r="AM560" s="264"/>
      <c r="AN560" s="214"/>
      <c r="AO560" s="271"/>
      <c r="AP560" s="271"/>
      <c r="AQ560" s="271"/>
      <c r="AR560" s="271"/>
      <c r="AS560" s="272"/>
      <c r="AT560" s="272"/>
      <c r="AU560" s="214"/>
      <c r="AV560" s="214"/>
    </row>
    <row r="561" ht="15.75" customHeight="1">
      <c r="A561" s="214"/>
      <c r="B561" s="261"/>
      <c r="C561" s="266"/>
      <c r="D561" s="267"/>
      <c r="E561" s="214"/>
      <c r="F561" s="214"/>
      <c r="G561" s="214"/>
      <c r="H561" s="214"/>
      <c r="I561" s="214"/>
      <c r="J561" s="214"/>
      <c r="K561" s="268"/>
      <c r="L561" s="214"/>
      <c r="M561" s="269"/>
      <c r="N561" s="214"/>
      <c r="O561" s="214"/>
      <c r="P561" s="214"/>
      <c r="Q561" s="214"/>
      <c r="R561" s="214"/>
      <c r="S561" s="214"/>
      <c r="T561" s="214"/>
      <c r="U561" s="214"/>
      <c r="V561" s="214"/>
      <c r="W561" s="214"/>
      <c r="X561" s="214"/>
      <c r="Y561" s="261"/>
      <c r="Z561" s="262"/>
      <c r="AA561" s="262"/>
      <c r="AB561" s="270"/>
      <c r="AC561" s="214"/>
      <c r="AD561" s="214"/>
      <c r="AE561" s="214"/>
      <c r="AF561" s="214"/>
      <c r="AG561" s="214"/>
      <c r="AH561" s="214"/>
      <c r="AI561" s="261"/>
      <c r="AJ561" s="214"/>
      <c r="AK561" s="261"/>
      <c r="AL561" s="261"/>
      <c r="AM561" s="264"/>
      <c r="AN561" s="214"/>
      <c r="AO561" s="271"/>
      <c r="AP561" s="271"/>
      <c r="AQ561" s="271"/>
      <c r="AR561" s="271"/>
      <c r="AS561" s="272"/>
      <c r="AT561" s="272"/>
      <c r="AU561" s="214"/>
      <c r="AV561" s="214"/>
    </row>
    <row r="562" ht="15.75" customHeight="1">
      <c r="A562" s="214"/>
      <c r="B562" s="261"/>
      <c r="C562" s="266"/>
      <c r="D562" s="267"/>
      <c r="E562" s="214"/>
      <c r="F562" s="214"/>
      <c r="G562" s="214"/>
      <c r="H562" s="214"/>
      <c r="I562" s="214"/>
      <c r="J562" s="214"/>
      <c r="K562" s="268"/>
      <c r="L562" s="214"/>
      <c r="M562" s="269"/>
      <c r="N562" s="214"/>
      <c r="O562" s="214"/>
      <c r="P562" s="214"/>
      <c r="Q562" s="214"/>
      <c r="R562" s="214"/>
      <c r="S562" s="214"/>
      <c r="T562" s="214"/>
      <c r="U562" s="214"/>
      <c r="V562" s="214"/>
      <c r="W562" s="214"/>
      <c r="X562" s="214"/>
      <c r="Y562" s="261"/>
      <c r="Z562" s="262"/>
      <c r="AA562" s="262"/>
      <c r="AB562" s="270"/>
      <c r="AC562" s="214"/>
      <c r="AD562" s="214"/>
      <c r="AE562" s="214"/>
      <c r="AF562" s="214"/>
      <c r="AG562" s="214"/>
      <c r="AH562" s="214"/>
      <c r="AI562" s="261"/>
      <c r="AJ562" s="214"/>
      <c r="AK562" s="261"/>
      <c r="AL562" s="261"/>
      <c r="AM562" s="264"/>
      <c r="AN562" s="214"/>
      <c r="AO562" s="271"/>
      <c r="AP562" s="271"/>
      <c r="AQ562" s="271"/>
      <c r="AR562" s="271"/>
      <c r="AS562" s="272"/>
      <c r="AT562" s="272"/>
      <c r="AU562" s="214"/>
      <c r="AV562" s="214"/>
    </row>
    <row r="563" ht="15.75" customHeight="1">
      <c r="A563" s="214"/>
      <c r="B563" s="261"/>
      <c r="C563" s="266"/>
      <c r="D563" s="267"/>
      <c r="E563" s="214"/>
      <c r="F563" s="214"/>
      <c r="G563" s="214"/>
      <c r="H563" s="214"/>
      <c r="I563" s="214"/>
      <c r="J563" s="214"/>
      <c r="K563" s="268"/>
      <c r="L563" s="214"/>
      <c r="M563" s="269"/>
      <c r="N563" s="214"/>
      <c r="O563" s="214"/>
      <c r="P563" s="214"/>
      <c r="Q563" s="214"/>
      <c r="R563" s="214"/>
      <c r="S563" s="214"/>
      <c r="T563" s="214"/>
      <c r="U563" s="214"/>
      <c r="V563" s="214"/>
      <c r="W563" s="214"/>
      <c r="X563" s="214"/>
      <c r="Y563" s="261"/>
      <c r="Z563" s="262"/>
      <c r="AA563" s="262"/>
      <c r="AB563" s="270"/>
      <c r="AC563" s="214"/>
      <c r="AD563" s="214"/>
      <c r="AE563" s="214"/>
      <c r="AF563" s="214"/>
      <c r="AG563" s="214"/>
      <c r="AH563" s="214"/>
      <c r="AI563" s="261"/>
      <c r="AJ563" s="214"/>
      <c r="AK563" s="261"/>
      <c r="AL563" s="261"/>
      <c r="AM563" s="264"/>
      <c r="AN563" s="214"/>
      <c r="AO563" s="271"/>
      <c r="AP563" s="271"/>
      <c r="AQ563" s="271"/>
      <c r="AR563" s="271"/>
      <c r="AS563" s="272"/>
      <c r="AT563" s="272"/>
      <c r="AU563" s="214"/>
      <c r="AV563" s="214"/>
    </row>
    <row r="564" ht="15.75" customHeight="1">
      <c r="A564" s="214"/>
      <c r="B564" s="261"/>
      <c r="C564" s="266"/>
      <c r="D564" s="267"/>
      <c r="E564" s="214"/>
      <c r="F564" s="214"/>
      <c r="G564" s="214"/>
      <c r="H564" s="214"/>
      <c r="I564" s="214"/>
      <c r="J564" s="214"/>
      <c r="K564" s="268"/>
      <c r="L564" s="214"/>
      <c r="M564" s="269"/>
      <c r="N564" s="214"/>
      <c r="O564" s="214"/>
      <c r="P564" s="214"/>
      <c r="Q564" s="214"/>
      <c r="R564" s="214"/>
      <c r="S564" s="214"/>
      <c r="T564" s="214"/>
      <c r="U564" s="214"/>
      <c r="V564" s="214"/>
      <c r="W564" s="214"/>
      <c r="X564" s="214"/>
      <c r="Y564" s="261"/>
      <c r="Z564" s="262"/>
      <c r="AA564" s="262"/>
      <c r="AB564" s="270"/>
      <c r="AC564" s="214"/>
      <c r="AD564" s="214"/>
      <c r="AE564" s="214"/>
      <c r="AF564" s="214"/>
      <c r="AG564" s="214"/>
      <c r="AH564" s="214"/>
      <c r="AI564" s="261"/>
      <c r="AJ564" s="214"/>
      <c r="AK564" s="261"/>
      <c r="AL564" s="261"/>
      <c r="AM564" s="264"/>
      <c r="AN564" s="214"/>
      <c r="AO564" s="271"/>
      <c r="AP564" s="271"/>
      <c r="AQ564" s="271"/>
      <c r="AR564" s="271"/>
      <c r="AS564" s="272"/>
      <c r="AT564" s="272"/>
      <c r="AU564" s="214"/>
      <c r="AV564" s="214"/>
    </row>
    <row r="565" ht="15.75" customHeight="1">
      <c r="A565" s="214"/>
      <c r="B565" s="261"/>
      <c r="C565" s="266"/>
      <c r="D565" s="267"/>
      <c r="E565" s="214"/>
      <c r="F565" s="214"/>
      <c r="G565" s="214"/>
      <c r="H565" s="214"/>
      <c r="I565" s="214"/>
      <c r="J565" s="214"/>
      <c r="K565" s="268"/>
      <c r="L565" s="214"/>
      <c r="M565" s="269"/>
      <c r="N565" s="214"/>
      <c r="O565" s="214"/>
      <c r="P565" s="214"/>
      <c r="Q565" s="214"/>
      <c r="R565" s="214"/>
      <c r="S565" s="214"/>
      <c r="T565" s="214"/>
      <c r="U565" s="214"/>
      <c r="V565" s="214"/>
      <c r="W565" s="214"/>
      <c r="X565" s="214"/>
      <c r="Y565" s="261"/>
      <c r="Z565" s="262"/>
      <c r="AA565" s="262"/>
      <c r="AB565" s="270"/>
      <c r="AC565" s="214"/>
      <c r="AD565" s="214"/>
      <c r="AE565" s="214"/>
      <c r="AF565" s="214"/>
      <c r="AG565" s="214"/>
      <c r="AH565" s="214"/>
      <c r="AI565" s="261"/>
      <c r="AJ565" s="214"/>
      <c r="AK565" s="261"/>
      <c r="AL565" s="261"/>
      <c r="AM565" s="264"/>
      <c r="AN565" s="214"/>
      <c r="AO565" s="271"/>
      <c r="AP565" s="271"/>
      <c r="AQ565" s="271"/>
      <c r="AR565" s="271"/>
      <c r="AS565" s="272"/>
      <c r="AT565" s="272"/>
      <c r="AU565" s="214"/>
      <c r="AV565" s="214"/>
    </row>
    <row r="566" ht="15.75" customHeight="1">
      <c r="A566" s="214"/>
      <c r="B566" s="261"/>
      <c r="C566" s="266"/>
      <c r="D566" s="267"/>
      <c r="E566" s="214"/>
      <c r="F566" s="214"/>
      <c r="G566" s="214"/>
      <c r="H566" s="214"/>
      <c r="I566" s="214"/>
      <c r="J566" s="214"/>
      <c r="K566" s="268"/>
      <c r="L566" s="214"/>
      <c r="M566" s="269"/>
      <c r="N566" s="214"/>
      <c r="O566" s="214"/>
      <c r="P566" s="214"/>
      <c r="Q566" s="214"/>
      <c r="R566" s="214"/>
      <c r="S566" s="214"/>
      <c r="T566" s="214"/>
      <c r="U566" s="214"/>
      <c r="V566" s="214"/>
      <c r="W566" s="214"/>
      <c r="X566" s="214"/>
      <c r="Y566" s="261"/>
      <c r="Z566" s="262"/>
      <c r="AA566" s="262"/>
      <c r="AB566" s="270"/>
      <c r="AC566" s="214"/>
      <c r="AD566" s="214"/>
      <c r="AE566" s="214"/>
      <c r="AF566" s="214"/>
      <c r="AG566" s="214"/>
      <c r="AH566" s="214"/>
      <c r="AI566" s="261"/>
      <c r="AJ566" s="214"/>
      <c r="AK566" s="261"/>
      <c r="AL566" s="261"/>
      <c r="AM566" s="264"/>
      <c r="AN566" s="214"/>
      <c r="AO566" s="271"/>
      <c r="AP566" s="271"/>
      <c r="AQ566" s="271"/>
      <c r="AR566" s="271"/>
      <c r="AS566" s="272"/>
      <c r="AT566" s="272"/>
      <c r="AU566" s="214"/>
      <c r="AV566" s="214"/>
    </row>
    <row r="567" ht="15.75" customHeight="1">
      <c r="A567" s="214"/>
      <c r="B567" s="261"/>
      <c r="C567" s="266"/>
      <c r="D567" s="267"/>
      <c r="E567" s="214"/>
      <c r="F567" s="214"/>
      <c r="G567" s="214"/>
      <c r="H567" s="214"/>
      <c r="I567" s="214"/>
      <c r="J567" s="214"/>
      <c r="K567" s="268"/>
      <c r="L567" s="214"/>
      <c r="M567" s="269"/>
      <c r="N567" s="214"/>
      <c r="O567" s="214"/>
      <c r="P567" s="214"/>
      <c r="Q567" s="214"/>
      <c r="R567" s="214"/>
      <c r="S567" s="214"/>
      <c r="T567" s="214"/>
      <c r="U567" s="214"/>
      <c r="V567" s="214"/>
      <c r="W567" s="214"/>
      <c r="X567" s="214"/>
      <c r="Y567" s="261"/>
      <c r="Z567" s="262"/>
      <c r="AA567" s="262"/>
      <c r="AB567" s="270"/>
      <c r="AC567" s="214"/>
      <c r="AD567" s="214"/>
      <c r="AE567" s="214"/>
      <c r="AF567" s="214"/>
      <c r="AG567" s="214"/>
      <c r="AH567" s="214"/>
      <c r="AI567" s="261"/>
      <c r="AJ567" s="214"/>
      <c r="AK567" s="261"/>
      <c r="AL567" s="261"/>
      <c r="AM567" s="264"/>
      <c r="AN567" s="214"/>
      <c r="AO567" s="271"/>
      <c r="AP567" s="271"/>
      <c r="AQ567" s="271"/>
      <c r="AR567" s="271"/>
      <c r="AS567" s="272"/>
      <c r="AT567" s="272"/>
      <c r="AU567" s="214"/>
      <c r="AV567" s="214"/>
    </row>
    <row r="568" ht="15.75" customHeight="1">
      <c r="A568" s="214"/>
      <c r="B568" s="261"/>
      <c r="C568" s="266"/>
      <c r="D568" s="267"/>
      <c r="E568" s="214"/>
      <c r="F568" s="214"/>
      <c r="G568" s="214"/>
      <c r="H568" s="214"/>
      <c r="I568" s="214"/>
      <c r="J568" s="214"/>
      <c r="K568" s="268"/>
      <c r="L568" s="214"/>
      <c r="M568" s="269"/>
      <c r="N568" s="214"/>
      <c r="O568" s="214"/>
      <c r="P568" s="214"/>
      <c r="Q568" s="214"/>
      <c r="R568" s="214"/>
      <c r="S568" s="214"/>
      <c r="T568" s="214"/>
      <c r="U568" s="214"/>
      <c r="V568" s="214"/>
      <c r="W568" s="214"/>
      <c r="X568" s="214"/>
      <c r="Y568" s="261"/>
      <c r="Z568" s="262"/>
      <c r="AA568" s="262"/>
      <c r="AB568" s="270"/>
      <c r="AC568" s="214"/>
      <c r="AD568" s="214"/>
      <c r="AE568" s="214"/>
      <c r="AF568" s="214"/>
      <c r="AG568" s="214"/>
      <c r="AH568" s="214"/>
      <c r="AI568" s="261"/>
      <c r="AJ568" s="214"/>
      <c r="AK568" s="261"/>
      <c r="AL568" s="261"/>
      <c r="AM568" s="264"/>
      <c r="AN568" s="214"/>
      <c r="AO568" s="271"/>
      <c r="AP568" s="271"/>
      <c r="AQ568" s="271"/>
      <c r="AR568" s="271"/>
      <c r="AS568" s="272"/>
      <c r="AT568" s="272"/>
      <c r="AU568" s="214"/>
      <c r="AV568" s="214"/>
    </row>
    <row r="569" ht="15.75" customHeight="1">
      <c r="A569" s="214"/>
      <c r="B569" s="261"/>
      <c r="C569" s="266"/>
      <c r="D569" s="267"/>
      <c r="E569" s="214"/>
      <c r="F569" s="214"/>
      <c r="G569" s="214"/>
      <c r="H569" s="214"/>
      <c r="I569" s="214"/>
      <c r="J569" s="214"/>
      <c r="K569" s="268"/>
      <c r="L569" s="214"/>
      <c r="M569" s="269"/>
      <c r="N569" s="214"/>
      <c r="O569" s="214"/>
      <c r="P569" s="214"/>
      <c r="Q569" s="214"/>
      <c r="R569" s="214"/>
      <c r="S569" s="214"/>
      <c r="T569" s="214"/>
      <c r="U569" s="214"/>
      <c r="V569" s="214"/>
      <c r="W569" s="214"/>
      <c r="X569" s="214"/>
      <c r="Y569" s="261"/>
      <c r="Z569" s="262"/>
      <c r="AA569" s="262"/>
      <c r="AB569" s="270"/>
      <c r="AC569" s="214"/>
      <c r="AD569" s="214"/>
      <c r="AE569" s="214"/>
      <c r="AF569" s="214"/>
      <c r="AG569" s="214"/>
      <c r="AH569" s="214"/>
      <c r="AI569" s="261"/>
      <c r="AJ569" s="214"/>
      <c r="AK569" s="261"/>
      <c r="AL569" s="261"/>
      <c r="AM569" s="264"/>
      <c r="AN569" s="214"/>
      <c r="AO569" s="271"/>
      <c r="AP569" s="271"/>
      <c r="AQ569" s="271"/>
      <c r="AR569" s="271"/>
      <c r="AS569" s="272"/>
      <c r="AT569" s="272"/>
      <c r="AU569" s="214"/>
      <c r="AV569" s="214"/>
    </row>
    <row r="570" ht="15.75" customHeight="1">
      <c r="A570" s="214"/>
      <c r="B570" s="261"/>
      <c r="C570" s="266"/>
      <c r="D570" s="267"/>
      <c r="E570" s="214"/>
      <c r="F570" s="214"/>
      <c r="G570" s="214"/>
      <c r="H570" s="214"/>
      <c r="I570" s="214"/>
      <c r="J570" s="214"/>
      <c r="K570" s="268"/>
      <c r="L570" s="214"/>
      <c r="M570" s="269"/>
      <c r="N570" s="214"/>
      <c r="O570" s="214"/>
      <c r="P570" s="214"/>
      <c r="Q570" s="214"/>
      <c r="R570" s="214"/>
      <c r="S570" s="214"/>
      <c r="T570" s="214"/>
      <c r="U570" s="214"/>
      <c r="V570" s="214"/>
      <c r="W570" s="214"/>
      <c r="X570" s="214"/>
      <c r="Y570" s="261"/>
      <c r="Z570" s="262"/>
      <c r="AA570" s="262"/>
      <c r="AB570" s="270"/>
      <c r="AC570" s="214"/>
      <c r="AD570" s="214"/>
      <c r="AE570" s="214"/>
      <c r="AF570" s="214"/>
      <c r="AG570" s="214"/>
      <c r="AH570" s="214"/>
      <c r="AI570" s="261"/>
      <c r="AJ570" s="214"/>
      <c r="AK570" s="261"/>
      <c r="AL570" s="261"/>
      <c r="AM570" s="264"/>
      <c r="AN570" s="214"/>
      <c r="AO570" s="271"/>
      <c r="AP570" s="271"/>
      <c r="AQ570" s="271"/>
      <c r="AR570" s="271"/>
      <c r="AS570" s="272"/>
      <c r="AT570" s="272"/>
      <c r="AU570" s="214"/>
      <c r="AV570" s="214"/>
    </row>
    <row r="571" ht="15.75" customHeight="1">
      <c r="A571" s="214"/>
      <c r="B571" s="261"/>
      <c r="C571" s="266"/>
      <c r="D571" s="267"/>
      <c r="E571" s="214"/>
      <c r="F571" s="214"/>
      <c r="G571" s="214"/>
      <c r="H571" s="214"/>
      <c r="I571" s="214"/>
      <c r="J571" s="214"/>
      <c r="K571" s="268"/>
      <c r="L571" s="214"/>
      <c r="M571" s="269"/>
      <c r="N571" s="214"/>
      <c r="O571" s="214"/>
      <c r="P571" s="214"/>
      <c r="Q571" s="214"/>
      <c r="R571" s="214"/>
      <c r="S571" s="214"/>
      <c r="T571" s="214"/>
      <c r="U571" s="214"/>
      <c r="V571" s="214"/>
      <c r="W571" s="214"/>
      <c r="X571" s="214"/>
      <c r="Y571" s="261"/>
      <c r="Z571" s="262"/>
      <c r="AA571" s="262"/>
      <c r="AB571" s="270"/>
      <c r="AC571" s="214"/>
      <c r="AD571" s="214"/>
      <c r="AE571" s="214"/>
      <c r="AF571" s="214"/>
      <c r="AG571" s="214"/>
      <c r="AH571" s="214"/>
      <c r="AI571" s="261"/>
      <c r="AJ571" s="214"/>
      <c r="AK571" s="261"/>
      <c r="AL571" s="261"/>
      <c r="AM571" s="264"/>
      <c r="AN571" s="214"/>
      <c r="AO571" s="271"/>
      <c r="AP571" s="271"/>
      <c r="AQ571" s="271"/>
      <c r="AR571" s="271"/>
      <c r="AS571" s="272"/>
      <c r="AT571" s="272"/>
      <c r="AU571" s="214"/>
      <c r="AV571" s="214"/>
    </row>
    <row r="572" ht="15.75" customHeight="1">
      <c r="A572" s="214"/>
      <c r="B572" s="261"/>
      <c r="C572" s="266"/>
      <c r="D572" s="267"/>
      <c r="E572" s="214"/>
      <c r="F572" s="214"/>
      <c r="G572" s="214"/>
      <c r="H572" s="214"/>
      <c r="I572" s="214"/>
      <c r="J572" s="214"/>
      <c r="K572" s="268"/>
      <c r="L572" s="214"/>
      <c r="M572" s="269"/>
      <c r="N572" s="214"/>
      <c r="O572" s="214"/>
      <c r="P572" s="214"/>
      <c r="Q572" s="214"/>
      <c r="R572" s="214"/>
      <c r="S572" s="214"/>
      <c r="T572" s="214"/>
      <c r="U572" s="214"/>
      <c r="V572" s="214"/>
      <c r="W572" s="214"/>
      <c r="X572" s="214"/>
      <c r="Y572" s="261"/>
      <c r="Z572" s="262"/>
      <c r="AA572" s="262"/>
      <c r="AB572" s="270"/>
      <c r="AC572" s="214"/>
      <c r="AD572" s="214"/>
      <c r="AE572" s="214"/>
      <c r="AF572" s="214"/>
      <c r="AG572" s="214"/>
      <c r="AH572" s="214"/>
      <c r="AI572" s="261"/>
      <c r="AJ572" s="214"/>
      <c r="AK572" s="261"/>
      <c r="AL572" s="261"/>
      <c r="AM572" s="264"/>
      <c r="AN572" s="214"/>
      <c r="AO572" s="271"/>
      <c r="AP572" s="271"/>
      <c r="AQ572" s="271"/>
      <c r="AR572" s="271"/>
      <c r="AS572" s="272"/>
      <c r="AT572" s="272"/>
      <c r="AU572" s="214"/>
      <c r="AV572" s="214"/>
    </row>
    <row r="573" ht="15.75" customHeight="1">
      <c r="A573" s="214"/>
      <c r="B573" s="261"/>
      <c r="C573" s="266"/>
      <c r="D573" s="267"/>
      <c r="E573" s="214"/>
      <c r="F573" s="214"/>
      <c r="G573" s="214"/>
      <c r="H573" s="214"/>
      <c r="I573" s="214"/>
      <c r="J573" s="214"/>
      <c r="K573" s="268"/>
      <c r="L573" s="214"/>
      <c r="M573" s="269"/>
      <c r="N573" s="214"/>
      <c r="O573" s="214"/>
      <c r="P573" s="214"/>
      <c r="Q573" s="214"/>
      <c r="R573" s="214"/>
      <c r="S573" s="214"/>
      <c r="T573" s="214"/>
      <c r="U573" s="214"/>
      <c r="V573" s="214"/>
      <c r="W573" s="214"/>
      <c r="X573" s="214"/>
      <c r="Y573" s="261"/>
      <c r="Z573" s="262"/>
      <c r="AA573" s="262"/>
      <c r="AB573" s="270"/>
      <c r="AC573" s="214"/>
      <c r="AD573" s="214"/>
      <c r="AE573" s="214"/>
      <c r="AF573" s="214"/>
      <c r="AG573" s="214"/>
      <c r="AH573" s="214"/>
      <c r="AI573" s="261"/>
      <c r="AJ573" s="214"/>
      <c r="AK573" s="261"/>
      <c r="AL573" s="261"/>
      <c r="AM573" s="264"/>
      <c r="AN573" s="214"/>
      <c r="AO573" s="271"/>
      <c r="AP573" s="271"/>
      <c r="AQ573" s="271"/>
      <c r="AR573" s="271"/>
      <c r="AS573" s="272"/>
      <c r="AT573" s="272"/>
      <c r="AU573" s="214"/>
      <c r="AV573" s="214"/>
    </row>
    <row r="574" ht="15.75" customHeight="1">
      <c r="A574" s="214"/>
      <c r="B574" s="261"/>
      <c r="C574" s="266"/>
      <c r="D574" s="267"/>
      <c r="E574" s="214"/>
      <c r="F574" s="214"/>
      <c r="G574" s="214"/>
      <c r="H574" s="214"/>
      <c r="I574" s="214"/>
      <c r="J574" s="214"/>
      <c r="K574" s="268"/>
      <c r="L574" s="214"/>
      <c r="M574" s="269"/>
      <c r="N574" s="214"/>
      <c r="O574" s="214"/>
      <c r="P574" s="214"/>
      <c r="Q574" s="214"/>
      <c r="R574" s="214"/>
      <c r="S574" s="214"/>
      <c r="T574" s="214"/>
      <c r="U574" s="214"/>
      <c r="V574" s="214"/>
      <c r="W574" s="214"/>
      <c r="X574" s="214"/>
      <c r="Y574" s="261"/>
      <c r="Z574" s="262"/>
      <c r="AA574" s="262"/>
      <c r="AB574" s="270"/>
      <c r="AC574" s="214"/>
      <c r="AD574" s="214"/>
      <c r="AE574" s="214"/>
      <c r="AF574" s="214"/>
      <c r="AG574" s="214"/>
      <c r="AH574" s="214"/>
      <c r="AI574" s="261"/>
      <c r="AJ574" s="214"/>
      <c r="AK574" s="261"/>
      <c r="AL574" s="261"/>
      <c r="AM574" s="264"/>
      <c r="AN574" s="214"/>
      <c r="AO574" s="271"/>
      <c r="AP574" s="271"/>
      <c r="AQ574" s="271"/>
      <c r="AR574" s="271"/>
      <c r="AS574" s="272"/>
      <c r="AT574" s="272"/>
      <c r="AU574" s="214"/>
      <c r="AV574" s="214"/>
    </row>
    <row r="575" ht="15.75" customHeight="1">
      <c r="A575" s="214"/>
      <c r="B575" s="261"/>
      <c r="C575" s="266"/>
      <c r="D575" s="267"/>
      <c r="E575" s="214"/>
      <c r="F575" s="214"/>
      <c r="G575" s="214"/>
      <c r="H575" s="214"/>
      <c r="I575" s="214"/>
      <c r="J575" s="214"/>
      <c r="K575" s="268"/>
      <c r="L575" s="214"/>
      <c r="M575" s="269"/>
      <c r="N575" s="214"/>
      <c r="O575" s="214"/>
      <c r="P575" s="214"/>
      <c r="Q575" s="214"/>
      <c r="R575" s="214"/>
      <c r="S575" s="214"/>
      <c r="T575" s="214"/>
      <c r="U575" s="214"/>
      <c r="V575" s="214"/>
      <c r="W575" s="214"/>
      <c r="X575" s="214"/>
      <c r="Y575" s="261"/>
      <c r="Z575" s="262"/>
      <c r="AA575" s="262"/>
      <c r="AB575" s="270"/>
      <c r="AC575" s="214"/>
      <c r="AD575" s="214"/>
      <c r="AE575" s="214"/>
      <c r="AF575" s="214"/>
      <c r="AG575" s="214"/>
      <c r="AH575" s="214"/>
      <c r="AI575" s="261"/>
      <c r="AJ575" s="214"/>
      <c r="AK575" s="261"/>
      <c r="AL575" s="261"/>
      <c r="AM575" s="264"/>
      <c r="AN575" s="214"/>
      <c r="AO575" s="271"/>
      <c r="AP575" s="271"/>
      <c r="AQ575" s="271"/>
      <c r="AR575" s="271"/>
      <c r="AS575" s="272"/>
      <c r="AT575" s="272"/>
      <c r="AU575" s="214"/>
      <c r="AV575" s="214"/>
    </row>
    <row r="576" ht="15.75" customHeight="1">
      <c r="A576" s="214"/>
      <c r="B576" s="261"/>
      <c r="C576" s="266"/>
      <c r="D576" s="267"/>
      <c r="E576" s="214"/>
      <c r="F576" s="214"/>
      <c r="G576" s="214"/>
      <c r="H576" s="214"/>
      <c r="I576" s="214"/>
      <c r="J576" s="214"/>
      <c r="K576" s="268"/>
      <c r="L576" s="214"/>
      <c r="M576" s="269"/>
      <c r="N576" s="214"/>
      <c r="O576" s="214"/>
      <c r="P576" s="214"/>
      <c r="Q576" s="214"/>
      <c r="R576" s="214"/>
      <c r="S576" s="214"/>
      <c r="T576" s="214"/>
      <c r="U576" s="214"/>
      <c r="V576" s="214"/>
      <c r="W576" s="214"/>
      <c r="X576" s="214"/>
      <c r="Y576" s="261"/>
      <c r="Z576" s="262"/>
      <c r="AA576" s="262"/>
      <c r="AB576" s="270"/>
      <c r="AC576" s="214"/>
      <c r="AD576" s="214"/>
      <c r="AE576" s="214"/>
      <c r="AF576" s="214"/>
      <c r="AG576" s="214"/>
      <c r="AH576" s="214"/>
      <c r="AI576" s="261"/>
      <c r="AJ576" s="214"/>
      <c r="AK576" s="261"/>
      <c r="AL576" s="261"/>
      <c r="AM576" s="264"/>
      <c r="AN576" s="214"/>
      <c r="AO576" s="271"/>
      <c r="AP576" s="271"/>
      <c r="AQ576" s="271"/>
      <c r="AR576" s="271"/>
      <c r="AS576" s="272"/>
      <c r="AT576" s="272"/>
      <c r="AU576" s="214"/>
      <c r="AV576" s="214"/>
    </row>
    <row r="577" ht="15.75" customHeight="1">
      <c r="A577" s="214"/>
      <c r="B577" s="261"/>
      <c r="C577" s="266"/>
      <c r="D577" s="267"/>
      <c r="E577" s="214"/>
      <c r="F577" s="214"/>
      <c r="G577" s="214"/>
      <c r="H577" s="214"/>
      <c r="I577" s="214"/>
      <c r="J577" s="214"/>
      <c r="K577" s="268"/>
      <c r="L577" s="214"/>
      <c r="M577" s="269"/>
      <c r="N577" s="214"/>
      <c r="O577" s="214"/>
      <c r="P577" s="214"/>
      <c r="Q577" s="214"/>
      <c r="R577" s="214"/>
      <c r="S577" s="214"/>
      <c r="T577" s="214"/>
      <c r="U577" s="214"/>
      <c r="V577" s="214"/>
      <c r="W577" s="214"/>
      <c r="X577" s="214"/>
      <c r="Y577" s="261"/>
      <c r="Z577" s="262"/>
      <c r="AA577" s="262"/>
      <c r="AB577" s="270"/>
      <c r="AC577" s="214"/>
      <c r="AD577" s="214"/>
      <c r="AE577" s="214"/>
      <c r="AF577" s="214"/>
      <c r="AG577" s="214"/>
      <c r="AH577" s="214"/>
      <c r="AI577" s="261"/>
      <c r="AJ577" s="214"/>
      <c r="AK577" s="261"/>
      <c r="AL577" s="261"/>
      <c r="AM577" s="264"/>
      <c r="AN577" s="214"/>
      <c r="AO577" s="271"/>
      <c r="AP577" s="271"/>
      <c r="AQ577" s="271"/>
      <c r="AR577" s="271"/>
      <c r="AS577" s="272"/>
      <c r="AT577" s="272"/>
      <c r="AU577" s="214"/>
      <c r="AV577" s="214"/>
    </row>
    <row r="578" ht="15.75" customHeight="1">
      <c r="A578" s="214"/>
      <c r="B578" s="261"/>
      <c r="C578" s="266"/>
      <c r="D578" s="267"/>
      <c r="E578" s="214"/>
      <c r="F578" s="214"/>
      <c r="G578" s="214"/>
      <c r="H578" s="214"/>
      <c r="I578" s="214"/>
      <c r="J578" s="214"/>
      <c r="K578" s="268"/>
      <c r="L578" s="214"/>
      <c r="M578" s="269"/>
      <c r="N578" s="214"/>
      <c r="O578" s="214"/>
      <c r="P578" s="214"/>
      <c r="Q578" s="214"/>
      <c r="R578" s="214"/>
      <c r="S578" s="214"/>
      <c r="T578" s="214"/>
      <c r="U578" s="214"/>
      <c r="V578" s="214"/>
      <c r="W578" s="214"/>
      <c r="X578" s="214"/>
      <c r="Y578" s="261"/>
      <c r="Z578" s="262"/>
      <c r="AA578" s="262"/>
      <c r="AB578" s="270"/>
      <c r="AC578" s="214"/>
      <c r="AD578" s="214"/>
      <c r="AE578" s="214"/>
      <c r="AF578" s="214"/>
      <c r="AG578" s="214"/>
      <c r="AH578" s="214"/>
      <c r="AI578" s="261"/>
      <c r="AJ578" s="214"/>
      <c r="AK578" s="261"/>
      <c r="AL578" s="261"/>
      <c r="AM578" s="264"/>
      <c r="AN578" s="214"/>
      <c r="AO578" s="271"/>
      <c r="AP578" s="271"/>
      <c r="AQ578" s="271"/>
      <c r="AR578" s="271"/>
      <c r="AS578" s="272"/>
      <c r="AT578" s="272"/>
      <c r="AU578" s="214"/>
      <c r="AV578" s="214"/>
    </row>
    <row r="579" ht="15.75" customHeight="1">
      <c r="A579" s="214"/>
      <c r="B579" s="261"/>
      <c r="C579" s="266"/>
      <c r="D579" s="267"/>
      <c r="E579" s="214"/>
      <c r="F579" s="214"/>
      <c r="G579" s="214"/>
      <c r="H579" s="214"/>
      <c r="I579" s="214"/>
      <c r="J579" s="214"/>
      <c r="K579" s="268"/>
      <c r="L579" s="214"/>
      <c r="M579" s="269"/>
      <c r="N579" s="214"/>
      <c r="O579" s="214"/>
      <c r="P579" s="214"/>
      <c r="Q579" s="214"/>
      <c r="R579" s="214"/>
      <c r="S579" s="214"/>
      <c r="T579" s="214"/>
      <c r="U579" s="214"/>
      <c r="V579" s="214"/>
      <c r="W579" s="214"/>
      <c r="X579" s="214"/>
      <c r="Y579" s="261"/>
      <c r="Z579" s="262"/>
      <c r="AA579" s="262"/>
      <c r="AB579" s="270"/>
      <c r="AC579" s="214"/>
      <c r="AD579" s="214"/>
      <c r="AE579" s="214"/>
      <c r="AF579" s="214"/>
      <c r="AG579" s="214"/>
      <c r="AH579" s="214"/>
      <c r="AI579" s="261"/>
      <c r="AJ579" s="214"/>
      <c r="AK579" s="261"/>
      <c r="AL579" s="261"/>
      <c r="AM579" s="264"/>
      <c r="AN579" s="214"/>
      <c r="AO579" s="271"/>
      <c r="AP579" s="271"/>
      <c r="AQ579" s="271"/>
      <c r="AR579" s="271"/>
      <c r="AS579" s="272"/>
      <c r="AT579" s="272"/>
      <c r="AU579" s="214"/>
      <c r="AV579" s="214"/>
    </row>
    <row r="580" ht="15.75" customHeight="1">
      <c r="A580" s="214"/>
      <c r="B580" s="261"/>
      <c r="C580" s="266"/>
      <c r="D580" s="267"/>
      <c r="E580" s="214"/>
      <c r="F580" s="214"/>
      <c r="G580" s="214"/>
      <c r="H580" s="214"/>
      <c r="I580" s="214"/>
      <c r="J580" s="214"/>
      <c r="K580" s="268"/>
      <c r="L580" s="214"/>
      <c r="M580" s="269"/>
      <c r="N580" s="214"/>
      <c r="O580" s="214"/>
      <c r="P580" s="214"/>
      <c r="Q580" s="214"/>
      <c r="R580" s="214"/>
      <c r="S580" s="214"/>
      <c r="T580" s="214"/>
      <c r="U580" s="214"/>
      <c r="V580" s="214"/>
      <c r="W580" s="214"/>
      <c r="X580" s="214"/>
      <c r="Y580" s="261"/>
      <c r="Z580" s="262"/>
      <c r="AA580" s="262"/>
      <c r="AB580" s="270"/>
      <c r="AC580" s="214"/>
      <c r="AD580" s="214"/>
      <c r="AE580" s="214"/>
      <c r="AF580" s="214"/>
      <c r="AG580" s="214"/>
      <c r="AH580" s="214"/>
      <c r="AI580" s="261"/>
      <c r="AJ580" s="214"/>
      <c r="AK580" s="261"/>
      <c r="AL580" s="261"/>
      <c r="AM580" s="264"/>
      <c r="AN580" s="214"/>
      <c r="AO580" s="271"/>
      <c r="AP580" s="271"/>
      <c r="AQ580" s="271"/>
      <c r="AR580" s="271"/>
      <c r="AS580" s="272"/>
      <c r="AT580" s="272"/>
      <c r="AU580" s="214"/>
      <c r="AV580" s="214"/>
    </row>
    <row r="581" ht="15.75" customHeight="1">
      <c r="A581" s="214"/>
      <c r="B581" s="261"/>
      <c r="C581" s="266"/>
      <c r="D581" s="267"/>
      <c r="E581" s="214"/>
      <c r="F581" s="214"/>
      <c r="G581" s="214"/>
      <c r="H581" s="214"/>
      <c r="I581" s="214"/>
      <c r="J581" s="214"/>
      <c r="K581" s="268"/>
      <c r="L581" s="214"/>
      <c r="M581" s="269"/>
      <c r="N581" s="214"/>
      <c r="O581" s="214"/>
      <c r="P581" s="214"/>
      <c r="Q581" s="214"/>
      <c r="R581" s="214"/>
      <c r="S581" s="214"/>
      <c r="T581" s="214"/>
      <c r="U581" s="214"/>
      <c r="V581" s="214"/>
      <c r="W581" s="214"/>
      <c r="X581" s="214"/>
      <c r="Y581" s="261"/>
      <c r="Z581" s="262"/>
      <c r="AA581" s="262"/>
      <c r="AB581" s="270"/>
      <c r="AC581" s="214"/>
      <c r="AD581" s="214"/>
      <c r="AE581" s="214"/>
      <c r="AF581" s="214"/>
      <c r="AG581" s="214"/>
      <c r="AH581" s="214"/>
      <c r="AI581" s="261"/>
      <c r="AJ581" s="214"/>
      <c r="AK581" s="261"/>
      <c r="AL581" s="261"/>
      <c r="AM581" s="264"/>
      <c r="AN581" s="214"/>
      <c r="AO581" s="271"/>
      <c r="AP581" s="271"/>
      <c r="AQ581" s="271"/>
      <c r="AR581" s="271"/>
      <c r="AS581" s="272"/>
      <c r="AT581" s="272"/>
      <c r="AU581" s="214"/>
      <c r="AV581" s="214"/>
    </row>
    <row r="582" ht="15.75" customHeight="1">
      <c r="A582" s="214"/>
      <c r="B582" s="261"/>
      <c r="C582" s="266"/>
      <c r="D582" s="267"/>
      <c r="E582" s="214"/>
      <c r="F582" s="214"/>
      <c r="G582" s="214"/>
      <c r="H582" s="214"/>
      <c r="I582" s="214"/>
      <c r="J582" s="214"/>
      <c r="K582" s="268"/>
      <c r="L582" s="214"/>
      <c r="M582" s="269"/>
      <c r="N582" s="214"/>
      <c r="O582" s="214"/>
      <c r="P582" s="214"/>
      <c r="Q582" s="214"/>
      <c r="R582" s="214"/>
      <c r="S582" s="214"/>
      <c r="T582" s="214"/>
      <c r="U582" s="214"/>
      <c r="V582" s="214"/>
      <c r="W582" s="214"/>
      <c r="X582" s="214"/>
      <c r="Y582" s="261"/>
      <c r="Z582" s="262"/>
      <c r="AA582" s="262"/>
      <c r="AB582" s="270"/>
      <c r="AC582" s="214"/>
      <c r="AD582" s="214"/>
      <c r="AE582" s="214"/>
      <c r="AF582" s="214"/>
      <c r="AG582" s="214"/>
      <c r="AH582" s="214"/>
      <c r="AI582" s="261"/>
      <c r="AJ582" s="214"/>
      <c r="AK582" s="261"/>
      <c r="AL582" s="261"/>
      <c r="AM582" s="264"/>
      <c r="AN582" s="214"/>
      <c r="AO582" s="271"/>
      <c r="AP582" s="271"/>
      <c r="AQ582" s="271"/>
      <c r="AR582" s="271"/>
      <c r="AS582" s="272"/>
      <c r="AT582" s="272"/>
      <c r="AU582" s="214"/>
      <c r="AV582" s="214"/>
    </row>
    <row r="583" ht="15.75" customHeight="1">
      <c r="A583" s="214"/>
      <c r="B583" s="261"/>
      <c r="C583" s="266"/>
      <c r="D583" s="267"/>
      <c r="E583" s="214"/>
      <c r="F583" s="214"/>
      <c r="G583" s="214"/>
      <c r="H583" s="214"/>
      <c r="I583" s="214"/>
      <c r="J583" s="214"/>
      <c r="K583" s="268"/>
      <c r="L583" s="214"/>
      <c r="M583" s="269"/>
      <c r="N583" s="214"/>
      <c r="O583" s="214"/>
      <c r="P583" s="214"/>
      <c r="Q583" s="214"/>
      <c r="R583" s="214"/>
      <c r="S583" s="214"/>
      <c r="T583" s="214"/>
      <c r="U583" s="214"/>
      <c r="V583" s="214"/>
      <c r="W583" s="214"/>
      <c r="X583" s="214"/>
      <c r="Y583" s="261"/>
      <c r="Z583" s="262"/>
      <c r="AA583" s="262"/>
      <c r="AB583" s="270"/>
      <c r="AC583" s="214"/>
      <c r="AD583" s="214"/>
      <c r="AE583" s="214"/>
      <c r="AF583" s="214"/>
      <c r="AG583" s="214"/>
      <c r="AH583" s="214"/>
      <c r="AI583" s="261"/>
      <c r="AJ583" s="214"/>
      <c r="AK583" s="261"/>
      <c r="AL583" s="261"/>
      <c r="AM583" s="264"/>
      <c r="AN583" s="214"/>
      <c r="AO583" s="271"/>
      <c r="AP583" s="271"/>
      <c r="AQ583" s="271"/>
      <c r="AR583" s="271"/>
      <c r="AS583" s="272"/>
      <c r="AT583" s="272"/>
      <c r="AU583" s="214"/>
      <c r="AV583" s="214"/>
    </row>
    <row r="584" ht="15.75" customHeight="1">
      <c r="A584" s="214"/>
      <c r="B584" s="261"/>
      <c r="C584" s="266"/>
      <c r="D584" s="267"/>
      <c r="E584" s="214"/>
      <c r="F584" s="214"/>
      <c r="G584" s="214"/>
      <c r="H584" s="214"/>
      <c r="I584" s="214"/>
      <c r="J584" s="214"/>
      <c r="K584" s="268"/>
      <c r="L584" s="214"/>
      <c r="M584" s="269"/>
      <c r="N584" s="214"/>
      <c r="O584" s="214"/>
      <c r="P584" s="214"/>
      <c r="Q584" s="214"/>
      <c r="R584" s="214"/>
      <c r="S584" s="214"/>
      <c r="T584" s="214"/>
      <c r="U584" s="214"/>
      <c r="V584" s="214"/>
      <c r="W584" s="214"/>
      <c r="X584" s="214"/>
      <c r="Y584" s="261"/>
      <c r="Z584" s="262"/>
      <c r="AA584" s="262"/>
      <c r="AB584" s="270"/>
      <c r="AC584" s="214"/>
      <c r="AD584" s="214"/>
      <c r="AE584" s="214"/>
      <c r="AF584" s="214"/>
      <c r="AG584" s="214"/>
      <c r="AH584" s="214"/>
      <c r="AI584" s="261"/>
      <c r="AJ584" s="214"/>
      <c r="AK584" s="261"/>
      <c r="AL584" s="261"/>
      <c r="AM584" s="264"/>
      <c r="AN584" s="214"/>
      <c r="AO584" s="271"/>
      <c r="AP584" s="271"/>
      <c r="AQ584" s="271"/>
      <c r="AR584" s="271"/>
      <c r="AS584" s="272"/>
      <c r="AT584" s="272"/>
      <c r="AU584" s="214"/>
      <c r="AV584" s="214"/>
    </row>
    <row r="585" ht="15.75" customHeight="1">
      <c r="A585" s="214"/>
      <c r="B585" s="261"/>
      <c r="C585" s="266"/>
      <c r="D585" s="267"/>
      <c r="E585" s="214"/>
      <c r="F585" s="214"/>
      <c r="G585" s="214"/>
      <c r="H585" s="214"/>
      <c r="I585" s="214"/>
      <c r="J585" s="214"/>
      <c r="K585" s="268"/>
      <c r="L585" s="214"/>
      <c r="M585" s="269"/>
      <c r="N585" s="214"/>
      <c r="O585" s="214"/>
      <c r="P585" s="214"/>
      <c r="Q585" s="214"/>
      <c r="R585" s="214"/>
      <c r="S585" s="214"/>
      <c r="T585" s="214"/>
      <c r="U585" s="214"/>
      <c r="V585" s="214"/>
      <c r="W585" s="214"/>
      <c r="X585" s="214"/>
      <c r="Y585" s="261"/>
      <c r="Z585" s="262"/>
      <c r="AA585" s="262"/>
      <c r="AB585" s="270"/>
      <c r="AC585" s="214"/>
      <c r="AD585" s="214"/>
      <c r="AE585" s="214"/>
      <c r="AF585" s="214"/>
      <c r="AG585" s="214"/>
      <c r="AH585" s="214"/>
      <c r="AI585" s="261"/>
      <c r="AJ585" s="214"/>
      <c r="AK585" s="261"/>
      <c r="AL585" s="261"/>
      <c r="AM585" s="264"/>
      <c r="AN585" s="214"/>
      <c r="AO585" s="271"/>
      <c r="AP585" s="271"/>
      <c r="AQ585" s="271"/>
      <c r="AR585" s="271"/>
      <c r="AS585" s="272"/>
      <c r="AT585" s="272"/>
      <c r="AU585" s="214"/>
      <c r="AV585" s="214"/>
    </row>
    <row r="586" ht="15.75" customHeight="1">
      <c r="A586" s="214"/>
      <c r="B586" s="261"/>
      <c r="C586" s="266"/>
      <c r="D586" s="267"/>
      <c r="E586" s="214"/>
      <c r="F586" s="214"/>
      <c r="G586" s="214"/>
      <c r="H586" s="214"/>
      <c r="I586" s="214"/>
      <c r="J586" s="214"/>
      <c r="K586" s="268"/>
      <c r="L586" s="214"/>
      <c r="M586" s="269"/>
      <c r="N586" s="214"/>
      <c r="O586" s="214"/>
      <c r="P586" s="214"/>
      <c r="Q586" s="214"/>
      <c r="R586" s="214"/>
      <c r="S586" s="214"/>
      <c r="T586" s="214"/>
      <c r="U586" s="214"/>
      <c r="V586" s="214"/>
      <c r="W586" s="214"/>
      <c r="X586" s="214"/>
      <c r="Y586" s="261"/>
      <c r="Z586" s="262"/>
      <c r="AA586" s="262"/>
      <c r="AB586" s="270"/>
      <c r="AC586" s="214"/>
      <c r="AD586" s="214"/>
      <c r="AE586" s="214"/>
      <c r="AF586" s="214"/>
      <c r="AG586" s="214"/>
      <c r="AH586" s="214"/>
      <c r="AI586" s="261"/>
      <c r="AJ586" s="214"/>
      <c r="AK586" s="261"/>
      <c r="AL586" s="261"/>
      <c r="AM586" s="264"/>
      <c r="AN586" s="214"/>
      <c r="AO586" s="271"/>
      <c r="AP586" s="271"/>
      <c r="AQ586" s="271"/>
      <c r="AR586" s="271"/>
      <c r="AS586" s="272"/>
      <c r="AT586" s="272"/>
      <c r="AU586" s="214"/>
      <c r="AV586" s="214"/>
    </row>
    <row r="587" ht="15.75" customHeight="1">
      <c r="A587" s="214"/>
      <c r="B587" s="261"/>
      <c r="C587" s="266"/>
      <c r="D587" s="267"/>
      <c r="E587" s="214"/>
      <c r="F587" s="214"/>
      <c r="G587" s="214"/>
      <c r="H587" s="214"/>
      <c r="I587" s="214"/>
      <c r="J587" s="214"/>
      <c r="K587" s="268"/>
      <c r="L587" s="214"/>
      <c r="M587" s="269"/>
      <c r="N587" s="214"/>
      <c r="O587" s="214"/>
      <c r="P587" s="214"/>
      <c r="Q587" s="214"/>
      <c r="R587" s="214"/>
      <c r="S587" s="214"/>
      <c r="T587" s="214"/>
      <c r="U587" s="214"/>
      <c r="V587" s="214"/>
      <c r="W587" s="214"/>
      <c r="X587" s="214"/>
      <c r="Y587" s="261"/>
      <c r="Z587" s="262"/>
      <c r="AA587" s="262"/>
      <c r="AB587" s="270"/>
      <c r="AC587" s="214"/>
      <c r="AD587" s="214"/>
      <c r="AE587" s="214"/>
      <c r="AF587" s="214"/>
      <c r="AG587" s="214"/>
      <c r="AH587" s="214"/>
      <c r="AI587" s="261"/>
      <c r="AJ587" s="214"/>
      <c r="AK587" s="261"/>
      <c r="AL587" s="261"/>
      <c r="AM587" s="264"/>
      <c r="AN587" s="214"/>
      <c r="AO587" s="271"/>
      <c r="AP587" s="271"/>
      <c r="AQ587" s="271"/>
      <c r="AR587" s="271"/>
      <c r="AS587" s="272"/>
      <c r="AT587" s="272"/>
      <c r="AU587" s="214"/>
      <c r="AV587" s="214"/>
    </row>
    <row r="588" ht="15.75" customHeight="1">
      <c r="A588" s="214"/>
      <c r="B588" s="261"/>
      <c r="C588" s="266"/>
      <c r="D588" s="267"/>
      <c r="E588" s="214"/>
      <c r="F588" s="214"/>
      <c r="G588" s="214"/>
      <c r="H588" s="214"/>
      <c r="I588" s="214"/>
      <c r="J588" s="214"/>
      <c r="K588" s="268"/>
      <c r="L588" s="214"/>
      <c r="M588" s="269"/>
      <c r="N588" s="214"/>
      <c r="O588" s="214"/>
      <c r="P588" s="214"/>
      <c r="Q588" s="214"/>
      <c r="R588" s="214"/>
      <c r="S588" s="214"/>
      <c r="T588" s="214"/>
      <c r="U588" s="214"/>
      <c r="V588" s="214"/>
      <c r="W588" s="214"/>
      <c r="X588" s="214"/>
      <c r="Y588" s="261"/>
      <c r="Z588" s="262"/>
      <c r="AA588" s="262"/>
      <c r="AB588" s="270"/>
      <c r="AC588" s="214"/>
      <c r="AD588" s="214"/>
      <c r="AE588" s="214"/>
      <c r="AF588" s="214"/>
      <c r="AG588" s="214"/>
      <c r="AH588" s="214"/>
      <c r="AI588" s="261"/>
      <c r="AJ588" s="214"/>
      <c r="AK588" s="261"/>
      <c r="AL588" s="261"/>
      <c r="AM588" s="264"/>
      <c r="AN588" s="214"/>
      <c r="AO588" s="271"/>
      <c r="AP588" s="271"/>
      <c r="AQ588" s="271"/>
      <c r="AR588" s="271"/>
      <c r="AS588" s="272"/>
      <c r="AT588" s="272"/>
      <c r="AU588" s="214"/>
      <c r="AV588" s="214"/>
    </row>
    <row r="589" ht="15.75" customHeight="1">
      <c r="A589" s="214"/>
      <c r="B589" s="261"/>
      <c r="C589" s="266"/>
      <c r="D589" s="267"/>
      <c r="E589" s="214"/>
      <c r="F589" s="214"/>
      <c r="G589" s="214"/>
      <c r="H589" s="214"/>
      <c r="I589" s="214"/>
      <c r="J589" s="214"/>
      <c r="K589" s="268"/>
      <c r="L589" s="214"/>
      <c r="M589" s="269"/>
      <c r="N589" s="214"/>
      <c r="O589" s="214"/>
      <c r="P589" s="214"/>
      <c r="Q589" s="214"/>
      <c r="R589" s="214"/>
      <c r="S589" s="214"/>
      <c r="T589" s="214"/>
      <c r="U589" s="214"/>
      <c r="V589" s="214"/>
      <c r="W589" s="214"/>
      <c r="X589" s="214"/>
      <c r="Y589" s="261"/>
      <c r="Z589" s="262"/>
      <c r="AA589" s="262"/>
      <c r="AB589" s="270"/>
      <c r="AC589" s="214"/>
      <c r="AD589" s="214"/>
      <c r="AE589" s="214"/>
      <c r="AF589" s="214"/>
      <c r="AG589" s="214"/>
      <c r="AH589" s="214"/>
      <c r="AI589" s="261"/>
      <c r="AJ589" s="214"/>
      <c r="AK589" s="261"/>
      <c r="AL589" s="261"/>
      <c r="AM589" s="264"/>
      <c r="AN589" s="214"/>
      <c r="AO589" s="271"/>
      <c r="AP589" s="271"/>
      <c r="AQ589" s="271"/>
      <c r="AR589" s="271"/>
      <c r="AS589" s="272"/>
      <c r="AT589" s="272"/>
      <c r="AU589" s="214"/>
      <c r="AV589" s="214"/>
    </row>
    <row r="590" ht="15.75" customHeight="1">
      <c r="A590" s="214"/>
      <c r="B590" s="261"/>
      <c r="C590" s="266"/>
      <c r="D590" s="267"/>
      <c r="E590" s="214"/>
      <c r="F590" s="214"/>
      <c r="G590" s="214"/>
      <c r="H590" s="214"/>
      <c r="I590" s="214"/>
      <c r="J590" s="214"/>
      <c r="K590" s="268"/>
      <c r="L590" s="214"/>
      <c r="M590" s="269"/>
      <c r="N590" s="214"/>
      <c r="O590" s="214"/>
      <c r="P590" s="214"/>
      <c r="Q590" s="214"/>
      <c r="R590" s="214"/>
      <c r="S590" s="214"/>
      <c r="T590" s="214"/>
      <c r="U590" s="214"/>
      <c r="V590" s="214"/>
      <c r="W590" s="214"/>
      <c r="X590" s="214"/>
      <c r="Y590" s="261"/>
      <c r="Z590" s="262"/>
      <c r="AA590" s="262"/>
      <c r="AB590" s="270"/>
      <c r="AC590" s="214"/>
      <c r="AD590" s="214"/>
      <c r="AE590" s="214"/>
      <c r="AF590" s="214"/>
      <c r="AG590" s="214"/>
      <c r="AH590" s="214"/>
      <c r="AI590" s="261"/>
      <c r="AJ590" s="214"/>
      <c r="AK590" s="261"/>
      <c r="AL590" s="261"/>
      <c r="AM590" s="264"/>
      <c r="AN590" s="214"/>
      <c r="AO590" s="271"/>
      <c r="AP590" s="271"/>
      <c r="AQ590" s="271"/>
      <c r="AR590" s="271"/>
      <c r="AS590" s="272"/>
      <c r="AT590" s="272"/>
      <c r="AU590" s="214"/>
      <c r="AV590" s="214"/>
    </row>
    <row r="591" ht="15.75" customHeight="1">
      <c r="A591" s="214"/>
      <c r="B591" s="261"/>
      <c r="C591" s="266"/>
      <c r="D591" s="267"/>
      <c r="E591" s="214"/>
      <c r="F591" s="214"/>
      <c r="G591" s="214"/>
      <c r="H591" s="214"/>
      <c r="I591" s="214"/>
      <c r="J591" s="214"/>
      <c r="K591" s="268"/>
      <c r="L591" s="214"/>
      <c r="M591" s="269"/>
      <c r="N591" s="214"/>
      <c r="O591" s="214"/>
      <c r="P591" s="214"/>
      <c r="Q591" s="214"/>
      <c r="R591" s="214"/>
      <c r="S591" s="214"/>
      <c r="T591" s="214"/>
      <c r="U591" s="214"/>
      <c r="V591" s="214"/>
      <c r="W591" s="214"/>
      <c r="X591" s="214"/>
      <c r="Y591" s="261"/>
      <c r="Z591" s="262"/>
      <c r="AA591" s="262"/>
      <c r="AB591" s="270"/>
      <c r="AC591" s="214"/>
      <c r="AD591" s="214"/>
      <c r="AE591" s="214"/>
      <c r="AF591" s="214"/>
      <c r="AG591" s="214"/>
      <c r="AH591" s="214"/>
      <c r="AI591" s="261"/>
      <c r="AJ591" s="214"/>
      <c r="AK591" s="261"/>
      <c r="AL591" s="261"/>
      <c r="AM591" s="264"/>
      <c r="AN591" s="214"/>
      <c r="AO591" s="271"/>
      <c r="AP591" s="271"/>
      <c r="AQ591" s="271"/>
      <c r="AR591" s="271"/>
      <c r="AS591" s="272"/>
      <c r="AT591" s="272"/>
      <c r="AU591" s="214"/>
      <c r="AV591" s="214"/>
    </row>
    <row r="592" ht="15.75" customHeight="1">
      <c r="A592" s="214"/>
      <c r="B592" s="261"/>
      <c r="C592" s="266"/>
      <c r="D592" s="267"/>
      <c r="E592" s="214"/>
      <c r="F592" s="214"/>
      <c r="G592" s="214"/>
      <c r="H592" s="214"/>
      <c r="I592" s="214"/>
      <c r="J592" s="214"/>
      <c r="K592" s="268"/>
      <c r="L592" s="214"/>
      <c r="M592" s="269"/>
      <c r="N592" s="214"/>
      <c r="O592" s="214"/>
      <c r="P592" s="214"/>
      <c r="Q592" s="214"/>
      <c r="R592" s="214"/>
      <c r="S592" s="214"/>
      <c r="T592" s="214"/>
      <c r="U592" s="214"/>
      <c r="V592" s="214"/>
      <c r="W592" s="214"/>
      <c r="X592" s="214"/>
      <c r="Y592" s="261"/>
      <c r="Z592" s="262"/>
      <c r="AA592" s="262"/>
      <c r="AB592" s="270"/>
      <c r="AC592" s="214"/>
      <c r="AD592" s="214"/>
      <c r="AE592" s="214"/>
      <c r="AF592" s="214"/>
      <c r="AG592" s="214"/>
      <c r="AH592" s="214"/>
      <c r="AI592" s="261"/>
      <c r="AJ592" s="214"/>
      <c r="AK592" s="261"/>
      <c r="AL592" s="261"/>
      <c r="AM592" s="264"/>
      <c r="AN592" s="214"/>
      <c r="AO592" s="271"/>
      <c r="AP592" s="271"/>
      <c r="AQ592" s="271"/>
      <c r="AR592" s="271"/>
      <c r="AS592" s="272"/>
      <c r="AT592" s="272"/>
      <c r="AU592" s="214"/>
      <c r="AV592" s="214"/>
    </row>
    <row r="593" ht="15.75" customHeight="1">
      <c r="A593" s="214"/>
      <c r="B593" s="261"/>
      <c r="C593" s="266"/>
      <c r="D593" s="267"/>
      <c r="E593" s="214"/>
      <c r="F593" s="214"/>
      <c r="G593" s="214"/>
      <c r="H593" s="214"/>
      <c r="I593" s="214"/>
      <c r="J593" s="214"/>
      <c r="K593" s="268"/>
      <c r="L593" s="214"/>
      <c r="M593" s="269"/>
      <c r="N593" s="214"/>
      <c r="O593" s="214"/>
      <c r="P593" s="214"/>
      <c r="Q593" s="214"/>
      <c r="R593" s="214"/>
      <c r="S593" s="214"/>
      <c r="T593" s="214"/>
      <c r="U593" s="214"/>
      <c r="V593" s="214"/>
      <c r="W593" s="214"/>
      <c r="X593" s="214"/>
      <c r="Y593" s="261"/>
      <c r="Z593" s="262"/>
      <c r="AA593" s="262"/>
      <c r="AB593" s="270"/>
      <c r="AC593" s="214"/>
      <c r="AD593" s="214"/>
      <c r="AE593" s="214"/>
      <c r="AF593" s="214"/>
      <c r="AG593" s="214"/>
      <c r="AH593" s="214"/>
      <c r="AI593" s="261"/>
      <c r="AJ593" s="214"/>
      <c r="AK593" s="261"/>
      <c r="AL593" s="261"/>
      <c r="AM593" s="264"/>
      <c r="AN593" s="214"/>
      <c r="AO593" s="271"/>
      <c r="AP593" s="271"/>
      <c r="AQ593" s="271"/>
      <c r="AR593" s="271"/>
      <c r="AS593" s="272"/>
      <c r="AT593" s="272"/>
      <c r="AU593" s="214"/>
      <c r="AV593" s="214"/>
    </row>
    <row r="594" ht="15.75" customHeight="1">
      <c r="A594" s="214"/>
      <c r="B594" s="261"/>
      <c r="C594" s="266"/>
      <c r="D594" s="267"/>
      <c r="E594" s="214"/>
      <c r="F594" s="214"/>
      <c r="G594" s="214"/>
      <c r="H594" s="214"/>
      <c r="I594" s="214"/>
      <c r="J594" s="214"/>
      <c r="K594" s="268"/>
      <c r="L594" s="214"/>
      <c r="M594" s="269"/>
      <c r="N594" s="214"/>
      <c r="O594" s="214"/>
      <c r="P594" s="214"/>
      <c r="Q594" s="214"/>
      <c r="R594" s="214"/>
      <c r="S594" s="214"/>
      <c r="T594" s="214"/>
      <c r="U594" s="214"/>
      <c r="V594" s="214"/>
      <c r="W594" s="214"/>
      <c r="X594" s="214"/>
      <c r="Y594" s="261"/>
      <c r="Z594" s="262"/>
      <c r="AA594" s="262"/>
      <c r="AB594" s="270"/>
      <c r="AC594" s="214"/>
      <c r="AD594" s="214"/>
      <c r="AE594" s="214"/>
      <c r="AF594" s="214"/>
      <c r="AG594" s="214"/>
      <c r="AH594" s="214"/>
      <c r="AI594" s="261"/>
      <c r="AJ594" s="214"/>
      <c r="AK594" s="261"/>
      <c r="AL594" s="261"/>
      <c r="AM594" s="264"/>
      <c r="AN594" s="214"/>
      <c r="AO594" s="271"/>
      <c r="AP594" s="271"/>
      <c r="AQ594" s="271"/>
      <c r="AR594" s="271"/>
      <c r="AS594" s="272"/>
      <c r="AT594" s="272"/>
      <c r="AU594" s="214"/>
      <c r="AV594" s="214"/>
    </row>
    <row r="595" ht="15.75" customHeight="1">
      <c r="A595" s="214"/>
      <c r="B595" s="261"/>
      <c r="C595" s="266"/>
      <c r="D595" s="267"/>
      <c r="E595" s="214"/>
      <c r="F595" s="214"/>
      <c r="G595" s="214"/>
      <c r="H595" s="214"/>
      <c r="I595" s="214"/>
      <c r="J595" s="214"/>
      <c r="K595" s="268"/>
      <c r="L595" s="214"/>
      <c r="M595" s="269"/>
      <c r="N595" s="214"/>
      <c r="O595" s="214"/>
      <c r="P595" s="214"/>
      <c r="Q595" s="214"/>
      <c r="R595" s="214"/>
      <c r="S595" s="214"/>
      <c r="T595" s="214"/>
      <c r="U595" s="214"/>
      <c r="V595" s="214"/>
      <c r="W595" s="214"/>
      <c r="X595" s="214"/>
      <c r="Y595" s="261"/>
      <c r="Z595" s="262"/>
      <c r="AA595" s="262"/>
      <c r="AB595" s="270"/>
      <c r="AC595" s="214"/>
      <c r="AD595" s="214"/>
      <c r="AE595" s="214"/>
      <c r="AF595" s="214"/>
      <c r="AG595" s="214"/>
      <c r="AH595" s="214"/>
      <c r="AI595" s="261"/>
      <c r="AJ595" s="214"/>
      <c r="AK595" s="261"/>
      <c r="AL595" s="261"/>
      <c r="AM595" s="264"/>
      <c r="AN595" s="214"/>
      <c r="AO595" s="271"/>
      <c r="AP595" s="271"/>
      <c r="AQ595" s="271"/>
      <c r="AR595" s="271"/>
      <c r="AS595" s="272"/>
      <c r="AT595" s="272"/>
      <c r="AU595" s="214"/>
      <c r="AV595" s="214"/>
    </row>
    <row r="596" ht="15.75" customHeight="1">
      <c r="A596" s="214"/>
      <c r="B596" s="261"/>
      <c r="C596" s="266"/>
      <c r="D596" s="267"/>
      <c r="E596" s="214"/>
      <c r="F596" s="214"/>
      <c r="G596" s="214"/>
      <c r="H596" s="214"/>
      <c r="I596" s="214"/>
      <c r="J596" s="214"/>
      <c r="K596" s="268"/>
      <c r="L596" s="214"/>
      <c r="M596" s="269"/>
      <c r="N596" s="214"/>
      <c r="O596" s="214"/>
      <c r="P596" s="214"/>
      <c r="Q596" s="214"/>
      <c r="R596" s="214"/>
      <c r="S596" s="214"/>
      <c r="T596" s="214"/>
      <c r="U596" s="214"/>
      <c r="V596" s="214"/>
      <c r="W596" s="214"/>
      <c r="X596" s="214"/>
      <c r="Y596" s="261"/>
      <c r="Z596" s="262"/>
      <c r="AA596" s="262"/>
      <c r="AB596" s="270"/>
      <c r="AC596" s="214"/>
      <c r="AD596" s="214"/>
      <c r="AE596" s="214"/>
      <c r="AF596" s="214"/>
      <c r="AG596" s="214"/>
      <c r="AH596" s="214"/>
      <c r="AI596" s="261"/>
      <c r="AJ596" s="214"/>
      <c r="AK596" s="261"/>
      <c r="AL596" s="261"/>
      <c r="AM596" s="264"/>
      <c r="AN596" s="214"/>
      <c r="AO596" s="271"/>
      <c r="AP596" s="271"/>
      <c r="AQ596" s="271"/>
      <c r="AR596" s="271"/>
      <c r="AS596" s="272"/>
      <c r="AT596" s="272"/>
      <c r="AU596" s="214"/>
      <c r="AV596" s="214"/>
    </row>
    <row r="597" ht="15.75" customHeight="1">
      <c r="A597" s="214"/>
      <c r="B597" s="261"/>
      <c r="C597" s="266"/>
      <c r="D597" s="267"/>
      <c r="E597" s="214"/>
      <c r="F597" s="214"/>
      <c r="G597" s="214"/>
      <c r="H597" s="214"/>
      <c r="I597" s="214"/>
      <c r="J597" s="214"/>
      <c r="K597" s="268"/>
      <c r="L597" s="214"/>
      <c r="M597" s="269"/>
      <c r="N597" s="214"/>
      <c r="O597" s="214"/>
      <c r="P597" s="214"/>
      <c r="Q597" s="214"/>
      <c r="R597" s="214"/>
      <c r="S597" s="214"/>
      <c r="T597" s="214"/>
      <c r="U597" s="214"/>
      <c r="V597" s="214"/>
      <c r="W597" s="214"/>
      <c r="X597" s="214"/>
      <c r="Y597" s="261"/>
      <c r="Z597" s="262"/>
      <c r="AA597" s="262"/>
      <c r="AB597" s="270"/>
      <c r="AC597" s="214"/>
      <c r="AD597" s="214"/>
      <c r="AE597" s="214"/>
      <c r="AF597" s="214"/>
      <c r="AG597" s="214"/>
      <c r="AH597" s="214"/>
      <c r="AI597" s="261"/>
      <c r="AJ597" s="214"/>
      <c r="AK597" s="261"/>
      <c r="AL597" s="261"/>
      <c r="AM597" s="264"/>
      <c r="AN597" s="214"/>
      <c r="AO597" s="271"/>
      <c r="AP597" s="271"/>
      <c r="AQ597" s="271"/>
      <c r="AR597" s="271"/>
      <c r="AS597" s="272"/>
      <c r="AT597" s="272"/>
      <c r="AU597" s="214"/>
      <c r="AV597" s="214"/>
    </row>
    <row r="598" ht="15.75" customHeight="1">
      <c r="A598" s="214"/>
      <c r="B598" s="261"/>
      <c r="C598" s="266"/>
      <c r="D598" s="267"/>
      <c r="E598" s="214"/>
      <c r="F598" s="214"/>
      <c r="G598" s="214"/>
      <c r="H598" s="214"/>
      <c r="I598" s="214"/>
      <c r="J598" s="214"/>
      <c r="K598" s="268"/>
      <c r="L598" s="214"/>
      <c r="M598" s="269"/>
      <c r="N598" s="214"/>
      <c r="O598" s="214"/>
      <c r="P598" s="214"/>
      <c r="Q598" s="214"/>
      <c r="R598" s="214"/>
      <c r="S598" s="214"/>
      <c r="T598" s="214"/>
      <c r="U598" s="214"/>
      <c r="V598" s="214"/>
      <c r="W598" s="214"/>
      <c r="X598" s="214"/>
      <c r="Y598" s="261"/>
      <c r="Z598" s="262"/>
      <c r="AA598" s="262"/>
      <c r="AB598" s="270"/>
      <c r="AC598" s="214"/>
      <c r="AD598" s="214"/>
      <c r="AE598" s="214"/>
      <c r="AF598" s="214"/>
      <c r="AG598" s="214"/>
      <c r="AH598" s="214"/>
      <c r="AI598" s="261"/>
      <c r="AJ598" s="214"/>
      <c r="AK598" s="261"/>
      <c r="AL598" s="261"/>
      <c r="AM598" s="264"/>
      <c r="AN598" s="214"/>
      <c r="AO598" s="271"/>
      <c r="AP598" s="271"/>
      <c r="AQ598" s="271"/>
      <c r="AR598" s="271"/>
      <c r="AS598" s="272"/>
      <c r="AT598" s="272"/>
      <c r="AU598" s="214"/>
      <c r="AV598" s="214"/>
    </row>
    <row r="599" ht="15.75" customHeight="1">
      <c r="A599" s="214"/>
      <c r="B599" s="261"/>
      <c r="C599" s="266"/>
      <c r="D599" s="267"/>
      <c r="E599" s="214"/>
      <c r="F599" s="214"/>
      <c r="G599" s="214"/>
      <c r="H599" s="214"/>
      <c r="I599" s="214"/>
      <c r="J599" s="214"/>
      <c r="K599" s="268"/>
      <c r="L599" s="214"/>
      <c r="M599" s="269"/>
      <c r="N599" s="214"/>
      <c r="O599" s="214"/>
      <c r="P599" s="214"/>
      <c r="Q599" s="214"/>
      <c r="R599" s="214"/>
      <c r="S599" s="214"/>
      <c r="T599" s="214"/>
      <c r="U599" s="214"/>
      <c r="V599" s="214"/>
      <c r="W599" s="214"/>
      <c r="X599" s="214"/>
      <c r="Y599" s="261"/>
      <c r="Z599" s="262"/>
      <c r="AA599" s="262"/>
      <c r="AB599" s="270"/>
      <c r="AC599" s="214"/>
      <c r="AD599" s="214"/>
      <c r="AE599" s="214"/>
      <c r="AF599" s="214"/>
      <c r="AG599" s="214"/>
      <c r="AH599" s="214"/>
      <c r="AI599" s="261"/>
      <c r="AJ599" s="214"/>
      <c r="AK599" s="261"/>
      <c r="AL599" s="261"/>
      <c r="AM599" s="264"/>
      <c r="AN599" s="214"/>
      <c r="AO599" s="271"/>
      <c r="AP599" s="271"/>
      <c r="AQ599" s="271"/>
      <c r="AR599" s="271"/>
      <c r="AS599" s="272"/>
      <c r="AT599" s="272"/>
      <c r="AU599" s="214"/>
      <c r="AV599" s="214"/>
    </row>
    <row r="600" ht="15.75" customHeight="1">
      <c r="A600" s="214"/>
      <c r="B600" s="261"/>
      <c r="C600" s="266"/>
      <c r="D600" s="267"/>
      <c r="E600" s="214"/>
      <c r="F600" s="214"/>
      <c r="G600" s="214"/>
      <c r="H600" s="214"/>
      <c r="I600" s="214"/>
      <c r="J600" s="214"/>
      <c r="K600" s="268"/>
      <c r="L600" s="214"/>
      <c r="M600" s="269"/>
      <c r="N600" s="214"/>
      <c r="O600" s="214"/>
      <c r="P600" s="214"/>
      <c r="Q600" s="214"/>
      <c r="R600" s="214"/>
      <c r="S600" s="214"/>
      <c r="T600" s="214"/>
      <c r="U600" s="214"/>
      <c r="V600" s="214"/>
      <c r="W600" s="214"/>
      <c r="X600" s="214"/>
      <c r="Y600" s="261"/>
      <c r="Z600" s="262"/>
      <c r="AA600" s="262"/>
      <c r="AB600" s="270"/>
      <c r="AC600" s="214"/>
      <c r="AD600" s="214"/>
      <c r="AE600" s="214"/>
      <c r="AF600" s="214"/>
      <c r="AG600" s="214"/>
      <c r="AH600" s="214"/>
      <c r="AI600" s="261"/>
      <c r="AJ600" s="214"/>
      <c r="AK600" s="261"/>
      <c r="AL600" s="261"/>
      <c r="AM600" s="264"/>
      <c r="AN600" s="214"/>
      <c r="AO600" s="271"/>
      <c r="AP600" s="271"/>
      <c r="AQ600" s="271"/>
      <c r="AR600" s="271"/>
      <c r="AS600" s="272"/>
      <c r="AT600" s="272"/>
      <c r="AU600" s="214"/>
      <c r="AV600" s="214"/>
    </row>
    <row r="601" ht="15.75" customHeight="1">
      <c r="A601" s="214"/>
      <c r="B601" s="261"/>
      <c r="C601" s="266"/>
      <c r="D601" s="267"/>
      <c r="E601" s="214"/>
      <c r="F601" s="214"/>
      <c r="G601" s="214"/>
      <c r="H601" s="214"/>
      <c r="I601" s="214"/>
      <c r="J601" s="214"/>
      <c r="K601" s="268"/>
      <c r="L601" s="214"/>
      <c r="M601" s="269"/>
      <c r="N601" s="214"/>
      <c r="O601" s="214"/>
      <c r="P601" s="214"/>
      <c r="Q601" s="214"/>
      <c r="R601" s="214"/>
      <c r="S601" s="214"/>
      <c r="T601" s="214"/>
      <c r="U601" s="214"/>
      <c r="V601" s="214"/>
      <c r="W601" s="214"/>
      <c r="X601" s="214"/>
      <c r="Y601" s="261"/>
      <c r="Z601" s="262"/>
      <c r="AA601" s="262"/>
      <c r="AB601" s="270"/>
      <c r="AC601" s="214"/>
      <c r="AD601" s="214"/>
      <c r="AE601" s="214"/>
      <c r="AF601" s="214"/>
      <c r="AG601" s="214"/>
      <c r="AH601" s="214"/>
      <c r="AI601" s="261"/>
      <c r="AJ601" s="214"/>
      <c r="AK601" s="261"/>
      <c r="AL601" s="261"/>
      <c r="AM601" s="264"/>
      <c r="AN601" s="214"/>
      <c r="AO601" s="271"/>
      <c r="AP601" s="271"/>
      <c r="AQ601" s="271"/>
      <c r="AR601" s="271"/>
      <c r="AS601" s="272"/>
      <c r="AT601" s="272"/>
      <c r="AU601" s="214"/>
      <c r="AV601" s="214"/>
    </row>
    <row r="602" ht="15.75" customHeight="1">
      <c r="A602" s="214"/>
      <c r="B602" s="261"/>
      <c r="C602" s="266"/>
      <c r="D602" s="267"/>
      <c r="E602" s="214"/>
      <c r="F602" s="214"/>
      <c r="G602" s="214"/>
      <c r="H602" s="214"/>
      <c r="I602" s="214"/>
      <c r="J602" s="214"/>
      <c r="K602" s="268"/>
      <c r="L602" s="214"/>
      <c r="M602" s="269"/>
      <c r="N602" s="214"/>
      <c r="O602" s="214"/>
      <c r="P602" s="214"/>
      <c r="Q602" s="214"/>
      <c r="R602" s="214"/>
      <c r="S602" s="214"/>
      <c r="T602" s="214"/>
      <c r="U602" s="214"/>
      <c r="V602" s="214"/>
      <c r="W602" s="214"/>
      <c r="X602" s="214"/>
      <c r="Y602" s="261"/>
      <c r="Z602" s="262"/>
      <c r="AA602" s="262"/>
      <c r="AB602" s="270"/>
      <c r="AC602" s="214"/>
      <c r="AD602" s="214"/>
      <c r="AE602" s="214"/>
      <c r="AF602" s="214"/>
      <c r="AG602" s="214"/>
      <c r="AH602" s="214"/>
      <c r="AI602" s="261"/>
      <c r="AJ602" s="214"/>
      <c r="AK602" s="261"/>
      <c r="AL602" s="261"/>
      <c r="AM602" s="264"/>
      <c r="AN602" s="214"/>
      <c r="AO602" s="271"/>
      <c r="AP602" s="271"/>
      <c r="AQ602" s="271"/>
      <c r="AR602" s="271"/>
      <c r="AS602" s="272"/>
      <c r="AT602" s="272"/>
      <c r="AU602" s="214"/>
      <c r="AV602" s="214"/>
    </row>
    <row r="603" ht="15.75" customHeight="1">
      <c r="A603" s="214"/>
      <c r="B603" s="261"/>
      <c r="C603" s="266"/>
      <c r="D603" s="267"/>
      <c r="E603" s="214"/>
      <c r="F603" s="214"/>
      <c r="G603" s="214"/>
      <c r="H603" s="214"/>
      <c r="I603" s="214"/>
      <c r="J603" s="214"/>
      <c r="K603" s="268"/>
      <c r="L603" s="214"/>
      <c r="M603" s="269"/>
      <c r="N603" s="214"/>
      <c r="O603" s="214"/>
      <c r="P603" s="214"/>
      <c r="Q603" s="214"/>
      <c r="R603" s="214"/>
      <c r="S603" s="214"/>
      <c r="T603" s="214"/>
      <c r="U603" s="214"/>
      <c r="V603" s="214"/>
      <c r="W603" s="214"/>
      <c r="X603" s="214"/>
      <c r="Y603" s="261"/>
      <c r="Z603" s="262"/>
      <c r="AA603" s="262"/>
      <c r="AB603" s="270"/>
      <c r="AC603" s="214"/>
      <c r="AD603" s="214"/>
      <c r="AE603" s="214"/>
      <c r="AF603" s="214"/>
      <c r="AG603" s="214"/>
      <c r="AH603" s="214"/>
      <c r="AI603" s="261"/>
      <c r="AJ603" s="214"/>
      <c r="AK603" s="261"/>
      <c r="AL603" s="261"/>
      <c r="AM603" s="264"/>
      <c r="AN603" s="214"/>
      <c r="AO603" s="271"/>
      <c r="AP603" s="271"/>
      <c r="AQ603" s="271"/>
      <c r="AR603" s="271"/>
      <c r="AS603" s="272"/>
      <c r="AT603" s="272"/>
      <c r="AU603" s="214"/>
      <c r="AV603" s="214"/>
    </row>
    <row r="604" ht="15.75" customHeight="1">
      <c r="A604" s="214"/>
      <c r="B604" s="261"/>
      <c r="C604" s="266"/>
      <c r="D604" s="267"/>
      <c r="E604" s="214"/>
      <c r="F604" s="214"/>
      <c r="G604" s="214"/>
      <c r="H604" s="214"/>
      <c r="I604" s="214"/>
      <c r="J604" s="214"/>
      <c r="K604" s="268"/>
      <c r="L604" s="214"/>
      <c r="M604" s="269"/>
      <c r="N604" s="214"/>
      <c r="O604" s="214"/>
      <c r="P604" s="214"/>
      <c r="Q604" s="214"/>
      <c r="R604" s="214"/>
      <c r="S604" s="214"/>
      <c r="T604" s="214"/>
      <c r="U604" s="214"/>
      <c r="V604" s="214"/>
      <c r="W604" s="214"/>
      <c r="X604" s="214"/>
      <c r="Y604" s="261"/>
      <c r="Z604" s="262"/>
      <c r="AA604" s="262"/>
      <c r="AB604" s="270"/>
      <c r="AC604" s="214"/>
      <c r="AD604" s="214"/>
      <c r="AE604" s="214"/>
      <c r="AF604" s="214"/>
      <c r="AG604" s="214"/>
      <c r="AH604" s="214"/>
      <c r="AI604" s="261"/>
      <c r="AJ604" s="214"/>
      <c r="AK604" s="261"/>
      <c r="AL604" s="261"/>
      <c r="AM604" s="264"/>
      <c r="AN604" s="214"/>
      <c r="AO604" s="271"/>
      <c r="AP604" s="271"/>
      <c r="AQ604" s="271"/>
      <c r="AR604" s="271"/>
      <c r="AS604" s="272"/>
      <c r="AT604" s="272"/>
      <c r="AU604" s="214"/>
      <c r="AV604" s="214"/>
    </row>
    <row r="605" ht="15.75" customHeight="1">
      <c r="A605" s="214"/>
      <c r="B605" s="261"/>
      <c r="C605" s="266"/>
      <c r="D605" s="267"/>
      <c r="E605" s="214"/>
      <c r="F605" s="214"/>
      <c r="G605" s="214"/>
      <c r="H605" s="214"/>
      <c r="I605" s="214"/>
      <c r="J605" s="214"/>
      <c r="K605" s="268"/>
      <c r="L605" s="214"/>
      <c r="M605" s="269"/>
      <c r="N605" s="214"/>
      <c r="O605" s="214"/>
      <c r="P605" s="214"/>
      <c r="Q605" s="214"/>
      <c r="R605" s="214"/>
      <c r="S605" s="214"/>
      <c r="T605" s="214"/>
      <c r="U605" s="214"/>
      <c r="V605" s="214"/>
      <c r="W605" s="214"/>
      <c r="X605" s="214"/>
      <c r="Y605" s="261"/>
      <c r="Z605" s="262"/>
      <c r="AA605" s="262"/>
      <c r="AB605" s="270"/>
      <c r="AC605" s="214"/>
      <c r="AD605" s="214"/>
      <c r="AE605" s="214"/>
      <c r="AF605" s="214"/>
      <c r="AG605" s="214"/>
      <c r="AH605" s="214"/>
      <c r="AI605" s="261"/>
      <c r="AJ605" s="214"/>
      <c r="AK605" s="261"/>
      <c r="AL605" s="261"/>
      <c r="AM605" s="264"/>
      <c r="AN605" s="214"/>
      <c r="AO605" s="271"/>
      <c r="AP605" s="271"/>
      <c r="AQ605" s="271"/>
      <c r="AR605" s="271"/>
      <c r="AS605" s="272"/>
      <c r="AT605" s="272"/>
      <c r="AU605" s="214"/>
      <c r="AV605" s="214"/>
    </row>
    <row r="606" ht="15.75" customHeight="1">
      <c r="A606" s="214"/>
      <c r="B606" s="261"/>
      <c r="C606" s="266"/>
      <c r="D606" s="267"/>
      <c r="E606" s="214"/>
      <c r="F606" s="214"/>
      <c r="G606" s="214"/>
      <c r="H606" s="214"/>
      <c r="I606" s="214"/>
      <c r="J606" s="214"/>
      <c r="K606" s="268"/>
      <c r="L606" s="214"/>
      <c r="M606" s="269"/>
      <c r="N606" s="214"/>
      <c r="O606" s="214"/>
      <c r="P606" s="214"/>
      <c r="Q606" s="214"/>
      <c r="R606" s="214"/>
      <c r="S606" s="214"/>
      <c r="T606" s="214"/>
      <c r="U606" s="214"/>
      <c r="V606" s="214"/>
      <c r="W606" s="214"/>
      <c r="X606" s="214"/>
      <c r="Y606" s="261"/>
      <c r="Z606" s="262"/>
      <c r="AA606" s="262"/>
      <c r="AB606" s="270"/>
      <c r="AC606" s="214"/>
      <c r="AD606" s="214"/>
      <c r="AE606" s="214"/>
      <c r="AF606" s="214"/>
      <c r="AG606" s="214"/>
      <c r="AH606" s="214"/>
      <c r="AI606" s="261"/>
      <c r="AJ606" s="214"/>
      <c r="AK606" s="261"/>
      <c r="AL606" s="261"/>
      <c r="AM606" s="264"/>
      <c r="AN606" s="214"/>
      <c r="AO606" s="271"/>
      <c r="AP606" s="271"/>
      <c r="AQ606" s="271"/>
      <c r="AR606" s="271"/>
      <c r="AS606" s="272"/>
      <c r="AT606" s="272"/>
      <c r="AU606" s="214"/>
      <c r="AV606" s="214"/>
    </row>
    <row r="607" ht="15.75" customHeight="1">
      <c r="A607" s="214"/>
      <c r="B607" s="261"/>
      <c r="C607" s="266"/>
      <c r="D607" s="267"/>
      <c r="E607" s="214"/>
      <c r="F607" s="214"/>
      <c r="G607" s="214"/>
      <c r="H607" s="214"/>
      <c r="I607" s="214"/>
      <c r="J607" s="214"/>
      <c r="K607" s="268"/>
      <c r="L607" s="214"/>
      <c r="M607" s="269"/>
      <c r="N607" s="214"/>
      <c r="O607" s="214"/>
      <c r="P607" s="214"/>
      <c r="Q607" s="214"/>
      <c r="R607" s="214"/>
      <c r="S607" s="214"/>
      <c r="T607" s="214"/>
      <c r="U607" s="214"/>
      <c r="V607" s="214"/>
      <c r="W607" s="214"/>
      <c r="X607" s="214"/>
      <c r="Y607" s="261"/>
      <c r="Z607" s="262"/>
      <c r="AA607" s="262"/>
      <c r="AB607" s="270"/>
      <c r="AC607" s="214"/>
      <c r="AD607" s="214"/>
      <c r="AE607" s="214"/>
      <c r="AF607" s="214"/>
      <c r="AG607" s="214"/>
      <c r="AH607" s="214"/>
      <c r="AI607" s="261"/>
      <c r="AJ607" s="214"/>
      <c r="AK607" s="261"/>
      <c r="AL607" s="261"/>
      <c r="AM607" s="264"/>
      <c r="AN607" s="214"/>
      <c r="AO607" s="271"/>
      <c r="AP607" s="271"/>
      <c r="AQ607" s="271"/>
      <c r="AR607" s="271"/>
      <c r="AS607" s="272"/>
      <c r="AT607" s="272"/>
      <c r="AU607" s="214"/>
      <c r="AV607" s="214"/>
    </row>
    <row r="608" ht="15.75" customHeight="1">
      <c r="A608" s="214"/>
      <c r="B608" s="261"/>
      <c r="C608" s="266"/>
      <c r="D608" s="267"/>
      <c r="E608" s="214"/>
      <c r="F608" s="214"/>
      <c r="G608" s="214"/>
      <c r="H608" s="214"/>
      <c r="I608" s="214"/>
      <c r="J608" s="214"/>
      <c r="K608" s="268"/>
      <c r="L608" s="214"/>
      <c r="M608" s="269"/>
      <c r="N608" s="214"/>
      <c r="O608" s="214"/>
      <c r="P608" s="214"/>
      <c r="Q608" s="214"/>
      <c r="R608" s="214"/>
      <c r="S608" s="214"/>
      <c r="T608" s="214"/>
      <c r="U608" s="214"/>
      <c r="V608" s="214"/>
      <c r="W608" s="214"/>
      <c r="X608" s="214"/>
      <c r="Y608" s="261"/>
      <c r="Z608" s="262"/>
      <c r="AA608" s="262"/>
      <c r="AB608" s="270"/>
      <c r="AC608" s="214"/>
      <c r="AD608" s="214"/>
      <c r="AE608" s="214"/>
      <c r="AF608" s="214"/>
      <c r="AG608" s="214"/>
      <c r="AH608" s="214"/>
      <c r="AI608" s="261"/>
      <c r="AJ608" s="214"/>
      <c r="AK608" s="261"/>
      <c r="AL608" s="261"/>
      <c r="AM608" s="264"/>
      <c r="AN608" s="214"/>
      <c r="AO608" s="271"/>
      <c r="AP608" s="271"/>
      <c r="AQ608" s="271"/>
      <c r="AR608" s="271"/>
      <c r="AS608" s="272"/>
      <c r="AT608" s="272"/>
      <c r="AU608" s="214"/>
      <c r="AV608" s="214"/>
    </row>
    <row r="609" ht="15.75" customHeight="1">
      <c r="A609" s="214"/>
      <c r="B609" s="261"/>
      <c r="C609" s="266"/>
      <c r="D609" s="267"/>
      <c r="E609" s="214"/>
      <c r="F609" s="214"/>
      <c r="G609" s="214"/>
      <c r="H609" s="214"/>
      <c r="I609" s="214"/>
      <c r="J609" s="214"/>
      <c r="K609" s="268"/>
      <c r="L609" s="214"/>
      <c r="M609" s="269"/>
      <c r="N609" s="214"/>
      <c r="O609" s="214"/>
      <c r="P609" s="214"/>
      <c r="Q609" s="214"/>
      <c r="R609" s="214"/>
      <c r="S609" s="214"/>
      <c r="T609" s="214"/>
      <c r="U609" s="214"/>
      <c r="V609" s="214"/>
      <c r="W609" s="214"/>
      <c r="X609" s="214"/>
      <c r="Y609" s="261"/>
      <c r="Z609" s="262"/>
      <c r="AA609" s="262"/>
      <c r="AB609" s="270"/>
      <c r="AC609" s="214"/>
      <c r="AD609" s="214"/>
      <c r="AE609" s="214"/>
      <c r="AF609" s="214"/>
      <c r="AG609" s="214"/>
      <c r="AH609" s="214"/>
      <c r="AI609" s="261"/>
      <c r="AJ609" s="214"/>
      <c r="AK609" s="261"/>
      <c r="AL609" s="261"/>
      <c r="AM609" s="264"/>
      <c r="AN609" s="214"/>
      <c r="AO609" s="271"/>
      <c r="AP609" s="271"/>
      <c r="AQ609" s="271"/>
      <c r="AR609" s="271"/>
      <c r="AS609" s="272"/>
      <c r="AT609" s="272"/>
      <c r="AU609" s="214"/>
      <c r="AV609" s="214"/>
    </row>
    <row r="610" ht="15.75" customHeight="1">
      <c r="A610" s="214"/>
      <c r="B610" s="261"/>
      <c r="C610" s="266"/>
      <c r="D610" s="267"/>
      <c r="E610" s="214"/>
      <c r="F610" s="214"/>
      <c r="G610" s="214"/>
      <c r="H610" s="214"/>
      <c r="I610" s="214"/>
      <c r="J610" s="214"/>
      <c r="K610" s="268"/>
      <c r="L610" s="214"/>
      <c r="M610" s="269"/>
      <c r="N610" s="214"/>
      <c r="O610" s="214"/>
      <c r="P610" s="214"/>
      <c r="Q610" s="214"/>
      <c r="R610" s="214"/>
      <c r="S610" s="214"/>
      <c r="T610" s="214"/>
      <c r="U610" s="214"/>
      <c r="V610" s="214"/>
      <c r="W610" s="214"/>
      <c r="X610" s="214"/>
      <c r="Y610" s="261"/>
      <c r="Z610" s="262"/>
      <c r="AA610" s="262"/>
      <c r="AB610" s="270"/>
      <c r="AC610" s="214"/>
      <c r="AD610" s="214"/>
      <c r="AE610" s="214"/>
      <c r="AF610" s="214"/>
      <c r="AG610" s="214"/>
      <c r="AH610" s="214"/>
      <c r="AI610" s="261"/>
      <c r="AJ610" s="214"/>
      <c r="AK610" s="261"/>
      <c r="AL610" s="261"/>
      <c r="AM610" s="264"/>
      <c r="AN610" s="214"/>
      <c r="AO610" s="271"/>
      <c r="AP610" s="271"/>
      <c r="AQ610" s="271"/>
      <c r="AR610" s="271"/>
      <c r="AS610" s="272"/>
      <c r="AT610" s="272"/>
      <c r="AU610" s="214"/>
      <c r="AV610" s="214"/>
    </row>
    <row r="611" ht="15.75" customHeight="1">
      <c r="A611" s="214"/>
      <c r="B611" s="261"/>
      <c r="C611" s="266"/>
      <c r="D611" s="267"/>
      <c r="E611" s="214"/>
      <c r="F611" s="214"/>
      <c r="G611" s="214"/>
      <c r="H611" s="214"/>
      <c r="I611" s="214"/>
      <c r="J611" s="214"/>
      <c r="K611" s="268"/>
      <c r="L611" s="214"/>
      <c r="M611" s="269"/>
      <c r="N611" s="214"/>
      <c r="O611" s="214"/>
      <c r="P611" s="214"/>
      <c r="Q611" s="214"/>
      <c r="R611" s="214"/>
      <c r="S611" s="214"/>
      <c r="T611" s="214"/>
      <c r="U611" s="214"/>
      <c r="V611" s="214"/>
      <c r="W611" s="214"/>
      <c r="X611" s="214"/>
      <c r="Y611" s="261"/>
      <c r="Z611" s="262"/>
      <c r="AA611" s="262"/>
      <c r="AB611" s="270"/>
      <c r="AC611" s="214"/>
      <c r="AD611" s="214"/>
      <c r="AE611" s="214"/>
      <c r="AF611" s="214"/>
      <c r="AG611" s="214"/>
      <c r="AH611" s="214"/>
      <c r="AI611" s="261"/>
      <c r="AJ611" s="214"/>
      <c r="AK611" s="261"/>
      <c r="AL611" s="261"/>
      <c r="AM611" s="264"/>
      <c r="AN611" s="214"/>
      <c r="AO611" s="271"/>
      <c r="AP611" s="271"/>
      <c r="AQ611" s="271"/>
      <c r="AR611" s="271"/>
      <c r="AS611" s="272"/>
      <c r="AT611" s="272"/>
      <c r="AU611" s="214"/>
      <c r="AV611" s="214"/>
    </row>
    <row r="612" ht="15.75" customHeight="1">
      <c r="A612" s="214"/>
      <c r="B612" s="261"/>
      <c r="C612" s="266"/>
      <c r="D612" s="267"/>
      <c r="E612" s="214"/>
      <c r="F612" s="214"/>
      <c r="G612" s="214"/>
      <c r="H612" s="214"/>
      <c r="I612" s="214"/>
      <c r="J612" s="214"/>
      <c r="K612" s="268"/>
      <c r="L612" s="214"/>
      <c r="M612" s="269"/>
      <c r="N612" s="214"/>
      <c r="O612" s="214"/>
      <c r="P612" s="214"/>
      <c r="Q612" s="214"/>
      <c r="R612" s="214"/>
      <c r="S612" s="214"/>
      <c r="T612" s="214"/>
      <c r="U612" s="214"/>
      <c r="V612" s="214"/>
      <c r="W612" s="214"/>
      <c r="X612" s="214"/>
      <c r="Y612" s="261"/>
      <c r="Z612" s="262"/>
      <c r="AA612" s="262"/>
      <c r="AB612" s="270"/>
      <c r="AC612" s="214"/>
      <c r="AD612" s="214"/>
      <c r="AE612" s="214"/>
      <c r="AF612" s="214"/>
      <c r="AG612" s="214"/>
      <c r="AH612" s="214"/>
      <c r="AI612" s="261"/>
      <c r="AJ612" s="214"/>
      <c r="AK612" s="261"/>
      <c r="AL612" s="261"/>
      <c r="AM612" s="264"/>
      <c r="AN612" s="214"/>
      <c r="AO612" s="271"/>
      <c r="AP612" s="271"/>
      <c r="AQ612" s="271"/>
      <c r="AR612" s="271"/>
      <c r="AS612" s="272"/>
      <c r="AT612" s="272"/>
      <c r="AU612" s="214"/>
      <c r="AV612" s="214"/>
    </row>
    <row r="613" ht="15.75" customHeight="1">
      <c r="A613" s="214"/>
      <c r="B613" s="261"/>
      <c r="C613" s="266"/>
      <c r="D613" s="267"/>
      <c r="E613" s="214"/>
      <c r="F613" s="214"/>
      <c r="G613" s="214"/>
      <c r="H613" s="214"/>
      <c r="I613" s="214"/>
      <c r="J613" s="214"/>
      <c r="K613" s="268"/>
      <c r="L613" s="214"/>
      <c r="M613" s="269"/>
      <c r="N613" s="214"/>
      <c r="O613" s="214"/>
      <c r="P613" s="214"/>
      <c r="Q613" s="214"/>
      <c r="R613" s="214"/>
      <c r="S613" s="214"/>
      <c r="T613" s="214"/>
      <c r="U613" s="214"/>
      <c r="V613" s="214"/>
      <c r="W613" s="214"/>
      <c r="X613" s="214"/>
      <c r="Y613" s="261"/>
      <c r="Z613" s="262"/>
      <c r="AA613" s="262"/>
      <c r="AB613" s="270"/>
      <c r="AC613" s="214"/>
      <c r="AD613" s="214"/>
      <c r="AE613" s="214"/>
      <c r="AF613" s="214"/>
      <c r="AG613" s="214"/>
      <c r="AH613" s="214"/>
      <c r="AI613" s="261"/>
      <c r="AJ613" s="214"/>
      <c r="AK613" s="261"/>
      <c r="AL613" s="261"/>
      <c r="AM613" s="264"/>
      <c r="AN613" s="214"/>
      <c r="AO613" s="271"/>
      <c r="AP613" s="271"/>
      <c r="AQ613" s="271"/>
      <c r="AR613" s="271"/>
      <c r="AS613" s="272"/>
      <c r="AT613" s="272"/>
      <c r="AU613" s="214"/>
      <c r="AV613" s="214"/>
    </row>
    <row r="614" ht="15.75" customHeight="1">
      <c r="A614" s="214"/>
      <c r="B614" s="261"/>
      <c r="C614" s="266"/>
      <c r="D614" s="267"/>
      <c r="E614" s="214"/>
      <c r="F614" s="214"/>
      <c r="G614" s="214"/>
      <c r="H614" s="214"/>
      <c r="I614" s="214"/>
      <c r="J614" s="214"/>
      <c r="K614" s="268"/>
      <c r="L614" s="214"/>
      <c r="M614" s="269"/>
      <c r="N614" s="214"/>
      <c r="O614" s="214"/>
      <c r="P614" s="214"/>
      <c r="Q614" s="214"/>
      <c r="R614" s="214"/>
      <c r="S614" s="214"/>
      <c r="T614" s="214"/>
      <c r="U614" s="214"/>
      <c r="V614" s="214"/>
      <c r="W614" s="214"/>
      <c r="X614" s="214"/>
      <c r="Y614" s="261"/>
      <c r="Z614" s="262"/>
      <c r="AA614" s="262"/>
      <c r="AB614" s="270"/>
      <c r="AC614" s="214"/>
      <c r="AD614" s="214"/>
      <c r="AE614" s="214"/>
      <c r="AF614" s="214"/>
      <c r="AG614" s="214"/>
      <c r="AH614" s="214"/>
      <c r="AI614" s="261"/>
      <c r="AJ614" s="214"/>
      <c r="AK614" s="261"/>
      <c r="AL614" s="261"/>
      <c r="AM614" s="264"/>
      <c r="AN614" s="214"/>
      <c r="AO614" s="271"/>
      <c r="AP614" s="271"/>
      <c r="AQ614" s="271"/>
      <c r="AR614" s="271"/>
      <c r="AS614" s="272"/>
      <c r="AT614" s="272"/>
      <c r="AU614" s="214"/>
      <c r="AV614" s="214"/>
    </row>
    <row r="615" ht="15.75" customHeight="1">
      <c r="A615" s="214"/>
      <c r="B615" s="261"/>
      <c r="C615" s="266"/>
      <c r="D615" s="267"/>
      <c r="E615" s="214"/>
      <c r="F615" s="214"/>
      <c r="G615" s="214"/>
      <c r="H615" s="214"/>
      <c r="I615" s="214"/>
      <c r="J615" s="214"/>
      <c r="K615" s="268"/>
      <c r="L615" s="214"/>
      <c r="M615" s="269"/>
      <c r="N615" s="214"/>
      <c r="O615" s="214"/>
      <c r="P615" s="214"/>
      <c r="Q615" s="214"/>
      <c r="R615" s="214"/>
      <c r="S615" s="214"/>
      <c r="T615" s="214"/>
      <c r="U615" s="214"/>
      <c r="V615" s="214"/>
      <c r="W615" s="214"/>
      <c r="X615" s="214"/>
      <c r="Y615" s="261"/>
      <c r="Z615" s="262"/>
      <c r="AA615" s="262"/>
      <c r="AB615" s="270"/>
      <c r="AC615" s="214"/>
      <c r="AD615" s="214"/>
      <c r="AE615" s="214"/>
      <c r="AF615" s="214"/>
      <c r="AG615" s="214"/>
      <c r="AH615" s="214"/>
      <c r="AI615" s="261"/>
      <c r="AJ615" s="214"/>
      <c r="AK615" s="261"/>
      <c r="AL615" s="261"/>
      <c r="AM615" s="264"/>
      <c r="AN615" s="214"/>
      <c r="AO615" s="271"/>
      <c r="AP615" s="271"/>
      <c r="AQ615" s="271"/>
      <c r="AR615" s="271"/>
      <c r="AS615" s="272"/>
      <c r="AT615" s="272"/>
      <c r="AU615" s="214"/>
      <c r="AV615" s="214"/>
    </row>
    <row r="616" ht="15.75" customHeight="1">
      <c r="A616" s="214"/>
      <c r="B616" s="261"/>
      <c r="C616" s="266"/>
      <c r="D616" s="267"/>
      <c r="E616" s="214"/>
      <c r="F616" s="214"/>
      <c r="G616" s="214"/>
      <c r="H616" s="214"/>
      <c r="I616" s="214"/>
      <c r="J616" s="214"/>
      <c r="K616" s="268"/>
      <c r="L616" s="214"/>
      <c r="M616" s="269"/>
      <c r="N616" s="214"/>
      <c r="O616" s="214"/>
      <c r="P616" s="214"/>
      <c r="Q616" s="214"/>
      <c r="R616" s="214"/>
      <c r="S616" s="214"/>
      <c r="T616" s="214"/>
      <c r="U616" s="214"/>
      <c r="V616" s="214"/>
      <c r="W616" s="214"/>
      <c r="X616" s="214"/>
      <c r="Y616" s="261"/>
      <c r="Z616" s="262"/>
      <c r="AA616" s="262"/>
      <c r="AB616" s="270"/>
      <c r="AC616" s="214"/>
      <c r="AD616" s="214"/>
      <c r="AE616" s="214"/>
      <c r="AF616" s="214"/>
      <c r="AG616" s="214"/>
      <c r="AH616" s="214"/>
      <c r="AI616" s="261"/>
      <c r="AJ616" s="214"/>
      <c r="AK616" s="261"/>
      <c r="AL616" s="261"/>
      <c r="AM616" s="264"/>
      <c r="AN616" s="214"/>
      <c r="AO616" s="271"/>
      <c r="AP616" s="271"/>
      <c r="AQ616" s="271"/>
      <c r="AR616" s="271"/>
      <c r="AS616" s="272"/>
      <c r="AT616" s="272"/>
      <c r="AU616" s="214"/>
      <c r="AV616" s="214"/>
    </row>
    <row r="617" ht="15.75" customHeight="1">
      <c r="A617" s="214"/>
      <c r="B617" s="261"/>
      <c r="C617" s="266"/>
      <c r="D617" s="267"/>
      <c r="E617" s="214"/>
      <c r="F617" s="214"/>
      <c r="G617" s="214"/>
      <c r="H617" s="214"/>
      <c r="I617" s="214"/>
      <c r="J617" s="214"/>
      <c r="K617" s="268"/>
      <c r="L617" s="214"/>
      <c r="M617" s="269"/>
      <c r="N617" s="214"/>
      <c r="O617" s="214"/>
      <c r="P617" s="214"/>
      <c r="Q617" s="214"/>
      <c r="R617" s="214"/>
      <c r="S617" s="214"/>
      <c r="T617" s="214"/>
      <c r="U617" s="214"/>
      <c r="V617" s="214"/>
      <c r="W617" s="214"/>
      <c r="X617" s="214"/>
      <c r="Y617" s="261"/>
      <c r="Z617" s="262"/>
      <c r="AA617" s="262"/>
      <c r="AB617" s="270"/>
      <c r="AC617" s="214"/>
      <c r="AD617" s="214"/>
      <c r="AE617" s="214"/>
      <c r="AF617" s="214"/>
      <c r="AG617" s="214"/>
      <c r="AH617" s="214"/>
      <c r="AI617" s="261"/>
      <c r="AJ617" s="214"/>
      <c r="AK617" s="261"/>
      <c r="AL617" s="261"/>
      <c r="AM617" s="264"/>
      <c r="AN617" s="214"/>
      <c r="AO617" s="271"/>
      <c r="AP617" s="271"/>
      <c r="AQ617" s="271"/>
      <c r="AR617" s="271"/>
      <c r="AS617" s="272"/>
      <c r="AT617" s="272"/>
      <c r="AU617" s="214"/>
      <c r="AV617" s="214"/>
    </row>
    <row r="618" ht="15.75" customHeight="1">
      <c r="A618" s="214"/>
      <c r="B618" s="261"/>
      <c r="C618" s="266"/>
      <c r="D618" s="267"/>
      <c r="E618" s="214"/>
      <c r="F618" s="214"/>
      <c r="G618" s="214"/>
      <c r="H618" s="214"/>
      <c r="I618" s="214"/>
      <c r="J618" s="214"/>
      <c r="K618" s="268"/>
      <c r="L618" s="214"/>
      <c r="M618" s="269"/>
      <c r="N618" s="214"/>
      <c r="O618" s="214"/>
      <c r="P618" s="214"/>
      <c r="Q618" s="214"/>
      <c r="R618" s="214"/>
      <c r="S618" s="214"/>
      <c r="T618" s="214"/>
      <c r="U618" s="214"/>
      <c r="V618" s="214"/>
      <c r="W618" s="214"/>
      <c r="X618" s="214"/>
      <c r="Y618" s="261"/>
      <c r="Z618" s="262"/>
      <c r="AA618" s="262"/>
      <c r="AB618" s="270"/>
      <c r="AC618" s="214"/>
      <c r="AD618" s="214"/>
      <c r="AE618" s="214"/>
      <c r="AF618" s="214"/>
      <c r="AG618" s="214"/>
      <c r="AH618" s="214"/>
      <c r="AI618" s="261"/>
      <c r="AJ618" s="214"/>
      <c r="AK618" s="261"/>
      <c r="AL618" s="261"/>
      <c r="AM618" s="264"/>
      <c r="AN618" s="214"/>
      <c r="AO618" s="271"/>
      <c r="AP618" s="271"/>
      <c r="AQ618" s="271"/>
      <c r="AR618" s="271"/>
      <c r="AS618" s="272"/>
      <c r="AT618" s="272"/>
      <c r="AU618" s="214"/>
      <c r="AV618" s="214"/>
    </row>
    <row r="619" ht="15.75" customHeight="1">
      <c r="A619" s="214"/>
      <c r="B619" s="261"/>
      <c r="C619" s="266"/>
      <c r="D619" s="267"/>
      <c r="E619" s="214"/>
      <c r="F619" s="214"/>
      <c r="G619" s="214"/>
      <c r="H619" s="214"/>
      <c r="I619" s="214"/>
      <c r="J619" s="214"/>
      <c r="K619" s="268"/>
      <c r="L619" s="214"/>
      <c r="M619" s="269"/>
      <c r="N619" s="214"/>
      <c r="O619" s="214"/>
      <c r="P619" s="214"/>
      <c r="Q619" s="214"/>
      <c r="R619" s="214"/>
      <c r="S619" s="214"/>
      <c r="T619" s="214"/>
      <c r="U619" s="214"/>
      <c r="V619" s="214"/>
      <c r="W619" s="214"/>
      <c r="X619" s="214"/>
      <c r="Y619" s="261"/>
      <c r="Z619" s="262"/>
      <c r="AA619" s="262"/>
      <c r="AB619" s="270"/>
      <c r="AC619" s="214"/>
      <c r="AD619" s="214"/>
      <c r="AE619" s="214"/>
      <c r="AF619" s="214"/>
      <c r="AG619" s="214"/>
      <c r="AH619" s="214"/>
      <c r="AI619" s="261"/>
      <c r="AJ619" s="214"/>
      <c r="AK619" s="261"/>
      <c r="AL619" s="261"/>
      <c r="AM619" s="264"/>
      <c r="AN619" s="214"/>
      <c r="AO619" s="271"/>
      <c r="AP619" s="271"/>
      <c r="AQ619" s="271"/>
      <c r="AR619" s="271"/>
      <c r="AS619" s="272"/>
      <c r="AT619" s="272"/>
      <c r="AU619" s="214"/>
      <c r="AV619" s="214"/>
    </row>
    <row r="620" ht="15.75" customHeight="1">
      <c r="A620" s="214"/>
      <c r="B620" s="261"/>
      <c r="C620" s="266"/>
      <c r="D620" s="267"/>
      <c r="E620" s="214"/>
      <c r="F620" s="214"/>
      <c r="G620" s="214"/>
      <c r="H620" s="214"/>
      <c r="I620" s="214"/>
      <c r="J620" s="214"/>
      <c r="K620" s="268"/>
      <c r="L620" s="214"/>
      <c r="M620" s="269"/>
      <c r="N620" s="214"/>
      <c r="O620" s="214"/>
      <c r="P620" s="214"/>
      <c r="Q620" s="214"/>
      <c r="R620" s="214"/>
      <c r="S620" s="214"/>
      <c r="T620" s="214"/>
      <c r="U620" s="214"/>
      <c r="V620" s="214"/>
      <c r="W620" s="214"/>
      <c r="X620" s="214"/>
      <c r="Y620" s="261"/>
      <c r="Z620" s="262"/>
      <c r="AA620" s="262"/>
      <c r="AB620" s="270"/>
      <c r="AC620" s="214"/>
      <c r="AD620" s="214"/>
      <c r="AE620" s="214"/>
      <c r="AF620" s="214"/>
      <c r="AG620" s="214"/>
      <c r="AH620" s="214"/>
      <c r="AI620" s="261"/>
      <c r="AJ620" s="214"/>
      <c r="AK620" s="261"/>
      <c r="AL620" s="261"/>
      <c r="AM620" s="264"/>
      <c r="AN620" s="214"/>
      <c r="AO620" s="271"/>
      <c r="AP620" s="271"/>
      <c r="AQ620" s="271"/>
      <c r="AR620" s="271"/>
      <c r="AS620" s="272"/>
      <c r="AT620" s="272"/>
      <c r="AU620" s="214"/>
      <c r="AV620" s="214"/>
    </row>
    <row r="621" ht="15.75" customHeight="1">
      <c r="A621" s="214"/>
      <c r="B621" s="261"/>
      <c r="C621" s="266"/>
      <c r="D621" s="267"/>
      <c r="E621" s="214"/>
      <c r="F621" s="214"/>
      <c r="G621" s="214"/>
      <c r="H621" s="214"/>
      <c r="I621" s="214"/>
      <c r="J621" s="214"/>
      <c r="K621" s="268"/>
      <c r="L621" s="214"/>
      <c r="M621" s="269"/>
      <c r="N621" s="214"/>
      <c r="O621" s="214"/>
      <c r="P621" s="214"/>
      <c r="Q621" s="214"/>
      <c r="R621" s="214"/>
      <c r="S621" s="214"/>
      <c r="T621" s="214"/>
      <c r="U621" s="214"/>
      <c r="V621" s="214"/>
      <c r="W621" s="214"/>
      <c r="X621" s="214"/>
      <c r="Y621" s="261"/>
      <c r="Z621" s="262"/>
      <c r="AA621" s="262"/>
      <c r="AB621" s="270"/>
      <c r="AC621" s="214"/>
      <c r="AD621" s="214"/>
      <c r="AE621" s="214"/>
      <c r="AF621" s="214"/>
      <c r="AG621" s="214"/>
      <c r="AH621" s="214"/>
      <c r="AI621" s="261"/>
      <c r="AJ621" s="214"/>
      <c r="AK621" s="261"/>
      <c r="AL621" s="261"/>
      <c r="AM621" s="264"/>
      <c r="AN621" s="214"/>
      <c r="AO621" s="271"/>
      <c r="AP621" s="271"/>
      <c r="AQ621" s="271"/>
      <c r="AR621" s="271"/>
      <c r="AS621" s="272"/>
      <c r="AT621" s="272"/>
      <c r="AU621" s="214"/>
      <c r="AV621" s="214"/>
    </row>
    <row r="622" ht="15.75" customHeight="1">
      <c r="A622" s="214"/>
      <c r="B622" s="261"/>
      <c r="C622" s="266"/>
      <c r="D622" s="267"/>
      <c r="E622" s="214"/>
      <c r="F622" s="214"/>
      <c r="G622" s="214"/>
      <c r="H622" s="214"/>
      <c r="I622" s="214"/>
      <c r="J622" s="214"/>
      <c r="K622" s="268"/>
      <c r="L622" s="214"/>
      <c r="M622" s="269"/>
      <c r="N622" s="214"/>
      <c r="O622" s="214"/>
      <c r="P622" s="214"/>
      <c r="Q622" s="214"/>
      <c r="R622" s="214"/>
      <c r="S622" s="214"/>
      <c r="T622" s="214"/>
      <c r="U622" s="214"/>
      <c r="V622" s="214"/>
      <c r="W622" s="214"/>
      <c r="X622" s="214"/>
      <c r="Y622" s="261"/>
      <c r="Z622" s="262"/>
      <c r="AA622" s="262"/>
      <c r="AB622" s="270"/>
      <c r="AC622" s="214"/>
      <c r="AD622" s="214"/>
      <c r="AE622" s="214"/>
      <c r="AF622" s="214"/>
      <c r="AG622" s="214"/>
      <c r="AH622" s="214"/>
      <c r="AI622" s="261"/>
      <c r="AJ622" s="214"/>
      <c r="AK622" s="261"/>
      <c r="AL622" s="261"/>
      <c r="AM622" s="264"/>
      <c r="AN622" s="214"/>
      <c r="AO622" s="271"/>
      <c r="AP622" s="271"/>
      <c r="AQ622" s="271"/>
      <c r="AR622" s="271"/>
      <c r="AS622" s="272"/>
      <c r="AT622" s="272"/>
      <c r="AU622" s="214"/>
      <c r="AV622" s="214"/>
    </row>
    <row r="623" ht="15.75" customHeight="1">
      <c r="A623" s="214"/>
      <c r="B623" s="261"/>
      <c r="C623" s="266"/>
      <c r="D623" s="267"/>
      <c r="E623" s="214"/>
      <c r="F623" s="214"/>
      <c r="G623" s="214"/>
      <c r="H623" s="214"/>
      <c r="I623" s="214"/>
      <c r="J623" s="214"/>
      <c r="K623" s="268"/>
      <c r="L623" s="214"/>
      <c r="M623" s="269"/>
      <c r="N623" s="214"/>
      <c r="O623" s="214"/>
      <c r="P623" s="214"/>
      <c r="Q623" s="214"/>
      <c r="R623" s="214"/>
      <c r="S623" s="214"/>
      <c r="T623" s="214"/>
      <c r="U623" s="214"/>
      <c r="V623" s="214"/>
      <c r="W623" s="214"/>
      <c r="X623" s="214"/>
      <c r="Y623" s="261"/>
      <c r="Z623" s="262"/>
      <c r="AA623" s="262"/>
      <c r="AB623" s="270"/>
      <c r="AC623" s="214"/>
      <c r="AD623" s="214"/>
      <c r="AE623" s="214"/>
      <c r="AF623" s="214"/>
      <c r="AG623" s="214"/>
      <c r="AH623" s="214"/>
      <c r="AI623" s="261"/>
      <c r="AJ623" s="214"/>
      <c r="AK623" s="261"/>
      <c r="AL623" s="261"/>
      <c r="AM623" s="264"/>
      <c r="AN623" s="214"/>
      <c r="AO623" s="271"/>
      <c r="AP623" s="271"/>
      <c r="AQ623" s="271"/>
      <c r="AR623" s="271"/>
      <c r="AS623" s="272"/>
      <c r="AT623" s="272"/>
      <c r="AU623" s="214"/>
      <c r="AV623" s="214"/>
    </row>
    <row r="624" ht="15.75" customHeight="1">
      <c r="A624" s="214"/>
      <c r="B624" s="261"/>
      <c r="C624" s="266"/>
      <c r="D624" s="267"/>
      <c r="E624" s="214"/>
      <c r="F624" s="214"/>
      <c r="G624" s="214"/>
      <c r="H624" s="214"/>
      <c r="I624" s="214"/>
      <c r="J624" s="214"/>
      <c r="K624" s="268"/>
      <c r="L624" s="214"/>
      <c r="M624" s="269"/>
      <c r="N624" s="214"/>
      <c r="O624" s="214"/>
      <c r="P624" s="214"/>
      <c r="Q624" s="214"/>
      <c r="R624" s="214"/>
      <c r="S624" s="214"/>
      <c r="T624" s="214"/>
      <c r="U624" s="214"/>
      <c r="V624" s="214"/>
      <c r="W624" s="214"/>
      <c r="X624" s="214"/>
      <c r="Y624" s="261"/>
      <c r="Z624" s="262"/>
      <c r="AA624" s="262"/>
      <c r="AB624" s="270"/>
      <c r="AC624" s="214"/>
      <c r="AD624" s="214"/>
      <c r="AE624" s="214"/>
      <c r="AF624" s="214"/>
      <c r="AG624" s="214"/>
      <c r="AH624" s="214"/>
      <c r="AI624" s="261"/>
      <c r="AJ624" s="214"/>
      <c r="AK624" s="261"/>
      <c r="AL624" s="261"/>
      <c r="AM624" s="264"/>
      <c r="AN624" s="214"/>
      <c r="AO624" s="271"/>
      <c r="AP624" s="271"/>
      <c r="AQ624" s="271"/>
      <c r="AR624" s="271"/>
      <c r="AS624" s="272"/>
      <c r="AT624" s="272"/>
      <c r="AU624" s="214"/>
      <c r="AV624" s="214"/>
    </row>
    <row r="625" ht="15.75" customHeight="1">
      <c r="A625" s="214"/>
      <c r="B625" s="261"/>
      <c r="C625" s="266"/>
      <c r="D625" s="267"/>
      <c r="E625" s="214"/>
      <c r="F625" s="214"/>
      <c r="G625" s="214"/>
      <c r="H625" s="214"/>
      <c r="I625" s="214"/>
      <c r="J625" s="214"/>
      <c r="K625" s="268"/>
      <c r="L625" s="214"/>
      <c r="M625" s="269"/>
      <c r="N625" s="214"/>
      <c r="O625" s="214"/>
      <c r="P625" s="214"/>
      <c r="Q625" s="214"/>
      <c r="R625" s="214"/>
      <c r="S625" s="214"/>
      <c r="T625" s="214"/>
      <c r="U625" s="214"/>
      <c r="V625" s="214"/>
      <c r="W625" s="214"/>
      <c r="X625" s="214"/>
      <c r="Y625" s="261"/>
      <c r="Z625" s="262"/>
      <c r="AA625" s="262"/>
      <c r="AB625" s="270"/>
      <c r="AC625" s="214"/>
      <c r="AD625" s="214"/>
      <c r="AE625" s="214"/>
      <c r="AF625" s="214"/>
      <c r="AG625" s="214"/>
      <c r="AH625" s="214"/>
      <c r="AI625" s="261"/>
      <c r="AJ625" s="214"/>
      <c r="AK625" s="261"/>
      <c r="AL625" s="261"/>
      <c r="AM625" s="264"/>
      <c r="AN625" s="214"/>
      <c r="AO625" s="271"/>
      <c r="AP625" s="271"/>
      <c r="AQ625" s="271"/>
      <c r="AR625" s="271"/>
      <c r="AS625" s="272"/>
      <c r="AT625" s="272"/>
      <c r="AU625" s="214"/>
      <c r="AV625" s="214"/>
    </row>
    <row r="626" ht="15.75" customHeight="1">
      <c r="A626" s="214"/>
      <c r="B626" s="261"/>
      <c r="C626" s="266"/>
      <c r="D626" s="267"/>
      <c r="E626" s="214"/>
      <c r="F626" s="214"/>
      <c r="G626" s="214"/>
      <c r="H626" s="214"/>
      <c r="I626" s="214"/>
      <c r="J626" s="214"/>
      <c r="K626" s="268"/>
      <c r="L626" s="214"/>
      <c r="M626" s="269"/>
      <c r="N626" s="214"/>
      <c r="O626" s="214"/>
      <c r="P626" s="214"/>
      <c r="Q626" s="214"/>
      <c r="R626" s="214"/>
      <c r="S626" s="214"/>
      <c r="T626" s="214"/>
      <c r="U626" s="214"/>
      <c r="V626" s="214"/>
      <c r="W626" s="214"/>
      <c r="X626" s="214"/>
      <c r="Y626" s="261"/>
      <c r="Z626" s="262"/>
      <c r="AA626" s="262"/>
      <c r="AB626" s="270"/>
      <c r="AC626" s="214"/>
      <c r="AD626" s="214"/>
      <c r="AE626" s="214"/>
      <c r="AF626" s="214"/>
      <c r="AG626" s="214"/>
      <c r="AH626" s="214"/>
      <c r="AI626" s="261"/>
      <c r="AJ626" s="214"/>
      <c r="AK626" s="261"/>
      <c r="AL626" s="261"/>
      <c r="AM626" s="264"/>
      <c r="AN626" s="214"/>
      <c r="AO626" s="271"/>
      <c r="AP626" s="271"/>
      <c r="AQ626" s="271"/>
      <c r="AR626" s="271"/>
      <c r="AS626" s="272"/>
      <c r="AT626" s="272"/>
      <c r="AU626" s="214"/>
      <c r="AV626" s="214"/>
    </row>
    <row r="627" ht="15.75" customHeight="1">
      <c r="A627" s="214"/>
      <c r="B627" s="261"/>
      <c r="C627" s="266"/>
      <c r="D627" s="267"/>
      <c r="E627" s="214"/>
      <c r="F627" s="214"/>
      <c r="G627" s="214"/>
      <c r="H627" s="214"/>
      <c r="I627" s="214"/>
      <c r="J627" s="214"/>
      <c r="K627" s="268"/>
      <c r="L627" s="214"/>
      <c r="M627" s="269"/>
      <c r="N627" s="214"/>
      <c r="O627" s="214"/>
      <c r="P627" s="214"/>
      <c r="Q627" s="214"/>
      <c r="R627" s="214"/>
      <c r="S627" s="214"/>
      <c r="T627" s="214"/>
      <c r="U627" s="214"/>
      <c r="V627" s="214"/>
      <c r="W627" s="214"/>
      <c r="X627" s="214"/>
      <c r="Y627" s="261"/>
      <c r="Z627" s="262"/>
      <c r="AA627" s="262"/>
      <c r="AB627" s="270"/>
      <c r="AC627" s="214"/>
      <c r="AD627" s="214"/>
      <c r="AE627" s="214"/>
      <c r="AF627" s="214"/>
      <c r="AG627" s="214"/>
      <c r="AH627" s="214"/>
      <c r="AI627" s="261"/>
      <c r="AJ627" s="214"/>
      <c r="AK627" s="261"/>
      <c r="AL627" s="261"/>
      <c r="AM627" s="264"/>
      <c r="AN627" s="214"/>
      <c r="AO627" s="271"/>
      <c r="AP627" s="271"/>
      <c r="AQ627" s="271"/>
      <c r="AR627" s="271"/>
      <c r="AS627" s="272"/>
      <c r="AT627" s="272"/>
      <c r="AU627" s="214"/>
      <c r="AV627" s="214"/>
    </row>
    <row r="628" ht="15.75" customHeight="1">
      <c r="A628" s="214"/>
      <c r="B628" s="261"/>
      <c r="C628" s="266"/>
      <c r="D628" s="267"/>
      <c r="E628" s="214"/>
      <c r="F628" s="214"/>
      <c r="G628" s="214"/>
      <c r="H628" s="214"/>
      <c r="I628" s="214"/>
      <c r="J628" s="214"/>
      <c r="K628" s="268"/>
      <c r="L628" s="214"/>
      <c r="M628" s="269"/>
      <c r="N628" s="214"/>
      <c r="O628" s="214"/>
      <c r="P628" s="214"/>
      <c r="Q628" s="214"/>
      <c r="R628" s="214"/>
      <c r="S628" s="214"/>
      <c r="T628" s="214"/>
      <c r="U628" s="214"/>
      <c r="V628" s="214"/>
      <c r="W628" s="214"/>
      <c r="X628" s="214"/>
      <c r="Y628" s="261"/>
      <c r="Z628" s="262"/>
      <c r="AA628" s="262"/>
      <c r="AB628" s="270"/>
      <c r="AC628" s="214"/>
      <c r="AD628" s="214"/>
      <c r="AE628" s="214"/>
      <c r="AF628" s="214"/>
      <c r="AG628" s="214"/>
      <c r="AH628" s="214"/>
      <c r="AI628" s="261"/>
      <c r="AJ628" s="214"/>
      <c r="AK628" s="261"/>
      <c r="AL628" s="261"/>
      <c r="AM628" s="264"/>
      <c r="AN628" s="214"/>
      <c r="AO628" s="271"/>
      <c r="AP628" s="271"/>
      <c r="AQ628" s="271"/>
      <c r="AR628" s="271"/>
      <c r="AS628" s="272"/>
      <c r="AT628" s="272"/>
      <c r="AU628" s="214"/>
      <c r="AV628" s="214"/>
    </row>
    <row r="629" ht="15.75" customHeight="1">
      <c r="A629" s="214"/>
      <c r="B629" s="261"/>
      <c r="C629" s="266"/>
      <c r="D629" s="267"/>
      <c r="E629" s="214"/>
      <c r="F629" s="214"/>
      <c r="G629" s="214"/>
      <c r="H629" s="214"/>
      <c r="I629" s="214"/>
      <c r="J629" s="214"/>
      <c r="K629" s="268"/>
      <c r="L629" s="214"/>
      <c r="M629" s="269"/>
      <c r="N629" s="214"/>
      <c r="O629" s="214"/>
      <c r="P629" s="214"/>
      <c r="Q629" s="214"/>
      <c r="R629" s="214"/>
      <c r="S629" s="214"/>
      <c r="T629" s="214"/>
      <c r="U629" s="214"/>
      <c r="V629" s="214"/>
      <c r="W629" s="214"/>
      <c r="X629" s="214"/>
      <c r="Y629" s="261"/>
      <c r="Z629" s="262"/>
      <c r="AA629" s="262"/>
      <c r="AB629" s="270"/>
      <c r="AC629" s="214"/>
      <c r="AD629" s="214"/>
      <c r="AE629" s="214"/>
      <c r="AF629" s="214"/>
      <c r="AG629" s="214"/>
      <c r="AH629" s="214"/>
      <c r="AI629" s="261"/>
      <c r="AJ629" s="214"/>
      <c r="AK629" s="261"/>
      <c r="AL629" s="261"/>
      <c r="AM629" s="264"/>
      <c r="AN629" s="214"/>
      <c r="AO629" s="271"/>
      <c r="AP629" s="271"/>
      <c r="AQ629" s="271"/>
      <c r="AR629" s="271"/>
      <c r="AS629" s="272"/>
      <c r="AT629" s="272"/>
      <c r="AU629" s="214"/>
      <c r="AV629" s="214"/>
    </row>
    <row r="630" ht="15.75" customHeight="1">
      <c r="A630" s="214"/>
      <c r="B630" s="261"/>
      <c r="C630" s="266"/>
      <c r="D630" s="267"/>
      <c r="E630" s="214"/>
      <c r="F630" s="214"/>
      <c r="G630" s="214"/>
      <c r="H630" s="214"/>
      <c r="I630" s="214"/>
      <c r="J630" s="214"/>
      <c r="K630" s="268"/>
      <c r="L630" s="214"/>
      <c r="M630" s="269"/>
      <c r="N630" s="214"/>
      <c r="O630" s="214"/>
      <c r="P630" s="214"/>
      <c r="Q630" s="214"/>
      <c r="R630" s="214"/>
      <c r="S630" s="214"/>
      <c r="T630" s="214"/>
      <c r="U630" s="214"/>
      <c r="V630" s="214"/>
      <c r="W630" s="214"/>
      <c r="X630" s="214"/>
      <c r="Y630" s="261"/>
      <c r="Z630" s="262"/>
      <c r="AA630" s="262"/>
      <c r="AB630" s="270"/>
      <c r="AC630" s="214"/>
      <c r="AD630" s="214"/>
      <c r="AE630" s="214"/>
      <c r="AF630" s="214"/>
      <c r="AG630" s="214"/>
      <c r="AH630" s="214"/>
      <c r="AI630" s="261"/>
      <c r="AJ630" s="214"/>
      <c r="AK630" s="261"/>
      <c r="AL630" s="261"/>
      <c r="AM630" s="264"/>
      <c r="AN630" s="214"/>
      <c r="AO630" s="271"/>
      <c r="AP630" s="271"/>
      <c r="AQ630" s="271"/>
      <c r="AR630" s="271"/>
      <c r="AS630" s="272"/>
      <c r="AT630" s="272"/>
      <c r="AU630" s="214"/>
      <c r="AV630" s="214"/>
    </row>
    <row r="631" ht="15.75" customHeight="1">
      <c r="A631" s="214"/>
      <c r="B631" s="261"/>
      <c r="C631" s="266"/>
      <c r="D631" s="267"/>
      <c r="E631" s="214"/>
      <c r="F631" s="214"/>
      <c r="G631" s="214"/>
      <c r="H631" s="214"/>
      <c r="I631" s="214"/>
      <c r="J631" s="214"/>
      <c r="K631" s="268"/>
      <c r="L631" s="214"/>
      <c r="M631" s="269"/>
      <c r="N631" s="214"/>
      <c r="O631" s="214"/>
      <c r="P631" s="214"/>
      <c r="Q631" s="214"/>
      <c r="R631" s="214"/>
      <c r="S631" s="214"/>
      <c r="T631" s="214"/>
      <c r="U631" s="214"/>
      <c r="V631" s="214"/>
      <c r="W631" s="214"/>
      <c r="X631" s="214"/>
      <c r="Y631" s="261"/>
      <c r="Z631" s="262"/>
      <c r="AA631" s="262"/>
      <c r="AB631" s="270"/>
      <c r="AC631" s="214"/>
      <c r="AD631" s="214"/>
      <c r="AE631" s="214"/>
      <c r="AF631" s="214"/>
      <c r="AG631" s="214"/>
      <c r="AH631" s="214"/>
      <c r="AI631" s="261"/>
      <c r="AJ631" s="214"/>
      <c r="AK631" s="261"/>
      <c r="AL631" s="261"/>
      <c r="AM631" s="264"/>
      <c r="AN631" s="214"/>
      <c r="AO631" s="271"/>
      <c r="AP631" s="271"/>
      <c r="AQ631" s="271"/>
      <c r="AR631" s="271"/>
      <c r="AS631" s="272"/>
      <c r="AT631" s="272"/>
      <c r="AU631" s="214"/>
      <c r="AV631" s="214"/>
    </row>
    <row r="632" ht="15.75" customHeight="1">
      <c r="A632" s="214"/>
      <c r="B632" s="261"/>
      <c r="C632" s="266"/>
      <c r="D632" s="267"/>
      <c r="E632" s="214"/>
      <c r="F632" s="214"/>
      <c r="G632" s="214"/>
      <c r="H632" s="214"/>
      <c r="I632" s="214"/>
      <c r="J632" s="214"/>
      <c r="K632" s="268"/>
      <c r="L632" s="214"/>
      <c r="M632" s="269"/>
      <c r="N632" s="214"/>
      <c r="O632" s="214"/>
      <c r="P632" s="214"/>
      <c r="Q632" s="214"/>
      <c r="R632" s="214"/>
      <c r="S632" s="214"/>
      <c r="T632" s="214"/>
      <c r="U632" s="214"/>
      <c r="V632" s="214"/>
      <c r="W632" s="214"/>
      <c r="X632" s="214"/>
      <c r="Y632" s="261"/>
      <c r="Z632" s="262"/>
      <c r="AA632" s="262"/>
      <c r="AB632" s="270"/>
      <c r="AC632" s="214"/>
      <c r="AD632" s="214"/>
      <c r="AE632" s="214"/>
      <c r="AF632" s="214"/>
      <c r="AG632" s="214"/>
      <c r="AH632" s="214"/>
      <c r="AI632" s="261"/>
      <c r="AJ632" s="214"/>
      <c r="AK632" s="261"/>
      <c r="AL632" s="261"/>
      <c r="AM632" s="264"/>
      <c r="AN632" s="214"/>
      <c r="AO632" s="271"/>
      <c r="AP632" s="271"/>
      <c r="AQ632" s="271"/>
      <c r="AR632" s="271"/>
      <c r="AS632" s="272"/>
      <c r="AT632" s="272"/>
      <c r="AU632" s="214"/>
      <c r="AV632" s="214"/>
    </row>
    <row r="633" ht="15.75" customHeight="1">
      <c r="A633" s="214"/>
      <c r="B633" s="261"/>
      <c r="C633" s="266"/>
      <c r="D633" s="267"/>
      <c r="E633" s="214"/>
      <c r="F633" s="214"/>
      <c r="G633" s="214"/>
      <c r="H633" s="214"/>
      <c r="I633" s="214"/>
      <c r="J633" s="214"/>
      <c r="K633" s="268"/>
      <c r="L633" s="214"/>
      <c r="M633" s="269"/>
      <c r="N633" s="214"/>
      <c r="O633" s="214"/>
      <c r="P633" s="214"/>
      <c r="Q633" s="214"/>
      <c r="R633" s="214"/>
      <c r="S633" s="214"/>
      <c r="T633" s="214"/>
      <c r="U633" s="214"/>
      <c r="V633" s="214"/>
      <c r="W633" s="214"/>
      <c r="X633" s="214"/>
      <c r="Y633" s="261"/>
      <c r="Z633" s="262"/>
      <c r="AA633" s="262"/>
      <c r="AB633" s="270"/>
      <c r="AC633" s="214"/>
      <c r="AD633" s="214"/>
      <c r="AE633" s="214"/>
      <c r="AF633" s="214"/>
      <c r="AG633" s="214"/>
      <c r="AH633" s="214"/>
      <c r="AI633" s="261"/>
      <c r="AJ633" s="214"/>
      <c r="AK633" s="261"/>
      <c r="AL633" s="261"/>
      <c r="AM633" s="264"/>
      <c r="AN633" s="214"/>
      <c r="AO633" s="271"/>
      <c r="AP633" s="271"/>
      <c r="AQ633" s="271"/>
      <c r="AR633" s="271"/>
      <c r="AS633" s="272"/>
      <c r="AT633" s="272"/>
      <c r="AU633" s="214"/>
      <c r="AV633" s="214"/>
    </row>
    <row r="634" ht="15.75" customHeight="1">
      <c r="A634" s="214"/>
      <c r="B634" s="261"/>
      <c r="C634" s="266"/>
      <c r="D634" s="267"/>
      <c r="E634" s="214"/>
      <c r="F634" s="214"/>
      <c r="G634" s="214"/>
      <c r="H634" s="214"/>
      <c r="I634" s="214"/>
      <c r="J634" s="214"/>
      <c r="K634" s="268"/>
      <c r="L634" s="214"/>
      <c r="M634" s="269"/>
      <c r="N634" s="214"/>
      <c r="O634" s="214"/>
      <c r="P634" s="214"/>
      <c r="Q634" s="214"/>
      <c r="R634" s="214"/>
      <c r="S634" s="214"/>
      <c r="T634" s="214"/>
      <c r="U634" s="214"/>
      <c r="V634" s="214"/>
      <c r="W634" s="214"/>
      <c r="X634" s="214"/>
      <c r="Y634" s="261"/>
      <c r="Z634" s="262"/>
      <c r="AA634" s="262"/>
      <c r="AB634" s="270"/>
      <c r="AC634" s="214"/>
      <c r="AD634" s="214"/>
      <c r="AE634" s="214"/>
      <c r="AF634" s="214"/>
      <c r="AG634" s="214"/>
      <c r="AH634" s="214"/>
      <c r="AI634" s="261"/>
      <c r="AJ634" s="214"/>
      <c r="AK634" s="261"/>
      <c r="AL634" s="261"/>
      <c r="AM634" s="264"/>
      <c r="AN634" s="214"/>
      <c r="AO634" s="271"/>
      <c r="AP634" s="271"/>
      <c r="AQ634" s="271"/>
      <c r="AR634" s="271"/>
      <c r="AS634" s="272"/>
      <c r="AT634" s="272"/>
      <c r="AU634" s="214"/>
      <c r="AV634" s="214"/>
    </row>
    <row r="635" ht="15.75" customHeight="1">
      <c r="A635" s="214"/>
      <c r="B635" s="261"/>
      <c r="C635" s="266"/>
      <c r="D635" s="267"/>
      <c r="E635" s="214"/>
      <c r="F635" s="214"/>
      <c r="G635" s="214"/>
      <c r="H635" s="214"/>
      <c r="I635" s="214"/>
      <c r="J635" s="214"/>
      <c r="K635" s="268"/>
      <c r="L635" s="214"/>
      <c r="M635" s="269"/>
      <c r="N635" s="214"/>
      <c r="O635" s="214"/>
      <c r="P635" s="214"/>
      <c r="Q635" s="214"/>
      <c r="R635" s="214"/>
      <c r="S635" s="214"/>
      <c r="T635" s="214"/>
      <c r="U635" s="214"/>
      <c r="V635" s="214"/>
      <c r="W635" s="214"/>
      <c r="X635" s="214"/>
      <c r="Y635" s="261"/>
      <c r="Z635" s="262"/>
      <c r="AA635" s="262"/>
      <c r="AB635" s="270"/>
      <c r="AC635" s="214"/>
      <c r="AD635" s="214"/>
      <c r="AE635" s="214"/>
      <c r="AF635" s="214"/>
      <c r="AG635" s="214"/>
      <c r="AH635" s="214"/>
      <c r="AI635" s="261"/>
      <c r="AJ635" s="214"/>
      <c r="AK635" s="261"/>
      <c r="AL635" s="261"/>
      <c r="AM635" s="264"/>
      <c r="AN635" s="214"/>
      <c r="AO635" s="271"/>
      <c r="AP635" s="271"/>
      <c r="AQ635" s="271"/>
      <c r="AR635" s="271"/>
      <c r="AS635" s="272"/>
      <c r="AT635" s="272"/>
      <c r="AU635" s="214"/>
      <c r="AV635" s="214"/>
    </row>
    <row r="636" ht="15.75" customHeight="1">
      <c r="A636" s="214"/>
      <c r="B636" s="261"/>
      <c r="C636" s="266"/>
      <c r="D636" s="267"/>
      <c r="E636" s="214"/>
      <c r="F636" s="214"/>
      <c r="G636" s="214"/>
      <c r="H636" s="214"/>
      <c r="I636" s="214"/>
      <c r="J636" s="214"/>
      <c r="K636" s="268"/>
      <c r="L636" s="214"/>
      <c r="M636" s="269"/>
      <c r="N636" s="214"/>
      <c r="O636" s="214"/>
      <c r="P636" s="214"/>
      <c r="Q636" s="214"/>
      <c r="R636" s="214"/>
      <c r="S636" s="214"/>
      <c r="T636" s="214"/>
      <c r="U636" s="214"/>
      <c r="V636" s="214"/>
      <c r="W636" s="214"/>
      <c r="X636" s="214"/>
      <c r="Y636" s="261"/>
      <c r="Z636" s="262"/>
      <c r="AA636" s="262"/>
      <c r="AB636" s="270"/>
      <c r="AC636" s="214"/>
      <c r="AD636" s="214"/>
      <c r="AE636" s="214"/>
      <c r="AF636" s="214"/>
      <c r="AG636" s="214"/>
      <c r="AH636" s="214"/>
      <c r="AI636" s="261"/>
      <c r="AJ636" s="214"/>
      <c r="AK636" s="261"/>
      <c r="AL636" s="261"/>
      <c r="AM636" s="264"/>
      <c r="AN636" s="214"/>
      <c r="AO636" s="271"/>
      <c r="AP636" s="271"/>
      <c r="AQ636" s="271"/>
      <c r="AR636" s="271"/>
      <c r="AS636" s="272"/>
      <c r="AT636" s="272"/>
      <c r="AU636" s="214"/>
      <c r="AV636" s="214"/>
    </row>
    <row r="637" ht="15.75" customHeight="1">
      <c r="A637" s="214"/>
      <c r="B637" s="261"/>
      <c r="C637" s="266"/>
      <c r="D637" s="267"/>
      <c r="E637" s="214"/>
      <c r="F637" s="214"/>
      <c r="G637" s="214"/>
      <c r="H637" s="214"/>
      <c r="I637" s="214"/>
      <c r="J637" s="214"/>
      <c r="K637" s="268"/>
      <c r="L637" s="214"/>
      <c r="M637" s="269"/>
      <c r="N637" s="214"/>
      <c r="O637" s="214"/>
      <c r="P637" s="214"/>
      <c r="Q637" s="214"/>
      <c r="R637" s="214"/>
      <c r="S637" s="214"/>
      <c r="T637" s="214"/>
      <c r="U637" s="214"/>
      <c r="V637" s="214"/>
      <c r="W637" s="214"/>
      <c r="X637" s="214"/>
      <c r="Y637" s="261"/>
      <c r="Z637" s="262"/>
      <c r="AA637" s="262"/>
      <c r="AB637" s="270"/>
      <c r="AC637" s="214"/>
      <c r="AD637" s="214"/>
      <c r="AE637" s="214"/>
      <c r="AF637" s="214"/>
      <c r="AG637" s="214"/>
      <c r="AH637" s="214"/>
      <c r="AI637" s="261"/>
      <c r="AJ637" s="214"/>
      <c r="AK637" s="261"/>
      <c r="AL637" s="261"/>
      <c r="AM637" s="264"/>
      <c r="AN637" s="214"/>
      <c r="AO637" s="271"/>
      <c r="AP637" s="271"/>
      <c r="AQ637" s="271"/>
      <c r="AR637" s="271"/>
      <c r="AS637" s="272"/>
      <c r="AT637" s="272"/>
      <c r="AU637" s="214"/>
      <c r="AV637" s="214"/>
    </row>
    <row r="638" ht="15.75" customHeight="1">
      <c r="A638" s="214"/>
      <c r="B638" s="261"/>
      <c r="C638" s="266"/>
      <c r="D638" s="267"/>
      <c r="E638" s="214"/>
      <c r="F638" s="214"/>
      <c r="G638" s="214"/>
      <c r="H638" s="214"/>
      <c r="I638" s="214"/>
      <c r="J638" s="214"/>
      <c r="K638" s="268"/>
      <c r="L638" s="214"/>
      <c r="M638" s="269"/>
      <c r="N638" s="214"/>
      <c r="O638" s="214"/>
      <c r="P638" s="214"/>
      <c r="Q638" s="214"/>
      <c r="R638" s="214"/>
      <c r="S638" s="214"/>
      <c r="T638" s="214"/>
      <c r="U638" s="214"/>
      <c r="V638" s="214"/>
      <c r="W638" s="214"/>
      <c r="X638" s="214"/>
      <c r="Y638" s="261"/>
      <c r="Z638" s="262"/>
      <c r="AA638" s="262"/>
      <c r="AB638" s="270"/>
      <c r="AC638" s="214"/>
      <c r="AD638" s="214"/>
      <c r="AE638" s="214"/>
      <c r="AF638" s="214"/>
      <c r="AG638" s="214"/>
      <c r="AH638" s="214"/>
      <c r="AI638" s="261"/>
      <c r="AJ638" s="214"/>
      <c r="AK638" s="261"/>
      <c r="AL638" s="261"/>
      <c r="AM638" s="264"/>
      <c r="AN638" s="214"/>
      <c r="AO638" s="271"/>
      <c r="AP638" s="271"/>
      <c r="AQ638" s="271"/>
      <c r="AR638" s="271"/>
      <c r="AS638" s="272"/>
      <c r="AT638" s="272"/>
      <c r="AU638" s="214"/>
      <c r="AV638" s="214"/>
    </row>
    <row r="639" ht="15.75" customHeight="1">
      <c r="A639" s="214"/>
      <c r="B639" s="261"/>
      <c r="C639" s="266"/>
      <c r="D639" s="267"/>
      <c r="E639" s="214"/>
      <c r="F639" s="214"/>
      <c r="G639" s="214"/>
      <c r="H639" s="214"/>
      <c r="I639" s="214"/>
      <c r="J639" s="214"/>
      <c r="K639" s="268"/>
      <c r="L639" s="214"/>
      <c r="M639" s="269"/>
      <c r="N639" s="214"/>
      <c r="O639" s="214"/>
      <c r="P639" s="214"/>
      <c r="Q639" s="214"/>
      <c r="R639" s="214"/>
      <c r="S639" s="214"/>
      <c r="T639" s="214"/>
      <c r="U639" s="214"/>
      <c r="V639" s="214"/>
      <c r="W639" s="214"/>
      <c r="X639" s="214"/>
      <c r="Y639" s="261"/>
      <c r="Z639" s="262"/>
      <c r="AA639" s="262"/>
      <c r="AB639" s="270"/>
      <c r="AC639" s="214"/>
      <c r="AD639" s="214"/>
      <c r="AE639" s="214"/>
      <c r="AF639" s="214"/>
      <c r="AG639" s="214"/>
      <c r="AH639" s="214"/>
      <c r="AI639" s="261"/>
      <c r="AJ639" s="214"/>
      <c r="AK639" s="261"/>
      <c r="AL639" s="261"/>
      <c r="AM639" s="264"/>
      <c r="AN639" s="214"/>
      <c r="AO639" s="271"/>
      <c r="AP639" s="271"/>
      <c r="AQ639" s="271"/>
      <c r="AR639" s="271"/>
      <c r="AS639" s="272"/>
      <c r="AT639" s="272"/>
      <c r="AU639" s="214"/>
      <c r="AV639" s="214"/>
    </row>
    <row r="640" ht="15.75" customHeight="1">
      <c r="A640" s="214"/>
      <c r="B640" s="261"/>
      <c r="C640" s="266"/>
      <c r="D640" s="267"/>
      <c r="E640" s="214"/>
      <c r="F640" s="214"/>
      <c r="G640" s="214"/>
      <c r="H640" s="214"/>
      <c r="I640" s="214"/>
      <c r="J640" s="214"/>
      <c r="K640" s="268"/>
      <c r="L640" s="214"/>
      <c r="M640" s="269"/>
      <c r="N640" s="214"/>
      <c r="O640" s="214"/>
      <c r="P640" s="214"/>
      <c r="Q640" s="214"/>
      <c r="R640" s="214"/>
      <c r="S640" s="214"/>
      <c r="T640" s="214"/>
      <c r="U640" s="214"/>
      <c r="V640" s="214"/>
      <c r="W640" s="214"/>
      <c r="X640" s="214"/>
      <c r="Y640" s="261"/>
      <c r="Z640" s="262"/>
      <c r="AA640" s="262"/>
      <c r="AB640" s="270"/>
      <c r="AC640" s="214"/>
      <c r="AD640" s="214"/>
      <c r="AE640" s="214"/>
      <c r="AF640" s="214"/>
      <c r="AG640" s="214"/>
      <c r="AH640" s="214"/>
      <c r="AI640" s="261"/>
      <c r="AJ640" s="214"/>
      <c r="AK640" s="261"/>
      <c r="AL640" s="261"/>
      <c r="AM640" s="264"/>
      <c r="AN640" s="214"/>
      <c r="AO640" s="271"/>
      <c r="AP640" s="271"/>
      <c r="AQ640" s="271"/>
      <c r="AR640" s="271"/>
      <c r="AS640" s="272"/>
      <c r="AT640" s="272"/>
      <c r="AU640" s="214"/>
      <c r="AV640" s="214"/>
    </row>
    <row r="641" ht="15.75" customHeight="1">
      <c r="A641" s="214"/>
      <c r="B641" s="261"/>
      <c r="C641" s="266"/>
      <c r="D641" s="267"/>
      <c r="E641" s="214"/>
      <c r="F641" s="214"/>
      <c r="G641" s="214"/>
      <c r="H641" s="214"/>
      <c r="I641" s="214"/>
      <c r="J641" s="214"/>
      <c r="K641" s="268"/>
      <c r="L641" s="214"/>
      <c r="M641" s="269"/>
      <c r="N641" s="214"/>
      <c r="O641" s="214"/>
      <c r="P641" s="214"/>
      <c r="Q641" s="214"/>
      <c r="R641" s="214"/>
      <c r="S641" s="214"/>
      <c r="T641" s="214"/>
      <c r="U641" s="214"/>
      <c r="V641" s="214"/>
      <c r="W641" s="214"/>
      <c r="X641" s="214"/>
      <c r="Y641" s="261"/>
      <c r="Z641" s="262"/>
      <c r="AA641" s="262"/>
      <c r="AB641" s="270"/>
      <c r="AC641" s="214"/>
      <c r="AD641" s="214"/>
      <c r="AE641" s="214"/>
      <c r="AF641" s="214"/>
      <c r="AG641" s="214"/>
      <c r="AH641" s="214"/>
      <c r="AI641" s="261"/>
      <c r="AJ641" s="214"/>
      <c r="AK641" s="261"/>
      <c r="AL641" s="261"/>
      <c r="AM641" s="264"/>
      <c r="AN641" s="214"/>
      <c r="AO641" s="271"/>
      <c r="AP641" s="271"/>
      <c r="AQ641" s="271"/>
      <c r="AR641" s="271"/>
      <c r="AS641" s="272"/>
      <c r="AT641" s="272"/>
      <c r="AU641" s="214"/>
      <c r="AV641" s="214"/>
    </row>
    <row r="642" ht="15.75" customHeight="1">
      <c r="A642" s="214"/>
      <c r="B642" s="261"/>
      <c r="C642" s="266"/>
      <c r="D642" s="267"/>
      <c r="E642" s="214"/>
      <c r="F642" s="214"/>
      <c r="G642" s="214"/>
      <c r="H642" s="214"/>
      <c r="I642" s="214"/>
      <c r="J642" s="214"/>
      <c r="K642" s="268"/>
      <c r="L642" s="214"/>
      <c r="M642" s="269"/>
      <c r="N642" s="214"/>
      <c r="O642" s="214"/>
      <c r="P642" s="214"/>
      <c r="Q642" s="214"/>
      <c r="R642" s="214"/>
      <c r="S642" s="214"/>
      <c r="T642" s="214"/>
      <c r="U642" s="214"/>
      <c r="V642" s="214"/>
      <c r="W642" s="214"/>
      <c r="X642" s="214"/>
      <c r="Y642" s="261"/>
      <c r="Z642" s="262"/>
      <c r="AA642" s="262"/>
      <c r="AB642" s="270"/>
      <c r="AC642" s="214"/>
      <c r="AD642" s="214"/>
      <c r="AE642" s="214"/>
      <c r="AF642" s="214"/>
      <c r="AG642" s="214"/>
      <c r="AH642" s="214"/>
      <c r="AI642" s="261"/>
      <c r="AJ642" s="214"/>
      <c r="AK642" s="261"/>
      <c r="AL642" s="261"/>
      <c r="AM642" s="264"/>
      <c r="AN642" s="214"/>
      <c r="AO642" s="271"/>
      <c r="AP642" s="271"/>
      <c r="AQ642" s="271"/>
      <c r="AR642" s="271"/>
      <c r="AS642" s="272"/>
      <c r="AT642" s="272"/>
      <c r="AU642" s="214"/>
      <c r="AV642" s="214"/>
    </row>
    <row r="643" ht="15.75" customHeight="1">
      <c r="A643" s="214"/>
      <c r="B643" s="261"/>
      <c r="C643" s="266"/>
      <c r="D643" s="267"/>
      <c r="E643" s="214"/>
      <c r="F643" s="214"/>
      <c r="G643" s="214"/>
      <c r="H643" s="214"/>
      <c r="I643" s="214"/>
      <c r="J643" s="214"/>
      <c r="K643" s="268"/>
      <c r="L643" s="214"/>
      <c r="M643" s="269"/>
      <c r="N643" s="214"/>
      <c r="O643" s="214"/>
      <c r="P643" s="214"/>
      <c r="Q643" s="214"/>
      <c r="R643" s="214"/>
      <c r="S643" s="214"/>
      <c r="T643" s="214"/>
      <c r="U643" s="214"/>
      <c r="V643" s="214"/>
      <c r="W643" s="214"/>
      <c r="X643" s="214"/>
      <c r="Y643" s="261"/>
      <c r="Z643" s="262"/>
      <c r="AA643" s="262"/>
      <c r="AB643" s="270"/>
      <c r="AC643" s="214"/>
      <c r="AD643" s="214"/>
      <c r="AE643" s="214"/>
      <c r="AF643" s="214"/>
      <c r="AG643" s="214"/>
      <c r="AH643" s="214"/>
      <c r="AI643" s="261"/>
      <c r="AJ643" s="214"/>
      <c r="AK643" s="261"/>
      <c r="AL643" s="261"/>
      <c r="AM643" s="264"/>
      <c r="AN643" s="214"/>
      <c r="AO643" s="271"/>
      <c r="AP643" s="271"/>
      <c r="AQ643" s="271"/>
      <c r="AR643" s="271"/>
      <c r="AS643" s="272"/>
      <c r="AT643" s="272"/>
      <c r="AU643" s="214"/>
      <c r="AV643" s="214"/>
    </row>
    <row r="644" ht="15.75" customHeight="1">
      <c r="A644" s="214"/>
      <c r="B644" s="261"/>
      <c r="C644" s="266"/>
      <c r="D644" s="267"/>
      <c r="E644" s="214"/>
      <c r="F644" s="214"/>
      <c r="G644" s="214"/>
      <c r="H644" s="214"/>
      <c r="I644" s="214"/>
      <c r="J644" s="214"/>
      <c r="K644" s="268"/>
      <c r="L644" s="214"/>
      <c r="M644" s="269"/>
      <c r="N644" s="214"/>
      <c r="O644" s="214"/>
      <c r="P644" s="214"/>
      <c r="Q644" s="214"/>
      <c r="R644" s="214"/>
      <c r="S644" s="214"/>
      <c r="T644" s="214"/>
      <c r="U644" s="214"/>
      <c r="V644" s="214"/>
      <c r="W644" s="214"/>
      <c r="X644" s="214"/>
      <c r="Y644" s="261"/>
      <c r="Z644" s="262"/>
      <c r="AA644" s="262"/>
      <c r="AB644" s="270"/>
      <c r="AC644" s="214"/>
      <c r="AD644" s="214"/>
      <c r="AE644" s="214"/>
      <c r="AF644" s="214"/>
      <c r="AG644" s="214"/>
      <c r="AH644" s="214"/>
      <c r="AI644" s="261"/>
      <c r="AJ644" s="214"/>
      <c r="AK644" s="261"/>
      <c r="AL644" s="261"/>
      <c r="AM644" s="264"/>
      <c r="AN644" s="214"/>
      <c r="AO644" s="271"/>
      <c r="AP644" s="271"/>
      <c r="AQ644" s="271"/>
      <c r="AR644" s="271"/>
      <c r="AS644" s="272"/>
      <c r="AT644" s="272"/>
      <c r="AU644" s="214"/>
      <c r="AV644" s="214"/>
    </row>
    <row r="645" ht="15.75" customHeight="1">
      <c r="A645" s="214"/>
      <c r="B645" s="261"/>
      <c r="C645" s="266"/>
      <c r="D645" s="267"/>
      <c r="E645" s="214"/>
      <c r="F645" s="214"/>
      <c r="G645" s="214"/>
      <c r="H645" s="214"/>
      <c r="I645" s="214"/>
      <c r="J645" s="214"/>
      <c r="K645" s="268"/>
      <c r="L645" s="214"/>
      <c r="M645" s="269"/>
      <c r="N645" s="214"/>
      <c r="O645" s="214"/>
      <c r="P645" s="214"/>
      <c r="Q645" s="214"/>
      <c r="R645" s="214"/>
      <c r="S645" s="214"/>
      <c r="T645" s="214"/>
      <c r="U645" s="214"/>
      <c r="V645" s="214"/>
      <c r="W645" s="214"/>
      <c r="X645" s="214"/>
      <c r="Y645" s="261"/>
      <c r="Z645" s="262"/>
      <c r="AA645" s="262"/>
      <c r="AB645" s="270"/>
      <c r="AC645" s="214"/>
      <c r="AD645" s="214"/>
      <c r="AE645" s="214"/>
      <c r="AF645" s="214"/>
      <c r="AG645" s="214"/>
      <c r="AH645" s="214"/>
      <c r="AI645" s="261"/>
      <c r="AJ645" s="214"/>
      <c r="AK645" s="261"/>
      <c r="AL645" s="261"/>
      <c r="AM645" s="264"/>
      <c r="AN645" s="214"/>
      <c r="AO645" s="271"/>
      <c r="AP645" s="271"/>
      <c r="AQ645" s="271"/>
      <c r="AR645" s="271"/>
      <c r="AS645" s="272"/>
      <c r="AT645" s="272"/>
      <c r="AU645" s="214"/>
      <c r="AV645" s="214"/>
    </row>
    <row r="646" ht="15.75" customHeight="1">
      <c r="A646" s="214"/>
      <c r="B646" s="261"/>
      <c r="C646" s="266"/>
      <c r="D646" s="267"/>
      <c r="E646" s="214"/>
      <c r="F646" s="214"/>
      <c r="G646" s="214"/>
      <c r="H646" s="214"/>
      <c r="I646" s="214"/>
      <c r="J646" s="214"/>
      <c r="K646" s="268"/>
      <c r="L646" s="214"/>
      <c r="M646" s="269"/>
      <c r="N646" s="214"/>
      <c r="O646" s="214"/>
      <c r="P646" s="214"/>
      <c r="Q646" s="214"/>
      <c r="R646" s="214"/>
      <c r="S646" s="214"/>
      <c r="T646" s="214"/>
      <c r="U646" s="214"/>
      <c r="V646" s="214"/>
      <c r="W646" s="214"/>
      <c r="X646" s="214"/>
      <c r="Y646" s="261"/>
      <c r="Z646" s="262"/>
      <c r="AA646" s="262"/>
      <c r="AB646" s="270"/>
      <c r="AC646" s="214"/>
      <c r="AD646" s="214"/>
      <c r="AE646" s="214"/>
      <c r="AF646" s="214"/>
      <c r="AG646" s="214"/>
      <c r="AH646" s="214"/>
      <c r="AI646" s="261"/>
      <c r="AJ646" s="214"/>
      <c r="AK646" s="261"/>
      <c r="AL646" s="261"/>
      <c r="AM646" s="264"/>
      <c r="AN646" s="214"/>
      <c r="AO646" s="271"/>
      <c r="AP646" s="271"/>
      <c r="AQ646" s="271"/>
      <c r="AR646" s="271"/>
      <c r="AS646" s="272"/>
      <c r="AT646" s="272"/>
      <c r="AU646" s="214"/>
      <c r="AV646" s="214"/>
    </row>
    <row r="647" ht="15.75" customHeight="1">
      <c r="A647" s="214"/>
      <c r="B647" s="261"/>
      <c r="C647" s="266"/>
      <c r="D647" s="267"/>
      <c r="E647" s="214"/>
      <c r="F647" s="214"/>
      <c r="G647" s="214"/>
      <c r="H647" s="214"/>
      <c r="I647" s="214"/>
      <c r="J647" s="214"/>
      <c r="K647" s="268"/>
      <c r="L647" s="214"/>
      <c r="M647" s="269"/>
      <c r="N647" s="214"/>
      <c r="O647" s="214"/>
      <c r="P647" s="214"/>
      <c r="Q647" s="214"/>
      <c r="R647" s="214"/>
      <c r="S647" s="214"/>
      <c r="T647" s="214"/>
      <c r="U647" s="214"/>
      <c r="V647" s="214"/>
      <c r="W647" s="214"/>
      <c r="X647" s="214"/>
      <c r="Y647" s="261"/>
      <c r="Z647" s="262"/>
      <c r="AA647" s="262"/>
      <c r="AB647" s="270"/>
      <c r="AC647" s="214"/>
      <c r="AD647" s="214"/>
      <c r="AE647" s="214"/>
      <c r="AF647" s="214"/>
      <c r="AG647" s="214"/>
      <c r="AH647" s="214"/>
      <c r="AI647" s="261"/>
      <c r="AJ647" s="214"/>
      <c r="AK647" s="261"/>
      <c r="AL647" s="261"/>
      <c r="AM647" s="264"/>
      <c r="AN647" s="214"/>
      <c r="AO647" s="271"/>
      <c r="AP647" s="271"/>
      <c r="AQ647" s="271"/>
      <c r="AR647" s="271"/>
      <c r="AS647" s="272"/>
      <c r="AT647" s="272"/>
      <c r="AU647" s="214"/>
      <c r="AV647" s="214"/>
    </row>
    <row r="648" ht="15.75" customHeight="1">
      <c r="A648" s="214"/>
      <c r="B648" s="261"/>
      <c r="C648" s="266"/>
      <c r="D648" s="267"/>
      <c r="E648" s="214"/>
      <c r="F648" s="214"/>
      <c r="G648" s="214"/>
      <c r="H648" s="214"/>
      <c r="I648" s="214"/>
      <c r="J648" s="214"/>
      <c r="K648" s="268"/>
      <c r="L648" s="214"/>
      <c r="M648" s="269"/>
      <c r="N648" s="214"/>
      <c r="O648" s="214"/>
      <c r="P648" s="214"/>
      <c r="Q648" s="214"/>
      <c r="R648" s="214"/>
      <c r="S648" s="214"/>
      <c r="T648" s="214"/>
      <c r="U648" s="214"/>
      <c r="V648" s="214"/>
      <c r="W648" s="214"/>
      <c r="X648" s="214"/>
      <c r="Y648" s="261"/>
      <c r="Z648" s="262"/>
      <c r="AA648" s="262"/>
      <c r="AB648" s="270"/>
      <c r="AC648" s="214"/>
      <c r="AD648" s="214"/>
      <c r="AE648" s="214"/>
      <c r="AF648" s="214"/>
      <c r="AG648" s="214"/>
      <c r="AH648" s="214"/>
      <c r="AI648" s="261"/>
      <c r="AJ648" s="214"/>
      <c r="AK648" s="261"/>
      <c r="AL648" s="261"/>
      <c r="AM648" s="264"/>
      <c r="AN648" s="214"/>
      <c r="AO648" s="271"/>
      <c r="AP648" s="271"/>
      <c r="AQ648" s="271"/>
      <c r="AR648" s="271"/>
      <c r="AS648" s="272"/>
      <c r="AT648" s="272"/>
      <c r="AU648" s="214"/>
      <c r="AV648" s="214"/>
    </row>
    <row r="649" ht="15.75" customHeight="1">
      <c r="A649" s="214"/>
      <c r="B649" s="261"/>
      <c r="C649" s="266"/>
      <c r="D649" s="267"/>
      <c r="E649" s="214"/>
      <c r="F649" s="214"/>
      <c r="G649" s="214"/>
      <c r="H649" s="214"/>
      <c r="I649" s="214"/>
      <c r="J649" s="214"/>
      <c r="K649" s="268"/>
      <c r="L649" s="214"/>
      <c r="M649" s="269"/>
      <c r="N649" s="214"/>
      <c r="O649" s="214"/>
      <c r="P649" s="214"/>
      <c r="Q649" s="214"/>
      <c r="R649" s="214"/>
      <c r="S649" s="214"/>
      <c r="T649" s="214"/>
      <c r="U649" s="214"/>
      <c r="V649" s="214"/>
      <c r="W649" s="214"/>
      <c r="X649" s="214"/>
      <c r="Y649" s="261"/>
      <c r="Z649" s="262"/>
      <c r="AA649" s="262"/>
      <c r="AB649" s="270"/>
      <c r="AC649" s="214"/>
      <c r="AD649" s="214"/>
      <c r="AE649" s="214"/>
      <c r="AF649" s="214"/>
      <c r="AG649" s="214"/>
      <c r="AH649" s="214"/>
      <c r="AI649" s="261"/>
      <c r="AJ649" s="214"/>
      <c r="AK649" s="261"/>
      <c r="AL649" s="261"/>
      <c r="AM649" s="264"/>
      <c r="AN649" s="214"/>
      <c r="AO649" s="271"/>
      <c r="AP649" s="271"/>
      <c r="AQ649" s="271"/>
      <c r="AR649" s="271"/>
      <c r="AS649" s="272"/>
      <c r="AT649" s="272"/>
      <c r="AU649" s="214"/>
      <c r="AV649" s="214"/>
    </row>
    <row r="650" ht="15.75" customHeight="1">
      <c r="A650" s="214"/>
      <c r="B650" s="261"/>
      <c r="C650" s="266"/>
      <c r="D650" s="267"/>
      <c r="E650" s="214"/>
      <c r="F650" s="214"/>
      <c r="G650" s="214"/>
      <c r="H650" s="214"/>
      <c r="I650" s="214"/>
      <c r="J650" s="214"/>
      <c r="K650" s="268"/>
      <c r="L650" s="214"/>
      <c r="M650" s="269"/>
      <c r="N650" s="214"/>
      <c r="O650" s="214"/>
      <c r="P650" s="214"/>
      <c r="Q650" s="214"/>
      <c r="R650" s="214"/>
      <c r="S650" s="214"/>
      <c r="T650" s="214"/>
      <c r="U650" s="214"/>
      <c r="V650" s="214"/>
      <c r="W650" s="214"/>
      <c r="X650" s="214"/>
      <c r="Y650" s="261"/>
      <c r="Z650" s="262"/>
      <c r="AA650" s="262"/>
      <c r="AB650" s="270"/>
      <c r="AC650" s="214"/>
      <c r="AD650" s="214"/>
      <c r="AE650" s="214"/>
      <c r="AF650" s="214"/>
      <c r="AG650" s="214"/>
      <c r="AH650" s="214"/>
      <c r="AI650" s="261"/>
      <c r="AJ650" s="214"/>
      <c r="AK650" s="261"/>
      <c r="AL650" s="261"/>
      <c r="AM650" s="264"/>
      <c r="AN650" s="214"/>
      <c r="AO650" s="271"/>
      <c r="AP650" s="271"/>
      <c r="AQ650" s="271"/>
      <c r="AR650" s="271"/>
      <c r="AS650" s="272"/>
      <c r="AT650" s="272"/>
      <c r="AU650" s="214"/>
      <c r="AV650" s="214"/>
    </row>
    <row r="651" ht="15.75" customHeight="1">
      <c r="A651" s="214"/>
      <c r="B651" s="261"/>
      <c r="C651" s="266"/>
      <c r="D651" s="267"/>
      <c r="E651" s="214"/>
      <c r="F651" s="214"/>
      <c r="G651" s="214"/>
      <c r="H651" s="214"/>
      <c r="I651" s="214"/>
      <c r="J651" s="214"/>
      <c r="K651" s="268"/>
      <c r="L651" s="214"/>
      <c r="M651" s="269"/>
      <c r="N651" s="214"/>
      <c r="O651" s="214"/>
      <c r="P651" s="214"/>
      <c r="Q651" s="214"/>
      <c r="R651" s="214"/>
      <c r="S651" s="214"/>
      <c r="T651" s="214"/>
      <c r="U651" s="214"/>
      <c r="V651" s="214"/>
      <c r="W651" s="214"/>
      <c r="X651" s="214"/>
      <c r="Y651" s="261"/>
      <c r="Z651" s="262"/>
      <c r="AA651" s="262"/>
      <c r="AB651" s="270"/>
      <c r="AC651" s="214"/>
      <c r="AD651" s="214"/>
      <c r="AE651" s="214"/>
      <c r="AF651" s="214"/>
      <c r="AG651" s="214"/>
      <c r="AH651" s="214"/>
      <c r="AI651" s="261"/>
      <c r="AJ651" s="214"/>
      <c r="AK651" s="261"/>
      <c r="AL651" s="261"/>
      <c r="AM651" s="264"/>
      <c r="AN651" s="214"/>
      <c r="AO651" s="271"/>
      <c r="AP651" s="271"/>
      <c r="AQ651" s="271"/>
      <c r="AR651" s="271"/>
      <c r="AS651" s="272"/>
      <c r="AT651" s="272"/>
      <c r="AU651" s="214"/>
      <c r="AV651" s="214"/>
    </row>
    <row r="652" ht="15.75" customHeight="1">
      <c r="A652" s="214"/>
      <c r="B652" s="261"/>
      <c r="C652" s="266"/>
      <c r="D652" s="267"/>
      <c r="E652" s="214"/>
      <c r="F652" s="214"/>
      <c r="G652" s="214"/>
      <c r="H652" s="214"/>
      <c r="I652" s="214"/>
      <c r="J652" s="214"/>
      <c r="K652" s="268"/>
      <c r="L652" s="214"/>
      <c r="M652" s="269"/>
      <c r="N652" s="214"/>
      <c r="O652" s="214"/>
      <c r="P652" s="214"/>
      <c r="Q652" s="214"/>
      <c r="R652" s="214"/>
      <c r="S652" s="214"/>
      <c r="T652" s="214"/>
      <c r="U652" s="214"/>
      <c r="V652" s="214"/>
      <c r="W652" s="214"/>
      <c r="X652" s="214"/>
      <c r="Y652" s="261"/>
      <c r="Z652" s="262"/>
      <c r="AA652" s="262"/>
      <c r="AB652" s="270"/>
      <c r="AC652" s="214"/>
      <c r="AD652" s="214"/>
      <c r="AE652" s="214"/>
      <c r="AF652" s="214"/>
      <c r="AG652" s="214"/>
      <c r="AH652" s="214"/>
      <c r="AI652" s="261"/>
      <c r="AJ652" s="214"/>
      <c r="AK652" s="261"/>
      <c r="AL652" s="261"/>
      <c r="AM652" s="264"/>
      <c r="AN652" s="214"/>
      <c r="AO652" s="271"/>
      <c r="AP652" s="271"/>
      <c r="AQ652" s="271"/>
      <c r="AR652" s="271"/>
      <c r="AS652" s="272"/>
      <c r="AT652" s="272"/>
      <c r="AU652" s="214"/>
      <c r="AV652" s="214"/>
    </row>
    <row r="653" ht="15.75" customHeight="1">
      <c r="A653" s="214"/>
      <c r="B653" s="261"/>
      <c r="C653" s="266"/>
      <c r="D653" s="267"/>
      <c r="E653" s="214"/>
      <c r="F653" s="214"/>
      <c r="G653" s="214"/>
      <c r="H653" s="214"/>
      <c r="I653" s="214"/>
      <c r="J653" s="214"/>
      <c r="K653" s="268"/>
      <c r="L653" s="214"/>
      <c r="M653" s="269"/>
      <c r="N653" s="214"/>
      <c r="O653" s="214"/>
      <c r="P653" s="214"/>
      <c r="Q653" s="214"/>
      <c r="R653" s="214"/>
      <c r="S653" s="214"/>
      <c r="T653" s="214"/>
      <c r="U653" s="214"/>
      <c r="V653" s="214"/>
      <c r="W653" s="214"/>
      <c r="X653" s="214"/>
      <c r="Y653" s="261"/>
      <c r="Z653" s="262"/>
      <c r="AA653" s="262"/>
      <c r="AB653" s="270"/>
      <c r="AC653" s="214"/>
      <c r="AD653" s="214"/>
      <c r="AE653" s="214"/>
      <c r="AF653" s="214"/>
      <c r="AG653" s="214"/>
      <c r="AH653" s="214"/>
      <c r="AI653" s="261"/>
      <c r="AJ653" s="214"/>
      <c r="AK653" s="261"/>
      <c r="AL653" s="261"/>
      <c r="AM653" s="264"/>
      <c r="AN653" s="214"/>
      <c r="AO653" s="271"/>
      <c r="AP653" s="271"/>
      <c r="AQ653" s="271"/>
      <c r="AR653" s="271"/>
      <c r="AS653" s="272"/>
      <c r="AT653" s="272"/>
      <c r="AU653" s="214"/>
      <c r="AV653" s="214"/>
    </row>
    <row r="654" ht="15.75" customHeight="1">
      <c r="A654" s="214"/>
      <c r="B654" s="261"/>
      <c r="C654" s="266"/>
      <c r="D654" s="267"/>
      <c r="E654" s="214"/>
      <c r="F654" s="214"/>
      <c r="G654" s="214"/>
      <c r="H654" s="214"/>
      <c r="I654" s="214"/>
      <c r="J654" s="214"/>
      <c r="K654" s="268"/>
      <c r="L654" s="214"/>
      <c r="M654" s="269"/>
      <c r="N654" s="214"/>
      <c r="O654" s="214"/>
      <c r="P654" s="214"/>
      <c r="Q654" s="214"/>
      <c r="R654" s="214"/>
      <c r="S654" s="214"/>
      <c r="T654" s="214"/>
      <c r="U654" s="214"/>
      <c r="V654" s="214"/>
      <c r="W654" s="214"/>
      <c r="X654" s="214"/>
      <c r="Y654" s="261"/>
      <c r="Z654" s="262"/>
      <c r="AA654" s="262"/>
      <c r="AB654" s="270"/>
      <c r="AC654" s="214"/>
      <c r="AD654" s="214"/>
      <c r="AE654" s="214"/>
      <c r="AF654" s="214"/>
      <c r="AG654" s="214"/>
      <c r="AH654" s="214"/>
      <c r="AI654" s="261"/>
      <c r="AJ654" s="214"/>
      <c r="AK654" s="261"/>
      <c r="AL654" s="261"/>
      <c r="AM654" s="264"/>
      <c r="AN654" s="214"/>
      <c r="AO654" s="271"/>
      <c r="AP654" s="271"/>
      <c r="AQ654" s="271"/>
      <c r="AR654" s="271"/>
      <c r="AS654" s="272"/>
      <c r="AT654" s="272"/>
      <c r="AU654" s="214"/>
      <c r="AV654" s="214"/>
    </row>
    <row r="655" ht="15.75" customHeight="1">
      <c r="A655" s="214"/>
      <c r="B655" s="261"/>
      <c r="C655" s="266"/>
      <c r="D655" s="267"/>
      <c r="E655" s="214"/>
      <c r="F655" s="214"/>
      <c r="G655" s="214"/>
      <c r="H655" s="214"/>
      <c r="I655" s="214"/>
      <c r="J655" s="214"/>
      <c r="K655" s="268"/>
      <c r="L655" s="214"/>
      <c r="M655" s="269"/>
      <c r="N655" s="214"/>
      <c r="O655" s="214"/>
      <c r="P655" s="214"/>
      <c r="Q655" s="214"/>
      <c r="R655" s="214"/>
      <c r="S655" s="214"/>
      <c r="T655" s="214"/>
      <c r="U655" s="214"/>
      <c r="V655" s="214"/>
      <c r="W655" s="214"/>
      <c r="X655" s="214"/>
      <c r="Y655" s="261"/>
      <c r="Z655" s="262"/>
      <c r="AA655" s="262"/>
      <c r="AB655" s="270"/>
      <c r="AC655" s="214"/>
      <c r="AD655" s="214"/>
      <c r="AE655" s="214"/>
      <c r="AF655" s="214"/>
      <c r="AG655" s="214"/>
      <c r="AH655" s="214"/>
      <c r="AI655" s="261"/>
      <c r="AJ655" s="214"/>
      <c r="AK655" s="261"/>
      <c r="AL655" s="261"/>
      <c r="AM655" s="264"/>
      <c r="AN655" s="214"/>
      <c r="AO655" s="271"/>
      <c r="AP655" s="271"/>
      <c r="AQ655" s="271"/>
      <c r="AR655" s="271"/>
      <c r="AS655" s="272"/>
      <c r="AT655" s="272"/>
      <c r="AU655" s="214"/>
      <c r="AV655" s="214"/>
    </row>
    <row r="656" ht="15.75" customHeight="1">
      <c r="A656" s="214"/>
      <c r="B656" s="261"/>
      <c r="C656" s="266"/>
      <c r="D656" s="267"/>
      <c r="E656" s="214"/>
      <c r="F656" s="214"/>
      <c r="G656" s="214"/>
      <c r="H656" s="214"/>
      <c r="I656" s="214"/>
      <c r="J656" s="214"/>
      <c r="K656" s="268"/>
      <c r="L656" s="214"/>
      <c r="M656" s="269"/>
      <c r="N656" s="214"/>
      <c r="O656" s="214"/>
      <c r="P656" s="214"/>
      <c r="Q656" s="214"/>
      <c r="R656" s="214"/>
      <c r="S656" s="214"/>
      <c r="T656" s="214"/>
      <c r="U656" s="214"/>
      <c r="V656" s="214"/>
      <c r="W656" s="214"/>
      <c r="X656" s="214"/>
      <c r="Y656" s="261"/>
      <c r="Z656" s="262"/>
      <c r="AA656" s="262"/>
      <c r="AB656" s="270"/>
      <c r="AC656" s="214"/>
      <c r="AD656" s="214"/>
      <c r="AE656" s="214"/>
      <c r="AF656" s="214"/>
      <c r="AG656" s="214"/>
      <c r="AH656" s="214"/>
      <c r="AI656" s="261"/>
      <c r="AJ656" s="214"/>
      <c r="AK656" s="261"/>
      <c r="AL656" s="261"/>
      <c r="AM656" s="264"/>
      <c r="AN656" s="214"/>
      <c r="AO656" s="271"/>
      <c r="AP656" s="271"/>
      <c r="AQ656" s="271"/>
      <c r="AR656" s="271"/>
      <c r="AS656" s="272"/>
      <c r="AT656" s="272"/>
      <c r="AU656" s="214"/>
      <c r="AV656" s="214"/>
    </row>
    <row r="657" ht="15.75" customHeight="1">
      <c r="A657" s="214"/>
      <c r="B657" s="261"/>
      <c r="C657" s="266"/>
      <c r="D657" s="267"/>
      <c r="E657" s="214"/>
      <c r="F657" s="214"/>
      <c r="G657" s="214"/>
      <c r="H657" s="214"/>
      <c r="I657" s="214"/>
      <c r="J657" s="214"/>
      <c r="K657" s="268"/>
      <c r="L657" s="214"/>
      <c r="M657" s="269"/>
      <c r="N657" s="214"/>
      <c r="O657" s="214"/>
      <c r="P657" s="214"/>
      <c r="Q657" s="214"/>
      <c r="R657" s="214"/>
      <c r="S657" s="214"/>
      <c r="T657" s="214"/>
      <c r="U657" s="214"/>
      <c r="V657" s="214"/>
      <c r="W657" s="214"/>
      <c r="X657" s="214"/>
      <c r="Y657" s="261"/>
      <c r="Z657" s="262"/>
      <c r="AA657" s="262"/>
      <c r="AB657" s="270"/>
      <c r="AC657" s="214"/>
      <c r="AD657" s="214"/>
      <c r="AE657" s="214"/>
      <c r="AF657" s="214"/>
      <c r="AG657" s="214"/>
      <c r="AH657" s="214"/>
      <c r="AI657" s="261"/>
      <c r="AJ657" s="214"/>
      <c r="AK657" s="261"/>
      <c r="AL657" s="261"/>
      <c r="AM657" s="264"/>
      <c r="AN657" s="214"/>
      <c r="AO657" s="271"/>
      <c r="AP657" s="271"/>
      <c r="AQ657" s="271"/>
      <c r="AR657" s="271"/>
      <c r="AS657" s="272"/>
      <c r="AT657" s="272"/>
      <c r="AU657" s="214"/>
      <c r="AV657" s="214"/>
    </row>
    <row r="658" ht="15.75" customHeight="1">
      <c r="A658" s="214"/>
      <c r="B658" s="261"/>
      <c r="C658" s="266"/>
      <c r="D658" s="267"/>
      <c r="E658" s="214"/>
      <c r="F658" s="214"/>
      <c r="G658" s="214"/>
      <c r="H658" s="214"/>
      <c r="I658" s="214"/>
      <c r="J658" s="214"/>
      <c r="K658" s="268"/>
      <c r="L658" s="214"/>
      <c r="M658" s="269"/>
      <c r="N658" s="214"/>
      <c r="O658" s="214"/>
      <c r="P658" s="214"/>
      <c r="Q658" s="214"/>
      <c r="R658" s="214"/>
      <c r="S658" s="214"/>
      <c r="T658" s="214"/>
      <c r="U658" s="214"/>
      <c r="V658" s="214"/>
      <c r="W658" s="214"/>
      <c r="X658" s="214"/>
      <c r="Y658" s="261"/>
      <c r="Z658" s="262"/>
      <c r="AA658" s="262"/>
      <c r="AB658" s="270"/>
      <c r="AC658" s="214"/>
      <c r="AD658" s="214"/>
      <c r="AE658" s="214"/>
      <c r="AF658" s="214"/>
      <c r="AG658" s="214"/>
      <c r="AH658" s="214"/>
      <c r="AI658" s="261"/>
      <c r="AJ658" s="214"/>
      <c r="AK658" s="261"/>
      <c r="AL658" s="261"/>
      <c r="AM658" s="264"/>
      <c r="AN658" s="214"/>
      <c r="AO658" s="271"/>
      <c r="AP658" s="271"/>
      <c r="AQ658" s="271"/>
      <c r="AR658" s="271"/>
      <c r="AS658" s="272"/>
      <c r="AT658" s="272"/>
      <c r="AU658" s="214"/>
      <c r="AV658" s="214"/>
    </row>
    <row r="659" ht="15.75" customHeight="1">
      <c r="A659" s="214"/>
      <c r="B659" s="261"/>
      <c r="C659" s="266"/>
      <c r="D659" s="267"/>
      <c r="E659" s="214"/>
      <c r="F659" s="214"/>
      <c r="G659" s="214"/>
      <c r="H659" s="214"/>
      <c r="I659" s="214"/>
      <c r="J659" s="214"/>
      <c r="K659" s="268"/>
      <c r="L659" s="214"/>
      <c r="M659" s="269"/>
      <c r="N659" s="214"/>
      <c r="O659" s="214"/>
      <c r="P659" s="214"/>
      <c r="Q659" s="214"/>
      <c r="R659" s="214"/>
      <c r="S659" s="214"/>
      <c r="T659" s="214"/>
      <c r="U659" s="214"/>
      <c r="V659" s="214"/>
      <c r="W659" s="214"/>
      <c r="X659" s="214"/>
      <c r="Y659" s="261"/>
      <c r="Z659" s="262"/>
      <c r="AA659" s="262"/>
      <c r="AB659" s="270"/>
      <c r="AC659" s="214"/>
      <c r="AD659" s="214"/>
      <c r="AE659" s="214"/>
      <c r="AF659" s="214"/>
      <c r="AG659" s="214"/>
      <c r="AH659" s="214"/>
      <c r="AI659" s="261"/>
      <c r="AJ659" s="214"/>
      <c r="AK659" s="261"/>
      <c r="AL659" s="261"/>
      <c r="AM659" s="264"/>
      <c r="AN659" s="214"/>
      <c r="AO659" s="271"/>
      <c r="AP659" s="271"/>
      <c r="AQ659" s="271"/>
      <c r="AR659" s="271"/>
      <c r="AS659" s="272"/>
      <c r="AT659" s="272"/>
      <c r="AU659" s="214"/>
      <c r="AV659" s="214"/>
    </row>
    <row r="660" ht="15.75" customHeight="1">
      <c r="A660" s="214"/>
      <c r="B660" s="261"/>
      <c r="C660" s="266"/>
      <c r="D660" s="267"/>
      <c r="E660" s="214"/>
      <c r="F660" s="214"/>
      <c r="G660" s="214"/>
      <c r="H660" s="214"/>
      <c r="I660" s="214"/>
      <c r="J660" s="214"/>
      <c r="K660" s="268"/>
      <c r="L660" s="214"/>
      <c r="M660" s="269"/>
      <c r="N660" s="214"/>
      <c r="O660" s="214"/>
      <c r="P660" s="214"/>
      <c r="Q660" s="214"/>
      <c r="R660" s="214"/>
      <c r="S660" s="214"/>
      <c r="T660" s="214"/>
      <c r="U660" s="214"/>
      <c r="V660" s="214"/>
      <c r="W660" s="214"/>
      <c r="X660" s="214"/>
      <c r="Y660" s="261"/>
      <c r="Z660" s="262"/>
      <c r="AA660" s="262"/>
      <c r="AB660" s="270"/>
      <c r="AC660" s="214"/>
      <c r="AD660" s="214"/>
      <c r="AE660" s="214"/>
      <c r="AF660" s="214"/>
      <c r="AG660" s="214"/>
      <c r="AH660" s="214"/>
      <c r="AI660" s="261"/>
      <c r="AJ660" s="214"/>
      <c r="AK660" s="261"/>
      <c r="AL660" s="261"/>
      <c r="AM660" s="264"/>
      <c r="AN660" s="214"/>
      <c r="AO660" s="271"/>
      <c r="AP660" s="271"/>
      <c r="AQ660" s="271"/>
      <c r="AR660" s="271"/>
      <c r="AS660" s="272"/>
      <c r="AT660" s="272"/>
      <c r="AU660" s="214"/>
      <c r="AV660" s="214"/>
    </row>
    <row r="661" ht="15.75" customHeight="1">
      <c r="A661" s="214"/>
      <c r="B661" s="261"/>
      <c r="C661" s="266"/>
      <c r="D661" s="267"/>
      <c r="E661" s="214"/>
      <c r="F661" s="214"/>
      <c r="G661" s="214"/>
      <c r="H661" s="214"/>
      <c r="I661" s="214"/>
      <c r="J661" s="214"/>
      <c r="K661" s="268"/>
      <c r="L661" s="214"/>
      <c r="M661" s="269"/>
      <c r="N661" s="214"/>
      <c r="O661" s="214"/>
      <c r="P661" s="214"/>
      <c r="Q661" s="214"/>
      <c r="R661" s="214"/>
      <c r="S661" s="214"/>
      <c r="T661" s="214"/>
      <c r="U661" s="214"/>
      <c r="V661" s="214"/>
      <c r="W661" s="214"/>
      <c r="X661" s="214"/>
      <c r="Y661" s="261"/>
      <c r="Z661" s="262"/>
      <c r="AA661" s="262"/>
      <c r="AB661" s="270"/>
      <c r="AC661" s="214"/>
      <c r="AD661" s="214"/>
      <c r="AE661" s="214"/>
      <c r="AF661" s="214"/>
      <c r="AG661" s="214"/>
      <c r="AH661" s="214"/>
      <c r="AI661" s="261"/>
      <c r="AJ661" s="214"/>
      <c r="AK661" s="261"/>
      <c r="AL661" s="261"/>
      <c r="AM661" s="264"/>
      <c r="AN661" s="214"/>
      <c r="AO661" s="271"/>
      <c r="AP661" s="271"/>
      <c r="AQ661" s="271"/>
      <c r="AR661" s="271"/>
      <c r="AS661" s="272"/>
      <c r="AT661" s="272"/>
      <c r="AU661" s="214"/>
      <c r="AV661" s="214"/>
    </row>
    <row r="662" ht="15.75" customHeight="1">
      <c r="A662" s="214"/>
      <c r="B662" s="261"/>
      <c r="C662" s="266"/>
      <c r="D662" s="267"/>
      <c r="E662" s="214"/>
      <c r="F662" s="214"/>
      <c r="G662" s="214"/>
      <c r="H662" s="214"/>
      <c r="I662" s="214"/>
      <c r="J662" s="214"/>
      <c r="K662" s="268"/>
      <c r="L662" s="214"/>
      <c r="M662" s="269"/>
      <c r="N662" s="214"/>
      <c r="O662" s="214"/>
      <c r="P662" s="214"/>
      <c r="Q662" s="214"/>
      <c r="R662" s="214"/>
      <c r="S662" s="214"/>
      <c r="T662" s="214"/>
      <c r="U662" s="214"/>
      <c r="V662" s="214"/>
      <c r="W662" s="214"/>
      <c r="X662" s="214"/>
      <c r="Y662" s="261"/>
      <c r="Z662" s="262"/>
      <c r="AA662" s="262"/>
      <c r="AB662" s="270"/>
      <c r="AC662" s="214"/>
      <c r="AD662" s="214"/>
      <c r="AE662" s="214"/>
      <c r="AF662" s="214"/>
      <c r="AG662" s="214"/>
      <c r="AH662" s="214"/>
      <c r="AI662" s="261"/>
      <c r="AJ662" s="214"/>
      <c r="AK662" s="261"/>
      <c r="AL662" s="261"/>
      <c r="AM662" s="264"/>
      <c r="AN662" s="214"/>
      <c r="AO662" s="271"/>
      <c r="AP662" s="271"/>
      <c r="AQ662" s="271"/>
      <c r="AR662" s="271"/>
      <c r="AS662" s="272"/>
      <c r="AT662" s="272"/>
      <c r="AU662" s="214"/>
      <c r="AV662" s="214"/>
    </row>
    <row r="663" ht="15.75" customHeight="1">
      <c r="A663" s="214"/>
      <c r="B663" s="261"/>
      <c r="C663" s="266"/>
      <c r="D663" s="267"/>
      <c r="E663" s="214"/>
      <c r="F663" s="214"/>
      <c r="G663" s="214"/>
      <c r="H663" s="214"/>
      <c r="I663" s="214"/>
      <c r="J663" s="214"/>
      <c r="K663" s="268"/>
      <c r="L663" s="214"/>
      <c r="M663" s="269"/>
      <c r="N663" s="214"/>
      <c r="O663" s="214"/>
      <c r="P663" s="214"/>
      <c r="Q663" s="214"/>
      <c r="R663" s="214"/>
      <c r="S663" s="214"/>
      <c r="T663" s="214"/>
      <c r="U663" s="214"/>
      <c r="V663" s="214"/>
      <c r="W663" s="214"/>
      <c r="X663" s="214"/>
      <c r="Y663" s="261"/>
      <c r="Z663" s="262"/>
      <c r="AA663" s="262"/>
      <c r="AB663" s="270"/>
      <c r="AC663" s="214"/>
      <c r="AD663" s="214"/>
      <c r="AE663" s="214"/>
      <c r="AF663" s="214"/>
      <c r="AG663" s="214"/>
      <c r="AH663" s="214"/>
      <c r="AI663" s="261"/>
      <c r="AJ663" s="214"/>
      <c r="AK663" s="261"/>
      <c r="AL663" s="261"/>
      <c r="AM663" s="264"/>
      <c r="AN663" s="214"/>
      <c r="AO663" s="271"/>
      <c r="AP663" s="271"/>
      <c r="AQ663" s="271"/>
      <c r="AR663" s="271"/>
      <c r="AS663" s="272"/>
      <c r="AT663" s="272"/>
      <c r="AU663" s="214"/>
      <c r="AV663" s="214"/>
    </row>
    <row r="664" ht="15.75" customHeight="1">
      <c r="A664" s="214"/>
      <c r="B664" s="261"/>
      <c r="C664" s="266"/>
      <c r="D664" s="267"/>
      <c r="E664" s="214"/>
      <c r="F664" s="214"/>
      <c r="G664" s="214"/>
      <c r="H664" s="214"/>
      <c r="I664" s="214"/>
      <c r="J664" s="214"/>
      <c r="K664" s="268"/>
      <c r="L664" s="214"/>
      <c r="M664" s="269"/>
      <c r="N664" s="214"/>
      <c r="O664" s="214"/>
      <c r="P664" s="214"/>
      <c r="Q664" s="214"/>
      <c r="R664" s="214"/>
      <c r="S664" s="214"/>
      <c r="T664" s="214"/>
      <c r="U664" s="214"/>
      <c r="V664" s="214"/>
      <c r="W664" s="214"/>
      <c r="X664" s="214"/>
      <c r="Y664" s="261"/>
      <c r="Z664" s="262"/>
      <c r="AA664" s="262"/>
      <c r="AB664" s="270"/>
      <c r="AC664" s="214"/>
      <c r="AD664" s="214"/>
      <c r="AE664" s="214"/>
      <c r="AF664" s="214"/>
      <c r="AG664" s="214"/>
      <c r="AH664" s="214"/>
      <c r="AI664" s="261"/>
      <c r="AJ664" s="214"/>
      <c r="AK664" s="261"/>
      <c r="AL664" s="261"/>
      <c r="AM664" s="264"/>
      <c r="AN664" s="214"/>
      <c r="AO664" s="271"/>
      <c r="AP664" s="271"/>
      <c r="AQ664" s="271"/>
      <c r="AR664" s="271"/>
      <c r="AS664" s="272"/>
      <c r="AT664" s="272"/>
      <c r="AU664" s="214"/>
      <c r="AV664" s="214"/>
    </row>
    <row r="665" ht="15.75" customHeight="1">
      <c r="A665" s="214"/>
      <c r="B665" s="261"/>
      <c r="C665" s="266"/>
      <c r="D665" s="267"/>
      <c r="E665" s="214"/>
      <c r="F665" s="214"/>
      <c r="G665" s="214"/>
      <c r="H665" s="214"/>
      <c r="I665" s="214"/>
      <c r="J665" s="214"/>
      <c r="K665" s="268"/>
      <c r="L665" s="214"/>
      <c r="M665" s="269"/>
      <c r="N665" s="214"/>
      <c r="O665" s="214"/>
      <c r="P665" s="214"/>
      <c r="Q665" s="214"/>
      <c r="R665" s="214"/>
      <c r="S665" s="214"/>
      <c r="T665" s="214"/>
      <c r="U665" s="214"/>
      <c r="V665" s="214"/>
      <c r="W665" s="214"/>
      <c r="X665" s="214"/>
      <c r="Y665" s="261"/>
      <c r="Z665" s="262"/>
      <c r="AA665" s="262"/>
      <c r="AB665" s="270"/>
      <c r="AC665" s="214"/>
      <c r="AD665" s="214"/>
      <c r="AE665" s="214"/>
      <c r="AF665" s="214"/>
      <c r="AG665" s="214"/>
      <c r="AH665" s="214"/>
      <c r="AI665" s="261"/>
      <c r="AJ665" s="214"/>
      <c r="AK665" s="261"/>
      <c r="AL665" s="261"/>
      <c r="AM665" s="264"/>
      <c r="AN665" s="214"/>
      <c r="AO665" s="271"/>
      <c r="AP665" s="271"/>
      <c r="AQ665" s="271"/>
      <c r="AR665" s="271"/>
      <c r="AS665" s="272"/>
      <c r="AT665" s="272"/>
      <c r="AU665" s="214"/>
      <c r="AV665" s="214"/>
    </row>
    <row r="666" ht="15.75" customHeight="1">
      <c r="A666" s="214"/>
      <c r="B666" s="261"/>
      <c r="C666" s="266"/>
      <c r="D666" s="267"/>
      <c r="E666" s="214"/>
      <c r="F666" s="214"/>
      <c r="G666" s="214"/>
      <c r="H666" s="214"/>
      <c r="I666" s="214"/>
      <c r="J666" s="214"/>
      <c r="K666" s="268"/>
      <c r="L666" s="214"/>
      <c r="M666" s="269"/>
      <c r="N666" s="214"/>
      <c r="O666" s="214"/>
      <c r="P666" s="214"/>
      <c r="Q666" s="214"/>
      <c r="R666" s="214"/>
      <c r="S666" s="214"/>
      <c r="T666" s="214"/>
      <c r="U666" s="214"/>
      <c r="V666" s="214"/>
      <c r="W666" s="214"/>
      <c r="X666" s="214"/>
      <c r="Y666" s="261"/>
      <c r="Z666" s="262"/>
      <c r="AA666" s="262"/>
      <c r="AB666" s="270"/>
      <c r="AC666" s="214"/>
      <c r="AD666" s="214"/>
      <c r="AE666" s="214"/>
      <c r="AF666" s="214"/>
      <c r="AG666" s="214"/>
      <c r="AH666" s="214"/>
      <c r="AI666" s="261"/>
      <c r="AJ666" s="214"/>
      <c r="AK666" s="261"/>
      <c r="AL666" s="261"/>
      <c r="AM666" s="264"/>
      <c r="AN666" s="214"/>
      <c r="AO666" s="271"/>
      <c r="AP666" s="271"/>
      <c r="AQ666" s="271"/>
      <c r="AR666" s="271"/>
      <c r="AS666" s="272"/>
      <c r="AT666" s="272"/>
      <c r="AU666" s="214"/>
      <c r="AV666" s="214"/>
    </row>
    <row r="667" ht="15.75" customHeight="1">
      <c r="A667" s="214"/>
      <c r="B667" s="261"/>
      <c r="C667" s="266"/>
      <c r="D667" s="267"/>
      <c r="E667" s="214"/>
      <c r="F667" s="214"/>
      <c r="G667" s="214"/>
      <c r="H667" s="214"/>
      <c r="I667" s="214"/>
      <c r="J667" s="214"/>
      <c r="K667" s="268"/>
      <c r="L667" s="214"/>
      <c r="M667" s="269"/>
      <c r="N667" s="214"/>
      <c r="O667" s="214"/>
      <c r="P667" s="214"/>
      <c r="Q667" s="214"/>
      <c r="R667" s="214"/>
      <c r="S667" s="214"/>
      <c r="T667" s="214"/>
      <c r="U667" s="214"/>
      <c r="V667" s="214"/>
      <c r="W667" s="214"/>
      <c r="X667" s="214"/>
      <c r="Y667" s="261"/>
      <c r="Z667" s="262"/>
      <c r="AA667" s="262"/>
      <c r="AB667" s="270"/>
      <c r="AC667" s="214"/>
      <c r="AD667" s="214"/>
      <c r="AE667" s="214"/>
      <c r="AF667" s="214"/>
      <c r="AG667" s="214"/>
      <c r="AH667" s="214"/>
      <c r="AI667" s="261"/>
      <c r="AJ667" s="214"/>
      <c r="AK667" s="261"/>
      <c r="AL667" s="261"/>
      <c r="AM667" s="264"/>
      <c r="AN667" s="214"/>
      <c r="AO667" s="271"/>
      <c r="AP667" s="271"/>
      <c r="AQ667" s="271"/>
      <c r="AR667" s="271"/>
      <c r="AS667" s="272"/>
      <c r="AT667" s="272"/>
      <c r="AU667" s="214"/>
      <c r="AV667" s="214"/>
    </row>
    <row r="668" ht="15.75" customHeight="1">
      <c r="A668" s="214"/>
      <c r="B668" s="261"/>
      <c r="C668" s="266"/>
      <c r="D668" s="267"/>
      <c r="E668" s="214"/>
      <c r="F668" s="214"/>
      <c r="G668" s="214"/>
      <c r="H668" s="214"/>
      <c r="I668" s="214"/>
      <c r="J668" s="214"/>
      <c r="K668" s="268"/>
      <c r="L668" s="214"/>
      <c r="M668" s="269"/>
      <c r="N668" s="214"/>
      <c r="O668" s="214"/>
      <c r="P668" s="214"/>
      <c r="Q668" s="214"/>
      <c r="R668" s="214"/>
      <c r="S668" s="214"/>
      <c r="T668" s="214"/>
      <c r="U668" s="214"/>
      <c r="V668" s="214"/>
      <c r="W668" s="214"/>
      <c r="X668" s="214"/>
      <c r="Y668" s="261"/>
      <c r="Z668" s="262"/>
      <c r="AA668" s="262"/>
      <c r="AB668" s="270"/>
      <c r="AC668" s="214"/>
      <c r="AD668" s="214"/>
      <c r="AE668" s="214"/>
      <c r="AF668" s="214"/>
      <c r="AG668" s="214"/>
      <c r="AH668" s="214"/>
      <c r="AI668" s="261"/>
      <c r="AJ668" s="214"/>
      <c r="AK668" s="261"/>
      <c r="AL668" s="261"/>
      <c r="AM668" s="264"/>
      <c r="AN668" s="214"/>
      <c r="AO668" s="271"/>
      <c r="AP668" s="271"/>
      <c r="AQ668" s="271"/>
      <c r="AR668" s="271"/>
      <c r="AS668" s="272"/>
      <c r="AT668" s="272"/>
      <c r="AU668" s="214"/>
      <c r="AV668" s="214"/>
    </row>
    <row r="669" ht="15.75" customHeight="1">
      <c r="A669" s="214"/>
      <c r="B669" s="261"/>
      <c r="C669" s="266"/>
      <c r="D669" s="267"/>
      <c r="E669" s="214"/>
      <c r="F669" s="214"/>
      <c r="G669" s="214"/>
      <c r="H669" s="214"/>
      <c r="I669" s="214"/>
      <c r="J669" s="214"/>
      <c r="K669" s="268"/>
      <c r="L669" s="214"/>
      <c r="M669" s="269"/>
      <c r="N669" s="214"/>
      <c r="O669" s="214"/>
      <c r="P669" s="214"/>
      <c r="Q669" s="214"/>
      <c r="R669" s="214"/>
      <c r="S669" s="214"/>
      <c r="T669" s="214"/>
      <c r="U669" s="214"/>
      <c r="V669" s="214"/>
      <c r="W669" s="214"/>
      <c r="X669" s="214"/>
      <c r="Y669" s="261"/>
      <c r="Z669" s="262"/>
      <c r="AA669" s="262"/>
      <c r="AB669" s="270"/>
      <c r="AC669" s="214"/>
      <c r="AD669" s="214"/>
      <c r="AE669" s="214"/>
      <c r="AF669" s="214"/>
      <c r="AG669" s="214"/>
      <c r="AH669" s="214"/>
      <c r="AI669" s="261"/>
      <c r="AJ669" s="214"/>
      <c r="AK669" s="261"/>
      <c r="AL669" s="261"/>
      <c r="AM669" s="264"/>
      <c r="AN669" s="214"/>
      <c r="AO669" s="271"/>
      <c r="AP669" s="271"/>
      <c r="AQ669" s="271"/>
      <c r="AR669" s="271"/>
      <c r="AS669" s="272"/>
      <c r="AT669" s="272"/>
      <c r="AU669" s="214"/>
      <c r="AV669" s="214"/>
    </row>
    <row r="670" ht="15.75" customHeight="1">
      <c r="A670" s="214"/>
      <c r="B670" s="261"/>
      <c r="C670" s="266"/>
      <c r="D670" s="267"/>
      <c r="E670" s="214"/>
      <c r="F670" s="214"/>
      <c r="G670" s="214"/>
      <c r="H670" s="214"/>
      <c r="I670" s="214"/>
      <c r="J670" s="214"/>
      <c r="K670" s="268"/>
      <c r="L670" s="214"/>
      <c r="M670" s="269"/>
      <c r="N670" s="214"/>
      <c r="O670" s="214"/>
      <c r="P670" s="214"/>
      <c r="Q670" s="214"/>
      <c r="R670" s="214"/>
      <c r="S670" s="214"/>
      <c r="T670" s="214"/>
      <c r="U670" s="214"/>
      <c r="V670" s="214"/>
      <c r="W670" s="214"/>
      <c r="X670" s="214"/>
      <c r="Y670" s="261"/>
      <c r="Z670" s="262"/>
      <c r="AA670" s="262"/>
      <c r="AB670" s="270"/>
      <c r="AC670" s="214"/>
      <c r="AD670" s="214"/>
      <c r="AE670" s="214"/>
      <c r="AF670" s="214"/>
      <c r="AG670" s="214"/>
      <c r="AH670" s="214"/>
      <c r="AI670" s="261"/>
      <c r="AJ670" s="214"/>
      <c r="AK670" s="261"/>
      <c r="AL670" s="261"/>
      <c r="AM670" s="264"/>
      <c r="AN670" s="214"/>
      <c r="AO670" s="271"/>
      <c r="AP670" s="271"/>
      <c r="AQ670" s="271"/>
      <c r="AR670" s="271"/>
      <c r="AS670" s="272"/>
      <c r="AT670" s="272"/>
      <c r="AU670" s="214"/>
      <c r="AV670" s="214"/>
    </row>
    <row r="671" ht="15.75" customHeight="1">
      <c r="A671" s="214"/>
      <c r="B671" s="261"/>
      <c r="C671" s="266"/>
      <c r="D671" s="267"/>
      <c r="E671" s="214"/>
      <c r="F671" s="214"/>
      <c r="G671" s="214"/>
      <c r="H671" s="214"/>
      <c r="I671" s="214"/>
      <c r="J671" s="214"/>
      <c r="K671" s="268"/>
      <c r="L671" s="214"/>
      <c r="M671" s="269"/>
      <c r="N671" s="214"/>
      <c r="O671" s="214"/>
      <c r="P671" s="214"/>
      <c r="Q671" s="214"/>
      <c r="R671" s="214"/>
      <c r="S671" s="214"/>
      <c r="T671" s="214"/>
      <c r="U671" s="214"/>
      <c r="V671" s="214"/>
      <c r="W671" s="214"/>
      <c r="X671" s="214"/>
      <c r="Y671" s="261"/>
      <c r="Z671" s="262"/>
      <c r="AA671" s="262"/>
      <c r="AB671" s="270"/>
      <c r="AC671" s="214"/>
      <c r="AD671" s="214"/>
      <c r="AE671" s="214"/>
      <c r="AF671" s="214"/>
      <c r="AG671" s="214"/>
      <c r="AH671" s="214"/>
      <c r="AI671" s="261"/>
      <c r="AJ671" s="214"/>
      <c r="AK671" s="261"/>
      <c r="AL671" s="261"/>
      <c r="AM671" s="264"/>
      <c r="AN671" s="214"/>
      <c r="AO671" s="271"/>
      <c r="AP671" s="271"/>
      <c r="AQ671" s="271"/>
      <c r="AR671" s="271"/>
      <c r="AS671" s="272"/>
      <c r="AT671" s="272"/>
      <c r="AU671" s="214"/>
      <c r="AV671" s="214"/>
    </row>
    <row r="672" ht="15.75" customHeight="1">
      <c r="A672" s="214"/>
      <c r="B672" s="261"/>
      <c r="C672" s="266"/>
      <c r="D672" s="267"/>
      <c r="E672" s="214"/>
      <c r="F672" s="214"/>
      <c r="G672" s="214"/>
      <c r="H672" s="214"/>
      <c r="I672" s="214"/>
      <c r="J672" s="214"/>
      <c r="K672" s="268"/>
      <c r="L672" s="214"/>
      <c r="M672" s="269"/>
      <c r="N672" s="214"/>
      <c r="O672" s="214"/>
      <c r="P672" s="214"/>
      <c r="Q672" s="214"/>
      <c r="R672" s="214"/>
      <c r="S672" s="214"/>
      <c r="T672" s="214"/>
      <c r="U672" s="214"/>
      <c r="V672" s="214"/>
      <c r="W672" s="214"/>
      <c r="X672" s="214"/>
      <c r="Y672" s="261"/>
      <c r="Z672" s="262"/>
      <c r="AA672" s="262"/>
      <c r="AB672" s="270"/>
      <c r="AC672" s="214"/>
      <c r="AD672" s="214"/>
      <c r="AE672" s="214"/>
      <c r="AF672" s="214"/>
      <c r="AG672" s="214"/>
      <c r="AH672" s="214"/>
      <c r="AI672" s="261"/>
      <c r="AJ672" s="214"/>
      <c r="AK672" s="261"/>
      <c r="AL672" s="261"/>
      <c r="AM672" s="264"/>
      <c r="AN672" s="214"/>
      <c r="AO672" s="271"/>
      <c r="AP672" s="271"/>
      <c r="AQ672" s="271"/>
      <c r="AR672" s="271"/>
      <c r="AS672" s="272"/>
      <c r="AT672" s="272"/>
      <c r="AU672" s="214"/>
      <c r="AV672" s="214"/>
    </row>
    <row r="673" ht="15.75" customHeight="1">
      <c r="A673" s="214"/>
      <c r="B673" s="261"/>
      <c r="C673" s="266"/>
      <c r="D673" s="267"/>
      <c r="E673" s="214"/>
      <c r="F673" s="214"/>
      <c r="G673" s="214"/>
      <c r="H673" s="214"/>
      <c r="I673" s="214"/>
      <c r="J673" s="214"/>
      <c r="K673" s="268"/>
      <c r="L673" s="214"/>
      <c r="M673" s="269"/>
      <c r="N673" s="214"/>
      <c r="O673" s="214"/>
      <c r="P673" s="214"/>
      <c r="Q673" s="214"/>
      <c r="R673" s="214"/>
      <c r="S673" s="214"/>
      <c r="T673" s="214"/>
      <c r="U673" s="214"/>
      <c r="V673" s="214"/>
      <c r="W673" s="214"/>
      <c r="X673" s="214"/>
      <c r="Y673" s="261"/>
      <c r="Z673" s="262"/>
      <c r="AA673" s="262"/>
      <c r="AB673" s="270"/>
      <c r="AC673" s="214"/>
      <c r="AD673" s="214"/>
      <c r="AE673" s="214"/>
      <c r="AF673" s="214"/>
      <c r="AG673" s="214"/>
      <c r="AH673" s="214"/>
      <c r="AI673" s="261"/>
      <c r="AJ673" s="214"/>
      <c r="AK673" s="261"/>
      <c r="AL673" s="261"/>
      <c r="AM673" s="264"/>
      <c r="AN673" s="214"/>
      <c r="AO673" s="271"/>
      <c r="AP673" s="271"/>
      <c r="AQ673" s="271"/>
      <c r="AR673" s="271"/>
      <c r="AS673" s="272"/>
      <c r="AT673" s="272"/>
      <c r="AU673" s="214"/>
      <c r="AV673" s="214"/>
    </row>
    <row r="674" ht="15.75" customHeight="1">
      <c r="A674" s="214"/>
      <c r="B674" s="261"/>
      <c r="C674" s="266"/>
      <c r="D674" s="267"/>
      <c r="E674" s="214"/>
      <c r="F674" s="214"/>
      <c r="G674" s="214"/>
      <c r="H674" s="214"/>
      <c r="I674" s="214"/>
      <c r="J674" s="214"/>
      <c r="K674" s="268"/>
      <c r="L674" s="214"/>
      <c r="M674" s="269"/>
      <c r="N674" s="214"/>
      <c r="O674" s="214"/>
      <c r="P674" s="214"/>
      <c r="Q674" s="214"/>
      <c r="R674" s="214"/>
      <c r="S674" s="214"/>
      <c r="T674" s="214"/>
      <c r="U674" s="214"/>
      <c r="V674" s="214"/>
      <c r="W674" s="214"/>
      <c r="X674" s="214"/>
      <c r="Y674" s="261"/>
      <c r="Z674" s="262"/>
      <c r="AA674" s="262"/>
      <c r="AB674" s="270"/>
      <c r="AC674" s="214"/>
      <c r="AD674" s="214"/>
      <c r="AE674" s="214"/>
      <c r="AF674" s="214"/>
      <c r="AG674" s="214"/>
      <c r="AH674" s="214"/>
      <c r="AI674" s="261"/>
      <c r="AJ674" s="214"/>
      <c r="AK674" s="261"/>
      <c r="AL674" s="261"/>
      <c r="AM674" s="264"/>
      <c r="AN674" s="214"/>
      <c r="AO674" s="271"/>
      <c r="AP674" s="271"/>
      <c r="AQ674" s="271"/>
      <c r="AR674" s="271"/>
      <c r="AS674" s="272"/>
      <c r="AT674" s="272"/>
      <c r="AU674" s="214"/>
      <c r="AV674" s="214"/>
    </row>
    <row r="675" ht="15.75" customHeight="1">
      <c r="A675" s="214"/>
      <c r="B675" s="261"/>
      <c r="C675" s="266"/>
      <c r="D675" s="267"/>
      <c r="E675" s="214"/>
      <c r="F675" s="214"/>
      <c r="G675" s="214"/>
      <c r="H675" s="214"/>
      <c r="I675" s="214"/>
      <c r="J675" s="214"/>
      <c r="K675" s="268"/>
      <c r="L675" s="214"/>
      <c r="M675" s="269"/>
      <c r="N675" s="214"/>
      <c r="O675" s="214"/>
      <c r="P675" s="214"/>
      <c r="Q675" s="214"/>
      <c r="R675" s="214"/>
      <c r="S675" s="214"/>
      <c r="T675" s="214"/>
      <c r="U675" s="214"/>
      <c r="V675" s="214"/>
      <c r="W675" s="214"/>
      <c r="X675" s="214"/>
      <c r="Y675" s="261"/>
      <c r="Z675" s="262"/>
      <c r="AA675" s="262"/>
      <c r="AB675" s="270"/>
      <c r="AC675" s="214"/>
      <c r="AD675" s="214"/>
      <c r="AE675" s="214"/>
      <c r="AF675" s="214"/>
      <c r="AG675" s="214"/>
      <c r="AH675" s="214"/>
      <c r="AI675" s="261"/>
      <c r="AJ675" s="214"/>
      <c r="AK675" s="261"/>
      <c r="AL675" s="261"/>
      <c r="AM675" s="264"/>
      <c r="AN675" s="214"/>
      <c r="AO675" s="271"/>
      <c r="AP675" s="271"/>
      <c r="AQ675" s="271"/>
      <c r="AR675" s="271"/>
      <c r="AS675" s="272"/>
      <c r="AT675" s="272"/>
      <c r="AU675" s="214"/>
      <c r="AV675" s="214"/>
    </row>
    <row r="676" ht="15.75" customHeight="1">
      <c r="A676" s="214"/>
      <c r="B676" s="261"/>
      <c r="C676" s="266"/>
      <c r="D676" s="267"/>
      <c r="E676" s="214"/>
      <c r="F676" s="214"/>
      <c r="G676" s="214"/>
      <c r="H676" s="214"/>
      <c r="I676" s="214"/>
      <c r="J676" s="214"/>
      <c r="K676" s="268"/>
      <c r="L676" s="214"/>
      <c r="M676" s="269"/>
      <c r="N676" s="214"/>
      <c r="O676" s="214"/>
      <c r="P676" s="214"/>
      <c r="Q676" s="214"/>
      <c r="R676" s="214"/>
      <c r="S676" s="214"/>
      <c r="T676" s="214"/>
      <c r="U676" s="214"/>
      <c r="V676" s="214"/>
      <c r="W676" s="214"/>
      <c r="X676" s="214"/>
      <c r="Y676" s="261"/>
      <c r="Z676" s="262"/>
      <c r="AA676" s="262"/>
      <c r="AB676" s="270"/>
      <c r="AC676" s="214"/>
      <c r="AD676" s="214"/>
      <c r="AE676" s="214"/>
      <c r="AF676" s="214"/>
      <c r="AG676" s="214"/>
      <c r="AH676" s="214"/>
      <c r="AI676" s="261"/>
      <c r="AJ676" s="214"/>
      <c r="AK676" s="261"/>
      <c r="AL676" s="261"/>
      <c r="AM676" s="264"/>
      <c r="AN676" s="214"/>
      <c r="AO676" s="271"/>
      <c r="AP676" s="271"/>
      <c r="AQ676" s="271"/>
      <c r="AR676" s="271"/>
      <c r="AS676" s="272"/>
      <c r="AT676" s="272"/>
      <c r="AU676" s="214"/>
      <c r="AV676" s="214"/>
    </row>
    <row r="677" ht="15.75" customHeight="1">
      <c r="A677" s="214"/>
      <c r="B677" s="261"/>
      <c r="C677" s="266"/>
      <c r="D677" s="267"/>
      <c r="E677" s="214"/>
      <c r="F677" s="214"/>
      <c r="G677" s="214"/>
      <c r="H677" s="214"/>
      <c r="I677" s="214"/>
      <c r="J677" s="214"/>
      <c r="K677" s="268"/>
      <c r="L677" s="214"/>
      <c r="M677" s="269"/>
      <c r="N677" s="214"/>
      <c r="O677" s="214"/>
      <c r="P677" s="214"/>
      <c r="Q677" s="214"/>
      <c r="R677" s="214"/>
      <c r="S677" s="214"/>
      <c r="T677" s="214"/>
      <c r="U677" s="214"/>
      <c r="V677" s="214"/>
      <c r="W677" s="214"/>
      <c r="X677" s="214"/>
      <c r="Y677" s="261"/>
      <c r="Z677" s="262"/>
      <c r="AA677" s="262"/>
      <c r="AB677" s="270"/>
      <c r="AC677" s="214"/>
      <c r="AD677" s="214"/>
      <c r="AE677" s="214"/>
      <c r="AF677" s="214"/>
      <c r="AG677" s="214"/>
      <c r="AH677" s="214"/>
      <c r="AI677" s="261"/>
      <c r="AJ677" s="214"/>
      <c r="AK677" s="261"/>
      <c r="AL677" s="261"/>
      <c r="AM677" s="264"/>
      <c r="AN677" s="214"/>
      <c r="AO677" s="271"/>
      <c r="AP677" s="271"/>
      <c r="AQ677" s="271"/>
      <c r="AR677" s="271"/>
      <c r="AS677" s="272"/>
      <c r="AT677" s="272"/>
      <c r="AU677" s="214"/>
      <c r="AV677" s="214"/>
    </row>
    <row r="678" ht="15.75" customHeight="1">
      <c r="A678" s="214"/>
      <c r="B678" s="261"/>
      <c r="C678" s="266"/>
      <c r="D678" s="267"/>
      <c r="E678" s="214"/>
      <c r="F678" s="214"/>
      <c r="G678" s="214"/>
      <c r="H678" s="214"/>
      <c r="I678" s="214"/>
      <c r="J678" s="214"/>
      <c r="K678" s="268"/>
      <c r="L678" s="214"/>
      <c r="M678" s="269"/>
      <c r="N678" s="214"/>
      <c r="O678" s="214"/>
      <c r="P678" s="214"/>
      <c r="Q678" s="214"/>
      <c r="R678" s="214"/>
      <c r="S678" s="214"/>
      <c r="T678" s="214"/>
      <c r="U678" s="214"/>
      <c r="V678" s="214"/>
      <c r="W678" s="214"/>
      <c r="X678" s="214"/>
      <c r="Y678" s="261"/>
      <c r="Z678" s="262"/>
      <c r="AA678" s="262"/>
      <c r="AB678" s="270"/>
      <c r="AC678" s="214"/>
      <c r="AD678" s="214"/>
      <c r="AE678" s="214"/>
      <c r="AF678" s="214"/>
      <c r="AG678" s="214"/>
      <c r="AH678" s="214"/>
      <c r="AI678" s="261"/>
      <c r="AJ678" s="214"/>
      <c r="AK678" s="261"/>
      <c r="AL678" s="261"/>
      <c r="AM678" s="264"/>
      <c r="AN678" s="214"/>
      <c r="AO678" s="271"/>
      <c r="AP678" s="271"/>
      <c r="AQ678" s="271"/>
      <c r="AR678" s="271"/>
      <c r="AS678" s="272"/>
      <c r="AT678" s="272"/>
      <c r="AU678" s="214"/>
      <c r="AV678" s="214"/>
    </row>
    <row r="679" ht="15.75" customHeight="1">
      <c r="A679" s="214"/>
      <c r="B679" s="261"/>
      <c r="C679" s="266"/>
      <c r="D679" s="267"/>
      <c r="E679" s="214"/>
      <c r="F679" s="214"/>
      <c r="G679" s="214"/>
      <c r="H679" s="214"/>
      <c r="I679" s="214"/>
      <c r="J679" s="214"/>
      <c r="K679" s="268"/>
      <c r="L679" s="214"/>
      <c r="M679" s="269"/>
      <c r="N679" s="214"/>
      <c r="O679" s="214"/>
      <c r="P679" s="214"/>
      <c r="Q679" s="214"/>
      <c r="R679" s="214"/>
      <c r="S679" s="214"/>
      <c r="T679" s="214"/>
      <c r="U679" s="214"/>
      <c r="V679" s="214"/>
      <c r="W679" s="214"/>
      <c r="X679" s="214"/>
      <c r="Y679" s="261"/>
      <c r="Z679" s="262"/>
      <c r="AA679" s="262"/>
      <c r="AB679" s="270"/>
      <c r="AC679" s="214"/>
      <c r="AD679" s="214"/>
      <c r="AE679" s="214"/>
      <c r="AF679" s="214"/>
      <c r="AG679" s="214"/>
      <c r="AH679" s="214"/>
      <c r="AI679" s="261"/>
      <c r="AJ679" s="214"/>
      <c r="AK679" s="261"/>
      <c r="AL679" s="261"/>
      <c r="AM679" s="264"/>
      <c r="AN679" s="214"/>
      <c r="AO679" s="271"/>
      <c r="AP679" s="271"/>
      <c r="AQ679" s="271"/>
      <c r="AR679" s="271"/>
      <c r="AS679" s="272"/>
      <c r="AT679" s="272"/>
      <c r="AU679" s="214"/>
      <c r="AV679" s="214"/>
    </row>
    <row r="680" ht="15.75" customHeight="1">
      <c r="A680" s="214"/>
      <c r="B680" s="261"/>
      <c r="C680" s="266"/>
      <c r="D680" s="267"/>
      <c r="E680" s="214"/>
      <c r="F680" s="214"/>
      <c r="G680" s="214"/>
      <c r="H680" s="214"/>
      <c r="I680" s="214"/>
      <c r="J680" s="214"/>
      <c r="K680" s="268"/>
      <c r="L680" s="214"/>
      <c r="M680" s="269"/>
      <c r="N680" s="214"/>
      <c r="O680" s="214"/>
      <c r="P680" s="214"/>
      <c r="Q680" s="214"/>
      <c r="R680" s="214"/>
      <c r="S680" s="214"/>
      <c r="T680" s="214"/>
      <c r="U680" s="214"/>
      <c r="V680" s="214"/>
      <c r="W680" s="214"/>
      <c r="X680" s="214"/>
      <c r="Y680" s="261"/>
      <c r="Z680" s="262"/>
      <c r="AA680" s="262"/>
      <c r="AB680" s="270"/>
      <c r="AC680" s="214"/>
      <c r="AD680" s="214"/>
      <c r="AE680" s="214"/>
      <c r="AF680" s="214"/>
      <c r="AG680" s="214"/>
      <c r="AH680" s="214"/>
      <c r="AI680" s="261"/>
      <c r="AJ680" s="214"/>
      <c r="AK680" s="261"/>
      <c r="AL680" s="261"/>
      <c r="AM680" s="264"/>
      <c r="AN680" s="214"/>
      <c r="AO680" s="271"/>
      <c r="AP680" s="271"/>
      <c r="AQ680" s="271"/>
      <c r="AR680" s="271"/>
      <c r="AS680" s="272"/>
      <c r="AT680" s="272"/>
      <c r="AU680" s="214"/>
      <c r="AV680" s="214"/>
    </row>
    <row r="681" ht="15.75" customHeight="1">
      <c r="A681" s="214"/>
      <c r="B681" s="261"/>
      <c r="C681" s="266"/>
      <c r="D681" s="267"/>
      <c r="E681" s="214"/>
      <c r="F681" s="214"/>
      <c r="G681" s="214"/>
      <c r="H681" s="214"/>
      <c r="I681" s="214"/>
      <c r="J681" s="214"/>
      <c r="K681" s="268"/>
      <c r="L681" s="214"/>
      <c r="M681" s="269"/>
      <c r="N681" s="214"/>
      <c r="O681" s="214"/>
      <c r="P681" s="214"/>
      <c r="Q681" s="214"/>
      <c r="R681" s="214"/>
      <c r="S681" s="214"/>
      <c r="T681" s="214"/>
      <c r="U681" s="214"/>
      <c r="V681" s="214"/>
      <c r="W681" s="214"/>
      <c r="X681" s="214"/>
      <c r="Y681" s="261"/>
      <c r="Z681" s="262"/>
      <c r="AA681" s="262"/>
      <c r="AB681" s="270"/>
      <c r="AC681" s="214"/>
      <c r="AD681" s="214"/>
      <c r="AE681" s="214"/>
      <c r="AF681" s="214"/>
      <c r="AG681" s="214"/>
      <c r="AH681" s="214"/>
      <c r="AI681" s="261"/>
      <c r="AJ681" s="214"/>
      <c r="AK681" s="261"/>
      <c r="AL681" s="261"/>
      <c r="AM681" s="264"/>
      <c r="AN681" s="214"/>
      <c r="AO681" s="271"/>
      <c r="AP681" s="271"/>
      <c r="AQ681" s="271"/>
      <c r="AR681" s="271"/>
      <c r="AS681" s="272"/>
      <c r="AT681" s="272"/>
      <c r="AU681" s="214"/>
      <c r="AV681" s="214"/>
    </row>
    <row r="682" ht="15.75" customHeight="1">
      <c r="A682" s="214"/>
      <c r="B682" s="261"/>
      <c r="C682" s="266"/>
      <c r="D682" s="267"/>
      <c r="E682" s="214"/>
      <c r="F682" s="214"/>
      <c r="G682" s="214"/>
      <c r="H682" s="214"/>
      <c r="I682" s="214"/>
      <c r="J682" s="214"/>
      <c r="K682" s="268"/>
      <c r="L682" s="214"/>
      <c r="M682" s="269"/>
      <c r="N682" s="214"/>
      <c r="O682" s="214"/>
      <c r="P682" s="214"/>
      <c r="Q682" s="214"/>
      <c r="R682" s="214"/>
      <c r="S682" s="214"/>
      <c r="T682" s="214"/>
      <c r="U682" s="214"/>
      <c r="V682" s="214"/>
      <c r="W682" s="214"/>
      <c r="X682" s="214"/>
      <c r="Y682" s="261"/>
      <c r="Z682" s="262"/>
      <c r="AA682" s="262"/>
      <c r="AB682" s="270"/>
      <c r="AC682" s="214"/>
      <c r="AD682" s="214"/>
      <c r="AE682" s="214"/>
      <c r="AF682" s="214"/>
      <c r="AG682" s="214"/>
      <c r="AH682" s="214"/>
      <c r="AI682" s="261"/>
      <c r="AJ682" s="214"/>
      <c r="AK682" s="261"/>
      <c r="AL682" s="261"/>
      <c r="AM682" s="264"/>
      <c r="AN682" s="214"/>
      <c r="AO682" s="271"/>
      <c r="AP682" s="271"/>
      <c r="AQ682" s="271"/>
      <c r="AR682" s="271"/>
      <c r="AS682" s="272"/>
      <c r="AT682" s="272"/>
      <c r="AU682" s="214"/>
      <c r="AV682" s="214"/>
    </row>
    <row r="683" ht="15.75" customHeight="1">
      <c r="A683" s="214"/>
      <c r="B683" s="261"/>
      <c r="C683" s="266"/>
      <c r="D683" s="267"/>
      <c r="E683" s="214"/>
      <c r="F683" s="214"/>
      <c r="G683" s="214"/>
      <c r="H683" s="214"/>
      <c r="I683" s="214"/>
      <c r="J683" s="214"/>
      <c r="K683" s="268"/>
      <c r="L683" s="214"/>
      <c r="M683" s="269"/>
      <c r="N683" s="214"/>
      <c r="O683" s="214"/>
      <c r="P683" s="214"/>
      <c r="Q683" s="214"/>
      <c r="R683" s="214"/>
      <c r="S683" s="214"/>
      <c r="T683" s="214"/>
      <c r="U683" s="214"/>
      <c r="V683" s="214"/>
      <c r="W683" s="214"/>
      <c r="X683" s="214"/>
      <c r="Y683" s="261"/>
      <c r="Z683" s="262"/>
      <c r="AA683" s="262"/>
      <c r="AB683" s="270"/>
      <c r="AC683" s="214"/>
      <c r="AD683" s="214"/>
      <c r="AE683" s="214"/>
      <c r="AF683" s="214"/>
      <c r="AG683" s="214"/>
      <c r="AH683" s="214"/>
      <c r="AI683" s="261"/>
      <c r="AJ683" s="214"/>
      <c r="AK683" s="261"/>
      <c r="AL683" s="261"/>
      <c r="AM683" s="264"/>
      <c r="AN683" s="214"/>
      <c r="AO683" s="271"/>
      <c r="AP683" s="271"/>
      <c r="AQ683" s="271"/>
      <c r="AR683" s="271"/>
      <c r="AS683" s="272"/>
      <c r="AT683" s="272"/>
      <c r="AU683" s="214"/>
      <c r="AV683" s="214"/>
    </row>
    <row r="684" ht="15.75" customHeight="1">
      <c r="A684" s="214"/>
      <c r="B684" s="261"/>
      <c r="C684" s="266"/>
      <c r="D684" s="267"/>
      <c r="E684" s="214"/>
      <c r="F684" s="214"/>
      <c r="G684" s="214"/>
      <c r="H684" s="214"/>
      <c r="I684" s="214"/>
      <c r="J684" s="214"/>
      <c r="K684" s="268"/>
      <c r="L684" s="214"/>
      <c r="M684" s="269"/>
      <c r="N684" s="214"/>
      <c r="O684" s="214"/>
      <c r="P684" s="214"/>
      <c r="Q684" s="214"/>
      <c r="R684" s="214"/>
      <c r="S684" s="214"/>
      <c r="T684" s="214"/>
      <c r="U684" s="214"/>
      <c r="V684" s="214"/>
      <c r="W684" s="214"/>
      <c r="X684" s="214"/>
      <c r="Y684" s="261"/>
      <c r="Z684" s="262"/>
      <c r="AA684" s="262"/>
      <c r="AB684" s="270"/>
      <c r="AC684" s="214"/>
      <c r="AD684" s="214"/>
      <c r="AE684" s="214"/>
      <c r="AF684" s="214"/>
      <c r="AG684" s="214"/>
      <c r="AH684" s="214"/>
      <c r="AI684" s="261"/>
      <c r="AJ684" s="214"/>
      <c r="AK684" s="261"/>
      <c r="AL684" s="261"/>
      <c r="AM684" s="264"/>
      <c r="AN684" s="214"/>
      <c r="AO684" s="271"/>
      <c r="AP684" s="271"/>
      <c r="AQ684" s="271"/>
      <c r="AR684" s="271"/>
      <c r="AS684" s="272"/>
      <c r="AT684" s="272"/>
      <c r="AU684" s="214"/>
      <c r="AV684" s="214"/>
    </row>
    <row r="685" ht="15.75" customHeight="1">
      <c r="A685" s="214"/>
      <c r="B685" s="261"/>
      <c r="C685" s="266"/>
      <c r="D685" s="267"/>
      <c r="E685" s="214"/>
      <c r="F685" s="214"/>
      <c r="G685" s="214"/>
      <c r="H685" s="214"/>
      <c r="I685" s="214"/>
      <c r="J685" s="214"/>
      <c r="K685" s="268"/>
      <c r="L685" s="214"/>
      <c r="M685" s="269"/>
      <c r="N685" s="214"/>
      <c r="O685" s="214"/>
      <c r="P685" s="214"/>
      <c r="Q685" s="214"/>
      <c r="R685" s="214"/>
      <c r="S685" s="214"/>
      <c r="T685" s="214"/>
      <c r="U685" s="214"/>
      <c r="V685" s="214"/>
      <c r="W685" s="214"/>
      <c r="X685" s="214"/>
      <c r="Y685" s="261"/>
      <c r="Z685" s="262"/>
      <c r="AA685" s="262"/>
      <c r="AB685" s="270"/>
      <c r="AC685" s="214"/>
      <c r="AD685" s="214"/>
      <c r="AE685" s="214"/>
      <c r="AF685" s="214"/>
      <c r="AG685" s="214"/>
      <c r="AH685" s="214"/>
      <c r="AI685" s="261"/>
      <c r="AJ685" s="214"/>
      <c r="AK685" s="261"/>
      <c r="AL685" s="261"/>
      <c r="AM685" s="264"/>
      <c r="AN685" s="214"/>
      <c r="AO685" s="271"/>
      <c r="AP685" s="271"/>
      <c r="AQ685" s="271"/>
      <c r="AR685" s="271"/>
      <c r="AS685" s="272"/>
      <c r="AT685" s="272"/>
      <c r="AU685" s="214"/>
      <c r="AV685" s="214"/>
    </row>
    <row r="686" ht="15.75" customHeight="1">
      <c r="A686" s="214"/>
      <c r="B686" s="261"/>
      <c r="C686" s="266"/>
      <c r="D686" s="267"/>
      <c r="E686" s="214"/>
      <c r="F686" s="214"/>
      <c r="G686" s="214"/>
      <c r="H686" s="214"/>
      <c r="I686" s="214"/>
      <c r="J686" s="214"/>
      <c r="K686" s="268"/>
      <c r="L686" s="214"/>
      <c r="M686" s="269"/>
      <c r="N686" s="214"/>
      <c r="O686" s="214"/>
      <c r="P686" s="214"/>
      <c r="Q686" s="214"/>
      <c r="R686" s="214"/>
      <c r="S686" s="214"/>
      <c r="T686" s="214"/>
      <c r="U686" s="214"/>
      <c r="V686" s="214"/>
      <c r="W686" s="214"/>
      <c r="X686" s="214"/>
      <c r="Y686" s="261"/>
      <c r="Z686" s="262"/>
      <c r="AA686" s="262"/>
      <c r="AB686" s="270"/>
      <c r="AC686" s="214"/>
      <c r="AD686" s="214"/>
      <c r="AE686" s="214"/>
      <c r="AF686" s="214"/>
      <c r="AG686" s="214"/>
      <c r="AH686" s="214"/>
      <c r="AI686" s="261"/>
      <c r="AJ686" s="214"/>
      <c r="AK686" s="261"/>
      <c r="AL686" s="261"/>
      <c r="AM686" s="264"/>
      <c r="AN686" s="214"/>
      <c r="AO686" s="271"/>
      <c r="AP686" s="271"/>
      <c r="AQ686" s="271"/>
      <c r="AR686" s="271"/>
      <c r="AS686" s="272"/>
      <c r="AT686" s="272"/>
      <c r="AU686" s="214"/>
      <c r="AV686" s="214"/>
    </row>
    <row r="687" ht="15.75" customHeight="1">
      <c r="A687" s="214"/>
      <c r="B687" s="261"/>
      <c r="C687" s="266"/>
      <c r="D687" s="267"/>
      <c r="E687" s="214"/>
      <c r="F687" s="214"/>
      <c r="G687" s="214"/>
      <c r="H687" s="214"/>
      <c r="I687" s="214"/>
      <c r="J687" s="214"/>
      <c r="K687" s="268"/>
      <c r="L687" s="214"/>
      <c r="M687" s="269"/>
      <c r="N687" s="214"/>
      <c r="O687" s="214"/>
      <c r="P687" s="214"/>
      <c r="Q687" s="214"/>
      <c r="R687" s="214"/>
      <c r="S687" s="214"/>
      <c r="T687" s="214"/>
      <c r="U687" s="214"/>
      <c r="V687" s="214"/>
      <c r="W687" s="214"/>
      <c r="X687" s="214"/>
      <c r="Y687" s="261"/>
      <c r="Z687" s="262"/>
      <c r="AA687" s="262"/>
      <c r="AB687" s="270"/>
      <c r="AC687" s="214"/>
      <c r="AD687" s="214"/>
      <c r="AE687" s="214"/>
      <c r="AF687" s="214"/>
      <c r="AG687" s="214"/>
      <c r="AH687" s="214"/>
      <c r="AI687" s="261"/>
      <c r="AJ687" s="214"/>
      <c r="AK687" s="261"/>
      <c r="AL687" s="261"/>
      <c r="AM687" s="264"/>
      <c r="AN687" s="214"/>
      <c r="AO687" s="271"/>
      <c r="AP687" s="271"/>
      <c r="AQ687" s="271"/>
      <c r="AR687" s="271"/>
      <c r="AS687" s="272"/>
      <c r="AT687" s="272"/>
      <c r="AU687" s="214"/>
      <c r="AV687" s="214"/>
    </row>
    <row r="688" ht="15.75" customHeight="1">
      <c r="A688" s="214"/>
      <c r="B688" s="261"/>
      <c r="C688" s="266"/>
      <c r="D688" s="267"/>
      <c r="E688" s="214"/>
      <c r="F688" s="214"/>
      <c r="G688" s="214"/>
      <c r="H688" s="214"/>
      <c r="I688" s="214"/>
      <c r="J688" s="214"/>
      <c r="K688" s="268"/>
      <c r="L688" s="214"/>
      <c r="M688" s="269"/>
      <c r="N688" s="214"/>
      <c r="O688" s="214"/>
      <c r="P688" s="214"/>
      <c r="Q688" s="214"/>
      <c r="R688" s="214"/>
      <c r="S688" s="214"/>
      <c r="T688" s="214"/>
      <c r="U688" s="214"/>
      <c r="V688" s="214"/>
      <c r="W688" s="214"/>
      <c r="X688" s="214"/>
      <c r="Y688" s="261"/>
      <c r="Z688" s="262"/>
      <c r="AA688" s="262"/>
      <c r="AB688" s="270"/>
      <c r="AC688" s="214"/>
      <c r="AD688" s="214"/>
      <c r="AE688" s="214"/>
      <c r="AF688" s="214"/>
      <c r="AG688" s="214"/>
      <c r="AH688" s="214"/>
      <c r="AI688" s="261"/>
      <c r="AJ688" s="214"/>
      <c r="AK688" s="261"/>
      <c r="AL688" s="261"/>
      <c r="AM688" s="264"/>
      <c r="AN688" s="214"/>
      <c r="AO688" s="271"/>
      <c r="AP688" s="271"/>
      <c r="AQ688" s="271"/>
      <c r="AR688" s="271"/>
      <c r="AS688" s="272"/>
      <c r="AT688" s="272"/>
      <c r="AU688" s="214"/>
      <c r="AV688" s="214"/>
    </row>
    <row r="689" ht="15.75" customHeight="1">
      <c r="A689" s="214"/>
      <c r="B689" s="261"/>
      <c r="C689" s="266"/>
      <c r="D689" s="267"/>
      <c r="E689" s="214"/>
      <c r="F689" s="214"/>
      <c r="G689" s="214"/>
      <c r="H689" s="214"/>
      <c r="I689" s="214"/>
      <c r="J689" s="214"/>
      <c r="K689" s="268"/>
      <c r="L689" s="214"/>
      <c r="M689" s="269"/>
      <c r="N689" s="214"/>
      <c r="O689" s="214"/>
      <c r="P689" s="214"/>
      <c r="Q689" s="214"/>
      <c r="R689" s="214"/>
      <c r="S689" s="214"/>
      <c r="T689" s="214"/>
      <c r="U689" s="214"/>
      <c r="V689" s="214"/>
      <c r="W689" s="214"/>
      <c r="X689" s="214"/>
      <c r="Y689" s="261"/>
      <c r="Z689" s="262"/>
      <c r="AA689" s="262"/>
      <c r="AB689" s="270"/>
      <c r="AC689" s="214"/>
      <c r="AD689" s="214"/>
      <c r="AE689" s="214"/>
      <c r="AF689" s="214"/>
      <c r="AG689" s="214"/>
      <c r="AH689" s="214"/>
      <c r="AI689" s="261"/>
      <c r="AJ689" s="214"/>
      <c r="AK689" s="261"/>
      <c r="AL689" s="261"/>
      <c r="AM689" s="264"/>
      <c r="AN689" s="214"/>
      <c r="AO689" s="271"/>
      <c r="AP689" s="271"/>
      <c r="AQ689" s="271"/>
      <c r="AR689" s="271"/>
      <c r="AS689" s="272"/>
      <c r="AT689" s="272"/>
      <c r="AU689" s="214"/>
      <c r="AV689" s="214"/>
    </row>
    <row r="690" ht="15.75" customHeight="1">
      <c r="A690" s="214"/>
      <c r="B690" s="261"/>
      <c r="C690" s="266"/>
      <c r="D690" s="267"/>
      <c r="E690" s="214"/>
      <c r="F690" s="214"/>
      <c r="G690" s="214"/>
      <c r="H690" s="214"/>
      <c r="I690" s="214"/>
      <c r="J690" s="214"/>
      <c r="K690" s="268"/>
      <c r="L690" s="214"/>
      <c r="M690" s="269"/>
      <c r="N690" s="214"/>
      <c r="O690" s="214"/>
      <c r="P690" s="214"/>
      <c r="Q690" s="214"/>
      <c r="R690" s="214"/>
      <c r="S690" s="214"/>
      <c r="T690" s="214"/>
      <c r="U690" s="214"/>
      <c r="V690" s="214"/>
      <c r="W690" s="214"/>
      <c r="X690" s="214"/>
      <c r="Y690" s="261"/>
      <c r="Z690" s="262"/>
      <c r="AA690" s="262"/>
      <c r="AB690" s="270"/>
      <c r="AC690" s="214"/>
      <c r="AD690" s="214"/>
      <c r="AE690" s="214"/>
      <c r="AF690" s="214"/>
      <c r="AG690" s="214"/>
      <c r="AH690" s="214"/>
      <c r="AI690" s="261"/>
      <c r="AJ690" s="214"/>
      <c r="AK690" s="261"/>
      <c r="AL690" s="261"/>
      <c r="AM690" s="264"/>
      <c r="AN690" s="214"/>
      <c r="AO690" s="271"/>
      <c r="AP690" s="271"/>
      <c r="AQ690" s="271"/>
      <c r="AR690" s="271"/>
      <c r="AS690" s="272"/>
      <c r="AT690" s="272"/>
      <c r="AU690" s="214"/>
      <c r="AV690" s="214"/>
    </row>
    <row r="691" ht="15.75" customHeight="1">
      <c r="A691" s="214"/>
      <c r="B691" s="261"/>
      <c r="C691" s="266"/>
      <c r="D691" s="267"/>
      <c r="E691" s="214"/>
      <c r="F691" s="214"/>
      <c r="G691" s="214"/>
      <c r="H691" s="214"/>
      <c r="I691" s="214"/>
      <c r="J691" s="214"/>
      <c r="K691" s="268"/>
      <c r="L691" s="214"/>
      <c r="M691" s="269"/>
      <c r="N691" s="214"/>
      <c r="O691" s="214"/>
      <c r="P691" s="214"/>
      <c r="Q691" s="214"/>
      <c r="R691" s="214"/>
      <c r="S691" s="214"/>
      <c r="T691" s="214"/>
      <c r="U691" s="214"/>
      <c r="V691" s="214"/>
      <c r="W691" s="214"/>
      <c r="X691" s="214"/>
      <c r="Y691" s="261"/>
      <c r="Z691" s="262"/>
      <c r="AA691" s="262"/>
      <c r="AB691" s="270"/>
      <c r="AC691" s="214"/>
      <c r="AD691" s="214"/>
      <c r="AE691" s="214"/>
      <c r="AF691" s="214"/>
      <c r="AG691" s="214"/>
      <c r="AH691" s="214"/>
      <c r="AI691" s="261"/>
      <c r="AJ691" s="214"/>
      <c r="AK691" s="261"/>
      <c r="AL691" s="261"/>
      <c r="AM691" s="264"/>
      <c r="AN691" s="214"/>
      <c r="AO691" s="271"/>
      <c r="AP691" s="271"/>
      <c r="AQ691" s="271"/>
      <c r="AR691" s="271"/>
      <c r="AS691" s="272"/>
      <c r="AT691" s="272"/>
      <c r="AU691" s="214"/>
      <c r="AV691" s="214"/>
    </row>
    <row r="692" ht="15.75" customHeight="1">
      <c r="A692" s="214"/>
      <c r="B692" s="261"/>
      <c r="C692" s="266"/>
      <c r="D692" s="267"/>
      <c r="E692" s="214"/>
      <c r="F692" s="214"/>
      <c r="G692" s="214"/>
      <c r="H692" s="214"/>
      <c r="I692" s="214"/>
      <c r="J692" s="214"/>
      <c r="K692" s="268"/>
      <c r="L692" s="214"/>
      <c r="M692" s="269"/>
      <c r="N692" s="214"/>
      <c r="O692" s="214"/>
      <c r="P692" s="214"/>
      <c r="Q692" s="214"/>
      <c r="R692" s="214"/>
      <c r="S692" s="214"/>
      <c r="T692" s="214"/>
      <c r="U692" s="214"/>
      <c r="V692" s="214"/>
      <c r="W692" s="214"/>
      <c r="X692" s="214"/>
      <c r="Y692" s="261"/>
      <c r="Z692" s="262"/>
      <c r="AA692" s="262"/>
      <c r="AB692" s="270"/>
      <c r="AC692" s="214"/>
      <c r="AD692" s="214"/>
      <c r="AE692" s="214"/>
      <c r="AF692" s="214"/>
      <c r="AG692" s="214"/>
      <c r="AH692" s="214"/>
      <c r="AI692" s="261"/>
      <c r="AJ692" s="214"/>
      <c r="AK692" s="261"/>
      <c r="AL692" s="261"/>
      <c r="AM692" s="264"/>
      <c r="AN692" s="214"/>
      <c r="AO692" s="271"/>
      <c r="AP692" s="271"/>
      <c r="AQ692" s="271"/>
      <c r="AR692" s="271"/>
      <c r="AS692" s="272"/>
      <c r="AT692" s="272"/>
      <c r="AU692" s="214"/>
      <c r="AV692" s="214"/>
    </row>
    <row r="693" ht="15.75" customHeight="1">
      <c r="A693" s="214"/>
      <c r="B693" s="261"/>
      <c r="C693" s="266"/>
      <c r="D693" s="267"/>
      <c r="E693" s="214"/>
      <c r="F693" s="214"/>
      <c r="G693" s="214"/>
      <c r="H693" s="214"/>
      <c r="I693" s="214"/>
      <c r="J693" s="214"/>
      <c r="K693" s="268"/>
      <c r="L693" s="214"/>
      <c r="M693" s="269"/>
      <c r="N693" s="214"/>
      <c r="O693" s="214"/>
      <c r="P693" s="214"/>
      <c r="Q693" s="214"/>
      <c r="R693" s="214"/>
      <c r="S693" s="214"/>
      <c r="T693" s="214"/>
      <c r="U693" s="214"/>
      <c r="V693" s="214"/>
      <c r="W693" s="214"/>
      <c r="X693" s="214"/>
      <c r="Y693" s="261"/>
      <c r="Z693" s="262"/>
      <c r="AA693" s="262"/>
      <c r="AB693" s="270"/>
      <c r="AC693" s="214"/>
      <c r="AD693" s="214"/>
      <c r="AE693" s="214"/>
      <c r="AF693" s="214"/>
      <c r="AG693" s="214"/>
      <c r="AH693" s="214"/>
      <c r="AI693" s="261"/>
      <c r="AJ693" s="214"/>
      <c r="AK693" s="261"/>
      <c r="AL693" s="261"/>
      <c r="AM693" s="264"/>
      <c r="AN693" s="214"/>
      <c r="AO693" s="271"/>
      <c r="AP693" s="271"/>
      <c r="AQ693" s="271"/>
      <c r="AR693" s="271"/>
      <c r="AS693" s="272"/>
      <c r="AT693" s="272"/>
      <c r="AU693" s="214"/>
      <c r="AV693" s="214"/>
    </row>
    <row r="694" ht="15.75" customHeight="1">
      <c r="A694" s="214"/>
      <c r="B694" s="261"/>
      <c r="C694" s="266"/>
      <c r="D694" s="267"/>
      <c r="E694" s="214"/>
      <c r="F694" s="214"/>
      <c r="G694" s="214"/>
      <c r="H694" s="214"/>
      <c r="I694" s="214"/>
      <c r="J694" s="214"/>
      <c r="K694" s="268"/>
      <c r="L694" s="214"/>
      <c r="M694" s="269"/>
      <c r="N694" s="214"/>
      <c r="O694" s="214"/>
      <c r="P694" s="214"/>
      <c r="Q694" s="214"/>
      <c r="R694" s="214"/>
      <c r="S694" s="214"/>
      <c r="T694" s="214"/>
      <c r="U694" s="214"/>
      <c r="V694" s="214"/>
      <c r="W694" s="214"/>
      <c r="X694" s="214"/>
      <c r="Y694" s="261"/>
      <c r="Z694" s="262"/>
      <c r="AA694" s="262"/>
      <c r="AB694" s="270"/>
      <c r="AC694" s="214"/>
      <c r="AD694" s="214"/>
      <c r="AE694" s="214"/>
      <c r="AF694" s="214"/>
      <c r="AG694" s="214"/>
      <c r="AH694" s="214"/>
      <c r="AI694" s="261"/>
      <c r="AJ694" s="214"/>
      <c r="AK694" s="261"/>
      <c r="AL694" s="261"/>
      <c r="AM694" s="264"/>
      <c r="AN694" s="214"/>
      <c r="AO694" s="271"/>
      <c r="AP694" s="271"/>
      <c r="AQ694" s="271"/>
      <c r="AR694" s="271"/>
      <c r="AS694" s="272"/>
      <c r="AT694" s="272"/>
      <c r="AU694" s="214"/>
      <c r="AV694" s="214"/>
    </row>
    <row r="695" ht="15.75" customHeight="1">
      <c r="A695" s="214"/>
      <c r="B695" s="261"/>
      <c r="C695" s="266"/>
      <c r="D695" s="267"/>
      <c r="E695" s="214"/>
      <c r="F695" s="214"/>
      <c r="G695" s="214"/>
      <c r="H695" s="214"/>
      <c r="I695" s="214"/>
      <c r="J695" s="214"/>
      <c r="K695" s="268"/>
      <c r="L695" s="214"/>
      <c r="M695" s="269"/>
      <c r="N695" s="214"/>
      <c r="O695" s="214"/>
      <c r="P695" s="214"/>
      <c r="Q695" s="214"/>
      <c r="R695" s="214"/>
      <c r="S695" s="214"/>
      <c r="T695" s="214"/>
      <c r="U695" s="214"/>
      <c r="V695" s="214"/>
      <c r="W695" s="214"/>
      <c r="X695" s="214"/>
      <c r="Y695" s="261"/>
      <c r="Z695" s="262"/>
      <c r="AA695" s="262"/>
      <c r="AB695" s="270"/>
      <c r="AC695" s="214"/>
      <c r="AD695" s="214"/>
      <c r="AE695" s="214"/>
      <c r="AF695" s="214"/>
      <c r="AG695" s="214"/>
      <c r="AH695" s="214"/>
      <c r="AI695" s="261"/>
      <c r="AJ695" s="214"/>
      <c r="AK695" s="261"/>
      <c r="AL695" s="261"/>
      <c r="AM695" s="264"/>
      <c r="AN695" s="214"/>
      <c r="AO695" s="271"/>
      <c r="AP695" s="271"/>
      <c r="AQ695" s="271"/>
      <c r="AR695" s="271"/>
      <c r="AS695" s="272"/>
      <c r="AT695" s="272"/>
      <c r="AU695" s="214"/>
      <c r="AV695" s="214"/>
    </row>
    <row r="696" ht="15.75" customHeight="1">
      <c r="A696" s="214"/>
      <c r="B696" s="261"/>
      <c r="C696" s="266"/>
      <c r="D696" s="267"/>
      <c r="E696" s="214"/>
      <c r="F696" s="214"/>
      <c r="G696" s="214"/>
      <c r="H696" s="214"/>
      <c r="I696" s="214"/>
      <c r="J696" s="214"/>
      <c r="K696" s="268"/>
      <c r="L696" s="214"/>
      <c r="M696" s="269"/>
      <c r="N696" s="214"/>
      <c r="O696" s="214"/>
      <c r="P696" s="214"/>
      <c r="Q696" s="214"/>
      <c r="R696" s="214"/>
      <c r="S696" s="214"/>
      <c r="T696" s="214"/>
      <c r="U696" s="214"/>
      <c r="V696" s="214"/>
      <c r="W696" s="214"/>
      <c r="X696" s="214"/>
      <c r="Y696" s="261"/>
      <c r="Z696" s="262"/>
      <c r="AA696" s="262"/>
      <c r="AB696" s="270"/>
      <c r="AC696" s="214"/>
      <c r="AD696" s="214"/>
      <c r="AE696" s="214"/>
      <c r="AF696" s="214"/>
      <c r="AG696" s="214"/>
      <c r="AH696" s="214"/>
      <c r="AI696" s="261"/>
      <c r="AJ696" s="214"/>
      <c r="AK696" s="261"/>
      <c r="AL696" s="261"/>
      <c r="AM696" s="264"/>
      <c r="AN696" s="214"/>
      <c r="AO696" s="271"/>
      <c r="AP696" s="271"/>
      <c r="AQ696" s="271"/>
      <c r="AR696" s="271"/>
      <c r="AS696" s="272"/>
      <c r="AT696" s="272"/>
      <c r="AU696" s="214"/>
      <c r="AV696" s="214"/>
    </row>
    <row r="697" ht="15.75" customHeight="1">
      <c r="A697" s="214"/>
      <c r="B697" s="261"/>
      <c r="C697" s="266"/>
      <c r="D697" s="267"/>
      <c r="E697" s="214"/>
      <c r="F697" s="214"/>
      <c r="G697" s="214"/>
      <c r="H697" s="214"/>
      <c r="I697" s="214"/>
      <c r="J697" s="214"/>
      <c r="K697" s="268"/>
      <c r="L697" s="214"/>
      <c r="M697" s="269"/>
      <c r="N697" s="214"/>
      <c r="O697" s="214"/>
      <c r="P697" s="214"/>
      <c r="Q697" s="214"/>
      <c r="R697" s="214"/>
      <c r="S697" s="214"/>
      <c r="T697" s="214"/>
      <c r="U697" s="214"/>
      <c r="V697" s="214"/>
      <c r="W697" s="214"/>
      <c r="X697" s="214"/>
      <c r="Y697" s="261"/>
      <c r="Z697" s="262"/>
      <c r="AA697" s="262"/>
      <c r="AB697" s="270"/>
      <c r="AC697" s="214"/>
      <c r="AD697" s="214"/>
      <c r="AE697" s="214"/>
      <c r="AF697" s="214"/>
      <c r="AG697" s="214"/>
      <c r="AH697" s="214"/>
      <c r="AI697" s="261"/>
      <c r="AJ697" s="214"/>
      <c r="AK697" s="261"/>
      <c r="AL697" s="261"/>
      <c r="AM697" s="264"/>
      <c r="AN697" s="214"/>
      <c r="AO697" s="271"/>
      <c r="AP697" s="271"/>
      <c r="AQ697" s="271"/>
      <c r="AR697" s="271"/>
      <c r="AS697" s="272"/>
      <c r="AT697" s="272"/>
      <c r="AU697" s="214"/>
      <c r="AV697" s="214"/>
    </row>
    <row r="698" ht="15.75" customHeight="1">
      <c r="A698" s="214"/>
      <c r="B698" s="261"/>
      <c r="C698" s="266"/>
      <c r="D698" s="267"/>
      <c r="E698" s="214"/>
      <c r="F698" s="214"/>
      <c r="G698" s="214"/>
      <c r="H698" s="214"/>
      <c r="I698" s="214"/>
      <c r="J698" s="214"/>
      <c r="K698" s="268"/>
      <c r="L698" s="214"/>
      <c r="M698" s="269"/>
      <c r="N698" s="214"/>
      <c r="O698" s="214"/>
      <c r="P698" s="214"/>
      <c r="Q698" s="214"/>
      <c r="R698" s="214"/>
      <c r="S698" s="214"/>
      <c r="T698" s="214"/>
      <c r="U698" s="214"/>
      <c r="V698" s="214"/>
      <c r="W698" s="214"/>
      <c r="X698" s="214"/>
      <c r="Y698" s="261"/>
      <c r="Z698" s="262"/>
      <c r="AA698" s="262"/>
      <c r="AB698" s="270"/>
      <c r="AC698" s="214"/>
      <c r="AD698" s="214"/>
      <c r="AE698" s="214"/>
      <c r="AF698" s="214"/>
      <c r="AG698" s="214"/>
      <c r="AH698" s="214"/>
      <c r="AI698" s="261"/>
      <c r="AJ698" s="214"/>
      <c r="AK698" s="261"/>
      <c r="AL698" s="261"/>
      <c r="AM698" s="264"/>
      <c r="AN698" s="214"/>
      <c r="AO698" s="271"/>
      <c r="AP698" s="271"/>
      <c r="AQ698" s="271"/>
      <c r="AR698" s="271"/>
      <c r="AS698" s="272"/>
      <c r="AT698" s="272"/>
      <c r="AU698" s="214"/>
      <c r="AV698" s="214"/>
    </row>
    <row r="699" ht="15.75" customHeight="1">
      <c r="A699" s="214"/>
      <c r="B699" s="261"/>
      <c r="C699" s="266"/>
      <c r="D699" s="267"/>
      <c r="E699" s="214"/>
      <c r="F699" s="214"/>
      <c r="G699" s="214"/>
      <c r="H699" s="214"/>
      <c r="I699" s="214"/>
      <c r="J699" s="214"/>
      <c r="K699" s="268"/>
      <c r="L699" s="214"/>
      <c r="M699" s="269"/>
      <c r="N699" s="214"/>
      <c r="O699" s="214"/>
      <c r="P699" s="214"/>
      <c r="Q699" s="214"/>
      <c r="R699" s="214"/>
      <c r="S699" s="214"/>
      <c r="T699" s="214"/>
      <c r="U699" s="214"/>
      <c r="V699" s="214"/>
      <c r="W699" s="214"/>
      <c r="X699" s="214"/>
      <c r="Y699" s="261"/>
      <c r="Z699" s="262"/>
      <c r="AA699" s="262"/>
      <c r="AB699" s="270"/>
      <c r="AC699" s="214"/>
      <c r="AD699" s="214"/>
      <c r="AE699" s="214"/>
      <c r="AF699" s="214"/>
      <c r="AG699" s="214"/>
      <c r="AH699" s="214"/>
      <c r="AI699" s="261"/>
      <c r="AJ699" s="214"/>
      <c r="AK699" s="261"/>
      <c r="AL699" s="261"/>
      <c r="AM699" s="264"/>
      <c r="AN699" s="214"/>
      <c r="AO699" s="271"/>
      <c r="AP699" s="271"/>
      <c r="AQ699" s="271"/>
      <c r="AR699" s="271"/>
      <c r="AS699" s="272"/>
      <c r="AT699" s="272"/>
      <c r="AU699" s="214"/>
      <c r="AV699" s="214"/>
    </row>
    <row r="700" ht="15.75" customHeight="1">
      <c r="A700" s="214"/>
      <c r="B700" s="261"/>
      <c r="C700" s="266"/>
      <c r="D700" s="267"/>
      <c r="E700" s="214"/>
      <c r="F700" s="214"/>
      <c r="G700" s="214"/>
      <c r="H700" s="214"/>
      <c r="I700" s="214"/>
      <c r="J700" s="214"/>
      <c r="K700" s="268"/>
      <c r="L700" s="214"/>
      <c r="M700" s="269"/>
      <c r="N700" s="214"/>
      <c r="O700" s="214"/>
      <c r="P700" s="214"/>
      <c r="Q700" s="214"/>
      <c r="R700" s="214"/>
      <c r="S700" s="214"/>
      <c r="T700" s="214"/>
      <c r="U700" s="214"/>
      <c r="V700" s="214"/>
      <c r="W700" s="214"/>
      <c r="X700" s="214"/>
      <c r="Y700" s="261"/>
      <c r="Z700" s="262"/>
      <c r="AA700" s="262"/>
      <c r="AB700" s="270"/>
      <c r="AC700" s="214"/>
      <c r="AD700" s="214"/>
      <c r="AE700" s="214"/>
      <c r="AF700" s="214"/>
      <c r="AG700" s="214"/>
      <c r="AH700" s="214"/>
      <c r="AI700" s="261"/>
      <c r="AJ700" s="214"/>
      <c r="AK700" s="261"/>
      <c r="AL700" s="261"/>
      <c r="AM700" s="264"/>
      <c r="AN700" s="214"/>
      <c r="AO700" s="271"/>
      <c r="AP700" s="271"/>
      <c r="AQ700" s="271"/>
      <c r="AR700" s="271"/>
      <c r="AS700" s="272"/>
      <c r="AT700" s="272"/>
      <c r="AU700" s="214"/>
      <c r="AV700" s="214"/>
    </row>
    <row r="701" ht="15.75" customHeight="1">
      <c r="A701" s="214"/>
      <c r="B701" s="261"/>
      <c r="C701" s="266"/>
      <c r="D701" s="267"/>
      <c r="E701" s="214"/>
      <c r="F701" s="214"/>
      <c r="G701" s="214"/>
      <c r="H701" s="214"/>
      <c r="I701" s="214"/>
      <c r="J701" s="214"/>
      <c r="K701" s="268"/>
      <c r="L701" s="214"/>
      <c r="M701" s="269"/>
      <c r="N701" s="214"/>
      <c r="O701" s="214"/>
      <c r="P701" s="214"/>
      <c r="Q701" s="214"/>
      <c r="R701" s="214"/>
      <c r="S701" s="214"/>
      <c r="T701" s="214"/>
      <c r="U701" s="214"/>
      <c r="V701" s="214"/>
      <c r="W701" s="214"/>
      <c r="X701" s="214"/>
      <c r="Y701" s="261"/>
      <c r="Z701" s="262"/>
      <c r="AA701" s="262"/>
      <c r="AB701" s="270"/>
      <c r="AC701" s="214"/>
      <c r="AD701" s="214"/>
      <c r="AE701" s="214"/>
      <c r="AF701" s="214"/>
      <c r="AG701" s="214"/>
      <c r="AH701" s="214"/>
      <c r="AI701" s="261"/>
      <c r="AJ701" s="214"/>
      <c r="AK701" s="261"/>
      <c r="AL701" s="261"/>
      <c r="AM701" s="264"/>
      <c r="AN701" s="214"/>
      <c r="AO701" s="271"/>
      <c r="AP701" s="271"/>
      <c r="AQ701" s="271"/>
      <c r="AR701" s="271"/>
      <c r="AS701" s="272"/>
      <c r="AT701" s="272"/>
      <c r="AU701" s="214"/>
      <c r="AV701" s="214"/>
    </row>
    <row r="702" ht="15.75" customHeight="1">
      <c r="A702" s="214"/>
      <c r="B702" s="261"/>
      <c r="C702" s="266"/>
      <c r="D702" s="267"/>
      <c r="E702" s="214"/>
      <c r="F702" s="214"/>
      <c r="G702" s="214"/>
      <c r="H702" s="214"/>
      <c r="I702" s="214"/>
      <c r="J702" s="214"/>
      <c r="K702" s="268"/>
      <c r="L702" s="214"/>
      <c r="M702" s="269"/>
      <c r="N702" s="214"/>
      <c r="O702" s="214"/>
      <c r="P702" s="214"/>
      <c r="Q702" s="214"/>
      <c r="R702" s="214"/>
      <c r="S702" s="214"/>
      <c r="T702" s="214"/>
      <c r="U702" s="214"/>
      <c r="V702" s="214"/>
      <c r="W702" s="214"/>
      <c r="X702" s="214"/>
      <c r="Y702" s="261"/>
      <c r="Z702" s="262"/>
      <c r="AA702" s="262"/>
      <c r="AB702" s="270"/>
      <c r="AC702" s="214"/>
      <c r="AD702" s="214"/>
      <c r="AE702" s="214"/>
      <c r="AF702" s="214"/>
      <c r="AG702" s="214"/>
      <c r="AH702" s="214"/>
      <c r="AI702" s="261"/>
      <c r="AJ702" s="214"/>
      <c r="AK702" s="261"/>
      <c r="AL702" s="261"/>
      <c r="AM702" s="264"/>
      <c r="AN702" s="214"/>
      <c r="AO702" s="271"/>
      <c r="AP702" s="271"/>
      <c r="AQ702" s="271"/>
      <c r="AR702" s="271"/>
      <c r="AS702" s="272"/>
      <c r="AT702" s="272"/>
      <c r="AU702" s="214"/>
      <c r="AV702" s="214"/>
    </row>
    <row r="703" ht="15.75" customHeight="1">
      <c r="A703" s="214"/>
      <c r="B703" s="261"/>
      <c r="C703" s="266"/>
      <c r="D703" s="267"/>
      <c r="E703" s="214"/>
      <c r="F703" s="214"/>
      <c r="G703" s="214"/>
      <c r="H703" s="214"/>
      <c r="I703" s="214"/>
      <c r="J703" s="214"/>
      <c r="K703" s="268"/>
      <c r="L703" s="214"/>
      <c r="M703" s="269"/>
      <c r="N703" s="214"/>
      <c r="O703" s="214"/>
      <c r="P703" s="214"/>
      <c r="Q703" s="214"/>
      <c r="R703" s="214"/>
      <c r="S703" s="214"/>
      <c r="T703" s="214"/>
      <c r="U703" s="214"/>
      <c r="V703" s="214"/>
      <c r="W703" s="214"/>
      <c r="X703" s="214"/>
      <c r="Y703" s="261"/>
      <c r="Z703" s="262"/>
      <c r="AA703" s="262"/>
      <c r="AB703" s="270"/>
      <c r="AC703" s="214"/>
      <c r="AD703" s="214"/>
      <c r="AE703" s="214"/>
      <c r="AF703" s="214"/>
      <c r="AG703" s="214"/>
      <c r="AH703" s="214"/>
      <c r="AI703" s="261"/>
      <c r="AJ703" s="214"/>
      <c r="AK703" s="261"/>
      <c r="AL703" s="261"/>
      <c r="AM703" s="264"/>
      <c r="AN703" s="214"/>
      <c r="AO703" s="271"/>
      <c r="AP703" s="271"/>
      <c r="AQ703" s="271"/>
      <c r="AR703" s="271"/>
      <c r="AS703" s="272"/>
      <c r="AT703" s="272"/>
      <c r="AU703" s="214"/>
      <c r="AV703" s="214"/>
    </row>
    <row r="704" ht="15.75" customHeight="1">
      <c r="A704" s="214"/>
      <c r="B704" s="261"/>
      <c r="C704" s="266"/>
      <c r="D704" s="267"/>
      <c r="E704" s="214"/>
      <c r="F704" s="214"/>
      <c r="G704" s="214"/>
      <c r="H704" s="214"/>
      <c r="I704" s="214"/>
      <c r="J704" s="214"/>
      <c r="K704" s="268"/>
      <c r="L704" s="214"/>
      <c r="M704" s="269"/>
      <c r="N704" s="214"/>
      <c r="O704" s="214"/>
      <c r="P704" s="214"/>
      <c r="Q704" s="214"/>
      <c r="R704" s="214"/>
      <c r="S704" s="214"/>
      <c r="T704" s="214"/>
      <c r="U704" s="214"/>
      <c r="V704" s="214"/>
      <c r="W704" s="214"/>
      <c r="X704" s="214"/>
      <c r="Y704" s="261"/>
      <c r="Z704" s="262"/>
      <c r="AA704" s="262"/>
      <c r="AB704" s="270"/>
      <c r="AC704" s="214"/>
      <c r="AD704" s="214"/>
      <c r="AE704" s="214"/>
      <c r="AF704" s="214"/>
      <c r="AG704" s="214"/>
      <c r="AH704" s="214"/>
      <c r="AI704" s="261"/>
      <c r="AJ704" s="214"/>
      <c r="AK704" s="261"/>
      <c r="AL704" s="261"/>
      <c r="AM704" s="264"/>
      <c r="AN704" s="214"/>
      <c r="AO704" s="271"/>
      <c r="AP704" s="271"/>
      <c r="AQ704" s="271"/>
      <c r="AR704" s="271"/>
      <c r="AS704" s="272"/>
      <c r="AT704" s="272"/>
      <c r="AU704" s="214"/>
      <c r="AV704" s="214"/>
    </row>
    <row r="705" ht="15.75" customHeight="1">
      <c r="A705" s="214"/>
      <c r="B705" s="261"/>
      <c r="C705" s="266"/>
      <c r="D705" s="267"/>
      <c r="E705" s="214"/>
      <c r="F705" s="214"/>
      <c r="G705" s="214"/>
      <c r="H705" s="214"/>
      <c r="I705" s="214"/>
      <c r="J705" s="214"/>
      <c r="K705" s="268"/>
      <c r="L705" s="214"/>
      <c r="M705" s="269"/>
      <c r="N705" s="214"/>
      <c r="O705" s="214"/>
      <c r="P705" s="214"/>
      <c r="Q705" s="214"/>
      <c r="R705" s="214"/>
      <c r="S705" s="214"/>
      <c r="T705" s="214"/>
      <c r="U705" s="214"/>
      <c r="V705" s="214"/>
      <c r="W705" s="214"/>
      <c r="X705" s="214"/>
      <c r="Y705" s="261"/>
      <c r="Z705" s="262"/>
      <c r="AA705" s="262"/>
      <c r="AB705" s="270"/>
      <c r="AC705" s="214"/>
      <c r="AD705" s="214"/>
      <c r="AE705" s="214"/>
      <c r="AF705" s="214"/>
      <c r="AG705" s="214"/>
      <c r="AH705" s="214"/>
      <c r="AI705" s="261"/>
      <c r="AJ705" s="214"/>
      <c r="AK705" s="261"/>
      <c r="AL705" s="261"/>
      <c r="AM705" s="264"/>
      <c r="AN705" s="214"/>
      <c r="AO705" s="271"/>
      <c r="AP705" s="271"/>
      <c r="AQ705" s="271"/>
      <c r="AR705" s="271"/>
      <c r="AS705" s="272"/>
      <c r="AT705" s="272"/>
      <c r="AU705" s="214"/>
      <c r="AV705" s="214"/>
    </row>
    <row r="706" ht="15.75" customHeight="1">
      <c r="A706" s="214"/>
      <c r="B706" s="261"/>
      <c r="C706" s="266"/>
      <c r="D706" s="267"/>
      <c r="E706" s="214"/>
      <c r="F706" s="214"/>
      <c r="G706" s="214"/>
      <c r="H706" s="214"/>
      <c r="I706" s="214"/>
      <c r="J706" s="214"/>
      <c r="K706" s="268"/>
      <c r="L706" s="214"/>
      <c r="M706" s="269"/>
      <c r="N706" s="214"/>
      <c r="O706" s="214"/>
      <c r="P706" s="214"/>
      <c r="Q706" s="214"/>
      <c r="R706" s="214"/>
      <c r="S706" s="214"/>
      <c r="T706" s="214"/>
      <c r="U706" s="214"/>
      <c r="V706" s="214"/>
      <c r="W706" s="214"/>
      <c r="X706" s="214"/>
      <c r="Y706" s="261"/>
      <c r="Z706" s="262"/>
      <c r="AA706" s="262"/>
      <c r="AB706" s="270"/>
      <c r="AC706" s="214"/>
      <c r="AD706" s="214"/>
      <c r="AE706" s="214"/>
      <c r="AF706" s="214"/>
      <c r="AG706" s="214"/>
      <c r="AH706" s="214"/>
      <c r="AI706" s="261"/>
      <c r="AJ706" s="214"/>
      <c r="AK706" s="261"/>
      <c r="AL706" s="261"/>
      <c r="AM706" s="264"/>
      <c r="AN706" s="214"/>
      <c r="AO706" s="271"/>
      <c r="AP706" s="271"/>
      <c r="AQ706" s="271"/>
      <c r="AR706" s="271"/>
      <c r="AS706" s="272"/>
      <c r="AT706" s="272"/>
      <c r="AU706" s="214"/>
      <c r="AV706" s="214"/>
    </row>
    <row r="707" ht="15.75" customHeight="1">
      <c r="A707" s="214"/>
      <c r="B707" s="261"/>
      <c r="C707" s="266"/>
      <c r="D707" s="267"/>
      <c r="E707" s="214"/>
      <c r="F707" s="214"/>
      <c r="G707" s="214"/>
      <c r="H707" s="214"/>
      <c r="I707" s="214"/>
      <c r="J707" s="214"/>
      <c r="K707" s="268"/>
      <c r="L707" s="214"/>
      <c r="M707" s="269"/>
      <c r="N707" s="214"/>
      <c r="O707" s="214"/>
      <c r="P707" s="214"/>
      <c r="Q707" s="214"/>
      <c r="R707" s="214"/>
      <c r="S707" s="214"/>
      <c r="T707" s="214"/>
      <c r="U707" s="214"/>
      <c r="V707" s="214"/>
      <c r="W707" s="214"/>
      <c r="X707" s="214"/>
      <c r="Y707" s="261"/>
      <c r="Z707" s="262"/>
      <c r="AA707" s="262"/>
      <c r="AB707" s="270"/>
      <c r="AC707" s="214"/>
      <c r="AD707" s="214"/>
      <c r="AE707" s="214"/>
      <c r="AF707" s="214"/>
      <c r="AG707" s="214"/>
      <c r="AH707" s="214"/>
      <c r="AI707" s="261"/>
      <c r="AJ707" s="214"/>
      <c r="AK707" s="261"/>
      <c r="AL707" s="261"/>
      <c r="AM707" s="264"/>
      <c r="AN707" s="214"/>
      <c r="AO707" s="271"/>
      <c r="AP707" s="271"/>
      <c r="AQ707" s="271"/>
      <c r="AR707" s="271"/>
      <c r="AS707" s="272"/>
      <c r="AT707" s="272"/>
      <c r="AU707" s="214"/>
      <c r="AV707" s="214"/>
    </row>
    <row r="708" ht="15.75" customHeight="1">
      <c r="A708" s="214"/>
      <c r="B708" s="261"/>
      <c r="C708" s="266"/>
      <c r="D708" s="267"/>
      <c r="E708" s="214"/>
      <c r="F708" s="214"/>
      <c r="G708" s="214"/>
      <c r="H708" s="214"/>
      <c r="I708" s="214"/>
      <c r="J708" s="214"/>
      <c r="K708" s="268"/>
      <c r="L708" s="214"/>
      <c r="M708" s="269"/>
      <c r="N708" s="214"/>
      <c r="O708" s="214"/>
      <c r="P708" s="214"/>
      <c r="Q708" s="214"/>
      <c r="R708" s="214"/>
      <c r="S708" s="214"/>
      <c r="T708" s="214"/>
      <c r="U708" s="214"/>
      <c r="V708" s="214"/>
      <c r="W708" s="214"/>
      <c r="X708" s="214"/>
      <c r="Y708" s="261"/>
      <c r="Z708" s="262"/>
      <c r="AA708" s="262"/>
      <c r="AB708" s="270"/>
      <c r="AC708" s="214"/>
      <c r="AD708" s="214"/>
      <c r="AE708" s="214"/>
      <c r="AF708" s="214"/>
      <c r="AG708" s="214"/>
      <c r="AH708" s="214"/>
      <c r="AI708" s="261"/>
      <c r="AJ708" s="214"/>
      <c r="AK708" s="261"/>
      <c r="AL708" s="261"/>
      <c r="AM708" s="264"/>
      <c r="AN708" s="214"/>
      <c r="AO708" s="271"/>
      <c r="AP708" s="271"/>
      <c r="AQ708" s="271"/>
      <c r="AR708" s="271"/>
      <c r="AS708" s="272"/>
      <c r="AT708" s="272"/>
      <c r="AU708" s="214"/>
      <c r="AV708" s="214"/>
    </row>
    <row r="709" ht="15.75" customHeight="1">
      <c r="A709" s="214"/>
      <c r="B709" s="261"/>
      <c r="C709" s="266"/>
      <c r="D709" s="267"/>
      <c r="E709" s="214"/>
      <c r="F709" s="214"/>
      <c r="G709" s="214"/>
      <c r="H709" s="214"/>
      <c r="I709" s="214"/>
      <c r="J709" s="214"/>
      <c r="K709" s="268"/>
      <c r="L709" s="214"/>
      <c r="M709" s="269"/>
      <c r="N709" s="214"/>
      <c r="O709" s="214"/>
      <c r="P709" s="214"/>
      <c r="Q709" s="214"/>
      <c r="R709" s="214"/>
      <c r="S709" s="214"/>
      <c r="T709" s="214"/>
      <c r="U709" s="214"/>
      <c r="V709" s="214"/>
      <c r="W709" s="214"/>
      <c r="X709" s="214"/>
      <c r="Y709" s="261"/>
      <c r="Z709" s="262"/>
      <c r="AA709" s="262"/>
      <c r="AB709" s="270"/>
      <c r="AC709" s="214"/>
      <c r="AD709" s="214"/>
      <c r="AE709" s="214"/>
      <c r="AF709" s="214"/>
      <c r="AG709" s="214"/>
      <c r="AH709" s="214"/>
      <c r="AI709" s="261"/>
      <c r="AJ709" s="214"/>
      <c r="AK709" s="261"/>
      <c r="AL709" s="261"/>
      <c r="AM709" s="264"/>
      <c r="AN709" s="214"/>
      <c r="AO709" s="271"/>
      <c r="AP709" s="271"/>
      <c r="AQ709" s="271"/>
      <c r="AR709" s="271"/>
      <c r="AS709" s="272"/>
      <c r="AT709" s="272"/>
      <c r="AU709" s="214"/>
      <c r="AV709" s="214"/>
    </row>
    <row r="710" ht="15.75" customHeight="1">
      <c r="A710" s="214"/>
      <c r="B710" s="261"/>
      <c r="C710" s="266"/>
      <c r="D710" s="267"/>
      <c r="E710" s="214"/>
      <c r="F710" s="214"/>
      <c r="G710" s="214"/>
      <c r="H710" s="214"/>
      <c r="I710" s="214"/>
      <c r="J710" s="214"/>
      <c r="K710" s="268"/>
      <c r="L710" s="214"/>
      <c r="M710" s="269"/>
      <c r="N710" s="214"/>
      <c r="O710" s="214"/>
      <c r="P710" s="214"/>
      <c r="Q710" s="214"/>
      <c r="R710" s="214"/>
      <c r="S710" s="214"/>
      <c r="T710" s="214"/>
      <c r="U710" s="214"/>
      <c r="V710" s="214"/>
      <c r="W710" s="214"/>
      <c r="X710" s="214"/>
      <c r="Y710" s="261"/>
      <c r="Z710" s="262"/>
      <c r="AA710" s="262"/>
      <c r="AB710" s="270"/>
      <c r="AC710" s="214"/>
      <c r="AD710" s="214"/>
      <c r="AE710" s="214"/>
      <c r="AF710" s="214"/>
      <c r="AG710" s="214"/>
      <c r="AH710" s="214"/>
      <c r="AI710" s="261"/>
      <c r="AJ710" s="214"/>
      <c r="AK710" s="261"/>
      <c r="AL710" s="261"/>
      <c r="AM710" s="264"/>
      <c r="AN710" s="214"/>
      <c r="AO710" s="271"/>
      <c r="AP710" s="271"/>
      <c r="AQ710" s="271"/>
      <c r="AR710" s="271"/>
      <c r="AS710" s="272"/>
      <c r="AT710" s="272"/>
      <c r="AU710" s="214"/>
      <c r="AV710" s="214"/>
    </row>
    <row r="711" ht="15.75" customHeight="1">
      <c r="A711" s="214"/>
      <c r="B711" s="261"/>
      <c r="C711" s="266"/>
      <c r="D711" s="267"/>
      <c r="E711" s="214"/>
      <c r="F711" s="214"/>
      <c r="G711" s="214"/>
      <c r="H711" s="214"/>
      <c r="I711" s="214"/>
      <c r="J711" s="214"/>
      <c r="K711" s="268"/>
      <c r="L711" s="214"/>
      <c r="M711" s="269"/>
      <c r="N711" s="214"/>
      <c r="O711" s="214"/>
      <c r="P711" s="214"/>
      <c r="Q711" s="214"/>
      <c r="R711" s="214"/>
      <c r="S711" s="214"/>
      <c r="T711" s="214"/>
      <c r="U711" s="214"/>
      <c r="V711" s="214"/>
      <c r="W711" s="214"/>
      <c r="X711" s="214"/>
      <c r="Y711" s="261"/>
      <c r="Z711" s="262"/>
      <c r="AA711" s="262"/>
      <c r="AB711" s="270"/>
      <c r="AC711" s="214"/>
      <c r="AD711" s="214"/>
      <c r="AE711" s="214"/>
      <c r="AF711" s="214"/>
      <c r="AG711" s="214"/>
      <c r="AH711" s="214"/>
      <c r="AI711" s="261"/>
      <c r="AJ711" s="214"/>
      <c r="AK711" s="261"/>
      <c r="AL711" s="261"/>
      <c r="AM711" s="264"/>
      <c r="AN711" s="214"/>
      <c r="AO711" s="271"/>
      <c r="AP711" s="271"/>
      <c r="AQ711" s="271"/>
      <c r="AR711" s="271"/>
      <c r="AS711" s="272"/>
      <c r="AT711" s="272"/>
      <c r="AU711" s="214"/>
      <c r="AV711" s="214"/>
    </row>
    <row r="712" ht="15.75" customHeight="1">
      <c r="A712" s="214"/>
      <c r="B712" s="261"/>
      <c r="C712" s="266"/>
      <c r="D712" s="267"/>
      <c r="E712" s="214"/>
      <c r="F712" s="214"/>
      <c r="G712" s="214"/>
      <c r="H712" s="214"/>
      <c r="I712" s="214"/>
      <c r="J712" s="214"/>
      <c r="K712" s="268"/>
      <c r="L712" s="214"/>
      <c r="M712" s="269"/>
      <c r="N712" s="214"/>
      <c r="O712" s="214"/>
      <c r="P712" s="214"/>
      <c r="Q712" s="214"/>
      <c r="R712" s="214"/>
      <c r="S712" s="214"/>
      <c r="T712" s="214"/>
      <c r="U712" s="214"/>
      <c r="V712" s="214"/>
      <c r="W712" s="214"/>
      <c r="X712" s="214"/>
      <c r="Y712" s="261"/>
      <c r="Z712" s="262"/>
      <c r="AA712" s="262"/>
      <c r="AB712" s="270"/>
      <c r="AC712" s="214"/>
      <c r="AD712" s="214"/>
      <c r="AE712" s="214"/>
      <c r="AF712" s="214"/>
      <c r="AG712" s="214"/>
      <c r="AH712" s="214"/>
      <c r="AI712" s="261"/>
      <c r="AJ712" s="214"/>
      <c r="AK712" s="261"/>
      <c r="AL712" s="261"/>
      <c r="AM712" s="264"/>
      <c r="AN712" s="214"/>
      <c r="AO712" s="271"/>
      <c r="AP712" s="271"/>
      <c r="AQ712" s="271"/>
      <c r="AR712" s="271"/>
      <c r="AS712" s="272"/>
      <c r="AT712" s="272"/>
      <c r="AU712" s="214"/>
      <c r="AV712" s="214"/>
    </row>
    <row r="713" ht="15.75" customHeight="1">
      <c r="A713" s="214"/>
      <c r="B713" s="261"/>
      <c r="C713" s="266"/>
      <c r="D713" s="267"/>
      <c r="E713" s="214"/>
      <c r="F713" s="214"/>
      <c r="G713" s="214"/>
      <c r="H713" s="214"/>
      <c r="I713" s="214"/>
      <c r="J713" s="214"/>
      <c r="K713" s="268"/>
      <c r="L713" s="214"/>
      <c r="M713" s="269"/>
      <c r="N713" s="214"/>
      <c r="O713" s="214"/>
      <c r="P713" s="214"/>
      <c r="Q713" s="214"/>
      <c r="R713" s="214"/>
      <c r="S713" s="214"/>
      <c r="T713" s="214"/>
      <c r="U713" s="214"/>
      <c r="V713" s="214"/>
      <c r="W713" s="214"/>
      <c r="X713" s="214"/>
      <c r="Y713" s="261"/>
      <c r="Z713" s="262"/>
      <c r="AA713" s="262"/>
      <c r="AB713" s="270"/>
      <c r="AC713" s="214"/>
      <c r="AD713" s="214"/>
      <c r="AE713" s="214"/>
      <c r="AF713" s="214"/>
      <c r="AG713" s="214"/>
      <c r="AH713" s="214"/>
      <c r="AI713" s="261"/>
      <c r="AJ713" s="214"/>
      <c r="AK713" s="261"/>
      <c r="AL713" s="261"/>
      <c r="AM713" s="264"/>
      <c r="AN713" s="214"/>
      <c r="AO713" s="271"/>
      <c r="AP713" s="271"/>
      <c r="AQ713" s="271"/>
      <c r="AR713" s="271"/>
      <c r="AS713" s="272"/>
      <c r="AT713" s="272"/>
      <c r="AU713" s="214"/>
      <c r="AV713" s="214"/>
    </row>
    <row r="714" ht="15.75" customHeight="1">
      <c r="A714" s="214"/>
      <c r="B714" s="261"/>
      <c r="C714" s="266"/>
      <c r="D714" s="267"/>
      <c r="E714" s="214"/>
      <c r="F714" s="214"/>
      <c r="G714" s="214"/>
      <c r="H714" s="214"/>
      <c r="I714" s="214"/>
      <c r="J714" s="214"/>
      <c r="K714" s="268"/>
      <c r="L714" s="214"/>
      <c r="M714" s="269"/>
      <c r="N714" s="214"/>
      <c r="O714" s="214"/>
      <c r="P714" s="214"/>
      <c r="Q714" s="214"/>
      <c r="R714" s="214"/>
      <c r="S714" s="214"/>
      <c r="T714" s="214"/>
      <c r="U714" s="214"/>
      <c r="V714" s="214"/>
      <c r="W714" s="214"/>
      <c r="X714" s="214"/>
      <c r="Y714" s="261"/>
      <c r="Z714" s="262"/>
      <c r="AA714" s="262"/>
      <c r="AB714" s="270"/>
      <c r="AC714" s="214"/>
      <c r="AD714" s="214"/>
      <c r="AE714" s="214"/>
      <c r="AF714" s="214"/>
      <c r="AG714" s="214"/>
      <c r="AH714" s="214"/>
      <c r="AI714" s="261"/>
      <c r="AJ714" s="214"/>
      <c r="AK714" s="261"/>
      <c r="AL714" s="261"/>
      <c r="AM714" s="264"/>
      <c r="AN714" s="214"/>
      <c r="AO714" s="271"/>
      <c r="AP714" s="271"/>
      <c r="AQ714" s="271"/>
      <c r="AR714" s="271"/>
      <c r="AS714" s="272"/>
      <c r="AT714" s="272"/>
      <c r="AU714" s="214"/>
      <c r="AV714" s="214"/>
    </row>
    <row r="715" ht="15.75" customHeight="1">
      <c r="A715" s="214"/>
      <c r="B715" s="261"/>
      <c r="C715" s="266"/>
      <c r="D715" s="267"/>
      <c r="E715" s="214"/>
      <c r="F715" s="214"/>
      <c r="G715" s="214"/>
      <c r="H715" s="214"/>
      <c r="I715" s="214"/>
      <c r="J715" s="214"/>
      <c r="K715" s="268"/>
      <c r="L715" s="214"/>
      <c r="M715" s="269"/>
      <c r="N715" s="214"/>
      <c r="O715" s="214"/>
      <c r="P715" s="214"/>
      <c r="Q715" s="214"/>
      <c r="R715" s="214"/>
      <c r="S715" s="214"/>
      <c r="T715" s="214"/>
      <c r="U715" s="214"/>
      <c r="V715" s="214"/>
      <c r="W715" s="214"/>
      <c r="X715" s="214"/>
      <c r="Y715" s="261"/>
      <c r="Z715" s="262"/>
      <c r="AA715" s="262"/>
      <c r="AB715" s="270"/>
      <c r="AC715" s="214"/>
      <c r="AD715" s="214"/>
      <c r="AE715" s="214"/>
      <c r="AF715" s="214"/>
      <c r="AG715" s="214"/>
      <c r="AH715" s="214"/>
      <c r="AI715" s="261"/>
      <c r="AJ715" s="214"/>
      <c r="AK715" s="261"/>
      <c r="AL715" s="261"/>
      <c r="AM715" s="264"/>
      <c r="AN715" s="214"/>
      <c r="AO715" s="271"/>
      <c r="AP715" s="271"/>
      <c r="AQ715" s="271"/>
      <c r="AR715" s="271"/>
      <c r="AS715" s="272"/>
      <c r="AT715" s="272"/>
      <c r="AU715" s="214"/>
      <c r="AV715" s="214"/>
    </row>
    <row r="716" ht="15.75" customHeight="1">
      <c r="A716" s="214"/>
      <c r="B716" s="261"/>
      <c r="C716" s="266"/>
      <c r="D716" s="267"/>
      <c r="E716" s="214"/>
      <c r="F716" s="214"/>
      <c r="G716" s="214"/>
      <c r="H716" s="214"/>
      <c r="I716" s="214"/>
      <c r="J716" s="214"/>
      <c r="K716" s="268"/>
      <c r="L716" s="214"/>
      <c r="M716" s="269"/>
      <c r="N716" s="214"/>
      <c r="O716" s="214"/>
      <c r="P716" s="214"/>
      <c r="Q716" s="214"/>
      <c r="R716" s="214"/>
      <c r="S716" s="214"/>
      <c r="T716" s="214"/>
      <c r="U716" s="214"/>
      <c r="V716" s="214"/>
      <c r="W716" s="214"/>
      <c r="X716" s="214"/>
      <c r="Y716" s="261"/>
      <c r="Z716" s="262"/>
      <c r="AA716" s="262"/>
      <c r="AB716" s="270"/>
      <c r="AC716" s="214"/>
      <c r="AD716" s="214"/>
      <c r="AE716" s="214"/>
      <c r="AF716" s="214"/>
      <c r="AG716" s="214"/>
      <c r="AH716" s="214"/>
      <c r="AI716" s="261"/>
      <c r="AJ716" s="214"/>
      <c r="AK716" s="261"/>
      <c r="AL716" s="261"/>
      <c r="AM716" s="264"/>
      <c r="AN716" s="214"/>
      <c r="AO716" s="271"/>
      <c r="AP716" s="271"/>
      <c r="AQ716" s="271"/>
      <c r="AR716" s="271"/>
      <c r="AS716" s="272"/>
      <c r="AT716" s="272"/>
      <c r="AU716" s="214"/>
      <c r="AV716" s="214"/>
    </row>
    <row r="717" ht="15.75" customHeight="1">
      <c r="A717" s="214"/>
      <c r="B717" s="261"/>
      <c r="C717" s="266"/>
      <c r="D717" s="267"/>
      <c r="E717" s="214"/>
      <c r="F717" s="214"/>
      <c r="G717" s="214"/>
      <c r="H717" s="214"/>
      <c r="I717" s="214"/>
      <c r="J717" s="214"/>
      <c r="K717" s="268"/>
      <c r="L717" s="214"/>
      <c r="M717" s="269"/>
      <c r="N717" s="214"/>
      <c r="O717" s="214"/>
      <c r="P717" s="214"/>
      <c r="Q717" s="214"/>
      <c r="R717" s="214"/>
      <c r="S717" s="214"/>
      <c r="T717" s="214"/>
      <c r="U717" s="214"/>
      <c r="V717" s="214"/>
      <c r="W717" s="214"/>
      <c r="X717" s="214"/>
      <c r="Y717" s="261"/>
      <c r="Z717" s="262"/>
      <c r="AA717" s="262"/>
      <c r="AB717" s="270"/>
      <c r="AC717" s="214"/>
      <c r="AD717" s="214"/>
      <c r="AE717" s="214"/>
      <c r="AF717" s="214"/>
      <c r="AG717" s="214"/>
      <c r="AH717" s="214"/>
      <c r="AI717" s="261"/>
      <c r="AJ717" s="214"/>
      <c r="AK717" s="261"/>
      <c r="AL717" s="261"/>
      <c r="AM717" s="264"/>
      <c r="AN717" s="214"/>
      <c r="AO717" s="271"/>
      <c r="AP717" s="271"/>
      <c r="AQ717" s="271"/>
      <c r="AR717" s="271"/>
      <c r="AS717" s="272"/>
      <c r="AT717" s="272"/>
      <c r="AU717" s="214"/>
      <c r="AV717" s="214"/>
    </row>
    <row r="718" ht="15.75" customHeight="1">
      <c r="A718" s="214"/>
      <c r="B718" s="261"/>
      <c r="C718" s="266"/>
      <c r="D718" s="267"/>
      <c r="E718" s="214"/>
      <c r="F718" s="214"/>
      <c r="G718" s="214"/>
      <c r="H718" s="214"/>
      <c r="I718" s="214"/>
      <c r="J718" s="214"/>
      <c r="K718" s="268"/>
      <c r="L718" s="214"/>
      <c r="M718" s="269"/>
      <c r="N718" s="214"/>
      <c r="O718" s="214"/>
      <c r="P718" s="214"/>
      <c r="Q718" s="214"/>
      <c r="R718" s="214"/>
      <c r="S718" s="214"/>
      <c r="T718" s="214"/>
      <c r="U718" s="214"/>
      <c r="V718" s="214"/>
      <c r="W718" s="214"/>
      <c r="X718" s="214"/>
      <c r="Y718" s="261"/>
      <c r="Z718" s="262"/>
      <c r="AA718" s="262"/>
      <c r="AB718" s="270"/>
      <c r="AC718" s="214"/>
      <c r="AD718" s="214"/>
      <c r="AE718" s="214"/>
      <c r="AF718" s="214"/>
      <c r="AG718" s="214"/>
      <c r="AH718" s="214"/>
      <c r="AI718" s="261"/>
      <c r="AJ718" s="214"/>
      <c r="AK718" s="261"/>
      <c r="AL718" s="261"/>
      <c r="AM718" s="264"/>
      <c r="AN718" s="214"/>
      <c r="AO718" s="271"/>
      <c r="AP718" s="271"/>
      <c r="AQ718" s="271"/>
      <c r="AR718" s="271"/>
      <c r="AS718" s="272"/>
      <c r="AT718" s="272"/>
      <c r="AU718" s="214"/>
      <c r="AV718" s="214"/>
    </row>
    <row r="719" ht="15.75" customHeight="1">
      <c r="A719" s="214"/>
      <c r="B719" s="261"/>
      <c r="C719" s="266"/>
      <c r="D719" s="267"/>
      <c r="E719" s="214"/>
      <c r="F719" s="214"/>
      <c r="G719" s="214"/>
      <c r="H719" s="214"/>
      <c r="I719" s="214"/>
      <c r="J719" s="214"/>
      <c r="K719" s="268"/>
      <c r="L719" s="214"/>
      <c r="M719" s="269"/>
      <c r="N719" s="214"/>
      <c r="O719" s="214"/>
      <c r="P719" s="214"/>
      <c r="Q719" s="214"/>
      <c r="R719" s="214"/>
      <c r="S719" s="214"/>
      <c r="T719" s="214"/>
      <c r="U719" s="214"/>
      <c r="V719" s="214"/>
      <c r="W719" s="214"/>
      <c r="X719" s="214"/>
      <c r="Y719" s="261"/>
      <c r="Z719" s="262"/>
      <c r="AA719" s="262"/>
      <c r="AB719" s="270"/>
      <c r="AC719" s="214"/>
      <c r="AD719" s="214"/>
      <c r="AE719" s="214"/>
      <c r="AF719" s="214"/>
      <c r="AG719" s="214"/>
      <c r="AH719" s="214"/>
      <c r="AI719" s="261"/>
      <c r="AJ719" s="214"/>
      <c r="AK719" s="261"/>
      <c r="AL719" s="261"/>
      <c r="AM719" s="264"/>
      <c r="AN719" s="214"/>
      <c r="AO719" s="271"/>
      <c r="AP719" s="271"/>
      <c r="AQ719" s="271"/>
      <c r="AR719" s="271"/>
      <c r="AS719" s="272"/>
      <c r="AT719" s="272"/>
      <c r="AU719" s="214"/>
      <c r="AV719" s="214"/>
    </row>
    <row r="720" ht="15.75" customHeight="1">
      <c r="A720" s="214"/>
      <c r="B720" s="261"/>
      <c r="C720" s="266"/>
      <c r="D720" s="267"/>
      <c r="E720" s="214"/>
      <c r="F720" s="214"/>
      <c r="G720" s="214"/>
      <c r="H720" s="214"/>
      <c r="I720" s="214"/>
      <c r="J720" s="214"/>
      <c r="K720" s="268"/>
      <c r="L720" s="214"/>
      <c r="M720" s="269"/>
      <c r="N720" s="214"/>
      <c r="O720" s="214"/>
      <c r="P720" s="214"/>
      <c r="Q720" s="214"/>
      <c r="R720" s="214"/>
      <c r="S720" s="214"/>
      <c r="T720" s="214"/>
      <c r="U720" s="214"/>
      <c r="V720" s="214"/>
      <c r="W720" s="214"/>
      <c r="X720" s="214"/>
      <c r="Y720" s="261"/>
      <c r="Z720" s="262"/>
      <c r="AA720" s="262"/>
      <c r="AB720" s="270"/>
      <c r="AC720" s="214"/>
      <c r="AD720" s="214"/>
      <c r="AE720" s="214"/>
      <c r="AF720" s="214"/>
      <c r="AG720" s="214"/>
      <c r="AH720" s="214"/>
      <c r="AI720" s="261"/>
      <c r="AJ720" s="214"/>
      <c r="AK720" s="261"/>
      <c r="AL720" s="261"/>
      <c r="AM720" s="264"/>
      <c r="AN720" s="214"/>
      <c r="AO720" s="271"/>
      <c r="AP720" s="271"/>
      <c r="AQ720" s="271"/>
      <c r="AR720" s="271"/>
      <c r="AS720" s="272"/>
      <c r="AT720" s="272"/>
      <c r="AU720" s="214"/>
      <c r="AV720" s="214"/>
    </row>
    <row r="721" ht="15.75" customHeight="1">
      <c r="A721" s="214"/>
      <c r="B721" s="261"/>
      <c r="C721" s="266"/>
      <c r="D721" s="267"/>
      <c r="E721" s="214"/>
      <c r="F721" s="214"/>
      <c r="G721" s="214"/>
      <c r="H721" s="214"/>
      <c r="I721" s="214"/>
      <c r="J721" s="214"/>
      <c r="K721" s="268"/>
      <c r="L721" s="214"/>
      <c r="M721" s="269"/>
      <c r="N721" s="214"/>
      <c r="O721" s="214"/>
      <c r="P721" s="214"/>
      <c r="Q721" s="214"/>
      <c r="R721" s="214"/>
      <c r="S721" s="214"/>
      <c r="T721" s="214"/>
      <c r="U721" s="214"/>
      <c r="V721" s="214"/>
      <c r="W721" s="214"/>
      <c r="X721" s="214"/>
      <c r="Y721" s="261"/>
      <c r="Z721" s="262"/>
      <c r="AA721" s="262"/>
      <c r="AB721" s="270"/>
      <c r="AC721" s="214"/>
      <c r="AD721" s="214"/>
      <c r="AE721" s="214"/>
      <c r="AF721" s="214"/>
      <c r="AG721" s="214"/>
      <c r="AH721" s="214"/>
      <c r="AI721" s="261"/>
      <c r="AJ721" s="214"/>
      <c r="AK721" s="261"/>
      <c r="AL721" s="261"/>
      <c r="AM721" s="264"/>
      <c r="AN721" s="214"/>
      <c r="AO721" s="271"/>
      <c r="AP721" s="271"/>
      <c r="AQ721" s="271"/>
      <c r="AR721" s="271"/>
      <c r="AS721" s="272"/>
      <c r="AT721" s="272"/>
      <c r="AU721" s="214"/>
      <c r="AV721" s="214"/>
    </row>
    <row r="722" ht="15.75" customHeight="1">
      <c r="A722" s="214"/>
      <c r="B722" s="261"/>
      <c r="C722" s="266"/>
      <c r="D722" s="267"/>
      <c r="E722" s="214"/>
      <c r="F722" s="214"/>
      <c r="G722" s="214"/>
      <c r="H722" s="214"/>
      <c r="I722" s="214"/>
      <c r="J722" s="214"/>
      <c r="K722" s="268"/>
      <c r="L722" s="214"/>
      <c r="M722" s="269"/>
      <c r="N722" s="214"/>
      <c r="O722" s="214"/>
      <c r="P722" s="214"/>
      <c r="Q722" s="214"/>
      <c r="R722" s="214"/>
      <c r="S722" s="214"/>
      <c r="T722" s="214"/>
      <c r="U722" s="214"/>
      <c r="V722" s="214"/>
      <c r="W722" s="214"/>
      <c r="X722" s="214"/>
      <c r="Y722" s="261"/>
      <c r="Z722" s="262"/>
      <c r="AA722" s="262"/>
      <c r="AB722" s="270"/>
      <c r="AC722" s="214"/>
      <c r="AD722" s="214"/>
      <c r="AE722" s="214"/>
      <c r="AF722" s="214"/>
      <c r="AG722" s="214"/>
      <c r="AH722" s="214"/>
      <c r="AI722" s="261"/>
      <c r="AJ722" s="214"/>
      <c r="AK722" s="261"/>
      <c r="AL722" s="261"/>
      <c r="AM722" s="264"/>
      <c r="AN722" s="214"/>
      <c r="AO722" s="271"/>
      <c r="AP722" s="271"/>
      <c r="AQ722" s="271"/>
      <c r="AR722" s="271"/>
      <c r="AS722" s="272"/>
      <c r="AT722" s="272"/>
      <c r="AU722" s="214"/>
      <c r="AV722" s="214"/>
    </row>
    <row r="723" ht="15.75" customHeight="1">
      <c r="A723" s="214"/>
      <c r="B723" s="261"/>
      <c r="C723" s="266"/>
      <c r="D723" s="267"/>
      <c r="E723" s="214"/>
      <c r="F723" s="214"/>
      <c r="G723" s="214"/>
      <c r="H723" s="214"/>
      <c r="I723" s="214"/>
      <c r="J723" s="214"/>
      <c r="K723" s="268"/>
      <c r="L723" s="214"/>
      <c r="M723" s="269"/>
      <c r="N723" s="214"/>
      <c r="O723" s="214"/>
      <c r="P723" s="214"/>
      <c r="Q723" s="214"/>
      <c r="R723" s="214"/>
      <c r="S723" s="214"/>
      <c r="T723" s="214"/>
      <c r="U723" s="214"/>
      <c r="V723" s="214"/>
      <c r="W723" s="214"/>
      <c r="X723" s="214"/>
      <c r="Y723" s="261"/>
      <c r="Z723" s="262"/>
      <c r="AA723" s="262"/>
      <c r="AB723" s="270"/>
      <c r="AC723" s="214"/>
      <c r="AD723" s="214"/>
      <c r="AE723" s="214"/>
      <c r="AF723" s="214"/>
      <c r="AG723" s="214"/>
      <c r="AH723" s="214"/>
      <c r="AI723" s="261"/>
      <c r="AJ723" s="214"/>
      <c r="AK723" s="261"/>
      <c r="AL723" s="261"/>
      <c r="AM723" s="264"/>
      <c r="AN723" s="214"/>
      <c r="AO723" s="271"/>
      <c r="AP723" s="271"/>
      <c r="AQ723" s="271"/>
      <c r="AR723" s="271"/>
      <c r="AS723" s="272"/>
      <c r="AT723" s="272"/>
      <c r="AU723" s="214"/>
      <c r="AV723" s="214"/>
    </row>
    <row r="724" ht="15.75" customHeight="1">
      <c r="A724" s="214"/>
      <c r="B724" s="261"/>
      <c r="C724" s="266"/>
      <c r="D724" s="267"/>
      <c r="E724" s="214"/>
      <c r="F724" s="214"/>
      <c r="G724" s="214"/>
      <c r="H724" s="214"/>
      <c r="I724" s="214"/>
      <c r="J724" s="214"/>
      <c r="K724" s="268"/>
      <c r="L724" s="214"/>
      <c r="M724" s="269"/>
      <c r="N724" s="214"/>
      <c r="O724" s="214"/>
      <c r="P724" s="214"/>
      <c r="Q724" s="214"/>
      <c r="R724" s="214"/>
      <c r="S724" s="214"/>
      <c r="T724" s="214"/>
      <c r="U724" s="214"/>
      <c r="V724" s="214"/>
      <c r="W724" s="214"/>
      <c r="X724" s="214"/>
      <c r="Y724" s="261"/>
      <c r="Z724" s="262"/>
      <c r="AA724" s="262"/>
      <c r="AB724" s="270"/>
      <c r="AC724" s="214"/>
      <c r="AD724" s="214"/>
      <c r="AE724" s="214"/>
      <c r="AF724" s="214"/>
      <c r="AG724" s="214"/>
      <c r="AH724" s="214"/>
      <c r="AI724" s="261"/>
      <c r="AJ724" s="214"/>
      <c r="AK724" s="261"/>
      <c r="AL724" s="261"/>
      <c r="AM724" s="264"/>
      <c r="AN724" s="214"/>
      <c r="AO724" s="271"/>
      <c r="AP724" s="271"/>
      <c r="AQ724" s="271"/>
      <c r="AR724" s="271"/>
      <c r="AS724" s="272"/>
      <c r="AT724" s="272"/>
      <c r="AU724" s="214"/>
      <c r="AV724" s="214"/>
    </row>
    <row r="725" ht="15.75" customHeight="1">
      <c r="A725" s="214"/>
      <c r="B725" s="261"/>
      <c r="C725" s="266"/>
      <c r="D725" s="267"/>
      <c r="E725" s="214"/>
      <c r="F725" s="214"/>
      <c r="G725" s="214"/>
      <c r="H725" s="214"/>
      <c r="I725" s="214"/>
      <c r="J725" s="214"/>
      <c r="K725" s="268"/>
      <c r="L725" s="214"/>
      <c r="M725" s="269"/>
      <c r="N725" s="214"/>
      <c r="O725" s="214"/>
      <c r="P725" s="214"/>
      <c r="Q725" s="214"/>
      <c r="R725" s="214"/>
      <c r="S725" s="214"/>
      <c r="T725" s="214"/>
      <c r="U725" s="214"/>
      <c r="V725" s="214"/>
      <c r="W725" s="214"/>
      <c r="X725" s="214"/>
      <c r="Y725" s="261"/>
      <c r="Z725" s="262"/>
      <c r="AA725" s="262"/>
      <c r="AB725" s="270"/>
      <c r="AC725" s="214"/>
      <c r="AD725" s="214"/>
      <c r="AE725" s="214"/>
      <c r="AF725" s="214"/>
      <c r="AG725" s="214"/>
      <c r="AH725" s="214"/>
      <c r="AI725" s="261"/>
      <c r="AJ725" s="214"/>
      <c r="AK725" s="261"/>
      <c r="AL725" s="261"/>
      <c r="AM725" s="264"/>
      <c r="AN725" s="214"/>
      <c r="AO725" s="271"/>
      <c r="AP725" s="271"/>
      <c r="AQ725" s="271"/>
      <c r="AR725" s="271"/>
      <c r="AS725" s="272"/>
      <c r="AT725" s="272"/>
      <c r="AU725" s="214"/>
      <c r="AV725" s="214"/>
    </row>
    <row r="726" ht="15.75" customHeight="1">
      <c r="A726" s="214"/>
      <c r="B726" s="261"/>
      <c r="C726" s="266"/>
      <c r="D726" s="267"/>
      <c r="E726" s="214"/>
      <c r="F726" s="214"/>
      <c r="G726" s="214"/>
      <c r="H726" s="214"/>
      <c r="I726" s="214"/>
      <c r="J726" s="214"/>
      <c r="K726" s="268"/>
      <c r="L726" s="214"/>
      <c r="M726" s="269"/>
      <c r="N726" s="214"/>
      <c r="O726" s="214"/>
      <c r="P726" s="214"/>
      <c r="Q726" s="214"/>
      <c r="R726" s="214"/>
      <c r="S726" s="214"/>
      <c r="T726" s="214"/>
      <c r="U726" s="214"/>
      <c r="V726" s="214"/>
      <c r="W726" s="214"/>
      <c r="X726" s="214"/>
      <c r="Y726" s="261"/>
      <c r="Z726" s="262"/>
      <c r="AA726" s="262"/>
      <c r="AB726" s="270"/>
      <c r="AC726" s="214"/>
      <c r="AD726" s="214"/>
      <c r="AE726" s="214"/>
      <c r="AF726" s="214"/>
      <c r="AG726" s="214"/>
      <c r="AH726" s="214"/>
      <c r="AI726" s="261"/>
      <c r="AJ726" s="214"/>
      <c r="AK726" s="261"/>
      <c r="AL726" s="261"/>
      <c r="AM726" s="264"/>
      <c r="AN726" s="214"/>
      <c r="AO726" s="271"/>
      <c r="AP726" s="271"/>
      <c r="AQ726" s="271"/>
      <c r="AR726" s="271"/>
      <c r="AS726" s="272"/>
      <c r="AT726" s="272"/>
      <c r="AU726" s="214"/>
      <c r="AV726" s="214"/>
    </row>
    <row r="727" ht="15.75" customHeight="1">
      <c r="A727" s="214"/>
      <c r="B727" s="261"/>
      <c r="C727" s="266"/>
      <c r="D727" s="267"/>
      <c r="E727" s="214"/>
      <c r="F727" s="214"/>
      <c r="G727" s="214"/>
      <c r="H727" s="214"/>
      <c r="I727" s="214"/>
      <c r="J727" s="214"/>
      <c r="K727" s="268"/>
      <c r="L727" s="214"/>
      <c r="M727" s="269"/>
      <c r="N727" s="214"/>
      <c r="O727" s="214"/>
      <c r="P727" s="214"/>
      <c r="Q727" s="214"/>
      <c r="R727" s="214"/>
      <c r="S727" s="214"/>
      <c r="T727" s="214"/>
      <c r="U727" s="214"/>
      <c r="V727" s="214"/>
      <c r="W727" s="214"/>
      <c r="X727" s="214"/>
      <c r="Y727" s="261"/>
      <c r="Z727" s="262"/>
      <c r="AA727" s="262"/>
      <c r="AB727" s="270"/>
      <c r="AC727" s="214"/>
      <c r="AD727" s="214"/>
      <c r="AE727" s="214"/>
      <c r="AF727" s="214"/>
      <c r="AG727" s="214"/>
      <c r="AH727" s="214"/>
      <c r="AI727" s="261"/>
      <c r="AJ727" s="214"/>
      <c r="AK727" s="261"/>
      <c r="AL727" s="261"/>
      <c r="AM727" s="264"/>
      <c r="AN727" s="214"/>
      <c r="AO727" s="271"/>
      <c r="AP727" s="271"/>
      <c r="AQ727" s="271"/>
      <c r="AR727" s="271"/>
      <c r="AS727" s="272"/>
      <c r="AT727" s="272"/>
      <c r="AU727" s="214"/>
      <c r="AV727" s="214"/>
    </row>
    <row r="728" ht="15.75" customHeight="1">
      <c r="A728" s="214"/>
      <c r="B728" s="261"/>
      <c r="C728" s="266"/>
      <c r="D728" s="267"/>
      <c r="E728" s="214"/>
      <c r="F728" s="214"/>
      <c r="G728" s="214"/>
      <c r="H728" s="214"/>
      <c r="I728" s="214"/>
      <c r="J728" s="214"/>
      <c r="K728" s="268"/>
      <c r="L728" s="214"/>
      <c r="M728" s="269"/>
      <c r="N728" s="214"/>
      <c r="O728" s="214"/>
      <c r="P728" s="214"/>
      <c r="Q728" s="214"/>
      <c r="R728" s="214"/>
      <c r="S728" s="214"/>
      <c r="T728" s="214"/>
      <c r="U728" s="214"/>
      <c r="V728" s="214"/>
      <c r="W728" s="214"/>
      <c r="X728" s="214"/>
      <c r="Y728" s="261"/>
      <c r="Z728" s="262"/>
      <c r="AA728" s="262"/>
      <c r="AB728" s="270"/>
      <c r="AC728" s="214"/>
      <c r="AD728" s="214"/>
      <c r="AE728" s="214"/>
      <c r="AF728" s="214"/>
      <c r="AG728" s="214"/>
      <c r="AH728" s="214"/>
      <c r="AI728" s="261"/>
      <c r="AJ728" s="214"/>
      <c r="AK728" s="261"/>
      <c r="AL728" s="261"/>
      <c r="AM728" s="264"/>
      <c r="AN728" s="214"/>
      <c r="AO728" s="271"/>
      <c r="AP728" s="271"/>
      <c r="AQ728" s="271"/>
      <c r="AR728" s="271"/>
      <c r="AS728" s="272"/>
      <c r="AT728" s="272"/>
      <c r="AU728" s="214"/>
      <c r="AV728" s="214"/>
    </row>
    <row r="729" ht="15.75" customHeight="1">
      <c r="A729" s="214"/>
      <c r="B729" s="261"/>
      <c r="C729" s="266"/>
      <c r="D729" s="267"/>
      <c r="E729" s="214"/>
      <c r="F729" s="214"/>
      <c r="G729" s="214"/>
      <c r="H729" s="214"/>
      <c r="I729" s="214"/>
      <c r="J729" s="214"/>
      <c r="K729" s="268"/>
      <c r="L729" s="214"/>
      <c r="M729" s="269"/>
      <c r="N729" s="214"/>
      <c r="O729" s="214"/>
      <c r="P729" s="214"/>
      <c r="Q729" s="214"/>
      <c r="R729" s="214"/>
      <c r="S729" s="214"/>
      <c r="T729" s="214"/>
      <c r="U729" s="214"/>
      <c r="V729" s="214"/>
      <c r="W729" s="214"/>
      <c r="X729" s="214"/>
      <c r="Y729" s="261"/>
      <c r="Z729" s="262"/>
      <c r="AA729" s="262"/>
      <c r="AB729" s="270"/>
      <c r="AC729" s="214"/>
      <c r="AD729" s="214"/>
      <c r="AE729" s="214"/>
      <c r="AF729" s="214"/>
      <c r="AG729" s="214"/>
      <c r="AH729" s="214"/>
      <c r="AI729" s="261"/>
      <c r="AJ729" s="214"/>
      <c r="AK729" s="261"/>
      <c r="AL729" s="261"/>
      <c r="AM729" s="264"/>
      <c r="AN729" s="214"/>
      <c r="AO729" s="271"/>
      <c r="AP729" s="271"/>
      <c r="AQ729" s="271"/>
      <c r="AR729" s="271"/>
      <c r="AS729" s="272"/>
      <c r="AT729" s="272"/>
      <c r="AU729" s="214"/>
      <c r="AV729" s="214"/>
    </row>
    <row r="730" ht="15.75" customHeight="1">
      <c r="A730" s="214"/>
      <c r="B730" s="261"/>
      <c r="C730" s="266"/>
      <c r="D730" s="267"/>
      <c r="E730" s="214"/>
      <c r="F730" s="214"/>
      <c r="G730" s="214"/>
      <c r="H730" s="214"/>
      <c r="I730" s="214"/>
      <c r="J730" s="214"/>
      <c r="K730" s="268"/>
      <c r="L730" s="214"/>
      <c r="M730" s="269"/>
      <c r="N730" s="214"/>
      <c r="O730" s="214"/>
      <c r="P730" s="214"/>
      <c r="Q730" s="214"/>
      <c r="R730" s="214"/>
      <c r="S730" s="214"/>
      <c r="T730" s="214"/>
      <c r="U730" s="214"/>
      <c r="V730" s="214"/>
      <c r="W730" s="214"/>
      <c r="X730" s="214"/>
      <c r="Y730" s="261"/>
      <c r="Z730" s="262"/>
      <c r="AA730" s="262"/>
      <c r="AB730" s="270"/>
      <c r="AC730" s="214"/>
      <c r="AD730" s="214"/>
      <c r="AE730" s="214"/>
      <c r="AF730" s="214"/>
      <c r="AG730" s="214"/>
      <c r="AH730" s="214"/>
      <c r="AI730" s="261"/>
      <c r="AJ730" s="214"/>
      <c r="AK730" s="261"/>
      <c r="AL730" s="261"/>
      <c r="AM730" s="264"/>
      <c r="AN730" s="214"/>
      <c r="AO730" s="271"/>
      <c r="AP730" s="271"/>
      <c r="AQ730" s="271"/>
      <c r="AR730" s="271"/>
      <c r="AS730" s="272"/>
      <c r="AT730" s="272"/>
      <c r="AU730" s="214"/>
      <c r="AV730" s="214"/>
    </row>
    <row r="731" ht="15.75" customHeight="1">
      <c r="A731" s="214"/>
      <c r="B731" s="261"/>
      <c r="C731" s="266"/>
      <c r="D731" s="267"/>
      <c r="E731" s="214"/>
      <c r="F731" s="214"/>
      <c r="G731" s="214"/>
      <c r="H731" s="214"/>
      <c r="I731" s="214"/>
      <c r="J731" s="214"/>
      <c r="K731" s="268"/>
      <c r="L731" s="214"/>
      <c r="M731" s="269"/>
      <c r="N731" s="214"/>
      <c r="O731" s="214"/>
      <c r="P731" s="214"/>
      <c r="Q731" s="214"/>
      <c r="R731" s="214"/>
      <c r="S731" s="214"/>
      <c r="T731" s="214"/>
      <c r="U731" s="214"/>
      <c r="V731" s="214"/>
      <c r="W731" s="214"/>
      <c r="X731" s="214"/>
      <c r="Y731" s="261"/>
      <c r="Z731" s="262"/>
      <c r="AA731" s="262"/>
      <c r="AB731" s="270"/>
      <c r="AC731" s="214"/>
      <c r="AD731" s="214"/>
      <c r="AE731" s="214"/>
      <c r="AF731" s="214"/>
      <c r="AG731" s="214"/>
      <c r="AH731" s="214"/>
      <c r="AI731" s="261"/>
      <c r="AJ731" s="214"/>
      <c r="AK731" s="261"/>
      <c r="AL731" s="261"/>
      <c r="AM731" s="264"/>
      <c r="AN731" s="214"/>
      <c r="AO731" s="271"/>
      <c r="AP731" s="271"/>
      <c r="AQ731" s="271"/>
      <c r="AR731" s="271"/>
      <c r="AS731" s="272"/>
      <c r="AT731" s="272"/>
      <c r="AU731" s="214"/>
      <c r="AV731" s="214"/>
    </row>
    <row r="732" ht="15.75" customHeight="1">
      <c r="A732" s="214"/>
      <c r="B732" s="261"/>
      <c r="C732" s="266"/>
      <c r="D732" s="267"/>
      <c r="E732" s="214"/>
      <c r="F732" s="214"/>
      <c r="G732" s="214"/>
      <c r="H732" s="214"/>
      <c r="I732" s="214"/>
      <c r="J732" s="214"/>
      <c r="K732" s="268"/>
      <c r="L732" s="214"/>
      <c r="M732" s="269"/>
      <c r="N732" s="214"/>
      <c r="O732" s="214"/>
      <c r="P732" s="214"/>
      <c r="Q732" s="214"/>
      <c r="R732" s="214"/>
      <c r="S732" s="214"/>
      <c r="T732" s="214"/>
      <c r="U732" s="214"/>
      <c r="V732" s="214"/>
      <c r="W732" s="214"/>
      <c r="X732" s="214"/>
      <c r="Y732" s="261"/>
      <c r="Z732" s="262"/>
      <c r="AA732" s="262"/>
      <c r="AB732" s="270"/>
      <c r="AC732" s="214"/>
      <c r="AD732" s="214"/>
      <c r="AE732" s="214"/>
      <c r="AF732" s="214"/>
      <c r="AG732" s="214"/>
      <c r="AH732" s="214"/>
      <c r="AI732" s="261"/>
      <c r="AJ732" s="214"/>
      <c r="AK732" s="261"/>
      <c r="AL732" s="261"/>
      <c r="AM732" s="264"/>
      <c r="AN732" s="214"/>
      <c r="AO732" s="271"/>
      <c r="AP732" s="271"/>
      <c r="AQ732" s="271"/>
      <c r="AR732" s="271"/>
      <c r="AS732" s="272"/>
      <c r="AT732" s="272"/>
      <c r="AU732" s="214"/>
      <c r="AV732" s="214"/>
    </row>
    <row r="733" ht="15.75" customHeight="1">
      <c r="A733" s="214"/>
      <c r="B733" s="261"/>
      <c r="C733" s="266"/>
      <c r="D733" s="267"/>
      <c r="E733" s="214"/>
      <c r="F733" s="214"/>
      <c r="G733" s="214"/>
      <c r="H733" s="214"/>
      <c r="I733" s="214"/>
      <c r="J733" s="214"/>
      <c r="K733" s="268"/>
      <c r="L733" s="214"/>
      <c r="M733" s="269"/>
      <c r="N733" s="214"/>
      <c r="O733" s="214"/>
      <c r="P733" s="214"/>
      <c r="Q733" s="214"/>
      <c r="R733" s="214"/>
      <c r="S733" s="214"/>
      <c r="T733" s="214"/>
      <c r="U733" s="214"/>
      <c r="V733" s="214"/>
      <c r="W733" s="214"/>
      <c r="X733" s="214"/>
      <c r="Y733" s="261"/>
      <c r="Z733" s="262"/>
      <c r="AA733" s="262"/>
      <c r="AB733" s="270"/>
      <c r="AC733" s="214"/>
      <c r="AD733" s="214"/>
      <c r="AE733" s="214"/>
      <c r="AF733" s="214"/>
      <c r="AG733" s="214"/>
      <c r="AH733" s="214"/>
      <c r="AI733" s="261"/>
      <c r="AJ733" s="214"/>
      <c r="AK733" s="261"/>
      <c r="AL733" s="261"/>
      <c r="AM733" s="264"/>
      <c r="AN733" s="214"/>
      <c r="AO733" s="271"/>
      <c r="AP733" s="271"/>
      <c r="AQ733" s="271"/>
      <c r="AR733" s="271"/>
      <c r="AS733" s="272"/>
      <c r="AT733" s="272"/>
      <c r="AU733" s="214"/>
      <c r="AV733" s="214"/>
    </row>
    <row r="734" ht="15.75" customHeight="1">
      <c r="A734" s="214"/>
      <c r="B734" s="261"/>
      <c r="C734" s="266"/>
      <c r="D734" s="267"/>
      <c r="E734" s="214"/>
      <c r="F734" s="214"/>
      <c r="G734" s="214"/>
      <c r="H734" s="214"/>
      <c r="I734" s="214"/>
      <c r="J734" s="214"/>
      <c r="K734" s="268"/>
      <c r="L734" s="214"/>
      <c r="M734" s="269"/>
      <c r="N734" s="214"/>
      <c r="O734" s="214"/>
      <c r="P734" s="214"/>
      <c r="Q734" s="214"/>
      <c r="R734" s="214"/>
      <c r="S734" s="214"/>
      <c r="T734" s="214"/>
      <c r="U734" s="214"/>
      <c r="V734" s="214"/>
      <c r="W734" s="214"/>
      <c r="X734" s="214"/>
      <c r="Y734" s="261"/>
      <c r="Z734" s="262"/>
      <c r="AA734" s="262"/>
      <c r="AB734" s="270"/>
      <c r="AC734" s="214"/>
      <c r="AD734" s="214"/>
      <c r="AE734" s="214"/>
      <c r="AF734" s="214"/>
      <c r="AG734" s="214"/>
      <c r="AH734" s="214"/>
      <c r="AI734" s="261"/>
      <c r="AJ734" s="214"/>
      <c r="AK734" s="261"/>
      <c r="AL734" s="261"/>
      <c r="AM734" s="264"/>
      <c r="AN734" s="214"/>
      <c r="AO734" s="271"/>
      <c r="AP734" s="271"/>
      <c r="AQ734" s="271"/>
      <c r="AR734" s="271"/>
      <c r="AS734" s="272"/>
      <c r="AT734" s="272"/>
      <c r="AU734" s="214"/>
      <c r="AV734" s="214"/>
    </row>
    <row r="735" ht="15.75" customHeight="1">
      <c r="A735" s="214"/>
      <c r="B735" s="261"/>
      <c r="C735" s="266"/>
      <c r="D735" s="267"/>
      <c r="E735" s="214"/>
      <c r="F735" s="214"/>
      <c r="G735" s="214"/>
      <c r="H735" s="214"/>
      <c r="I735" s="214"/>
      <c r="J735" s="214"/>
      <c r="K735" s="268"/>
      <c r="L735" s="214"/>
      <c r="M735" s="269"/>
      <c r="N735" s="214"/>
      <c r="O735" s="214"/>
      <c r="P735" s="214"/>
      <c r="Q735" s="214"/>
      <c r="R735" s="214"/>
      <c r="S735" s="214"/>
      <c r="T735" s="214"/>
      <c r="U735" s="214"/>
      <c r="V735" s="214"/>
      <c r="W735" s="214"/>
      <c r="X735" s="214"/>
      <c r="Y735" s="261"/>
      <c r="Z735" s="262"/>
      <c r="AA735" s="262"/>
      <c r="AB735" s="270"/>
      <c r="AC735" s="214"/>
      <c r="AD735" s="214"/>
      <c r="AE735" s="214"/>
      <c r="AF735" s="214"/>
      <c r="AG735" s="214"/>
      <c r="AH735" s="214"/>
      <c r="AI735" s="261"/>
      <c r="AJ735" s="214"/>
      <c r="AK735" s="261"/>
      <c r="AL735" s="261"/>
      <c r="AM735" s="264"/>
      <c r="AN735" s="214"/>
      <c r="AO735" s="271"/>
      <c r="AP735" s="271"/>
      <c r="AQ735" s="271"/>
      <c r="AR735" s="271"/>
      <c r="AS735" s="272"/>
      <c r="AT735" s="272"/>
      <c r="AU735" s="214"/>
      <c r="AV735" s="214"/>
    </row>
    <row r="736" ht="15.75" customHeight="1">
      <c r="A736" s="214"/>
      <c r="B736" s="261"/>
      <c r="C736" s="266"/>
      <c r="D736" s="267"/>
      <c r="E736" s="214"/>
      <c r="F736" s="214"/>
      <c r="G736" s="214"/>
      <c r="H736" s="214"/>
      <c r="I736" s="214"/>
      <c r="J736" s="214"/>
      <c r="K736" s="268"/>
      <c r="L736" s="214"/>
      <c r="M736" s="269"/>
      <c r="N736" s="214"/>
      <c r="O736" s="214"/>
      <c r="P736" s="214"/>
      <c r="Q736" s="214"/>
      <c r="R736" s="214"/>
      <c r="S736" s="214"/>
      <c r="T736" s="214"/>
      <c r="U736" s="214"/>
      <c r="V736" s="214"/>
      <c r="W736" s="214"/>
      <c r="X736" s="214"/>
      <c r="Y736" s="261"/>
      <c r="Z736" s="262"/>
      <c r="AA736" s="262"/>
      <c r="AB736" s="270"/>
      <c r="AC736" s="214"/>
      <c r="AD736" s="214"/>
      <c r="AE736" s="214"/>
      <c r="AF736" s="214"/>
      <c r="AG736" s="214"/>
      <c r="AH736" s="214"/>
      <c r="AI736" s="261"/>
      <c r="AJ736" s="214"/>
      <c r="AK736" s="261"/>
      <c r="AL736" s="261"/>
      <c r="AM736" s="264"/>
      <c r="AN736" s="214"/>
      <c r="AO736" s="271"/>
      <c r="AP736" s="271"/>
      <c r="AQ736" s="271"/>
      <c r="AR736" s="271"/>
      <c r="AS736" s="272"/>
      <c r="AT736" s="272"/>
      <c r="AU736" s="214"/>
      <c r="AV736" s="214"/>
    </row>
    <row r="737" ht="15.75" customHeight="1">
      <c r="A737" s="214"/>
      <c r="B737" s="261"/>
      <c r="C737" s="266"/>
      <c r="D737" s="267"/>
      <c r="E737" s="214"/>
      <c r="F737" s="214"/>
      <c r="G737" s="214"/>
      <c r="H737" s="214"/>
      <c r="I737" s="214"/>
      <c r="J737" s="214"/>
      <c r="K737" s="268"/>
      <c r="L737" s="214"/>
      <c r="M737" s="269"/>
      <c r="N737" s="214"/>
      <c r="O737" s="214"/>
      <c r="P737" s="214"/>
      <c r="Q737" s="214"/>
      <c r="R737" s="214"/>
      <c r="S737" s="214"/>
      <c r="T737" s="214"/>
      <c r="U737" s="214"/>
      <c r="V737" s="214"/>
      <c r="W737" s="214"/>
      <c r="X737" s="214"/>
      <c r="Y737" s="261"/>
      <c r="Z737" s="262"/>
      <c r="AA737" s="262"/>
      <c r="AB737" s="270"/>
      <c r="AC737" s="214"/>
      <c r="AD737" s="214"/>
      <c r="AE737" s="214"/>
      <c r="AF737" s="214"/>
      <c r="AG737" s="214"/>
      <c r="AH737" s="214"/>
      <c r="AI737" s="261"/>
      <c r="AJ737" s="214"/>
      <c r="AK737" s="261"/>
      <c r="AL737" s="261"/>
      <c r="AM737" s="264"/>
      <c r="AN737" s="214"/>
      <c r="AO737" s="271"/>
      <c r="AP737" s="271"/>
      <c r="AQ737" s="271"/>
      <c r="AR737" s="271"/>
      <c r="AS737" s="272"/>
      <c r="AT737" s="272"/>
      <c r="AU737" s="214"/>
      <c r="AV737" s="214"/>
    </row>
    <row r="738" ht="15.75" customHeight="1">
      <c r="A738" s="214"/>
      <c r="B738" s="261"/>
      <c r="C738" s="266"/>
      <c r="D738" s="267"/>
      <c r="E738" s="214"/>
      <c r="F738" s="214"/>
      <c r="G738" s="214"/>
      <c r="H738" s="214"/>
      <c r="I738" s="214"/>
      <c r="J738" s="214"/>
      <c r="K738" s="268"/>
      <c r="L738" s="214"/>
      <c r="M738" s="269"/>
      <c r="N738" s="214"/>
      <c r="O738" s="214"/>
      <c r="P738" s="214"/>
      <c r="Q738" s="214"/>
      <c r="R738" s="214"/>
      <c r="S738" s="214"/>
      <c r="T738" s="214"/>
      <c r="U738" s="214"/>
      <c r="V738" s="214"/>
      <c r="W738" s="214"/>
      <c r="X738" s="214"/>
      <c r="Y738" s="261"/>
      <c r="Z738" s="262"/>
      <c r="AA738" s="262"/>
      <c r="AB738" s="270"/>
      <c r="AC738" s="214"/>
      <c r="AD738" s="214"/>
      <c r="AE738" s="214"/>
      <c r="AF738" s="214"/>
      <c r="AG738" s="214"/>
      <c r="AH738" s="214"/>
      <c r="AI738" s="261"/>
      <c r="AJ738" s="214"/>
      <c r="AK738" s="261"/>
      <c r="AL738" s="261"/>
      <c r="AM738" s="264"/>
      <c r="AN738" s="214"/>
      <c r="AO738" s="271"/>
      <c r="AP738" s="271"/>
      <c r="AQ738" s="271"/>
      <c r="AR738" s="271"/>
      <c r="AS738" s="272"/>
      <c r="AT738" s="272"/>
      <c r="AU738" s="214"/>
      <c r="AV738" s="214"/>
    </row>
    <row r="739" ht="15.75" customHeight="1">
      <c r="A739" s="214"/>
      <c r="B739" s="261"/>
      <c r="C739" s="266"/>
      <c r="D739" s="267"/>
      <c r="E739" s="214"/>
      <c r="F739" s="214"/>
      <c r="G739" s="214"/>
      <c r="H739" s="214"/>
      <c r="I739" s="214"/>
      <c r="J739" s="214"/>
      <c r="K739" s="268"/>
      <c r="L739" s="214"/>
      <c r="M739" s="269"/>
      <c r="N739" s="214"/>
      <c r="O739" s="214"/>
      <c r="P739" s="214"/>
      <c r="Q739" s="214"/>
      <c r="R739" s="214"/>
      <c r="S739" s="214"/>
      <c r="T739" s="214"/>
      <c r="U739" s="214"/>
      <c r="V739" s="214"/>
      <c r="W739" s="214"/>
      <c r="X739" s="214"/>
      <c r="Y739" s="261"/>
      <c r="Z739" s="262"/>
      <c r="AA739" s="262"/>
      <c r="AB739" s="270"/>
      <c r="AC739" s="214"/>
      <c r="AD739" s="214"/>
      <c r="AE739" s="214"/>
      <c r="AF739" s="214"/>
      <c r="AG739" s="214"/>
      <c r="AH739" s="214"/>
      <c r="AI739" s="261"/>
      <c r="AJ739" s="214"/>
      <c r="AK739" s="261"/>
      <c r="AL739" s="261"/>
      <c r="AM739" s="264"/>
      <c r="AN739" s="214"/>
      <c r="AO739" s="271"/>
      <c r="AP739" s="271"/>
      <c r="AQ739" s="271"/>
      <c r="AR739" s="271"/>
      <c r="AS739" s="272"/>
      <c r="AT739" s="272"/>
      <c r="AU739" s="214"/>
      <c r="AV739" s="214"/>
    </row>
    <row r="740" ht="15.75" customHeight="1">
      <c r="A740" s="214"/>
      <c r="B740" s="261"/>
      <c r="C740" s="266"/>
      <c r="D740" s="267"/>
      <c r="E740" s="214"/>
      <c r="F740" s="214"/>
      <c r="G740" s="214"/>
      <c r="H740" s="214"/>
      <c r="I740" s="214"/>
      <c r="J740" s="214"/>
      <c r="K740" s="268"/>
      <c r="L740" s="214"/>
      <c r="M740" s="269"/>
      <c r="N740" s="214"/>
      <c r="O740" s="214"/>
      <c r="P740" s="214"/>
      <c r="Q740" s="214"/>
      <c r="R740" s="214"/>
      <c r="S740" s="214"/>
      <c r="T740" s="214"/>
      <c r="U740" s="214"/>
      <c r="V740" s="214"/>
      <c r="W740" s="214"/>
      <c r="X740" s="214"/>
      <c r="Y740" s="261"/>
      <c r="Z740" s="262"/>
      <c r="AA740" s="262"/>
      <c r="AB740" s="270"/>
      <c r="AC740" s="214"/>
      <c r="AD740" s="214"/>
      <c r="AE740" s="214"/>
      <c r="AF740" s="214"/>
      <c r="AG740" s="214"/>
      <c r="AH740" s="214"/>
      <c r="AI740" s="261"/>
      <c r="AJ740" s="214"/>
      <c r="AK740" s="261"/>
      <c r="AL740" s="261"/>
      <c r="AM740" s="264"/>
      <c r="AN740" s="214"/>
      <c r="AO740" s="271"/>
      <c r="AP740" s="271"/>
      <c r="AQ740" s="271"/>
      <c r="AR740" s="271"/>
      <c r="AS740" s="272"/>
      <c r="AT740" s="272"/>
      <c r="AU740" s="214"/>
      <c r="AV740" s="214"/>
    </row>
    <row r="741" ht="15.75" customHeight="1">
      <c r="A741" s="214"/>
      <c r="B741" s="261"/>
      <c r="C741" s="266"/>
      <c r="D741" s="267"/>
      <c r="E741" s="214"/>
      <c r="F741" s="214"/>
      <c r="G741" s="214"/>
      <c r="H741" s="214"/>
      <c r="I741" s="214"/>
      <c r="J741" s="214"/>
      <c r="K741" s="268"/>
      <c r="L741" s="214"/>
      <c r="M741" s="269"/>
      <c r="N741" s="214"/>
      <c r="O741" s="214"/>
      <c r="P741" s="214"/>
      <c r="Q741" s="214"/>
      <c r="R741" s="214"/>
      <c r="S741" s="214"/>
      <c r="T741" s="214"/>
      <c r="U741" s="214"/>
      <c r="V741" s="214"/>
      <c r="W741" s="214"/>
      <c r="X741" s="214"/>
      <c r="Y741" s="261"/>
      <c r="Z741" s="262"/>
      <c r="AA741" s="262"/>
      <c r="AB741" s="270"/>
      <c r="AC741" s="214"/>
      <c r="AD741" s="214"/>
      <c r="AE741" s="214"/>
      <c r="AF741" s="214"/>
      <c r="AG741" s="214"/>
      <c r="AH741" s="214"/>
      <c r="AI741" s="261"/>
      <c r="AJ741" s="214"/>
      <c r="AK741" s="261"/>
      <c r="AL741" s="261"/>
      <c r="AM741" s="264"/>
      <c r="AN741" s="214"/>
      <c r="AO741" s="271"/>
      <c r="AP741" s="271"/>
      <c r="AQ741" s="271"/>
      <c r="AR741" s="271"/>
      <c r="AS741" s="272"/>
      <c r="AT741" s="272"/>
      <c r="AU741" s="214"/>
      <c r="AV741" s="214"/>
    </row>
    <row r="742" ht="15.75" customHeight="1">
      <c r="A742" s="214"/>
      <c r="B742" s="261"/>
      <c r="C742" s="266"/>
      <c r="D742" s="267"/>
      <c r="E742" s="214"/>
      <c r="F742" s="214"/>
      <c r="G742" s="214"/>
      <c r="H742" s="214"/>
      <c r="I742" s="214"/>
      <c r="J742" s="214"/>
      <c r="K742" s="268"/>
      <c r="L742" s="214"/>
      <c r="M742" s="269"/>
      <c r="N742" s="214"/>
      <c r="O742" s="214"/>
      <c r="P742" s="214"/>
      <c r="Q742" s="214"/>
      <c r="R742" s="214"/>
      <c r="S742" s="214"/>
      <c r="T742" s="214"/>
      <c r="U742" s="214"/>
      <c r="V742" s="214"/>
      <c r="W742" s="214"/>
      <c r="X742" s="214"/>
      <c r="Y742" s="261"/>
      <c r="Z742" s="262"/>
      <c r="AA742" s="262"/>
      <c r="AB742" s="270"/>
      <c r="AC742" s="214"/>
      <c r="AD742" s="214"/>
      <c r="AE742" s="214"/>
      <c r="AF742" s="214"/>
      <c r="AG742" s="214"/>
      <c r="AH742" s="214"/>
      <c r="AI742" s="261"/>
      <c r="AJ742" s="214"/>
      <c r="AK742" s="261"/>
      <c r="AL742" s="261"/>
      <c r="AM742" s="264"/>
      <c r="AN742" s="214"/>
      <c r="AO742" s="271"/>
      <c r="AP742" s="271"/>
      <c r="AQ742" s="271"/>
      <c r="AR742" s="271"/>
      <c r="AS742" s="272"/>
      <c r="AT742" s="272"/>
      <c r="AU742" s="214"/>
      <c r="AV742" s="214"/>
    </row>
    <row r="743" ht="15.75" customHeight="1">
      <c r="A743" s="214"/>
      <c r="B743" s="261"/>
      <c r="C743" s="266"/>
      <c r="D743" s="267"/>
      <c r="E743" s="214"/>
      <c r="F743" s="214"/>
      <c r="G743" s="214"/>
      <c r="H743" s="214"/>
      <c r="I743" s="214"/>
      <c r="J743" s="214"/>
      <c r="K743" s="268"/>
      <c r="L743" s="214"/>
      <c r="M743" s="269"/>
      <c r="N743" s="214"/>
      <c r="O743" s="214"/>
      <c r="P743" s="214"/>
      <c r="Q743" s="214"/>
      <c r="R743" s="214"/>
      <c r="S743" s="214"/>
      <c r="T743" s="214"/>
      <c r="U743" s="214"/>
      <c r="V743" s="214"/>
      <c r="W743" s="214"/>
      <c r="X743" s="214"/>
      <c r="Y743" s="261"/>
      <c r="Z743" s="262"/>
      <c r="AA743" s="262"/>
      <c r="AB743" s="270"/>
      <c r="AC743" s="214"/>
      <c r="AD743" s="214"/>
      <c r="AE743" s="214"/>
      <c r="AF743" s="214"/>
      <c r="AG743" s="214"/>
      <c r="AH743" s="214"/>
      <c r="AI743" s="261"/>
      <c r="AJ743" s="214"/>
      <c r="AK743" s="261"/>
      <c r="AL743" s="261"/>
      <c r="AM743" s="264"/>
      <c r="AN743" s="214"/>
      <c r="AO743" s="271"/>
      <c r="AP743" s="271"/>
      <c r="AQ743" s="271"/>
      <c r="AR743" s="271"/>
      <c r="AS743" s="272"/>
      <c r="AT743" s="272"/>
      <c r="AU743" s="214"/>
      <c r="AV743" s="214"/>
    </row>
    <row r="744" ht="15.75" customHeight="1">
      <c r="A744" s="214"/>
      <c r="B744" s="261"/>
      <c r="C744" s="266"/>
      <c r="D744" s="267"/>
      <c r="E744" s="214"/>
      <c r="F744" s="214"/>
      <c r="G744" s="214"/>
      <c r="H744" s="214"/>
      <c r="I744" s="214"/>
      <c r="J744" s="214"/>
      <c r="K744" s="268"/>
      <c r="L744" s="214"/>
      <c r="M744" s="269"/>
      <c r="N744" s="214"/>
      <c r="O744" s="214"/>
      <c r="P744" s="214"/>
      <c r="Q744" s="214"/>
      <c r="R744" s="214"/>
      <c r="S744" s="214"/>
      <c r="T744" s="214"/>
      <c r="U744" s="214"/>
      <c r="V744" s="214"/>
      <c r="W744" s="214"/>
      <c r="X744" s="214"/>
      <c r="Y744" s="261"/>
      <c r="Z744" s="262"/>
      <c r="AA744" s="262"/>
      <c r="AB744" s="270"/>
      <c r="AC744" s="214"/>
      <c r="AD744" s="214"/>
      <c r="AE744" s="214"/>
      <c r="AF744" s="214"/>
      <c r="AG744" s="214"/>
      <c r="AH744" s="214"/>
      <c r="AI744" s="261"/>
      <c r="AJ744" s="214"/>
      <c r="AK744" s="261"/>
      <c r="AL744" s="261"/>
      <c r="AM744" s="264"/>
      <c r="AN744" s="214"/>
      <c r="AO744" s="271"/>
      <c r="AP744" s="271"/>
      <c r="AQ744" s="271"/>
      <c r="AR744" s="271"/>
      <c r="AS744" s="272"/>
      <c r="AT744" s="272"/>
      <c r="AU744" s="214"/>
      <c r="AV744" s="214"/>
    </row>
    <row r="745" ht="15.75" customHeight="1">
      <c r="A745" s="214"/>
      <c r="B745" s="261"/>
      <c r="C745" s="266"/>
      <c r="D745" s="267"/>
      <c r="E745" s="214"/>
      <c r="F745" s="214"/>
      <c r="G745" s="214"/>
      <c r="H745" s="214"/>
      <c r="I745" s="214"/>
      <c r="J745" s="214"/>
      <c r="K745" s="268"/>
      <c r="L745" s="214"/>
      <c r="M745" s="269"/>
      <c r="N745" s="214"/>
      <c r="O745" s="214"/>
      <c r="P745" s="214"/>
      <c r="Q745" s="214"/>
      <c r="R745" s="214"/>
      <c r="S745" s="214"/>
      <c r="T745" s="214"/>
      <c r="U745" s="214"/>
      <c r="V745" s="214"/>
      <c r="W745" s="214"/>
      <c r="X745" s="214"/>
      <c r="Y745" s="261"/>
      <c r="Z745" s="262"/>
      <c r="AA745" s="262"/>
      <c r="AB745" s="270"/>
      <c r="AC745" s="214"/>
      <c r="AD745" s="214"/>
      <c r="AE745" s="214"/>
      <c r="AF745" s="214"/>
      <c r="AG745" s="214"/>
      <c r="AH745" s="214"/>
      <c r="AI745" s="261"/>
      <c r="AJ745" s="214"/>
      <c r="AK745" s="261"/>
      <c r="AL745" s="261"/>
      <c r="AM745" s="264"/>
      <c r="AN745" s="214"/>
      <c r="AO745" s="271"/>
      <c r="AP745" s="271"/>
      <c r="AQ745" s="271"/>
      <c r="AR745" s="271"/>
      <c r="AS745" s="272"/>
      <c r="AT745" s="272"/>
      <c r="AU745" s="214"/>
      <c r="AV745" s="214"/>
    </row>
    <row r="746" ht="15.75" customHeight="1">
      <c r="A746" s="214"/>
      <c r="B746" s="261"/>
      <c r="C746" s="266"/>
      <c r="D746" s="267"/>
      <c r="E746" s="214"/>
      <c r="F746" s="214"/>
      <c r="G746" s="214"/>
      <c r="H746" s="214"/>
      <c r="I746" s="214"/>
      <c r="J746" s="214"/>
      <c r="K746" s="268"/>
      <c r="L746" s="214"/>
      <c r="M746" s="269"/>
      <c r="N746" s="214"/>
      <c r="O746" s="214"/>
      <c r="P746" s="214"/>
      <c r="Q746" s="214"/>
      <c r="R746" s="214"/>
      <c r="S746" s="214"/>
      <c r="T746" s="214"/>
      <c r="U746" s="214"/>
      <c r="V746" s="214"/>
      <c r="W746" s="214"/>
      <c r="X746" s="214"/>
      <c r="Y746" s="261"/>
      <c r="Z746" s="262"/>
      <c r="AA746" s="262"/>
      <c r="AB746" s="270"/>
      <c r="AC746" s="214"/>
      <c r="AD746" s="214"/>
      <c r="AE746" s="214"/>
      <c r="AF746" s="214"/>
      <c r="AG746" s="214"/>
      <c r="AH746" s="214"/>
      <c r="AI746" s="261"/>
      <c r="AJ746" s="214"/>
      <c r="AK746" s="261"/>
      <c r="AL746" s="261"/>
      <c r="AM746" s="264"/>
      <c r="AN746" s="214"/>
      <c r="AO746" s="271"/>
      <c r="AP746" s="271"/>
      <c r="AQ746" s="271"/>
      <c r="AR746" s="271"/>
      <c r="AS746" s="272"/>
      <c r="AT746" s="272"/>
      <c r="AU746" s="214"/>
      <c r="AV746" s="214"/>
    </row>
    <row r="747" ht="15.75" customHeight="1">
      <c r="A747" s="214"/>
      <c r="B747" s="261"/>
      <c r="C747" s="266"/>
      <c r="D747" s="267"/>
      <c r="E747" s="214"/>
      <c r="F747" s="214"/>
      <c r="G747" s="214"/>
      <c r="H747" s="214"/>
      <c r="I747" s="214"/>
      <c r="J747" s="214"/>
      <c r="K747" s="268"/>
      <c r="L747" s="214"/>
      <c r="M747" s="269"/>
      <c r="N747" s="214"/>
      <c r="O747" s="214"/>
      <c r="P747" s="214"/>
      <c r="Q747" s="214"/>
      <c r="R747" s="214"/>
      <c r="S747" s="214"/>
      <c r="T747" s="214"/>
      <c r="U747" s="214"/>
      <c r="V747" s="214"/>
      <c r="W747" s="214"/>
      <c r="X747" s="214"/>
      <c r="Y747" s="261"/>
      <c r="Z747" s="262"/>
      <c r="AA747" s="262"/>
      <c r="AB747" s="270"/>
      <c r="AC747" s="214"/>
      <c r="AD747" s="214"/>
      <c r="AE747" s="214"/>
      <c r="AF747" s="214"/>
      <c r="AG747" s="214"/>
      <c r="AH747" s="214"/>
      <c r="AI747" s="261"/>
      <c r="AJ747" s="214"/>
      <c r="AK747" s="261"/>
      <c r="AL747" s="261"/>
      <c r="AM747" s="264"/>
      <c r="AN747" s="214"/>
      <c r="AO747" s="271"/>
      <c r="AP747" s="271"/>
      <c r="AQ747" s="271"/>
      <c r="AR747" s="271"/>
      <c r="AS747" s="272"/>
      <c r="AT747" s="272"/>
      <c r="AU747" s="214"/>
      <c r="AV747" s="214"/>
    </row>
    <row r="748" ht="15.75" customHeight="1">
      <c r="A748" s="214"/>
      <c r="B748" s="261"/>
      <c r="C748" s="266"/>
      <c r="D748" s="267"/>
      <c r="E748" s="214"/>
      <c r="F748" s="214"/>
      <c r="G748" s="214"/>
      <c r="H748" s="214"/>
      <c r="I748" s="214"/>
      <c r="J748" s="214"/>
      <c r="K748" s="268"/>
      <c r="L748" s="214"/>
      <c r="M748" s="269"/>
      <c r="N748" s="214"/>
      <c r="O748" s="214"/>
      <c r="P748" s="214"/>
      <c r="Q748" s="214"/>
      <c r="R748" s="214"/>
      <c r="S748" s="214"/>
      <c r="T748" s="214"/>
      <c r="U748" s="214"/>
      <c r="V748" s="214"/>
      <c r="W748" s="214"/>
      <c r="X748" s="214"/>
      <c r="Y748" s="261"/>
      <c r="Z748" s="262"/>
      <c r="AA748" s="262"/>
      <c r="AB748" s="270"/>
      <c r="AC748" s="214"/>
      <c r="AD748" s="214"/>
      <c r="AE748" s="214"/>
      <c r="AF748" s="214"/>
      <c r="AG748" s="214"/>
      <c r="AH748" s="214"/>
      <c r="AI748" s="261"/>
      <c r="AJ748" s="214"/>
      <c r="AK748" s="261"/>
      <c r="AL748" s="261"/>
      <c r="AM748" s="264"/>
      <c r="AN748" s="214"/>
      <c r="AO748" s="271"/>
      <c r="AP748" s="271"/>
      <c r="AQ748" s="271"/>
      <c r="AR748" s="271"/>
      <c r="AS748" s="272"/>
      <c r="AT748" s="272"/>
      <c r="AU748" s="214"/>
      <c r="AV748" s="214"/>
    </row>
    <row r="749" ht="15.75" customHeight="1">
      <c r="A749" s="214"/>
      <c r="B749" s="261"/>
      <c r="C749" s="266"/>
      <c r="D749" s="267"/>
      <c r="E749" s="214"/>
      <c r="F749" s="214"/>
      <c r="G749" s="214"/>
      <c r="H749" s="214"/>
      <c r="I749" s="214"/>
      <c r="J749" s="214"/>
      <c r="K749" s="268"/>
      <c r="L749" s="214"/>
      <c r="M749" s="269"/>
      <c r="N749" s="214"/>
      <c r="O749" s="214"/>
      <c r="P749" s="214"/>
      <c r="Q749" s="214"/>
      <c r="R749" s="214"/>
      <c r="S749" s="214"/>
      <c r="T749" s="214"/>
      <c r="U749" s="214"/>
      <c r="V749" s="214"/>
      <c r="W749" s="214"/>
      <c r="X749" s="214"/>
      <c r="Y749" s="261"/>
      <c r="Z749" s="262"/>
      <c r="AA749" s="262"/>
      <c r="AB749" s="270"/>
      <c r="AC749" s="214"/>
      <c r="AD749" s="214"/>
      <c r="AE749" s="214"/>
      <c r="AF749" s="214"/>
      <c r="AG749" s="214"/>
      <c r="AH749" s="214"/>
      <c r="AI749" s="261"/>
      <c r="AJ749" s="214"/>
      <c r="AK749" s="261"/>
      <c r="AL749" s="261"/>
      <c r="AM749" s="264"/>
      <c r="AN749" s="214"/>
      <c r="AO749" s="271"/>
      <c r="AP749" s="271"/>
      <c r="AQ749" s="271"/>
      <c r="AR749" s="271"/>
      <c r="AS749" s="272"/>
      <c r="AT749" s="272"/>
      <c r="AU749" s="214"/>
      <c r="AV749" s="214"/>
    </row>
    <row r="750" ht="15.75" customHeight="1">
      <c r="A750" s="214"/>
      <c r="B750" s="261"/>
      <c r="C750" s="266"/>
      <c r="D750" s="267"/>
      <c r="E750" s="214"/>
      <c r="F750" s="214"/>
      <c r="G750" s="214"/>
      <c r="H750" s="214"/>
      <c r="I750" s="214"/>
      <c r="J750" s="214"/>
      <c r="K750" s="268"/>
      <c r="L750" s="214"/>
      <c r="M750" s="269"/>
      <c r="N750" s="214"/>
      <c r="O750" s="214"/>
      <c r="P750" s="214"/>
      <c r="Q750" s="214"/>
      <c r="R750" s="214"/>
      <c r="S750" s="214"/>
      <c r="T750" s="214"/>
      <c r="U750" s="214"/>
      <c r="V750" s="214"/>
      <c r="W750" s="214"/>
      <c r="X750" s="214"/>
      <c r="Y750" s="261"/>
      <c r="Z750" s="262"/>
      <c r="AA750" s="262"/>
      <c r="AB750" s="270"/>
      <c r="AC750" s="214"/>
      <c r="AD750" s="214"/>
      <c r="AE750" s="214"/>
      <c r="AF750" s="214"/>
      <c r="AG750" s="214"/>
      <c r="AH750" s="214"/>
      <c r="AI750" s="261"/>
      <c r="AJ750" s="214"/>
      <c r="AK750" s="261"/>
      <c r="AL750" s="261"/>
      <c r="AM750" s="264"/>
      <c r="AN750" s="214"/>
      <c r="AO750" s="271"/>
      <c r="AP750" s="271"/>
      <c r="AQ750" s="271"/>
      <c r="AR750" s="271"/>
      <c r="AS750" s="272"/>
      <c r="AT750" s="272"/>
      <c r="AU750" s="214"/>
      <c r="AV750" s="214"/>
    </row>
    <row r="751" ht="15.75" customHeight="1">
      <c r="A751" s="214"/>
      <c r="B751" s="261"/>
      <c r="C751" s="266"/>
      <c r="D751" s="267"/>
      <c r="E751" s="214"/>
      <c r="F751" s="214"/>
      <c r="G751" s="214"/>
      <c r="H751" s="214"/>
      <c r="I751" s="214"/>
      <c r="J751" s="214"/>
      <c r="K751" s="268"/>
      <c r="L751" s="214"/>
      <c r="M751" s="269"/>
      <c r="N751" s="214"/>
      <c r="O751" s="214"/>
      <c r="P751" s="214"/>
      <c r="Q751" s="214"/>
      <c r="R751" s="214"/>
      <c r="S751" s="214"/>
      <c r="T751" s="214"/>
      <c r="U751" s="214"/>
      <c r="V751" s="214"/>
      <c r="W751" s="214"/>
      <c r="X751" s="214"/>
      <c r="Y751" s="261"/>
      <c r="Z751" s="262"/>
      <c r="AA751" s="262"/>
      <c r="AB751" s="270"/>
      <c r="AC751" s="214"/>
      <c r="AD751" s="214"/>
      <c r="AE751" s="214"/>
      <c r="AF751" s="214"/>
      <c r="AG751" s="214"/>
      <c r="AH751" s="214"/>
      <c r="AI751" s="261"/>
      <c r="AJ751" s="214"/>
      <c r="AK751" s="261"/>
      <c r="AL751" s="261"/>
      <c r="AM751" s="264"/>
      <c r="AN751" s="214"/>
      <c r="AO751" s="271"/>
      <c r="AP751" s="271"/>
      <c r="AQ751" s="271"/>
      <c r="AR751" s="271"/>
      <c r="AS751" s="272"/>
      <c r="AT751" s="272"/>
      <c r="AU751" s="214"/>
      <c r="AV751" s="214"/>
    </row>
    <row r="752" ht="15.75" customHeight="1">
      <c r="A752" s="214"/>
      <c r="B752" s="261"/>
      <c r="C752" s="266"/>
      <c r="D752" s="267"/>
      <c r="E752" s="214"/>
      <c r="F752" s="214"/>
      <c r="G752" s="214"/>
      <c r="H752" s="214"/>
      <c r="I752" s="214"/>
      <c r="J752" s="214"/>
      <c r="K752" s="268"/>
      <c r="L752" s="214"/>
      <c r="M752" s="269"/>
      <c r="N752" s="214"/>
      <c r="O752" s="214"/>
      <c r="P752" s="214"/>
      <c r="Q752" s="214"/>
      <c r="R752" s="214"/>
      <c r="S752" s="214"/>
      <c r="T752" s="214"/>
      <c r="U752" s="214"/>
      <c r="V752" s="214"/>
      <c r="W752" s="214"/>
      <c r="X752" s="214"/>
      <c r="Y752" s="261"/>
      <c r="Z752" s="262"/>
      <c r="AA752" s="262"/>
      <c r="AB752" s="270"/>
      <c r="AC752" s="214"/>
      <c r="AD752" s="214"/>
      <c r="AE752" s="214"/>
      <c r="AF752" s="214"/>
      <c r="AG752" s="214"/>
      <c r="AH752" s="214"/>
      <c r="AI752" s="261"/>
      <c r="AJ752" s="214"/>
      <c r="AK752" s="261"/>
      <c r="AL752" s="261"/>
      <c r="AM752" s="264"/>
      <c r="AN752" s="214"/>
      <c r="AO752" s="271"/>
      <c r="AP752" s="271"/>
      <c r="AQ752" s="271"/>
      <c r="AR752" s="271"/>
      <c r="AS752" s="272"/>
      <c r="AT752" s="272"/>
      <c r="AU752" s="214"/>
      <c r="AV752" s="214"/>
    </row>
    <row r="753" ht="15.75" customHeight="1">
      <c r="A753" s="214"/>
      <c r="B753" s="261"/>
      <c r="C753" s="266"/>
      <c r="D753" s="267"/>
      <c r="E753" s="214"/>
      <c r="F753" s="214"/>
      <c r="G753" s="214"/>
      <c r="H753" s="214"/>
      <c r="I753" s="214"/>
      <c r="J753" s="214"/>
      <c r="K753" s="268"/>
      <c r="L753" s="214"/>
      <c r="M753" s="269"/>
      <c r="N753" s="214"/>
      <c r="O753" s="214"/>
      <c r="P753" s="214"/>
      <c r="Q753" s="214"/>
      <c r="R753" s="214"/>
      <c r="S753" s="214"/>
      <c r="T753" s="214"/>
      <c r="U753" s="214"/>
      <c r="V753" s="214"/>
      <c r="W753" s="214"/>
      <c r="X753" s="214"/>
      <c r="Y753" s="261"/>
      <c r="Z753" s="262"/>
      <c r="AA753" s="262"/>
      <c r="AB753" s="270"/>
      <c r="AC753" s="214"/>
      <c r="AD753" s="214"/>
      <c r="AE753" s="214"/>
      <c r="AF753" s="214"/>
      <c r="AG753" s="214"/>
      <c r="AH753" s="214"/>
      <c r="AI753" s="261"/>
      <c r="AJ753" s="214"/>
      <c r="AK753" s="261"/>
      <c r="AL753" s="261"/>
      <c r="AM753" s="264"/>
      <c r="AN753" s="214"/>
      <c r="AO753" s="271"/>
      <c r="AP753" s="271"/>
      <c r="AQ753" s="271"/>
      <c r="AR753" s="271"/>
      <c r="AS753" s="272"/>
      <c r="AT753" s="272"/>
      <c r="AU753" s="214"/>
      <c r="AV753" s="214"/>
    </row>
    <row r="754" ht="15.75" customHeight="1">
      <c r="A754" s="214"/>
      <c r="B754" s="261"/>
      <c r="C754" s="266"/>
      <c r="D754" s="267"/>
      <c r="E754" s="214"/>
      <c r="F754" s="214"/>
      <c r="G754" s="214"/>
      <c r="H754" s="214"/>
      <c r="I754" s="214"/>
      <c r="J754" s="214"/>
      <c r="K754" s="268"/>
      <c r="L754" s="214"/>
      <c r="M754" s="269"/>
      <c r="N754" s="214"/>
      <c r="O754" s="214"/>
      <c r="P754" s="214"/>
      <c r="Q754" s="214"/>
      <c r="R754" s="214"/>
      <c r="S754" s="214"/>
      <c r="T754" s="214"/>
      <c r="U754" s="214"/>
      <c r="V754" s="214"/>
      <c r="W754" s="214"/>
      <c r="X754" s="214"/>
      <c r="Y754" s="261"/>
      <c r="Z754" s="262"/>
      <c r="AA754" s="262"/>
      <c r="AB754" s="270"/>
      <c r="AC754" s="214"/>
      <c r="AD754" s="214"/>
      <c r="AE754" s="214"/>
      <c r="AF754" s="214"/>
      <c r="AG754" s="214"/>
      <c r="AH754" s="214"/>
      <c r="AI754" s="261"/>
      <c r="AJ754" s="214"/>
      <c r="AK754" s="261"/>
      <c r="AL754" s="261"/>
      <c r="AM754" s="264"/>
      <c r="AN754" s="214"/>
      <c r="AO754" s="271"/>
      <c r="AP754" s="271"/>
      <c r="AQ754" s="271"/>
      <c r="AR754" s="271"/>
      <c r="AS754" s="272"/>
      <c r="AT754" s="272"/>
      <c r="AU754" s="214"/>
      <c r="AV754" s="214"/>
    </row>
    <row r="755" ht="15.75" customHeight="1">
      <c r="A755" s="214"/>
      <c r="B755" s="261"/>
      <c r="C755" s="266"/>
      <c r="D755" s="267"/>
      <c r="E755" s="214"/>
      <c r="F755" s="214"/>
      <c r="G755" s="214"/>
      <c r="H755" s="214"/>
      <c r="I755" s="214"/>
      <c r="J755" s="214"/>
      <c r="K755" s="268"/>
      <c r="L755" s="214"/>
      <c r="M755" s="269"/>
      <c r="N755" s="214"/>
      <c r="O755" s="214"/>
      <c r="P755" s="214"/>
      <c r="Q755" s="214"/>
      <c r="R755" s="214"/>
      <c r="S755" s="214"/>
      <c r="T755" s="214"/>
      <c r="U755" s="214"/>
      <c r="V755" s="214"/>
      <c r="W755" s="214"/>
      <c r="X755" s="214"/>
      <c r="Y755" s="261"/>
      <c r="Z755" s="262"/>
      <c r="AA755" s="262"/>
      <c r="AB755" s="270"/>
      <c r="AC755" s="214"/>
      <c r="AD755" s="214"/>
      <c r="AE755" s="214"/>
      <c r="AF755" s="214"/>
      <c r="AG755" s="214"/>
      <c r="AH755" s="214"/>
      <c r="AI755" s="261"/>
      <c r="AJ755" s="214"/>
      <c r="AK755" s="261"/>
      <c r="AL755" s="261"/>
      <c r="AM755" s="264"/>
      <c r="AN755" s="214"/>
      <c r="AO755" s="271"/>
      <c r="AP755" s="271"/>
      <c r="AQ755" s="271"/>
      <c r="AR755" s="271"/>
      <c r="AS755" s="272"/>
      <c r="AT755" s="272"/>
      <c r="AU755" s="214"/>
      <c r="AV755" s="214"/>
    </row>
    <row r="756" ht="15.75" customHeight="1">
      <c r="A756" s="214"/>
      <c r="B756" s="261"/>
      <c r="C756" s="266"/>
      <c r="D756" s="267"/>
      <c r="E756" s="214"/>
      <c r="F756" s="214"/>
      <c r="G756" s="214"/>
      <c r="H756" s="214"/>
      <c r="I756" s="214"/>
      <c r="J756" s="214"/>
      <c r="K756" s="268"/>
      <c r="L756" s="214"/>
      <c r="M756" s="269"/>
      <c r="N756" s="214"/>
      <c r="O756" s="214"/>
      <c r="P756" s="214"/>
      <c r="Q756" s="214"/>
      <c r="R756" s="214"/>
      <c r="S756" s="214"/>
      <c r="T756" s="214"/>
      <c r="U756" s="214"/>
      <c r="V756" s="214"/>
      <c r="W756" s="214"/>
      <c r="X756" s="214"/>
      <c r="Y756" s="261"/>
      <c r="Z756" s="262"/>
      <c r="AA756" s="262"/>
      <c r="AB756" s="270"/>
      <c r="AC756" s="214"/>
      <c r="AD756" s="214"/>
      <c r="AE756" s="214"/>
      <c r="AF756" s="214"/>
      <c r="AG756" s="214"/>
      <c r="AH756" s="214"/>
      <c r="AI756" s="261"/>
      <c r="AJ756" s="214"/>
      <c r="AK756" s="261"/>
      <c r="AL756" s="261"/>
      <c r="AM756" s="264"/>
      <c r="AN756" s="214"/>
      <c r="AO756" s="271"/>
      <c r="AP756" s="271"/>
      <c r="AQ756" s="271"/>
      <c r="AR756" s="271"/>
      <c r="AS756" s="272"/>
      <c r="AT756" s="272"/>
      <c r="AU756" s="214"/>
      <c r="AV756" s="214"/>
    </row>
    <row r="757" ht="15.75" customHeight="1">
      <c r="A757" s="214"/>
      <c r="B757" s="261"/>
      <c r="C757" s="266"/>
      <c r="D757" s="267"/>
      <c r="E757" s="214"/>
      <c r="F757" s="214"/>
      <c r="G757" s="214"/>
      <c r="H757" s="214"/>
      <c r="I757" s="214"/>
      <c r="J757" s="214"/>
      <c r="K757" s="268"/>
      <c r="L757" s="214"/>
      <c r="M757" s="269"/>
      <c r="N757" s="214"/>
      <c r="O757" s="214"/>
      <c r="P757" s="214"/>
      <c r="Q757" s="214"/>
      <c r="R757" s="214"/>
      <c r="S757" s="214"/>
      <c r="T757" s="214"/>
      <c r="U757" s="214"/>
      <c r="V757" s="214"/>
      <c r="W757" s="214"/>
      <c r="X757" s="214"/>
      <c r="Y757" s="261"/>
      <c r="Z757" s="262"/>
      <c r="AA757" s="262"/>
      <c r="AB757" s="270"/>
      <c r="AC757" s="214"/>
      <c r="AD757" s="214"/>
      <c r="AE757" s="214"/>
      <c r="AF757" s="214"/>
      <c r="AG757" s="214"/>
      <c r="AH757" s="214"/>
      <c r="AI757" s="261"/>
      <c r="AJ757" s="214"/>
      <c r="AK757" s="261"/>
      <c r="AL757" s="261"/>
      <c r="AM757" s="264"/>
      <c r="AN757" s="214"/>
      <c r="AO757" s="271"/>
      <c r="AP757" s="271"/>
      <c r="AQ757" s="271"/>
      <c r="AR757" s="271"/>
      <c r="AS757" s="272"/>
      <c r="AT757" s="272"/>
      <c r="AU757" s="214"/>
      <c r="AV757" s="214"/>
    </row>
    <row r="758" ht="15.75" customHeight="1">
      <c r="A758" s="214"/>
      <c r="B758" s="261"/>
      <c r="C758" s="266"/>
      <c r="D758" s="267"/>
      <c r="E758" s="214"/>
      <c r="F758" s="214"/>
      <c r="G758" s="214"/>
      <c r="H758" s="214"/>
      <c r="I758" s="214"/>
      <c r="J758" s="214"/>
      <c r="K758" s="268"/>
      <c r="L758" s="214"/>
      <c r="M758" s="269"/>
      <c r="N758" s="214"/>
      <c r="O758" s="214"/>
      <c r="P758" s="214"/>
      <c r="Q758" s="214"/>
      <c r="R758" s="214"/>
      <c r="S758" s="214"/>
      <c r="T758" s="214"/>
      <c r="U758" s="214"/>
      <c r="V758" s="214"/>
      <c r="W758" s="214"/>
      <c r="X758" s="214"/>
      <c r="Y758" s="261"/>
      <c r="Z758" s="262"/>
      <c r="AA758" s="262"/>
      <c r="AB758" s="270"/>
      <c r="AC758" s="214"/>
      <c r="AD758" s="214"/>
      <c r="AE758" s="214"/>
      <c r="AF758" s="214"/>
      <c r="AG758" s="214"/>
      <c r="AH758" s="214"/>
      <c r="AI758" s="261"/>
      <c r="AJ758" s="214"/>
      <c r="AK758" s="261"/>
      <c r="AL758" s="261"/>
      <c r="AM758" s="264"/>
      <c r="AN758" s="214"/>
      <c r="AO758" s="271"/>
      <c r="AP758" s="271"/>
      <c r="AQ758" s="271"/>
      <c r="AR758" s="271"/>
      <c r="AS758" s="272"/>
      <c r="AT758" s="272"/>
      <c r="AU758" s="214"/>
      <c r="AV758" s="214"/>
    </row>
    <row r="759" ht="15.75" customHeight="1">
      <c r="A759" s="214"/>
      <c r="B759" s="261"/>
      <c r="C759" s="266"/>
      <c r="D759" s="267"/>
      <c r="E759" s="214"/>
      <c r="F759" s="214"/>
      <c r="G759" s="214"/>
      <c r="H759" s="214"/>
      <c r="I759" s="214"/>
      <c r="J759" s="214"/>
      <c r="K759" s="268"/>
      <c r="L759" s="214"/>
      <c r="M759" s="269"/>
      <c r="N759" s="214"/>
      <c r="O759" s="214"/>
      <c r="P759" s="214"/>
      <c r="Q759" s="214"/>
      <c r="R759" s="214"/>
      <c r="S759" s="214"/>
      <c r="T759" s="214"/>
      <c r="U759" s="214"/>
      <c r="V759" s="214"/>
      <c r="W759" s="214"/>
      <c r="X759" s="214"/>
      <c r="Y759" s="261"/>
      <c r="Z759" s="262"/>
      <c r="AA759" s="262"/>
      <c r="AB759" s="270"/>
      <c r="AC759" s="214"/>
      <c r="AD759" s="214"/>
      <c r="AE759" s="214"/>
      <c r="AF759" s="214"/>
      <c r="AG759" s="214"/>
      <c r="AH759" s="214"/>
      <c r="AI759" s="261"/>
      <c r="AJ759" s="214"/>
      <c r="AK759" s="261"/>
      <c r="AL759" s="261"/>
      <c r="AM759" s="264"/>
      <c r="AN759" s="214"/>
      <c r="AO759" s="271"/>
      <c r="AP759" s="271"/>
      <c r="AQ759" s="271"/>
      <c r="AR759" s="271"/>
      <c r="AS759" s="272"/>
      <c r="AT759" s="272"/>
      <c r="AU759" s="214"/>
      <c r="AV759" s="214"/>
    </row>
    <row r="760" ht="15.75" customHeight="1">
      <c r="A760" s="214"/>
      <c r="B760" s="261"/>
      <c r="C760" s="266"/>
      <c r="D760" s="267"/>
      <c r="E760" s="214"/>
      <c r="F760" s="214"/>
      <c r="G760" s="214"/>
      <c r="H760" s="214"/>
      <c r="I760" s="214"/>
      <c r="J760" s="214"/>
      <c r="K760" s="268"/>
      <c r="L760" s="214"/>
      <c r="M760" s="269"/>
      <c r="N760" s="214"/>
      <c r="O760" s="214"/>
      <c r="P760" s="214"/>
      <c r="Q760" s="214"/>
      <c r="R760" s="214"/>
      <c r="S760" s="214"/>
      <c r="T760" s="214"/>
      <c r="U760" s="214"/>
      <c r="V760" s="214"/>
      <c r="W760" s="214"/>
      <c r="X760" s="214"/>
      <c r="Y760" s="261"/>
      <c r="Z760" s="262"/>
      <c r="AA760" s="262"/>
      <c r="AB760" s="270"/>
      <c r="AC760" s="214"/>
      <c r="AD760" s="214"/>
      <c r="AE760" s="214"/>
      <c r="AF760" s="214"/>
      <c r="AG760" s="214"/>
      <c r="AH760" s="214"/>
      <c r="AI760" s="261"/>
      <c r="AJ760" s="214"/>
      <c r="AK760" s="261"/>
      <c r="AL760" s="261"/>
      <c r="AM760" s="264"/>
      <c r="AN760" s="214"/>
      <c r="AO760" s="271"/>
      <c r="AP760" s="271"/>
      <c r="AQ760" s="271"/>
      <c r="AR760" s="271"/>
      <c r="AS760" s="272"/>
      <c r="AT760" s="272"/>
      <c r="AU760" s="214"/>
      <c r="AV760" s="214"/>
    </row>
    <row r="761" ht="15.75" customHeight="1">
      <c r="A761" s="214"/>
      <c r="B761" s="261"/>
      <c r="C761" s="266"/>
      <c r="D761" s="267"/>
      <c r="E761" s="214"/>
      <c r="F761" s="214"/>
      <c r="G761" s="214"/>
      <c r="H761" s="214"/>
      <c r="I761" s="214"/>
      <c r="J761" s="214"/>
      <c r="K761" s="268"/>
      <c r="L761" s="214"/>
      <c r="M761" s="269"/>
      <c r="N761" s="214"/>
      <c r="O761" s="214"/>
      <c r="P761" s="214"/>
      <c r="Q761" s="214"/>
      <c r="R761" s="214"/>
      <c r="S761" s="214"/>
      <c r="T761" s="214"/>
      <c r="U761" s="214"/>
      <c r="V761" s="214"/>
      <c r="W761" s="214"/>
      <c r="X761" s="214"/>
      <c r="Y761" s="261"/>
      <c r="Z761" s="262"/>
      <c r="AA761" s="262"/>
      <c r="AB761" s="270"/>
      <c r="AC761" s="214"/>
      <c r="AD761" s="214"/>
      <c r="AE761" s="214"/>
      <c r="AF761" s="214"/>
      <c r="AG761" s="214"/>
      <c r="AH761" s="214"/>
      <c r="AI761" s="261"/>
      <c r="AJ761" s="214"/>
      <c r="AK761" s="261"/>
      <c r="AL761" s="261"/>
      <c r="AM761" s="264"/>
      <c r="AN761" s="214"/>
      <c r="AO761" s="271"/>
      <c r="AP761" s="271"/>
      <c r="AQ761" s="271"/>
      <c r="AR761" s="271"/>
      <c r="AS761" s="272"/>
      <c r="AT761" s="272"/>
      <c r="AU761" s="214"/>
      <c r="AV761" s="214"/>
    </row>
    <row r="762" ht="15.75" customHeight="1">
      <c r="A762" s="214"/>
      <c r="B762" s="261"/>
      <c r="C762" s="266"/>
      <c r="D762" s="267"/>
      <c r="E762" s="214"/>
      <c r="F762" s="214"/>
      <c r="G762" s="214"/>
      <c r="H762" s="214"/>
      <c r="I762" s="214"/>
      <c r="J762" s="214"/>
      <c r="K762" s="268"/>
      <c r="L762" s="214"/>
      <c r="M762" s="269"/>
      <c r="N762" s="214"/>
      <c r="O762" s="214"/>
      <c r="P762" s="214"/>
      <c r="Q762" s="214"/>
      <c r="R762" s="214"/>
      <c r="S762" s="214"/>
      <c r="T762" s="214"/>
      <c r="U762" s="214"/>
      <c r="V762" s="214"/>
      <c r="W762" s="214"/>
      <c r="X762" s="214"/>
      <c r="Y762" s="261"/>
      <c r="Z762" s="262"/>
      <c r="AA762" s="262"/>
      <c r="AB762" s="270"/>
      <c r="AC762" s="214"/>
      <c r="AD762" s="214"/>
      <c r="AE762" s="214"/>
      <c r="AF762" s="214"/>
      <c r="AG762" s="214"/>
      <c r="AH762" s="214"/>
      <c r="AI762" s="261"/>
      <c r="AJ762" s="214"/>
      <c r="AK762" s="261"/>
      <c r="AL762" s="261"/>
      <c r="AM762" s="264"/>
      <c r="AN762" s="214"/>
      <c r="AO762" s="271"/>
      <c r="AP762" s="271"/>
      <c r="AQ762" s="271"/>
      <c r="AR762" s="271"/>
      <c r="AS762" s="272"/>
      <c r="AT762" s="272"/>
      <c r="AU762" s="214"/>
      <c r="AV762" s="214"/>
    </row>
    <row r="763" ht="15.75" customHeight="1">
      <c r="A763" s="214"/>
      <c r="B763" s="261"/>
      <c r="C763" s="266"/>
      <c r="D763" s="267"/>
      <c r="E763" s="214"/>
      <c r="F763" s="214"/>
      <c r="G763" s="214"/>
      <c r="H763" s="214"/>
      <c r="I763" s="214"/>
      <c r="J763" s="214"/>
      <c r="K763" s="268"/>
      <c r="L763" s="214"/>
      <c r="M763" s="269"/>
      <c r="N763" s="214"/>
      <c r="O763" s="214"/>
      <c r="P763" s="214"/>
      <c r="Q763" s="214"/>
      <c r="R763" s="214"/>
      <c r="S763" s="214"/>
      <c r="T763" s="214"/>
      <c r="U763" s="214"/>
      <c r="V763" s="214"/>
      <c r="W763" s="214"/>
      <c r="X763" s="214"/>
      <c r="Y763" s="261"/>
      <c r="Z763" s="262"/>
      <c r="AA763" s="262"/>
      <c r="AB763" s="270"/>
      <c r="AC763" s="214"/>
      <c r="AD763" s="214"/>
      <c r="AE763" s="214"/>
      <c r="AF763" s="214"/>
      <c r="AG763" s="214"/>
      <c r="AH763" s="214"/>
      <c r="AI763" s="261"/>
      <c r="AJ763" s="214"/>
      <c r="AK763" s="261"/>
      <c r="AL763" s="261"/>
      <c r="AM763" s="264"/>
      <c r="AN763" s="214"/>
      <c r="AO763" s="271"/>
      <c r="AP763" s="271"/>
      <c r="AQ763" s="271"/>
      <c r="AR763" s="271"/>
      <c r="AS763" s="272"/>
      <c r="AT763" s="272"/>
      <c r="AU763" s="214"/>
      <c r="AV763" s="214"/>
    </row>
    <row r="764" ht="15.75" customHeight="1">
      <c r="A764" s="214"/>
      <c r="B764" s="261"/>
      <c r="C764" s="266"/>
      <c r="D764" s="267"/>
      <c r="E764" s="214"/>
      <c r="F764" s="214"/>
      <c r="G764" s="214"/>
      <c r="H764" s="214"/>
      <c r="I764" s="214"/>
      <c r="J764" s="214"/>
      <c r="K764" s="268"/>
      <c r="L764" s="214"/>
      <c r="M764" s="269"/>
      <c r="N764" s="214"/>
      <c r="O764" s="214"/>
      <c r="P764" s="214"/>
      <c r="Q764" s="214"/>
      <c r="R764" s="214"/>
      <c r="S764" s="214"/>
      <c r="T764" s="214"/>
      <c r="U764" s="214"/>
      <c r="V764" s="214"/>
      <c r="W764" s="214"/>
      <c r="X764" s="214"/>
      <c r="Y764" s="261"/>
      <c r="Z764" s="262"/>
      <c r="AA764" s="262"/>
      <c r="AB764" s="270"/>
      <c r="AC764" s="214"/>
      <c r="AD764" s="214"/>
      <c r="AE764" s="214"/>
      <c r="AF764" s="214"/>
      <c r="AG764" s="214"/>
      <c r="AH764" s="214"/>
      <c r="AI764" s="261"/>
      <c r="AJ764" s="214"/>
      <c r="AK764" s="261"/>
      <c r="AL764" s="261"/>
      <c r="AM764" s="264"/>
      <c r="AN764" s="214"/>
      <c r="AO764" s="271"/>
      <c r="AP764" s="271"/>
      <c r="AQ764" s="271"/>
      <c r="AR764" s="271"/>
      <c r="AS764" s="272"/>
      <c r="AT764" s="272"/>
      <c r="AU764" s="214"/>
      <c r="AV764" s="214"/>
    </row>
    <row r="765" ht="15.75" customHeight="1">
      <c r="A765" s="214"/>
      <c r="B765" s="261"/>
      <c r="C765" s="266"/>
      <c r="D765" s="267"/>
      <c r="E765" s="214"/>
      <c r="F765" s="214"/>
      <c r="G765" s="214"/>
      <c r="H765" s="214"/>
      <c r="I765" s="214"/>
      <c r="J765" s="214"/>
      <c r="K765" s="268"/>
      <c r="L765" s="214"/>
      <c r="M765" s="269"/>
      <c r="N765" s="214"/>
      <c r="O765" s="214"/>
      <c r="P765" s="214"/>
      <c r="Q765" s="214"/>
      <c r="R765" s="214"/>
      <c r="S765" s="214"/>
      <c r="T765" s="214"/>
      <c r="U765" s="214"/>
      <c r="V765" s="214"/>
      <c r="W765" s="214"/>
      <c r="X765" s="214"/>
      <c r="Y765" s="261"/>
      <c r="Z765" s="262"/>
      <c r="AA765" s="262"/>
      <c r="AB765" s="270"/>
      <c r="AC765" s="214"/>
      <c r="AD765" s="214"/>
      <c r="AE765" s="214"/>
      <c r="AF765" s="214"/>
      <c r="AG765" s="214"/>
      <c r="AH765" s="214"/>
      <c r="AI765" s="261"/>
      <c r="AJ765" s="214"/>
      <c r="AK765" s="261"/>
      <c r="AL765" s="261"/>
      <c r="AM765" s="264"/>
      <c r="AN765" s="214"/>
      <c r="AO765" s="271"/>
      <c r="AP765" s="271"/>
      <c r="AQ765" s="271"/>
      <c r="AR765" s="271"/>
      <c r="AS765" s="272"/>
      <c r="AT765" s="272"/>
      <c r="AU765" s="214"/>
      <c r="AV765" s="214"/>
    </row>
    <row r="766" ht="15.75" customHeight="1">
      <c r="A766" s="214"/>
      <c r="B766" s="261"/>
      <c r="C766" s="266"/>
      <c r="D766" s="267"/>
      <c r="E766" s="214"/>
      <c r="F766" s="214"/>
      <c r="G766" s="214"/>
      <c r="H766" s="214"/>
      <c r="I766" s="214"/>
      <c r="J766" s="214"/>
      <c r="K766" s="268"/>
      <c r="L766" s="214"/>
      <c r="M766" s="269"/>
      <c r="N766" s="214"/>
      <c r="O766" s="214"/>
      <c r="P766" s="214"/>
      <c r="Q766" s="214"/>
      <c r="R766" s="214"/>
      <c r="S766" s="214"/>
      <c r="T766" s="214"/>
      <c r="U766" s="214"/>
      <c r="V766" s="214"/>
      <c r="W766" s="214"/>
      <c r="X766" s="214"/>
      <c r="Y766" s="261"/>
      <c r="Z766" s="262"/>
      <c r="AA766" s="262"/>
      <c r="AB766" s="270"/>
      <c r="AC766" s="214"/>
      <c r="AD766" s="214"/>
      <c r="AE766" s="214"/>
      <c r="AF766" s="214"/>
      <c r="AG766" s="214"/>
      <c r="AH766" s="214"/>
      <c r="AI766" s="261"/>
      <c r="AJ766" s="214"/>
      <c r="AK766" s="261"/>
      <c r="AL766" s="261"/>
      <c r="AM766" s="264"/>
      <c r="AN766" s="214"/>
      <c r="AO766" s="271"/>
      <c r="AP766" s="271"/>
      <c r="AQ766" s="271"/>
      <c r="AR766" s="271"/>
      <c r="AS766" s="272"/>
      <c r="AT766" s="272"/>
      <c r="AU766" s="214"/>
      <c r="AV766" s="214"/>
    </row>
    <row r="767" ht="15.75" customHeight="1">
      <c r="A767" s="214"/>
      <c r="B767" s="261"/>
      <c r="C767" s="266"/>
      <c r="D767" s="267"/>
      <c r="E767" s="214"/>
      <c r="F767" s="214"/>
      <c r="G767" s="214"/>
      <c r="H767" s="214"/>
      <c r="I767" s="214"/>
      <c r="J767" s="214"/>
      <c r="K767" s="268"/>
      <c r="L767" s="214"/>
      <c r="M767" s="269"/>
      <c r="N767" s="214"/>
      <c r="O767" s="214"/>
      <c r="P767" s="214"/>
      <c r="Q767" s="214"/>
      <c r="R767" s="214"/>
      <c r="S767" s="214"/>
      <c r="T767" s="214"/>
      <c r="U767" s="214"/>
      <c r="V767" s="214"/>
      <c r="W767" s="214"/>
      <c r="X767" s="214"/>
      <c r="Y767" s="261"/>
      <c r="Z767" s="262"/>
      <c r="AA767" s="262"/>
      <c r="AB767" s="270"/>
      <c r="AC767" s="214"/>
      <c r="AD767" s="214"/>
      <c r="AE767" s="214"/>
      <c r="AF767" s="214"/>
      <c r="AG767" s="214"/>
      <c r="AH767" s="214"/>
      <c r="AI767" s="261"/>
      <c r="AJ767" s="214"/>
      <c r="AK767" s="261"/>
      <c r="AL767" s="261"/>
      <c r="AM767" s="264"/>
      <c r="AN767" s="214"/>
      <c r="AO767" s="271"/>
      <c r="AP767" s="271"/>
      <c r="AQ767" s="271"/>
      <c r="AR767" s="271"/>
      <c r="AS767" s="272"/>
      <c r="AT767" s="272"/>
      <c r="AU767" s="214"/>
      <c r="AV767" s="214"/>
    </row>
    <row r="768" ht="15.75" customHeight="1">
      <c r="A768" s="214"/>
      <c r="B768" s="261"/>
      <c r="C768" s="266"/>
      <c r="D768" s="267"/>
      <c r="E768" s="214"/>
      <c r="F768" s="214"/>
      <c r="G768" s="214"/>
      <c r="H768" s="214"/>
      <c r="I768" s="214"/>
      <c r="J768" s="214"/>
      <c r="K768" s="268"/>
      <c r="L768" s="214"/>
      <c r="M768" s="269"/>
      <c r="N768" s="214"/>
      <c r="O768" s="214"/>
      <c r="P768" s="214"/>
      <c r="Q768" s="214"/>
      <c r="R768" s="214"/>
      <c r="S768" s="214"/>
      <c r="T768" s="214"/>
      <c r="U768" s="214"/>
      <c r="V768" s="214"/>
      <c r="W768" s="214"/>
      <c r="X768" s="214"/>
      <c r="Y768" s="261"/>
      <c r="Z768" s="262"/>
      <c r="AA768" s="262"/>
      <c r="AB768" s="270"/>
      <c r="AC768" s="214"/>
      <c r="AD768" s="214"/>
      <c r="AE768" s="214"/>
      <c r="AF768" s="214"/>
      <c r="AG768" s="214"/>
      <c r="AH768" s="214"/>
      <c r="AI768" s="261"/>
      <c r="AJ768" s="214"/>
      <c r="AK768" s="261"/>
      <c r="AL768" s="261"/>
      <c r="AM768" s="264"/>
      <c r="AN768" s="214"/>
      <c r="AO768" s="271"/>
      <c r="AP768" s="271"/>
      <c r="AQ768" s="271"/>
      <c r="AR768" s="271"/>
      <c r="AS768" s="272"/>
      <c r="AT768" s="272"/>
      <c r="AU768" s="214"/>
      <c r="AV768" s="214"/>
    </row>
    <row r="769" ht="15.75" customHeight="1">
      <c r="A769" s="214"/>
      <c r="B769" s="261"/>
      <c r="C769" s="266"/>
      <c r="D769" s="267"/>
      <c r="E769" s="214"/>
      <c r="F769" s="214"/>
      <c r="G769" s="214"/>
      <c r="H769" s="214"/>
      <c r="I769" s="214"/>
      <c r="J769" s="214"/>
      <c r="K769" s="268"/>
      <c r="L769" s="214"/>
      <c r="M769" s="269"/>
      <c r="N769" s="214"/>
      <c r="O769" s="214"/>
      <c r="P769" s="214"/>
      <c r="Q769" s="214"/>
      <c r="R769" s="214"/>
      <c r="S769" s="214"/>
      <c r="T769" s="214"/>
      <c r="U769" s="214"/>
      <c r="V769" s="214"/>
      <c r="W769" s="214"/>
      <c r="X769" s="214"/>
      <c r="Y769" s="261"/>
      <c r="Z769" s="262"/>
      <c r="AA769" s="262"/>
      <c r="AB769" s="270"/>
      <c r="AC769" s="214"/>
      <c r="AD769" s="214"/>
      <c r="AE769" s="214"/>
      <c r="AF769" s="214"/>
      <c r="AG769" s="214"/>
      <c r="AH769" s="214"/>
      <c r="AI769" s="261"/>
      <c r="AJ769" s="214"/>
      <c r="AK769" s="261"/>
      <c r="AL769" s="261"/>
      <c r="AM769" s="264"/>
      <c r="AN769" s="214"/>
      <c r="AO769" s="271"/>
      <c r="AP769" s="271"/>
      <c r="AQ769" s="271"/>
      <c r="AR769" s="271"/>
      <c r="AS769" s="272"/>
      <c r="AT769" s="272"/>
      <c r="AU769" s="214"/>
      <c r="AV769" s="214"/>
    </row>
    <row r="770" ht="15.75" customHeight="1">
      <c r="A770" s="214"/>
      <c r="B770" s="261"/>
      <c r="C770" s="266"/>
      <c r="D770" s="267"/>
      <c r="E770" s="214"/>
      <c r="F770" s="214"/>
      <c r="G770" s="214"/>
      <c r="H770" s="214"/>
      <c r="I770" s="214"/>
      <c r="J770" s="214"/>
      <c r="K770" s="268"/>
      <c r="L770" s="214"/>
      <c r="M770" s="269"/>
      <c r="N770" s="214"/>
      <c r="O770" s="214"/>
      <c r="P770" s="214"/>
      <c r="Q770" s="214"/>
      <c r="R770" s="214"/>
      <c r="S770" s="214"/>
      <c r="T770" s="214"/>
      <c r="U770" s="214"/>
      <c r="V770" s="214"/>
      <c r="W770" s="214"/>
      <c r="X770" s="214"/>
      <c r="Y770" s="261"/>
      <c r="Z770" s="262"/>
      <c r="AA770" s="262"/>
      <c r="AB770" s="270"/>
      <c r="AC770" s="214"/>
      <c r="AD770" s="214"/>
      <c r="AE770" s="214"/>
      <c r="AF770" s="214"/>
      <c r="AG770" s="214"/>
      <c r="AH770" s="214"/>
      <c r="AI770" s="261"/>
      <c r="AJ770" s="214"/>
      <c r="AK770" s="261"/>
      <c r="AL770" s="261"/>
      <c r="AM770" s="264"/>
      <c r="AN770" s="214"/>
      <c r="AO770" s="271"/>
      <c r="AP770" s="271"/>
      <c r="AQ770" s="271"/>
      <c r="AR770" s="271"/>
      <c r="AS770" s="272"/>
      <c r="AT770" s="272"/>
      <c r="AU770" s="214"/>
      <c r="AV770" s="214"/>
    </row>
    <row r="771" ht="15.75" customHeight="1">
      <c r="A771" s="214"/>
      <c r="B771" s="261"/>
      <c r="C771" s="266"/>
      <c r="D771" s="267"/>
      <c r="E771" s="214"/>
      <c r="F771" s="214"/>
      <c r="G771" s="214"/>
      <c r="H771" s="214"/>
      <c r="I771" s="214"/>
      <c r="J771" s="214"/>
      <c r="K771" s="268"/>
      <c r="L771" s="214"/>
      <c r="M771" s="269"/>
      <c r="N771" s="214"/>
      <c r="O771" s="214"/>
      <c r="P771" s="214"/>
      <c r="Q771" s="214"/>
      <c r="R771" s="214"/>
      <c r="S771" s="214"/>
      <c r="T771" s="214"/>
      <c r="U771" s="214"/>
      <c r="V771" s="214"/>
      <c r="W771" s="214"/>
      <c r="X771" s="214"/>
      <c r="Y771" s="261"/>
      <c r="Z771" s="262"/>
      <c r="AA771" s="262"/>
      <c r="AB771" s="270"/>
      <c r="AC771" s="214"/>
      <c r="AD771" s="214"/>
      <c r="AE771" s="214"/>
      <c r="AF771" s="214"/>
      <c r="AG771" s="214"/>
      <c r="AH771" s="214"/>
      <c r="AI771" s="261"/>
      <c r="AJ771" s="214"/>
      <c r="AK771" s="261"/>
      <c r="AL771" s="261"/>
      <c r="AM771" s="264"/>
      <c r="AN771" s="214"/>
      <c r="AO771" s="271"/>
      <c r="AP771" s="271"/>
      <c r="AQ771" s="271"/>
      <c r="AR771" s="271"/>
      <c r="AS771" s="272"/>
      <c r="AT771" s="272"/>
      <c r="AU771" s="214"/>
      <c r="AV771" s="214"/>
    </row>
    <row r="772" ht="15.75" customHeight="1">
      <c r="A772" s="214"/>
      <c r="B772" s="261"/>
      <c r="C772" s="266"/>
      <c r="D772" s="267"/>
      <c r="E772" s="214"/>
      <c r="F772" s="214"/>
      <c r="G772" s="214"/>
      <c r="H772" s="214"/>
      <c r="I772" s="214"/>
      <c r="J772" s="214"/>
      <c r="K772" s="268"/>
      <c r="L772" s="214"/>
      <c r="M772" s="269"/>
      <c r="N772" s="214"/>
      <c r="O772" s="214"/>
      <c r="P772" s="214"/>
      <c r="Q772" s="214"/>
      <c r="R772" s="214"/>
      <c r="S772" s="214"/>
      <c r="T772" s="214"/>
      <c r="U772" s="214"/>
      <c r="V772" s="214"/>
      <c r="W772" s="214"/>
      <c r="X772" s="214"/>
      <c r="Y772" s="261"/>
      <c r="Z772" s="262"/>
      <c r="AA772" s="262"/>
      <c r="AB772" s="270"/>
      <c r="AC772" s="214"/>
      <c r="AD772" s="214"/>
      <c r="AE772" s="214"/>
      <c r="AF772" s="214"/>
      <c r="AG772" s="214"/>
      <c r="AH772" s="214"/>
      <c r="AI772" s="261"/>
      <c r="AJ772" s="214"/>
      <c r="AK772" s="261"/>
      <c r="AL772" s="261"/>
      <c r="AM772" s="264"/>
      <c r="AN772" s="214"/>
      <c r="AO772" s="271"/>
      <c r="AP772" s="271"/>
      <c r="AQ772" s="271"/>
      <c r="AR772" s="271"/>
      <c r="AS772" s="272"/>
      <c r="AT772" s="272"/>
      <c r="AU772" s="214"/>
      <c r="AV772" s="214"/>
    </row>
    <row r="773" ht="15.75" customHeight="1">
      <c r="A773" s="214"/>
      <c r="B773" s="261"/>
      <c r="C773" s="266"/>
      <c r="D773" s="267"/>
      <c r="E773" s="214"/>
      <c r="F773" s="214"/>
      <c r="G773" s="214"/>
      <c r="H773" s="214"/>
      <c r="I773" s="214"/>
      <c r="J773" s="214"/>
      <c r="K773" s="268"/>
      <c r="L773" s="214"/>
      <c r="M773" s="269"/>
      <c r="N773" s="214"/>
      <c r="O773" s="214"/>
      <c r="P773" s="214"/>
      <c r="Q773" s="214"/>
      <c r="R773" s="214"/>
      <c r="S773" s="214"/>
      <c r="T773" s="214"/>
      <c r="U773" s="214"/>
      <c r="V773" s="214"/>
      <c r="W773" s="214"/>
      <c r="X773" s="214"/>
      <c r="Y773" s="261"/>
      <c r="Z773" s="262"/>
      <c r="AA773" s="262"/>
      <c r="AB773" s="270"/>
      <c r="AC773" s="214"/>
      <c r="AD773" s="214"/>
      <c r="AE773" s="214"/>
      <c r="AF773" s="214"/>
      <c r="AG773" s="214"/>
      <c r="AH773" s="214"/>
      <c r="AI773" s="261"/>
      <c r="AJ773" s="214"/>
      <c r="AK773" s="261"/>
      <c r="AL773" s="261"/>
      <c r="AM773" s="264"/>
      <c r="AN773" s="214"/>
      <c r="AO773" s="271"/>
      <c r="AP773" s="271"/>
      <c r="AQ773" s="271"/>
      <c r="AR773" s="271"/>
      <c r="AS773" s="272"/>
      <c r="AT773" s="272"/>
      <c r="AU773" s="214"/>
      <c r="AV773" s="214"/>
    </row>
    <row r="774" ht="15.75" customHeight="1">
      <c r="A774" s="214"/>
      <c r="B774" s="261"/>
      <c r="C774" s="266"/>
      <c r="D774" s="267"/>
      <c r="E774" s="214"/>
      <c r="F774" s="214"/>
      <c r="G774" s="214"/>
      <c r="H774" s="214"/>
      <c r="I774" s="214"/>
      <c r="J774" s="214"/>
      <c r="K774" s="268"/>
      <c r="L774" s="214"/>
      <c r="M774" s="269"/>
      <c r="N774" s="214"/>
      <c r="O774" s="214"/>
      <c r="P774" s="214"/>
      <c r="Q774" s="214"/>
      <c r="R774" s="214"/>
      <c r="S774" s="214"/>
      <c r="T774" s="214"/>
      <c r="U774" s="214"/>
      <c r="V774" s="214"/>
      <c r="W774" s="214"/>
      <c r="X774" s="214"/>
      <c r="Y774" s="261"/>
      <c r="Z774" s="262"/>
      <c r="AA774" s="262"/>
      <c r="AB774" s="270"/>
      <c r="AC774" s="214"/>
      <c r="AD774" s="214"/>
      <c r="AE774" s="214"/>
      <c r="AF774" s="214"/>
      <c r="AG774" s="214"/>
      <c r="AH774" s="214"/>
      <c r="AI774" s="261"/>
      <c r="AJ774" s="214"/>
      <c r="AK774" s="261"/>
      <c r="AL774" s="261"/>
      <c r="AM774" s="264"/>
      <c r="AN774" s="214"/>
      <c r="AO774" s="271"/>
      <c r="AP774" s="271"/>
      <c r="AQ774" s="271"/>
      <c r="AR774" s="271"/>
      <c r="AS774" s="272"/>
      <c r="AT774" s="272"/>
      <c r="AU774" s="214"/>
      <c r="AV774" s="214"/>
    </row>
    <row r="775" ht="15.75" customHeight="1">
      <c r="A775" s="214"/>
      <c r="B775" s="261"/>
      <c r="C775" s="266"/>
      <c r="D775" s="267"/>
      <c r="E775" s="214"/>
      <c r="F775" s="214"/>
      <c r="G775" s="214"/>
      <c r="H775" s="214"/>
      <c r="I775" s="214"/>
      <c r="J775" s="214"/>
      <c r="K775" s="268"/>
      <c r="L775" s="214"/>
      <c r="M775" s="269"/>
      <c r="N775" s="214"/>
      <c r="O775" s="214"/>
      <c r="P775" s="214"/>
      <c r="Q775" s="214"/>
      <c r="R775" s="214"/>
      <c r="S775" s="214"/>
      <c r="T775" s="214"/>
      <c r="U775" s="214"/>
      <c r="V775" s="214"/>
      <c r="W775" s="214"/>
      <c r="X775" s="214"/>
      <c r="Y775" s="261"/>
      <c r="Z775" s="262"/>
      <c r="AA775" s="262"/>
      <c r="AB775" s="270"/>
      <c r="AC775" s="214"/>
      <c r="AD775" s="214"/>
      <c r="AE775" s="214"/>
      <c r="AF775" s="214"/>
      <c r="AG775" s="214"/>
      <c r="AH775" s="214"/>
      <c r="AI775" s="261"/>
      <c r="AJ775" s="214"/>
      <c r="AK775" s="261"/>
      <c r="AL775" s="261"/>
      <c r="AM775" s="264"/>
      <c r="AN775" s="214"/>
      <c r="AO775" s="271"/>
      <c r="AP775" s="271"/>
      <c r="AQ775" s="271"/>
      <c r="AR775" s="271"/>
      <c r="AS775" s="272"/>
      <c r="AT775" s="272"/>
      <c r="AU775" s="214"/>
      <c r="AV775" s="214"/>
    </row>
    <row r="776" ht="15.75" customHeight="1">
      <c r="A776" s="214"/>
      <c r="B776" s="261"/>
      <c r="C776" s="266"/>
      <c r="D776" s="267"/>
      <c r="E776" s="214"/>
      <c r="F776" s="214"/>
      <c r="G776" s="214"/>
      <c r="H776" s="214"/>
      <c r="I776" s="214"/>
      <c r="J776" s="214"/>
      <c r="K776" s="268"/>
      <c r="L776" s="214"/>
      <c r="M776" s="269"/>
      <c r="N776" s="214"/>
      <c r="O776" s="214"/>
      <c r="P776" s="214"/>
      <c r="Q776" s="214"/>
      <c r="R776" s="214"/>
      <c r="S776" s="214"/>
      <c r="T776" s="214"/>
      <c r="U776" s="214"/>
      <c r="V776" s="214"/>
      <c r="W776" s="214"/>
      <c r="X776" s="214"/>
      <c r="Y776" s="261"/>
      <c r="Z776" s="262"/>
      <c r="AA776" s="262"/>
      <c r="AB776" s="270"/>
      <c r="AC776" s="214"/>
      <c r="AD776" s="214"/>
      <c r="AE776" s="214"/>
      <c r="AF776" s="214"/>
      <c r="AG776" s="214"/>
      <c r="AH776" s="214"/>
      <c r="AI776" s="261"/>
      <c r="AJ776" s="214"/>
      <c r="AK776" s="261"/>
      <c r="AL776" s="261"/>
      <c r="AM776" s="264"/>
      <c r="AN776" s="214"/>
      <c r="AO776" s="271"/>
      <c r="AP776" s="271"/>
      <c r="AQ776" s="271"/>
      <c r="AR776" s="271"/>
      <c r="AS776" s="272"/>
      <c r="AT776" s="272"/>
      <c r="AU776" s="214"/>
      <c r="AV776" s="214"/>
    </row>
    <row r="777" ht="15.75" customHeight="1">
      <c r="A777" s="214"/>
      <c r="B777" s="261"/>
      <c r="C777" s="266"/>
      <c r="D777" s="267"/>
      <c r="E777" s="214"/>
      <c r="F777" s="214"/>
      <c r="G777" s="214"/>
      <c r="H777" s="214"/>
      <c r="I777" s="214"/>
      <c r="J777" s="214"/>
      <c r="K777" s="268"/>
      <c r="L777" s="214"/>
      <c r="M777" s="269"/>
      <c r="N777" s="214"/>
      <c r="O777" s="214"/>
      <c r="P777" s="214"/>
      <c r="Q777" s="214"/>
      <c r="R777" s="214"/>
      <c r="S777" s="214"/>
      <c r="T777" s="214"/>
      <c r="U777" s="214"/>
      <c r="V777" s="214"/>
      <c r="W777" s="214"/>
      <c r="X777" s="214"/>
      <c r="Y777" s="261"/>
      <c r="Z777" s="262"/>
      <c r="AA777" s="262"/>
      <c r="AB777" s="270"/>
      <c r="AC777" s="214"/>
      <c r="AD777" s="214"/>
      <c r="AE777" s="214"/>
      <c r="AF777" s="214"/>
      <c r="AG777" s="214"/>
      <c r="AH777" s="214"/>
      <c r="AI777" s="261"/>
      <c r="AJ777" s="214"/>
      <c r="AK777" s="261"/>
      <c r="AL777" s="261"/>
      <c r="AM777" s="264"/>
      <c r="AN777" s="214"/>
      <c r="AO777" s="271"/>
      <c r="AP777" s="271"/>
      <c r="AQ777" s="271"/>
      <c r="AR777" s="271"/>
      <c r="AS777" s="272"/>
      <c r="AT777" s="272"/>
      <c r="AU777" s="214"/>
      <c r="AV777" s="214"/>
    </row>
    <row r="778" ht="15.75" customHeight="1">
      <c r="A778" s="214"/>
      <c r="B778" s="261"/>
      <c r="C778" s="266"/>
      <c r="D778" s="267"/>
      <c r="E778" s="214"/>
      <c r="F778" s="214"/>
      <c r="G778" s="214"/>
      <c r="H778" s="214"/>
      <c r="I778" s="214"/>
      <c r="J778" s="214"/>
      <c r="K778" s="268"/>
      <c r="L778" s="214"/>
      <c r="M778" s="269"/>
      <c r="N778" s="214"/>
      <c r="O778" s="214"/>
      <c r="P778" s="214"/>
      <c r="Q778" s="214"/>
      <c r="R778" s="214"/>
      <c r="S778" s="214"/>
      <c r="T778" s="214"/>
      <c r="U778" s="214"/>
      <c r="V778" s="214"/>
      <c r="W778" s="214"/>
      <c r="X778" s="214"/>
      <c r="Y778" s="261"/>
      <c r="Z778" s="262"/>
      <c r="AA778" s="262"/>
      <c r="AB778" s="270"/>
      <c r="AC778" s="214"/>
      <c r="AD778" s="214"/>
      <c r="AE778" s="214"/>
      <c r="AF778" s="214"/>
      <c r="AG778" s="214"/>
      <c r="AH778" s="214"/>
      <c r="AI778" s="261"/>
      <c r="AJ778" s="214"/>
      <c r="AK778" s="261"/>
      <c r="AL778" s="261"/>
      <c r="AM778" s="264"/>
      <c r="AN778" s="214"/>
      <c r="AO778" s="271"/>
      <c r="AP778" s="271"/>
      <c r="AQ778" s="271"/>
      <c r="AR778" s="271"/>
      <c r="AS778" s="272"/>
      <c r="AT778" s="272"/>
      <c r="AU778" s="214"/>
      <c r="AV778" s="214"/>
    </row>
    <row r="779" ht="15.75" customHeight="1">
      <c r="A779" s="214"/>
      <c r="B779" s="261"/>
      <c r="C779" s="266"/>
      <c r="D779" s="267"/>
      <c r="E779" s="214"/>
      <c r="F779" s="214"/>
      <c r="G779" s="214"/>
      <c r="H779" s="214"/>
      <c r="I779" s="214"/>
      <c r="J779" s="214"/>
      <c r="K779" s="268"/>
      <c r="L779" s="214"/>
      <c r="M779" s="269"/>
      <c r="N779" s="214"/>
      <c r="O779" s="214"/>
      <c r="P779" s="214"/>
      <c r="Q779" s="214"/>
      <c r="R779" s="214"/>
      <c r="S779" s="214"/>
      <c r="T779" s="214"/>
      <c r="U779" s="214"/>
      <c r="V779" s="214"/>
      <c r="W779" s="214"/>
      <c r="X779" s="214"/>
      <c r="Y779" s="261"/>
      <c r="Z779" s="262"/>
      <c r="AA779" s="262"/>
      <c r="AB779" s="270"/>
      <c r="AC779" s="214"/>
      <c r="AD779" s="214"/>
      <c r="AE779" s="214"/>
      <c r="AF779" s="214"/>
      <c r="AG779" s="214"/>
      <c r="AH779" s="214"/>
      <c r="AI779" s="261"/>
      <c r="AJ779" s="214"/>
      <c r="AK779" s="261"/>
      <c r="AL779" s="261"/>
      <c r="AM779" s="264"/>
      <c r="AN779" s="214"/>
      <c r="AO779" s="271"/>
      <c r="AP779" s="271"/>
      <c r="AQ779" s="271"/>
      <c r="AR779" s="271"/>
      <c r="AS779" s="272"/>
      <c r="AT779" s="272"/>
      <c r="AU779" s="214"/>
      <c r="AV779" s="214"/>
    </row>
    <row r="780" ht="15.75" customHeight="1">
      <c r="A780" s="214"/>
      <c r="B780" s="261"/>
      <c r="C780" s="266"/>
      <c r="D780" s="267"/>
      <c r="E780" s="214"/>
      <c r="F780" s="214"/>
      <c r="G780" s="214"/>
      <c r="H780" s="214"/>
      <c r="I780" s="214"/>
      <c r="J780" s="214"/>
      <c r="K780" s="268"/>
      <c r="L780" s="214"/>
      <c r="M780" s="269"/>
      <c r="N780" s="214"/>
      <c r="O780" s="214"/>
      <c r="P780" s="214"/>
      <c r="Q780" s="214"/>
      <c r="R780" s="214"/>
      <c r="S780" s="214"/>
      <c r="T780" s="214"/>
      <c r="U780" s="214"/>
      <c r="V780" s="214"/>
      <c r="W780" s="214"/>
      <c r="X780" s="214"/>
      <c r="Y780" s="261"/>
      <c r="Z780" s="262"/>
      <c r="AA780" s="262"/>
      <c r="AB780" s="270"/>
      <c r="AC780" s="214"/>
      <c r="AD780" s="214"/>
      <c r="AE780" s="214"/>
      <c r="AF780" s="214"/>
      <c r="AG780" s="214"/>
      <c r="AH780" s="214"/>
      <c r="AI780" s="261"/>
      <c r="AJ780" s="214"/>
      <c r="AK780" s="261"/>
      <c r="AL780" s="261"/>
      <c r="AM780" s="264"/>
      <c r="AN780" s="214"/>
      <c r="AO780" s="271"/>
      <c r="AP780" s="271"/>
      <c r="AQ780" s="271"/>
      <c r="AR780" s="271"/>
      <c r="AS780" s="272"/>
      <c r="AT780" s="272"/>
      <c r="AU780" s="214"/>
      <c r="AV780" s="214"/>
    </row>
    <row r="781" ht="15.75" customHeight="1">
      <c r="A781" s="214"/>
      <c r="B781" s="261"/>
      <c r="C781" s="266"/>
      <c r="D781" s="267"/>
      <c r="E781" s="214"/>
      <c r="F781" s="214"/>
      <c r="G781" s="214"/>
      <c r="H781" s="214"/>
      <c r="I781" s="214"/>
      <c r="J781" s="214"/>
      <c r="K781" s="268"/>
      <c r="L781" s="214"/>
      <c r="M781" s="269"/>
      <c r="N781" s="214"/>
      <c r="O781" s="214"/>
      <c r="P781" s="214"/>
      <c r="Q781" s="214"/>
      <c r="R781" s="214"/>
      <c r="S781" s="214"/>
      <c r="T781" s="214"/>
      <c r="U781" s="214"/>
      <c r="V781" s="214"/>
      <c r="W781" s="214"/>
      <c r="X781" s="214"/>
      <c r="Y781" s="261"/>
      <c r="Z781" s="262"/>
      <c r="AA781" s="262"/>
      <c r="AB781" s="270"/>
      <c r="AC781" s="214"/>
      <c r="AD781" s="214"/>
      <c r="AE781" s="214"/>
      <c r="AF781" s="214"/>
      <c r="AG781" s="214"/>
      <c r="AH781" s="214"/>
      <c r="AI781" s="261"/>
      <c r="AJ781" s="214"/>
      <c r="AK781" s="261"/>
      <c r="AL781" s="261"/>
      <c r="AM781" s="264"/>
      <c r="AN781" s="214"/>
      <c r="AO781" s="271"/>
      <c r="AP781" s="271"/>
      <c r="AQ781" s="271"/>
      <c r="AR781" s="271"/>
      <c r="AS781" s="272"/>
      <c r="AT781" s="272"/>
      <c r="AU781" s="214"/>
      <c r="AV781" s="214"/>
    </row>
    <row r="782" ht="15.75" customHeight="1">
      <c r="A782" s="214"/>
      <c r="B782" s="261"/>
      <c r="C782" s="266"/>
      <c r="D782" s="267"/>
      <c r="E782" s="214"/>
      <c r="F782" s="214"/>
      <c r="G782" s="214"/>
      <c r="H782" s="214"/>
      <c r="I782" s="214"/>
      <c r="J782" s="214"/>
      <c r="K782" s="268"/>
      <c r="L782" s="214"/>
      <c r="M782" s="269"/>
      <c r="N782" s="214"/>
      <c r="O782" s="214"/>
      <c r="P782" s="214"/>
      <c r="Q782" s="214"/>
      <c r="R782" s="214"/>
      <c r="S782" s="214"/>
      <c r="T782" s="214"/>
      <c r="U782" s="214"/>
      <c r="V782" s="214"/>
      <c r="W782" s="214"/>
      <c r="X782" s="214"/>
      <c r="Y782" s="261"/>
      <c r="Z782" s="262"/>
      <c r="AA782" s="262"/>
      <c r="AB782" s="270"/>
      <c r="AC782" s="214"/>
      <c r="AD782" s="214"/>
      <c r="AE782" s="214"/>
      <c r="AF782" s="214"/>
      <c r="AG782" s="214"/>
      <c r="AH782" s="214"/>
      <c r="AI782" s="261"/>
      <c r="AJ782" s="214"/>
      <c r="AK782" s="261"/>
      <c r="AL782" s="261"/>
      <c r="AM782" s="264"/>
      <c r="AN782" s="214"/>
      <c r="AO782" s="271"/>
      <c r="AP782" s="271"/>
      <c r="AQ782" s="271"/>
      <c r="AR782" s="271"/>
      <c r="AS782" s="272"/>
      <c r="AT782" s="272"/>
      <c r="AU782" s="214"/>
      <c r="AV782" s="214"/>
    </row>
    <row r="783" ht="15.75" customHeight="1">
      <c r="A783" s="214"/>
      <c r="B783" s="261"/>
      <c r="C783" s="266"/>
      <c r="D783" s="267"/>
      <c r="E783" s="214"/>
      <c r="F783" s="214"/>
      <c r="G783" s="214"/>
      <c r="H783" s="214"/>
      <c r="I783" s="214"/>
      <c r="J783" s="214"/>
      <c r="K783" s="268"/>
      <c r="L783" s="214"/>
      <c r="M783" s="269"/>
      <c r="N783" s="214"/>
      <c r="O783" s="214"/>
      <c r="P783" s="214"/>
      <c r="Q783" s="214"/>
      <c r="R783" s="214"/>
      <c r="S783" s="214"/>
      <c r="T783" s="214"/>
      <c r="U783" s="214"/>
      <c r="V783" s="214"/>
      <c r="W783" s="214"/>
      <c r="X783" s="214"/>
      <c r="Y783" s="261"/>
      <c r="Z783" s="262"/>
      <c r="AA783" s="262"/>
      <c r="AB783" s="270"/>
      <c r="AC783" s="214"/>
      <c r="AD783" s="214"/>
      <c r="AE783" s="214"/>
      <c r="AF783" s="214"/>
      <c r="AG783" s="214"/>
      <c r="AH783" s="214"/>
      <c r="AI783" s="261"/>
      <c r="AJ783" s="214"/>
      <c r="AK783" s="261"/>
      <c r="AL783" s="261"/>
      <c r="AM783" s="264"/>
      <c r="AN783" s="214"/>
      <c r="AO783" s="271"/>
      <c r="AP783" s="271"/>
      <c r="AQ783" s="271"/>
      <c r="AR783" s="271"/>
      <c r="AS783" s="272"/>
      <c r="AT783" s="272"/>
      <c r="AU783" s="214"/>
      <c r="AV783" s="214"/>
    </row>
    <row r="784" ht="15.75" customHeight="1">
      <c r="A784" s="214"/>
      <c r="B784" s="261"/>
      <c r="C784" s="266"/>
      <c r="D784" s="267"/>
      <c r="E784" s="214"/>
      <c r="F784" s="214"/>
      <c r="G784" s="214"/>
      <c r="H784" s="214"/>
      <c r="I784" s="214"/>
      <c r="J784" s="214"/>
      <c r="K784" s="268"/>
      <c r="L784" s="214"/>
      <c r="M784" s="269"/>
      <c r="N784" s="214"/>
      <c r="O784" s="214"/>
      <c r="P784" s="214"/>
      <c r="Q784" s="214"/>
      <c r="R784" s="214"/>
      <c r="S784" s="214"/>
      <c r="T784" s="214"/>
      <c r="U784" s="214"/>
      <c r="V784" s="214"/>
      <c r="W784" s="214"/>
      <c r="X784" s="214"/>
      <c r="Y784" s="261"/>
      <c r="Z784" s="262"/>
      <c r="AA784" s="262"/>
      <c r="AB784" s="270"/>
      <c r="AC784" s="214"/>
      <c r="AD784" s="214"/>
      <c r="AE784" s="214"/>
      <c r="AF784" s="214"/>
      <c r="AG784" s="214"/>
      <c r="AH784" s="214"/>
      <c r="AI784" s="261"/>
      <c r="AJ784" s="214"/>
      <c r="AK784" s="261"/>
      <c r="AL784" s="261"/>
      <c r="AM784" s="264"/>
      <c r="AN784" s="214"/>
      <c r="AO784" s="271"/>
      <c r="AP784" s="271"/>
      <c r="AQ784" s="271"/>
      <c r="AR784" s="271"/>
      <c r="AS784" s="272"/>
      <c r="AT784" s="272"/>
      <c r="AU784" s="214"/>
      <c r="AV784" s="214"/>
    </row>
    <row r="785" ht="15.75" customHeight="1">
      <c r="A785" s="214"/>
      <c r="B785" s="261"/>
      <c r="C785" s="266"/>
      <c r="D785" s="267"/>
      <c r="E785" s="214"/>
      <c r="F785" s="214"/>
      <c r="G785" s="214"/>
      <c r="H785" s="214"/>
      <c r="I785" s="214"/>
      <c r="J785" s="214"/>
      <c r="K785" s="268"/>
      <c r="L785" s="214"/>
      <c r="M785" s="269"/>
      <c r="N785" s="214"/>
      <c r="O785" s="214"/>
      <c r="P785" s="214"/>
      <c r="Q785" s="214"/>
      <c r="R785" s="214"/>
      <c r="S785" s="214"/>
      <c r="T785" s="214"/>
      <c r="U785" s="214"/>
      <c r="V785" s="214"/>
      <c r="W785" s="214"/>
      <c r="X785" s="214"/>
      <c r="Y785" s="261"/>
      <c r="Z785" s="262"/>
      <c r="AA785" s="262"/>
      <c r="AB785" s="270"/>
      <c r="AC785" s="214"/>
      <c r="AD785" s="214"/>
      <c r="AE785" s="214"/>
      <c r="AF785" s="214"/>
      <c r="AG785" s="214"/>
      <c r="AH785" s="214"/>
      <c r="AI785" s="261"/>
      <c r="AJ785" s="214"/>
      <c r="AK785" s="261"/>
      <c r="AL785" s="261"/>
      <c r="AM785" s="264"/>
      <c r="AN785" s="214"/>
      <c r="AO785" s="271"/>
      <c r="AP785" s="271"/>
      <c r="AQ785" s="271"/>
      <c r="AR785" s="271"/>
      <c r="AS785" s="272"/>
      <c r="AT785" s="272"/>
      <c r="AU785" s="214"/>
      <c r="AV785" s="214"/>
    </row>
    <row r="786" ht="15.75" customHeight="1">
      <c r="A786" s="214"/>
      <c r="B786" s="261"/>
      <c r="C786" s="266"/>
      <c r="D786" s="267"/>
      <c r="E786" s="214"/>
      <c r="F786" s="214"/>
      <c r="G786" s="214"/>
      <c r="H786" s="214"/>
      <c r="I786" s="214"/>
      <c r="J786" s="214"/>
      <c r="K786" s="268"/>
      <c r="L786" s="214"/>
      <c r="M786" s="269"/>
      <c r="N786" s="214"/>
      <c r="O786" s="214"/>
      <c r="P786" s="214"/>
      <c r="Q786" s="214"/>
      <c r="R786" s="214"/>
      <c r="S786" s="214"/>
      <c r="T786" s="214"/>
      <c r="U786" s="214"/>
      <c r="V786" s="214"/>
      <c r="W786" s="214"/>
      <c r="X786" s="214"/>
      <c r="Y786" s="261"/>
      <c r="Z786" s="262"/>
      <c r="AA786" s="262"/>
      <c r="AB786" s="270"/>
      <c r="AC786" s="214"/>
      <c r="AD786" s="214"/>
      <c r="AE786" s="214"/>
      <c r="AF786" s="214"/>
      <c r="AG786" s="214"/>
      <c r="AH786" s="214"/>
      <c r="AI786" s="261"/>
      <c r="AJ786" s="214"/>
      <c r="AK786" s="261"/>
      <c r="AL786" s="261"/>
      <c r="AM786" s="264"/>
      <c r="AN786" s="214"/>
      <c r="AO786" s="271"/>
      <c r="AP786" s="271"/>
      <c r="AQ786" s="271"/>
      <c r="AR786" s="271"/>
      <c r="AS786" s="272"/>
      <c r="AT786" s="272"/>
      <c r="AU786" s="214"/>
      <c r="AV786" s="214"/>
    </row>
    <row r="787" ht="15.75" customHeight="1">
      <c r="A787" s="214"/>
      <c r="B787" s="261"/>
      <c r="C787" s="266"/>
      <c r="D787" s="267"/>
      <c r="E787" s="214"/>
      <c r="F787" s="214"/>
      <c r="G787" s="214"/>
      <c r="H787" s="214"/>
      <c r="I787" s="214"/>
      <c r="J787" s="214"/>
      <c r="K787" s="268"/>
      <c r="L787" s="214"/>
      <c r="M787" s="269"/>
      <c r="N787" s="214"/>
      <c r="O787" s="214"/>
      <c r="P787" s="214"/>
      <c r="Q787" s="214"/>
      <c r="R787" s="214"/>
      <c r="S787" s="214"/>
      <c r="T787" s="214"/>
      <c r="U787" s="214"/>
      <c r="V787" s="214"/>
      <c r="W787" s="214"/>
      <c r="X787" s="214"/>
      <c r="Y787" s="261"/>
      <c r="Z787" s="262"/>
      <c r="AA787" s="262"/>
      <c r="AB787" s="270"/>
      <c r="AC787" s="214"/>
      <c r="AD787" s="214"/>
      <c r="AE787" s="214"/>
      <c r="AF787" s="214"/>
      <c r="AG787" s="214"/>
      <c r="AH787" s="214"/>
      <c r="AI787" s="261"/>
      <c r="AJ787" s="214"/>
      <c r="AK787" s="261"/>
      <c r="AL787" s="261"/>
      <c r="AM787" s="264"/>
      <c r="AN787" s="214"/>
      <c r="AO787" s="271"/>
      <c r="AP787" s="271"/>
      <c r="AQ787" s="271"/>
      <c r="AR787" s="271"/>
      <c r="AS787" s="272"/>
      <c r="AT787" s="272"/>
      <c r="AU787" s="214"/>
      <c r="AV787" s="214"/>
    </row>
    <row r="788" ht="15.75" customHeight="1">
      <c r="A788" s="214"/>
      <c r="B788" s="261"/>
      <c r="C788" s="266"/>
      <c r="D788" s="267"/>
      <c r="E788" s="214"/>
      <c r="F788" s="214"/>
      <c r="G788" s="214"/>
      <c r="H788" s="214"/>
      <c r="I788" s="214"/>
      <c r="J788" s="214"/>
      <c r="K788" s="268"/>
      <c r="L788" s="214"/>
      <c r="M788" s="269"/>
      <c r="N788" s="214"/>
      <c r="O788" s="214"/>
      <c r="P788" s="214"/>
      <c r="Q788" s="214"/>
      <c r="R788" s="214"/>
      <c r="S788" s="214"/>
      <c r="T788" s="214"/>
      <c r="U788" s="214"/>
      <c r="V788" s="214"/>
      <c r="W788" s="214"/>
      <c r="X788" s="214"/>
      <c r="Y788" s="261"/>
      <c r="Z788" s="262"/>
      <c r="AA788" s="262"/>
      <c r="AB788" s="270"/>
      <c r="AC788" s="214"/>
      <c r="AD788" s="214"/>
      <c r="AE788" s="214"/>
      <c r="AF788" s="214"/>
      <c r="AG788" s="214"/>
      <c r="AH788" s="214"/>
      <c r="AI788" s="261"/>
      <c r="AJ788" s="214"/>
      <c r="AK788" s="261"/>
      <c r="AL788" s="261"/>
      <c r="AM788" s="264"/>
      <c r="AN788" s="214"/>
      <c r="AO788" s="271"/>
      <c r="AP788" s="271"/>
      <c r="AQ788" s="271"/>
      <c r="AR788" s="271"/>
      <c r="AS788" s="272"/>
      <c r="AT788" s="272"/>
      <c r="AU788" s="214"/>
      <c r="AV788" s="214"/>
    </row>
    <row r="789" ht="15.75" customHeight="1">
      <c r="A789" s="214"/>
      <c r="B789" s="261"/>
      <c r="C789" s="266"/>
      <c r="D789" s="267"/>
      <c r="E789" s="214"/>
      <c r="F789" s="214"/>
      <c r="G789" s="214"/>
      <c r="H789" s="214"/>
      <c r="I789" s="214"/>
      <c r="J789" s="214"/>
      <c r="K789" s="268"/>
      <c r="L789" s="214"/>
      <c r="M789" s="269"/>
      <c r="N789" s="214"/>
      <c r="O789" s="214"/>
      <c r="P789" s="214"/>
      <c r="Q789" s="214"/>
      <c r="R789" s="214"/>
      <c r="S789" s="214"/>
      <c r="T789" s="214"/>
      <c r="U789" s="214"/>
      <c r="V789" s="214"/>
      <c r="W789" s="214"/>
      <c r="X789" s="214"/>
      <c r="Y789" s="261"/>
      <c r="Z789" s="262"/>
      <c r="AA789" s="262"/>
      <c r="AB789" s="270"/>
      <c r="AC789" s="214"/>
      <c r="AD789" s="214"/>
      <c r="AE789" s="214"/>
      <c r="AF789" s="214"/>
      <c r="AG789" s="214"/>
      <c r="AH789" s="214"/>
      <c r="AI789" s="261"/>
      <c r="AJ789" s="214"/>
      <c r="AK789" s="261"/>
      <c r="AL789" s="261"/>
      <c r="AM789" s="264"/>
      <c r="AN789" s="214"/>
      <c r="AO789" s="271"/>
      <c r="AP789" s="271"/>
      <c r="AQ789" s="271"/>
      <c r="AR789" s="271"/>
      <c r="AS789" s="272"/>
      <c r="AT789" s="272"/>
      <c r="AU789" s="214"/>
      <c r="AV789" s="214"/>
    </row>
    <row r="790" ht="15.75" customHeight="1">
      <c r="A790" s="214"/>
      <c r="B790" s="261"/>
      <c r="C790" s="266"/>
      <c r="D790" s="267"/>
      <c r="E790" s="214"/>
      <c r="F790" s="214"/>
      <c r="G790" s="214"/>
      <c r="H790" s="214"/>
      <c r="I790" s="214"/>
      <c r="J790" s="214"/>
      <c r="K790" s="268"/>
      <c r="L790" s="214"/>
      <c r="M790" s="269"/>
      <c r="N790" s="214"/>
      <c r="O790" s="214"/>
      <c r="P790" s="214"/>
      <c r="Q790" s="214"/>
      <c r="R790" s="214"/>
      <c r="S790" s="214"/>
      <c r="T790" s="214"/>
      <c r="U790" s="214"/>
      <c r="V790" s="214"/>
      <c r="W790" s="214"/>
      <c r="X790" s="214"/>
      <c r="Y790" s="261"/>
      <c r="Z790" s="262"/>
      <c r="AA790" s="262"/>
      <c r="AB790" s="270"/>
      <c r="AC790" s="214"/>
      <c r="AD790" s="214"/>
      <c r="AE790" s="214"/>
      <c r="AF790" s="214"/>
      <c r="AG790" s="214"/>
      <c r="AH790" s="214"/>
      <c r="AI790" s="261"/>
      <c r="AJ790" s="214"/>
      <c r="AK790" s="261"/>
      <c r="AL790" s="261"/>
      <c r="AM790" s="264"/>
      <c r="AN790" s="214"/>
      <c r="AO790" s="271"/>
      <c r="AP790" s="271"/>
      <c r="AQ790" s="271"/>
      <c r="AR790" s="271"/>
      <c r="AS790" s="272"/>
      <c r="AT790" s="272"/>
      <c r="AU790" s="214"/>
      <c r="AV790" s="214"/>
    </row>
    <row r="791" ht="15.75" customHeight="1">
      <c r="A791" s="214"/>
      <c r="B791" s="261"/>
      <c r="C791" s="266"/>
      <c r="D791" s="267"/>
      <c r="E791" s="214"/>
      <c r="F791" s="214"/>
      <c r="G791" s="214"/>
      <c r="H791" s="214"/>
      <c r="I791" s="214"/>
      <c r="J791" s="214"/>
      <c r="K791" s="268"/>
      <c r="L791" s="214"/>
      <c r="M791" s="269"/>
      <c r="N791" s="214"/>
      <c r="O791" s="214"/>
      <c r="P791" s="214"/>
      <c r="Q791" s="214"/>
      <c r="R791" s="214"/>
      <c r="S791" s="214"/>
      <c r="T791" s="214"/>
      <c r="U791" s="214"/>
      <c r="V791" s="214"/>
      <c r="W791" s="214"/>
      <c r="X791" s="214"/>
      <c r="Y791" s="261"/>
      <c r="Z791" s="262"/>
      <c r="AA791" s="262"/>
      <c r="AB791" s="270"/>
      <c r="AC791" s="214"/>
      <c r="AD791" s="214"/>
      <c r="AE791" s="214"/>
      <c r="AF791" s="214"/>
      <c r="AG791" s="214"/>
      <c r="AH791" s="214"/>
      <c r="AI791" s="261"/>
      <c r="AJ791" s="214"/>
      <c r="AK791" s="261"/>
      <c r="AL791" s="261"/>
      <c r="AM791" s="264"/>
      <c r="AN791" s="214"/>
      <c r="AO791" s="271"/>
      <c r="AP791" s="271"/>
      <c r="AQ791" s="271"/>
      <c r="AR791" s="271"/>
      <c r="AS791" s="272"/>
      <c r="AT791" s="272"/>
      <c r="AU791" s="214"/>
      <c r="AV791" s="214"/>
    </row>
    <row r="792" ht="15.75" customHeight="1">
      <c r="A792" s="214"/>
      <c r="B792" s="261"/>
      <c r="C792" s="266"/>
      <c r="D792" s="267"/>
      <c r="E792" s="214"/>
      <c r="F792" s="214"/>
      <c r="G792" s="214"/>
      <c r="H792" s="214"/>
      <c r="I792" s="214"/>
      <c r="J792" s="214"/>
      <c r="K792" s="268"/>
      <c r="L792" s="214"/>
      <c r="M792" s="269"/>
      <c r="N792" s="214"/>
      <c r="O792" s="214"/>
      <c r="P792" s="214"/>
      <c r="Q792" s="214"/>
      <c r="R792" s="214"/>
      <c r="S792" s="214"/>
      <c r="T792" s="214"/>
      <c r="U792" s="214"/>
      <c r="V792" s="214"/>
      <c r="W792" s="214"/>
      <c r="X792" s="214"/>
      <c r="Y792" s="261"/>
      <c r="Z792" s="262"/>
      <c r="AA792" s="262"/>
      <c r="AB792" s="270"/>
      <c r="AC792" s="214"/>
      <c r="AD792" s="214"/>
      <c r="AE792" s="214"/>
      <c r="AF792" s="214"/>
      <c r="AG792" s="214"/>
      <c r="AH792" s="214"/>
      <c r="AI792" s="261"/>
      <c r="AJ792" s="214"/>
      <c r="AK792" s="261"/>
      <c r="AL792" s="261"/>
      <c r="AM792" s="264"/>
      <c r="AN792" s="214"/>
      <c r="AO792" s="271"/>
      <c r="AP792" s="271"/>
      <c r="AQ792" s="271"/>
      <c r="AR792" s="271"/>
      <c r="AS792" s="272"/>
      <c r="AT792" s="272"/>
      <c r="AU792" s="214"/>
      <c r="AV792" s="214"/>
    </row>
    <row r="793" ht="15.75" customHeight="1">
      <c r="A793" s="214"/>
      <c r="B793" s="261"/>
      <c r="C793" s="266"/>
      <c r="D793" s="267"/>
      <c r="E793" s="214"/>
      <c r="F793" s="214"/>
      <c r="G793" s="214"/>
      <c r="H793" s="214"/>
      <c r="I793" s="214"/>
      <c r="J793" s="214"/>
      <c r="K793" s="268"/>
      <c r="L793" s="214"/>
      <c r="M793" s="269"/>
      <c r="N793" s="214"/>
      <c r="O793" s="214"/>
      <c r="P793" s="214"/>
      <c r="Q793" s="214"/>
      <c r="R793" s="214"/>
      <c r="S793" s="214"/>
      <c r="T793" s="214"/>
      <c r="U793" s="214"/>
      <c r="V793" s="214"/>
      <c r="W793" s="214"/>
      <c r="X793" s="214"/>
      <c r="Y793" s="261"/>
      <c r="Z793" s="262"/>
      <c r="AA793" s="262"/>
      <c r="AB793" s="270"/>
      <c r="AC793" s="214"/>
      <c r="AD793" s="214"/>
      <c r="AE793" s="214"/>
      <c r="AF793" s="214"/>
      <c r="AG793" s="214"/>
      <c r="AH793" s="214"/>
      <c r="AI793" s="261"/>
      <c r="AJ793" s="214"/>
      <c r="AK793" s="261"/>
      <c r="AL793" s="261"/>
      <c r="AM793" s="264"/>
      <c r="AN793" s="214"/>
      <c r="AO793" s="271"/>
      <c r="AP793" s="271"/>
      <c r="AQ793" s="271"/>
      <c r="AR793" s="271"/>
      <c r="AS793" s="272"/>
      <c r="AT793" s="272"/>
      <c r="AU793" s="214"/>
      <c r="AV793" s="214"/>
    </row>
    <row r="794" ht="15.75" customHeight="1">
      <c r="A794" s="214"/>
      <c r="B794" s="261"/>
      <c r="C794" s="266"/>
      <c r="D794" s="267"/>
      <c r="E794" s="214"/>
      <c r="F794" s="214"/>
      <c r="G794" s="214"/>
      <c r="H794" s="214"/>
      <c r="I794" s="214"/>
      <c r="J794" s="214"/>
      <c r="K794" s="268"/>
      <c r="L794" s="214"/>
      <c r="M794" s="269"/>
      <c r="N794" s="214"/>
      <c r="O794" s="214"/>
      <c r="P794" s="214"/>
      <c r="Q794" s="214"/>
      <c r="R794" s="214"/>
      <c r="S794" s="214"/>
      <c r="T794" s="214"/>
      <c r="U794" s="214"/>
      <c r="V794" s="214"/>
      <c r="W794" s="214"/>
      <c r="X794" s="214"/>
      <c r="Y794" s="261"/>
      <c r="Z794" s="262"/>
      <c r="AA794" s="262"/>
      <c r="AB794" s="270"/>
      <c r="AC794" s="214"/>
      <c r="AD794" s="214"/>
      <c r="AE794" s="214"/>
      <c r="AF794" s="214"/>
      <c r="AG794" s="214"/>
      <c r="AH794" s="214"/>
      <c r="AI794" s="261"/>
      <c r="AJ794" s="214"/>
      <c r="AK794" s="261"/>
      <c r="AL794" s="261"/>
      <c r="AM794" s="264"/>
      <c r="AN794" s="214"/>
      <c r="AO794" s="271"/>
      <c r="AP794" s="271"/>
      <c r="AQ794" s="271"/>
      <c r="AR794" s="271"/>
      <c r="AS794" s="272"/>
      <c r="AT794" s="272"/>
      <c r="AU794" s="214"/>
      <c r="AV794" s="214"/>
    </row>
    <row r="795" ht="15.75" customHeight="1">
      <c r="A795" s="214"/>
      <c r="B795" s="261"/>
      <c r="C795" s="266"/>
      <c r="D795" s="267"/>
      <c r="E795" s="214"/>
      <c r="F795" s="214"/>
      <c r="G795" s="214"/>
      <c r="H795" s="214"/>
      <c r="I795" s="214"/>
      <c r="J795" s="214"/>
      <c r="K795" s="268"/>
      <c r="L795" s="214"/>
      <c r="M795" s="269"/>
      <c r="N795" s="214"/>
      <c r="O795" s="214"/>
      <c r="P795" s="214"/>
      <c r="Q795" s="214"/>
      <c r="R795" s="214"/>
      <c r="S795" s="214"/>
      <c r="T795" s="214"/>
      <c r="U795" s="214"/>
      <c r="V795" s="214"/>
      <c r="W795" s="214"/>
      <c r="X795" s="214"/>
      <c r="Y795" s="261"/>
      <c r="Z795" s="262"/>
      <c r="AA795" s="262"/>
      <c r="AB795" s="270"/>
      <c r="AC795" s="214"/>
      <c r="AD795" s="214"/>
      <c r="AE795" s="214"/>
      <c r="AF795" s="214"/>
      <c r="AG795" s="214"/>
      <c r="AH795" s="214"/>
      <c r="AI795" s="261"/>
      <c r="AJ795" s="214"/>
      <c r="AK795" s="261"/>
      <c r="AL795" s="261"/>
      <c r="AM795" s="264"/>
      <c r="AN795" s="214"/>
      <c r="AO795" s="271"/>
      <c r="AP795" s="271"/>
      <c r="AQ795" s="271"/>
      <c r="AR795" s="271"/>
      <c r="AS795" s="272"/>
      <c r="AT795" s="272"/>
      <c r="AU795" s="214"/>
      <c r="AV795" s="214"/>
    </row>
    <row r="796" ht="15.75" customHeight="1">
      <c r="A796" s="214"/>
      <c r="B796" s="261"/>
      <c r="C796" s="266"/>
      <c r="D796" s="267"/>
      <c r="E796" s="214"/>
      <c r="F796" s="214"/>
      <c r="G796" s="214"/>
      <c r="H796" s="214"/>
      <c r="I796" s="214"/>
      <c r="J796" s="214"/>
      <c r="K796" s="268"/>
      <c r="L796" s="214"/>
      <c r="M796" s="269"/>
      <c r="N796" s="214"/>
      <c r="O796" s="214"/>
      <c r="P796" s="214"/>
      <c r="Q796" s="214"/>
      <c r="R796" s="214"/>
      <c r="S796" s="214"/>
      <c r="T796" s="214"/>
      <c r="U796" s="214"/>
      <c r="V796" s="214"/>
      <c r="W796" s="214"/>
      <c r="X796" s="214"/>
      <c r="Y796" s="261"/>
      <c r="Z796" s="262"/>
      <c r="AA796" s="262"/>
      <c r="AB796" s="270"/>
      <c r="AC796" s="214"/>
      <c r="AD796" s="214"/>
      <c r="AE796" s="214"/>
      <c r="AF796" s="214"/>
      <c r="AG796" s="214"/>
      <c r="AH796" s="214"/>
      <c r="AI796" s="261"/>
      <c r="AJ796" s="214"/>
      <c r="AK796" s="261"/>
      <c r="AL796" s="261"/>
      <c r="AM796" s="264"/>
      <c r="AN796" s="214"/>
      <c r="AO796" s="271"/>
      <c r="AP796" s="271"/>
      <c r="AQ796" s="271"/>
      <c r="AR796" s="271"/>
      <c r="AS796" s="272"/>
      <c r="AT796" s="272"/>
      <c r="AU796" s="214"/>
      <c r="AV796" s="214"/>
    </row>
    <row r="797" ht="15.75" customHeight="1">
      <c r="A797" s="214"/>
      <c r="B797" s="261"/>
      <c r="C797" s="266"/>
      <c r="D797" s="267"/>
      <c r="E797" s="214"/>
      <c r="F797" s="214"/>
      <c r="G797" s="214"/>
      <c r="H797" s="214"/>
      <c r="I797" s="214"/>
      <c r="J797" s="214"/>
      <c r="K797" s="268"/>
      <c r="L797" s="214"/>
      <c r="M797" s="269"/>
      <c r="N797" s="214"/>
      <c r="O797" s="214"/>
      <c r="P797" s="214"/>
      <c r="Q797" s="214"/>
      <c r="R797" s="214"/>
      <c r="S797" s="214"/>
      <c r="T797" s="214"/>
      <c r="U797" s="214"/>
      <c r="V797" s="214"/>
      <c r="W797" s="214"/>
      <c r="X797" s="214"/>
      <c r="Y797" s="261"/>
      <c r="Z797" s="262"/>
      <c r="AA797" s="262"/>
      <c r="AB797" s="270"/>
      <c r="AC797" s="214"/>
      <c r="AD797" s="214"/>
      <c r="AE797" s="214"/>
      <c r="AF797" s="214"/>
      <c r="AG797" s="214"/>
      <c r="AH797" s="214"/>
      <c r="AI797" s="261"/>
      <c r="AJ797" s="214"/>
      <c r="AK797" s="261"/>
      <c r="AL797" s="261"/>
      <c r="AM797" s="264"/>
      <c r="AN797" s="214"/>
      <c r="AO797" s="271"/>
      <c r="AP797" s="271"/>
      <c r="AQ797" s="271"/>
      <c r="AR797" s="271"/>
      <c r="AS797" s="272"/>
      <c r="AT797" s="272"/>
      <c r="AU797" s="214"/>
      <c r="AV797" s="214"/>
    </row>
    <row r="798" ht="15.75" customHeight="1">
      <c r="A798" s="214"/>
      <c r="B798" s="261"/>
      <c r="C798" s="266"/>
      <c r="D798" s="267"/>
      <c r="E798" s="214"/>
      <c r="F798" s="214"/>
      <c r="G798" s="214"/>
      <c r="H798" s="214"/>
      <c r="I798" s="214"/>
      <c r="J798" s="214"/>
      <c r="K798" s="268"/>
      <c r="L798" s="214"/>
      <c r="M798" s="269"/>
      <c r="N798" s="214"/>
      <c r="O798" s="214"/>
      <c r="P798" s="214"/>
      <c r="Q798" s="214"/>
      <c r="R798" s="214"/>
      <c r="S798" s="214"/>
      <c r="T798" s="214"/>
      <c r="U798" s="214"/>
      <c r="V798" s="214"/>
      <c r="W798" s="214"/>
      <c r="X798" s="214"/>
      <c r="Y798" s="261"/>
      <c r="Z798" s="262"/>
      <c r="AA798" s="262"/>
      <c r="AB798" s="270"/>
      <c r="AC798" s="214"/>
      <c r="AD798" s="214"/>
      <c r="AE798" s="214"/>
      <c r="AF798" s="214"/>
      <c r="AG798" s="214"/>
      <c r="AH798" s="214"/>
      <c r="AI798" s="261"/>
      <c r="AJ798" s="214"/>
      <c r="AK798" s="261"/>
      <c r="AL798" s="261"/>
      <c r="AM798" s="264"/>
      <c r="AN798" s="214"/>
      <c r="AO798" s="271"/>
      <c r="AP798" s="271"/>
      <c r="AQ798" s="271"/>
      <c r="AR798" s="271"/>
      <c r="AS798" s="272"/>
      <c r="AT798" s="272"/>
      <c r="AU798" s="214"/>
      <c r="AV798" s="214"/>
    </row>
    <row r="799" ht="15.75" customHeight="1">
      <c r="A799" s="214"/>
      <c r="B799" s="261"/>
      <c r="C799" s="266"/>
      <c r="D799" s="267"/>
      <c r="E799" s="214"/>
      <c r="F799" s="214"/>
      <c r="G799" s="214"/>
      <c r="H799" s="214"/>
      <c r="I799" s="214"/>
      <c r="J799" s="214"/>
      <c r="K799" s="268"/>
      <c r="L799" s="214"/>
      <c r="M799" s="269"/>
      <c r="N799" s="214"/>
      <c r="O799" s="214"/>
      <c r="P799" s="214"/>
      <c r="Q799" s="214"/>
      <c r="R799" s="214"/>
      <c r="S799" s="214"/>
      <c r="T799" s="214"/>
      <c r="U799" s="214"/>
      <c r="V799" s="214"/>
      <c r="W799" s="214"/>
      <c r="X799" s="214"/>
      <c r="Y799" s="261"/>
      <c r="Z799" s="262"/>
      <c r="AA799" s="262"/>
      <c r="AB799" s="270"/>
      <c r="AC799" s="214"/>
      <c r="AD799" s="214"/>
      <c r="AE799" s="214"/>
      <c r="AF799" s="214"/>
      <c r="AG799" s="214"/>
      <c r="AH799" s="214"/>
      <c r="AI799" s="261"/>
      <c r="AJ799" s="214"/>
      <c r="AK799" s="261"/>
      <c r="AL799" s="261"/>
      <c r="AM799" s="264"/>
      <c r="AN799" s="214"/>
      <c r="AO799" s="271"/>
      <c r="AP799" s="271"/>
      <c r="AQ799" s="271"/>
      <c r="AR799" s="271"/>
      <c r="AS799" s="272"/>
      <c r="AT799" s="272"/>
      <c r="AU799" s="214"/>
      <c r="AV799" s="214"/>
    </row>
    <row r="800" ht="15.75" customHeight="1">
      <c r="A800" s="214"/>
      <c r="B800" s="261"/>
      <c r="C800" s="266"/>
      <c r="D800" s="267"/>
      <c r="E800" s="214"/>
      <c r="F800" s="214"/>
      <c r="G800" s="214"/>
      <c r="H800" s="214"/>
      <c r="I800" s="214"/>
      <c r="J800" s="214"/>
      <c r="K800" s="268"/>
      <c r="L800" s="214"/>
      <c r="M800" s="269"/>
      <c r="N800" s="214"/>
      <c r="O800" s="214"/>
      <c r="P800" s="214"/>
      <c r="Q800" s="214"/>
      <c r="R800" s="214"/>
      <c r="S800" s="214"/>
      <c r="T800" s="214"/>
      <c r="U800" s="214"/>
      <c r="V800" s="214"/>
      <c r="W800" s="214"/>
      <c r="X800" s="214"/>
      <c r="Y800" s="261"/>
      <c r="Z800" s="262"/>
      <c r="AA800" s="262"/>
      <c r="AB800" s="270"/>
      <c r="AC800" s="214"/>
      <c r="AD800" s="214"/>
      <c r="AE800" s="214"/>
      <c r="AF800" s="214"/>
      <c r="AG800" s="214"/>
      <c r="AH800" s="214"/>
      <c r="AI800" s="261"/>
      <c r="AJ800" s="214"/>
      <c r="AK800" s="261"/>
      <c r="AL800" s="261"/>
      <c r="AM800" s="264"/>
      <c r="AN800" s="214"/>
      <c r="AO800" s="271"/>
      <c r="AP800" s="271"/>
      <c r="AQ800" s="271"/>
      <c r="AR800" s="271"/>
      <c r="AS800" s="272"/>
      <c r="AT800" s="272"/>
      <c r="AU800" s="214"/>
      <c r="AV800" s="214"/>
    </row>
    <row r="801" ht="15.75" customHeight="1">
      <c r="A801" s="214"/>
      <c r="B801" s="261"/>
      <c r="C801" s="266"/>
      <c r="D801" s="267"/>
      <c r="E801" s="214"/>
      <c r="F801" s="214"/>
      <c r="G801" s="214"/>
      <c r="H801" s="214"/>
      <c r="I801" s="214"/>
      <c r="J801" s="214"/>
      <c r="K801" s="268"/>
      <c r="L801" s="214"/>
      <c r="M801" s="269"/>
      <c r="N801" s="214"/>
      <c r="O801" s="214"/>
      <c r="P801" s="214"/>
      <c r="Q801" s="214"/>
      <c r="R801" s="214"/>
      <c r="S801" s="214"/>
      <c r="T801" s="214"/>
      <c r="U801" s="214"/>
      <c r="V801" s="214"/>
      <c r="W801" s="214"/>
      <c r="X801" s="214"/>
      <c r="Y801" s="261"/>
      <c r="Z801" s="262"/>
      <c r="AA801" s="262"/>
      <c r="AB801" s="270"/>
      <c r="AC801" s="214"/>
      <c r="AD801" s="214"/>
      <c r="AE801" s="214"/>
      <c r="AF801" s="214"/>
      <c r="AG801" s="214"/>
      <c r="AH801" s="214"/>
      <c r="AI801" s="261"/>
      <c r="AJ801" s="214"/>
      <c r="AK801" s="261"/>
      <c r="AL801" s="261"/>
      <c r="AM801" s="264"/>
      <c r="AN801" s="214"/>
      <c r="AO801" s="271"/>
      <c r="AP801" s="271"/>
      <c r="AQ801" s="271"/>
      <c r="AR801" s="271"/>
      <c r="AS801" s="272"/>
      <c r="AT801" s="272"/>
      <c r="AU801" s="214"/>
      <c r="AV801" s="214"/>
    </row>
    <row r="802" ht="15.75" customHeight="1">
      <c r="A802" s="214"/>
      <c r="B802" s="261"/>
      <c r="C802" s="266"/>
      <c r="D802" s="267"/>
      <c r="E802" s="214"/>
      <c r="F802" s="214"/>
      <c r="G802" s="214"/>
      <c r="H802" s="214"/>
      <c r="I802" s="214"/>
      <c r="J802" s="214"/>
      <c r="K802" s="268"/>
      <c r="L802" s="214"/>
      <c r="M802" s="269"/>
      <c r="N802" s="214"/>
      <c r="O802" s="214"/>
      <c r="P802" s="214"/>
      <c r="Q802" s="214"/>
      <c r="R802" s="214"/>
      <c r="S802" s="214"/>
      <c r="T802" s="214"/>
      <c r="U802" s="214"/>
      <c r="V802" s="214"/>
      <c r="W802" s="214"/>
      <c r="X802" s="214"/>
      <c r="Y802" s="261"/>
      <c r="Z802" s="262"/>
      <c r="AA802" s="262"/>
      <c r="AB802" s="270"/>
      <c r="AC802" s="214"/>
      <c r="AD802" s="214"/>
      <c r="AE802" s="214"/>
      <c r="AF802" s="214"/>
      <c r="AG802" s="214"/>
      <c r="AH802" s="214"/>
      <c r="AI802" s="261"/>
      <c r="AJ802" s="214"/>
      <c r="AK802" s="261"/>
      <c r="AL802" s="261"/>
      <c r="AM802" s="264"/>
      <c r="AN802" s="214"/>
      <c r="AO802" s="271"/>
      <c r="AP802" s="271"/>
      <c r="AQ802" s="271"/>
      <c r="AR802" s="271"/>
      <c r="AS802" s="272"/>
      <c r="AT802" s="272"/>
      <c r="AU802" s="214"/>
      <c r="AV802" s="214"/>
    </row>
    <row r="803" ht="15.75" customHeight="1">
      <c r="A803" s="214"/>
      <c r="B803" s="261"/>
      <c r="C803" s="266"/>
      <c r="D803" s="267"/>
      <c r="E803" s="214"/>
      <c r="F803" s="214"/>
      <c r="G803" s="214"/>
      <c r="H803" s="214"/>
      <c r="I803" s="214"/>
      <c r="J803" s="214"/>
      <c r="K803" s="268"/>
      <c r="L803" s="214"/>
      <c r="M803" s="269"/>
      <c r="N803" s="214"/>
      <c r="O803" s="214"/>
      <c r="P803" s="214"/>
      <c r="Q803" s="214"/>
      <c r="R803" s="214"/>
      <c r="S803" s="214"/>
      <c r="T803" s="214"/>
      <c r="U803" s="214"/>
      <c r="V803" s="214"/>
      <c r="W803" s="214"/>
      <c r="X803" s="214"/>
      <c r="Y803" s="261"/>
      <c r="Z803" s="262"/>
      <c r="AA803" s="262"/>
      <c r="AB803" s="270"/>
      <c r="AC803" s="214"/>
      <c r="AD803" s="214"/>
      <c r="AE803" s="214"/>
      <c r="AF803" s="214"/>
      <c r="AG803" s="214"/>
      <c r="AH803" s="214"/>
      <c r="AI803" s="261"/>
      <c r="AJ803" s="214"/>
      <c r="AK803" s="261"/>
      <c r="AL803" s="261"/>
      <c r="AM803" s="264"/>
      <c r="AN803" s="214"/>
      <c r="AO803" s="271"/>
      <c r="AP803" s="271"/>
      <c r="AQ803" s="271"/>
      <c r="AR803" s="271"/>
      <c r="AS803" s="272"/>
      <c r="AT803" s="272"/>
      <c r="AU803" s="214"/>
      <c r="AV803" s="214"/>
    </row>
    <row r="804" ht="15.75" customHeight="1">
      <c r="A804" s="214"/>
      <c r="B804" s="261"/>
      <c r="C804" s="266"/>
      <c r="D804" s="267"/>
      <c r="E804" s="214"/>
      <c r="F804" s="214"/>
      <c r="G804" s="214"/>
      <c r="H804" s="214"/>
      <c r="I804" s="214"/>
      <c r="J804" s="214"/>
      <c r="K804" s="268"/>
      <c r="L804" s="214"/>
      <c r="M804" s="269"/>
      <c r="N804" s="214"/>
      <c r="O804" s="214"/>
      <c r="P804" s="214"/>
      <c r="Q804" s="214"/>
      <c r="R804" s="214"/>
      <c r="S804" s="214"/>
      <c r="T804" s="214"/>
      <c r="U804" s="214"/>
      <c r="V804" s="214"/>
      <c r="W804" s="214"/>
      <c r="X804" s="214"/>
      <c r="Y804" s="261"/>
      <c r="Z804" s="262"/>
      <c r="AA804" s="262"/>
      <c r="AB804" s="270"/>
      <c r="AC804" s="214"/>
      <c r="AD804" s="214"/>
      <c r="AE804" s="214"/>
      <c r="AF804" s="214"/>
      <c r="AG804" s="214"/>
      <c r="AH804" s="214"/>
      <c r="AI804" s="261"/>
      <c r="AJ804" s="214"/>
      <c r="AK804" s="261"/>
      <c r="AL804" s="261"/>
      <c r="AM804" s="264"/>
      <c r="AN804" s="214"/>
      <c r="AO804" s="271"/>
      <c r="AP804" s="271"/>
      <c r="AQ804" s="271"/>
      <c r="AR804" s="271"/>
      <c r="AS804" s="272"/>
      <c r="AT804" s="272"/>
      <c r="AU804" s="214"/>
      <c r="AV804" s="214"/>
    </row>
    <row r="805" ht="15.75" customHeight="1">
      <c r="A805" s="214"/>
      <c r="B805" s="261"/>
      <c r="C805" s="266"/>
      <c r="D805" s="267"/>
      <c r="E805" s="214"/>
      <c r="F805" s="214"/>
      <c r="G805" s="214"/>
      <c r="H805" s="214"/>
      <c r="I805" s="214"/>
      <c r="J805" s="214"/>
      <c r="K805" s="268"/>
      <c r="L805" s="214"/>
      <c r="M805" s="269"/>
      <c r="N805" s="214"/>
      <c r="O805" s="214"/>
      <c r="P805" s="214"/>
      <c r="Q805" s="214"/>
      <c r="R805" s="214"/>
      <c r="S805" s="214"/>
      <c r="T805" s="214"/>
      <c r="U805" s="214"/>
      <c r="V805" s="214"/>
      <c r="W805" s="214"/>
      <c r="X805" s="214"/>
      <c r="Y805" s="261"/>
      <c r="Z805" s="262"/>
      <c r="AA805" s="262"/>
      <c r="AB805" s="270"/>
      <c r="AC805" s="214"/>
      <c r="AD805" s="214"/>
      <c r="AE805" s="214"/>
      <c r="AF805" s="214"/>
      <c r="AG805" s="214"/>
      <c r="AH805" s="214"/>
      <c r="AI805" s="261"/>
      <c r="AJ805" s="214"/>
      <c r="AK805" s="261"/>
      <c r="AL805" s="261"/>
      <c r="AM805" s="264"/>
      <c r="AN805" s="214"/>
      <c r="AO805" s="271"/>
      <c r="AP805" s="271"/>
      <c r="AQ805" s="271"/>
      <c r="AR805" s="271"/>
      <c r="AS805" s="272"/>
      <c r="AT805" s="272"/>
      <c r="AU805" s="214"/>
      <c r="AV805" s="214"/>
    </row>
    <row r="806" ht="15.75" customHeight="1">
      <c r="A806" s="214"/>
      <c r="B806" s="261"/>
      <c r="C806" s="266"/>
      <c r="D806" s="267"/>
      <c r="E806" s="214"/>
      <c r="F806" s="214"/>
      <c r="G806" s="214"/>
      <c r="H806" s="214"/>
      <c r="I806" s="214"/>
      <c r="J806" s="214"/>
      <c r="K806" s="268"/>
      <c r="L806" s="214"/>
      <c r="M806" s="269"/>
      <c r="N806" s="214"/>
      <c r="O806" s="214"/>
      <c r="P806" s="214"/>
      <c r="Q806" s="214"/>
      <c r="R806" s="214"/>
      <c r="S806" s="214"/>
      <c r="T806" s="214"/>
      <c r="U806" s="214"/>
      <c r="V806" s="214"/>
      <c r="W806" s="214"/>
      <c r="X806" s="214"/>
      <c r="Y806" s="261"/>
      <c r="Z806" s="262"/>
      <c r="AA806" s="262"/>
      <c r="AB806" s="270"/>
      <c r="AC806" s="214"/>
      <c r="AD806" s="214"/>
      <c r="AE806" s="214"/>
      <c r="AF806" s="214"/>
      <c r="AG806" s="214"/>
      <c r="AH806" s="214"/>
      <c r="AI806" s="261"/>
      <c r="AJ806" s="214"/>
      <c r="AK806" s="261"/>
      <c r="AL806" s="261"/>
      <c r="AM806" s="264"/>
      <c r="AN806" s="214"/>
      <c r="AO806" s="271"/>
      <c r="AP806" s="271"/>
      <c r="AQ806" s="271"/>
      <c r="AR806" s="271"/>
      <c r="AS806" s="272"/>
      <c r="AT806" s="272"/>
      <c r="AU806" s="214"/>
      <c r="AV806" s="214"/>
    </row>
    <row r="807" ht="15.75" customHeight="1">
      <c r="A807" s="214"/>
      <c r="B807" s="261"/>
      <c r="C807" s="266"/>
      <c r="D807" s="267"/>
      <c r="E807" s="214"/>
      <c r="F807" s="214"/>
      <c r="G807" s="214"/>
      <c r="H807" s="214"/>
      <c r="I807" s="214"/>
      <c r="J807" s="214"/>
      <c r="K807" s="268"/>
      <c r="L807" s="214"/>
      <c r="M807" s="269"/>
      <c r="N807" s="214"/>
      <c r="O807" s="214"/>
      <c r="P807" s="214"/>
      <c r="Q807" s="214"/>
      <c r="R807" s="214"/>
      <c r="S807" s="214"/>
      <c r="T807" s="214"/>
      <c r="U807" s="214"/>
      <c r="V807" s="214"/>
      <c r="W807" s="214"/>
      <c r="X807" s="214"/>
      <c r="Y807" s="261"/>
      <c r="Z807" s="262"/>
      <c r="AA807" s="262"/>
      <c r="AB807" s="270"/>
      <c r="AC807" s="214"/>
      <c r="AD807" s="214"/>
      <c r="AE807" s="214"/>
      <c r="AF807" s="214"/>
      <c r="AG807" s="214"/>
      <c r="AH807" s="214"/>
      <c r="AI807" s="261"/>
      <c r="AJ807" s="214"/>
      <c r="AK807" s="261"/>
      <c r="AL807" s="261"/>
      <c r="AM807" s="264"/>
      <c r="AN807" s="214"/>
      <c r="AO807" s="271"/>
      <c r="AP807" s="271"/>
      <c r="AQ807" s="271"/>
      <c r="AR807" s="271"/>
      <c r="AS807" s="272"/>
      <c r="AT807" s="272"/>
      <c r="AU807" s="214"/>
      <c r="AV807" s="214"/>
    </row>
    <row r="808" ht="15.75" customHeight="1">
      <c r="A808" s="214"/>
      <c r="B808" s="261"/>
      <c r="C808" s="266"/>
      <c r="D808" s="267"/>
      <c r="E808" s="214"/>
      <c r="F808" s="214"/>
      <c r="G808" s="214"/>
      <c r="H808" s="214"/>
      <c r="I808" s="214"/>
      <c r="J808" s="214"/>
      <c r="K808" s="268"/>
      <c r="L808" s="214"/>
      <c r="M808" s="269"/>
      <c r="N808" s="214"/>
      <c r="O808" s="214"/>
      <c r="P808" s="214"/>
      <c r="Q808" s="214"/>
      <c r="R808" s="214"/>
      <c r="S808" s="214"/>
      <c r="T808" s="214"/>
      <c r="U808" s="214"/>
      <c r="V808" s="214"/>
      <c r="W808" s="214"/>
      <c r="X808" s="214"/>
      <c r="Y808" s="261"/>
      <c r="Z808" s="262"/>
      <c r="AA808" s="262"/>
      <c r="AB808" s="270"/>
      <c r="AC808" s="214"/>
      <c r="AD808" s="214"/>
      <c r="AE808" s="214"/>
      <c r="AF808" s="214"/>
      <c r="AG808" s="214"/>
      <c r="AH808" s="214"/>
      <c r="AI808" s="261"/>
      <c r="AJ808" s="214"/>
      <c r="AK808" s="261"/>
      <c r="AL808" s="261"/>
      <c r="AM808" s="264"/>
      <c r="AN808" s="214"/>
      <c r="AO808" s="271"/>
      <c r="AP808" s="271"/>
      <c r="AQ808" s="271"/>
      <c r="AR808" s="271"/>
      <c r="AS808" s="272"/>
      <c r="AT808" s="272"/>
      <c r="AU808" s="214"/>
      <c r="AV808" s="214"/>
    </row>
    <row r="809" ht="15.75" customHeight="1">
      <c r="A809" s="214"/>
      <c r="B809" s="261"/>
      <c r="C809" s="266"/>
      <c r="D809" s="267"/>
      <c r="E809" s="214"/>
      <c r="F809" s="214"/>
      <c r="G809" s="214"/>
      <c r="H809" s="214"/>
      <c r="I809" s="214"/>
      <c r="J809" s="214"/>
      <c r="K809" s="268"/>
      <c r="L809" s="214"/>
      <c r="M809" s="269"/>
      <c r="N809" s="214"/>
      <c r="O809" s="214"/>
      <c r="P809" s="214"/>
      <c r="Q809" s="214"/>
      <c r="R809" s="214"/>
      <c r="S809" s="214"/>
      <c r="T809" s="214"/>
      <c r="U809" s="214"/>
      <c r="V809" s="214"/>
      <c r="W809" s="214"/>
      <c r="X809" s="214"/>
      <c r="Y809" s="261"/>
      <c r="Z809" s="262"/>
      <c r="AA809" s="262"/>
      <c r="AB809" s="270"/>
      <c r="AC809" s="214"/>
      <c r="AD809" s="214"/>
      <c r="AE809" s="214"/>
      <c r="AF809" s="214"/>
      <c r="AG809" s="214"/>
      <c r="AH809" s="214"/>
      <c r="AI809" s="261"/>
      <c r="AJ809" s="214"/>
      <c r="AK809" s="261"/>
      <c r="AL809" s="261"/>
      <c r="AM809" s="264"/>
      <c r="AN809" s="214"/>
      <c r="AO809" s="271"/>
      <c r="AP809" s="271"/>
      <c r="AQ809" s="271"/>
      <c r="AR809" s="271"/>
      <c r="AS809" s="272"/>
      <c r="AT809" s="272"/>
      <c r="AU809" s="214"/>
      <c r="AV809" s="214"/>
    </row>
    <row r="810" ht="15.75" customHeight="1">
      <c r="A810" s="214"/>
      <c r="B810" s="261"/>
      <c r="C810" s="266"/>
      <c r="D810" s="267"/>
      <c r="E810" s="214"/>
      <c r="F810" s="214"/>
      <c r="G810" s="214"/>
      <c r="H810" s="214"/>
      <c r="I810" s="214"/>
      <c r="J810" s="214"/>
      <c r="K810" s="268"/>
      <c r="L810" s="214"/>
      <c r="M810" s="269"/>
      <c r="N810" s="214"/>
      <c r="O810" s="214"/>
      <c r="P810" s="214"/>
      <c r="Q810" s="214"/>
      <c r="R810" s="214"/>
      <c r="S810" s="214"/>
      <c r="T810" s="214"/>
      <c r="U810" s="214"/>
      <c r="V810" s="214"/>
      <c r="W810" s="214"/>
      <c r="X810" s="214"/>
      <c r="Y810" s="261"/>
      <c r="Z810" s="262"/>
      <c r="AA810" s="262"/>
      <c r="AB810" s="270"/>
      <c r="AC810" s="214"/>
      <c r="AD810" s="214"/>
      <c r="AE810" s="214"/>
      <c r="AF810" s="214"/>
      <c r="AG810" s="214"/>
      <c r="AH810" s="214"/>
      <c r="AI810" s="261"/>
      <c r="AJ810" s="214"/>
      <c r="AK810" s="261"/>
      <c r="AL810" s="261"/>
      <c r="AM810" s="264"/>
      <c r="AN810" s="214"/>
      <c r="AO810" s="271"/>
      <c r="AP810" s="271"/>
      <c r="AQ810" s="271"/>
      <c r="AR810" s="271"/>
      <c r="AS810" s="272"/>
      <c r="AT810" s="272"/>
      <c r="AU810" s="214"/>
      <c r="AV810" s="214"/>
    </row>
    <row r="811" ht="15.75" customHeight="1">
      <c r="A811" s="214"/>
      <c r="B811" s="261"/>
      <c r="C811" s="266"/>
      <c r="D811" s="267"/>
      <c r="E811" s="214"/>
      <c r="F811" s="214"/>
      <c r="G811" s="214"/>
      <c r="H811" s="214"/>
      <c r="I811" s="214"/>
      <c r="J811" s="214"/>
      <c r="K811" s="268"/>
      <c r="L811" s="214"/>
      <c r="M811" s="269"/>
      <c r="N811" s="214"/>
      <c r="O811" s="214"/>
      <c r="P811" s="214"/>
      <c r="Q811" s="214"/>
      <c r="R811" s="214"/>
      <c r="S811" s="214"/>
      <c r="T811" s="214"/>
      <c r="U811" s="214"/>
      <c r="V811" s="214"/>
      <c r="W811" s="214"/>
      <c r="X811" s="214"/>
      <c r="Y811" s="261"/>
      <c r="Z811" s="262"/>
      <c r="AA811" s="262"/>
      <c r="AB811" s="270"/>
      <c r="AC811" s="214"/>
      <c r="AD811" s="214"/>
      <c r="AE811" s="214"/>
      <c r="AF811" s="214"/>
      <c r="AG811" s="214"/>
      <c r="AH811" s="214"/>
      <c r="AI811" s="261"/>
      <c r="AJ811" s="214"/>
      <c r="AK811" s="261"/>
      <c r="AL811" s="261"/>
      <c r="AM811" s="264"/>
      <c r="AN811" s="214"/>
      <c r="AO811" s="271"/>
      <c r="AP811" s="271"/>
      <c r="AQ811" s="271"/>
      <c r="AR811" s="271"/>
      <c r="AS811" s="272"/>
      <c r="AT811" s="272"/>
      <c r="AU811" s="214"/>
      <c r="AV811" s="214"/>
    </row>
    <row r="812" ht="15.75" customHeight="1">
      <c r="A812" s="214"/>
      <c r="B812" s="261"/>
      <c r="C812" s="266"/>
      <c r="D812" s="267"/>
      <c r="E812" s="214"/>
      <c r="F812" s="214"/>
      <c r="G812" s="214"/>
      <c r="H812" s="214"/>
      <c r="I812" s="214"/>
      <c r="J812" s="214"/>
      <c r="K812" s="268"/>
      <c r="L812" s="214"/>
      <c r="M812" s="269"/>
      <c r="N812" s="214"/>
      <c r="O812" s="214"/>
      <c r="P812" s="214"/>
      <c r="Q812" s="214"/>
      <c r="R812" s="214"/>
      <c r="S812" s="214"/>
      <c r="T812" s="214"/>
      <c r="U812" s="214"/>
      <c r="V812" s="214"/>
      <c r="W812" s="214"/>
      <c r="X812" s="214"/>
      <c r="Y812" s="261"/>
      <c r="Z812" s="262"/>
      <c r="AA812" s="262"/>
      <c r="AB812" s="270"/>
      <c r="AC812" s="214"/>
      <c r="AD812" s="214"/>
      <c r="AE812" s="214"/>
      <c r="AF812" s="214"/>
      <c r="AG812" s="214"/>
      <c r="AH812" s="214"/>
      <c r="AI812" s="261"/>
      <c r="AJ812" s="214"/>
      <c r="AK812" s="261"/>
      <c r="AL812" s="261"/>
      <c r="AM812" s="264"/>
      <c r="AN812" s="214"/>
      <c r="AO812" s="271"/>
      <c r="AP812" s="271"/>
      <c r="AQ812" s="271"/>
      <c r="AR812" s="271"/>
      <c r="AS812" s="272"/>
      <c r="AT812" s="272"/>
      <c r="AU812" s="214"/>
      <c r="AV812" s="214"/>
    </row>
    <row r="813" ht="15.75" customHeight="1">
      <c r="A813" s="214"/>
      <c r="B813" s="261"/>
      <c r="C813" s="266"/>
      <c r="D813" s="267"/>
      <c r="E813" s="214"/>
      <c r="F813" s="214"/>
      <c r="G813" s="214"/>
      <c r="H813" s="214"/>
      <c r="I813" s="214"/>
      <c r="J813" s="214"/>
      <c r="K813" s="268"/>
      <c r="L813" s="214"/>
      <c r="M813" s="269"/>
      <c r="N813" s="214"/>
      <c r="O813" s="214"/>
      <c r="P813" s="214"/>
      <c r="Q813" s="214"/>
      <c r="R813" s="214"/>
      <c r="S813" s="214"/>
      <c r="T813" s="214"/>
      <c r="U813" s="214"/>
      <c r="V813" s="214"/>
      <c r="W813" s="214"/>
      <c r="X813" s="214"/>
      <c r="Y813" s="261"/>
      <c r="Z813" s="262"/>
      <c r="AA813" s="262"/>
      <c r="AB813" s="270"/>
      <c r="AC813" s="214"/>
      <c r="AD813" s="214"/>
      <c r="AE813" s="214"/>
      <c r="AF813" s="214"/>
      <c r="AG813" s="214"/>
      <c r="AH813" s="214"/>
      <c r="AI813" s="261"/>
      <c r="AJ813" s="214"/>
      <c r="AK813" s="261"/>
      <c r="AL813" s="261"/>
      <c r="AM813" s="264"/>
      <c r="AN813" s="214"/>
      <c r="AO813" s="271"/>
      <c r="AP813" s="271"/>
      <c r="AQ813" s="271"/>
      <c r="AR813" s="271"/>
      <c r="AS813" s="272"/>
      <c r="AT813" s="272"/>
      <c r="AU813" s="214"/>
      <c r="AV813" s="214"/>
    </row>
    <row r="814" ht="15.75" customHeight="1">
      <c r="A814" s="214"/>
      <c r="B814" s="261"/>
      <c r="C814" s="266"/>
      <c r="D814" s="267"/>
      <c r="E814" s="214"/>
      <c r="F814" s="214"/>
      <c r="G814" s="214"/>
      <c r="H814" s="214"/>
      <c r="I814" s="214"/>
      <c r="J814" s="214"/>
      <c r="K814" s="268"/>
      <c r="L814" s="214"/>
      <c r="M814" s="269"/>
      <c r="N814" s="214"/>
      <c r="O814" s="214"/>
      <c r="P814" s="214"/>
      <c r="Q814" s="214"/>
      <c r="R814" s="214"/>
      <c r="S814" s="214"/>
      <c r="T814" s="214"/>
      <c r="U814" s="214"/>
      <c r="V814" s="214"/>
      <c r="W814" s="214"/>
      <c r="X814" s="214"/>
      <c r="Y814" s="261"/>
      <c r="Z814" s="262"/>
      <c r="AA814" s="262"/>
      <c r="AB814" s="270"/>
      <c r="AC814" s="214"/>
      <c r="AD814" s="214"/>
      <c r="AE814" s="214"/>
      <c r="AF814" s="214"/>
      <c r="AG814" s="214"/>
      <c r="AH814" s="214"/>
      <c r="AI814" s="261"/>
      <c r="AJ814" s="214"/>
      <c r="AK814" s="261"/>
      <c r="AL814" s="261"/>
      <c r="AM814" s="264"/>
      <c r="AN814" s="214"/>
      <c r="AO814" s="271"/>
      <c r="AP814" s="271"/>
      <c r="AQ814" s="271"/>
      <c r="AR814" s="271"/>
      <c r="AS814" s="272"/>
      <c r="AT814" s="272"/>
      <c r="AU814" s="214"/>
      <c r="AV814" s="214"/>
    </row>
    <row r="815" ht="15.75" customHeight="1">
      <c r="A815" s="214"/>
      <c r="B815" s="261"/>
      <c r="C815" s="266"/>
      <c r="D815" s="267"/>
      <c r="E815" s="214"/>
      <c r="F815" s="214"/>
      <c r="G815" s="214"/>
      <c r="H815" s="214"/>
      <c r="I815" s="214"/>
      <c r="J815" s="214"/>
      <c r="K815" s="268"/>
      <c r="L815" s="214"/>
      <c r="M815" s="269"/>
      <c r="N815" s="214"/>
      <c r="O815" s="214"/>
      <c r="P815" s="214"/>
      <c r="Q815" s="214"/>
      <c r="R815" s="214"/>
      <c r="S815" s="214"/>
      <c r="T815" s="214"/>
      <c r="U815" s="214"/>
      <c r="V815" s="214"/>
      <c r="W815" s="214"/>
      <c r="X815" s="214"/>
      <c r="Y815" s="261"/>
      <c r="Z815" s="262"/>
      <c r="AA815" s="262"/>
      <c r="AB815" s="270"/>
      <c r="AC815" s="214"/>
      <c r="AD815" s="214"/>
      <c r="AE815" s="214"/>
      <c r="AF815" s="214"/>
      <c r="AG815" s="214"/>
      <c r="AH815" s="214"/>
      <c r="AI815" s="261"/>
      <c r="AJ815" s="214"/>
      <c r="AK815" s="261"/>
      <c r="AL815" s="261"/>
      <c r="AM815" s="264"/>
      <c r="AN815" s="214"/>
      <c r="AO815" s="271"/>
      <c r="AP815" s="271"/>
      <c r="AQ815" s="271"/>
      <c r="AR815" s="271"/>
      <c r="AS815" s="272"/>
      <c r="AT815" s="272"/>
      <c r="AU815" s="214"/>
      <c r="AV815" s="214"/>
    </row>
    <row r="816" ht="15.75" customHeight="1">
      <c r="A816" s="214"/>
      <c r="B816" s="261"/>
      <c r="C816" s="266"/>
      <c r="D816" s="267"/>
      <c r="E816" s="214"/>
      <c r="F816" s="214"/>
      <c r="G816" s="214"/>
      <c r="H816" s="214"/>
      <c r="I816" s="214"/>
      <c r="J816" s="214"/>
      <c r="K816" s="268"/>
      <c r="L816" s="214"/>
      <c r="M816" s="269"/>
      <c r="N816" s="214"/>
      <c r="O816" s="214"/>
      <c r="P816" s="214"/>
      <c r="Q816" s="214"/>
      <c r="R816" s="214"/>
      <c r="S816" s="214"/>
      <c r="T816" s="214"/>
      <c r="U816" s="214"/>
      <c r="V816" s="214"/>
      <c r="W816" s="214"/>
      <c r="X816" s="214"/>
      <c r="Y816" s="261"/>
      <c r="Z816" s="262"/>
      <c r="AA816" s="262"/>
      <c r="AB816" s="270"/>
      <c r="AC816" s="214"/>
      <c r="AD816" s="214"/>
      <c r="AE816" s="214"/>
      <c r="AF816" s="214"/>
      <c r="AG816" s="214"/>
      <c r="AH816" s="214"/>
      <c r="AI816" s="261"/>
      <c r="AJ816" s="214"/>
      <c r="AK816" s="261"/>
      <c r="AL816" s="261"/>
      <c r="AM816" s="264"/>
      <c r="AN816" s="214"/>
      <c r="AO816" s="271"/>
      <c r="AP816" s="271"/>
      <c r="AQ816" s="271"/>
      <c r="AR816" s="271"/>
      <c r="AS816" s="272"/>
      <c r="AT816" s="272"/>
      <c r="AU816" s="214"/>
      <c r="AV816" s="214"/>
    </row>
    <row r="817" ht="15.75" customHeight="1">
      <c r="A817" s="214"/>
      <c r="B817" s="261"/>
      <c r="C817" s="266"/>
      <c r="D817" s="267"/>
      <c r="E817" s="214"/>
      <c r="F817" s="214"/>
      <c r="G817" s="214"/>
      <c r="H817" s="214"/>
      <c r="I817" s="214"/>
      <c r="J817" s="214"/>
      <c r="K817" s="268"/>
      <c r="L817" s="214"/>
      <c r="M817" s="269"/>
      <c r="N817" s="214"/>
      <c r="O817" s="214"/>
      <c r="P817" s="214"/>
      <c r="Q817" s="214"/>
      <c r="R817" s="214"/>
      <c r="S817" s="214"/>
      <c r="T817" s="214"/>
      <c r="U817" s="214"/>
      <c r="V817" s="214"/>
      <c r="W817" s="214"/>
      <c r="X817" s="214"/>
      <c r="Y817" s="261"/>
      <c r="Z817" s="262"/>
      <c r="AA817" s="262"/>
      <c r="AB817" s="270"/>
      <c r="AC817" s="214"/>
      <c r="AD817" s="214"/>
      <c r="AE817" s="214"/>
      <c r="AF817" s="214"/>
      <c r="AG817" s="214"/>
      <c r="AH817" s="214"/>
      <c r="AI817" s="261"/>
      <c r="AJ817" s="214"/>
      <c r="AK817" s="261"/>
      <c r="AL817" s="261"/>
      <c r="AM817" s="264"/>
      <c r="AN817" s="214"/>
      <c r="AO817" s="271"/>
      <c r="AP817" s="271"/>
      <c r="AQ817" s="271"/>
      <c r="AR817" s="271"/>
      <c r="AS817" s="272"/>
      <c r="AT817" s="272"/>
      <c r="AU817" s="214"/>
      <c r="AV817" s="214"/>
    </row>
    <row r="818" ht="15.75" customHeight="1">
      <c r="A818" s="214"/>
      <c r="B818" s="261"/>
      <c r="C818" s="266"/>
      <c r="D818" s="267"/>
      <c r="E818" s="214"/>
      <c r="F818" s="214"/>
      <c r="G818" s="214"/>
      <c r="H818" s="214"/>
      <c r="I818" s="214"/>
      <c r="J818" s="214"/>
      <c r="K818" s="268"/>
      <c r="L818" s="214"/>
      <c r="M818" s="269"/>
      <c r="N818" s="214"/>
      <c r="O818" s="214"/>
      <c r="P818" s="214"/>
      <c r="Q818" s="214"/>
      <c r="R818" s="214"/>
      <c r="S818" s="214"/>
      <c r="T818" s="214"/>
      <c r="U818" s="214"/>
      <c r="V818" s="214"/>
      <c r="W818" s="214"/>
      <c r="X818" s="214"/>
      <c r="Y818" s="261"/>
      <c r="Z818" s="262"/>
      <c r="AA818" s="262"/>
      <c r="AB818" s="270"/>
      <c r="AC818" s="214"/>
      <c r="AD818" s="214"/>
      <c r="AE818" s="214"/>
      <c r="AF818" s="214"/>
      <c r="AG818" s="214"/>
      <c r="AH818" s="214"/>
      <c r="AI818" s="261"/>
      <c r="AJ818" s="214"/>
      <c r="AK818" s="261"/>
      <c r="AL818" s="261"/>
      <c r="AM818" s="264"/>
      <c r="AN818" s="214"/>
      <c r="AO818" s="271"/>
      <c r="AP818" s="271"/>
      <c r="AQ818" s="271"/>
      <c r="AR818" s="271"/>
      <c r="AS818" s="272"/>
      <c r="AT818" s="272"/>
      <c r="AU818" s="214"/>
      <c r="AV818" s="214"/>
    </row>
    <row r="819" ht="15.75" customHeight="1">
      <c r="A819" s="214"/>
      <c r="B819" s="261"/>
      <c r="C819" s="266"/>
      <c r="D819" s="267"/>
      <c r="E819" s="214"/>
      <c r="F819" s="214"/>
      <c r="G819" s="214"/>
      <c r="H819" s="214"/>
      <c r="I819" s="214"/>
      <c r="J819" s="214"/>
      <c r="K819" s="268"/>
      <c r="L819" s="214"/>
      <c r="M819" s="269"/>
      <c r="N819" s="214"/>
      <c r="O819" s="214"/>
      <c r="P819" s="214"/>
      <c r="Q819" s="214"/>
      <c r="R819" s="214"/>
      <c r="S819" s="214"/>
      <c r="T819" s="214"/>
      <c r="U819" s="214"/>
      <c r="V819" s="214"/>
      <c r="W819" s="214"/>
      <c r="X819" s="214"/>
      <c r="Y819" s="261"/>
      <c r="Z819" s="262"/>
      <c r="AA819" s="262"/>
      <c r="AB819" s="270"/>
      <c r="AC819" s="214"/>
      <c r="AD819" s="214"/>
      <c r="AE819" s="214"/>
      <c r="AF819" s="214"/>
      <c r="AG819" s="214"/>
      <c r="AH819" s="214"/>
      <c r="AI819" s="261"/>
      <c r="AJ819" s="214"/>
      <c r="AK819" s="261"/>
      <c r="AL819" s="261"/>
      <c r="AM819" s="264"/>
      <c r="AN819" s="214"/>
      <c r="AO819" s="271"/>
      <c r="AP819" s="271"/>
      <c r="AQ819" s="271"/>
      <c r="AR819" s="271"/>
      <c r="AS819" s="272"/>
      <c r="AT819" s="272"/>
      <c r="AU819" s="214"/>
      <c r="AV819" s="214"/>
    </row>
    <row r="820" ht="15.75" customHeight="1">
      <c r="A820" s="214"/>
      <c r="B820" s="261"/>
      <c r="C820" s="266"/>
      <c r="D820" s="267"/>
      <c r="E820" s="214"/>
      <c r="F820" s="214"/>
      <c r="G820" s="214"/>
      <c r="H820" s="214"/>
      <c r="I820" s="214"/>
      <c r="J820" s="214"/>
      <c r="K820" s="268"/>
      <c r="L820" s="214"/>
      <c r="M820" s="269"/>
      <c r="N820" s="214"/>
      <c r="O820" s="214"/>
      <c r="P820" s="214"/>
      <c r="Q820" s="214"/>
      <c r="R820" s="214"/>
      <c r="S820" s="214"/>
      <c r="T820" s="214"/>
      <c r="U820" s="214"/>
      <c r="V820" s="214"/>
      <c r="W820" s="214"/>
      <c r="X820" s="214"/>
      <c r="Y820" s="261"/>
      <c r="Z820" s="262"/>
      <c r="AA820" s="262"/>
      <c r="AB820" s="270"/>
      <c r="AC820" s="214"/>
      <c r="AD820" s="214"/>
      <c r="AE820" s="214"/>
      <c r="AF820" s="214"/>
      <c r="AG820" s="214"/>
      <c r="AH820" s="214"/>
      <c r="AI820" s="261"/>
      <c r="AJ820" s="214"/>
      <c r="AK820" s="261"/>
      <c r="AL820" s="261"/>
      <c r="AM820" s="264"/>
      <c r="AN820" s="214"/>
      <c r="AO820" s="271"/>
      <c r="AP820" s="271"/>
      <c r="AQ820" s="271"/>
      <c r="AR820" s="271"/>
      <c r="AS820" s="272"/>
      <c r="AT820" s="272"/>
      <c r="AU820" s="214"/>
      <c r="AV820" s="214"/>
    </row>
    <row r="821" ht="15.75" customHeight="1">
      <c r="A821" s="214"/>
      <c r="B821" s="261"/>
      <c r="C821" s="266"/>
      <c r="D821" s="267"/>
      <c r="E821" s="214"/>
      <c r="F821" s="214"/>
      <c r="G821" s="214"/>
      <c r="H821" s="214"/>
      <c r="I821" s="214"/>
      <c r="J821" s="214"/>
      <c r="K821" s="268"/>
      <c r="L821" s="214"/>
      <c r="M821" s="269"/>
      <c r="N821" s="214"/>
      <c r="O821" s="214"/>
      <c r="P821" s="214"/>
      <c r="Q821" s="214"/>
      <c r="R821" s="214"/>
      <c r="S821" s="214"/>
      <c r="T821" s="214"/>
      <c r="U821" s="214"/>
      <c r="V821" s="214"/>
      <c r="W821" s="214"/>
      <c r="X821" s="214"/>
      <c r="Y821" s="261"/>
      <c r="Z821" s="262"/>
      <c r="AA821" s="262"/>
      <c r="AB821" s="270"/>
      <c r="AC821" s="214"/>
      <c r="AD821" s="214"/>
      <c r="AE821" s="214"/>
      <c r="AF821" s="214"/>
      <c r="AG821" s="214"/>
      <c r="AH821" s="214"/>
      <c r="AI821" s="261"/>
      <c r="AJ821" s="214"/>
      <c r="AK821" s="261"/>
      <c r="AL821" s="261"/>
      <c r="AM821" s="264"/>
      <c r="AN821" s="214"/>
      <c r="AO821" s="271"/>
      <c r="AP821" s="271"/>
      <c r="AQ821" s="271"/>
      <c r="AR821" s="271"/>
      <c r="AS821" s="272"/>
      <c r="AT821" s="272"/>
      <c r="AU821" s="214"/>
      <c r="AV821" s="214"/>
    </row>
    <row r="822" ht="15.75" customHeight="1">
      <c r="A822" s="214"/>
      <c r="B822" s="261"/>
      <c r="C822" s="266"/>
      <c r="D822" s="267"/>
      <c r="E822" s="214"/>
      <c r="F822" s="214"/>
      <c r="G822" s="214"/>
      <c r="H822" s="214"/>
      <c r="I822" s="214"/>
      <c r="J822" s="214"/>
      <c r="K822" s="268"/>
      <c r="L822" s="214"/>
      <c r="M822" s="269"/>
      <c r="N822" s="214"/>
      <c r="O822" s="214"/>
      <c r="P822" s="214"/>
      <c r="Q822" s="214"/>
      <c r="R822" s="214"/>
      <c r="S822" s="214"/>
      <c r="T822" s="214"/>
      <c r="U822" s="214"/>
      <c r="V822" s="214"/>
      <c r="W822" s="214"/>
      <c r="X822" s="214"/>
      <c r="Y822" s="261"/>
      <c r="Z822" s="262"/>
      <c r="AA822" s="262"/>
      <c r="AB822" s="270"/>
      <c r="AC822" s="214"/>
      <c r="AD822" s="214"/>
      <c r="AE822" s="214"/>
      <c r="AF822" s="214"/>
      <c r="AG822" s="214"/>
      <c r="AH822" s="214"/>
      <c r="AI822" s="261"/>
      <c r="AJ822" s="214"/>
      <c r="AK822" s="261"/>
      <c r="AL822" s="261"/>
      <c r="AM822" s="264"/>
      <c r="AN822" s="214"/>
      <c r="AO822" s="271"/>
      <c r="AP822" s="271"/>
      <c r="AQ822" s="271"/>
      <c r="AR822" s="271"/>
      <c r="AS822" s="272"/>
      <c r="AT822" s="272"/>
      <c r="AU822" s="214"/>
      <c r="AV822" s="214"/>
    </row>
    <row r="823" ht="15.75" customHeight="1">
      <c r="A823" s="214"/>
      <c r="B823" s="261"/>
      <c r="C823" s="266"/>
      <c r="D823" s="267"/>
      <c r="E823" s="214"/>
      <c r="F823" s="214"/>
      <c r="G823" s="214"/>
      <c r="H823" s="214"/>
      <c r="I823" s="214"/>
      <c r="J823" s="214"/>
      <c r="K823" s="268"/>
      <c r="L823" s="214"/>
      <c r="M823" s="269"/>
      <c r="N823" s="214"/>
      <c r="O823" s="214"/>
      <c r="P823" s="214"/>
      <c r="Q823" s="214"/>
      <c r="R823" s="214"/>
      <c r="S823" s="214"/>
      <c r="T823" s="214"/>
      <c r="U823" s="214"/>
      <c r="V823" s="214"/>
      <c r="W823" s="214"/>
      <c r="X823" s="214"/>
      <c r="Y823" s="261"/>
      <c r="Z823" s="262"/>
      <c r="AA823" s="262"/>
      <c r="AB823" s="270"/>
      <c r="AC823" s="214"/>
      <c r="AD823" s="214"/>
      <c r="AE823" s="214"/>
      <c r="AF823" s="214"/>
      <c r="AG823" s="214"/>
      <c r="AH823" s="214"/>
      <c r="AI823" s="261"/>
      <c r="AJ823" s="214"/>
      <c r="AK823" s="261"/>
      <c r="AL823" s="261"/>
      <c r="AM823" s="264"/>
      <c r="AN823" s="214"/>
      <c r="AO823" s="271"/>
      <c r="AP823" s="271"/>
      <c r="AQ823" s="271"/>
      <c r="AR823" s="271"/>
      <c r="AS823" s="272"/>
      <c r="AT823" s="272"/>
      <c r="AU823" s="214"/>
      <c r="AV823" s="214"/>
    </row>
    <row r="824" ht="15.75" customHeight="1">
      <c r="A824" s="214"/>
      <c r="B824" s="261"/>
      <c r="C824" s="266"/>
      <c r="D824" s="267"/>
      <c r="E824" s="214"/>
      <c r="F824" s="214"/>
      <c r="G824" s="214"/>
      <c r="H824" s="214"/>
      <c r="I824" s="214"/>
      <c r="J824" s="214"/>
      <c r="K824" s="268"/>
      <c r="L824" s="214"/>
      <c r="M824" s="269"/>
      <c r="N824" s="214"/>
      <c r="O824" s="214"/>
      <c r="P824" s="214"/>
      <c r="Q824" s="214"/>
      <c r="R824" s="214"/>
      <c r="S824" s="214"/>
      <c r="T824" s="214"/>
      <c r="U824" s="214"/>
      <c r="V824" s="214"/>
      <c r="W824" s="214"/>
      <c r="X824" s="214"/>
      <c r="Y824" s="261"/>
      <c r="Z824" s="262"/>
      <c r="AA824" s="262"/>
      <c r="AB824" s="270"/>
      <c r="AC824" s="214"/>
      <c r="AD824" s="214"/>
      <c r="AE824" s="214"/>
      <c r="AF824" s="214"/>
      <c r="AG824" s="214"/>
      <c r="AH824" s="214"/>
      <c r="AI824" s="261"/>
      <c r="AJ824" s="214"/>
      <c r="AK824" s="261"/>
      <c r="AL824" s="261"/>
      <c r="AM824" s="264"/>
      <c r="AN824" s="214"/>
      <c r="AO824" s="271"/>
      <c r="AP824" s="271"/>
      <c r="AQ824" s="271"/>
      <c r="AR824" s="271"/>
      <c r="AS824" s="272"/>
      <c r="AT824" s="272"/>
      <c r="AU824" s="214"/>
      <c r="AV824" s="214"/>
    </row>
    <row r="825" ht="15.75" customHeight="1">
      <c r="A825" s="214"/>
      <c r="B825" s="261"/>
      <c r="C825" s="266"/>
      <c r="D825" s="267"/>
      <c r="E825" s="214"/>
      <c r="F825" s="214"/>
      <c r="G825" s="214"/>
      <c r="H825" s="214"/>
      <c r="I825" s="214"/>
      <c r="J825" s="214"/>
      <c r="K825" s="268"/>
      <c r="L825" s="214"/>
      <c r="M825" s="269"/>
      <c r="N825" s="214"/>
      <c r="O825" s="214"/>
      <c r="P825" s="214"/>
      <c r="Q825" s="214"/>
      <c r="R825" s="214"/>
      <c r="S825" s="214"/>
      <c r="T825" s="214"/>
      <c r="U825" s="214"/>
      <c r="V825" s="214"/>
      <c r="W825" s="214"/>
      <c r="X825" s="214"/>
      <c r="Y825" s="261"/>
      <c r="Z825" s="262"/>
      <c r="AA825" s="262"/>
      <c r="AB825" s="270"/>
      <c r="AC825" s="214"/>
      <c r="AD825" s="214"/>
      <c r="AE825" s="214"/>
      <c r="AF825" s="214"/>
      <c r="AG825" s="214"/>
      <c r="AH825" s="214"/>
      <c r="AI825" s="261"/>
      <c r="AJ825" s="214"/>
      <c r="AK825" s="261"/>
      <c r="AL825" s="261"/>
      <c r="AM825" s="264"/>
      <c r="AN825" s="214"/>
      <c r="AO825" s="271"/>
      <c r="AP825" s="271"/>
      <c r="AQ825" s="271"/>
      <c r="AR825" s="271"/>
      <c r="AS825" s="272"/>
      <c r="AT825" s="272"/>
      <c r="AU825" s="214"/>
      <c r="AV825" s="214"/>
    </row>
    <row r="826" ht="15.75" customHeight="1">
      <c r="A826" s="214"/>
      <c r="B826" s="261"/>
      <c r="C826" s="266"/>
      <c r="D826" s="267"/>
      <c r="E826" s="214"/>
      <c r="F826" s="214"/>
      <c r="G826" s="214"/>
      <c r="H826" s="214"/>
      <c r="I826" s="214"/>
      <c r="J826" s="214"/>
      <c r="K826" s="268"/>
      <c r="L826" s="214"/>
      <c r="M826" s="269"/>
      <c r="N826" s="214"/>
      <c r="O826" s="214"/>
      <c r="P826" s="214"/>
      <c r="Q826" s="214"/>
      <c r="R826" s="214"/>
      <c r="S826" s="214"/>
      <c r="T826" s="214"/>
      <c r="U826" s="214"/>
      <c r="V826" s="214"/>
      <c r="W826" s="214"/>
      <c r="X826" s="214"/>
      <c r="Y826" s="261"/>
      <c r="Z826" s="262"/>
      <c r="AA826" s="262"/>
      <c r="AB826" s="270"/>
      <c r="AC826" s="214"/>
      <c r="AD826" s="214"/>
      <c r="AE826" s="214"/>
      <c r="AF826" s="214"/>
      <c r="AG826" s="214"/>
      <c r="AH826" s="214"/>
      <c r="AI826" s="261"/>
      <c r="AJ826" s="214"/>
      <c r="AK826" s="261"/>
      <c r="AL826" s="261"/>
      <c r="AM826" s="264"/>
      <c r="AN826" s="214"/>
      <c r="AO826" s="271"/>
      <c r="AP826" s="271"/>
      <c r="AQ826" s="271"/>
      <c r="AR826" s="271"/>
      <c r="AS826" s="272"/>
      <c r="AT826" s="272"/>
      <c r="AU826" s="214"/>
      <c r="AV826" s="214"/>
    </row>
    <row r="827" ht="15.75" customHeight="1">
      <c r="A827" s="214"/>
      <c r="B827" s="261"/>
      <c r="C827" s="266"/>
      <c r="D827" s="267"/>
      <c r="E827" s="214"/>
      <c r="F827" s="214"/>
      <c r="G827" s="214"/>
      <c r="H827" s="214"/>
      <c r="I827" s="214"/>
      <c r="J827" s="214"/>
      <c r="K827" s="268"/>
      <c r="L827" s="214"/>
      <c r="M827" s="269"/>
      <c r="N827" s="214"/>
      <c r="O827" s="214"/>
      <c r="P827" s="214"/>
      <c r="Q827" s="214"/>
      <c r="R827" s="214"/>
      <c r="S827" s="214"/>
      <c r="T827" s="214"/>
      <c r="U827" s="214"/>
      <c r="V827" s="214"/>
      <c r="W827" s="214"/>
      <c r="X827" s="214"/>
      <c r="Y827" s="261"/>
      <c r="Z827" s="262"/>
      <c r="AA827" s="262"/>
      <c r="AB827" s="270"/>
      <c r="AC827" s="214"/>
      <c r="AD827" s="214"/>
      <c r="AE827" s="214"/>
      <c r="AF827" s="214"/>
      <c r="AG827" s="214"/>
      <c r="AH827" s="214"/>
      <c r="AI827" s="261"/>
      <c r="AJ827" s="214"/>
      <c r="AK827" s="261"/>
      <c r="AL827" s="261"/>
      <c r="AM827" s="264"/>
      <c r="AN827" s="214"/>
      <c r="AO827" s="271"/>
      <c r="AP827" s="271"/>
      <c r="AQ827" s="271"/>
      <c r="AR827" s="271"/>
      <c r="AS827" s="272"/>
      <c r="AT827" s="272"/>
      <c r="AU827" s="214"/>
      <c r="AV827" s="214"/>
    </row>
    <row r="828" ht="15.75" customHeight="1">
      <c r="A828" s="214"/>
      <c r="B828" s="261"/>
      <c r="C828" s="266"/>
      <c r="D828" s="267"/>
      <c r="E828" s="214"/>
      <c r="F828" s="214"/>
      <c r="G828" s="214"/>
      <c r="H828" s="214"/>
      <c r="I828" s="214"/>
      <c r="J828" s="214"/>
      <c r="K828" s="268"/>
      <c r="L828" s="214"/>
      <c r="M828" s="269"/>
      <c r="N828" s="214"/>
      <c r="O828" s="214"/>
      <c r="P828" s="214"/>
      <c r="Q828" s="214"/>
      <c r="R828" s="214"/>
      <c r="S828" s="214"/>
      <c r="T828" s="214"/>
      <c r="U828" s="214"/>
      <c r="V828" s="214"/>
      <c r="W828" s="214"/>
      <c r="X828" s="214"/>
      <c r="Y828" s="261"/>
      <c r="Z828" s="262"/>
      <c r="AA828" s="262"/>
      <c r="AB828" s="270"/>
      <c r="AC828" s="214"/>
      <c r="AD828" s="214"/>
      <c r="AE828" s="214"/>
      <c r="AF828" s="214"/>
      <c r="AG828" s="214"/>
      <c r="AH828" s="214"/>
      <c r="AI828" s="261"/>
      <c r="AJ828" s="214"/>
      <c r="AK828" s="261"/>
      <c r="AL828" s="261"/>
      <c r="AM828" s="264"/>
      <c r="AN828" s="214"/>
      <c r="AO828" s="271"/>
      <c r="AP828" s="271"/>
      <c r="AQ828" s="271"/>
      <c r="AR828" s="271"/>
      <c r="AS828" s="272"/>
      <c r="AT828" s="272"/>
      <c r="AU828" s="214"/>
      <c r="AV828" s="214"/>
    </row>
    <row r="829" ht="15.75" customHeight="1">
      <c r="A829" s="214"/>
      <c r="B829" s="261"/>
      <c r="C829" s="266"/>
      <c r="D829" s="267"/>
      <c r="E829" s="214"/>
      <c r="F829" s="214"/>
      <c r="G829" s="214"/>
      <c r="H829" s="214"/>
      <c r="I829" s="214"/>
      <c r="J829" s="214"/>
      <c r="K829" s="268"/>
      <c r="L829" s="214"/>
      <c r="M829" s="269"/>
      <c r="N829" s="214"/>
      <c r="O829" s="214"/>
      <c r="P829" s="214"/>
      <c r="Q829" s="214"/>
      <c r="R829" s="214"/>
      <c r="S829" s="214"/>
      <c r="T829" s="214"/>
      <c r="U829" s="214"/>
      <c r="V829" s="214"/>
      <c r="W829" s="214"/>
      <c r="X829" s="214"/>
      <c r="Y829" s="261"/>
      <c r="Z829" s="262"/>
      <c r="AA829" s="262"/>
      <c r="AB829" s="270"/>
      <c r="AC829" s="214"/>
      <c r="AD829" s="214"/>
      <c r="AE829" s="214"/>
      <c r="AF829" s="214"/>
      <c r="AG829" s="214"/>
      <c r="AH829" s="214"/>
      <c r="AI829" s="261"/>
      <c r="AJ829" s="214"/>
      <c r="AK829" s="261"/>
      <c r="AL829" s="261"/>
      <c r="AM829" s="264"/>
      <c r="AN829" s="214"/>
      <c r="AO829" s="271"/>
      <c r="AP829" s="271"/>
      <c r="AQ829" s="271"/>
      <c r="AR829" s="271"/>
      <c r="AS829" s="272"/>
      <c r="AT829" s="272"/>
      <c r="AU829" s="214"/>
      <c r="AV829" s="214"/>
    </row>
    <row r="830" ht="15.75" customHeight="1">
      <c r="A830" s="214"/>
      <c r="B830" s="261"/>
      <c r="C830" s="266"/>
      <c r="D830" s="267"/>
      <c r="E830" s="214"/>
      <c r="F830" s="214"/>
      <c r="G830" s="214"/>
      <c r="H830" s="214"/>
      <c r="I830" s="214"/>
      <c r="J830" s="214"/>
      <c r="K830" s="268"/>
      <c r="L830" s="214"/>
      <c r="M830" s="269"/>
      <c r="N830" s="214"/>
      <c r="O830" s="214"/>
      <c r="P830" s="214"/>
      <c r="Q830" s="214"/>
      <c r="R830" s="214"/>
      <c r="S830" s="214"/>
      <c r="T830" s="214"/>
      <c r="U830" s="214"/>
      <c r="V830" s="214"/>
      <c r="W830" s="214"/>
      <c r="X830" s="214"/>
      <c r="Y830" s="261"/>
      <c r="Z830" s="262"/>
      <c r="AA830" s="262"/>
      <c r="AB830" s="270"/>
      <c r="AC830" s="214"/>
      <c r="AD830" s="214"/>
      <c r="AE830" s="214"/>
      <c r="AF830" s="214"/>
      <c r="AG830" s="214"/>
      <c r="AH830" s="214"/>
      <c r="AI830" s="261"/>
      <c r="AJ830" s="214"/>
      <c r="AK830" s="261"/>
      <c r="AL830" s="261"/>
      <c r="AM830" s="264"/>
      <c r="AN830" s="214"/>
      <c r="AO830" s="271"/>
      <c r="AP830" s="271"/>
      <c r="AQ830" s="271"/>
      <c r="AR830" s="271"/>
      <c r="AS830" s="272"/>
      <c r="AT830" s="272"/>
      <c r="AU830" s="214"/>
      <c r="AV830" s="214"/>
    </row>
    <row r="831" ht="15.75" customHeight="1">
      <c r="A831" s="214"/>
      <c r="B831" s="261"/>
      <c r="C831" s="266"/>
      <c r="D831" s="267"/>
      <c r="E831" s="214"/>
      <c r="F831" s="214"/>
      <c r="G831" s="214"/>
      <c r="H831" s="214"/>
      <c r="I831" s="214"/>
      <c r="J831" s="214"/>
      <c r="K831" s="268"/>
      <c r="L831" s="214"/>
      <c r="M831" s="269"/>
      <c r="N831" s="214"/>
      <c r="O831" s="214"/>
      <c r="P831" s="214"/>
      <c r="Q831" s="214"/>
      <c r="R831" s="214"/>
      <c r="S831" s="214"/>
      <c r="T831" s="214"/>
      <c r="U831" s="214"/>
      <c r="V831" s="214"/>
      <c r="W831" s="214"/>
      <c r="X831" s="214"/>
      <c r="Y831" s="261"/>
      <c r="Z831" s="262"/>
      <c r="AA831" s="262"/>
      <c r="AB831" s="270"/>
      <c r="AC831" s="214"/>
      <c r="AD831" s="214"/>
      <c r="AE831" s="214"/>
      <c r="AF831" s="214"/>
      <c r="AG831" s="214"/>
      <c r="AH831" s="214"/>
      <c r="AI831" s="261"/>
      <c r="AJ831" s="214"/>
      <c r="AK831" s="261"/>
      <c r="AL831" s="261"/>
      <c r="AM831" s="264"/>
      <c r="AN831" s="214"/>
      <c r="AO831" s="271"/>
      <c r="AP831" s="271"/>
      <c r="AQ831" s="271"/>
      <c r="AR831" s="271"/>
      <c r="AS831" s="272"/>
      <c r="AT831" s="272"/>
      <c r="AU831" s="214"/>
      <c r="AV831" s="214"/>
    </row>
    <row r="832" ht="15.75" customHeight="1">
      <c r="A832" s="214"/>
      <c r="B832" s="261"/>
      <c r="C832" s="266"/>
      <c r="D832" s="267"/>
      <c r="E832" s="214"/>
      <c r="F832" s="214"/>
      <c r="G832" s="214"/>
      <c r="H832" s="214"/>
      <c r="I832" s="214"/>
      <c r="J832" s="214"/>
      <c r="K832" s="268"/>
      <c r="L832" s="214"/>
      <c r="M832" s="269"/>
      <c r="N832" s="214"/>
      <c r="O832" s="214"/>
      <c r="P832" s="214"/>
      <c r="Q832" s="214"/>
      <c r="R832" s="214"/>
      <c r="S832" s="214"/>
      <c r="T832" s="214"/>
      <c r="U832" s="214"/>
      <c r="V832" s="214"/>
      <c r="W832" s="214"/>
      <c r="X832" s="214"/>
      <c r="Y832" s="261"/>
      <c r="Z832" s="262"/>
      <c r="AA832" s="262"/>
      <c r="AB832" s="270"/>
      <c r="AC832" s="214"/>
      <c r="AD832" s="214"/>
      <c r="AE832" s="214"/>
      <c r="AF832" s="214"/>
      <c r="AG832" s="214"/>
      <c r="AH832" s="214"/>
      <c r="AI832" s="261"/>
      <c r="AJ832" s="214"/>
      <c r="AK832" s="261"/>
      <c r="AL832" s="261"/>
      <c r="AM832" s="264"/>
      <c r="AN832" s="214"/>
      <c r="AO832" s="271"/>
      <c r="AP832" s="271"/>
      <c r="AQ832" s="271"/>
      <c r="AR832" s="271"/>
      <c r="AS832" s="272"/>
      <c r="AT832" s="272"/>
      <c r="AU832" s="214"/>
      <c r="AV832" s="214"/>
    </row>
    <row r="833" ht="15.75" customHeight="1">
      <c r="A833" s="214"/>
      <c r="B833" s="261"/>
      <c r="C833" s="266"/>
      <c r="D833" s="267"/>
      <c r="E833" s="214"/>
      <c r="F833" s="214"/>
      <c r="G833" s="214"/>
      <c r="H833" s="214"/>
      <c r="I833" s="214"/>
      <c r="J833" s="214"/>
      <c r="K833" s="268"/>
      <c r="L833" s="214"/>
      <c r="M833" s="269"/>
      <c r="N833" s="214"/>
      <c r="O833" s="214"/>
      <c r="P833" s="214"/>
      <c r="Q833" s="214"/>
      <c r="R833" s="214"/>
      <c r="S833" s="214"/>
      <c r="T833" s="214"/>
      <c r="U833" s="214"/>
      <c r="V833" s="214"/>
      <c r="W833" s="214"/>
      <c r="X833" s="214"/>
      <c r="Y833" s="261"/>
      <c r="Z833" s="262"/>
      <c r="AA833" s="262"/>
      <c r="AB833" s="270"/>
      <c r="AC833" s="214"/>
      <c r="AD833" s="214"/>
      <c r="AE833" s="214"/>
      <c r="AF833" s="214"/>
      <c r="AG833" s="214"/>
      <c r="AH833" s="214"/>
      <c r="AI833" s="261"/>
      <c r="AJ833" s="214"/>
      <c r="AK833" s="261"/>
      <c r="AL833" s="261"/>
      <c r="AM833" s="264"/>
      <c r="AN833" s="214"/>
      <c r="AO833" s="271"/>
      <c r="AP833" s="271"/>
      <c r="AQ833" s="271"/>
      <c r="AR833" s="271"/>
      <c r="AS833" s="272"/>
      <c r="AT833" s="272"/>
      <c r="AU833" s="214"/>
      <c r="AV833" s="214"/>
    </row>
    <row r="834" ht="15.75" customHeight="1">
      <c r="A834" s="214"/>
      <c r="B834" s="261"/>
      <c r="C834" s="266"/>
      <c r="D834" s="267"/>
      <c r="E834" s="214"/>
      <c r="F834" s="214"/>
      <c r="G834" s="214"/>
      <c r="H834" s="214"/>
      <c r="I834" s="214"/>
      <c r="J834" s="214"/>
      <c r="K834" s="268"/>
      <c r="L834" s="214"/>
      <c r="M834" s="269"/>
      <c r="N834" s="214"/>
      <c r="O834" s="214"/>
      <c r="P834" s="214"/>
      <c r="Q834" s="214"/>
      <c r="R834" s="214"/>
      <c r="S834" s="214"/>
      <c r="T834" s="214"/>
      <c r="U834" s="214"/>
      <c r="V834" s="214"/>
      <c r="W834" s="214"/>
      <c r="X834" s="214"/>
      <c r="Y834" s="261"/>
      <c r="Z834" s="262"/>
      <c r="AA834" s="262"/>
      <c r="AB834" s="270"/>
      <c r="AC834" s="214"/>
      <c r="AD834" s="214"/>
      <c r="AE834" s="214"/>
      <c r="AF834" s="214"/>
      <c r="AG834" s="214"/>
      <c r="AH834" s="214"/>
      <c r="AI834" s="261"/>
      <c r="AJ834" s="214"/>
      <c r="AK834" s="261"/>
      <c r="AL834" s="261"/>
      <c r="AM834" s="264"/>
      <c r="AN834" s="214"/>
      <c r="AO834" s="271"/>
      <c r="AP834" s="271"/>
      <c r="AQ834" s="271"/>
      <c r="AR834" s="271"/>
      <c r="AS834" s="272"/>
      <c r="AT834" s="272"/>
      <c r="AU834" s="214"/>
      <c r="AV834" s="214"/>
    </row>
    <row r="835" ht="15.75" customHeight="1">
      <c r="A835" s="214"/>
      <c r="B835" s="261"/>
      <c r="C835" s="266"/>
      <c r="D835" s="267"/>
      <c r="E835" s="214"/>
      <c r="F835" s="214"/>
      <c r="G835" s="214"/>
      <c r="H835" s="214"/>
      <c r="I835" s="214"/>
      <c r="J835" s="214"/>
      <c r="K835" s="268"/>
      <c r="L835" s="214"/>
      <c r="M835" s="269"/>
      <c r="N835" s="214"/>
      <c r="O835" s="214"/>
      <c r="P835" s="214"/>
      <c r="Q835" s="214"/>
      <c r="R835" s="214"/>
      <c r="S835" s="214"/>
      <c r="T835" s="214"/>
      <c r="U835" s="214"/>
      <c r="V835" s="214"/>
      <c r="W835" s="214"/>
      <c r="X835" s="214"/>
      <c r="Y835" s="261"/>
      <c r="Z835" s="262"/>
      <c r="AA835" s="262"/>
      <c r="AB835" s="270"/>
      <c r="AC835" s="214"/>
      <c r="AD835" s="214"/>
      <c r="AE835" s="214"/>
      <c r="AF835" s="214"/>
      <c r="AG835" s="214"/>
      <c r="AH835" s="214"/>
      <c r="AI835" s="261"/>
      <c r="AJ835" s="214"/>
      <c r="AK835" s="261"/>
      <c r="AL835" s="261"/>
      <c r="AM835" s="264"/>
      <c r="AN835" s="214"/>
      <c r="AO835" s="271"/>
      <c r="AP835" s="271"/>
      <c r="AQ835" s="271"/>
      <c r="AR835" s="271"/>
      <c r="AS835" s="272"/>
      <c r="AT835" s="272"/>
      <c r="AU835" s="214"/>
      <c r="AV835" s="214"/>
    </row>
    <row r="836" ht="15.75" customHeight="1">
      <c r="A836" s="214"/>
      <c r="B836" s="261"/>
      <c r="C836" s="266"/>
      <c r="D836" s="267"/>
      <c r="E836" s="214"/>
      <c r="F836" s="214"/>
      <c r="G836" s="214"/>
      <c r="H836" s="214"/>
      <c r="I836" s="214"/>
      <c r="J836" s="214"/>
      <c r="K836" s="268"/>
      <c r="L836" s="214"/>
      <c r="M836" s="269"/>
      <c r="N836" s="214"/>
      <c r="O836" s="214"/>
      <c r="P836" s="214"/>
      <c r="Q836" s="214"/>
      <c r="R836" s="214"/>
      <c r="S836" s="214"/>
      <c r="T836" s="214"/>
      <c r="U836" s="214"/>
      <c r="V836" s="214"/>
      <c r="W836" s="214"/>
      <c r="X836" s="214"/>
      <c r="Y836" s="261"/>
      <c r="Z836" s="262"/>
      <c r="AA836" s="262"/>
      <c r="AB836" s="270"/>
      <c r="AC836" s="214"/>
      <c r="AD836" s="214"/>
      <c r="AE836" s="214"/>
      <c r="AF836" s="214"/>
      <c r="AG836" s="214"/>
      <c r="AH836" s="214"/>
      <c r="AI836" s="261"/>
      <c r="AJ836" s="214"/>
      <c r="AK836" s="261"/>
      <c r="AL836" s="261"/>
      <c r="AM836" s="264"/>
      <c r="AN836" s="214"/>
      <c r="AO836" s="271"/>
      <c r="AP836" s="271"/>
      <c r="AQ836" s="271"/>
      <c r="AR836" s="271"/>
      <c r="AS836" s="272"/>
      <c r="AT836" s="272"/>
      <c r="AU836" s="214"/>
      <c r="AV836" s="214"/>
    </row>
    <row r="837" ht="15.75" customHeight="1">
      <c r="A837" s="214"/>
      <c r="B837" s="261"/>
      <c r="C837" s="266"/>
      <c r="D837" s="267"/>
      <c r="E837" s="214"/>
      <c r="F837" s="214"/>
      <c r="G837" s="214"/>
      <c r="H837" s="214"/>
      <c r="I837" s="214"/>
      <c r="J837" s="214"/>
      <c r="K837" s="268"/>
      <c r="L837" s="214"/>
      <c r="M837" s="269"/>
      <c r="N837" s="214"/>
      <c r="O837" s="214"/>
      <c r="P837" s="214"/>
      <c r="Q837" s="214"/>
      <c r="R837" s="214"/>
      <c r="S837" s="214"/>
      <c r="T837" s="214"/>
      <c r="U837" s="214"/>
      <c r="V837" s="214"/>
      <c r="W837" s="214"/>
      <c r="X837" s="214"/>
      <c r="Y837" s="261"/>
      <c r="Z837" s="262"/>
      <c r="AA837" s="262"/>
      <c r="AB837" s="270"/>
      <c r="AC837" s="214"/>
      <c r="AD837" s="214"/>
      <c r="AE837" s="214"/>
      <c r="AF837" s="214"/>
      <c r="AG837" s="214"/>
      <c r="AH837" s="214"/>
      <c r="AI837" s="261"/>
      <c r="AJ837" s="214"/>
      <c r="AK837" s="261"/>
      <c r="AL837" s="261"/>
      <c r="AM837" s="264"/>
      <c r="AN837" s="214"/>
      <c r="AO837" s="271"/>
      <c r="AP837" s="271"/>
      <c r="AQ837" s="271"/>
      <c r="AR837" s="271"/>
      <c r="AS837" s="272"/>
      <c r="AT837" s="272"/>
      <c r="AU837" s="214"/>
      <c r="AV837" s="214"/>
    </row>
    <row r="838" ht="15.75" customHeight="1">
      <c r="A838" s="214"/>
      <c r="B838" s="261"/>
      <c r="C838" s="266"/>
      <c r="D838" s="267"/>
      <c r="E838" s="214"/>
      <c r="F838" s="214"/>
      <c r="G838" s="214"/>
      <c r="H838" s="214"/>
      <c r="I838" s="214"/>
      <c r="J838" s="214"/>
      <c r="K838" s="268"/>
      <c r="L838" s="214"/>
      <c r="M838" s="269"/>
      <c r="N838" s="214"/>
      <c r="O838" s="214"/>
      <c r="P838" s="214"/>
      <c r="Q838" s="214"/>
      <c r="R838" s="214"/>
      <c r="S838" s="214"/>
      <c r="T838" s="214"/>
      <c r="U838" s="214"/>
      <c r="V838" s="214"/>
      <c r="W838" s="214"/>
      <c r="X838" s="214"/>
      <c r="Y838" s="261"/>
      <c r="Z838" s="262"/>
      <c r="AA838" s="262"/>
      <c r="AB838" s="270"/>
      <c r="AC838" s="214"/>
      <c r="AD838" s="214"/>
      <c r="AE838" s="214"/>
      <c r="AF838" s="214"/>
      <c r="AG838" s="214"/>
      <c r="AH838" s="214"/>
      <c r="AI838" s="261"/>
      <c r="AJ838" s="214"/>
      <c r="AK838" s="261"/>
      <c r="AL838" s="261"/>
      <c r="AM838" s="264"/>
      <c r="AN838" s="214"/>
      <c r="AO838" s="271"/>
      <c r="AP838" s="271"/>
      <c r="AQ838" s="271"/>
      <c r="AR838" s="271"/>
      <c r="AS838" s="272"/>
      <c r="AT838" s="272"/>
      <c r="AU838" s="214"/>
      <c r="AV838" s="214"/>
    </row>
    <row r="839" ht="15.75" customHeight="1">
      <c r="A839" s="214"/>
      <c r="B839" s="261"/>
      <c r="C839" s="266"/>
      <c r="D839" s="267"/>
      <c r="E839" s="214"/>
      <c r="F839" s="214"/>
      <c r="G839" s="214"/>
      <c r="H839" s="214"/>
      <c r="I839" s="214"/>
      <c r="J839" s="214"/>
      <c r="K839" s="268"/>
      <c r="L839" s="214"/>
      <c r="M839" s="269"/>
      <c r="N839" s="214"/>
      <c r="O839" s="214"/>
      <c r="P839" s="214"/>
      <c r="Q839" s="214"/>
      <c r="R839" s="214"/>
      <c r="S839" s="214"/>
      <c r="T839" s="214"/>
      <c r="U839" s="214"/>
      <c r="V839" s="214"/>
      <c r="W839" s="214"/>
      <c r="X839" s="214"/>
      <c r="Y839" s="261"/>
      <c r="Z839" s="262"/>
      <c r="AA839" s="262"/>
      <c r="AB839" s="270"/>
      <c r="AC839" s="214"/>
      <c r="AD839" s="214"/>
      <c r="AE839" s="214"/>
      <c r="AF839" s="214"/>
      <c r="AG839" s="214"/>
      <c r="AH839" s="214"/>
      <c r="AI839" s="261"/>
      <c r="AJ839" s="214"/>
      <c r="AK839" s="261"/>
      <c r="AL839" s="261"/>
      <c r="AM839" s="264"/>
      <c r="AN839" s="214"/>
      <c r="AO839" s="271"/>
      <c r="AP839" s="271"/>
      <c r="AQ839" s="271"/>
      <c r="AR839" s="271"/>
      <c r="AS839" s="272"/>
      <c r="AT839" s="272"/>
      <c r="AU839" s="214"/>
      <c r="AV839" s="214"/>
    </row>
    <row r="840" ht="15.75" customHeight="1">
      <c r="A840" s="214"/>
      <c r="B840" s="261"/>
      <c r="C840" s="266"/>
      <c r="D840" s="267"/>
      <c r="E840" s="214"/>
      <c r="F840" s="214"/>
      <c r="G840" s="214"/>
      <c r="H840" s="214"/>
      <c r="I840" s="214"/>
      <c r="J840" s="214"/>
      <c r="K840" s="268"/>
      <c r="L840" s="214"/>
      <c r="M840" s="269"/>
      <c r="N840" s="214"/>
      <c r="O840" s="214"/>
      <c r="P840" s="214"/>
      <c r="Q840" s="214"/>
      <c r="R840" s="214"/>
      <c r="S840" s="214"/>
      <c r="T840" s="214"/>
      <c r="U840" s="214"/>
      <c r="V840" s="214"/>
      <c r="W840" s="214"/>
      <c r="X840" s="214"/>
      <c r="Y840" s="261"/>
      <c r="Z840" s="262"/>
      <c r="AA840" s="262"/>
      <c r="AB840" s="270"/>
      <c r="AC840" s="214"/>
      <c r="AD840" s="214"/>
      <c r="AE840" s="214"/>
      <c r="AF840" s="214"/>
      <c r="AG840" s="214"/>
      <c r="AH840" s="214"/>
      <c r="AI840" s="261"/>
      <c r="AJ840" s="214"/>
      <c r="AK840" s="261"/>
      <c r="AL840" s="261"/>
      <c r="AM840" s="264"/>
      <c r="AN840" s="214"/>
      <c r="AO840" s="271"/>
      <c r="AP840" s="271"/>
      <c r="AQ840" s="271"/>
      <c r="AR840" s="271"/>
      <c r="AS840" s="272"/>
      <c r="AT840" s="272"/>
      <c r="AU840" s="214"/>
      <c r="AV840" s="214"/>
    </row>
    <row r="841" ht="15.75" customHeight="1">
      <c r="A841" s="214"/>
      <c r="B841" s="261"/>
      <c r="C841" s="266"/>
      <c r="D841" s="267"/>
      <c r="E841" s="214"/>
      <c r="F841" s="214"/>
      <c r="G841" s="214"/>
      <c r="H841" s="214"/>
      <c r="I841" s="214"/>
      <c r="J841" s="214"/>
      <c r="K841" s="268"/>
      <c r="L841" s="214"/>
      <c r="M841" s="269"/>
      <c r="N841" s="214"/>
      <c r="O841" s="214"/>
      <c r="P841" s="214"/>
      <c r="Q841" s="214"/>
      <c r="R841" s="214"/>
      <c r="S841" s="214"/>
      <c r="T841" s="214"/>
      <c r="U841" s="214"/>
      <c r="V841" s="214"/>
      <c r="W841" s="214"/>
      <c r="X841" s="214"/>
      <c r="Y841" s="261"/>
      <c r="Z841" s="262"/>
      <c r="AA841" s="262"/>
      <c r="AB841" s="270"/>
      <c r="AC841" s="214"/>
      <c r="AD841" s="214"/>
      <c r="AE841" s="214"/>
      <c r="AF841" s="214"/>
      <c r="AG841" s="214"/>
      <c r="AH841" s="214"/>
      <c r="AI841" s="261"/>
      <c r="AJ841" s="214"/>
      <c r="AK841" s="261"/>
      <c r="AL841" s="261"/>
      <c r="AM841" s="264"/>
      <c r="AN841" s="214"/>
      <c r="AO841" s="271"/>
      <c r="AP841" s="271"/>
      <c r="AQ841" s="271"/>
      <c r="AR841" s="271"/>
      <c r="AS841" s="272"/>
      <c r="AT841" s="272"/>
      <c r="AU841" s="214"/>
      <c r="AV841" s="214"/>
    </row>
    <row r="842" ht="15.75" customHeight="1">
      <c r="A842" s="214"/>
      <c r="B842" s="261"/>
      <c r="C842" s="266"/>
      <c r="D842" s="267"/>
      <c r="E842" s="214"/>
      <c r="F842" s="214"/>
      <c r="G842" s="214"/>
      <c r="H842" s="214"/>
      <c r="I842" s="214"/>
      <c r="J842" s="214"/>
      <c r="K842" s="268"/>
      <c r="L842" s="214"/>
      <c r="M842" s="269"/>
      <c r="N842" s="214"/>
      <c r="O842" s="214"/>
      <c r="P842" s="214"/>
      <c r="Q842" s="214"/>
      <c r="R842" s="214"/>
      <c r="S842" s="214"/>
      <c r="T842" s="214"/>
      <c r="U842" s="214"/>
      <c r="V842" s="214"/>
      <c r="W842" s="214"/>
      <c r="X842" s="214"/>
      <c r="Y842" s="261"/>
      <c r="Z842" s="262"/>
      <c r="AA842" s="262"/>
      <c r="AB842" s="270"/>
      <c r="AC842" s="214"/>
      <c r="AD842" s="214"/>
      <c r="AE842" s="214"/>
      <c r="AF842" s="214"/>
      <c r="AG842" s="214"/>
      <c r="AH842" s="214"/>
      <c r="AI842" s="261"/>
      <c r="AJ842" s="214"/>
      <c r="AK842" s="261"/>
      <c r="AL842" s="261"/>
      <c r="AM842" s="264"/>
      <c r="AN842" s="214"/>
      <c r="AO842" s="271"/>
      <c r="AP842" s="271"/>
      <c r="AQ842" s="271"/>
      <c r="AR842" s="271"/>
      <c r="AS842" s="272"/>
      <c r="AT842" s="272"/>
      <c r="AU842" s="214"/>
      <c r="AV842" s="214"/>
    </row>
    <row r="843" ht="15.75" customHeight="1">
      <c r="A843" s="214"/>
      <c r="B843" s="261"/>
      <c r="C843" s="266"/>
      <c r="D843" s="267"/>
      <c r="E843" s="214"/>
      <c r="F843" s="214"/>
      <c r="G843" s="214"/>
      <c r="H843" s="214"/>
      <c r="I843" s="214"/>
      <c r="J843" s="214"/>
      <c r="K843" s="268"/>
      <c r="L843" s="214"/>
      <c r="M843" s="269"/>
      <c r="N843" s="214"/>
      <c r="O843" s="214"/>
      <c r="P843" s="214"/>
      <c r="Q843" s="214"/>
      <c r="R843" s="214"/>
      <c r="S843" s="214"/>
      <c r="T843" s="214"/>
      <c r="U843" s="214"/>
      <c r="V843" s="214"/>
      <c r="W843" s="214"/>
      <c r="X843" s="214"/>
      <c r="Y843" s="261"/>
      <c r="Z843" s="262"/>
      <c r="AA843" s="262"/>
      <c r="AB843" s="270"/>
      <c r="AC843" s="214"/>
      <c r="AD843" s="214"/>
      <c r="AE843" s="214"/>
      <c r="AF843" s="214"/>
      <c r="AG843" s="214"/>
      <c r="AH843" s="214"/>
      <c r="AI843" s="261"/>
      <c r="AJ843" s="214"/>
      <c r="AK843" s="261"/>
      <c r="AL843" s="261"/>
      <c r="AM843" s="264"/>
      <c r="AN843" s="214"/>
      <c r="AO843" s="271"/>
      <c r="AP843" s="271"/>
      <c r="AQ843" s="271"/>
      <c r="AR843" s="271"/>
      <c r="AS843" s="272"/>
      <c r="AT843" s="272"/>
      <c r="AU843" s="214"/>
      <c r="AV843" s="214"/>
    </row>
    <row r="844" ht="15.75" customHeight="1">
      <c r="A844" s="214"/>
      <c r="B844" s="261"/>
      <c r="C844" s="266"/>
      <c r="D844" s="267"/>
      <c r="E844" s="214"/>
      <c r="F844" s="214"/>
      <c r="G844" s="214"/>
      <c r="H844" s="214"/>
      <c r="I844" s="214"/>
      <c r="J844" s="214"/>
      <c r="K844" s="268"/>
      <c r="L844" s="214"/>
      <c r="M844" s="269"/>
      <c r="N844" s="214"/>
      <c r="O844" s="214"/>
      <c r="P844" s="214"/>
      <c r="Q844" s="214"/>
      <c r="R844" s="214"/>
      <c r="S844" s="214"/>
      <c r="T844" s="214"/>
      <c r="U844" s="214"/>
      <c r="V844" s="214"/>
      <c r="W844" s="214"/>
      <c r="X844" s="214"/>
      <c r="Y844" s="261"/>
      <c r="Z844" s="262"/>
      <c r="AA844" s="262"/>
      <c r="AB844" s="270"/>
      <c r="AC844" s="214"/>
      <c r="AD844" s="214"/>
      <c r="AE844" s="214"/>
      <c r="AF844" s="214"/>
      <c r="AG844" s="214"/>
      <c r="AH844" s="214"/>
      <c r="AI844" s="261"/>
      <c r="AJ844" s="214"/>
      <c r="AK844" s="261"/>
      <c r="AL844" s="261"/>
      <c r="AM844" s="264"/>
      <c r="AN844" s="214"/>
      <c r="AO844" s="271"/>
      <c r="AP844" s="271"/>
      <c r="AQ844" s="271"/>
      <c r="AR844" s="271"/>
      <c r="AS844" s="272"/>
      <c r="AT844" s="272"/>
      <c r="AU844" s="214"/>
      <c r="AV844" s="214"/>
    </row>
    <row r="845" ht="15.75" customHeight="1">
      <c r="A845" s="214"/>
      <c r="B845" s="261"/>
      <c r="C845" s="266"/>
      <c r="D845" s="267"/>
      <c r="E845" s="214"/>
      <c r="F845" s="214"/>
      <c r="G845" s="214"/>
      <c r="H845" s="214"/>
      <c r="I845" s="214"/>
      <c r="J845" s="214"/>
      <c r="K845" s="268"/>
      <c r="L845" s="214"/>
      <c r="M845" s="269"/>
      <c r="N845" s="214"/>
      <c r="O845" s="214"/>
      <c r="P845" s="214"/>
      <c r="Q845" s="214"/>
      <c r="R845" s="214"/>
      <c r="S845" s="214"/>
      <c r="T845" s="214"/>
      <c r="U845" s="214"/>
      <c r="V845" s="214"/>
      <c r="W845" s="214"/>
      <c r="X845" s="214"/>
      <c r="Y845" s="261"/>
      <c r="Z845" s="262"/>
      <c r="AA845" s="262"/>
      <c r="AB845" s="270"/>
      <c r="AC845" s="214"/>
      <c r="AD845" s="214"/>
      <c r="AE845" s="214"/>
      <c r="AF845" s="214"/>
      <c r="AG845" s="214"/>
      <c r="AH845" s="214"/>
      <c r="AI845" s="261"/>
      <c r="AJ845" s="214"/>
      <c r="AK845" s="261"/>
      <c r="AL845" s="261"/>
      <c r="AM845" s="264"/>
      <c r="AN845" s="214"/>
      <c r="AO845" s="271"/>
      <c r="AP845" s="271"/>
      <c r="AQ845" s="271"/>
      <c r="AR845" s="271"/>
      <c r="AS845" s="272"/>
      <c r="AT845" s="272"/>
      <c r="AU845" s="214"/>
      <c r="AV845" s="214"/>
    </row>
    <row r="846" ht="15.75" customHeight="1">
      <c r="A846" s="214"/>
      <c r="B846" s="261"/>
      <c r="C846" s="266"/>
      <c r="D846" s="267"/>
      <c r="E846" s="214"/>
      <c r="F846" s="214"/>
      <c r="G846" s="214"/>
      <c r="H846" s="214"/>
      <c r="I846" s="214"/>
      <c r="J846" s="214"/>
      <c r="K846" s="268"/>
      <c r="L846" s="214"/>
      <c r="M846" s="269"/>
      <c r="N846" s="214"/>
      <c r="O846" s="214"/>
      <c r="P846" s="214"/>
      <c r="Q846" s="214"/>
      <c r="R846" s="214"/>
      <c r="S846" s="214"/>
      <c r="T846" s="214"/>
      <c r="U846" s="214"/>
      <c r="V846" s="214"/>
      <c r="W846" s="214"/>
      <c r="X846" s="214"/>
      <c r="Y846" s="261"/>
      <c r="Z846" s="262"/>
      <c r="AA846" s="262"/>
      <c r="AB846" s="270"/>
      <c r="AC846" s="214"/>
      <c r="AD846" s="214"/>
      <c r="AE846" s="214"/>
      <c r="AF846" s="214"/>
      <c r="AG846" s="214"/>
      <c r="AH846" s="214"/>
      <c r="AI846" s="261"/>
      <c r="AJ846" s="214"/>
      <c r="AK846" s="261"/>
      <c r="AL846" s="261"/>
      <c r="AM846" s="264"/>
      <c r="AN846" s="214"/>
      <c r="AO846" s="271"/>
      <c r="AP846" s="271"/>
      <c r="AQ846" s="271"/>
      <c r="AR846" s="271"/>
      <c r="AS846" s="272"/>
      <c r="AT846" s="272"/>
      <c r="AU846" s="214"/>
      <c r="AV846" s="214"/>
    </row>
    <row r="847" ht="15.75" customHeight="1">
      <c r="A847" s="214"/>
      <c r="B847" s="261"/>
      <c r="C847" s="266"/>
      <c r="D847" s="267"/>
      <c r="E847" s="214"/>
      <c r="F847" s="214"/>
      <c r="G847" s="214"/>
      <c r="H847" s="214"/>
      <c r="I847" s="214"/>
      <c r="J847" s="214"/>
      <c r="K847" s="268"/>
      <c r="L847" s="214"/>
      <c r="M847" s="269"/>
      <c r="N847" s="214"/>
      <c r="O847" s="214"/>
      <c r="P847" s="214"/>
      <c r="Q847" s="214"/>
      <c r="R847" s="214"/>
      <c r="S847" s="214"/>
      <c r="T847" s="214"/>
      <c r="U847" s="214"/>
      <c r="V847" s="214"/>
      <c r="W847" s="214"/>
      <c r="X847" s="214"/>
      <c r="Y847" s="261"/>
      <c r="Z847" s="262"/>
      <c r="AA847" s="262"/>
      <c r="AB847" s="270"/>
      <c r="AC847" s="214"/>
      <c r="AD847" s="214"/>
      <c r="AE847" s="214"/>
      <c r="AF847" s="214"/>
      <c r="AG847" s="214"/>
      <c r="AH847" s="214"/>
      <c r="AI847" s="261"/>
      <c r="AJ847" s="214"/>
      <c r="AK847" s="261"/>
      <c r="AL847" s="261"/>
      <c r="AM847" s="264"/>
      <c r="AN847" s="214"/>
      <c r="AO847" s="271"/>
      <c r="AP847" s="271"/>
      <c r="AQ847" s="271"/>
      <c r="AR847" s="271"/>
      <c r="AS847" s="272"/>
      <c r="AT847" s="272"/>
      <c r="AU847" s="214"/>
      <c r="AV847" s="214"/>
    </row>
    <row r="848" ht="15.75" customHeight="1">
      <c r="A848" s="214"/>
      <c r="B848" s="261"/>
      <c r="C848" s="266"/>
      <c r="D848" s="267"/>
      <c r="E848" s="214"/>
      <c r="F848" s="214"/>
      <c r="G848" s="214"/>
      <c r="H848" s="214"/>
      <c r="I848" s="214"/>
      <c r="J848" s="214"/>
      <c r="K848" s="268"/>
      <c r="L848" s="214"/>
      <c r="M848" s="269"/>
      <c r="N848" s="214"/>
      <c r="O848" s="214"/>
      <c r="P848" s="214"/>
      <c r="Q848" s="214"/>
      <c r="R848" s="214"/>
      <c r="S848" s="214"/>
      <c r="T848" s="214"/>
      <c r="U848" s="214"/>
      <c r="V848" s="214"/>
      <c r="W848" s="214"/>
      <c r="X848" s="214"/>
      <c r="Y848" s="261"/>
      <c r="Z848" s="262"/>
      <c r="AA848" s="262"/>
      <c r="AB848" s="270"/>
      <c r="AC848" s="214"/>
      <c r="AD848" s="214"/>
      <c r="AE848" s="214"/>
      <c r="AF848" s="214"/>
      <c r="AG848" s="214"/>
      <c r="AH848" s="214"/>
      <c r="AI848" s="261"/>
      <c r="AJ848" s="214"/>
      <c r="AK848" s="261"/>
      <c r="AL848" s="261"/>
      <c r="AM848" s="264"/>
      <c r="AN848" s="214"/>
      <c r="AO848" s="271"/>
      <c r="AP848" s="271"/>
      <c r="AQ848" s="271"/>
      <c r="AR848" s="271"/>
      <c r="AS848" s="272"/>
      <c r="AT848" s="272"/>
      <c r="AU848" s="214"/>
      <c r="AV848" s="214"/>
    </row>
    <row r="849" ht="15.75" customHeight="1">
      <c r="A849" s="214"/>
      <c r="B849" s="261"/>
      <c r="C849" s="266"/>
      <c r="D849" s="267"/>
      <c r="E849" s="214"/>
      <c r="F849" s="214"/>
      <c r="G849" s="214"/>
      <c r="H849" s="214"/>
      <c r="I849" s="214"/>
      <c r="J849" s="214"/>
      <c r="K849" s="268"/>
      <c r="L849" s="214"/>
      <c r="M849" s="269"/>
      <c r="N849" s="214"/>
      <c r="O849" s="214"/>
      <c r="P849" s="214"/>
      <c r="Q849" s="214"/>
      <c r="R849" s="214"/>
      <c r="S849" s="214"/>
      <c r="T849" s="214"/>
      <c r="U849" s="214"/>
      <c r="V849" s="214"/>
      <c r="W849" s="214"/>
      <c r="X849" s="214"/>
      <c r="Y849" s="261"/>
      <c r="Z849" s="262"/>
      <c r="AA849" s="262"/>
      <c r="AB849" s="270"/>
      <c r="AC849" s="214"/>
      <c r="AD849" s="214"/>
      <c r="AE849" s="214"/>
      <c r="AF849" s="214"/>
      <c r="AG849" s="214"/>
      <c r="AH849" s="214"/>
      <c r="AI849" s="261"/>
      <c r="AJ849" s="214"/>
      <c r="AK849" s="261"/>
      <c r="AL849" s="261"/>
      <c r="AM849" s="264"/>
      <c r="AN849" s="214"/>
      <c r="AO849" s="271"/>
      <c r="AP849" s="271"/>
      <c r="AQ849" s="271"/>
      <c r="AR849" s="271"/>
      <c r="AS849" s="272"/>
      <c r="AT849" s="272"/>
      <c r="AU849" s="214"/>
      <c r="AV849" s="214"/>
    </row>
    <row r="850" ht="15.75" customHeight="1">
      <c r="A850" s="214"/>
      <c r="B850" s="261"/>
      <c r="C850" s="266"/>
      <c r="D850" s="267"/>
      <c r="E850" s="214"/>
      <c r="F850" s="214"/>
      <c r="G850" s="214"/>
      <c r="H850" s="214"/>
      <c r="I850" s="214"/>
      <c r="J850" s="214"/>
      <c r="K850" s="268"/>
      <c r="L850" s="214"/>
      <c r="M850" s="269"/>
      <c r="N850" s="214"/>
      <c r="O850" s="214"/>
      <c r="P850" s="214"/>
      <c r="Q850" s="214"/>
      <c r="R850" s="214"/>
      <c r="S850" s="214"/>
      <c r="T850" s="214"/>
      <c r="U850" s="214"/>
      <c r="V850" s="214"/>
      <c r="W850" s="214"/>
      <c r="X850" s="214"/>
      <c r="Y850" s="261"/>
      <c r="Z850" s="262"/>
      <c r="AA850" s="262"/>
      <c r="AB850" s="270"/>
      <c r="AC850" s="214"/>
      <c r="AD850" s="214"/>
      <c r="AE850" s="214"/>
      <c r="AF850" s="214"/>
      <c r="AG850" s="214"/>
      <c r="AH850" s="214"/>
      <c r="AI850" s="261"/>
      <c r="AJ850" s="214"/>
      <c r="AK850" s="261"/>
      <c r="AL850" s="261"/>
      <c r="AM850" s="264"/>
      <c r="AN850" s="214"/>
      <c r="AO850" s="271"/>
      <c r="AP850" s="271"/>
      <c r="AQ850" s="271"/>
      <c r="AR850" s="271"/>
      <c r="AS850" s="272"/>
      <c r="AT850" s="272"/>
      <c r="AU850" s="214"/>
      <c r="AV850" s="214"/>
    </row>
    <row r="851" ht="15.75" customHeight="1">
      <c r="A851" s="214"/>
      <c r="B851" s="261"/>
      <c r="C851" s="266"/>
      <c r="D851" s="267"/>
      <c r="E851" s="214"/>
      <c r="F851" s="214"/>
      <c r="G851" s="214"/>
      <c r="H851" s="214"/>
      <c r="I851" s="214"/>
      <c r="J851" s="214"/>
      <c r="K851" s="268"/>
      <c r="L851" s="214"/>
      <c r="M851" s="269"/>
      <c r="N851" s="214"/>
      <c r="O851" s="214"/>
      <c r="P851" s="214"/>
      <c r="Q851" s="214"/>
      <c r="R851" s="214"/>
      <c r="S851" s="214"/>
      <c r="T851" s="214"/>
      <c r="U851" s="214"/>
      <c r="V851" s="214"/>
      <c r="W851" s="214"/>
      <c r="X851" s="214"/>
      <c r="Y851" s="261"/>
      <c r="Z851" s="262"/>
      <c r="AA851" s="262"/>
      <c r="AB851" s="270"/>
      <c r="AC851" s="214"/>
      <c r="AD851" s="214"/>
      <c r="AE851" s="214"/>
      <c r="AF851" s="214"/>
      <c r="AG851" s="214"/>
      <c r="AH851" s="214"/>
      <c r="AI851" s="261"/>
      <c r="AJ851" s="214"/>
      <c r="AK851" s="261"/>
      <c r="AL851" s="261"/>
      <c r="AM851" s="264"/>
      <c r="AN851" s="214"/>
      <c r="AO851" s="271"/>
      <c r="AP851" s="271"/>
      <c r="AQ851" s="271"/>
      <c r="AR851" s="271"/>
      <c r="AS851" s="272"/>
      <c r="AT851" s="272"/>
      <c r="AU851" s="214"/>
      <c r="AV851" s="214"/>
    </row>
    <row r="852" ht="15.75" customHeight="1">
      <c r="A852" s="214"/>
      <c r="B852" s="261"/>
      <c r="C852" s="266"/>
      <c r="D852" s="267"/>
      <c r="E852" s="214"/>
      <c r="F852" s="214"/>
      <c r="G852" s="214"/>
      <c r="H852" s="214"/>
      <c r="I852" s="214"/>
      <c r="J852" s="214"/>
      <c r="K852" s="268"/>
      <c r="L852" s="214"/>
      <c r="M852" s="269"/>
      <c r="N852" s="214"/>
      <c r="O852" s="214"/>
      <c r="P852" s="214"/>
      <c r="Q852" s="214"/>
      <c r="R852" s="214"/>
      <c r="S852" s="214"/>
      <c r="T852" s="214"/>
      <c r="U852" s="214"/>
      <c r="V852" s="214"/>
      <c r="W852" s="214"/>
      <c r="X852" s="214"/>
      <c r="Y852" s="261"/>
      <c r="Z852" s="262"/>
      <c r="AA852" s="262"/>
      <c r="AB852" s="270"/>
      <c r="AC852" s="214"/>
      <c r="AD852" s="214"/>
      <c r="AE852" s="214"/>
      <c r="AF852" s="214"/>
      <c r="AG852" s="214"/>
      <c r="AH852" s="214"/>
      <c r="AI852" s="261"/>
      <c r="AJ852" s="214"/>
      <c r="AK852" s="261"/>
      <c r="AL852" s="261"/>
      <c r="AM852" s="264"/>
      <c r="AN852" s="214"/>
      <c r="AO852" s="271"/>
      <c r="AP852" s="271"/>
      <c r="AQ852" s="271"/>
      <c r="AR852" s="271"/>
      <c r="AS852" s="272"/>
      <c r="AT852" s="272"/>
      <c r="AU852" s="214"/>
      <c r="AV852" s="214"/>
    </row>
    <row r="853" ht="15.75" customHeight="1">
      <c r="A853" s="214"/>
      <c r="B853" s="261"/>
      <c r="C853" s="266"/>
      <c r="D853" s="267"/>
      <c r="E853" s="214"/>
      <c r="F853" s="214"/>
      <c r="G853" s="214"/>
      <c r="H853" s="214"/>
      <c r="I853" s="214"/>
      <c r="J853" s="214"/>
      <c r="K853" s="268"/>
      <c r="L853" s="214"/>
      <c r="M853" s="269"/>
      <c r="N853" s="214"/>
      <c r="O853" s="214"/>
      <c r="P853" s="214"/>
      <c r="Q853" s="214"/>
      <c r="R853" s="214"/>
      <c r="S853" s="214"/>
      <c r="T853" s="214"/>
      <c r="U853" s="214"/>
      <c r="V853" s="214"/>
      <c r="W853" s="214"/>
      <c r="X853" s="214"/>
      <c r="Y853" s="261"/>
      <c r="Z853" s="262"/>
      <c r="AA853" s="262"/>
      <c r="AB853" s="270"/>
      <c r="AC853" s="214"/>
      <c r="AD853" s="214"/>
      <c r="AE853" s="214"/>
      <c r="AF853" s="214"/>
      <c r="AG853" s="214"/>
      <c r="AH853" s="214"/>
      <c r="AI853" s="261"/>
      <c r="AJ853" s="214"/>
      <c r="AK853" s="261"/>
      <c r="AL853" s="261"/>
      <c r="AM853" s="264"/>
      <c r="AN853" s="214"/>
      <c r="AO853" s="271"/>
      <c r="AP853" s="271"/>
      <c r="AQ853" s="271"/>
      <c r="AR853" s="271"/>
      <c r="AS853" s="272"/>
      <c r="AT853" s="272"/>
      <c r="AU853" s="214"/>
      <c r="AV853" s="214"/>
    </row>
    <row r="854" ht="15.75" customHeight="1">
      <c r="A854" s="214"/>
      <c r="B854" s="261"/>
      <c r="C854" s="266"/>
      <c r="D854" s="267"/>
      <c r="E854" s="214"/>
      <c r="F854" s="214"/>
      <c r="G854" s="214"/>
      <c r="H854" s="214"/>
      <c r="I854" s="214"/>
      <c r="J854" s="214"/>
      <c r="K854" s="268"/>
      <c r="L854" s="214"/>
      <c r="M854" s="269"/>
      <c r="N854" s="214"/>
      <c r="O854" s="214"/>
      <c r="P854" s="214"/>
      <c r="Q854" s="214"/>
      <c r="R854" s="214"/>
      <c r="S854" s="214"/>
      <c r="T854" s="214"/>
      <c r="U854" s="214"/>
      <c r="V854" s="214"/>
      <c r="W854" s="214"/>
      <c r="X854" s="214"/>
      <c r="Y854" s="261"/>
      <c r="Z854" s="262"/>
      <c r="AA854" s="262"/>
      <c r="AB854" s="270"/>
      <c r="AC854" s="214"/>
      <c r="AD854" s="214"/>
      <c r="AE854" s="214"/>
      <c r="AF854" s="214"/>
      <c r="AG854" s="214"/>
      <c r="AH854" s="214"/>
      <c r="AI854" s="261"/>
      <c r="AJ854" s="214"/>
      <c r="AK854" s="261"/>
      <c r="AL854" s="261"/>
      <c r="AM854" s="264"/>
      <c r="AN854" s="214"/>
      <c r="AO854" s="271"/>
      <c r="AP854" s="271"/>
      <c r="AQ854" s="271"/>
      <c r="AR854" s="271"/>
      <c r="AS854" s="272"/>
      <c r="AT854" s="272"/>
      <c r="AU854" s="214"/>
      <c r="AV854" s="214"/>
    </row>
    <row r="855" ht="15.75" customHeight="1">
      <c r="A855" s="214"/>
      <c r="B855" s="261"/>
      <c r="C855" s="266"/>
      <c r="D855" s="267"/>
      <c r="E855" s="214"/>
      <c r="F855" s="214"/>
      <c r="G855" s="214"/>
      <c r="H855" s="214"/>
      <c r="I855" s="214"/>
      <c r="J855" s="214"/>
      <c r="K855" s="268"/>
      <c r="L855" s="214"/>
      <c r="M855" s="269"/>
      <c r="N855" s="214"/>
      <c r="O855" s="214"/>
      <c r="P855" s="214"/>
      <c r="Q855" s="214"/>
      <c r="R855" s="214"/>
      <c r="S855" s="214"/>
      <c r="T855" s="214"/>
      <c r="U855" s="214"/>
      <c r="V855" s="214"/>
      <c r="W855" s="214"/>
      <c r="X855" s="214"/>
      <c r="Y855" s="261"/>
      <c r="Z855" s="262"/>
      <c r="AA855" s="262"/>
      <c r="AB855" s="270"/>
      <c r="AC855" s="214"/>
      <c r="AD855" s="214"/>
      <c r="AE855" s="214"/>
      <c r="AF855" s="214"/>
      <c r="AG855" s="214"/>
      <c r="AH855" s="214"/>
      <c r="AI855" s="261"/>
      <c r="AJ855" s="214"/>
      <c r="AK855" s="261"/>
      <c r="AL855" s="261"/>
      <c r="AM855" s="264"/>
      <c r="AN855" s="214"/>
      <c r="AO855" s="271"/>
      <c r="AP855" s="271"/>
      <c r="AQ855" s="271"/>
      <c r="AR855" s="271"/>
      <c r="AS855" s="272"/>
      <c r="AT855" s="272"/>
      <c r="AU855" s="214"/>
      <c r="AV855" s="214"/>
    </row>
    <row r="856" ht="15.75" customHeight="1">
      <c r="A856" s="214"/>
      <c r="B856" s="261"/>
      <c r="C856" s="266"/>
      <c r="D856" s="267"/>
      <c r="E856" s="214"/>
      <c r="F856" s="214"/>
      <c r="G856" s="214"/>
      <c r="H856" s="214"/>
      <c r="I856" s="214"/>
      <c r="J856" s="214"/>
      <c r="K856" s="268"/>
      <c r="L856" s="214"/>
      <c r="M856" s="269"/>
      <c r="N856" s="214"/>
      <c r="O856" s="214"/>
      <c r="P856" s="214"/>
      <c r="Q856" s="214"/>
      <c r="R856" s="214"/>
      <c r="S856" s="214"/>
      <c r="T856" s="214"/>
      <c r="U856" s="214"/>
      <c r="V856" s="214"/>
      <c r="W856" s="214"/>
      <c r="X856" s="214"/>
      <c r="Y856" s="261"/>
      <c r="Z856" s="262"/>
      <c r="AA856" s="262"/>
      <c r="AB856" s="270"/>
      <c r="AC856" s="214"/>
      <c r="AD856" s="214"/>
      <c r="AE856" s="214"/>
      <c r="AF856" s="214"/>
      <c r="AG856" s="214"/>
      <c r="AH856" s="214"/>
      <c r="AI856" s="261"/>
      <c r="AJ856" s="214"/>
      <c r="AK856" s="261"/>
      <c r="AL856" s="261"/>
      <c r="AM856" s="264"/>
      <c r="AN856" s="214"/>
      <c r="AO856" s="271"/>
      <c r="AP856" s="271"/>
      <c r="AQ856" s="271"/>
      <c r="AR856" s="271"/>
      <c r="AS856" s="272"/>
      <c r="AT856" s="272"/>
      <c r="AU856" s="214"/>
      <c r="AV856" s="214"/>
    </row>
    <row r="857" ht="15.75" customHeight="1">
      <c r="A857" s="214"/>
      <c r="B857" s="261"/>
      <c r="C857" s="266"/>
      <c r="D857" s="267"/>
      <c r="E857" s="214"/>
      <c r="F857" s="214"/>
      <c r="G857" s="214"/>
      <c r="H857" s="214"/>
      <c r="I857" s="214"/>
      <c r="J857" s="214"/>
      <c r="K857" s="268"/>
      <c r="L857" s="214"/>
      <c r="M857" s="269"/>
      <c r="N857" s="214"/>
      <c r="O857" s="214"/>
      <c r="P857" s="214"/>
      <c r="Q857" s="214"/>
      <c r="R857" s="214"/>
      <c r="S857" s="214"/>
      <c r="T857" s="214"/>
      <c r="U857" s="214"/>
      <c r="V857" s="214"/>
      <c r="W857" s="214"/>
      <c r="X857" s="214"/>
      <c r="Y857" s="261"/>
      <c r="Z857" s="262"/>
      <c r="AA857" s="262"/>
      <c r="AB857" s="270"/>
      <c r="AC857" s="214"/>
      <c r="AD857" s="214"/>
      <c r="AE857" s="214"/>
      <c r="AF857" s="214"/>
      <c r="AG857" s="214"/>
      <c r="AH857" s="214"/>
      <c r="AI857" s="261"/>
      <c r="AJ857" s="214"/>
      <c r="AK857" s="261"/>
      <c r="AL857" s="261"/>
      <c r="AM857" s="264"/>
      <c r="AN857" s="214"/>
      <c r="AO857" s="271"/>
      <c r="AP857" s="271"/>
      <c r="AQ857" s="271"/>
      <c r="AR857" s="271"/>
      <c r="AS857" s="272"/>
      <c r="AT857" s="272"/>
      <c r="AU857" s="214"/>
      <c r="AV857" s="214"/>
    </row>
    <row r="858" ht="15.75" customHeight="1">
      <c r="A858" s="214"/>
      <c r="B858" s="261"/>
      <c r="C858" s="266"/>
      <c r="D858" s="267"/>
      <c r="E858" s="214"/>
      <c r="F858" s="214"/>
      <c r="G858" s="214"/>
      <c r="H858" s="214"/>
      <c r="I858" s="214"/>
      <c r="J858" s="214"/>
      <c r="K858" s="268"/>
      <c r="L858" s="214"/>
      <c r="M858" s="269"/>
      <c r="N858" s="214"/>
      <c r="O858" s="214"/>
      <c r="P858" s="214"/>
      <c r="Q858" s="214"/>
      <c r="R858" s="214"/>
      <c r="S858" s="214"/>
      <c r="T858" s="214"/>
      <c r="U858" s="214"/>
      <c r="V858" s="214"/>
      <c r="W858" s="214"/>
      <c r="X858" s="214"/>
      <c r="Y858" s="261"/>
      <c r="Z858" s="262"/>
      <c r="AA858" s="262"/>
      <c r="AB858" s="270"/>
      <c r="AC858" s="214"/>
      <c r="AD858" s="214"/>
      <c r="AE858" s="214"/>
      <c r="AF858" s="214"/>
      <c r="AG858" s="214"/>
      <c r="AH858" s="214"/>
      <c r="AI858" s="261"/>
      <c r="AJ858" s="214"/>
      <c r="AK858" s="261"/>
      <c r="AL858" s="261"/>
      <c r="AM858" s="264"/>
      <c r="AN858" s="214"/>
      <c r="AO858" s="271"/>
      <c r="AP858" s="271"/>
      <c r="AQ858" s="271"/>
      <c r="AR858" s="271"/>
      <c r="AS858" s="272"/>
      <c r="AT858" s="272"/>
      <c r="AU858" s="214"/>
      <c r="AV858" s="214"/>
    </row>
    <row r="859" ht="15.75" customHeight="1">
      <c r="A859" s="214"/>
      <c r="B859" s="261"/>
      <c r="C859" s="266"/>
      <c r="D859" s="267"/>
      <c r="E859" s="214"/>
      <c r="F859" s="214"/>
      <c r="G859" s="214"/>
      <c r="H859" s="214"/>
      <c r="I859" s="214"/>
      <c r="J859" s="214"/>
      <c r="K859" s="268"/>
      <c r="L859" s="214"/>
      <c r="M859" s="269"/>
      <c r="N859" s="214"/>
      <c r="O859" s="214"/>
      <c r="P859" s="214"/>
      <c r="Q859" s="214"/>
      <c r="R859" s="214"/>
      <c r="S859" s="214"/>
      <c r="T859" s="214"/>
      <c r="U859" s="214"/>
      <c r="V859" s="214"/>
      <c r="W859" s="214"/>
      <c r="X859" s="214"/>
      <c r="Y859" s="261"/>
      <c r="Z859" s="262"/>
      <c r="AA859" s="262"/>
      <c r="AB859" s="270"/>
      <c r="AC859" s="214"/>
      <c r="AD859" s="214"/>
      <c r="AE859" s="214"/>
      <c r="AF859" s="214"/>
      <c r="AG859" s="214"/>
      <c r="AH859" s="214"/>
      <c r="AI859" s="261"/>
      <c r="AJ859" s="214"/>
      <c r="AK859" s="261"/>
      <c r="AL859" s="261"/>
      <c r="AM859" s="264"/>
      <c r="AN859" s="214"/>
      <c r="AO859" s="271"/>
      <c r="AP859" s="271"/>
      <c r="AQ859" s="271"/>
      <c r="AR859" s="271"/>
      <c r="AS859" s="272"/>
      <c r="AT859" s="272"/>
      <c r="AU859" s="214"/>
      <c r="AV859" s="214"/>
    </row>
    <row r="860" ht="15.75" customHeight="1">
      <c r="A860" s="214"/>
      <c r="B860" s="261"/>
      <c r="C860" s="266"/>
      <c r="D860" s="267"/>
      <c r="E860" s="214"/>
      <c r="F860" s="214"/>
      <c r="G860" s="214"/>
      <c r="H860" s="214"/>
      <c r="I860" s="214"/>
      <c r="J860" s="214"/>
      <c r="K860" s="268"/>
      <c r="L860" s="214"/>
      <c r="M860" s="269"/>
      <c r="N860" s="214"/>
      <c r="O860" s="214"/>
      <c r="P860" s="214"/>
      <c r="Q860" s="214"/>
      <c r="R860" s="214"/>
      <c r="S860" s="214"/>
      <c r="T860" s="214"/>
      <c r="U860" s="214"/>
      <c r="V860" s="214"/>
      <c r="W860" s="214"/>
      <c r="X860" s="214"/>
      <c r="Y860" s="261"/>
      <c r="Z860" s="262"/>
      <c r="AA860" s="262"/>
      <c r="AB860" s="270"/>
      <c r="AC860" s="214"/>
      <c r="AD860" s="214"/>
      <c r="AE860" s="214"/>
      <c r="AF860" s="214"/>
      <c r="AG860" s="214"/>
      <c r="AH860" s="214"/>
      <c r="AI860" s="261"/>
      <c r="AJ860" s="214"/>
      <c r="AK860" s="261"/>
      <c r="AL860" s="261"/>
      <c r="AM860" s="264"/>
      <c r="AN860" s="214"/>
      <c r="AO860" s="271"/>
      <c r="AP860" s="271"/>
      <c r="AQ860" s="271"/>
      <c r="AR860" s="271"/>
      <c r="AS860" s="272"/>
      <c r="AT860" s="272"/>
      <c r="AU860" s="214"/>
      <c r="AV860" s="214"/>
    </row>
    <row r="861" ht="15.75" customHeight="1">
      <c r="A861" s="214"/>
      <c r="B861" s="261"/>
      <c r="C861" s="266"/>
      <c r="D861" s="267"/>
      <c r="E861" s="214"/>
      <c r="F861" s="214"/>
      <c r="G861" s="214"/>
      <c r="H861" s="214"/>
      <c r="I861" s="214"/>
      <c r="J861" s="214"/>
      <c r="K861" s="268"/>
      <c r="L861" s="214"/>
      <c r="M861" s="269"/>
      <c r="N861" s="214"/>
      <c r="O861" s="214"/>
      <c r="P861" s="214"/>
      <c r="Q861" s="214"/>
      <c r="R861" s="214"/>
      <c r="S861" s="214"/>
      <c r="T861" s="214"/>
      <c r="U861" s="214"/>
      <c r="V861" s="214"/>
      <c r="W861" s="214"/>
      <c r="X861" s="214"/>
      <c r="Y861" s="261"/>
      <c r="Z861" s="262"/>
      <c r="AA861" s="262"/>
      <c r="AB861" s="270"/>
      <c r="AC861" s="214"/>
      <c r="AD861" s="214"/>
      <c r="AE861" s="214"/>
      <c r="AF861" s="214"/>
      <c r="AG861" s="214"/>
      <c r="AH861" s="214"/>
      <c r="AI861" s="261"/>
      <c r="AJ861" s="214"/>
      <c r="AK861" s="261"/>
      <c r="AL861" s="261"/>
      <c r="AM861" s="264"/>
      <c r="AN861" s="214"/>
      <c r="AO861" s="271"/>
      <c r="AP861" s="271"/>
      <c r="AQ861" s="271"/>
      <c r="AR861" s="271"/>
      <c r="AS861" s="272"/>
      <c r="AT861" s="272"/>
      <c r="AU861" s="214"/>
      <c r="AV861" s="214"/>
    </row>
    <row r="862" ht="15.75" customHeight="1">
      <c r="A862" s="214"/>
      <c r="B862" s="261"/>
      <c r="C862" s="266"/>
      <c r="D862" s="267"/>
      <c r="E862" s="214"/>
      <c r="F862" s="214"/>
      <c r="G862" s="214"/>
      <c r="H862" s="214"/>
      <c r="I862" s="214"/>
      <c r="J862" s="214"/>
      <c r="K862" s="268"/>
      <c r="L862" s="214"/>
      <c r="M862" s="269"/>
      <c r="N862" s="214"/>
      <c r="O862" s="214"/>
      <c r="P862" s="214"/>
      <c r="Q862" s="214"/>
      <c r="R862" s="214"/>
      <c r="S862" s="214"/>
      <c r="T862" s="214"/>
      <c r="U862" s="214"/>
      <c r="V862" s="214"/>
      <c r="W862" s="214"/>
      <c r="X862" s="214"/>
      <c r="Y862" s="261"/>
      <c r="Z862" s="262"/>
      <c r="AA862" s="262"/>
      <c r="AB862" s="270"/>
      <c r="AC862" s="214"/>
      <c r="AD862" s="214"/>
      <c r="AE862" s="214"/>
      <c r="AF862" s="214"/>
      <c r="AG862" s="214"/>
      <c r="AH862" s="214"/>
      <c r="AI862" s="261"/>
      <c r="AJ862" s="214"/>
      <c r="AK862" s="261"/>
      <c r="AL862" s="261"/>
      <c r="AM862" s="264"/>
      <c r="AN862" s="214"/>
      <c r="AO862" s="271"/>
      <c r="AP862" s="271"/>
      <c r="AQ862" s="271"/>
      <c r="AR862" s="271"/>
      <c r="AS862" s="272"/>
      <c r="AT862" s="272"/>
      <c r="AU862" s="214"/>
      <c r="AV862" s="214"/>
    </row>
    <row r="863" ht="15.75" customHeight="1">
      <c r="A863" s="214"/>
      <c r="B863" s="261"/>
      <c r="C863" s="266"/>
      <c r="D863" s="267"/>
      <c r="E863" s="214"/>
      <c r="F863" s="214"/>
      <c r="G863" s="214"/>
      <c r="H863" s="214"/>
      <c r="I863" s="214"/>
      <c r="J863" s="214"/>
      <c r="K863" s="268"/>
      <c r="L863" s="214"/>
      <c r="M863" s="269"/>
      <c r="N863" s="214"/>
      <c r="O863" s="214"/>
      <c r="P863" s="214"/>
      <c r="Q863" s="214"/>
      <c r="R863" s="214"/>
      <c r="S863" s="214"/>
      <c r="T863" s="214"/>
      <c r="U863" s="214"/>
      <c r="V863" s="214"/>
      <c r="W863" s="214"/>
      <c r="X863" s="214"/>
      <c r="Y863" s="261"/>
      <c r="Z863" s="262"/>
      <c r="AA863" s="262"/>
      <c r="AB863" s="270"/>
      <c r="AC863" s="214"/>
      <c r="AD863" s="214"/>
      <c r="AE863" s="214"/>
      <c r="AF863" s="214"/>
      <c r="AG863" s="214"/>
      <c r="AH863" s="214"/>
      <c r="AI863" s="261"/>
      <c r="AJ863" s="214"/>
      <c r="AK863" s="261"/>
      <c r="AL863" s="261"/>
      <c r="AM863" s="264"/>
      <c r="AN863" s="214"/>
      <c r="AO863" s="271"/>
      <c r="AP863" s="271"/>
      <c r="AQ863" s="271"/>
      <c r="AR863" s="271"/>
      <c r="AS863" s="272"/>
      <c r="AT863" s="272"/>
      <c r="AU863" s="214"/>
      <c r="AV863" s="214"/>
    </row>
    <row r="864" ht="15.75" customHeight="1">
      <c r="A864" s="214"/>
      <c r="B864" s="261"/>
      <c r="C864" s="266"/>
      <c r="D864" s="267"/>
      <c r="E864" s="214"/>
      <c r="F864" s="214"/>
      <c r="G864" s="214"/>
      <c r="H864" s="214"/>
      <c r="I864" s="214"/>
      <c r="J864" s="214"/>
      <c r="K864" s="268"/>
      <c r="L864" s="214"/>
      <c r="M864" s="269"/>
      <c r="N864" s="214"/>
      <c r="O864" s="214"/>
      <c r="P864" s="214"/>
      <c r="Q864" s="214"/>
      <c r="R864" s="214"/>
      <c r="S864" s="214"/>
      <c r="T864" s="214"/>
      <c r="U864" s="214"/>
      <c r="V864" s="214"/>
      <c r="W864" s="214"/>
      <c r="X864" s="214"/>
      <c r="Y864" s="261"/>
      <c r="Z864" s="262"/>
      <c r="AA864" s="262"/>
      <c r="AB864" s="270"/>
      <c r="AC864" s="214"/>
      <c r="AD864" s="214"/>
      <c r="AE864" s="214"/>
      <c r="AF864" s="214"/>
      <c r="AG864" s="214"/>
      <c r="AH864" s="214"/>
      <c r="AI864" s="261"/>
      <c r="AJ864" s="214"/>
      <c r="AK864" s="261"/>
      <c r="AL864" s="261"/>
      <c r="AM864" s="264"/>
      <c r="AN864" s="214"/>
      <c r="AO864" s="271"/>
      <c r="AP864" s="271"/>
      <c r="AQ864" s="271"/>
      <c r="AR864" s="271"/>
      <c r="AS864" s="272"/>
      <c r="AT864" s="272"/>
      <c r="AU864" s="214"/>
      <c r="AV864" s="214"/>
    </row>
    <row r="865" ht="15.75" customHeight="1">
      <c r="A865" s="214"/>
      <c r="B865" s="261"/>
      <c r="C865" s="266"/>
      <c r="D865" s="267"/>
      <c r="E865" s="214"/>
      <c r="F865" s="214"/>
      <c r="G865" s="214"/>
      <c r="H865" s="214"/>
      <c r="I865" s="214"/>
      <c r="J865" s="214"/>
      <c r="K865" s="268"/>
      <c r="L865" s="214"/>
      <c r="M865" s="269"/>
      <c r="N865" s="214"/>
      <c r="O865" s="214"/>
      <c r="P865" s="214"/>
      <c r="Q865" s="214"/>
      <c r="R865" s="214"/>
      <c r="S865" s="214"/>
      <c r="T865" s="214"/>
      <c r="U865" s="214"/>
      <c r="V865" s="214"/>
      <c r="W865" s="214"/>
      <c r="X865" s="214"/>
      <c r="Y865" s="261"/>
      <c r="Z865" s="262"/>
      <c r="AA865" s="262"/>
      <c r="AB865" s="270"/>
      <c r="AC865" s="214"/>
      <c r="AD865" s="214"/>
      <c r="AE865" s="214"/>
      <c r="AF865" s="214"/>
      <c r="AG865" s="214"/>
      <c r="AH865" s="214"/>
      <c r="AI865" s="261"/>
      <c r="AJ865" s="214"/>
      <c r="AK865" s="261"/>
      <c r="AL865" s="261"/>
      <c r="AM865" s="264"/>
      <c r="AN865" s="214"/>
      <c r="AO865" s="271"/>
      <c r="AP865" s="271"/>
      <c r="AQ865" s="271"/>
      <c r="AR865" s="271"/>
      <c r="AS865" s="272"/>
      <c r="AT865" s="272"/>
      <c r="AU865" s="214"/>
      <c r="AV865" s="214"/>
    </row>
    <row r="866" ht="15.75" customHeight="1">
      <c r="A866" s="214"/>
      <c r="B866" s="261"/>
      <c r="C866" s="266"/>
      <c r="D866" s="267"/>
      <c r="E866" s="214"/>
      <c r="F866" s="214"/>
      <c r="G866" s="214"/>
      <c r="H866" s="214"/>
      <c r="I866" s="214"/>
      <c r="J866" s="214"/>
      <c r="K866" s="268"/>
      <c r="L866" s="214"/>
      <c r="M866" s="269"/>
      <c r="N866" s="214"/>
      <c r="O866" s="214"/>
      <c r="P866" s="214"/>
      <c r="Q866" s="214"/>
      <c r="R866" s="214"/>
      <c r="S866" s="214"/>
      <c r="T866" s="214"/>
      <c r="U866" s="214"/>
      <c r="V866" s="214"/>
      <c r="W866" s="214"/>
      <c r="X866" s="214"/>
      <c r="Y866" s="261"/>
      <c r="Z866" s="262"/>
      <c r="AA866" s="262"/>
      <c r="AB866" s="270"/>
      <c r="AC866" s="214"/>
      <c r="AD866" s="214"/>
      <c r="AE866" s="214"/>
      <c r="AF866" s="214"/>
      <c r="AG866" s="214"/>
      <c r="AH866" s="214"/>
      <c r="AI866" s="261"/>
      <c r="AJ866" s="214"/>
      <c r="AK866" s="261"/>
      <c r="AL866" s="261"/>
      <c r="AM866" s="264"/>
      <c r="AN866" s="214"/>
      <c r="AO866" s="271"/>
      <c r="AP866" s="271"/>
      <c r="AQ866" s="271"/>
      <c r="AR866" s="271"/>
      <c r="AS866" s="272"/>
      <c r="AT866" s="272"/>
      <c r="AU866" s="214"/>
      <c r="AV866" s="214"/>
    </row>
    <row r="867" ht="15.75" customHeight="1">
      <c r="A867" s="214"/>
      <c r="B867" s="261"/>
      <c r="C867" s="266"/>
      <c r="D867" s="267"/>
      <c r="E867" s="214"/>
      <c r="F867" s="214"/>
      <c r="G867" s="214"/>
      <c r="H867" s="214"/>
      <c r="I867" s="214"/>
      <c r="J867" s="214"/>
      <c r="K867" s="268"/>
      <c r="L867" s="214"/>
      <c r="M867" s="269"/>
      <c r="N867" s="214"/>
      <c r="O867" s="214"/>
      <c r="P867" s="214"/>
      <c r="Q867" s="214"/>
      <c r="R867" s="214"/>
      <c r="S867" s="214"/>
      <c r="T867" s="214"/>
      <c r="U867" s="214"/>
      <c r="V867" s="214"/>
      <c r="W867" s="214"/>
      <c r="X867" s="214"/>
      <c r="Y867" s="261"/>
      <c r="Z867" s="262"/>
      <c r="AA867" s="262"/>
      <c r="AB867" s="270"/>
      <c r="AC867" s="214"/>
      <c r="AD867" s="214"/>
      <c r="AE867" s="214"/>
      <c r="AF867" s="214"/>
      <c r="AG867" s="214"/>
      <c r="AH867" s="214"/>
      <c r="AI867" s="261"/>
      <c r="AJ867" s="214"/>
      <c r="AK867" s="261"/>
      <c r="AL867" s="261"/>
      <c r="AM867" s="264"/>
      <c r="AN867" s="214"/>
      <c r="AO867" s="271"/>
      <c r="AP867" s="271"/>
      <c r="AQ867" s="271"/>
      <c r="AR867" s="271"/>
      <c r="AS867" s="272"/>
      <c r="AT867" s="272"/>
      <c r="AU867" s="214"/>
      <c r="AV867" s="214"/>
    </row>
    <row r="868" ht="15.75" customHeight="1">
      <c r="A868" s="214"/>
      <c r="B868" s="261"/>
      <c r="C868" s="266"/>
      <c r="D868" s="267"/>
      <c r="E868" s="214"/>
      <c r="F868" s="214"/>
      <c r="G868" s="214"/>
      <c r="H868" s="214"/>
      <c r="I868" s="214"/>
      <c r="J868" s="214"/>
      <c r="K868" s="268"/>
      <c r="L868" s="214"/>
      <c r="M868" s="269"/>
      <c r="N868" s="214"/>
      <c r="O868" s="214"/>
      <c r="P868" s="214"/>
      <c r="Q868" s="214"/>
      <c r="R868" s="214"/>
      <c r="S868" s="214"/>
      <c r="T868" s="214"/>
      <c r="U868" s="214"/>
      <c r="V868" s="214"/>
      <c r="W868" s="214"/>
      <c r="X868" s="214"/>
      <c r="Y868" s="261"/>
      <c r="Z868" s="262"/>
      <c r="AA868" s="262"/>
      <c r="AB868" s="270"/>
      <c r="AC868" s="214"/>
      <c r="AD868" s="214"/>
      <c r="AE868" s="214"/>
      <c r="AF868" s="214"/>
      <c r="AG868" s="214"/>
      <c r="AH868" s="214"/>
      <c r="AI868" s="261"/>
      <c r="AJ868" s="214"/>
      <c r="AK868" s="261"/>
      <c r="AL868" s="261"/>
      <c r="AM868" s="264"/>
      <c r="AN868" s="214"/>
      <c r="AO868" s="271"/>
      <c r="AP868" s="271"/>
      <c r="AQ868" s="271"/>
      <c r="AR868" s="271"/>
      <c r="AS868" s="272"/>
      <c r="AT868" s="272"/>
      <c r="AU868" s="214"/>
      <c r="AV868" s="214"/>
    </row>
    <row r="869" ht="15.75" customHeight="1">
      <c r="A869" s="214"/>
      <c r="B869" s="261"/>
      <c r="C869" s="266"/>
      <c r="D869" s="267"/>
      <c r="E869" s="214"/>
      <c r="F869" s="214"/>
      <c r="G869" s="214"/>
      <c r="H869" s="214"/>
      <c r="I869" s="214"/>
      <c r="J869" s="214"/>
      <c r="K869" s="268"/>
      <c r="L869" s="214"/>
      <c r="M869" s="269"/>
      <c r="N869" s="214"/>
      <c r="O869" s="214"/>
      <c r="P869" s="214"/>
      <c r="Q869" s="214"/>
      <c r="R869" s="214"/>
      <c r="S869" s="214"/>
      <c r="T869" s="214"/>
      <c r="U869" s="214"/>
      <c r="V869" s="214"/>
      <c r="W869" s="214"/>
      <c r="X869" s="214"/>
      <c r="Y869" s="261"/>
      <c r="Z869" s="262"/>
      <c r="AA869" s="262"/>
      <c r="AB869" s="270"/>
      <c r="AC869" s="214"/>
      <c r="AD869" s="214"/>
      <c r="AE869" s="214"/>
      <c r="AF869" s="214"/>
      <c r="AG869" s="214"/>
      <c r="AH869" s="214"/>
      <c r="AI869" s="261"/>
      <c r="AJ869" s="214"/>
      <c r="AK869" s="261"/>
      <c r="AL869" s="261"/>
      <c r="AM869" s="264"/>
      <c r="AN869" s="214"/>
      <c r="AO869" s="271"/>
      <c r="AP869" s="271"/>
      <c r="AQ869" s="271"/>
      <c r="AR869" s="271"/>
      <c r="AS869" s="272"/>
      <c r="AT869" s="272"/>
      <c r="AU869" s="214"/>
      <c r="AV869" s="214"/>
    </row>
    <row r="870" ht="15.75" customHeight="1">
      <c r="A870" s="214"/>
      <c r="B870" s="261"/>
      <c r="C870" s="266"/>
      <c r="D870" s="267"/>
      <c r="E870" s="214"/>
      <c r="F870" s="214"/>
      <c r="G870" s="214"/>
      <c r="H870" s="214"/>
      <c r="I870" s="214"/>
      <c r="J870" s="214"/>
      <c r="K870" s="268"/>
      <c r="L870" s="214"/>
      <c r="M870" s="269"/>
      <c r="N870" s="214"/>
      <c r="O870" s="214"/>
      <c r="P870" s="214"/>
      <c r="Q870" s="214"/>
      <c r="R870" s="214"/>
      <c r="S870" s="214"/>
      <c r="T870" s="214"/>
      <c r="U870" s="214"/>
      <c r="V870" s="214"/>
      <c r="W870" s="214"/>
      <c r="X870" s="214"/>
      <c r="Y870" s="261"/>
      <c r="Z870" s="262"/>
      <c r="AA870" s="262"/>
      <c r="AB870" s="270"/>
      <c r="AC870" s="214"/>
      <c r="AD870" s="214"/>
      <c r="AE870" s="214"/>
      <c r="AF870" s="214"/>
      <c r="AG870" s="214"/>
      <c r="AH870" s="214"/>
      <c r="AI870" s="261"/>
      <c r="AJ870" s="214"/>
      <c r="AK870" s="261"/>
      <c r="AL870" s="261"/>
      <c r="AM870" s="264"/>
      <c r="AN870" s="214"/>
      <c r="AO870" s="271"/>
      <c r="AP870" s="271"/>
      <c r="AQ870" s="271"/>
      <c r="AR870" s="271"/>
      <c r="AS870" s="272"/>
      <c r="AT870" s="272"/>
      <c r="AU870" s="214"/>
      <c r="AV870" s="214"/>
    </row>
    <row r="871" ht="15.75" customHeight="1">
      <c r="A871" s="214"/>
      <c r="B871" s="261"/>
      <c r="C871" s="266"/>
      <c r="D871" s="267"/>
      <c r="E871" s="214"/>
      <c r="F871" s="214"/>
      <c r="G871" s="214"/>
      <c r="H871" s="214"/>
      <c r="I871" s="214"/>
      <c r="J871" s="214"/>
      <c r="K871" s="268"/>
      <c r="L871" s="214"/>
      <c r="M871" s="269"/>
      <c r="N871" s="214"/>
      <c r="O871" s="214"/>
      <c r="P871" s="214"/>
      <c r="Q871" s="214"/>
      <c r="R871" s="214"/>
      <c r="S871" s="214"/>
      <c r="T871" s="214"/>
      <c r="U871" s="214"/>
      <c r="V871" s="214"/>
      <c r="W871" s="214"/>
      <c r="X871" s="214"/>
      <c r="Y871" s="261"/>
      <c r="Z871" s="262"/>
      <c r="AA871" s="262"/>
      <c r="AB871" s="270"/>
      <c r="AC871" s="214"/>
      <c r="AD871" s="214"/>
      <c r="AE871" s="214"/>
      <c r="AF871" s="214"/>
      <c r="AG871" s="214"/>
      <c r="AH871" s="214"/>
      <c r="AI871" s="261"/>
      <c r="AJ871" s="214"/>
      <c r="AK871" s="261"/>
      <c r="AL871" s="261"/>
      <c r="AM871" s="264"/>
      <c r="AN871" s="214"/>
      <c r="AO871" s="271"/>
      <c r="AP871" s="271"/>
      <c r="AQ871" s="271"/>
      <c r="AR871" s="271"/>
      <c r="AS871" s="272"/>
      <c r="AT871" s="272"/>
      <c r="AU871" s="214"/>
      <c r="AV871" s="214"/>
    </row>
    <row r="872" ht="15.75" customHeight="1">
      <c r="A872" s="214"/>
      <c r="B872" s="261"/>
      <c r="C872" s="266"/>
      <c r="D872" s="267"/>
      <c r="E872" s="214"/>
      <c r="F872" s="214"/>
      <c r="G872" s="214"/>
      <c r="H872" s="214"/>
      <c r="I872" s="214"/>
      <c r="J872" s="214"/>
      <c r="K872" s="268"/>
      <c r="L872" s="214"/>
      <c r="M872" s="269"/>
      <c r="N872" s="214"/>
      <c r="O872" s="214"/>
      <c r="P872" s="214"/>
      <c r="Q872" s="214"/>
      <c r="R872" s="214"/>
      <c r="S872" s="214"/>
      <c r="T872" s="214"/>
      <c r="U872" s="214"/>
      <c r="V872" s="214"/>
      <c r="W872" s="214"/>
      <c r="X872" s="214"/>
      <c r="Y872" s="261"/>
      <c r="Z872" s="262"/>
      <c r="AA872" s="262"/>
      <c r="AB872" s="270"/>
      <c r="AC872" s="214"/>
      <c r="AD872" s="214"/>
      <c r="AE872" s="214"/>
      <c r="AF872" s="214"/>
      <c r="AG872" s="214"/>
      <c r="AH872" s="214"/>
      <c r="AI872" s="261"/>
      <c r="AJ872" s="214"/>
      <c r="AK872" s="261"/>
      <c r="AL872" s="261"/>
      <c r="AM872" s="264"/>
      <c r="AN872" s="214"/>
      <c r="AO872" s="271"/>
      <c r="AP872" s="271"/>
      <c r="AQ872" s="271"/>
      <c r="AR872" s="271"/>
      <c r="AS872" s="272"/>
      <c r="AT872" s="272"/>
      <c r="AU872" s="214"/>
      <c r="AV872" s="214"/>
    </row>
    <row r="873" ht="15.75" customHeight="1">
      <c r="A873" s="214"/>
      <c r="B873" s="261"/>
      <c r="C873" s="266"/>
      <c r="D873" s="267"/>
      <c r="E873" s="214"/>
      <c r="F873" s="214"/>
      <c r="G873" s="214"/>
      <c r="H873" s="214"/>
      <c r="I873" s="214"/>
      <c r="J873" s="214"/>
      <c r="K873" s="268"/>
      <c r="L873" s="214"/>
      <c r="M873" s="269"/>
      <c r="N873" s="214"/>
      <c r="O873" s="214"/>
      <c r="P873" s="214"/>
      <c r="Q873" s="214"/>
      <c r="R873" s="214"/>
      <c r="S873" s="214"/>
      <c r="T873" s="214"/>
      <c r="U873" s="214"/>
      <c r="V873" s="214"/>
      <c r="W873" s="214"/>
      <c r="X873" s="214"/>
      <c r="Y873" s="261"/>
      <c r="Z873" s="262"/>
      <c r="AA873" s="262"/>
      <c r="AB873" s="270"/>
      <c r="AC873" s="214"/>
      <c r="AD873" s="214"/>
      <c r="AE873" s="214"/>
      <c r="AF873" s="214"/>
      <c r="AG873" s="214"/>
      <c r="AH873" s="214"/>
      <c r="AI873" s="261"/>
      <c r="AJ873" s="214"/>
      <c r="AK873" s="261"/>
      <c r="AL873" s="261"/>
      <c r="AM873" s="264"/>
      <c r="AN873" s="214"/>
      <c r="AO873" s="271"/>
      <c r="AP873" s="271"/>
      <c r="AQ873" s="271"/>
      <c r="AR873" s="271"/>
      <c r="AS873" s="272"/>
      <c r="AT873" s="272"/>
      <c r="AU873" s="214"/>
      <c r="AV873" s="214"/>
    </row>
    <row r="874" ht="15.75" customHeight="1">
      <c r="A874" s="214"/>
      <c r="B874" s="261"/>
      <c r="C874" s="266"/>
      <c r="D874" s="267"/>
      <c r="E874" s="214"/>
      <c r="F874" s="214"/>
      <c r="G874" s="214"/>
      <c r="H874" s="214"/>
      <c r="I874" s="214"/>
      <c r="J874" s="214"/>
      <c r="K874" s="268"/>
      <c r="L874" s="214"/>
      <c r="M874" s="269"/>
      <c r="N874" s="214"/>
      <c r="O874" s="214"/>
      <c r="P874" s="214"/>
      <c r="Q874" s="214"/>
      <c r="R874" s="214"/>
      <c r="S874" s="214"/>
      <c r="T874" s="214"/>
      <c r="U874" s="214"/>
      <c r="V874" s="214"/>
      <c r="W874" s="214"/>
      <c r="X874" s="214"/>
      <c r="Y874" s="261"/>
      <c r="Z874" s="262"/>
      <c r="AA874" s="262"/>
      <c r="AB874" s="270"/>
      <c r="AC874" s="214"/>
      <c r="AD874" s="214"/>
      <c r="AE874" s="214"/>
      <c r="AF874" s="214"/>
      <c r="AG874" s="214"/>
      <c r="AH874" s="214"/>
      <c r="AI874" s="261"/>
      <c r="AJ874" s="214"/>
      <c r="AK874" s="261"/>
      <c r="AL874" s="261"/>
      <c r="AM874" s="264"/>
      <c r="AN874" s="214"/>
      <c r="AO874" s="271"/>
      <c r="AP874" s="271"/>
      <c r="AQ874" s="271"/>
      <c r="AR874" s="271"/>
      <c r="AS874" s="272"/>
      <c r="AT874" s="272"/>
      <c r="AU874" s="214"/>
      <c r="AV874" s="214"/>
    </row>
    <row r="875" ht="15.75" customHeight="1">
      <c r="A875" s="214"/>
      <c r="B875" s="261"/>
      <c r="C875" s="266"/>
      <c r="D875" s="267"/>
      <c r="E875" s="214"/>
      <c r="F875" s="214"/>
      <c r="G875" s="214"/>
      <c r="H875" s="214"/>
      <c r="I875" s="214"/>
      <c r="J875" s="214"/>
      <c r="K875" s="268"/>
      <c r="L875" s="214"/>
      <c r="M875" s="269"/>
      <c r="N875" s="214"/>
      <c r="O875" s="214"/>
      <c r="P875" s="214"/>
      <c r="Q875" s="214"/>
      <c r="R875" s="214"/>
      <c r="S875" s="214"/>
      <c r="T875" s="214"/>
      <c r="U875" s="214"/>
      <c r="V875" s="214"/>
      <c r="W875" s="214"/>
      <c r="X875" s="214"/>
      <c r="Y875" s="261"/>
      <c r="Z875" s="262"/>
      <c r="AA875" s="262"/>
      <c r="AB875" s="270"/>
      <c r="AC875" s="214"/>
      <c r="AD875" s="214"/>
      <c r="AE875" s="214"/>
      <c r="AF875" s="214"/>
      <c r="AG875" s="214"/>
      <c r="AH875" s="214"/>
      <c r="AI875" s="261"/>
      <c r="AJ875" s="214"/>
      <c r="AK875" s="261"/>
      <c r="AL875" s="261"/>
      <c r="AM875" s="264"/>
      <c r="AN875" s="214"/>
      <c r="AO875" s="271"/>
      <c r="AP875" s="271"/>
      <c r="AQ875" s="271"/>
      <c r="AR875" s="271"/>
      <c r="AS875" s="272"/>
      <c r="AT875" s="272"/>
      <c r="AU875" s="214"/>
      <c r="AV875" s="214"/>
    </row>
    <row r="876" ht="15.75" customHeight="1">
      <c r="A876" s="214"/>
      <c r="B876" s="261"/>
      <c r="C876" s="266"/>
      <c r="D876" s="267"/>
      <c r="E876" s="214"/>
      <c r="F876" s="214"/>
      <c r="G876" s="214"/>
      <c r="H876" s="214"/>
      <c r="I876" s="214"/>
      <c r="J876" s="214"/>
      <c r="K876" s="268"/>
      <c r="L876" s="214"/>
      <c r="M876" s="269"/>
      <c r="N876" s="214"/>
      <c r="O876" s="214"/>
      <c r="P876" s="214"/>
      <c r="Q876" s="214"/>
      <c r="R876" s="214"/>
      <c r="S876" s="214"/>
      <c r="T876" s="214"/>
      <c r="U876" s="214"/>
      <c r="V876" s="214"/>
      <c r="W876" s="214"/>
      <c r="X876" s="214"/>
      <c r="Y876" s="261"/>
      <c r="Z876" s="262"/>
      <c r="AA876" s="262"/>
      <c r="AB876" s="270"/>
      <c r="AC876" s="214"/>
      <c r="AD876" s="214"/>
      <c r="AE876" s="214"/>
      <c r="AF876" s="214"/>
      <c r="AG876" s="214"/>
      <c r="AH876" s="214"/>
      <c r="AI876" s="261"/>
      <c r="AJ876" s="214"/>
      <c r="AK876" s="261"/>
      <c r="AL876" s="261"/>
      <c r="AM876" s="264"/>
      <c r="AN876" s="214"/>
      <c r="AO876" s="271"/>
      <c r="AP876" s="271"/>
      <c r="AQ876" s="271"/>
      <c r="AR876" s="271"/>
      <c r="AS876" s="272"/>
      <c r="AT876" s="272"/>
      <c r="AU876" s="214"/>
      <c r="AV876" s="214"/>
    </row>
    <row r="877" ht="15.75" customHeight="1">
      <c r="A877" s="214"/>
      <c r="B877" s="261"/>
      <c r="C877" s="266"/>
      <c r="D877" s="267"/>
      <c r="E877" s="214"/>
      <c r="F877" s="214"/>
      <c r="G877" s="214"/>
      <c r="H877" s="214"/>
      <c r="I877" s="214"/>
      <c r="J877" s="214"/>
      <c r="K877" s="268"/>
      <c r="L877" s="214"/>
      <c r="M877" s="269"/>
      <c r="N877" s="214"/>
      <c r="O877" s="214"/>
      <c r="P877" s="214"/>
      <c r="Q877" s="214"/>
      <c r="R877" s="214"/>
      <c r="S877" s="214"/>
      <c r="T877" s="214"/>
      <c r="U877" s="214"/>
      <c r="V877" s="214"/>
      <c r="W877" s="214"/>
      <c r="X877" s="214"/>
      <c r="Y877" s="261"/>
      <c r="Z877" s="262"/>
      <c r="AA877" s="262"/>
      <c r="AB877" s="270"/>
      <c r="AC877" s="214"/>
      <c r="AD877" s="214"/>
      <c r="AE877" s="214"/>
      <c r="AF877" s="214"/>
      <c r="AG877" s="214"/>
      <c r="AH877" s="214"/>
      <c r="AI877" s="261"/>
      <c r="AJ877" s="214"/>
      <c r="AK877" s="261"/>
      <c r="AL877" s="261"/>
      <c r="AM877" s="264"/>
      <c r="AN877" s="214"/>
      <c r="AO877" s="271"/>
      <c r="AP877" s="271"/>
      <c r="AQ877" s="271"/>
      <c r="AR877" s="271"/>
      <c r="AS877" s="272"/>
      <c r="AT877" s="272"/>
      <c r="AU877" s="214"/>
      <c r="AV877" s="214"/>
    </row>
    <row r="878" ht="15.75" customHeight="1">
      <c r="A878" s="214"/>
      <c r="B878" s="261"/>
      <c r="C878" s="266"/>
      <c r="D878" s="267"/>
      <c r="E878" s="214"/>
      <c r="F878" s="214"/>
      <c r="G878" s="214"/>
      <c r="H878" s="214"/>
      <c r="I878" s="214"/>
      <c r="J878" s="214"/>
      <c r="K878" s="268"/>
      <c r="L878" s="214"/>
      <c r="M878" s="269"/>
      <c r="N878" s="214"/>
      <c r="O878" s="214"/>
      <c r="P878" s="214"/>
      <c r="Q878" s="214"/>
      <c r="R878" s="214"/>
      <c r="S878" s="214"/>
      <c r="T878" s="214"/>
      <c r="U878" s="214"/>
      <c r="V878" s="214"/>
      <c r="W878" s="214"/>
      <c r="X878" s="214"/>
      <c r="Y878" s="261"/>
      <c r="Z878" s="262"/>
      <c r="AA878" s="262"/>
      <c r="AB878" s="270"/>
      <c r="AC878" s="214"/>
      <c r="AD878" s="214"/>
      <c r="AE878" s="214"/>
      <c r="AF878" s="214"/>
      <c r="AG878" s="214"/>
      <c r="AH878" s="214"/>
      <c r="AI878" s="261"/>
      <c r="AJ878" s="214"/>
      <c r="AK878" s="261"/>
      <c r="AL878" s="261"/>
      <c r="AM878" s="264"/>
      <c r="AN878" s="214"/>
      <c r="AO878" s="271"/>
      <c r="AP878" s="271"/>
      <c r="AQ878" s="271"/>
      <c r="AR878" s="271"/>
      <c r="AS878" s="272"/>
      <c r="AT878" s="272"/>
      <c r="AU878" s="214"/>
      <c r="AV878" s="214"/>
    </row>
    <row r="879" ht="15.75" customHeight="1">
      <c r="A879" s="214"/>
      <c r="B879" s="261"/>
      <c r="C879" s="266"/>
      <c r="D879" s="267"/>
      <c r="E879" s="214"/>
      <c r="F879" s="214"/>
      <c r="G879" s="214"/>
      <c r="H879" s="214"/>
      <c r="I879" s="214"/>
      <c r="J879" s="214"/>
      <c r="K879" s="268"/>
      <c r="L879" s="214"/>
      <c r="M879" s="269"/>
      <c r="N879" s="214"/>
      <c r="O879" s="214"/>
      <c r="P879" s="214"/>
      <c r="Q879" s="214"/>
      <c r="R879" s="214"/>
      <c r="S879" s="214"/>
      <c r="T879" s="214"/>
      <c r="U879" s="214"/>
      <c r="V879" s="214"/>
      <c r="W879" s="214"/>
      <c r="X879" s="214"/>
      <c r="Y879" s="261"/>
      <c r="Z879" s="262"/>
      <c r="AA879" s="262"/>
      <c r="AB879" s="270"/>
      <c r="AC879" s="214"/>
      <c r="AD879" s="214"/>
      <c r="AE879" s="214"/>
      <c r="AF879" s="214"/>
      <c r="AG879" s="214"/>
      <c r="AH879" s="214"/>
      <c r="AI879" s="261"/>
      <c r="AJ879" s="214"/>
      <c r="AK879" s="261"/>
      <c r="AL879" s="261"/>
      <c r="AM879" s="264"/>
      <c r="AN879" s="214"/>
      <c r="AO879" s="271"/>
      <c r="AP879" s="271"/>
      <c r="AQ879" s="271"/>
      <c r="AR879" s="271"/>
      <c r="AS879" s="272"/>
      <c r="AT879" s="272"/>
      <c r="AU879" s="214"/>
      <c r="AV879" s="214"/>
    </row>
    <row r="880" ht="15.75" customHeight="1">
      <c r="A880" s="214"/>
      <c r="B880" s="261"/>
      <c r="C880" s="266"/>
      <c r="D880" s="267"/>
      <c r="E880" s="214"/>
      <c r="F880" s="214"/>
      <c r="G880" s="214"/>
      <c r="H880" s="214"/>
      <c r="I880" s="214"/>
      <c r="J880" s="214"/>
      <c r="K880" s="268"/>
      <c r="L880" s="214"/>
      <c r="M880" s="269"/>
      <c r="N880" s="214"/>
      <c r="O880" s="214"/>
      <c r="P880" s="214"/>
      <c r="Q880" s="214"/>
      <c r="R880" s="214"/>
      <c r="S880" s="214"/>
      <c r="T880" s="214"/>
      <c r="U880" s="214"/>
      <c r="V880" s="214"/>
      <c r="W880" s="214"/>
      <c r="X880" s="214"/>
      <c r="Y880" s="261"/>
      <c r="Z880" s="262"/>
      <c r="AA880" s="262"/>
      <c r="AB880" s="270"/>
      <c r="AC880" s="214"/>
      <c r="AD880" s="214"/>
      <c r="AE880" s="214"/>
      <c r="AF880" s="214"/>
      <c r="AG880" s="214"/>
      <c r="AH880" s="214"/>
      <c r="AI880" s="261"/>
      <c r="AJ880" s="214"/>
      <c r="AK880" s="261"/>
      <c r="AL880" s="261"/>
      <c r="AM880" s="264"/>
      <c r="AN880" s="214"/>
      <c r="AO880" s="271"/>
      <c r="AP880" s="271"/>
      <c r="AQ880" s="271"/>
      <c r="AR880" s="271"/>
      <c r="AS880" s="272"/>
      <c r="AT880" s="272"/>
      <c r="AU880" s="214"/>
      <c r="AV880" s="214"/>
    </row>
    <row r="881" ht="15.75" customHeight="1">
      <c r="A881" s="214"/>
      <c r="B881" s="261"/>
      <c r="C881" s="266"/>
      <c r="D881" s="267"/>
      <c r="E881" s="214"/>
      <c r="F881" s="214"/>
      <c r="G881" s="214"/>
      <c r="H881" s="214"/>
      <c r="I881" s="214"/>
      <c r="J881" s="214"/>
      <c r="K881" s="268"/>
      <c r="L881" s="214"/>
      <c r="M881" s="269"/>
      <c r="N881" s="214"/>
      <c r="O881" s="214"/>
      <c r="P881" s="214"/>
      <c r="Q881" s="214"/>
      <c r="R881" s="214"/>
      <c r="S881" s="214"/>
      <c r="T881" s="214"/>
      <c r="U881" s="214"/>
      <c r="V881" s="214"/>
      <c r="W881" s="214"/>
      <c r="X881" s="214"/>
      <c r="Y881" s="261"/>
      <c r="Z881" s="262"/>
      <c r="AA881" s="262"/>
      <c r="AB881" s="270"/>
      <c r="AC881" s="214"/>
      <c r="AD881" s="214"/>
      <c r="AE881" s="214"/>
      <c r="AF881" s="214"/>
      <c r="AG881" s="214"/>
      <c r="AH881" s="214"/>
      <c r="AI881" s="261"/>
      <c r="AJ881" s="214"/>
      <c r="AK881" s="261"/>
      <c r="AL881" s="261"/>
      <c r="AM881" s="264"/>
      <c r="AN881" s="214"/>
      <c r="AO881" s="271"/>
      <c r="AP881" s="271"/>
      <c r="AQ881" s="271"/>
      <c r="AR881" s="271"/>
      <c r="AS881" s="272"/>
      <c r="AT881" s="272"/>
      <c r="AU881" s="214"/>
      <c r="AV881" s="214"/>
    </row>
    <row r="882" ht="15.75" customHeight="1">
      <c r="A882" s="214"/>
      <c r="B882" s="261"/>
      <c r="C882" s="266"/>
      <c r="D882" s="267"/>
      <c r="E882" s="214"/>
      <c r="F882" s="214"/>
      <c r="G882" s="214"/>
      <c r="H882" s="214"/>
      <c r="I882" s="214"/>
      <c r="J882" s="214"/>
      <c r="K882" s="268"/>
      <c r="L882" s="214"/>
      <c r="M882" s="269"/>
      <c r="N882" s="214"/>
      <c r="O882" s="214"/>
      <c r="P882" s="214"/>
      <c r="Q882" s="214"/>
      <c r="R882" s="214"/>
      <c r="S882" s="214"/>
      <c r="T882" s="214"/>
      <c r="U882" s="214"/>
      <c r="V882" s="214"/>
      <c r="W882" s="214"/>
      <c r="X882" s="214"/>
      <c r="Y882" s="261"/>
      <c r="Z882" s="262"/>
      <c r="AA882" s="262"/>
      <c r="AB882" s="270"/>
      <c r="AC882" s="214"/>
      <c r="AD882" s="214"/>
      <c r="AE882" s="214"/>
      <c r="AF882" s="214"/>
      <c r="AG882" s="214"/>
      <c r="AH882" s="214"/>
      <c r="AI882" s="261"/>
      <c r="AJ882" s="214"/>
      <c r="AK882" s="261"/>
      <c r="AL882" s="261"/>
      <c r="AM882" s="264"/>
      <c r="AN882" s="214"/>
      <c r="AO882" s="271"/>
      <c r="AP882" s="271"/>
      <c r="AQ882" s="271"/>
      <c r="AR882" s="271"/>
      <c r="AS882" s="272"/>
      <c r="AT882" s="272"/>
      <c r="AU882" s="214"/>
      <c r="AV882" s="214"/>
    </row>
    <row r="883" ht="15.75" customHeight="1">
      <c r="A883" s="214"/>
      <c r="B883" s="261"/>
      <c r="C883" s="266"/>
      <c r="D883" s="267"/>
      <c r="E883" s="214"/>
      <c r="F883" s="214"/>
      <c r="G883" s="214"/>
      <c r="H883" s="214"/>
      <c r="I883" s="214"/>
      <c r="J883" s="214"/>
      <c r="K883" s="268"/>
      <c r="L883" s="214"/>
      <c r="M883" s="269"/>
      <c r="N883" s="214"/>
      <c r="O883" s="214"/>
      <c r="P883" s="214"/>
      <c r="Q883" s="214"/>
      <c r="R883" s="214"/>
      <c r="S883" s="214"/>
      <c r="T883" s="214"/>
      <c r="U883" s="214"/>
      <c r="V883" s="214"/>
      <c r="W883" s="214"/>
      <c r="X883" s="214"/>
      <c r="Y883" s="261"/>
      <c r="Z883" s="262"/>
      <c r="AA883" s="262"/>
      <c r="AB883" s="270"/>
      <c r="AC883" s="214"/>
      <c r="AD883" s="214"/>
      <c r="AE883" s="214"/>
      <c r="AF883" s="214"/>
      <c r="AG883" s="214"/>
      <c r="AH883" s="214"/>
      <c r="AI883" s="261"/>
      <c r="AJ883" s="214"/>
      <c r="AK883" s="261"/>
      <c r="AL883" s="261"/>
      <c r="AM883" s="264"/>
      <c r="AN883" s="214"/>
      <c r="AO883" s="271"/>
      <c r="AP883" s="271"/>
      <c r="AQ883" s="271"/>
      <c r="AR883" s="271"/>
      <c r="AS883" s="272"/>
      <c r="AT883" s="272"/>
      <c r="AU883" s="214"/>
      <c r="AV883" s="214"/>
    </row>
    <row r="884" ht="15.75" customHeight="1">
      <c r="A884" s="214"/>
      <c r="B884" s="261"/>
      <c r="C884" s="266"/>
      <c r="D884" s="267"/>
      <c r="E884" s="214"/>
      <c r="F884" s="214"/>
      <c r="G884" s="214"/>
      <c r="H884" s="214"/>
      <c r="I884" s="214"/>
      <c r="J884" s="214"/>
      <c r="K884" s="268"/>
      <c r="L884" s="214"/>
      <c r="M884" s="269"/>
      <c r="N884" s="214"/>
      <c r="O884" s="214"/>
      <c r="P884" s="214"/>
      <c r="Q884" s="214"/>
      <c r="R884" s="214"/>
      <c r="S884" s="214"/>
      <c r="T884" s="214"/>
      <c r="U884" s="214"/>
      <c r="V884" s="214"/>
      <c r="W884" s="214"/>
      <c r="X884" s="214"/>
      <c r="Y884" s="261"/>
      <c r="Z884" s="262"/>
      <c r="AA884" s="262"/>
      <c r="AB884" s="270"/>
      <c r="AC884" s="214"/>
      <c r="AD884" s="214"/>
      <c r="AE884" s="214"/>
      <c r="AF884" s="214"/>
      <c r="AG884" s="214"/>
      <c r="AH884" s="214"/>
      <c r="AI884" s="261"/>
      <c r="AJ884" s="214"/>
      <c r="AK884" s="261"/>
      <c r="AL884" s="261"/>
      <c r="AM884" s="264"/>
      <c r="AN884" s="214"/>
      <c r="AO884" s="271"/>
      <c r="AP884" s="271"/>
      <c r="AQ884" s="271"/>
      <c r="AR884" s="271"/>
      <c r="AS884" s="272"/>
      <c r="AT884" s="272"/>
      <c r="AU884" s="214"/>
      <c r="AV884" s="214"/>
    </row>
    <row r="885" ht="15.75" customHeight="1">
      <c r="A885" s="214"/>
      <c r="B885" s="261"/>
      <c r="C885" s="266"/>
      <c r="D885" s="267"/>
      <c r="E885" s="214"/>
      <c r="F885" s="214"/>
      <c r="G885" s="214"/>
      <c r="H885" s="214"/>
      <c r="I885" s="214"/>
      <c r="J885" s="214"/>
      <c r="K885" s="268"/>
      <c r="L885" s="214"/>
      <c r="M885" s="269"/>
      <c r="N885" s="214"/>
      <c r="O885" s="214"/>
      <c r="P885" s="214"/>
      <c r="Q885" s="214"/>
      <c r="R885" s="214"/>
      <c r="S885" s="214"/>
      <c r="T885" s="214"/>
      <c r="U885" s="214"/>
      <c r="V885" s="214"/>
      <c r="W885" s="214"/>
      <c r="X885" s="214"/>
      <c r="Y885" s="261"/>
      <c r="Z885" s="262"/>
      <c r="AA885" s="262"/>
      <c r="AB885" s="270"/>
      <c r="AC885" s="214"/>
      <c r="AD885" s="214"/>
      <c r="AE885" s="214"/>
      <c r="AF885" s="214"/>
      <c r="AG885" s="214"/>
      <c r="AH885" s="214"/>
      <c r="AI885" s="261"/>
      <c r="AJ885" s="214"/>
      <c r="AK885" s="261"/>
      <c r="AL885" s="261"/>
      <c r="AM885" s="264"/>
      <c r="AN885" s="214"/>
      <c r="AO885" s="271"/>
      <c r="AP885" s="271"/>
      <c r="AQ885" s="271"/>
      <c r="AR885" s="271"/>
      <c r="AS885" s="272"/>
      <c r="AT885" s="272"/>
      <c r="AU885" s="214"/>
      <c r="AV885" s="214"/>
    </row>
    <row r="886" ht="15.75" customHeight="1">
      <c r="A886" s="214"/>
      <c r="B886" s="261"/>
      <c r="C886" s="266"/>
      <c r="D886" s="267"/>
      <c r="E886" s="214"/>
      <c r="F886" s="214"/>
      <c r="G886" s="214"/>
      <c r="H886" s="214"/>
      <c r="I886" s="214"/>
      <c r="J886" s="214"/>
      <c r="K886" s="268"/>
      <c r="L886" s="214"/>
      <c r="M886" s="269"/>
      <c r="N886" s="214"/>
      <c r="O886" s="214"/>
      <c r="P886" s="214"/>
      <c r="Q886" s="214"/>
      <c r="R886" s="214"/>
      <c r="S886" s="214"/>
      <c r="T886" s="214"/>
      <c r="U886" s="214"/>
      <c r="V886" s="214"/>
      <c r="W886" s="214"/>
      <c r="X886" s="214"/>
      <c r="Y886" s="261"/>
      <c r="Z886" s="262"/>
      <c r="AA886" s="262"/>
      <c r="AB886" s="270"/>
      <c r="AC886" s="214"/>
      <c r="AD886" s="214"/>
      <c r="AE886" s="214"/>
      <c r="AF886" s="214"/>
      <c r="AG886" s="214"/>
      <c r="AH886" s="214"/>
      <c r="AI886" s="261"/>
      <c r="AJ886" s="214"/>
      <c r="AK886" s="261"/>
      <c r="AL886" s="261"/>
      <c r="AM886" s="264"/>
      <c r="AN886" s="214"/>
      <c r="AO886" s="271"/>
      <c r="AP886" s="271"/>
      <c r="AQ886" s="271"/>
      <c r="AR886" s="271"/>
      <c r="AS886" s="272"/>
      <c r="AT886" s="272"/>
      <c r="AU886" s="214"/>
      <c r="AV886" s="214"/>
    </row>
    <row r="887" ht="15.75" customHeight="1">
      <c r="A887" s="214"/>
      <c r="B887" s="261"/>
      <c r="C887" s="266"/>
      <c r="D887" s="267"/>
      <c r="E887" s="214"/>
      <c r="F887" s="214"/>
      <c r="G887" s="214"/>
      <c r="H887" s="214"/>
      <c r="I887" s="214"/>
      <c r="J887" s="214"/>
      <c r="K887" s="268"/>
      <c r="L887" s="214"/>
      <c r="M887" s="269"/>
      <c r="N887" s="214"/>
      <c r="O887" s="214"/>
      <c r="P887" s="214"/>
      <c r="Q887" s="214"/>
      <c r="R887" s="214"/>
      <c r="S887" s="214"/>
      <c r="T887" s="214"/>
      <c r="U887" s="214"/>
      <c r="V887" s="214"/>
      <c r="W887" s="214"/>
      <c r="X887" s="214"/>
      <c r="Y887" s="261"/>
      <c r="Z887" s="262"/>
      <c r="AA887" s="262"/>
      <c r="AB887" s="270"/>
      <c r="AC887" s="214"/>
      <c r="AD887" s="214"/>
      <c r="AE887" s="214"/>
      <c r="AF887" s="214"/>
      <c r="AG887" s="214"/>
      <c r="AH887" s="214"/>
      <c r="AI887" s="261"/>
      <c r="AJ887" s="214"/>
      <c r="AK887" s="261"/>
      <c r="AL887" s="261"/>
      <c r="AM887" s="264"/>
      <c r="AN887" s="214"/>
      <c r="AO887" s="271"/>
      <c r="AP887" s="271"/>
      <c r="AQ887" s="271"/>
      <c r="AR887" s="271"/>
      <c r="AS887" s="272"/>
      <c r="AT887" s="272"/>
      <c r="AU887" s="214"/>
      <c r="AV887" s="214"/>
    </row>
    <row r="888" ht="15.75" customHeight="1">
      <c r="A888" s="214"/>
      <c r="B888" s="261"/>
      <c r="C888" s="266"/>
      <c r="D888" s="267"/>
      <c r="E888" s="214"/>
      <c r="F888" s="214"/>
      <c r="G888" s="214"/>
      <c r="H888" s="214"/>
      <c r="I888" s="214"/>
      <c r="J888" s="214"/>
      <c r="K888" s="268"/>
      <c r="L888" s="214"/>
      <c r="M888" s="269"/>
      <c r="N888" s="214"/>
      <c r="O888" s="214"/>
      <c r="P888" s="214"/>
      <c r="Q888" s="214"/>
      <c r="R888" s="214"/>
      <c r="S888" s="214"/>
      <c r="T888" s="214"/>
      <c r="U888" s="214"/>
      <c r="V888" s="214"/>
      <c r="W888" s="214"/>
      <c r="X888" s="214"/>
      <c r="Y888" s="261"/>
      <c r="Z888" s="262"/>
      <c r="AA888" s="262"/>
      <c r="AB888" s="270"/>
      <c r="AC888" s="214"/>
      <c r="AD888" s="214"/>
      <c r="AE888" s="214"/>
      <c r="AF888" s="214"/>
      <c r="AG888" s="214"/>
      <c r="AH888" s="214"/>
      <c r="AI888" s="261"/>
      <c r="AJ888" s="214"/>
      <c r="AK888" s="261"/>
      <c r="AL888" s="261"/>
      <c r="AM888" s="264"/>
      <c r="AN888" s="214"/>
      <c r="AO888" s="271"/>
      <c r="AP888" s="271"/>
      <c r="AQ888" s="271"/>
      <c r="AR888" s="271"/>
      <c r="AS888" s="272"/>
      <c r="AT888" s="272"/>
      <c r="AU888" s="214"/>
      <c r="AV888" s="214"/>
    </row>
    <row r="889" ht="15.75" customHeight="1">
      <c r="A889" s="214"/>
      <c r="B889" s="261"/>
      <c r="C889" s="266"/>
      <c r="D889" s="267"/>
      <c r="E889" s="214"/>
      <c r="F889" s="214"/>
      <c r="G889" s="214"/>
      <c r="H889" s="214"/>
      <c r="I889" s="214"/>
      <c r="J889" s="214"/>
      <c r="K889" s="268"/>
      <c r="L889" s="214"/>
      <c r="M889" s="269"/>
      <c r="N889" s="214"/>
      <c r="O889" s="214"/>
      <c r="P889" s="214"/>
      <c r="Q889" s="214"/>
      <c r="R889" s="214"/>
      <c r="S889" s="214"/>
      <c r="T889" s="214"/>
      <c r="U889" s="214"/>
      <c r="V889" s="214"/>
      <c r="W889" s="214"/>
      <c r="X889" s="214"/>
      <c r="Y889" s="261"/>
      <c r="Z889" s="262"/>
      <c r="AA889" s="262"/>
      <c r="AB889" s="270"/>
      <c r="AC889" s="214"/>
      <c r="AD889" s="214"/>
      <c r="AE889" s="214"/>
      <c r="AF889" s="214"/>
      <c r="AG889" s="214"/>
      <c r="AH889" s="214"/>
      <c r="AI889" s="261"/>
      <c r="AJ889" s="214"/>
      <c r="AK889" s="261"/>
      <c r="AL889" s="261"/>
      <c r="AM889" s="264"/>
      <c r="AN889" s="214"/>
      <c r="AO889" s="271"/>
      <c r="AP889" s="271"/>
      <c r="AQ889" s="271"/>
      <c r="AR889" s="271"/>
      <c r="AS889" s="272"/>
      <c r="AT889" s="272"/>
      <c r="AU889" s="214"/>
      <c r="AV889" s="214"/>
    </row>
    <row r="890" ht="15.75" customHeight="1">
      <c r="A890" s="214"/>
      <c r="B890" s="261"/>
      <c r="C890" s="266"/>
      <c r="D890" s="267"/>
      <c r="E890" s="214"/>
      <c r="F890" s="214"/>
      <c r="G890" s="214"/>
      <c r="H890" s="214"/>
      <c r="I890" s="214"/>
      <c r="J890" s="214"/>
      <c r="K890" s="268"/>
      <c r="L890" s="214"/>
      <c r="M890" s="269"/>
      <c r="N890" s="214"/>
      <c r="O890" s="214"/>
      <c r="P890" s="214"/>
      <c r="Q890" s="214"/>
      <c r="R890" s="214"/>
      <c r="S890" s="214"/>
      <c r="T890" s="214"/>
      <c r="U890" s="214"/>
      <c r="V890" s="214"/>
      <c r="W890" s="214"/>
      <c r="X890" s="214"/>
      <c r="Y890" s="261"/>
      <c r="Z890" s="262"/>
      <c r="AA890" s="262"/>
      <c r="AB890" s="270"/>
      <c r="AC890" s="214"/>
      <c r="AD890" s="214"/>
      <c r="AE890" s="214"/>
      <c r="AF890" s="214"/>
      <c r="AG890" s="214"/>
      <c r="AH890" s="214"/>
      <c r="AI890" s="261"/>
      <c r="AJ890" s="214"/>
      <c r="AK890" s="261"/>
      <c r="AL890" s="261"/>
      <c r="AM890" s="264"/>
      <c r="AN890" s="214"/>
      <c r="AO890" s="271"/>
      <c r="AP890" s="271"/>
      <c r="AQ890" s="271"/>
      <c r="AR890" s="271"/>
      <c r="AS890" s="272"/>
      <c r="AT890" s="272"/>
      <c r="AU890" s="214"/>
      <c r="AV890" s="214"/>
    </row>
    <row r="891" ht="15.75" customHeight="1">
      <c r="A891" s="214"/>
      <c r="B891" s="261"/>
      <c r="C891" s="266"/>
      <c r="D891" s="267"/>
      <c r="E891" s="214"/>
      <c r="F891" s="214"/>
      <c r="G891" s="214"/>
      <c r="H891" s="214"/>
      <c r="I891" s="214"/>
      <c r="J891" s="214"/>
      <c r="K891" s="268"/>
      <c r="L891" s="214"/>
      <c r="M891" s="269"/>
      <c r="N891" s="214"/>
      <c r="O891" s="214"/>
      <c r="P891" s="214"/>
      <c r="Q891" s="214"/>
      <c r="R891" s="214"/>
      <c r="S891" s="214"/>
      <c r="T891" s="214"/>
      <c r="U891" s="214"/>
      <c r="V891" s="214"/>
      <c r="W891" s="214"/>
      <c r="X891" s="214"/>
      <c r="Y891" s="261"/>
      <c r="Z891" s="262"/>
      <c r="AA891" s="262"/>
      <c r="AB891" s="270"/>
      <c r="AC891" s="214"/>
      <c r="AD891" s="214"/>
      <c r="AE891" s="214"/>
      <c r="AF891" s="214"/>
      <c r="AG891" s="214"/>
      <c r="AH891" s="214"/>
      <c r="AI891" s="261"/>
      <c r="AJ891" s="214"/>
      <c r="AK891" s="261"/>
      <c r="AL891" s="261"/>
      <c r="AM891" s="264"/>
      <c r="AN891" s="214"/>
      <c r="AO891" s="271"/>
      <c r="AP891" s="271"/>
      <c r="AQ891" s="271"/>
      <c r="AR891" s="271"/>
      <c r="AS891" s="272"/>
      <c r="AT891" s="272"/>
      <c r="AU891" s="214"/>
      <c r="AV891" s="214"/>
    </row>
    <row r="892" ht="15.75" customHeight="1">
      <c r="A892" s="214"/>
      <c r="B892" s="261"/>
      <c r="C892" s="266"/>
      <c r="D892" s="267"/>
      <c r="E892" s="214"/>
      <c r="F892" s="214"/>
      <c r="G892" s="214"/>
      <c r="H892" s="214"/>
      <c r="I892" s="214"/>
      <c r="J892" s="214"/>
      <c r="K892" s="268"/>
      <c r="L892" s="214"/>
      <c r="M892" s="269"/>
      <c r="N892" s="214"/>
      <c r="O892" s="214"/>
      <c r="P892" s="214"/>
      <c r="Q892" s="214"/>
      <c r="R892" s="214"/>
      <c r="S892" s="214"/>
      <c r="T892" s="214"/>
      <c r="U892" s="214"/>
      <c r="V892" s="214"/>
      <c r="W892" s="214"/>
      <c r="X892" s="214"/>
      <c r="Y892" s="261"/>
      <c r="Z892" s="262"/>
      <c r="AA892" s="262"/>
      <c r="AB892" s="270"/>
      <c r="AC892" s="214"/>
      <c r="AD892" s="214"/>
      <c r="AE892" s="214"/>
      <c r="AF892" s="214"/>
      <c r="AG892" s="214"/>
      <c r="AH892" s="214"/>
      <c r="AI892" s="261"/>
      <c r="AJ892" s="214"/>
      <c r="AK892" s="261"/>
      <c r="AL892" s="261"/>
      <c r="AM892" s="264"/>
      <c r="AN892" s="214"/>
      <c r="AO892" s="271"/>
      <c r="AP892" s="271"/>
      <c r="AQ892" s="271"/>
      <c r="AR892" s="271"/>
      <c r="AS892" s="272"/>
      <c r="AT892" s="272"/>
      <c r="AU892" s="214"/>
      <c r="AV892" s="214"/>
    </row>
    <row r="893" ht="15.75" customHeight="1">
      <c r="A893" s="214"/>
      <c r="B893" s="261"/>
      <c r="C893" s="266"/>
      <c r="D893" s="267"/>
      <c r="E893" s="214"/>
      <c r="F893" s="214"/>
      <c r="G893" s="214"/>
      <c r="H893" s="214"/>
      <c r="I893" s="214"/>
      <c r="J893" s="214"/>
      <c r="K893" s="268"/>
      <c r="L893" s="214"/>
      <c r="M893" s="269"/>
      <c r="N893" s="214"/>
      <c r="O893" s="214"/>
      <c r="P893" s="214"/>
      <c r="Q893" s="214"/>
      <c r="R893" s="214"/>
      <c r="S893" s="214"/>
      <c r="T893" s="214"/>
      <c r="U893" s="214"/>
      <c r="V893" s="214"/>
      <c r="W893" s="214"/>
      <c r="X893" s="214"/>
      <c r="Y893" s="261"/>
      <c r="Z893" s="262"/>
      <c r="AA893" s="262"/>
      <c r="AB893" s="270"/>
      <c r="AC893" s="214"/>
      <c r="AD893" s="214"/>
      <c r="AE893" s="214"/>
      <c r="AF893" s="214"/>
      <c r="AG893" s="214"/>
      <c r="AH893" s="214"/>
      <c r="AI893" s="261"/>
      <c r="AJ893" s="214"/>
      <c r="AK893" s="261"/>
      <c r="AL893" s="261"/>
      <c r="AM893" s="264"/>
      <c r="AN893" s="214"/>
      <c r="AO893" s="271"/>
      <c r="AP893" s="271"/>
      <c r="AQ893" s="271"/>
      <c r="AR893" s="271"/>
      <c r="AS893" s="272"/>
      <c r="AT893" s="272"/>
      <c r="AU893" s="214"/>
      <c r="AV893" s="214"/>
    </row>
    <row r="894" ht="15.75" customHeight="1">
      <c r="A894" s="214"/>
      <c r="B894" s="261"/>
      <c r="C894" s="266"/>
      <c r="D894" s="267"/>
      <c r="E894" s="214"/>
      <c r="F894" s="214"/>
      <c r="G894" s="214"/>
      <c r="H894" s="214"/>
      <c r="I894" s="214"/>
      <c r="J894" s="214"/>
      <c r="K894" s="268"/>
      <c r="L894" s="214"/>
      <c r="M894" s="269"/>
      <c r="N894" s="214"/>
      <c r="O894" s="214"/>
      <c r="P894" s="214"/>
      <c r="Q894" s="214"/>
      <c r="R894" s="214"/>
      <c r="S894" s="214"/>
      <c r="T894" s="214"/>
      <c r="U894" s="214"/>
      <c r="V894" s="214"/>
      <c r="W894" s="214"/>
      <c r="X894" s="214"/>
      <c r="Y894" s="261"/>
      <c r="Z894" s="262"/>
      <c r="AA894" s="262"/>
      <c r="AB894" s="270"/>
      <c r="AC894" s="214"/>
      <c r="AD894" s="214"/>
      <c r="AE894" s="214"/>
      <c r="AF894" s="214"/>
      <c r="AG894" s="214"/>
      <c r="AH894" s="214"/>
      <c r="AI894" s="261"/>
      <c r="AJ894" s="214"/>
      <c r="AK894" s="261"/>
      <c r="AL894" s="261"/>
      <c r="AM894" s="264"/>
      <c r="AN894" s="214"/>
      <c r="AO894" s="271"/>
      <c r="AP894" s="271"/>
      <c r="AQ894" s="271"/>
      <c r="AR894" s="271"/>
      <c r="AS894" s="272"/>
      <c r="AT894" s="272"/>
      <c r="AU894" s="214"/>
      <c r="AV894" s="214"/>
    </row>
    <row r="895" ht="15.75" customHeight="1">
      <c r="A895" s="214"/>
      <c r="B895" s="261"/>
      <c r="C895" s="266"/>
      <c r="D895" s="267"/>
      <c r="E895" s="214"/>
      <c r="F895" s="214"/>
      <c r="G895" s="214"/>
      <c r="H895" s="214"/>
      <c r="I895" s="214"/>
      <c r="J895" s="214"/>
      <c r="K895" s="268"/>
      <c r="L895" s="214"/>
      <c r="M895" s="269"/>
      <c r="N895" s="214"/>
      <c r="O895" s="214"/>
      <c r="P895" s="214"/>
      <c r="Q895" s="214"/>
      <c r="R895" s="214"/>
      <c r="S895" s="214"/>
      <c r="T895" s="214"/>
      <c r="U895" s="214"/>
      <c r="V895" s="214"/>
      <c r="W895" s="214"/>
      <c r="X895" s="214"/>
      <c r="Y895" s="261"/>
      <c r="Z895" s="262"/>
      <c r="AA895" s="262"/>
      <c r="AB895" s="270"/>
      <c r="AC895" s="214"/>
      <c r="AD895" s="214"/>
      <c r="AE895" s="214"/>
      <c r="AF895" s="214"/>
      <c r="AG895" s="214"/>
      <c r="AH895" s="214"/>
      <c r="AI895" s="261"/>
      <c r="AJ895" s="214"/>
      <c r="AK895" s="261"/>
      <c r="AL895" s="261"/>
      <c r="AM895" s="264"/>
      <c r="AN895" s="214"/>
      <c r="AO895" s="271"/>
      <c r="AP895" s="271"/>
      <c r="AQ895" s="271"/>
      <c r="AR895" s="271"/>
      <c r="AS895" s="272"/>
      <c r="AT895" s="272"/>
      <c r="AU895" s="214"/>
      <c r="AV895" s="214"/>
    </row>
    <row r="896" ht="15.75" customHeight="1">
      <c r="A896" s="214"/>
      <c r="B896" s="261"/>
      <c r="C896" s="266"/>
      <c r="D896" s="267"/>
      <c r="E896" s="214"/>
      <c r="F896" s="214"/>
      <c r="G896" s="214"/>
      <c r="H896" s="214"/>
      <c r="I896" s="214"/>
      <c r="J896" s="214"/>
      <c r="K896" s="268"/>
      <c r="L896" s="214"/>
      <c r="M896" s="269"/>
      <c r="N896" s="214"/>
      <c r="O896" s="214"/>
      <c r="P896" s="214"/>
      <c r="Q896" s="214"/>
      <c r="R896" s="214"/>
      <c r="S896" s="214"/>
      <c r="T896" s="214"/>
      <c r="U896" s="214"/>
      <c r="V896" s="214"/>
      <c r="W896" s="214"/>
      <c r="X896" s="214"/>
      <c r="Y896" s="261"/>
      <c r="Z896" s="262"/>
      <c r="AA896" s="262"/>
      <c r="AB896" s="270"/>
      <c r="AC896" s="214"/>
      <c r="AD896" s="214"/>
      <c r="AE896" s="214"/>
      <c r="AF896" s="214"/>
      <c r="AG896" s="214"/>
      <c r="AH896" s="214"/>
      <c r="AI896" s="261"/>
      <c r="AJ896" s="214"/>
      <c r="AK896" s="261"/>
      <c r="AL896" s="261"/>
      <c r="AM896" s="264"/>
      <c r="AN896" s="214"/>
      <c r="AO896" s="271"/>
      <c r="AP896" s="271"/>
      <c r="AQ896" s="271"/>
      <c r="AR896" s="271"/>
      <c r="AS896" s="272"/>
      <c r="AT896" s="272"/>
      <c r="AU896" s="214"/>
      <c r="AV896" s="214"/>
    </row>
    <row r="897" ht="15.75" customHeight="1">
      <c r="A897" s="214"/>
      <c r="B897" s="261"/>
      <c r="C897" s="266"/>
      <c r="D897" s="267"/>
      <c r="E897" s="214"/>
      <c r="F897" s="214"/>
      <c r="G897" s="214"/>
      <c r="H897" s="214"/>
      <c r="I897" s="214"/>
      <c r="J897" s="214"/>
      <c r="K897" s="268"/>
      <c r="L897" s="214"/>
      <c r="M897" s="269"/>
      <c r="N897" s="214"/>
      <c r="O897" s="214"/>
      <c r="P897" s="214"/>
      <c r="Q897" s="214"/>
      <c r="R897" s="214"/>
      <c r="S897" s="214"/>
      <c r="T897" s="214"/>
      <c r="U897" s="214"/>
      <c r="V897" s="214"/>
      <c r="W897" s="214"/>
      <c r="X897" s="214"/>
      <c r="Y897" s="261"/>
      <c r="Z897" s="262"/>
      <c r="AA897" s="262"/>
      <c r="AB897" s="270"/>
      <c r="AC897" s="214"/>
      <c r="AD897" s="214"/>
      <c r="AE897" s="214"/>
      <c r="AF897" s="214"/>
      <c r="AG897" s="214"/>
      <c r="AH897" s="214"/>
      <c r="AI897" s="261"/>
      <c r="AJ897" s="214"/>
      <c r="AK897" s="261"/>
      <c r="AL897" s="261"/>
      <c r="AM897" s="264"/>
      <c r="AN897" s="214"/>
      <c r="AO897" s="271"/>
      <c r="AP897" s="271"/>
      <c r="AQ897" s="271"/>
      <c r="AR897" s="271"/>
      <c r="AS897" s="272"/>
      <c r="AT897" s="272"/>
      <c r="AU897" s="214"/>
      <c r="AV897" s="214"/>
    </row>
    <row r="898" ht="15.75" customHeight="1">
      <c r="A898" s="214"/>
      <c r="B898" s="261"/>
      <c r="C898" s="266"/>
      <c r="D898" s="267"/>
      <c r="E898" s="214"/>
      <c r="F898" s="214"/>
      <c r="G898" s="214"/>
      <c r="H898" s="214"/>
      <c r="I898" s="214"/>
      <c r="J898" s="214"/>
      <c r="K898" s="268"/>
      <c r="L898" s="214"/>
      <c r="M898" s="269"/>
      <c r="N898" s="214"/>
      <c r="O898" s="214"/>
      <c r="P898" s="214"/>
      <c r="Q898" s="214"/>
      <c r="R898" s="214"/>
      <c r="S898" s="214"/>
      <c r="T898" s="214"/>
      <c r="U898" s="214"/>
      <c r="V898" s="214"/>
      <c r="W898" s="214"/>
      <c r="X898" s="214"/>
      <c r="Y898" s="261"/>
      <c r="Z898" s="262"/>
      <c r="AA898" s="262"/>
      <c r="AB898" s="270"/>
      <c r="AC898" s="214"/>
      <c r="AD898" s="214"/>
      <c r="AE898" s="214"/>
      <c r="AF898" s="214"/>
      <c r="AG898" s="214"/>
      <c r="AH898" s="214"/>
      <c r="AI898" s="261"/>
      <c r="AJ898" s="214"/>
      <c r="AK898" s="261"/>
      <c r="AL898" s="261"/>
      <c r="AM898" s="264"/>
      <c r="AN898" s="214"/>
      <c r="AO898" s="271"/>
      <c r="AP898" s="271"/>
      <c r="AQ898" s="271"/>
      <c r="AR898" s="271"/>
      <c r="AS898" s="272"/>
      <c r="AT898" s="272"/>
      <c r="AU898" s="214"/>
      <c r="AV898" s="214"/>
    </row>
    <row r="899" ht="15.75" customHeight="1">
      <c r="A899" s="214"/>
      <c r="B899" s="261"/>
      <c r="C899" s="266"/>
      <c r="D899" s="267"/>
      <c r="E899" s="214"/>
      <c r="F899" s="214"/>
      <c r="G899" s="214"/>
      <c r="H899" s="214"/>
      <c r="I899" s="214"/>
      <c r="J899" s="214"/>
      <c r="K899" s="268"/>
      <c r="L899" s="214"/>
      <c r="M899" s="269"/>
      <c r="N899" s="214"/>
      <c r="O899" s="214"/>
      <c r="P899" s="214"/>
      <c r="Q899" s="214"/>
      <c r="R899" s="214"/>
      <c r="S899" s="214"/>
      <c r="T899" s="214"/>
      <c r="U899" s="214"/>
      <c r="V899" s="214"/>
      <c r="W899" s="214"/>
      <c r="X899" s="214"/>
      <c r="Y899" s="261"/>
      <c r="Z899" s="262"/>
      <c r="AA899" s="262"/>
      <c r="AB899" s="270"/>
      <c r="AC899" s="214"/>
      <c r="AD899" s="214"/>
      <c r="AE899" s="214"/>
      <c r="AF899" s="214"/>
      <c r="AG899" s="214"/>
      <c r="AH899" s="214"/>
      <c r="AI899" s="261"/>
      <c r="AJ899" s="214"/>
      <c r="AK899" s="261"/>
      <c r="AL899" s="261"/>
      <c r="AM899" s="264"/>
      <c r="AN899" s="214"/>
      <c r="AO899" s="271"/>
      <c r="AP899" s="271"/>
      <c r="AQ899" s="271"/>
      <c r="AR899" s="271"/>
      <c r="AS899" s="272"/>
      <c r="AT899" s="272"/>
      <c r="AU899" s="214"/>
      <c r="AV899" s="214"/>
    </row>
    <row r="900" ht="15.75" customHeight="1">
      <c r="A900" s="214"/>
      <c r="B900" s="261"/>
      <c r="C900" s="266"/>
      <c r="D900" s="267"/>
      <c r="E900" s="214"/>
      <c r="F900" s="214"/>
      <c r="G900" s="214"/>
      <c r="H900" s="214"/>
      <c r="I900" s="214"/>
      <c r="J900" s="214"/>
      <c r="K900" s="268"/>
      <c r="L900" s="214"/>
      <c r="M900" s="269"/>
      <c r="N900" s="214"/>
      <c r="O900" s="214"/>
      <c r="P900" s="214"/>
      <c r="Q900" s="214"/>
      <c r="R900" s="214"/>
      <c r="S900" s="214"/>
      <c r="T900" s="214"/>
      <c r="U900" s="214"/>
      <c r="V900" s="214"/>
      <c r="W900" s="214"/>
      <c r="X900" s="214"/>
      <c r="Y900" s="261"/>
      <c r="Z900" s="262"/>
      <c r="AA900" s="262"/>
      <c r="AB900" s="270"/>
      <c r="AC900" s="214"/>
      <c r="AD900" s="214"/>
      <c r="AE900" s="214"/>
      <c r="AF900" s="214"/>
      <c r="AG900" s="214"/>
      <c r="AH900" s="214"/>
      <c r="AI900" s="261"/>
      <c r="AJ900" s="214"/>
      <c r="AK900" s="261"/>
      <c r="AL900" s="261"/>
      <c r="AM900" s="264"/>
      <c r="AN900" s="214"/>
      <c r="AO900" s="271"/>
      <c r="AP900" s="271"/>
      <c r="AQ900" s="271"/>
      <c r="AR900" s="271"/>
      <c r="AS900" s="272"/>
      <c r="AT900" s="272"/>
      <c r="AU900" s="214"/>
      <c r="AV900" s="214"/>
    </row>
    <row r="901" ht="15.75" customHeight="1">
      <c r="A901" s="214"/>
      <c r="B901" s="261"/>
      <c r="C901" s="266"/>
      <c r="D901" s="267"/>
      <c r="E901" s="214"/>
      <c r="F901" s="214"/>
      <c r="G901" s="214"/>
      <c r="H901" s="214"/>
      <c r="I901" s="214"/>
      <c r="J901" s="214"/>
      <c r="K901" s="268"/>
      <c r="L901" s="214"/>
      <c r="M901" s="269"/>
      <c r="N901" s="214"/>
      <c r="O901" s="214"/>
      <c r="P901" s="214"/>
      <c r="Q901" s="214"/>
      <c r="R901" s="214"/>
      <c r="S901" s="214"/>
      <c r="T901" s="214"/>
      <c r="U901" s="214"/>
      <c r="V901" s="214"/>
      <c r="W901" s="214"/>
      <c r="X901" s="214"/>
      <c r="Y901" s="261"/>
      <c r="Z901" s="262"/>
      <c r="AA901" s="262"/>
      <c r="AB901" s="270"/>
      <c r="AC901" s="214"/>
      <c r="AD901" s="214"/>
      <c r="AE901" s="214"/>
      <c r="AF901" s="214"/>
      <c r="AG901" s="214"/>
      <c r="AH901" s="214"/>
      <c r="AI901" s="261"/>
      <c r="AJ901" s="214"/>
      <c r="AK901" s="261"/>
      <c r="AL901" s="261"/>
      <c r="AM901" s="264"/>
      <c r="AN901" s="214"/>
      <c r="AO901" s="271"/>
      <c r="AP901" s="271"/>
      <c r="AQ901" s="271"/>
      <c r="AR901" s="271"/>
      <c r="AS901" s="272"/>
      <c r="AT901" s="272"/>
      <c r="AU901" s="214"/>
      <c r="AV901" s="214"/>
    </row>
    <row r="902" ht="15.75" customHeight="1">
      <c r="A902" s="214"/>
      <c r="B902" s="261"/>
      <c r="C902" s="266"/>
      <c r="D902" s="267"/>
      <c r="E902" s="214"/>
      <c r="F902" s="214"/>
      <c r="G902" s="214"/>
      <c r="H902" s="214"/>
      <c r="I902" s="214"/>
      <c r="J902" s="214"/>
      <c r="K902" s="268"/>
      <c r="L902" s="214"/>
      <c r="M902" s="269"/>
      <c r="N902" s="214"/>
      <c r="O902" s="214"/>
      <c r="P902" s="214"/>
      <c r="Q902" s="214"/>
      <c r="R902" s="214"/>
      <c r="S902" s="214"/>
      <c r="T902" s="214"/>
      <c r="U902" s="214"/>
      <c r="V902" s="214"/>
      <c r="W902" s="214"/>
      <c r="X902" s="214"/>
      <c r="Y902" s="261"/>
      <c r="Z902" s="262"/>
      <c r="AA902" s="262"/>
      <c r="AB902" s="270"/>
      <c r="AC902" s="214"/>
      <c r="AD902" s="214"/>
      <c r="AE902" s="214"/>
      <c r="AF902" s="214"/>
      <c r="AG902" s="214"/>
      <c r="AH902" s="214"/>
      <c r="AI902" s="261"/>
      <c r="AJ902" s="214"/>
      <c r="AK902" s="261"/>
      <c r="AL902" s="261"/>
      <c r="AM902" s="264"/>
      <c r="AN902" s="214"/>
      <c r="AO902" s="271"/>
      <c r="AP902" s="271"/>
      <c r="AQ902" s="271"/>
      <c r="AR902" s="271"/>
      <c r="AS902" s="272"/>
      <c r="AT902" s="272"/>
      <c r="AU902" s="214"/>
      <c r="AV902" s="214"/>
    </row>
    <row r="903" ht="15.75" customHeight="1">
      <c r="A903" s="214"/>
      <c r="B903" s="261"/>
      <c r="C903" s="266"/>
      <c r="D903" s="267"/>
      <c r="E903" s="214"/>
      <c r="F903" s="214"/>
      <c r="G903" s="214"/>
      <c r="H903" s="214"/>
      <c r="I903" s="214"/>
      <c r="J903" s="214"/>
      <c r="K903" s="268"/>
      <c r="L903" s="214"/>
      <c r="M903" s="269"/>
      <c r="N903" s="214"/>
      <c r="O903" s="214"/>
      <c r="P903" s="214"/>
      <c r="Q903" s="214"/>
      <c r="R903" s="214"/>
      <c r="S903" s="214"/>
      <c r="T903" s="214"/>
      <c r="U903" s="214"/>
      <c r="V903" s="214"/>
      <c r="W903" s="214"/>
      <c r="X903" s="214"/>
      <c r="Y903" s="261"/>
      <c r="Z903" s="262"/>
      <c r="AA903" s="262"/>
      <c r="AB903" s="270"/>
      <c r="AC903" s="214"/>
      <c r="AD903" s="214"/>
      <c r="AE903" s="214"/>
      <c r="AF903" s="214"/>
      <c r="AG903" s="214"/>
      <c r="AH903" s="214"/>
      <c r="AI903" s="261"/>
      <c r="AJ903" s="214"/>
      <c r="AK903" s="261"/>
      <c r="AL903" s="261"/>
      <c r="AM903" s="264"/>
      <c r="AN903" s="214"/>
      <c r="AO903" s="271"/>
      <c r="AP903" s="271"/>
      <c r="AQ903" s="271"/>
      <c r="AR903" s="271"/>
      <c r="AS903" s="272"/>
      <c r="AT903" s="272"/>
      <c r="AU903" s="214"/>
      <c r="AV903" s="214"/>
    </row>
    <row r="904" ht="15.75" customHeight="1">
      <c r="A904" s="214"/>
      <c r="B904" s="261"/>
      <c r="C904" s="266"/>
      <c r="D904" s="267"/>
      <c r="E904" s="214"/>
      <c r="F904" s="214"/>
      <c r="G904" s="214"/>
      <c r="H904" s="214"/>
      <c r="I904" s="214"/>
      <c r="J904" s="214"/>
      <c r="K904" s="268"/>
      <c r="L904" s="214"/>
      <c r="M904" s="269"/>
      <c r="N904" s="214"/>
      <c r="O904" s="214"/>
      <c r="P904" s="214"/>
      <c r="Q904" s="214"/>
      <c r="R904" s="214"/>
      <c r="S904" s="214"/>
      <c r="T904" s="214"/>
      <c r="U904" s="214"/>
      <c r="V904" s="214"/>
      <c r="W904" s="214"/>
      <c r="X904" s="214"/>
      <c r="Y904" s="261"/>
      <c r="Z904" s="262"/>
      <c r="AA904" s="262"/>
      <c r="AB904" s="270"/>
      <c r="AC904" s="214"/>
      <c r="AD904" s="214"/>
      <c r="AE904" s="214"/>
      <c r="AF904" s="214"/>
      <c r="AG904" s="214"/>
      <c r="AH904" s="214"/>
      <c r="AI904" s="261"/>
      <c r="AJ904" s="214"/>
      <c r="AK904" s="261"/>
      <c r="AL904" s="261"/>
      <c r="AM904" s="264"/>
      <c r="AN904" s="214"/>
      <c r="AO904" s="271"/>
      <c r="AP904" s="271"/>
      <c r="AQ904" s="271"/>
      <c r="AR904" s="271"/>
      <c r="AS904" s="272"/>
      <c r="AT904" s="272"/>
      <c r="AU904" s="214"/>
      <c r="AV904" s="214"/>
    </row>
    <row r="905" ht="15.75" customHeight="1">
      <c r="A905" s="214"/>
      <c r="B905" s="261"/>
      <c r="C905" s="266"/>
      <c r="D905" s="267"/>
      <c r="E905" s="214"/>
      <c r="F905" s="214"/>
      <c r="G905" s="214"/>
      <c r="H905" s="214"/>
      <c r="I905" s="214"/>
      <c r="J905" s="214"/>
      <c r="K905" s="268"/>
      <c r="L905" s="214"/>
      <c r="M905" s="269"/>
      <c r="N905" s="214"/>
      <c r="O905" s="214"/>
      <c r="P905" s="214"/>
      <c r="Q905" s="214"/>
      <c r="R905" s="214"/>
      <c r="S905" s="214"/>
      <c r="T905" s="214"/>
      <c r="U905" s="214"/>
      <c r="V905" s="214"/>
      <c r="W905" s="214"/>
      <c r="X905" s="214"/>
      <c r="Y905" s="261"/>
      <c r="Z905" s="262"/>
      <c r="AA905" s="262"/>
      <c r="AB905" s="270"/>
      <c r="AC905" s="214"/>
      <c r="AD905" s="214"/>
      <c r="AE905" s="214"/>
      <c r="AF905" s="214"/>
      <c r="AG905" s="214"/>
      <c r="AH905" s="214"/>
      <c r="AI905" s="261"/>
      <c r="AJ905" s="214"/>
      <c r="AK905" s="261"/>
      <c r="AL905" s="261"/>
      <c r="AM905" s="264"/>
      <c r="AN905" s="214"/>
      <c r="AO905" s="271"/>
      <c r="AP905" s="271"/>
      <c r="AQ905" s="271"/>
      <c r="AR905" s="271"/>
      <c r="AS905" s="272"/>
      <c r="AT905" s="272"/>
      <c r="AU905" s="214"/>
      <c r="AV905" s="214"/>
    </row>
    <row r="906" ht="15.75" customHeight="1">
      <c r="A906" s="214"/>
      <c r="B906" s="261"/>
      <c r="C906" s="266"/>
      <c r="D906" s="267"/>
      <c r="E906" s="214"/>
      <c r="F906" s="214"/>
      <c r="G906" s="214"/>
      <c r="H906" s="214"/>
      <c r="I906" s="214"/>
      <c r="J906" s="214"/>
      <c r="K906" s="268"/>
      <c r="L906" s="214"/>
      <c r="M906" s="269"/>
      <c r="N906" s="214"/>
      <c r="O906" s="214"/>
      <c r="P906" s="214"/>
      <c r="Q906" s="214"/>
      <c r="R906" s="214"/>
      <c r="S906" s="214"/>
      <c r="T906" s="214"/>
      <c r="U906" s="214"/>
      <c r="V906" s="214"/>
      <c r="W906" s="214"/>
      <c r="X906" s="214"/>
      <c r="Y906" s="261"/>
      <c r="Z906" s="262"/>
      <c r="AA906" s="262"/>
      <c r="AB906" s="270"/>
      <c r="AC906" s="214"/>
      <c r="AD906" s="214"/>
      <c r="AE906" s="214"/>
      <c r="AF906" s="214"/>
      <c r="AG906" s="214"/>
      <c r="AH906" s="214"/>
      <c r="AI906" s="261"/>
      <c r="AJ906" s="214"/>
      <c r="AK906" s="261"/>
      <c r="AL906" s="261"/>
      <c r="AM906" s="264"/>
      <c r="AN906" s="214"/>
      <c r="AO906" s="271"/>
      <c r="AP906" s="271"/>
      <c r="AQ906" s="271"/>
      <c r="AR906" s="271"/>
      <c r="AS906" s="272"/>
      <c r="AT906" s="272"/>
      <c r="AU906" s="214"/>
      <c r="AV906" s="214"/>
    </row>
    <row r="907" ht="15.75" customHeight="1">
      <c r="A907" s="214"/>
      <c r="B907" s="261"/>
      <c r="C907" s="266"/>
      <c r="D907" s="267"/>
      <c r="E907" s="214"/>
      <c r="F907" s="214"/>
      <c r="G907" s="214"/>
      <c r="H907" s="214"/>
      <c r="I907" s="214"/>
      <c r="J907" s="214"/>
      <c r="K907" s="268"/>
      <c r="L907" s="214"/>
      <c r="M907" s="269"/>
      <c r="N907" s="214"/>
      <c r="O907" s="214"/>
      <c r="P907" s="214"/>
      <c r="Q907" s="214"/>
      <c r="R907" s="214"/>
      <c r="S907" s="214"/>
      <c r="T907" s="214"/>
      <c r="U907" s="214"/>
      <c r="V907" s="214"/>
      <c r="W907" s="214"/>
      <c r="X907" s="214"/>
      <c r="Y907" s="261"/>
      <c r="Z907" s="262"/>
      <c r="AA907" s="262"/>
      <c r="AB907" s="270"/>
      <c r="AC907" s="214"/>
      <c r="AD907" s="214"/>
      <c r="AE907" s="214"/>
      <c r="AF907" s="214"/>
      <c r="AG907" s="214"/>
      <c r="AH907" s="214"/>
      <c r="AI907" s="261"/>
      <c r="AJ907" s="214"/>
      <c r="AK907" s="261"/>
      <c r="AL907" s="261"/>
      <c r="AM907" s="264"/>
      <c r="AN907" s="214"/>
      <c r="AO907" s="271"/>
      <c r="AP907" s="271"/>
      <c r="AQ907" s="271"/>
      <c r="AR907" s="271"/>
      <c r="AS907" s="272"/>
      <c r="AT907" s="272"/>
      <c r="AU907" s="214"/>
      <c r="AV907" s="214"/>
    </row>
    <row r="908" ht="15.75" customHeight="1">
      <c r="A908" s="214"/>
      <c r="B908" s="261"/>
      <c r="C908" s="266"/>
      <c r="D908" s="267"/>
      <c r="E908" s="214"/>
      <c r="F908" s="214"/>
      <c r="G908" s="214"/>
      <c r="H908" s="214"/>
      <c r="I908" s="214"/>
      <c r="J908" s="214"/>
      <c r="K908" s="268"/>
      <c r="L908" s="214"/>
      <c r="M908" s="269"/>
      <c r="N908" s="214"/>
      <c r="O908" s="214"/>
      <c r="P908" s="214"/>
      <c r="Q908" s="214"/>
      <c r="R908" s="214"/>
      <c r="S908" s="214"/>
      <c r="T908" s="214"/>
      <c r="U908" s="214"/>
      <c r="V908" s="214"/>
      <c r="W908" s="214"/>
      <c r="X908" s="214"/>
      <c r="Y908" s="261"/>
      <c r="Z908" s="262"/>
      <c r="AA908" s="262"/>
      <c r="AB908" s="270"/>
      <c r="AC908" s="214"/>
      <c r="AD908" s="214"/>
      <c r="AE908" s="214"/>
      <c r="AF908" s="214"/>
      <c r="AG908" s="214"/>
      <c r="AH908" s="214"/>
      <c r="AI908" s="261"/>
      <c r="AJ908" s="214"/>
      <c r="AK908" s="261"/>
      <c r="AL908" s="261"/>
      <c r="AM908" s="264"/>
      <c r="AN908" s="214"/>
      <c r="AO908" s="271"/>
      <c r="AP908" s="271"/>
      <c r="AQ908" s="271"/>
      <c r="AR908" s="271"/>
      <c r="AS908" s="272"/>
      <c r="AT908" s="272"/>
      <c r="AU908" s="214"/>
      <c r="AV908" s="214"/>
    </row>
    <row r="909" ht="15.75" customHeight="1">
      <c r="A909" s="214"/>
      <c r="B909" s="261"/>
      <c r="C909" s="266"/>
      <c r="D909" s="267"/>
      <c r="E909" s="214"/>
      <c r="F909" s="214"/>
      <c r="G909" s="214"/>
      <c r="H909" s="214"/>
      <c r="I909" s="214"/>
      <c r="J909" s="214"/>
      <c r="K909" s="268"/>
      <c r="L909" s="214"/>
      <c r="M909" s="269"/>
      <c r="N909" s="214"/>
      <c r="O909" s="214"/>
      <c r="P909" s="214"/>
      <c r="Q909" s="214"/>
      <c r="R909" s="214"/>
      <c r="S909" s="214"/>
      <c r="T909" s="214"/>
      <c r="U909" s="214"/>
      <c r="V909" s="214"/>
      <c r="W909" s="214"/>
      <c r="X909" s="214"/>
      <c r="Y909" s="261"/>
      <c r="Z909" s="262"/>
      <c r="AA909" s="262"/>
      <c r="AB909" s="270"/>
      <c r="AC909" s="214"/>
      <c r="AD909" s="214"/>
      <c r="AE909" s="214"/>
      <c r="AF909" s="214"/>
      <c r="AG909" s="214"/>
      <c r="AH909" s="214"/>
      <c r="AI909" s="261"/>
      <c r="AJ909" s="214"/>
      <c r="AK909" s="261"/>
      <c r="AL909" s="261"/>
      <c r="AM909" s="264"/>
      <c r="AN909" s="214"/>
      <c r="AO909" s="271"/>
      <c r="AP909" s="271"/>
      <c r="AQ909" s="271"/>
      <c r="AR909" s="271"/>
      <c r="AS909" s="272"/>
      <c r="AT909" s="272"/>
      <c r="AU909" s="214"/>
      <c r="AV909" s="214"/>
    </row>
    <row r="910" ht="15.75" customHeight="1">
      <c r="A910" s="214"/>
      <c r="B910" s="261"/>
      <c r="C910" s="266"/>
      <c r="D910" s="267"/>
      <c r="E910" s="214"/>
      <c r="F910" s="214"/>
      <c r="G910" s="214"/>
      <c r="H910" s="214"/>
      <c r="I910" s="214"/>
      <c r="J910" s="214"/>
      <c r="K910" s="268"/>
      <c r="L910" s="214"/>
      <c r="M910" s="269"/>
      <c r="N910" s="214"/>
      <c r="O910" s="214"/>
      <c r="P910" s="214"/>
      <c r="Q910" s="214"/>
      <c r="R910" s="214"/>
      <c r="S910" s="214"/>
      <c r="T910" s="214"/>
      <c r="U910" s="214"/>
      <c r="V910" s="214"/>
      <c r="W910" s="214"/>
      <c r="X910" s="214"/>
      <c r="Y910" s="261"/>
      <c r="Z910" s="262"/>
      <c r="AA910" s="262"/>
      <c r="AB910" s="270"/>
      <c r="AC910" s="214"/>
      <c r="AD910" s="214"/>
      <c r="AE910" s="214"/>
      <c r="AF910" s="214"/>
      <c r="AG910" s="214"/>
      <c r="AH910" s="214"/>
      <c r="AI910" s="261"/>
      <c r="AJ910" s="214"/>
      <c r="AK910" s="261"/>
      <c r="AL910" s="261"/>
      <c r="AM910" s="264"/>
      <c r="AN910" s="214"/>
      <c r="AO910" s="271"/>
      <c r="AP910" s="271"/>
      <c r="AQ910" s="271"/>
      <c r="AR910" s="271"/>
      <c r="AS910" s="272"/>
      <c r="AT910" s="272"/>
      <c r="AU910" s="214"/>
      <c r="AV910" s="214"/>
    </row>
    <row r="911" ht="15.75" customHeight="1">
      <c r="A911" s="214"/>
      <c r="B911" s="261"/>
      <c r="C911" s="266"/>
      <c r="D911" s="267"/>
      <c r="E911" s="214"/>
      <c r="F911" s="214"/>
      <c r="G911" s="214"/>
      <c r="H911" s="214"/>
      <c r="I911" s="214"/>
      <c r="J911" s="214"/>
      <c r="K911" s="268"/>
      <c r="L911" s="214"/>
      <c r="M911" s="269"/>
      <c r="N911" s="214"/>
      <c r="O911" s="214"/>
      <c r="P911" s="214"/>
      <c r="Q911" s="214"/>
      <c r="R911" s="214"/>
      <c r="S911" s="214"/>
      <c r="T911" s="214"/>
      <c r="U911" s="214"/>
      <c r="V911" s="214"/>
      <c r="W911" s="214"/>
      <c r="X911" s="214"/>
      <c r="Y911" s="261"/>
      <c r="Z911" s="262"/>
      <c r="AA911" s="262"/>
      <c r="AB911" s="270"/>
      <c r="AC911" s="214"/>
      <c r="AD911" s="214"/>
      <c r="AE911" s="214"/>
      <c r="AF911" s="214"/>
      <c r="AG911" s="214"/>
      <c r="AH911" s="214"/>
      <c r="AI911" s="261"/>
      <c r="AJ911" s="214"/>
      <c r="AK911" s="261"/>
      <c r="AL911" s="261"/>
      <c r="AM911" s="264"/>
      <c r="AN911" s="214"/>
      <c r="AO911" s="271"/>
      <c r="AP911" s="271"/>
      <c r="AQ911" s="271"/>
      <c r="AR911" s="271"/>
      <c r="AS911" s="272"/>
      <c r="AT911" s="272"/>
      <c r="AU911" s="214"/>
      <c r="AV911" s="214"/>
    </row>
    <row r="912" ht="15.75" customHeight="1">
      <c r="A912" s="214"/>
      <c r="B912" s="261"/>
      <c r="C912" s="266"/>
      <c r="D912" s="267"/>
      <c r="E912" s="214"/>
      <c r="F912" s="214"/>
      <c r="G912" s="214"/>
      <c r="H912" s="214"/>
      <c r="I912" s="214"/>
      <c r="J912" s="214"/>
      <c r="K912" s="268"/>
      <c r="L912" s="214"/>
      <c r="M912" s="269"/>
      <c r="N912" s="214"/>
      <c r="O912" s="214"/>
      <c r="P912" s="214"/>
      <c r="Q912" s="214"/>
      <c r="R912" s="214"/>
      <c r="S912" s="214"/>
      <c r="T912" s="214"/>
      <c r="U912" s="214"/>
      <c r="V912" s="214"/>
      <c r="W912" s="214"/>
      <c r="X912" s="214"/>
      <c r="Y912" s="261"/>
      <c r="Z912" s="262"/>
      <c r="AA912" s="262"/>
      <c r="AB912" s="270"/>
      <c r="AC912" s="214"/>
      <c r="AD912" s="214"/>
      <c r="AE912" s="214"/>
      <c r="AF912" s="214"/>
      <c r="AG912" s="214"/>
      <c r="AH912" s="214"/>
      <c r="AI912" s="261"/>
      <c r="AJ912" s="214"/>
      <c r="AK912" s="261"/>
      <c r="AL912" s="261"/>
      <c r="AM912" s="264"/>
      <c r="AN912" s="214"/>
      <c r="AO912" s="271"/>
      <c r="AP912" s="271"/>
      <c r="AQ912" s="271"/>
      <c r="AR912" s="271"/>
      <c r="AS912" s="272"/>
      <c r="AT912" s="272"/>
      <c r="AU912" s="214"/>
      <c r="AV912" s="214"/>
    </row>
    <row r="913" ht="15.75" customHeight="1">
      <c r="A913" s="214"/>
      <c r="B913" s="261"/>
      <c r="C913" s="266"/>
      <c r="D913" s="267"/>
      <c r="E913" s="214"/>
      <c r="F913" s="214"/>
      <c r="G913" s="214"/>
      <c r="H913" s="214"/>
      <c r="I913" s="214"/>
      <c r="J913" s="214"/>
      <c r="K913" s="268"/>
      <c r="L913" s="214"/>
      <c r="M913" s="269"/>
      <c r="N913" s="214"/>
      <c r="O913" s="214"/>
      <c r="P913" s="214"/>
      <c r="Q913" s="214"/>
      <c r="R913" s="214"/>
      <c r="S913" s="214"/>
      <c r="T913" s="214"/>
      <c r="U913" s="214"/>
      <c r="V913" s="214"/>
      <c r="W913" s="214"/>
      <c r="X913" s="214"/>
      <c r="Y913" s="261"/>
      <c r="Z913" s="262"/>
      <c r="AA913" s="262"/>
      <c r="AB913" s="270"/>
      <c r="AC913" s="214"/>
      <c r="AD913" s="214"/>
      <c r="AE913" s="214"/>
      <c r="AF913" s="214"/>
      <c r="AG913" s="214"/>
      <c r="AH913" s="214"/>
      <c r="AI913" s="261"/>
      <c r="AJ913" s="214"/>
      <c r="AK913" s="261"/>
      <c r="AL913" s="261"/>
      <c r="AM913" s="264"/>
      <c r="AN913" s="214"/>
      <c r="AO913" s="271"/>
      <c r="AP913" s="271"/>
      <c r="AQ913" s="271"/>
      <c r="AR913" s="271"/>
      <c r="AS913" s="272"/>
      <c r="AT913" s="272"/>
      <c r="AU913" s="214"/>
      <c r="AV913" s="214"/>
    </row>
    <row r="914" ht="15.75" customHeight="1">
      <c r="A914" s="214"/>
      <c r="B914" s="261"/>
      <c r="C914" s="266"/>
      <c r="D914" s="267"/>
      <c r="E914" s="214"/>
      <c r="F914" s="214"/>
      <c r="G914" s="214"/>
      <c r="H914" s="214"/>
      <c r="I914" s="214"/>
      <c r="J914" s="214"/>
      <c r="K914" s="268"/>
      <c r="L914" s="214"/>
      <c r="M914" s="269"/>
      <c r="N914" s="214"/>
      <c r="O914" s="214"/>
      <c r="P914" s="214"/>
      <c r="Q914" s="214"/>
      <c r="R914" s="214"/>
      <c r="S914" s="214"/>
      <c r="T914" s="214"/>
      <c r="U914" s="214"/>
      <c r="V914" s="214"/>
      <c r="W914" s="214"/>
      <c r="X914" s="214"/>
      <c r="Y914" s="261"/>
      <c r="Z914" s="262"/>
      <c r="AA914" s="262"/>
      <c r="AB914" s="270"/>
      <c r="AC914" s="214"/>
      <c r="AD914" s="214"/>
      <c r="AE914" s="214"/>
      <c r="AF914" s="214"/>
      <c r="AG914" s="214"/>
      <c r="AH914" s="214"/>
      <c r="AI914" s="261"/>
      <c r="AJ914" s="214"/>
      <c r="AK914" s="261"/>
      <c r="AL914" s="261"/>
      <c r="AM914" s="264"/>
      <c r="AN914" s="214"/>
      <c r="AO914" s="271"/>
      <c r="AP914" s="271"/>
      <c r="AQ914" s="271"/>
      <c r="AR914" s="271"/>
      <c r="AS914" s="272"/>
      <c r="AT914" s="272"/>
      <c r="AU914" s="214"/>
      <c r="AV914" s="214"/>
    </row>
    <row r="915" ht="15.75" customHeight="1">
      <c r="A915" s="214"/>
      <c r="B915" s="261"/>
      <c r="C915" s="266"/>
      <c r="D915" s="267"/>
      <c r="E915" s="214"/>
      <c r="F915" s="214"/>
      <c r="G915" s="214"/>
      <c r="H915" s="214"/>
      <c r="I915" s="214"/>
      <c r="J915" s="214"/>
      <c r="K915" s="268"/>
      <c r="L915" s="214"/>
      <c r="M915" s="269"/>
      <c r="N915" s="214"/>
      <c r="O915" s="214"/>
      <c r="P915" s="214"/>
      <c r="Q915" s="214"/>
      <c r="R915" s="214"/>
      <c r="S915" s="214"/>
      <c r="T915" s="214"/>
      <c r="U915" s="214"/>
      <c r="V915" s="214"/>
      <c r="W915" s="214"/>
      <c r="X915" s="214"/>
      <c r="Y915" s="261"/>
      <c r="Z915" s="262"/>
      <c r="AA915" s="262"/>
      <c r="AB915" s="270"/>
      <c r="AC915" s="214"/>
      <c r="AD915" s="214"/>
      <c r="AE915" s="214"/>
      <c r="AF915" s="214"/>
      <c r="AG915" s="214"/>
      <c r="AH915" s="214"/>
      <c r="AI915" s="261"/>
      <c r="AJ915" s="214"/>
      <c r="AK915" s="261"/>
      <c r="AL915" s="261"/>
      <c r="AM915" s="264"/>
      <c r="AN915" s="214"/>
      <c r="AO915" s="271"/>
      <c r="AP915" s="271"/>
      <c r="AQ915" s="271"/>
      <c r="AR915" s="271"/>
      <c r="AS915" s="272"/>
      <c r="AT915" s="272"/>
      <c r="AU915" s="214"/>
      <c r="AV915" s="214"/>
    </row>
    <row r="916" ht="15.75" customHeight="1">
      <c r="A916" s="214"/>
      <c r="B916" s="261"/>
      <c r="C916" s="266"/>
      <c r="D916" s="267"/>
      <c r="E916" s="214"/>
      <c r="F916" s="214"/>
      <c r="G916" s="214"/>
      <c r="H916" s="214"/>
      <c r="I916" s="214"/>
      <c r="J916" s="214"/>
      <c r="K916" s="268"/>
      <c r="L916" s="214"/>
      <c r="M916" s="269"/>
      <c r="N916" s="214"/>
      <c r="O916" s="214"/>
      <c r="P916" s="214"/>
      <c r="Q916" s="214"/>
      <c r="R916" s="214"/>
      <c r="S916" s="214"/>
      <c r="T916" s="214"/>
      <c r="U916" s="214"/>
      <c r="V916" s="214"/>
      <c r="W916" s="214"/>
      <c r="X916" s="214"/>
      <c r="Y916" s="261"/>
      <c r="Z916" s="262"/>
      <c r="AA916" s="262"/>
      <c r="AB916" s="270"/>
      <c r="AC916" s="214"/>
      <c r="AD916" s="214"/>
      <c r="AE916" s="214"/>
      <c r="AF916" s="214"/>
      <c r="AG916" s="214"/>
      <c r="AH916" s="214"/>
      <c r="AI916" s="261"/>
      <c r="AJ916" s="214"/>
      <c r="AK916" s="261"/>
      <c r="AL916" s="261"/>
      <c r="AM916" s="264"/>
      <c r="AN916" s="214"/>
      <c r="AO916" s="271"/>
      <c r="AP916" s="271"/>
      <c r="AQ916" s="271"/>
      <c r="AR916" s="271"/>
      <c r="AS916" s="272"/>
      <c r="AT916" s="272"/>
      <c r="AU916" s="214"/>
      <c r="AV916" s="214"/>
    </row>
    <row r="917" ht="15.75" customHeight="1">
      <c r="A917" s="214"/>
      <c r="B917" s="261"/>
      <c r="C917" s="266"/>
      <c r="D917" s="267"/>
      <c r="E917" s="214"/>
      <c r="F917" s="214"/>
      <c r="G917" s="214"/>
      <c r="H917" s="214"/>
      <c r="I917" s="214"/>
      <c r="J917" s="214"/>
      <c r="K917" s="268"/>
      <c r="L917" s="214"/>
      <c r="M917" s="269"/>
      <c r="N917" s="214"/>
      <c r="O917" s="214"/>
      <c r="P917" s="214"/>
      <c r="Q917" s="214"/>
      <c r="R917" s="214"/>
      <c r="S917" s="214"/>
      <c r="T917" s="214"/>
      <c r="U917" s="214"/>
      <c r="V917" s="214"/>
      <c r="W917" s="214"/>
      <c r="X917" s="214"/>
      <c r="Y917" s="261"/>
      <c r="Z917" s="262"/>
      <c r="AA917" s="262"/>
      <c r="AB917" s="270"/>
      <c r="AC917" s="214"/>
      <c r="AD917" s="214"/>
      <c r="AE917" s="214"/>
      <c r="AF917" s="214"/>
      <c r="AG917" s="214"/>
      <c r="AH917" s="214"/>
      <c r="AI917" s="261"/>
      <c r="AJ917" s="214"/>
      <c r="AK917" s="261"/>
      <c r="AL917" s="261"/>
      <c r="AM917" s="264"/>
      <c r="AN917" s="214"/>
      <c r="AO917" s="271"/>
      <c r="AP917" s="271"/>
      <c r="AQ917" s="271"/>
      <c r="AR917" s="271"/>
      <c r="AS917" s="272"/>
      <c r="AT917" s="272"/>
      <c r="AU917" s="214"/>
      <c r="AV917" s="214"/>
    </row>
    <row r="918" ht="15.75" customHeight="1">
      <c r="A918" s="214"/>
      <c r="B918" s="261"/>
      <c r="C918" s="266"/>
      <c r="D918" s="267"/>
      <c r="E918" s="214"/>
      <c r="F918" s="214"/>
      <c r="G918" s="214"/>
      <c r="H918" s="214"/>
      <c r="I918" s="214"/>
      <c r="J918" s="214"/>
      <c r="K918" s="268"/>
      <c r="L918" s="214"/>
      <c r="M918" s="269"/>
      <c r="N918" s="214"/>
      <c r="O918" s="214"/>
      <c r="P918" s="214"/>
      <c r="Q918" s="214"/>
      <c r="R918" s="214"/>
      <c r="S918" s="214"/>
      <c r="T918" s="214"/>
      <c r="U918" s="214"/>
      <c r="V918" s="214"/>
      <c r="W918" s="214"/>
      <c r="X918" s="214"/>
      <c r="Y918" s="261"/>
      <c r="Z918" s="262"/>
      <c r="AA918" s="262"/>
      <c r="AB918" s="270"/>
      <c r="AC918" s="214"/>
      <c r="AD918" s="214"/>
      <c r="AE918" s="214"/>
      <c r="AF918" s="214"/>
      <c r="AG918" s="214"/>
      <c r="AH918" s="214"/>
      <c r="AI918" s="261"/>
      <c r="AJ918" s="214"/>
      <c r="AK918" s="261"/>
      <c r="AL918" s="261"/>
      <c r="AM918" s="264"/>
      <c r="AN918" s="214"/>
      <c r="AO918" s="271"/>
      <c r="AP918" s="271"/>
      <c r="AQ918" s="271"/>
      <c r="AR918" s="271"/>
      <c r="AS918" s="272"/>
      <c r="AT918" s="272"/>
      <c r="AU918" s="214"/>
      <c r="AV918" s="214"/>
    </row>
    <row r="919" ht="15.75" customHeight="1">
      <c r="A919" s="214"/>
      <c r="B919" s="261"/>
      <c r="C919" s="266"/>
      <c r="D919" s="267"/>
      <c r="E919" s="214"/>
      <c r="F919" s="214"/>
      <c r="G919" s="214"/>
      <c r="H919" s="214"/>
      <c r="I919" s="214"/>
      <c r="J919" s="214"/>
      <c r="K919" s="268"/>
      <c r="L919" s="214"/>
      <c r="M919" s="269"/>
      <c r="N919" s="214"/>
      <c r="O919" s="214"/>
      <c r="P919" s="214"/>
      <c r="Q919" s="214"/>
      <c r="R919" s="214"/>
      <c r="S919" s="214"/>
      <c r="T919" s="214"/>
      <c r="U919" s="214"/>
      <c r="V919" s="214"/>
      <c r="W919" s="214"/>
      <c r="X919" s="214"/>
      <c r="Y919" s="261"/>
      <c r="Z919" s="262"/>
      <c r="AA919" s="262"/>
      <c r="AB919" s="270"/>
      <c r="AC919" s="214"/>
      <c r="AD919" s="214"/>
      <c r="AE919" s="214"/>
      <c r="AF919" s="214"/>
      <c r="AG919" s="214"/>
      <c r="AH919" s="214"/>
      <c r="AI919" s="261"/>
      <c r="AJ919" s="214"/>
      <c r="AK919" s="261"/>
      <c r="AL919" s="261"/>
      <c r="AM919" s="264"/>
      <c r="AN919" s="214"/>
      <c r="AO919" s="271"/>
      <c r="AP919" s="271"/>
      <c r="AQ919" s="271"/>
      <c r="AR919" s="271"/>
      <c r="AS919" s="272"/>
      <c r="AT919" s="272"/>
      <c r="AU919" s="214"/>
      <c r="AV919" s="214"/>
    </row>
    <row r="920" ht="15.75" customHeight="1">
      <c r="A920" s="214"/>
      <c r="B920" s="261"/>
      <c r="C920" s="266"/>
      <c r="D920" s="267"/>
      <c r="E920" s="214"/>
      <c r="F920" s="214"/>
      <c r="G920" s="214"/>
      <c r="H920" s="214"/>
      <c r="I920" s="214"/>
      <c r="J920" s="214"/>
      <c r="K920" s="268"/>
      <c r="L920" s="214"/>
      <c r="M920" s="269"/>
      <c r="N920" s="214"/>
      <c r="O920" s="214"/>
      <c r="P920" s="214"/>
      <c r="Q920" s="214"/>
      <c r="R920" s="214"/>
      <c r="S920" s="214"/>
      <c r="T920" s="214"/>
      <c r="U920" s="214"/>
      <c r="V920" s="214"/>
      <c r="W920" s="214"/>
      <c r="X920" s="214"/>
      <c r="Y920" s="261"/>
      <c r="Z920" s="262"/>
      <c r="AA920" s="262"/>
      <c r="AB920" s="270"/>
      <c r="AC920" s="214"/>
      <c r="AD920" s="214"/>
      <c r="AE920" s="214"/>
      <c r="AF920" s="214"/>
      <c r="AG920" s="214"/>
      <c r="AH920" s="214"/>
      <c r="AI920" s="261"/>
      <c r="AJ920" s="214"/>
      <c r="AK920" s="261"/>
      <c r="AL920" s="261"/>
      <c r="AM920" s="264"/>
      <c r="AN920" s="214"/>
      <c r="AO920" s="271"/>
      <c r="AP920" s="271"/>
      <c r="AQ920" s="271"/>
      <c r="AR920" s="271"/>
      <c r="AS920" s="272"/>
      <c r="AT920" s="272"/>
      <c r="AU920" s="214"/>
      <c r="AV920" s="214"/>
    </row>
    <row r="921" ht="15.75" customHeight="1">
      <c r="A921" s="214"/>
      <c r="B921" s="261"/>
      <c r="C921" s="266"/>
      <c r="D921" s="267"/>
      <c r="E921" s="214"/>
      <c r="F921" s="214"/>
      <c r="G921" s="214"/>
      <c r="H921" s="214"/>
      <c r="I921" s="214"/>
      <c r="J921" s="214"/>
      <c r="K921" s="268"/>
      <c r="L921" s="214"/>
      <c r="M921" s="269"/>
      <c r="N921" s="214"/>
      <c r="O921" s="214"/>
      <c r="P921" s="214"/>
      <c r="Q921" s="214"/>
      <c r="R921" s="214"/>
      <c r="S921" s="214"/>
      <c r="T921" s="214"/>
      <c r="U921" s="214"/>
      <c r="V921" s="214"/>
      <c r="W921" s="214"/>
      <c r="X921" s="214"/>
      <c r="Y921" s="261"/>
      <c r="Z921" s="262"/>
      <c r="AA921" s="262"/>
      <c r="AB921" s="270"/>
      <c r="AC921" s="214"/>
      <c r="AD921" s="214"/>
      <c r="AE921" s="214"/>
      <c r="AF921" s="214"/>
      <c r="AG921" s="214"/>
      <c r="AH921" s="214"/>
      <c r="AI921" s="261"/>
      <c r="AJ921" s="214"/>
      <c r="AK921" s="261"/>
      <c r="AL921" s="261"/>
      <c r="AM921" s="264"/>
      <c r="AN921" s="214"/>
      <c r="AO921" s="271"/>
      <c r="AP921" s="271"/>
      <c r="AQ921" s="271"/>
      <c r="AR921" s="271"/>
      <c r="AS921" s="272"/>
      <c r="AT921" s="272"/>
      <c r="AU921" s="214"/>
      <c r="AV921" s="214"/>
    </row>
    <row r="922" ht="15.75" customHeight="1">
      <c r="A922" s="214"/>
      <c r="B922" s="261"/>
      <c r="C922" s="266"/>
      <c r="D922" s="267"/>
      <c r="E922" s="214"/>
      <c r="F922" s="214"/>
      <c r="G922" s="214"/>
      <c r="H922" s="214"/>
      <c r="I922" s="214"/>
      <c r="J922" s="214"/>
      <c r="K922" s="268"/>
      <c r="L922" s="214"/>
      <c r="M922" s="269"/>
      <c r="N922" s="214"/>
      <c r="O922" s="214"/>
      <c r="P922" s="214"/>
      <c r="Q922" s="214"/>
      <c r="R922" s="214"/>
      <c r="S922" s="214"/>
      <c r="T922" s="214"/>
      <c r="U922" s="214"/>
      <c r="V922" s="214"/>
      <c r="W922" s="214"/>
      <c r="X922" s="214"/>
      <c r="Y922" s="261"/>
      <c r="Z922" s="262"/>
      <c r="AA922" s="262"/>
      <c r="AB922" s="270"/>
      <c r="AC922" s="214"/>
      <c r="AD922" s="214"/>
      <c r="AE922" s="214"/>
      <c r="AF922" s="214"/>
      <c r="AG922" s="214"/>
      <c r="AH922" s="214"/>
      <c r="AI922" s="261"/>
      <c r="AJ922" s="214"/>
      <c r="AK922" s="261"/>
      <c r="AL922" s="261"/>
      <c r="AM922" s="264"/>
      <c r="AN922" s="214"/>
      <c r="AO922" s="271"/>
      <c r="AP922" s="271"/>
      <c r="AQ922" s="271"/>
      <c r="AR922" s="271"/>
      <c r="AS922" s="272"/>
      <c r="AT922" s="272"/>
      <c r="AU922" s="214"/>
      <c r="AV922" s="214"/>
    </row>
    <row r="923" ht="15.75" customHeight="1">
      <c r="A923" s="214"/>
      <c r="B923" s="261"/>
      <c r="C923" s="266"/>
      <c r="D923" s="267"/>
      <c r="E923" s="214"/>
      <c r="F923" s="214"/>
      <c r="G923" s="214"/>
      <c r="H923" s="214"/>
      <c r="I923" s="214"/>
      <c r="J923" s="214"/>
      <c r="K923" s="268"/>
      <c r="L923" s="214"/>
      <c r="M923" s="269"/>
      <c r="N923" s="214"/>
      <c r="O923" s="214"/>
      <c r="P923" s="214"/>
      <c r="Q923" s="214"/>
      <c r="R923" s="214"/>
      <c r="S923" s="214"/>
      <c r="T923" s="214"/>
      <c r="U923" s="214"/>
      <c r="V923" s="214"/>
      <c r="W923" s="214"/>
      <c r="X923" s="214"/>
      <c r="Y923" s="261"/>
      <c r="Z923" s="262"/>
      <c r="AA923" s="262"/>
      <c r="AB923" s="270"/>
      <c r="AC923" s="214"/>
      <c r="AD923" s="214"/>
      <c r="AE923" s="214"/>
      <c r="AF923" s="214"/>
      <c r="AG923" s="214"/>
      <c r="AH923" s="214"/>
      <c r="AI923" s="261"/>
      <c r="AJ923" s="214"/>
      <c r="AK923" s="261"/>
      <c r="AL923" s="261"/>
      <c r="AM923" s="264"/>
      <c r="AN923" s="214"/>
      <c r="AO923" s="271"/>
      <c r="AP923" s="271"/>
      <c r="AQ923" s="271"/>
      <c r="AR923" s="271"/>
      <c r="AS923" s="272"/>
      <c r="AT923" s="272"/>
      <c r="AU923" s="214"/>
      <c r="AV923" s="214"/>
    </row>
    <row r="924" ht="15.75" customHeight="1">
      <c r="A924" s="214"/>
      <c r="B924" s="261"/>
      <c r="C924" s="266"/>
      <c r="D924" s="267"/>
      <c r="E924" s="214"/>
      <c r="F924" s="214"/>
      <c r="G924" s="214"/>
      <c r="H924" s="214"/>
      <c r="I924" s="214"/>
      <c r="J924" s="214"/>
      <c r="K924" s="268"/>
      <c r="L924" s="214"/>
      <c r="M924" s="269"/>
      <c r="N924" s="214"/>
      <c r="O924" s="214"/>
      <c r="P924" s="214"/>
      <c r="Q924" s="214"/>
      <c r="R924" s="214"/>
      <c r="S924" s="214"/>
      <c r="T924" s="214"/>
      <c r="U924" s="214"/>
      <c r="V924" s="214"/>
      <c r="W924" s="214"/>
      <c r="X924" s="214"/>
      <c r="Y924" s="261"/>
      <c r="Z924" s="262"/>
      <c r="AA924" s="262"/>
      <c r="AB924" s="270"/>
      <c r="AC924" s="214"/>
      <c r="AD924" s="214"/>
      <c r="AE924" s="214"/>
      <c r="AF924" s="214"/>
      <c r="AG924" s="214"/>
      <c r="AH924" s="214"/>
      <c r="AI924" s="261"/>
      <c r="AJ924" s="214"/>
      <c r="AK924" s="261"/>
      <c r="AL924" s="261"/>
      <c r="AM924" s="264"/>
      <c r="AN924" s="214"/>
      <c r="AO924" s="271"/>
      <c r="AP924" s="271"/>
      <c r="AQ924" s="271"/>
      <c r="AR924" s="271"/>
      <c r="AS924" s="272"/>
      <c r="AT924" s="272"/>
      <c r="AU924" s="214"/>
      <c r="AV924" s="214"/>
    </row>
    <row r="925" ht="15.75" customHeight="1">
      <c r="A925" s="214"/>
      <c r="B925" s="261"/>
      <c r="C925" s="266"/>
      <c r="D925" s="267"/>
      <c r="E925" s="214"/>
      <c r="F925" s="214"/>
      <c r="G925" s="214"/>
      <c r="H925" s="214"/>
      <c r="I925" s="214"/>
      <c r="J925" s="214"/>
      <c r="K925" s="268"/>
      <c r="L925" s="214"/>
      <c r="M925" s="269"/>
      <c r="N925" s="214"/>
      <c r="O925" s="214"/>
      <c r="P925" s="214"/>
      <c r="Q925" s="214"/>
      <c r="R925" s="214"/>
      <c r="S925" s="214"/>
      <c r="T925" s="214"/>
      <c r="U925" s="214"/>
      <c r="V925" s="214"/>
      <c r="W925" s="214"/>
      <c r="X925" s="214"/>
      <c r="Y925" s="261"/>
      <c r="Z925" s="262"/>
      <c r="AA925" s="262"/>
      <c r="AB925" s="270"/>
      <c r="AC925" s="214"/>
      <c r="AD925" s="214"/>
      <c r="AE925" s="214"/>
      <c r="AF925" s="214"/>
      <c r="AG925" s="214"/>
      <c r="AH925" s="214"/>
      <c r="AI925" s="261"/>
      <c r="AJ925" s="214"/>
      <c r="AK925" s="261"/>
      <c r="AL925" s="261"/>
      <c r="AM925" s="264"/>
      <c r="AN925" s="214"/>
      <c r="AO925" s="271"/>
      <c r="AP925" s="271"/>
      <c r="AQ925" s="271"/>
      <c r="AR925" s="271"/>
      <c r="AS925" s="272"/>
      <c r="AT925" s="272"/>
      <c r="AU925" s="214"/>
      <c r="AV925" s="214"/>
    </row>
    <row r="926" ht="15.75" customHeight="1">
      <c r="A926" s="214"/>
      <c r="B926" s="261"/>
      <c r="C926" s="266"/>
      <c r="D926" s="267"/>
      <c r="E926" s="214"/>
      <c r="F926" s="214"/>
      <c r="G926" s="214"/>
      <c r="H926" s="214"/>
      <c r="I926" s="214"/>
      <c r="J926" s="214"/>
      <c r="K926" s="268"/>
      <c r="L926" s="214"/>
      <c r="M926" s="269"/>
      <c r="N926" s="214"/>
      <c r="O926" s="214"/>
      <c r="P926" s="214"/>
      <c r="Q926" s="214"/>
      <c r="R926" s="214"/>
      <c r="S926" s="214"/>
      <c r="T926" s="214"/>
      <c r="U926" s="214"/>
      <c r="V926" s="214"/>
      <c r="W926" s="214"/>
      <c r="X926" s="214"/>
      <c r="Y926" s="261"/>
      <c r="Z926" s="262"/>
      <c r="AA926" s="262"/>
      <c r="AB926" s="270"/>
      <c r="AC926" s="214"/>
      <c r="AD926" s="214"/>
      <c r="AE926" s="214"/>
      <c r="AF926" s="214"/>
      <c r="AG926" s="214"/>
      <c r="AH926" s="214"/>
      <c r="AI926" s="261"/>
      <c r="AJ926" s="214"/>
      <c r="AK926" s="261"/>
      <c r="AL926" s="261"/>
      <c r="AM926" s="264"/>
      <c r="AN926" s="214"/>
      <c r="AO926" s="271"/>
      <c r="AP926" s="271"/>
      <c r="AQ926" s="271"/>
      <c r="AR926" s="271"/>
      <c r="AS926" s="272"/>
      <c r="AT926" s="272"/>
      <c r="AU926" s="214"/>
      <c r="AV926" s="214"/>
    </row>
    <row r="927" ht="15.75" customHeight="1">
      <c r="A927" s="214"/>
      <c r="B927" s="261"/>
      <c r="C927" s="266"/>
      <c r="D927" s="267"/>
      <c r="E927" s="214"/>
      <c r="F927" s="214"/>
      <c r="G927" s="214"/>
      <c r="H927" s="214"/>
      <c r="I927" s="214"/>
      <c r="J927" s="214"/>
      <c r="K927" s="268"/>
      <c r="L927" s="214"/>
      <c r="M927" s="269"/>
      <c r="N927" s="214"/>
      <c r="O927" s="214"/>
      <c r="P927" s="214"/>
      <c r="Q927" s="214"/>
      <c r="R927" s="214"/>
      <c r="S927" s="214"/>
      <c r="T927" s="214"/>
      <c r="U927" s="214"/>
      <c r="V927" s="214"/>
      <c r="W927" s="214"/>
      <c r="X927" s="214"/>
      <c r="Y927" s="261"/>
      <c r="Z927" s="262"/>
      <c r="AA927" s="262"/>
      <c r="AB927" s="270"/>
      <c r="AC927" s="214"/>
      <c r="AD927" s="214"/>
      <c r="AE927" s="214"/>
      <c r="AF927" s="214"/>
      <c r="AG927" s="214"/>
      <c r="AH927" s="214"/>
      <c r="AI927" s="261"/>
      <c r="AJ927" s="214"/>
      <c r="AK927" s="261"/>
      <c r="AL927" s="261"/>
      <c r="AM927" s="264"/>
      <c r="AN927" s="214"/>
      <c r="AO927" s="271"/>
      <c r="AP927" s="271"/>
      <c r="AQ927" s="271"/>
      <c r="AR927" s="271"/>
      <c r="AS927" s="272"/>
      <c r="AT927" s="272"/>
      <c r="AU927" s="214"/>
      <c r="AV927" s="214"/>
    </row>
    <row r="928" ht="15.75" customHeight="1">
      <c r="A928" s="214"/>
      <c r="B928" s="261"/>
      <c r="C928" s="266"/>
      <c r="D928" s="267"/>
      <c r="E928" s="214"/>
      <c r="F928" s="214"/>
      <c r="G928" s="214"/>
      <c r="H928" s="214"/>
      <c r="I928" s="214"/>
      <c r="J928" s="214"/>
      <c r="K928" s="268"/>
      <c r="L928" s="214"/>
      <c r="M928" s="269"/>
      <c r="N928" s="214"/>
      <c r="O928" s="214"/>
      <c r="P928" s="214"/>
      <c r="Q928" s="214"/>
      <c r="R928" s="214"/>
      <c r="S928" s="214"/>
      <c r="T928" s="214"/>
      <c r="U928" s="214"/>
      <c r="V928" s="214"/>
      <c r="W928" s="214"/>
      <c r="X928" s="214"/>
      <c r="Y928" s="261"/>
      <c r="Z928" s="262"/>
      <c r="AA928" s="262"/>
      <c r="AB928" s="270"/>
      <c r="AC928" s="214"/>
      <c r="AD928" s="214"/>
      <c r="AE928" s="214"/>
      <c r="AF928" s="214"/>
      <c r="AG928" s="214"/>
      <c r="AH928" s="214"/>
      <c r="AI928" s="261"/>
      <c r="AJ928" s="214"/>
      <c r="AK928" s="261"/>
      <c r="AL928" s="261"/>
      <c r="AM928" s="264"/>
      <c r="AN928" s="214"/>
      <c r="AO928" s="271"/>
      <c r="AP928" s="271"/>
      <c r="AQ928" s="271"/>
      <c r="AR928" s="271"/>
      <c r="AS928" s="272"/>
      <c r="AT928" s="272"/>
      <c r="AU928" s="214"/>
      <c r="AV928" s="214"/>
    </row>
    <row r="929" ht="15.75" customHeight="1">
      <c r="A929" s="214"/>
      <c r="B929" s="261"/>
      <c r="C929" s="266"/>
      <c r="D929" s="267"/>
      <c r="E929" s="214"/>
      <c r="F929" s="214"/>
      <c r="G929" s="214"/>
      <c r="H929" s="214"/>
      <c r="I929" s="214"/>
      <c r="J929" s="214"/>
      <c r="K929" s="268"/>
      <c r="L929" s="214"/>
      <c r="M929" s="269"/>
      <c r="N929" s="214"/>
      <c r="O929" s="214"/>
      <c r="P929" s="214"/>
      <c r="Q929" s="214"/>
      <c r="R929" s="214"/>
      <c r="S929" s="214"/>
      <c r="T929" s="214"/>
      <c r="U929" s="214"/>
      <c r="V929" s="214"/>
      <c r="W929" s="214"/>
      <c r="X929" s="214"/>
      <c r="Y929" s="261"/>
      <c r="Z929" s="262"/>
      <c r="AA929" s="262"/>
      <c r="AB929" s="270"/>
      <c r="AC929" s="214"/>
      <c r="AD929" s="214"/>
      <c r="AE929" s="214"/>
      <c r="AF929" s="214"/>
      <c r="AG929" s="214"/>
      <c r="AH929" s="214"/>
      <c r="AI929" s="261"/>
      <c r="AJ929" s="214"/>
      <c r="AK929" s="261"/>
      <c r="AL929" s="261"/>
      <c r="AM929" s="264"/>
      <c r="AN929" s="214"/>
      <c r="AO929" s="271"/>
      <c r="AP929" s="271"/>
      <c r="AQ929" s="271"/>
      <c r="AR929" s="271"/>
      <c r="AS929" s="272"/>
      <c r="AT929" s="272"/>
      <c r="AU929" s="214"/>
      <c r="AV929" s="214"/>
    </row>
    <row r="930" ht="15.75" customHeight="1">
      <c r="A930" s="214"/>
      <c r="B930" s="261"/>
      <c r="C930" s="266"/>
      <c r="D930" s="267"/>
      <c r="E930" s="214"/>
      <c r="F930" s="214"/>
      <c r="G930" s="214"/>
      <c r="H930" s="214"/>
      <c r="I930" s="214"/>
      <c r="J930" s="214"/>
      <c r="K930" s="268"/>
      <c r="L930" s="214"/>
      <c r="M930" s="269"/>
      <c r="N930" s="214"/>
      <c r="O930" s="214"/>
      <c r="P930" s="214"/>
      <c r="Q930" s="214"/>
      <c r="R930" s="214"/>
      <c r="S930" s="214"/>
      <c r="T930" s="214"/>
      <c r="U930" s="214"/>
      <c r="V930" s="214"/>
      <c r="W930" s="214"/>
      <c r="X930" s="214"/>
      <c r="Y930" s="261"/>
      <c r="Z930" s="262"/>
      <c r="AA930" s="262"/>
      <c r="AB930" s="270"/>
      <c r="AC930" s="214"/>
      <c r="AD930" s="214"/>
      <c r="AE930" s="214"/>
      <c r="AF930" s="214"/>
      <c r="AG930" s="214"/>
      <c r="AH930" s="214"/>
      <c r="AI930" s="261"/>
      <c r="AJ930" s="214"/>
      <c r="AK930" s="261"/>
      <c r="AL930" s="261"/>
      <c r="AM930" s="264"/>
      <c r="AN930" s="214"/>
      <c r="AO930" s="271"/>
      <c r="AP930" s="271"/>
      <c r="AQ930" s="271"/>
      <c r="AR930" s="271"/>
      <c r="AS930" s="272"/>
      <c r="AT930" s="272"/>
      <c r="AU930" s="214"/>
      <c r="AV930" s="214"/>
    </row>
    <row r="931" ht="15.75" customHeight="1">
      <c r="A931" s="214"/>
      <c r="B931" s="261"/>
      <c r="C931" s="266"/>
      <c r="D931" s="267"/>
      <c r="E931" s="214"/>
      <c r="F931" s="214"/>
      <c r="G931" s="214"/>
      <c r="H931" s="214"/>
      <c r="I931" s="214"/>
      <c r="J931" s="214"/>
      <c r="K931" s="268"/>
      <c r="L931" s="214"/>
      <c r="M931" s="269"/>
      <c r="N931" s="214"/>
      <c r="O931" s="214"/>
      <c r="P931" s="214"/>
      <c r="Q931" s="214"/>
      <c r="R931" s="214"/>
      <c r="S931" s="214"/>
      <c r="T931" s="214"/>
      <c r="U931" s="214"/>
      <c r="V931" s="214"/>
      <c r="W931" s="214"/>
      <c r="X931" s="214"/>
      <c r="Y931" s="261"/>
      <c r="Z931" s="262"/>
      <c r="AA931" s="262"/>
      <c r="AB931" s="270"/>
      <c r="AC931" s="214"/>
      <c r="AD931" s="214"/>
      <c r="AE931" s="214"/>
      <c r="AF931" s="214"/>
      <c r="AG931" s="214"/>
      <c r="AH931" s="214"/>
      <c r="AI931" s="261"/>
      <c r="AJ931" s="214"/>
      <c r="AK931" s="261"/>
      <c r="AL931" s="261"/>
      <c r="AM931" s="264"/>
      <c r="AN931" s="214"/>
      <c r="AO931" s="271"/>
      <c r="AP931" s="271"/>
      <c r="AQ931" s="271"/>
      <c r="AR931" s="271"/>
      <c r="AS931" s="272"/>
      <c r="AT931" s="272"/>
      <c r="AU931" s="214"/>
      <c r="AV931" s="214"/>
    </row>
    <row r="932" ht="15.75" customHeight="1">
      <c r="A932" s="214"/>
      <c r="B932" s="261"/>
      <c r="C932" s="266"/>
      <c r="D932" s="267"/>
      <c r="E932" s="214"/>
      <c r="F932" s="214"/>
      <c r="G932" s="214"/>
      <c r="H932" s="214"/>
      <c r="I932" s="214"/>
      <c r="J932" s="214"/>
      <c r="K932" s="268"/>
      <c r="L932" s="214"/>
      <c r="M932" s="269"/>
      <c r="N932" s="214"/>
      <c r="O932" s="214"/>
      <c r="P932" s="214"/>
      <c r="Q932" s="214"/>
      <c r="R932" s="214"/>
      <c r="S932" s="214"/>
      <c r="T932" s="214"/>
      <c r="U932" s="214"/>
      <c r="V932" s="214"/>
      <c r="W932" s="214"/>
      <c r="X932" s="214"/>
      <c r="Y932" s="261"/>
      <c r="Z932" s="262"/>
      <c r="AA932" s="262"/>
      <c r="AB932" s="270"/>
      <c r="AC932" s="214"/>
      <c r="AD932" s="214"/>
      <c r="AE932" s="214"/>
      <c r="AF932" s="214"/>
      <c r="AG932" s="214"/>
      <c r="AH932" s="214"/>
      <c r="AI932" s="261"/>
      <c r="AJ932" s="214"/>
      <c r="AK932" s="261"/>
      <c r="AL932" s="261"/>
      <c r="AM932" s="264"/>
      <c r="AN932" s="214"/>
      <c r="AO932" s="271"/>
      <c r="AP932" s="271"/>
      <c r="AQ932" s="271"/>
      <c r="AR932" s="271"/>
      <c r="AS932" s="272"/>
      <c r="AT932" s="272"/>
      <c r="AU932" s="214"/>
      <c r="AV932" s="214"/>
    </row>
    <row r="933" ht="15.75" customHeight="1">
      <c r="A933" s="214"/>
      <c r="B933" s="261"/>
      <c r="C933" s="266"/>
      <c r="D933" s="267"/>
      <c r="E933" s="214"/>
      <c r="F933" s="214"/>
      <c r="G933" s="214"/>
      <c r="H933" s="214"/>
      <c r="I933" s="214"/>
      <c r="J933" s="214"/>
      <c r="K933" s="268"/>
      <c r="L933" s="214"/>
      <c r="M933" s="269"/>
      <c r="N933" s="214"/>
      <c r="O933" s="214"/>
      <c r="P933" s="214"/>
      <c r="Q933" s="214"/>
      <c r="R933" s="214"/>
      <c r="S933" s="214"/>
      <c r="T933" s="214"/>
      <c r="U933" s="214"/>
      <c r="V933" s="214"/>
      <c r="W933" s="214"/>
      <c r="X933" s="214"/>
      <c r="Y933" s="261"/>
      <c r="Z933" s="262"/>
      <c r="AA933" s="262"/>
      <c r="AB933" s="270"/>
      <c r="AC933" s="214"/>
      <c r="AD933" s="214"/>
      <c r="AE933" s="214"/>
      <c r="AF933" s="214"/>
      <c r="AG933" s="214"/>
      <c r="AH933" s="214"/>
      <c r="AI933" s="261"/>
      <c r="AJ933" s="214"/>
      <c r="AK933" s="261"/>
      <c r="AL933" s="261"/>
      <c r="AM933" s="264"/>
      <c r="AN933" s="214"/>
      <c r="AO933" s="271"/>
      <c r="AP933" s="271"/>
      <c r="AQ933" s="271"/>
      <c r="AR933" s="271"/>
      <c r="AS933" s="272"/>
      <c r="AT933" s="272"/>
      <c r="AU933" s="214"/>
      <c r="AV933" s="214"/>
    </row>
    <row r="934" ht="15.75" customHeight="1">
      <c r="A934" s="214"/>
      <c r="B934" s="261"/>
      <c r="C934" s="266"/>
      <c r="D934" s="267"/>
      <c r="E934" s="214"/>
      <c r="F934" s="214"/>
      <c r="G934" s="214"/>
      <c r="H934" s="214"/>
      <c r="I934" s="214"/>
      <c r="J934" s="214"/>
      <c r="K934" s="268"/>
      <c r="L934" s="214"/>
      <c r="M934" s="269"/>
      <c r="N934" s="214"/>
      <c r="O934" s="214"/>
      <c r="P934" s="214"/>
      <c r="Q934" s="214"/>
      <c r="R934" s="214"/>
      <c r="S934" s="214"/>
      <c r="T934" s="214"/>
      <c r="U934" s="214"/>
      <c r="V934" s="214"/>
      <c r="W934" s="214"/>
      <c r="X934" s="214"/>
      <c r="Y934" s="261"/>
      <c r="Z934" s="262"/>
      <c r="AA934" s="262"/>
      <c r="AB934" s="270"/>
      <c r="AC934" s="214"/>
      <c r="AD934" s="214"/>
      <c r="AE934" s="214"/>
      <c r="AF934" s="214"/>
      <c r="AG934" s="214"/>
      <c r="AH934" s="214"/>
      <c r="AI934" s="261"/>
      <c r="AJ934" s="214"/>
      <c r="AK934" s="261"/>
      <c r="AL934" s="261"/>
      <c r="AM934" s="264"/>
      <c r="AN934" s="214"/>
      <c r="AO934" s="271"/>
      <c r="AP934" s="271"/>
      <c r="AQ934" s="271"/>
      <c r="AR934" s="271"/>
      <c r="AS934" s="272"/>
      <c r="AT934" s="272"/>
      <c r="AU934" s="214"/>
      <c r="AV934" s="214"/>
    </row>
    <row r="935" ht="15.75" customHeight="1">
      <c r="A935" s="214"/>
      <c r="B935" s="261"/>
      <c r="C935" s="266"/>
      <c r="D935" s="267"/>
      <c r="E935" s="214"/>
      <c r="F935" s="214"/>
      <c r="G935" s="214"/>
      <c r="H935" s="214"/>
      <c r="I935" s="214"/>
      <c r="J935" s="214"/>
      <c r="K935" s="268"/>
      <c r="L935" s="214"/>
      <c r="M935" s="269"/>
      <c r="N935" s="214"/>
      <c r="O935" s="214"/>
      <c r="P935" s="214"/>
      <c r="Q935" s="214"/>
      <c r="R935" s="214"/>
      <c r="S935" s="214"/>
      <c r="T935" s="214"/>
      <c r="U935" s="214"/>
      <c r="V935" s="214"/>
      <c r="W935" s="214"/>
      <c r="X935" s="214"/>
      <c r="Y935" s="261"/>
      <c r="Z935" s="262"/>
      <c r="AA935" s="262"/>
      <c r="AB935" s="270"/>
      <c r="AC935" s="214"/>
      <c r="AD935" s="214"/>
      <c r="AE935" s="214"/>
      <c r="AF935" s="214"/>
      <c r="AG935" s="214"/>
      <c r="AH935" s="214"/>
      <c r="AI935" s="261"/>
      <c r="AJ935" s="214"/>
      <c r="AK935" s="261"/>
      <c r="AL935" s="261"/>
      <c r="AM935" s="264"/>
      <c r="AN935" s="214"/>
      <c r="AO935" s="271"/>
      <c r="AP935" s="271"/>
      <c r="AQ935" s="271"/>
      <c r="AR935" s="271"/>
      <c r="AS935" s="272"/>
      <c r="AT935" s="272"/>
      <c r="AU935" s="214"/>
      <c r="AV935" s="214"/>
    </row>
    <row r="936" ht="15.75" customHeight="1">
      <c r="A936" s="214"/>
      <c r="B936" s="261"/>
      <c r="C936" s="266"/>
      <c r="D936" s="267"/>
      <c r="E936" s="214"/>
      <c r="F936" s="214"/>
      <c r="G936" s="214"/>
      <c r="H936" s="214"/>
      <c r="I936" s="214"/>
      <c r="J936" s="214"/>
      <c r="K936" s="268"/>
      <c r="L936" s="214"/>
      <c r="M936" s="269"/>
      <c r="N936" s="214"/>
      <c r="O936" s="214"/>
      <c r="P936" s="214"/>
      <c r="Q936" s="214"/>
      <c r="R936" s="214"/>
      <c r="S936" s="214"/>
      <c r="T936" s="214"/>
      <c r="U936" s="214"/>
      <c r="V936" s="214"/>
      <c r="W936" s="214"/>
      <c r="X936" s="214"/>
      <c r="Y936" s="261"/>
      <c r="Z936" s="262"/>
      <c r="AA936" s="262"/>
      <c r="AB936" s="270"/>
      <c r="AC936" s="214"/>
      <c r="AD936" s="214"/>
      <c r="AE936" s="214"/>
      <c r="AF936" s="214"/>
      <c r="AG936" s="214"/>
      <c r="AH936" s="214"/>
      <c r="AI936" s="261"/>
      <c r="AJ936" s="214"/>
      <c r="AK936" s="261"/>
      <c r="AL936" s="261"/>
      <c r="AM936" s="264"/>
      <c r="AN936" s="214"/>
      <c r="AO936" s="271"/>
      <c r="AP936" s="271"/>
      <c r="AQ936" s="271"/>
      <c r="AR936" s="271"/>
      <c r="AS936" s="272"/>
      <c r="AT936" s="272"/>
      <c r="AU936" s="214"/>
      <c r="AV936" s="214"/>
    </row>
    <row r="937" ht="15.75" customHeight="1">
      <c r="A937" s="214"/>
      <c r="B937" s="261"/>
      <c r="C937" s="266"/>
      <c r="D937" s="267"/>
      <c r="E937" s="214"/>
      <c r="F937" s="214"/>
      <c r="G937" s="214"/>
      <c r="H937" s="214"/>
      <c r="I937" s="214"/>
      <c r="J937" s="214"/>
      <c r="K937" s="268"/>
      <c r="L937" s="214"/>
      <c r="M937" s="269"/>
      <c r="N937" s="214"/>
      <c r="O937" s="214"/>
      <c r="P937" s="214"/>
      <c r="Q937" s="214"/>
      <c r="R937" s="214"/>
      <c r="S937" s="214"/>
      <c r="T937" s="214"/>
      <c r="U937" s="214"/>
      <c r="V937" s="214"/>
      <c r="W937" s="214"/>
      <c r="X937" s="214"/>
      <c r="Y937" s="261"/>
      <c r="Z937" s="262"/>
      <c r="AA937" s="262"/>
      <c r="AB937" s="270"/>
      <c r="AC937" s="214"/>
      <c r="AD937" s="214"/>
      <c r="AE937" s="214"/>
      <c r="AF937" s="214"/>
      <c r="AG937" s="214"/>
      <c r="AH937" s="214"/>
      <c r="AI937" s="261"/>
      <c r="AJ937" s="214"/>
      <c r="AK937" s="261"/>
      <c r="AL937" s="261"/>
      <c r="AM937" s="264"/>
      <c r="AN937" s="214"/>
      <c r="AO937" s="271"/>
      <c r="AP937" s="271"/>
      <c r="AQ937" s="271"/>
      <c r="AR937" s="271"/>
      <c r="AS937" s="272"/>
      <c r="AT937" s="272"/>
      <c r="AU937" s="214"/>
      <c r="AV937" s="214"/>
    </row>
    <row r="938" ht="15.75" customHeight="1">
      <c r="A938" s="214"/>
      <c r="B938" s="261"/>
      <c r="C938" s="266"/>
      <c r="D938" s="267"/>
      <c r="E938" s="214"/>
      <c r="F938" s="214"/>
      <c r="G938" s="214"/>
      <c r="H938" s="214"/>
      <c r="I938" s="214"/>
      <c r="J938" s="214"/>
      <c r="K938" s="268"/>
      <c r="L938" s="214"/>
      <c r="M938" s="269"/>
      <c r="N938" s="214"/>
      <c r="O938" s="214"/>
      <c r="P938" s="214"/>
      <c r="Q938" s="214"/>
      <c r="R938" s="214"/>
      <c r="S938" s="214"/>
      <c r="T938" s="214"/>
      <c r="U938" s="214"/>
      <c r="V938" s="214"/>
      <c r="W938" s="214"/>
      <c r="X938" s="214"/>
      <c r="Y938" s="261"/>
      <c r="Z938" s="262"/>
      <c r="AA938" s="262"/>
      <c r="AB938" s="270"/>
      <c r="AC938" s="214"/>
      <c r="AD938" s="214"/>
      <c r="AE938" s="214"/>
      <c r="AF938" s="214"/>
      <c r="AG938" s="214"/>
      <c r="AH938" s="214"/>
      <c r="AI938" s="261"/>
      <c r="AJ938" s="214"/>
      <c r="AK938" s="261"/>
      <c r="AL938" s="261"/>
      <c r="AM938" s="264"/>
      <c r="AN938" s="214"/>
      <c r="AO938" s="271"/>
      <c r="AP938" s="271"/>
      <c r="AQ938" s="271"/>
      <c r="AR938" s="271"/>
      <c r="AS938" s="272"/>
      <c r="AT938" s="272"/>
      <c r="AU938" s="214"/>
      <c r="AV938" s="214"/>
    </row>
    <row r="939" ht="15.75" customHeight="1">
      <c r="A939" s="214"/>
      <c r="B939" s="261"/>
      <c r="C939" s="266"/>
      <c r="D939" s="267"/>
      <c r="E939" s="214"/>
      <c r="F939" s="214"/>
      <c r="G939" s="214"/>
      <c r="H939" s="214"/>
      <c r="I939" s="214"/>
      <c r="J939" s="214"/>
      <c r="K939" s="268"/>
      <c r="L939" s="214"/>
      <c r="M939" s="269"/>
      <c r="N939" s="214"/>
      <c r="O939" s="214"/>
      <c r="P939" s="214"/>
      <c r="Q939" s="214"/>
      <c r="R939" s="214"/>
      <c r="S939" s="214"/>
      <c r="T939" s="214"/>
      <c r="U939" s="214"/>
      <c r="V939" s="214"/>
      <c r="W939" s="214"/>
      <c r="X939" s="214"/>
      <c r="Y939" s="261"/>
      <c r="Z939" s="262"/>
      <c r="AA939" s="262"/>
      <c r="AB939" s="270"/>
      <c r="AC939" s="214"/>
      <c r="AD939" s="214"/>
      <c r="AE939" s="214"/>
      <c r="AF939" s="214"/>
      <c r="AG939" s="214"/>
      <c r="AH939" s="214"/>
      <c r="AI939" s="261"/>
      <c r="AJ939" s="214"/>
      <c r="AK939" s="261"/>
      <c r="AL939" s="261"/>
      <c r="AM939" s="264"/>
      <c r="AN939" s="214"/>
      <c r="AO939" s="271"/>
      <c r="AP939" s="271"/>
      <c r="AQ939" s="271"/>
      <c r="AR939" s="271"/>
      <c r="AS939" s="272"/>
      <c r="AT939" s="272"/>
      <c r="AU939" s="214"/>
      <c r="AV939" s="214"/>
    </row>
    <row r="940" ht="15.75" customHeight="1">
      <c r="A940" s="214"/>
      <c r="B940" s="261"/>
      <c r="C940" s="266"/>
      <c r="D940" s="267"/>
      <c r="E940" s="214"/>
      <c r="F940" s="214"/>
      <c r="G940" s="214"/>
      <c r="H940" s="214"/>
      <c r="I940" s="214"/>
      <c r="J940" s="214"/>
      <c r="K940" s="268"/>
      <c r="L940" s="214"/>
      <c r="M940" s="269"/>
      <c r="N940" s="214"/>
      <c r="O940" s="214"/>
      <c r="P940" s="214"/>
      <c r="Q940" s="214"/>
      <c r="R940" s="214"/>
      <c r="S940" s="214"/>
      <c r="T940" s="214"/>
      <c r="U940" s="214"/>
      <c r="V940" s="214"/>
      <c r="W940" s="214"/>
      <c r="X940" s="214"/>
      <c r="Y940" s="261"/>
      <c r="Z940" s="262"/>
      <c r="AA940" s="262"/>
      <c r="AB940" s="270"/>
      <c r="AC940" s="214"/>
      <c r="AD940" s="214"/>
      <c r="AE940" s="214"/>
      <c r="AF940" s="214"/>
      <c r="AG940" s="214"/>
      <c r="AH940" s="214"/>
      <c r="AI940" s="261"/>
      <c r="AJ940" s="214"/>
      <c r="AK940" s="261"/>
      <c r="AL940" s="261"/>
      <c r="AM940" s="264"/>
      <c r="AN940" s="214"/>
      <c r="AO940" s="271"/>
      <c r="AP940" s="271"/>
      <c r="AQ940" s="271"/>
      <c r="AR940" s="271"/>
      <c r="AS940" s="272"/>
      <c r="AT940" s="272"/>
      <c r="AU940" s="214"/>
      <c r="AV940" s="214"/>
    </row>
    <row r="941" ht="15.75" customHeight="1">
      <c r="A941" s="214"/>
      <c r="B941" s="261"/>
      <c r="C941" s="266"/>
      <c r="D941" s="267"/>
      <c r="E941" s="214"/>
      <c r="F941" s="214"/>
      <c r="G941" s="214"/>
      <c r="H941" s="214"/>
      <c r="I941" s="214"/>
      <c r="J941" s="214"/>
      <c r="K941" s="268"/>
      <c r="L941" s="214"/>
      <c r="M941" s="269"/>
      <c r="N941" s="214"/>
      <c r="O941" s="214"/>
      <c r="P941" s="214"/>
      <c r="Q941" s="214"/>
      <c r="R941" s="214"/>
      <c r="S941" s="214"/>
      <c r="T941" s="214"/>
      <c r="U941" s="214"/>
      <c r="V941" s="214"/>
      <c r="W941" s="214"/>
      <c r="X941" s="214"/>
      <c r="Y941" s="261"/>
      <c r="Z941" s="262"/>
      <c r="AA941" s="262"/>
      <c r="AB941" s="270"/>
      <c r="AC941" s="214"/>
      <c r="AD941" s="214"/>
      <c r="AE941" s="214"/>
      <c r="AF941" s="214"/>
      <c r="AG941" s="214"/>
      <c r="AH941" s="214"/>
      <c r="AI941" s="261"/>
      <c r="AJ941" s="214"/>
      <c r="AK941" s="261"/>
      <c r="AL941" s="261"/>
      <c r="AM941" s="264"/>
      <c r="AN941" s="214"/>
      <c r="AO941" s="271"/>
      <c r="AP941" s="271"/>
      <c r="AQ941" s="271"/>
      <c r="AR941" s="271"/>
      <c r="AS941" s="272"/>
      <c r="AT941" s="272"/>
      <c r="AU941" s="214"/>
      <c r="AV941" s="214"/>
    </row>
    <row r="942" ht="15.75" customHeight="1">
      <c r="A942" s="214"/>
      <c r="B942" s="261"/>
      <c r="C942" s="266"/>
      <c r="D942" s="267"/>
      <c r="E942" s="214"/>
      <c r="F942" s="214"/>
      <c r="G942" s="214"/>
      <c r="H942" s="214"/>
      <c r="I942" s="214"/>
      <c r="J942" s="214"/>
      <c r="K942" s="268"/>
      <c r="L942" s="214"/>
      <c r="M942" s="269"/>
      <c r="N942" s="214"/>
      <c r="O942" s="214"/>
      <c r="P942" s="214"/>
      <c r="Q942" s="214"/>
      <c r="R942" s="214"/>
      <c r="S942" s="214"/>
      <c r="T942" s="214"/>
      <c r="U942" s="214"/>
      <c r="V942" s="214"/>
      <c r="W942" s="214"/>
      <c r="X942" s="214"/>
      <c r="Y942" s="261"/>
      <c r="Z942" s="262"/>
      <c r="AA942" s="262"/>
      <c r="AB942" s="270"/>
      <c r="AC942" s="214"/>
      <c r="AD942" s="214"/>
      <c r="AE942" s="214"/>
      <c r="AF942" s="214"/>
      <c r="AG942" s="214"/>
      <c r="AH942" s="214"/>
      <c r="AI942" s="261"/>
      <c r="AJ942" s="214"/>
      <c r="AK942" s="261"/>
      <c r="AL942" s="261"/>
      <c r="AM942" s="264"/>
      <c r="AN942" s="214"/>
      <c r="AO942" s="271"/>
      <c r="AP942" s="271"/>
      <c r="AQ942" s="271"/>
      <c r="AR942" s="271"/>
      <c r="AS942" s="272"/>
      <c r="AT942" s="272"/>
      <c r="AU942" s="214"/>
      <c r="AV942" s="214"/>
    </row>
    <row r="943" ht="15.75" customHeight="1">
      <c r="A943" s="214"/>
      <c r="B943" s="261"/>
      <c r="C943" s="266"/>
      <c r="D943" s="267"/>
      <c r="E943" s="214"/>
      <c r="F943" s="214"/>
      <c r="G943" s="214"/>
      <c r="H943" s="214"/>
      <c r="I943" s="214"/>
      <c r="J943" s="214"/>
      <c r="K943" s="268"/>
      <c r="L943" s="214"/>
      <c r="M943" s="269"/>
      <c r="N943" s="214"/>
      <c r="O943" s="214"/>
      <c r="P943" s="214"/>
      <c r="Q943" s="214"/>
      <c r="R943" s="214"/>
      <c r="S943" s="214"/>
      <c r="T943" s="214"/>
      <c r="U943" s="214"/>
      <c r="V943" s="214"/>
      <c r="W943" s="214"/>
      <c r="X943" s="214"/>
      <c r="Y943" s="261"/>
      <c r="Z943" s="262"/>
      <c r="AA943" s="262"/>
      <c r="AB943" s="270"/>
      <c r="AC943" s="214"/>
      <c r="AD943" s="214"/>
      <c r="AE943" s="214"/>
      <c r="AF943" s="214"/>
      <c r="AG943" s="214"/>
      <c r="AH943" s="214"/>
      <c r="AI943" s="261"/>
      <c r="AJ943" s="214"/>
      <c r="AK943" s="261"/>
      <c r="AL943" s="261"/>
      <c r="AM943" s="264"/>
      <c r="AN943" s="214"/>
      <c r="AO943" s="271"/>
      <c r="AP943" s="271"/>
      <c r="AQ943" s="271"/>
      <c r="AR943" s="271"/>
      <c r="AS943" s="272"/>
      <c r="AT943" s="272"/>
      <c r="AU943" s="214"/>
      <c r="AV943" s="214"/>
    </row>
    <row r="944" ht="15.75" customHeight="1">
      <c r="A944" s="214"/>
      <c r="B944" s="261"/>
      <c r="C944" s="266"/>
      <c r="D944" s="267"/>
      <c r="E944" s="214"/>
      <c r="F944" s="214"/>
      <c r="G944" s="214"/>
      <c r="H944" s="214"/>
      <c r="I944" s="214"/>
      <c r="J944" s="214"/>
      <c r="K944" s="268"/>
      <c r="L944" s="214"/>
      <c r="M944" s="269"/>
      <c r="N944" s="214"/>
      <c r="O944" s="214"/>
      <c r="P944" s="214"/>
      <c r="Q944" s="214"/>
      <c r="R944" s="214"/>
      <c r="S944" s="214"/>
      <c r="T944" s="214"/>
      <c r="U944" s="214"/>
      <c r="V944" s="214"/>
      <c r="W944" s="214"/>
      <c r="X944" s="214"/>
      <c r="Y944" s="261"/>
      <c r="Z944" s="262"/>
      <c r="AA944" s="262"/>
      <c r="AB944" s="270"/>
      <c r="AC944" s="214"/>
      <c r="AD944" s="214"/>
      <c r="AE944" s="214"/>
      <c r="AF944" s="214"/>
      <c r="AG944" s="214"/>
      <c r="AH944" s="214"/>
      <c r="AI944" s="261"/>
      <c r="AJ944" s="214"/>
      <c r="AK944" s="261"/>
      <c r="AL944" s="261"/>
      <c r="AM944" s="264"/>
      <c r="AN944" s="214"/>
      <c r="AO944" s="271"/>
      <c r="AP944" s="271"/>
      <c r="AQ944" s="271"/>
      <c r="AR944" s="271"/>
      <c r="AS944" s="272"/>
      <c r="AT944" s="272"/>
      <c r="AU944" s="214"/>
      <c r="AV944" s="214"/>
    </row>
    <row r="945" ht="15.75" customHeight="1">
      <c r="A945" s="214"/>
      <c r="B945" s="261"/>
      <c r="C945" s="266"/>
      <c r="D945" s="267"/>
      <c r="E945" s="214"/>
      <c r="F945" s="214"/>
      <c r="G945" s="214"/>
      <c r="H945" s="214"/>
      <c r="I945" s="214"/>
      <c r="J945" s="214"/>
      <c r="K945" s="268"/>
      <c r="L945" s="214"/>
      <c r="M945" s="269"/>
      <c r="N945" s="214"/>
      <c r="O945" s="214"/>
      <c r="P945" s="214"/>
      <c r="Q945" s="214"/>
      <c r="R945" s="214"/>
      <c r="S945" s="214"/>
      <c r="T945" s="214"/>
      <c r="U945" s="214"/>
      <c r="V945" s="214"/>
      <c r="W945" s="214"/>
      <c r="X945" s="214"/>
      <c r="Y945" s="261"/>
      <c r="Z945" s="262"/>
      <c r="AA945" s="262"/>
      <c r="AB945" s="270"/>
      <c r="AC945" s="214"/>
      <c r="AD945" s="214"/>
      <c r="AE945" s="214"/>
      <c r="AF945" s="214"/>
      <c r="AG945" s="214"/>
      <c r="AH945" s="214"/>
      <c r="AI945" s="261"/>
      <c r="AJ945" s="214"/>
      <c r="AK945" s="261"/>
      <c r="AL945" s="261"/>
      <c r="AM945" s="264"/>
      <c r="AN945" s="214"/>
      <c r="AO945" s="271"/>
      <c r="AP945" s="271"/>
      <c r="AQ945" s="271"/>
      <c r="AR945" s="271"/>
      <c r="AS945" s="272"/>
      <c r="AT945" s="272"/>
      <c r="AU945" s="214"/>
      <c r="AV945" s="214"/>
    </row>
    <row r="946" ht="15.75" customHeight="1">
      <c r="A946" s="214"/>
      <c r="B946" s="261"/>
      <c r="C946" s="266"/>
      <c r="D946" s="267"/>
      <c r="E946" s="214"/>
      <c r="F946" s="214"/>
      <c r="G946" s="214"/>
      <c r="H946" s="214"/>
      <c r="I946" s="214"/>
      <c r="J946" s="214"/>
      <c r="K946" s="268"/>
      <c r="L946" s="214"/>
      <c r="M946" s="269"/>
      <c r="N946" s="214"/>
      <c r="O946" s="214"/>
      <c r="P946" s="214"/>
      <c r="Q946" s="214"/>
      <c r="R946" s="214"/>
      <c r="S946" s="214"/>
      <c r="T946" s="214"/>
      <c r="U946" s="214"/>
      <c r="V946" s="214"/>
      <c r="W946" s="214"/>
      <c r="X946" s="214"/>
      <c r="Y946" s="261"/>
      <c r="Z946" s="262"/>
      <c r="AA946" s="262"/>
      <c r="AB946" s="270"/>
      <c r="AC946" s="214"/>
      <c r="AD946" s="214"/>
      <c r="AE946" s="214"/>
      <c r="AF946" s="214"/>
      <c r="AG946" s="214"/>
      <c r="AH946" s="214"/>
      <c r="AI946" s="261"/>
      <c r="AJ946" s="214"/>
      <c r="AK946" s="261"/>
      <c r="AL946" s="261"/>
      <c r="AM946" s="264"/>
      <c r="AN946" s="214"/>
      <c r="AO946" s="271"/>
      <c r="AP946" s="271"/>
      <c r="AQ946" s="271"/>
      <c r="AR946" s="271"/>
      <c r="AS946" s="272"/>
      <c r="AT946" s="272"/>
      <c r="AU946" s="214"/>
      <c r="AV946" s="214"/>
    </row>
    <row r="947" ht="15.75" customHeight="1">
      <c r="A947" s="214"/>
      <c r="B947" s="261"/>
      <c r="C947" s="266"/>
      <c r="D947" s="267"/>
      <c r="E947" s="214"/>
      <c r="F947" s="214"/>
      <c r="G947" s="214"/>
      <c r="H947" s="214"/>
      <c r="I947" s="214"/>
      <c r="J947" s="214"/>
      <c r="K947" s="268"/>
      <c r="L947" s="214"/>
      <c r="M947" s="269"/>
      <c r="N947" s="214"/>
      <c r="O947" s="214"/>
      <c r="P947" s="214"/>
      <c r="Q947" s="214"/>
      <c r="R947" s="214"/>
      <c r="S947" s="214"/>
      <c r="T947" s="214"/>
      <c r="U947" s="214"/>
      <c r="V947" s="214"/>
      <c r="W947" s="214"/>
      <c r="X947" s="214"/>
      <c r="Y947" s="261"/>
      <c r="Z947" s="262"/>
      <c r="AA947" s="262"/>
      <c r="AB947" s="270"/>
      <c r="AC947" s="214"/>
      <c r="AD947" s="214"/>
      <c r="AE947" s="214"/>
      <c r="AF947" s="214"/>
      <c r="AG947" s="214"/>
      <c r="AH947" s="214"/>
      <c r="AI947" s="261"/>
      <c r="AJ947" s="214"/>
      <c r="AK947" s="261"/>
      <c r="AL947" s="261"/>
      <c r="AM947" s="264"/>
      <c r="AN947" s="214"/>
      <c r="AO947" s="271"/>
      <c r="AP947" s="271"/>
      <c r="AQ947" s="271"/>
      <c r="AR947" s="271"/>
      <c r="AS947" s="272"/>
      <c r="AT947" s="272"/>
      <c r="AU947" s="214"/>
      <c r="AV947" s="214"/>
    </row>
    <row r="948" ht="15.75" customHeight="1">
      <c r="A948" s="214"/>
      <c r="B948" s="261"/>
      <c r="C948" s="266"/>
      <c r="D948" s="267"/>
      <c r="E948" s="214"/>
      <c r="F948" s="214"/>
      <c r="G948" s="214"/>
      <c r="H948" s="214"/>
      <c r="I948" s="214"/>
      <c r="J948" s="214"/>
      <c r="K948" s="268"/>
      <c r="L948" s="214"/>
      <c r="M948" s="269"/>
      <c r="N948" s="214"/>
      <c r="O948" s="214"/>
      <c r="P948" s="214"/>
      <c r="Q948" s="214"/>
      <c r="R948" s="214"/>
      <c r="S948" s="214"/>
      <c r="T948" s="214"/>
      <c r="U948" s="214"/>
      <c r="V948" s="214"/>
      <c r="W948" s="214"/>
      <c r="X948" s="214"/>
      <c r="Y948" s="261"/>
      <c r="Z948" s="262"/>
      <c r="AA948" s="262"/>
      <c r="AB948" s="270"/>
      <c r="AC948" s="214"/>
      <c r="AD948" s="214"/>
      <c r="AE948" s="214"/>
      <c r="AF948" s="214"/>
      <c r="AG948" s="214"/>
      <c r="AH948" s="214"/>
      <c r="AI948" s="261"/>
      <c r="AJ948" s="214"/>
      <c r="AK948" s="261"/>
      <c r="AL948" s="261"/>
      <c r="AM948" s="264"/>
      <c r="AN948" s="214"/>
      <c r="AO948" s="271"/>
      <c r="AP948" s="271"/>
      <c r="AQ948" s="271"/>
      <c r="AR948" s="271"/>
      <c r="AS948" s="272"/>
      <c r="AT948" s="272"/>
      <c r="AU948" s="214"/>
      <c r="AV948" s="214"/>
    </row>
    <row r="949" ht="15.75" customHeight="1">
      <c r="A949" s="214"/>
      <c r="B949" s="261"/>
      <c r="C949" s="266"/>
      <c r="D949" s="267"/>
      <c r="E949" s="214"/>
      <c r="F949" s="214"/>
      <c r="G949" s="214"/>
      <c r="H949" s="214"/>
      <c r="I949" s="214"/>
      <c r="J949" s="214"/>
      <c r="K949" s="268"/>
      <c r="L949" s="214"/>
      <c r="M949" s="269"/>
      <c r="N949" s="214"/>
      <c r="O949" s="214"/>
      <c r="P949" s="214"/>
      <c r="Q949" s="214"/>
      <c r="R949" s="214"/>
      <c r="S949" s="214"/>
      <c r="T949" s="214"/>
      <c r="U949" s="214"/>
      <c r="V949" s="214"/>
      <c r="W949" s="214"/>
      <c r="X949" s="214"/>
      <c r="Y949" s="261"/>
      <c r="Z949" s="262"/>
      <c r="AA949" s="262"/>
      <c r="AB949" s="270"/>
      <c r="AC949" s="214"/>
      <c r="AD949" s="214"/>
      <c r="AE949" s="214"/>
      <c r="AF949" s="214"/>
      <c r="AG949" s="214"/>
      <c r="AH949" s="214"/>
      <c r="AI949" s="261"/>
      <c r="AJ949" s="214"/>
      <c r="AK949" s="261"/>
      <c r="AL949" s="261"/>
      <c r="AM949" s="264"/>
      <c r="AN949" s="214"/>
      <c r="AO949" s="271"/>
      <c r="AP949" s="271"/>
      <c r="AQ949" s="271"/>
      <c r="AR949" s="271"/>
      <c r="AS949" s="272"/>
      <c r="AT949" s="272"/>
      <c r="AU949" s="214"/>
      <c r="AV949" s="214"/>
    </row>
    <row r="950" ht="15.75" customHeight="1">
      <c r="A950" s="214"/>
      <c r="B950" s="261"/>
      <c r="C950" s="266"/>
      <c r="D950" s="267"/>
      <c r="E950" s="214"/>
      <c r="F950" s="214"/>
      <c r="G950" s="214"/>
      <c r="H950" s="214"/>
      <c r="I950" s="214"/>
      <c r="J950" s="214"/>
      <c r="K950" s="268"/>
      <c r="L950" s="214"/>
      <c r="M950" s="269"/>
      <c r="N950" s="214"/>
      <c r="O950" s="214"/>
      <c r="P950" s="214"/>
      <c r="Q950" s="214"/>
      <c r="R950" s="214"/>
      <c r="S950" s="214"/>
      <c r="T950" s="214"/>
      <c r="U950" s="214"/>
      <c r="V950" s="214"/>
      <c r="W950" s="214"/>
      <c r="X950" s="214"/>
      <c r="Y950" s="261"/>
      <c r="Z950" s="262"/>
      <c r="AA950" s="262"/>
      <c r="AB950" s="270"/>
      <c r="AC950" s="214"/>
      <c r="AD950" s="214"/>
      <c r="AE950" s="214"/>
      <c r="AF950" s="214"/>
      <c r="AG950" s="214"/>
      <c r="AH950" s="214"/>
      <c r="AI950" s="261"/>
      <c r="AJ950" s="214"/>
      <c r="AK950" s="261"/>
      <c r="AL950" s="261"/>
      <c r="AM950" s="264"/>
      <c r="AN950" s="214"/>
      <c r="AO950" s="271"/>
      <c r="AP950" s="271"/>
      <c r="AQ950" s="271"/>
      <c r="AR950" s="271"/>
      <c r="AS950" s="272"/>
      <c r="AT950" s="272"/>
      <c r="AU950" s="214"/>
      <c r="AV950" s="214"/>
    </row>
    <row r="951" ht="15.75" customHeight="1">
      <c r="A951" s="214"/>
      <c r="B951" s="261"/>
      <c r="C951" s="266"/>
      <c r="D951" s="267"/>
      <c r="E951" s="214"/>
      <c r="F951" s="214"/>
      <c r="G951" s="214"/>
      <c r="H951" s="214"/>
      <c r="I951" s="214"/>
      <c r="J951" s="214"/>
      <c r="K951" s="268"/>
      <c r="L951" s="214"/>
      <c r="M951" s="269"/>
      <c r="N951" s="214"/>
      <c r="O951" s="214"/>
      <c r="P951" s="214"/>
      <c r="Q951" s="214"/>
      <c r="R951" s="214"/>
      <c r="S951" s="214"/>
      <c r="T951" s="214"/>
      <c r="U951" s="214"/>
      <c r="V951" s="214"/>
      <c r="W951" s="214"/>
      <c r="X951" s="214"/>
      <c r="Y951" s="261"/>
      <c r="Z951" s="262"/>
      <c r="AA951" s="262"/>
      <c r="AB951" s="270"/>
      <c r="AC951" s="214"/>
      <c r="AD951" s="214"/>
      <c r="AE951" s="214"/>
      <c r="AF951" s="214"/>
      <c r="AG951" s="214"/>
      <c r="AH951" s="214"/>
      <c r="AI951" s="261"/>
      <c r="AJ951" s="214"/>
      <c r="AK951" s="261"/>
      <c r="AL951" s="261"/>
      <c r="AM951" s="264"/>
      <c r="AN951" s="214"/>
      <c r="AO951" s="271"/>
      <c r="AP951" s="271"/>
      <c r="AQ951" s="271"/>
      <c r="AR951" s="271"/>
      <c r="AS951" s="272"/>
      <c r="AT951" s="272"/>
      <c r="AU951" s="214"/>
      <c r="AV951" s="214"/>
    </row>
    <row r="952" ht="15.75" customHeight="1">
      <c r="A952" s="214"/>
      <c r="B952" s="261"/>
      <c r="C952" s="266"/>
      <c r="D952" s="267"/>
      <c r="E952" s="214"/>
      <c r="F952" s="214"/>
      <c r="G952" s="214"/>
      <c r="H952" s="214"/>
      <c r="I952" s="214"/>
      <c r="J952" s="214"/>
      <c r="K952" s="268"/>
      <c r="L952" s="214"/>
      <c r="M952" s="269"/>
      <c r="N952" s="214"/>
      <c r="O952" s="214"/>
      <c r="P952" s="214"/>
      <c r="Q952" s="214"/>
      <c r="R952" s="214"/>
      <c r="S952" s="214"/>
      <c r="T952" s="214"/>
      <c r="U952" s="214"/>
      <c r="V952" s="214"/>
      <c r="W952" s="214"/>
      <c r="X952" s="214"/>
      <c r="Y952" s="261"/>
      <c r="Z952" s="262"/>
      <c r="AA952" s="262"/>
      <c r="AB952" s="270"/>
      <c r="AC952" s="214"/>
      <c r="AD952" s="214"/>
      <c r="AE952" s="214"/>
      <c r="AF952" s="214"/>
      <c r="AG952" s="214"/>
      <c r="AH952" s="214"/>
      <c r="AI952" s="261"/>
      <c r="AJ952" s="214"/>
      <c r="AK952" s="261"/>
      <c r="AL952" s="261"/>
      <c r="AM952" s="264"/>
      <c r="AN952" s="214"/>
      <c r="AO952" s="271"/>
      <c r="AP952" s="271"/>
      <c r="AQ952" s="271"/>
      <c r="AR952" s="271"/>
      <c r="AS952" s="272"/>
      <c r="AT952" s="272"/>
      <c r="AU952" s="214"/>
      <c r="AV952" s="214"/>
    </row>
    <row r="953" ht="15.75" customHeight="1">
      <c r="A953" s="214"/>
      <c r="B953" s="261"/>
      <c r="C953" s="266"/>
      <c r="D953" s="267"/>
      <c r="E953" s="214"/>
      <c r="F953" s="214"/>
      <c r="G953" s="214"/>
      <c r="H953" s="214"/>
      <c r="I953" s="214"/>
      <c r="J953" s="214"/>
      <c r="K953" s="268"/>
      <c r="L953" s="214"/>
      <c r="M953" s="269"/>
      <c r="N953" s="214"/>
      <c r="O953" s="214"/>
      <c r="P953" s="214"/>
      <c r="Q953" s="214"/>
      <c r="R953" s="214"/>
      <c r="S953" s="214"/>
      <c r="T953" s="214"/>
      <c r="U953" s="214"/>
      <c r="V953" s="214"/>
      <c r="W953" s="214"/>
      <c r="X953" s="214"/>
      <c r="Y953" s="261"/>
      <c r="Z953" s="262"/>
      <c r="AA953" s="262"/>
      <c r="AB953" s="270"/>
      <c r="AC953" s="214"/>
      <c r="AD953" s="214"/>
      <c r="AE953" s="214"/>
      <c r="AF953" s="214"/>
      <c r="AG953" s="214"/>
      <c r="AH953" s="214"/>
      <c r="AI953" s="261"/>
      <c r="AJ953" s="214"/>
      <c r="AK953" s="261"/>
      <c r="AL953" s="261"/>
      <c r="AM953" s="264"/>
      <c r="AN953" s="214"/>
      <c r="AO953" s="271"/>
      <c r="AP953" s="271"/>
      <c r="AQ953" s="271"/>
      <c r="AR953" s="271"/>
      <c r="AS953" s="272"/>
      <c r="AT953" s="272"/>
      <c r="AU953" s="214"/>
      <c r="AV953" s="214"/>
    </row>
    <row r="954" ht="15.75" customHeight="1">
      <c r="A954" s="214"/>
      <c r="B954" s="261"/>
      <c r="C954" s="266"/>
      <c r="D954" s="267"/>
      <c r="E954" s="214"/>
      <c r="F954" s="214"/>
      <c r="G954" s="214"/>
      <c r="H954" s="214"/>
      <c r="I954" s="214"/>
      <c r="J954" s="214"/>
      <c r="K954" s="268"/>
      <c r="L954" s="214"/>
      <c r="M954" s="269"/>
      <c r="N954" s="214"/>
      <c r="O954" s="214"/>
      <c r="P954" s="214"/>
      <c r="Q954" s="214"/>
      <c r="R954" s="214"/>
      <c r="S954" s="214"/>
      <c r="T954" s="214"/>
      <c r="U954" s="214"/>
      <c r="V954" s="214"/>
      <c r="W954" s="214"/>
      <c r="X954" s="214"/>
      <c r="Y954" s="261"/>
      <c r="Z954" s="262"/>
      <c r="AA954" s="262"/>
      <c r="AB954" s="270"/>
      <c r="AC954" s="214"/>
      <c r="AD954" s="214"/>
      <c r="AE954" s="214"/>
      <c r="AF954" s="214"/>
      <c r="AG954" s="214"/>
      <c r="AH954" s="214"/>
      <c r="AI954" s="261"/>
      <c r="AJ954" s="214"/>
      <c r="AK954" s="261"/>
      <c r="AL954" s="261"/>
      <c r="AM954" s="264"/>
      <c r="AN954" s="214"/>
      <c r="AO954" s="271"/>
      <c r="AP954" s="271"/>
      <c r="AQ954" s="271"/>
      <c r="AR954" s="271"/>
      <c r="AS954" s="272"/>
      <c r="AT954" s="272"/>
      <c r="AU954" s="214"/>
      <c r="AV954" s="214"/>
    </row>
    <row r="955" ht="15.75" customHeight="1">
      <c r="A955" s="214"/>
      <c r="B955" s="261"/>
      <c r="C955" s="266"/>
      <c r="D955" s="267"/>
      <c r="E955" s="214"/>
      <c r="F955" s="214"/>
      <c r="G955" s="214"/>
      <c r="H955" s="214"/>
      <c r="I955" s="214"/>
      <c r="J955" s="214"/>
      <c r="K955" s="268"/>
      <c r="L955" s="214"/>
      <c r="M955" s="269"/>
      <c r="N955" s="214"/>
      <c r="O955" s="214"/>
      <c r="P955" s="214"/>
      <c r="Q955" s="214"/>
      <c r="R955" s="214"/>
      <c r="S955" s="214"/>
      <c r="T955" s="214"/>
      <c r="U955" s="214"/>
      <c r="V955" s="214"/>
      <c r="W955" s="214"/>
      <c r="X955" s="214"/>
      <c r="Y955" s="261"/>
      <c r="Z955" s="262"/>
      <c r="AA955" s="262"/>
      <c r="AB955" s="270"/>
      <c r="AC955" s="214"/>
      <c r="AD955" s="214"/>
      <c r="AE955" s="214"/>
      <c r="AF955" s="214"/>
      <c r="AG955" s="214"/>
      <c r="AH955" s="214"/>
      <c r="AI955" s="261"/>
      <c r="AJ955" s="214"/>
      <c r="AK955" s="261"/>
      <c r="AL955" s="261"/>
      <c r="AM955" s="264"/>
      <c r="AN955" s="214"/>
      <c r="AO955" s="271"/>
      <c r="AP955" s="271"/>
      <c r="AQ955" s="271"/>
      <c r="AR955" s="271"/>
      <c r="AS955" s="272"/>
      <c r="AT955" s="272"/>
      <c r="AU955" s="214"/>
      <c r="AV955" s="214"/>
    </row>
    <row r="956" ht="15.75" customHeight="1">
      <c r="A956" s="214"/>
      <c r="B956" s="261"/>
      <c r="C956" s="266"/>
      <c r="D956" s="267"/>
      <c r="E956" s="214"/>
      <c r="F956" s="214"/>
      <c r="G956" s="214"/>
      <c r="H956" s="214"/>
      <c r="I956" s="214"/>
      <c r="J956" s="214"/>
      <c r="K956" s="268"/>
      <c r="L956" s="214"/>
      <c r="M956" s="269"/>
      <c r="N956" s="214"/>
      <c r="O956" s="214"/>
      <c r="P956" s="214"/>
      <c r="Q956" s="214"/>
      <c r="R956" s="214"/>
      <c r="S956" s="214"/>
      <c r="T956" s="214"/>
      <c r="U956" s="214"/>
      <c r="V956" s="214"/>
      <c r="W956" s="214"/>
      <c r="X956" s="214"/>
      <c r="Y956" s="261"/>
      <c r="Z956" s="262"/>
      <c r="AA956" s="262"/>
      <c r="AB956" s="270"/>
      <c r="AC956" s="214"/>
      <c r="AD956" s="214"/>
      <c r="AE956" s="214"/>
      <c r="AF956" s="214"/>
      <c r="AG956" s="214"/>
      <c r="AH956" s="214"/>
      <c r="AI956" s="261"/>
      <c r="AJ956" s="214"/>
      <c r="AK956" s="261"/>
      <c r="AL956" s="261"/>
      <c r="AM956" s="264"/>
      <c r="AN956" s="214"/>
      <c r="AO956" s="271"/>
      <c r="AP956" s="271"/>
      <c r="AQ956" s="271"/>
      <c r="AR956" s="271"/>
      <c r="AS956" s="272"/>
      <c r="AT956" s="272"/>
      <c r="AU956" s="214"/>
      <c r="AV956" s="214"/>
    </row>
    <row r="957" ht="15.75" customHeight="1">
      <c r="A957" s="214"/>
      <c r="B957" s="261"/>
      <c r="C957" s="266"/>
      <c r="D957" s="267"/>
      <c r="E957" s="214"/>
      <c r="F957" s="214"/>
      <c r="G957" s="214"/>
      <c r="H957" s="214"/>
      <c r="I957" s="214"/>
      <c r="J957" s="214"/>
      <c r="K957" s="268"/>
      <c r="L957" s="214"/>
      <c r="M957" s="269"/>
      <c r="N957" s="214"/>
      <c r="O957" s="214"/>
      <c r="P957" s="214"/>
      <c r="Q957" s="214"/>
      <c r="R957" s="214"/>
      <c r="S957" s="214"/>
      <c r="T957" s="214"/>
      <c r="U957" s="214"/>
      <c r="V957" s="214"/>
      <c r="W957" s="214"/>
      <c r="X957" s="214"/>
      <c r="Y957" s="261"/>
      <c r="Z957" s="262"/>
      <c r="AA957" s="262"/>
      <c r="AB957" s="270"/>
      <c r="AC957" s="214"/>
      <c r="AD957" s="214"/>
      <c r="AE957" s="214"/>
      <c r="AF957" s="214"/>
      <c r="AG957" s="214"/>
      <c r="AH957" s="214"/>
      <c r="AI957" s="261"/>
      <c r="AJ957" s="214"/>
      <c r="AK957" s="261"/>
      <c r="AL957" s="261"/>
      <c r="AM957" s="264"/>
      <c r="AN957" s="214"/>
      <c r="AO957" s="271"/>
      <c r="AP957" s="271"/>
      <c r="AQ957" s="271"/>
      <c r="AR957" s="271"/>
      <c r="AS957" s="272"/>
      <c r="AT957" s="272"/>
      <c r="AU957" s="214"/>
      <c r="AV957" s="214"/>
    </row>
    <row r="958" ht="15.75" customHeight="1">
      <c r="A958" s="214"/>
      <c r="B958" s="261"/>
      <c r="C958" s="266"/>
      <c r="D958" s="267"/>
      <c r="E958" s="214"/>
      <c r="F958" s="214"/>
      <c r="G958" s="214"/>
      <c r="H958" s="214"/>
      <c r="I958" s="214"/>
      <c r="J958" s="214"/>
      <c r="K958" s="268"/>
      <c r="L958" s="214"/>
      <c r="M958" s="269"/>
      <c r="N958" s="214"/>
      <c r="O958" s="214"/>
      <c r="P958" s="214"/>
      <c r="Q958" s="214"/>
      <c r="R958" s="214"/>
      <c r="S958" s="214"/>
      <c r="T958" s="214"/>
      <c r="U958" s="214"/>
      <c r="V958" s="214"/>
      <c r="W958" s="214"/>
      <c r="X958" s="214"/>
      <c r="Y958" s="261"/>
      <c r="Z958" s="262"/>
      <c r="AA958" s="262"/>
      <c r="AB958" s="270"/>
      <c r="AC958" s="214"/>
      <c r="AD958" s="214"/>
      <c r="AE958" s="214"/>
      <c r="AF958" s="214"/>
      <c r="AG958" s="214"/>
      <c r="AH958" s="214"/>
      <c r="AI958" s="261"/>
      <c r="AJ958" s="214"/>
      <c r="AK958" s="261"/>
      <c r="AL958" s="261"/>
      <c r="AM958" s="264"/>
      <c r="AN958" s="214"/>
      <c r="AO958" s="271"/>
      <c r="AP958" s="271"/>
      <c r="AQ958" s="271"/>
      <c r="AR958" s="271"/>
      <c r="AS958" s="272"/>
      <c r="AT958" s="272"/>
      <c r="AU958" s="214"/>
      <c r="AV958" s="214"/>
    </row>
    <row r="959" ht="15.75" customHeight="1">
      <c r="A959" s="214"/>
      <c r="B959" s="261"/>
      <c r="C959" s="266"/>
      <c r="D959" s="267"/>
      <c r="E959" s="214"/>
      <c r="F959" s="214"/>
      <c r="G959" s="214"/>
      <c r="H959" s="214"/>
      <c r="I959" s="214"/>
      <c r="J959" s="214"/>
      <c r="K959" s="268"/>
      <c r="L959" s="214"/>
      <c r="M959" s="269"/>
      <c r="N959" s="214"/>
      <c r="O959" s="214"/>
      <c r="P959" s="214"/>
      <c r="Q959" s="214"/>
      <c r="R959" s="214"/>
      <c r="S959" s="214"/>
      <c r="T959" s="214"/>
      <c r="U959" s="214"/>
      <c r="V959" s="214"/>
      <c r="W959" s="214"/>
      <c r="X959" s="214"/>
      <c r="Y959" s="261"/>
      <c r="Z959" s="262"/>
      <c r="AA959" s="262"/>
      <c r="AB959" s="270"/>
      <c r="AC959" s="214"/>
      <c r="AD959" s="214"/>
      <c r="AE959" s="214"/>
      <c r="AF959" s="214"/>
      <c r="AG959" s="214"/>
      <c r="AH959" s="214"/>
      <c r="AI959" s="261"/>
      <c r="AJ959" s="214"/>
      <c r="AK959" s="261"/>
      <c r="AL959" s="261"/>
      <c r="AM959" s="264"/>
      <c r="AN959" s="214"/>
      <c r="AO959" s="271"/>
      <c r="AP959" s="271"/>
      <c r="AQ959" s="271"/>
      <c r="AR959" s="271"/>
      <c r="AS959" s="272"/>
      <c r="AT959" s="272"/>
      <c r="AU959" s="214"/>
      <c r="AV959" s="214"/>
    </row>
    <row r="960" ht="15.75" customHeight="1">
      <c r="A960" s="214"/>
      <c r="B960" s="261"/>
      <c r="C960" s="266"/>
      <c r="D960" s="267"/>
      <c r="E960" s="214"/>
      <c r="F960" s="214"/>
      <c r="G960" s="214"/>
      <c r="H960" s="214"/>
      <c r="I960" s="214"/>
      <c r="J960" s="214"/>
      <c r="K960" s="268"/>
      <c r="L960" s="214"/>
      <c r="M960" s="269"/>
      <c r="N960" s="214"/>
      <c r="O960" s="214"/>
      <c r="P960" s="214"/>
      <c r="Q960" s="214"/>
      <c r="R960" s="214"/>
      <c r="S960" s="214"/>
      <c r="T960" s="214"/>
      <c r="U960" s="214"/>
      <c r="V960" s="214"/>
      <c r="W960" s="214"/>
      <c r="X960" s="214"/>
      <c r="Y960" s="261"/>
      <c r="Z960" s="262"/>
      <c r="AA960" s="262"/>
      <c r="AB960" s="270"/>
      <c r="AC960" s="214"/>
      <c r="AD960" s="214"/>
      <c r="AE960" s="214"/>
      <c r="AF960" s="214"/>
      <c r="AG960" s="214"/>
      <c r="AH960" s="214"/>
      <c r="AI960" s="261"/>
      <c r="AJ960" s="214"/>
      <c r="AK960" s="261"/>
      <c r="AL960" s="261"/>
      <c r="AM960" s="264"/>
      <c r="AN960" s="214"/>
      <c r="AO960" s="271"/>
      <c r="AP960" s="271"/>
      <c r="AQ960" s="271"/>
      <c r="AR960" s="271"/>
      <c r="AS960" s="272"/>
      <c r="AT960" s="272"/>
      <c r="AU960" s="214"/>
      <c r="AV960" s="214"/>
    </row>
    <row r="961" ht="15.75" customHeight="1">
      <c r="A961" s="214"/>
      <c r="B961" s="261"/>
      <c r="C961" s="266"/>
      <c r="D961" s="267"/>
      <c r="E961" s="214"/>
      <c r="F961" s="214"/>
      <c r="G961" s="214"/>
      <c r="H961" s="214"/>
      <c r="I961" s="214"/>
      <c r="J961" s="214"/>
      <c r="K961" s="268"/>
      <c r="L961" s="214"/>
      <c r="M961" s="269"/>
      <c r="N961" s="214"/>
      <c r="O961" s="214"/>
      <c r="P961" s="214"/>
      <c r="Q961" s="214"/>
      <c r="R961" s="214"/>
      <c r="S961" s="214"/>
      <c r="T961" s="214"/>
      <c r="U961" s="214"/>
      <c r="V961" s="214"/>
      <c r="W961" s="214"/>
      <c r="X961" s="214"/>
      <c r="Y961" s="261"/>
      <c r="Z961" s="262"/>
      <c r="AA961" s="262"/>
      <c r="AB961" s="270"/>
      <c r="AC961" s="214"/>
      <c r="AD961" s="214"/>
      <c r="AE961" s="214"/>
      <c r="AF961" s="214"/>
      <c r="AG961" s="214"/>
      <c r="AH961" s="214"/>
      <c r="AI961" s="261"/>
      <c r="AJ961" s="214"/>
      <c r="AK961" s="261"/>
      <c r="AL961" s="261"/>
      <c r="AM961" s="264"/>
      <c r="AN961" s="214"/>
      <c r="AO961" s="271"/>
      <c r="AP961" s="271"/>
      <c r="AQ961" s="271"/>
      <c r="AR961" s="271"/>
      <c r="AS961" s="272"/>
      <c r="AT961" s="272"/>
      <c r="AU961" s="214"/>
      <c r="AV961" s="214"/>
    </row>
    <row r="962" ht="15.75" customHeight="1">
      <c r="A962" s="214"/>
      <c r="B962" s="261"/>
      <c r="C962" s="266"/>
      <c r="D962" s="267"/>
      <c r="E962" s="214"/>
      <c r="F962" s="214"/>
      <c r="G962" s="214"/>
      <c r="H962" s="214"/>
      <c r="I962" s="214"/>
      <c r="J962" s="214"/>
      <c r="K962" s="268"/>
      <c r="L962" s="214"/>
      <c r="M962" s="269"/>
      <c r="N962" s="214"/>
      <c r="O962" s="214"/>
      <c r="P962" s="214"/>
      <c r="Q962" s="214"/>
      <c r="R962" s="214"/>
      <c r="S962" s="214"/>
      <c r="T962" s="214"/>
      <c r="U962" s="214"/>
      <c r="V962" s="214"/>
      <c r="W962" s="214"/>
      <c r="X962" s="214"/>
      <c r="Y962" s="261"/>
      <c r="Z962" s="262"/>
      <c r="AA962" s="262"/>
      <c r="AB962" s="270"/>
      <c r="AC962" s="214"/>
      <c r="AD962" s="214"/>
      <c r="AE962" s="214"/>
      <c r="AF962" s="214"/>
      <c r="AG962" s="214"/>
      <c r="AH962" s="214"/>
      <c r="AI962" s="261"/>
      <c r="AJ962" s="214"/>
      <c r="AK962" s="261"/>
      <c r="AL962" s="261"/>
      <c r="AM962" s="264"/>
      <c r="AN962" s="214"/>
      <c r="AO962" s="271"/>
      <c r="AP962" s="271"/>
      <c r="AQ962" s="271"/>
      <c r="AR962" s="271"/>
      <c r="AS962" s="272"/>
      <c r="AT962" s="272"/>
      <c r="AU962" s="214"/>
      <c r="AV962" s="214"/>
    </row>
    <row r="963" ht="15.75" customHeight="1">
      <c r="A963" s="214"/>
      <c r="B963" s="261"/>
      <c r="C963" s="266"/>
      <c r="D963" s="267"/>
      <c r="E963" s="214"/>
      <c r="F963" s="214"/>
      <c r="G963" s="214"/>
      <c r="H963" s="214"/>
      <c r="I963" s="214"/>
      <c r="J963" s="214"/>
      <c r="K963" s="268"/>
      <c r="L963" s="214"/>
      <c r="M963" s="269"/>
      <c r="N963" s="214"/>
      <c r="O963" s="214"/>
      <c r="P963" s="214"/>
      <c r="Q963" s="214"/>
      <c r="R963" s="214"/>
      <c r="S963" s="214"/>
      <c r="T963" s="214"/>
      <c r="U963" s="214"/>
      <c r="V963" s="214"/>
      <c r="W963" s="214"/>
      <c r="X963" s="214"/>
      <c r="Y963" s="261"/>
      <c r="Z963" s="262"/>
      <c r="AA963" s="262"/>
      <c r="AB963" s="270"/>
      <c r="AC963" s="214"/>
      <c r="AD963" s="214"/>
      <c r="AE963" s="214"/>
      <c r="AF963" s="214"/>
      <c r="AG963" s="214"/>
      <c r="AH963" s="214"/>
      <c r="AI963" s="261"/>
      <c r="AJ963" s="214"/>
      <c r="AK963" s="261"/>
      <c r="AL963" s="261"/>
      <c r="AM963" s="264"/>
      <c r="AN963" s="214"/>
      <c r="AO963" s="271"/>
      <c r="AP963" s="271"/>
      <c r="AQ963" s="271"/>
      <c r="AR963" s="271"/>
      <c r="AS963" s="272"/>
      <c r="AT963" s="272"/>
      <c r="AU963" s="214"/>
      <c r="AV963" s="214"/>
    </row>
    <row r="964" ht="15.75" customHeight="1">
      <c r="A964" s="214"/>
      <c r="B964" s="261"/>
      <c r="C964" s="266"/>
      <c r="D964" s="267"/>
      <c r="E964" s="214"/>
      <c r="F964" s="214"/>
      <c r="G964" s="214"/>
      <c r="H964" s="214"/>
      <c r="I964" s="214"/>
      <c r="J964" s="214"/>
      <c r="K964" s="268"/>
      <c r="L964" s="214"/>
      <c r="M964" s="269"/>
      <c r="N964" s="214"/>
      <c r="O964" s="214"/>
      <c r="P964" s="214"/>
      <c r="Q964" s="214"/>
      <c r="R964" s="214"/>
      <c r="S964" s="214"/>
      <c r="T964" s="214"/>
      <c r="U964" s="214"/>
      <c r="V964" s="214"/>
      <c r="W964" s="214"/>
      <c r="X964" s="214"/>
      <c r="Y964" s="261"/>
      <c r="Z964" s="262"/>
      <c r="AA964" s="262"/>
      <c r="AB964" s="270"/>
      <c r="AC964" s="214"/>
      <c r="AD964" s="214"/>
      <c r="AE964" s="214"/>
      <c r="AF964" s="214"/>
      <c r="AG964" s="214"/>
      <c r="AH964" s="214"/>
      <c r="AI964" s="261"/>
      <c r="AJ964" s="214"/>
      <c r="AK964" s="261"/>
      <c r="AL964" s="261"/>
      <c r="AM964" s="264"/>
      <c r="AN964" s="214"/>
      <c r="AO964" s="271"/>
      <c r="AP964" s="271"/>
      <c r="AQ964" s="271"/>
      <c r="AR964" s="271"/>
      <c r="AS964" s="272"/>
      <c r="AT964" s="272"/>
      <c r="AU964" s="214"/>
      <c r="AV964" s="214"/>
    </row>
    <row r="965" ht="15.75" customHeight="1">
      <c r="A965" s="214"/>
      <c r="B965" s="261"/>
      <c r="C965" s="266"/>
      <c r="D965" s="267"/>
      <c r="E965" s="214"/>
      <c r="F965" s="214"/>
      <c r="G965" s="214"/>
      <c r="H965" s="214"/>
      <c r="I965" s="214"/>
      <c r="J965" s="214"/>
      <c r="K965" s="268"/>
      <c r="L965" s="214"/>
      <c r="M965" s="269"/>
      <c r="N965" s="214"/>
      <c r="O965" s="214"/>
      <c r="P965" s="214"/>
      <c r="Q965" s="214"/>
      <c r="R965" s="214"/>
      <c r="S965" s="214"/>
      <c r="T965" s="214"/>
      <c r="U965" s="214"/>
      <c r="V965" s="214"/>
      <c r="W965" s="214"/>
      <c r="X965" s="214"/>
      <c r="Y965" s="261"/>
      <c r="Z965" s="262"/>
      <c r="AA965" s="262"/>
      <c r="AB965" s="270"/>
      <c r="AC965" s="214"/>
      <c r="AD965" s="214"/>
      <c r="AE965" s="214"/>
      <c r="AF965" s="214"/>
      <c r="AG965" s="214"/>
      <c r="AH965" s="214"/>
      <c r="AI965" s="261"/>
      <c r="AJ965" s="214"/>
      <c r="AK965" s="261"/>
      <c r="AL965" s="261"/>
      <c r="AM965" s="264"/>
      <c r="AN965" s="214"/>
      <c r="AO965" s="271"/>
      <c r="AP965" s="271"/>
      <c r="AQ965" s="271"/>
      <c r="AR965" s="271"/>
      <c r="AS965" s="272"/>
      <c r="AT965" s="272"/>
      <c r="AU965" s="214"/>
      <c r="AV965" s="214"/>
    </row>
    <row r="966" ht="15.75" customHeight="1">
      <c r="A966" s="214"/>
      <c r="B966" s="261"/>
      <c r="C966" s="266"/>
      <c r="D966" s="267"/>
      <c r="E966" s="214"/>
      <c r="F966" s="214"/>
      <c r="G966" s="214"/>
      <c r="H966" s="214"/>
      <c r="I966" s="214"/>
      <c r="J966" s="214"/>
      <c r="K966" s="268"/>
      <c r="L966" s="214"/>
      <c r="M966" s="269"/>
      <c r="N966" s="214"/>
      <c r="O966" s="214"/>
      <c r="P966" s="214"/>
      <c r="Q966" s="214"/>
      <c r="R966" s="214"/>
      <c r="S966" s="214"/>
      <c r="T966" s="214"/>
      <c r="U966" s="214"/>
      <c r="V966" s="214"/>
      <c r="W966" s="214"/>
      <c r="X966" s="214"/>
      <c r="Y966" s="261"/>
      <c r="Z966" s="262"/>
      <c r="AA966" s="262"/>
      <c r="AB966" s="270"/>
      <c r="AC966" s="214"/>
      <c r="AD966" s="214"/>
      <c r="AE966" s="214"/>
      <c r="AF966" s="214"/>
      <c r="AG966" s="214"/>
      <c r="AH966" s="214"/>
      <c r="AI966" s="261"/>
      <c r="AJ966" s="214"/>
      <c r="AK966" s="261"/>
      <c r="AL966" s="261"/>
      <c r="AM966" s="264"/>
      <c r="AN966" s="214"/>
      <c r="AO966" s="271"/>
      <c r="AP966" s="271"/>
      <c r="AQ966" s="271"/>
      <c r="AR966" s="271"/>
      <c r="AS966" s="272"/>
      <c r="AT966" s="272"/>
      <c r="AU966" s="214"/>
      <c r="AV966" s="214"/>
    </row>
    <row r="967" ht="15.75" customHeight="1">
      <c r="A967" s="214"/>
      <c r="B967" s="261"/>
      <c r="C967" s="266"/>
      <c r="D967" s="267"/>
      <c r="E967" s="214"/>
      <c r="F967" s="214"/>
      <c r="G967" s="214"/>
      <c r="H967" s="214"/>
      <c r="I967" s="214"/>
      <c r="J967" s="214"/>
      <c r="K967" s="268"/>
      <c r="L967" s="214"/>
      <c r="M967" s="269"/>
      <c r="N967" s="214"/>
      <c r="O967" s="214"/>
      <c r="P967" s="214"/>
      <c r="Q967" s="214"/>
      <c r="R967" s="214"/>
      <c r="S967" s="214"/>
      <c r="T967" s="214"/>
      <c r="U967" s="214"/>
      <c r="V967" s="214"/>
      <c r="W967" s="214"/>
      <c r="X967" s="214"/>
      <c r="Y967" s="261"/>
      <c r="Z967" s="262"/>
      <c r="AA967" s="262"/>
      <c r="AB967" s="270"/>
      <c r="AC967" s="214"/>
      <c r="AD967" s="214"/>
      <c r="AE967" s="214"/>
      <c r="AF967" s="214"/>
      <c r="AG967" s="214"/>
      <c r="AH967" s="214"/>
      <c r="AI967" s="261"/>
      <c r="AJ967" s="214"/>
      <c r="AK967" s="261"/>
      <c r="AL967" s="261"/>
      <c r="AM967" s="264"/>
      <c r="AN967" s="214"/>
      <c r="AO967" s="271"/>
      <c r="AP967" s="271"/>
      <c r="AQ967" s="271"/>
      <c r="AR967" s="271"/>
      <c r="AS967" s="272"/>
      <c r="AT967" s="272"/>
      <c r="AU967" s="214"/>
      <c r="AV967" s="214"/>
    </row>
    <row r="968" ht="15.75" customHeight="1">
      <c r="A968" s="214"/>
      <c r="B968" s="261"/>
      <c r="C968" s="266"/>
      <c r="D968" s="267"/>
      <c r="E968" s="214"/>
      <c r="F968" s="214"/>
      <c r="G968" s="214"/>
      <c r="H968" s="214"/>
      <c r="I968" s="214"/>
      <c r="J968" s="214"/>
      <c r="K968" s="268"/>
      <c r="L968" s="214"/>
      <c r="M968" s="269"/>
      <c r="N968" s="214"/>
      <c r="O968" s="214"/>
      <c r="P968" s="214"/>
      <c r="Q968" s="214"/>
      <c r="R968" s="214"/>
      <c r="S968" s="214"/>
      <c r="T968" s="214"/>
      <c r="U968" s="214"/>
      <c r="V968" s="214"/>
      <c r="W968" s="214"/>
      <c r="X968" s="214"/>
      <c r="Y968" s="261"/>
      <c r="Z968" s="262"/>
      <c r="AA968" s="262"/>
      <c r="AB968" s="270"/>
      <c r="AC968" s="214"/>
      <c r="AD968" s="214"/>
      <c r="AE968" s="214"/>
      <c r="AF968" s="214"/>
      <c r="AG968" s="214"/>
      <c r="AH968" s="214"/>
      <c r="AI968" s="261"/>
      <c r="AJ968" s="214"/>
      <c r="AK968" s="261"/>
      <c r="AL968" s="261"/>
      <c r="AM968" s="264"/>
      <c r="AN968" s="214"/>
      <c r="AO968" s="271"/>
      <c r="AP968" s="271"/>
      <c r="AQ968" s="271"/>
      <c r="AR968" s="271"/>
      <c r="AS968" s="272"/>
      <c r="AT968" s="272"/>
      <c r="AU968" s="214"/>
      <c r="AV968" s="214"/>
    </row>
    <row r="969" ht="15.75" customHeight="1">
      <c r="A969" s="214"/>
      <c r="B969" s="261"/>
      <c r="C969" s="266"/>
      <c r="D969" s="267"/>
      <c r="E969" s="214"/>
      <c r="F969" s="214"/>
      <c r="G969" s="214"/>
      <c r="H969" s="214"/>
      <c r="I969" s="214"/>
      <c r="J969" s="214"/>
      <c r="K969" s="268"/>
      <c r="L969" s="214"/>
      <c r="M969" s="269"/>
      <c r="N969" s="214"/>
      <c r="O969" s="214"/>
      <c r="P969" s="214"/>
      <c r="Q969" s="214"/>
      <c r="R969" s="214"/>
      <c r="S969" s="214"/>
      <c r="T969" s="214"/>
      <c r="U969" s="214"/>
      <c r="V969" s="214"/>
      <c r="W969" s="214"/>
      <c r="X969" s="214"/>
      <c r="Y969" s="261"/>
      <c r="Z969" s="262"/>
      <c r="AA969" s="262"/>
      <c r="AB969" s="270"/>
      <c r="AC969" s="214"/>
      <c r="AD969" s="214"/>
      <c r="AE969" s="214"/>
      <c r="AF969" s="214"/>
      <c r="AG969" s="214"/>
      <c r="AH969" s="214"/>
      <c r="AI969" s="261"/>
      <c r="AJ969" s="214"/>
      <c r="AK969" s="261"/>
      <c r="AL969" s="261"/>
      <c r="AM969" s="264"/>
      <c r="AN969" s="214"/>
      <c r="AO969" s="271"/>
      <c r="AP969" s="271"/>
      <c r="AQ969" s="271"/>
      <c r="AR969" s="271"/>
      <c r="AS969" s="272"/>
      <c r="AT969" s="272"/>
      <c r="AU969" s="214"/>
      <c r="AV969" s="214"/>
    </row>
    <row r="970" ht="15.75" customHeight="1">
      <c r="A970" s="214"/>
      <c r="B970" s="261"/>
      <c r="C970" s="266"/>
      <c r="D970" s="267"/>
      <c r="E970" s="214"/>
      <c r="F970" s="214"/>
      <c r="G970" s="214"/>
      <c r="H970" s="214"/>
      <c r="I970" s="214"/>
      <c r="J970" s="214"/>
      <c r="K970" s="268"/>
      <c r="L970" s="214"/>
      <c r="M970" s="269"/>
      <c r="N970" s="214"/>
      <c r="O970" s="214"/>
      <c r="P970" s="214"/>
      <c r="Q970" s="214"/>
      <c r="R970" s="214"/>
      <c r="S970" s="214"/>
      <c r="T970" s="214"/>
      <c r="U970" s="214"/>
      <c r="V970" s="214"/>
      <c r="W970" s="214"/>
      <c r="X970" s="214"/>
      <c r="Y970" s="261"/>
      <c r="Z970" s="262"/>
      <c r="AA970" s="262"/>
      <c r="AB970" s="270"/>
      <c r="AC970" s="214"/>
      <c r="AD970" s="214"/>
      <c r="AE970" s="214"/>
      <c r="AF970" s="214"/>
      <c r="AG970" s="214"/>
      <c r="AH970" s="214"/>
      <c r="AI970" s="261"/>
      <c r="AJ970" s="214"/>
      <c r="AK970" s="261"/>
      <c r="AL970" s="261"/>
      <c r="AM970" s="264"/>
      <c r="AN970" s="214"/>
      <c r="AO970" s="271"/>
      <c r="AP970" s="271"/>
      <c r="AQ970" s="271"/>
      <c r="AR970" s="271"/>
      <c r="AS970" s="272"/>
      <c r="AT970" s="272"/>
      <c r="AU970" s="214"/>
      <c r="AV970" s="214"/>
    </row>
    <row r="971" ht="15.75" customHeight="1">
      <c r="A971" s="214"/>
      <c r="B971" s="261"/>
      <c r="C971" s="266"/>
      <c r="D971" s="267"/>
      <c r="E971" s="214"/>
      <c r="F971" s="214"/>
      <c r="G971" s="214"/>
      <c r="H971" s="214"/>
      <c r="I971" s="214"/>
      <c r="J971" s="214"/>
      <c r="K971" s="268"/>
      <c r="L971" s="214"/>
      <c r="M971" s="269"/>
      <c r="N971" s="214"/>
      <c r="O971" s="214"/>
      <c r="P971" s="214"/>
      <c r="Q971" s="214"/>
      <c r="R971" s="214"/>
      <c r="S971" s="214"/>
      <c r="T971" s="214"/>
      <c r="U971" s="214"/>
      <c r="V971" s="214"/>
      <c r="W971" s="214"/>
      <c r="X971" s="214"/>
      <c r="Y971" s="261"/>
      <c r="Z971" s="262"/>
      <c r="AA971" s="262"/>
      <c r="AB971" s="270"/>
      <c r="AC971" s="214"/>
      <c r="AD971" s="214"/>
      <c r="AE971" s="214"/>
      <c r="AF971" s="214"/>
      <c r="AG971" s="214"/>
      <c r="AH971" s="214"/>
      <c r="AI971" s="261"/>
      <c r="AJ971" s="214"/>
      <c r="AK971" s="261"/>
      <c r="AL971" s="261"/>
      <c r="AM971" s="264"/>
      <c r="AN971" s="214"/>
      <c r="AO971" s="271"/>
      <c r="AP971" s="271"/>
      <c r="AQ971" s="271"/>
      <c r="AR971" s="271"/>
      <c r="AS971" s="272"/>
      <c r="AT971" s="272"/>
      <c r="AU971" s="214"/>
      <c r="AV971" s="214"/>
    </row>
    <row r="972" ht="15.75" customHeight="1">
      <c r="A972" s="214"/>
      <c r="B972" s="261"/>
      <c r="C972" s="266"/>
      <c r="D972" s="267"/>
      <c r="E972" s="214"/>
      <c r="F972" s="214"/>
      <c r="G972" s="214"/>
      <c r="H972" s="214"/>
      <c r="I972" s="214"/>
      <c r="J972" s="214"/>
      <c r="K972" s="268"/>
      <c r="L972" s="214"/>
      <c r="M972" s="269"/>
      <c r="N972" s="214"/>
      <c r="O972" s="214"/>
      <c r="P972" s="214"/>
      <c r="Q972" s="214"/>
      <c r="R972" s="214"/>
      <c r="S972" s="214"/>
      <c r="T972" s="214"/>
      <c r="U972" s="214"/>
      <c r="V972" s="214"/>
      <c r="W972" s="214"/>
      <c r="X972" s="214"/>
      <c r="Y972" s="261"/>
      <c r="Z972" s="262"/>
      <c r="AA972" s="262"/>
      <c r="AB972" s="270"/>
      <c r="AC972" s="214"/>
      <c r="AD972" s="214"/>
      <c r="AE972" s="214"/>
      <c r="AF972" s="214"/>
      <c r="AG972" s="214"/>
      <c r="AH972" s="214"/>
      <c r="AI972" s="261"/>
      <c r="AJ972" s="214"/>
      <c r="AK972" s="261"/>
      <c r="AL972" s="261"/>
      <c r="AM972" s="264"/>
      <c r="AN972" s="214"/>
      <c r="AO972" s="271"/>
      <c r="AP972" s="271"/>
      <c r="AQ972" s="271"/>
      <c r="AR972" s="271"/>
      <c r="AS972" s="272"/>
      <c r="AT972" s="272"/>
      <c r="AU972" s="214"/>
      <c r="AV972" s="214"/>
    </row>
    <row r="973" ht="15.75" customHeight="1">
      <c r="A973" s="214"/>
      <c r="B973" s="261"/>
      <c r="C973" s="266"/>
      <c r="D973" s="267"/>
      <c r="E973" s="214"/>
      <c r="F973" s="214"/>
      <c r="G973" s="214"/>
      <c r="H973" s="214"/>
      <c r="I973" s="214"/>
      <c r="J973" s="214"/>
      <c r="K973" s="268"/>
      <c r="L973" s="214"/>
      <c r="M973" s="269"/>
      <c r="N973" s="214"/>
      <c r="O973" s="214"/>
      <c r="P973" s="214"/>
      <c r="Q973" s="214"/>
      <c r="R973" s="214"/>
      <c r="S973" s="214"/>
      <c r="T973" s="214"/>
      <c r="U973" s="214"/>
      <c r="V973" s="214"/>
      <c r="W973" s="214"/>
      <c r="X973" s="214"/>
      <c r="Y973" s="261"/>
      <c r="Z973" s="262"/>
      <c r="AA973" s="262"/>
      <c r="AB973" s="270"/>
      <c r="AC973" s="214"/>
      <c r="AD973" s="214"/>
      <c r="AE973" s="214"/>
      <c r="AF973" s="214"/>
      <c r="AG973" s="214"/>
      <c r="AH973" s="214"/>
      <c r="AI973" s="261"/>
      <c r="AJ973" s="214"/>
      <c r="AK973" s="261"/>
      <c r="AL973" s="261"/>
      <c r="AM973" s="264"/>
      <c r="AN973" s="214"/>
      <c r="AO973" s="271"/>
      <c r="AP973" s="271"/>
      <c r="AQ973" s="271"/>
      <c r="AR973" s="271"/>
      <c r="AS973" s="272"/>
      <c r="AT973" s="272"/>
      <c r="AU973" s="214"/>
      <c r="AV973" s="214"/>
    </row>
    <row r="974" ht="15.75" customHeight="1">
      <c r="A974" s="214"/>
      <c r="B974" s="261"/>
      <c r="C974" s="266"/>
      <c r="D974" s="267"/>
      <c r="E974" s="214"/>
      <c r="F974" s="214"/>
      <c r="G974" s="214"/>
      <c r="H974" s="214"/>
      <c r="I974" s="214"/>
      <c r="J974" s="214"/>
      <c r="K974" s="268"/>
      <c r="L974" s="214"/>
      <c r="M974" s="269"/>
      <c r="N974" s="214"/>
      <c r="O974" s="214"/>
      <c r="P974" s="214"/>
      <c r="Q974" s="214"/>
      <c r="R974" s="214"/>
      <c r="S974" s="214"/>
      <c r="T974" s="214"/>
      <c r="U974" s="214"/>
      <c r="V974" s="214"/>
      <c r="W974" s="214"/>
      <c r="X974" s="214"/>
      <c r="Y974" s="261"/>
      <c r="Z974" s="262"/>
      <c r="AA974" s="262"/>
      <c r="AB974" s="270"/>
      <c r="AC974" s="214"/>
      <c r="AD974" s="214"/>
      <c r="AE974" s="214"/>
      <c r="AF974" s="214"/>
      <c r="AG974" s="214"/>
      <c r="AH974" s="214"/>
      <c r="AI974" s="261"/>
      <c r="AJ974" s="214"/>
      <c r="AK974" s="261"/>
      <c r="AL974" s="261"/>
      <c r="AM974" s="264"/>
      <c r="AN974" s="214"/>
      <c r="AO974" s="271"/>
      <c r="AP974" s="271"/>
      <c r="AQ974" s="271"/>
      <c r="AR974" s="271"/>
      <c r="AS974" s="272"/>
      <c r="AT974" s="272"/>
      <c r="AU974" s="214"/>
      <c r="AV974" s="214"/>
    </row>
    <row r="975" ht="15.75" customHeight="1">
      <c r="A975" s="214"/>
      <c r="B975" s="261"/>
      <c r="C975" s="266"/>
      <c r="D975" s="267"/>
      <c r="E975" s="214"/>
      <c r="F975" s="214"/>
      <c r="G975" s="214"/>
      <c r="H975" s="214"/>
      <c r="I975" s="214"/>
      <c r="J975" s="214"/>
      <c r="K975" s="268"/>
      <c r="L975" s="214"/>
      <c r="M975" s="269"/>
      <c r="N975" s="214"/>
      <c r="O975" s="214"/>
      <c r="P975" s="214"/>
      <c r="Q975" s="214"/>
      <c r="R975" s="214"/>
      <c r="S975" s="214"/>
      <c r="T975" s="214"/>
      <c r="U975" s="214"/>
      <c r="V975" s="214"/>
      <c r="W975" s="214"/>
      <c r="X975" s="214"/>
      <c r="Y975" s="261"/>
      <c r="Z975" s="262"/>
      <c r="AA975" s="262"/>
      <c r="AB975" s="270"/>
      <c r="AC975" s="214"/>
      <c r="AD975" s="214"/>
      <c r="AE975" s="214"/>
      <c r="AF975" s="214"/>
      <c r="AG975" s="214"/>
      <c r="AH975" s="214"/>
      <c r="AI975" s="261"/>
      <c r="AJ975" s="214"/>
      <c r="AK975" s="261"/>
      <c r="AL975" s="261"/>
      <c r="AM975" s="264"/>
      <c r="AN975" s="214"/>
      <c r="AO975" s="271"/>
      <c r="AP975" s="271"/>
      <c r="AQ975" s="271"/>
      <c r="AR975" s="271"/>
      <c r="AS975" s="272"/>
      <c r="AT975" s="272"/>
      <c r="AU975" s="214"/>
      <c r="AV975" s="214"/>
    </row>
    <row r="976" ht="15.75" customHeight="1">
      <c r="A976" s="214"/>
      <c r="B976" s="261"/>
      <c r="C976" s="266"/>
      <c r="D976" s="267"/>
      <c r="E976" s="214"/>
      <c r="F976" s="214"/>
      <c r="G976" s="214"/>
      <c r="H976" s="214"/>
      <c r="I976" s="214"/>
      <c r="J976" s="214"/>
      <c r="K976" s="268"/>
      <c r="L976" s="214"/>
      <c r="M976" s="269"/>
      <c r="N976" s="214"/>
      <c r="O976" s="214"/>
      <c r="P976" s="214"/>
      <c r="Q976" s="214"/>
      <c r="R976" s="214"/>
      <c r="S976" s="214"/>
      <c r="T976" s="214"/>
      <c r="U976" s="214"/>
      <c r="V976" s="214"/>
      <c r="W976" s="214"/>
      <c r="X976" s="214"/>
      <c r="Y976" s="261"/>
      <c r="Z976" s="262"/>
      <c r="AA976" s="262"/>
      <c r="AB976" s="270"/>
      <c r="AC976" s="214"/>
      <c r="AD976" s="214"/>
      <c r="AE976" s="214"/>
      <c r="AF976" s="214"/>
      <c r="AG976" s="214"/>
      <c r="AH976" s="214"/>
      <c r="AI976" s="261"/>
      <c r="AJ976" s="214"/>
      <c r="AK976" s="261"/>
      <c r="AL976" s="261"/>
      <c r="AM976" s="264"/>
      <c r="AN976" s="214"/>
      <c r="AO976" s="271"/>
      <c r="AP976" s="271"/>
      <c r="AQ976" s="271"/>
      <c r="AR976" s="271"/>
      <c r="AS976" s="272"/>
      <c r="AT976" s="272"/>
      <c r="AU976" s="214"/>
      <c r="AV976" s="214"/>
    </row>
    <row r="977" ht="15.75" customHeight="1">
      <c r="A977" s="214"/>
      <c r="B977" s="261"/>
      <c r="C977" s="266"/>
      <c r="D977" s="267"/>
      <c r="E977" s="214"/>
      <c r="F977" s="214"/>
      <c r="G977" s="214"/>
      <c r="H977" s="214"/>
      <c r="I977" s="214"/>
      <c r="J977" s="214"/>
      <c r="K977" s="268"/>
      <c r="L977" s="214"/>
      <c r="M977" s="269"/>
      <c r="N977" s="214"/>
      <c r="O977" s="214"/>
      <c r="P977" s="214"/>
      <c r="Q977" s="214"/>
      <c r="R977" s="214"/>
      <c r="S977" s="214"/>
      <c r="T977" s="214"/>
      <c r="U977" s="214"/>
      <c r="V977" s="214"/>
      <c r="W977" s="214"/>
      <c r="X977" s="214"/>
      <c r="Y977" s="261"/>
      <c r="Z977" s="262"/>
      <c r="AA977" s="262"/>
      <c r="AB977" s="270"/>
      <c r="AC977" s="214"/>
      <c r="AD977" s="214"/>
      <c r="AE977" s="214"/>
      <c r="AF977" s="214"/>
      <c r="AG977" s="214"/>
      <c r="AH977" s="214"/>
      <c r="AI977" s="261"/>
      <c r="AJ977" s="214"/>
      <c r="AK977" s="261"/>
      <c r="AL977" s="261"/>
      <c r="AM977" s="264"/>
      <c r="AN977" s="214"/>
      <c r="AO977" s="271"/>
      <c r="AP977" s="271"/>
      <c r="AQ977" s="271"/>
      <c r="AR977" s="271"/>
      <c r="AS977" s="272"/>
      <c r="AT977" s="272"/>
      <c r="AU977" s="214"/>
      <c r="AV977" s="214"/>
    </row>
    <row r="978" ht="15.75" customHeight="1">
      <c r="A978" s="214"/>
      <c r="B978" s="261"/>
      <c r="C978" s="266"/>
      <c r="D978" s="267"/>
      <c r="E978" s="214"/>
      <c r="F978" s="214"/>
      <c r="G978" s="214"/>
      <c r="H978" s="214"/>
      <c r="I978" s="214"/>
      <c r="J978" s="214"/>
      <c r="K978" s="268"/>
      <c r="L978" s="214"/>
      <c r="M978" s="269"/>
      <c r="N978" s="214"/>
      <c r="O978" s="214"/>
      <c r="P978" s="214"/>
      <c r="Q978" s="214"/>
      <c r="R978" s="214"/>
      <c r="S978" s="214"/>
      <c r="T978" s="214"/>
      <c r="U978" s="214"/>
      <c r="V978" s="214"/>
      <c r="W978" s="214"/>
      <c r="X978" s="214"/>
      <c r="Y978" s="261"/>
      <c r="Z978" s="262"/>
      <c r="AA978" s="262"/>
      <c r="AB978" s="270"/>
      <c r="AC978" s="214"/>
      <c r="AD978" s="214"/>
      <c r="AE978" s="214"/>
      <c r="AF978" s="214"/>
      <c r="AG978" s="214"/>
      <c r="AH978" s="214"/>
      <c r="AI978" s="261"/>
      <c r="AJ978" s="214"/>
      <c r="AK978" s="261"/>
      <c r="AL978" s="261"/>
      <c r="AM978" s="264"/>
      <c r="AN978" s="214"/>
      <c r="AO978" s="271"/>
      <c r="AP978" s="271"/>
      <c r="AQ978" s="271"/>
      <c r="AR978" s="271"/>
      <c r="AS978" s="272"/>
      <c r="AT978" s="272"/>
      <c r="AU978" s="214"/>
      <c r="AV978" s="214"/>
    </row>
    <row r="979" ht="15.75" customHeight="1">
      <c r="A979" s="214"/>
      <c r="B979" s="261"/>
      <c r="C979" s="266"/>
      <c r="D979" s="267"/>
      <c r="E979" s="214"/>
      <c r="F979" s="214"/>
      <c r="G979" s="214"/>
      <c r="H979" s="214"/>
      <c r="I979" s="214"/>
      <c r="J979" s="214"/>
      <c r="K979" s="268"/>
      <c r="L979" s="214"/>
      <c r="M979" s="269"/>
      <c r="N979" s="214"/>
      <c r="O979" s="214"/>
      <c r="P979" s="214"/>
      <c r="Q979" s="214"/>
      <c r="R979" s="214"/>
      <c r="S979" s="214"/>
      <c r="T979" s="214"/>
      <c r="U979" s="214"/>
      <c r="V979" s="214"/>
      <c r="W979" s="214"/>
      <c r="X979" s="214"/>
      <c r="Y979" s="261"/>
      <c r="Z979" s="262"/>
      <c r="AA979" s="262"/>
      <c r="AB979" s="270"/>
      <c r="AC979" s="214"/>
      <c r="AD979" s="214"/>
      <c r="AE979" s="214"/>
      <c r="AF979" s="214"/>
      <c r="AG979" s="214"/>
      <c r="AH979" s="214"/>
      <c r="AI979" s="261"/>
      <c r="AJ979" s="214"/>
      <c r="AK979" s="261"/>
      <c r="AL979" s="261"/>
      <c r="AM979" s="264"/>
      <c r="AN979" s="214"/>
      <c r="AO979" s="271"/>
      <c r="AP979" s="271"/>
      <c r="AQ979" s="271"/>
      <c r="AR979" s="271"/>
      <c r="AS979" s="272"/>
      <c r="AT979" s="272"/>
      <c r="AU979" s="214"/>
      <c r="AV979" s="214"/>
    </row>
    <row r="980" ht="15.75" customHeight="1">
      <c r="A980" s="214"/>
      <c r="B980" s="261"/>
      <c r="C980" s="266"/>
      <c r="D980" s="267"/>
      <c r="E980" s="214"/>
      <c r="F980" s="214"/>
      <c r="G980" s="214"/>
      <c r="H980" s="214"/>
      <c r="I980" s="214"/>
      <c r="J980" s="214"/>
      <c r="K980" s="268"/>
      <c r="L980" s="214"/>
      <c r="M980" s="269"/>
      <c r="N980" s="214"/>
      <c r="O980" s="214"/>
      <c r="P980" s="214"/>
      <c r="Q980" s="214"/>
      <c r="R980" s="214"/>
      <c r="S980" s="214"/>
      <c r="T980" s="214"/>
      <c r="U980" s="214"/>
      <c r="V980" s="214"/>
      <c r="W980" s="214"/>
      <c r="X980" s="214"/>
      <c r="Y980" s="261"/>
      <c r="Z980" s="262"/>
      <c r="AA980" s="262"/>
      <c r="AB980" s="270"/>
      <c r="AC980" s="214"/>
      <c r="AD980" s="214"/>
      <c r="AE980" s="214"/>
      <c r="AF980" s="214"/>
      <c r="AG980" s="214"/>
      <c r="AH980" s="214"/>
      <c r="AI980" s="261"/>
      <c r="AJ980" s="214"/>
      <c r="AK980" s="261"/>
      <c r="AL980" s="261"/>
      <c r="AM980" s="264"/>
      <c r="AN980" s="214"/>
      <c r="AO980" s="271"/>
      <c r="AP980" s="271"/>
      <c r="AQ980" s="271"/>
      <c r="AR980" s="271"/>
      <c r="AS980" s="272"/>
      <c r="AT980" s="272"/>
      <c r="AU980" s="214"/>
      <c r="AV980" s="214"/>
    </row>
    <row r="981" ht="15.75" customHeight="1">
      <c r="A981" s="214"/>
      <c r="B981" s="261"/>
      <c r="C981" s="266"/>
      <c r="D981" s="267"/>
      <c r="E981" s="214"/>
      <c r="F981" s="214"/>
      <c r="G981" s="214"/>
      <c r="H981" s="214"/>
      <c r="I981" s="214"/>
      <c r="J981" s="214"/>
      <c r="K981" s="268"/>
      <c r="L981" s="214"/>
      <c r="M981" s="269"/>
      <c r="N981" s="214"/>
      <c r="O981" s="214"/>
      <c r="P981" s="214"/>
      <c r="Q981" s="214"/>
      <c r="R981" s="214"/>
      <c r="S981" s="214"/>
      <c r="T981" s="214"/>
      <c r="U981" s="214"/>
      <c r="V981" s="214"/>
      <c r="W981" s="214"/>
      <c r="X981" s="214"/>
      <c r="Y981" s="261"/>
      <c r="Z981" s="262"/>
      <c r="AA981" s="262"/>
      <c r="AB981" s="270"/>
      <c r="AC981" s="214"/>
      <c r="AD981" s="214"/>
      <c r="AE981" s="214"/>
      <c r="AF981" s="214"/>
      <c r="AG981" s="214"/>
      <c r="AH981" s="214"/>
      <c r="AI981" s="261"/>
      <c r="AJ981" s="214"/>
      <c r="AK981" s="261"/>
      <c r="AL981" s="261"/>
      <c r="AM981" s="264"/>
      <c r="AN981" s="214"/>
      <c r="AO981" s="271"/>
      <c r="AP981" s="271"/>
      <c r="AQ981" s="271"/>
      <c r="AR981" s="271"/>
      <c r="AS981" s="272"/>
      <c r="AT981" s="272"/>
      <c r="AU981" s="214"/>
      <c r="AV981" s="214"/>
    </row>
    <row r="982" ht="15.75" customHeight="1">
      <c r="A982" s="214"/>
      <c r="B982" s="261"/>
      <c r="C982" s="266"/>
      <c r="D982" s="267"/>
      <c r="E982" s="214"/>
      <c r="F982" s="214"/>
      <c r="G982" s="214"/>
      <c r="H982" s="214"/>
      <c r="I982" s="214"/>
      <c r="J982" s="214"/>
      <c r="K982" s="268"/>
      <c r="L982" s="214"/>
      <c r="M982" s="269"/>
      <c r="N982" s="214"/>
      <c r="O982" s="214"/>
      <c r="P982" s="214"/>
      <c r="Q982" s="214"/>
      <c r="R982" s="214"/>
      <c r="S982" s="214"/>
      <c r="T982" s="214"/>
      <c r="U982" s="214"/>
      <c r="V982" s="214"/>
      <c r="W982" s="214"/>
      <c r="X982" s="214"/>
      <c r="Y982" s="261"/>
      <c r="Z982" s="262"/>
      <c r="AA982" s="262"/>
      <c r="AB982" s="270"/>
      <c r="AC982" s="214"/>
      <c r="AD982" s="214"/>
      <c r="AE982" s="214"/>
      <c r="AF982" s="214"/>
      <c r="AG982" s="214"/>
      <c r="AH982" s="214"/>
      <c r="AI982" s="261"/>
      <c r="AJ982" s="214"/>
      <c r="AK982" s="261"/>
      <c r="AL982" s="261"/>
      <c r="AM982" s="264"/>
      <c r="AN982" s="214"/>
      <c r="AO982" s="271"/>
      <c r="AP982" s="271"/>
      <c r="AQ982" s="271"/>
      <c r="AR982" s="271"/>
      <c r="AS982" s="272"/>
      <c r="AT982" s="272"/>
      <c r="AU982" s="214"/>
      <c r="AV982" s="214"/>
    </row>
    <row r="983" ht="15.75" customHeight="1">
      <c r="A983" s="214"/>
      <c r="B983" s="261"/>
      <c r="C983" s="266"/>
      <c r="D983" s="267"/>
      <c r="E983" s="214"/>
      <c r="F983" s="214"/>
      <c r="G983" s="214"/>
      <c r="H983" s="214"/>
      <c r="I983" s="214"/>
      <c r="J983" s="214"/>
      <c r="K983" s="268"/>
      <c r="L983" s="214"/>
      <c r="M983" s="269"/>
      <c r="N983" s="214"/>
      <c r="O983" s="214"/>
      <c r="P983" s="214"/>
      <c r="Q983" s="214"/>
      <c r="R983" s="214"/>
      <c r="S983" s="214"/>
      <c r="T983" s="214"/>
      <c r="U983" s="214"/>
      <c r="V983" s="214"/>
      <c r="W983" s="214"/>
      <c r="X983" s="214"/>
      <c r="Y983" s="261"/>
      <c r="Z983" s="262"/>
      <c r="AA983" s="262"/>
      <c r="AB983" s="270"/>
      <c r="AC983" s="214"/>
      <c r="AD983" s="214"/>
      <c r="AE983" s="214"/>
      <c r="AF983" s="214"/>
      <c r="AG983" s="214"/>
      <c r="AH983" s="214"/>
      <c r="AI983" s="261"/>
      <c r="AJ983" s="214"/>
      <c r="AK983" s="261"/>
      <c r="AL983" s="261"/>
      <c r="AM983" s="264"/>
      <c r="AN983" s="214"/>
      <c r="AO983" s="271"/>
      <c r="AP983" s="271"/>
      <c r="AQ983" s="271"/>
      <c r="AR983" s="271"/>
      <c r="AS983" s="272"/>
      <c r="AT983" s="272"/>
      <c r="AU983" s="214"/>
      <c r="AV983" s="214"/>
    </row>
    <row r="984" ht="15.75" customHeight="1">
      <c r="A984" s="214"/>
      <c r="B984" s="261"/>
      <c r="C984" s="266"/>
      <c r="D984" s="267"/>
      <c r="E984" s="214"/>
      <c r="F984" s="214"/>
      <c r="G984" s="214"/>
      <c r="H984" s="214"/>
      <c r="I984" s="214"/>
      <c r="J984" s="214"/>
      <c r="K984" s="268"/>
      <c r="L984" s="214"/>
      <c r="M984" s="269"/>
      <c r="N984" s="214"/>
      <c r="O984" s="214"/>
      <c r="P984" s="214"/>
      <c r="Q984" s="214"/>
      <c r="R984" s="214"/>
      <c r="S984" s="214"/>
      <c r="T984" s="214"/>
      <c r="U984" s="214"/>
      <c r="V984" s="214"/>
      <c r="W984" s="214"/>
      <c r="X984" s="214"/>
      <c r="Y984" s="261"/>
      <c r="Z984" s="262"/>
      <c r="AA984" s="262"/>
      <c r="AB984" s="270"/>
      <c r="AC984" s="214"/>
      <c r="AD984" s="214"/>
      <c r="AE984" s="214"/>
      <c r="AF984" s="214"/>
      <c r="AG984" s="214"/>
      <c r="AH984" s="214"/>
      <c r="AI984" s="261"/>
      <c r="AJ984" s="214"/>
      <c r="AK984" s="261"/>
      <c r="AL984" s="261"/>
      <c r="AM984" s="264"/>
      <c r="AN984" s="214"/>
      <c r="AO984" s="271"/>
      <c r="AP984" s="271"/>
      <c r="AQ984" s="271"/>
      <c r="AR984" s="271"/>
      <c r="AS984" s="272"/>
      <c r="AT984" s="272"/>
      <c r="AU984" s="214"/>
      <c r="AV984" s="214"/>
    </row>
    <row r="985" ht="15.75" customHeight="1">
      <c r="A985" s="214"/>
      <c r="B985" s="261"/>
      <c r="C985" s="266"/>
      <c r="D985" s="267"/>
      <c r="E985" s="214"/>
      <c r="F985" s="214"/>
      <c r="G985" s="214"/>
      <c r="H985" s="214"/>
      <c r="I985" s="214"/>
      <c r="J985" s="214"/>
      <c r="K985" s="268"/>
      <c r="L985" s="214"/>
      <c r="M985" s="269"/>
      <c r="N985" s="214"/>
      <c r="O985" s="214"/>
      <c r="P985" s="214"/>
      <c r="Q985" s="214"/>
      <c r="R985" s="214"/>
      <c r="S985" s="214"/>
      <c r="T985" s="214"/>
      <c r="U985" s="214"/>
      <c r="V985" s="214"/>
      <c r="W985" s="214"/>
      <c r="X985" s="214"/>
      <c r="Y985" s="261"/>
      <c r="Z985" s="262"/>
      <c r="AA985" s="262"/>
      <c r="AB985" s="270"/>
      <c r="AC985" s="214"/>
      <c r="AD985" s="214"/>
      <c r="AE985" s="214"/>
      <c r="AF985" s="214"/>
      <c r="AG985" s="214"/>
      <c r="AH985" s="214"/>
      <c r="AI985" s="261"/>
      <c r="AJ985" s="214"/>
      <c r="AK985" s="261"/>
      <c r="AL985" s="261"/>
      <c r="AM985" s="264"/>
      <c r="AN985" s="214"/>
      <c r="AO985" s="271"/>
      <c r="AP985" s="271"/>
      <c r="AQ985" s="271"/>
      <c r="AR985" s="271"/>
      <c r="AS985" s="272"/>
      <c r="AT985" s="272"/>
      <c r="AU985" s="214"/>
      <c r="AV985" s="214"/>
    </row>
    <row r="986" ht="15.75" customHeight="1">
      <c r="A986" s="214"/>
      <c r="B986" s="261"/>
      <c r="C986" s="266"/>
      <c r="D986" s="267"/>
      <c r="E986" s="214"/>
      <c r="F986" s="214"/>
      <c r="G986" s="214"/>
      <c r="H986" s="214"/>
      <c r="I986" s="214"/>
      <c r="J986" s="214"/>
      <c r="K986" s="268"/>
      <c r="L986" s="214"/>
      <c r="M986" s="269"/>
      <c r="N986" s="214"/>
      <c r="O986" s="214"/>
      <c r="P986" s="214"/>
      <c r="Q986" s="214"/>
      <c r="R986" s="214"/>
      <c r="S986" s="214"/>
      <c r="T986" s="214"/>
      <c r="U986" s="214"/>
      <c r="V986" s="214"/>
      <c r="W986" s="214"/>
      <c r="X986" s="214"/>
      <c r="Y986" s="261"/>
      <c r="Z986" s="262"/>
      <c r="AA986" s="262"/>
      <c r="AB986" s="270"/>
      <c r="AC986" s="214"/>
      <c r="AD986" s="214"/>
      <c r="AE986" s="214"/>
      <c r="AF986" s="214"/>
      <c r="AG986" s="214"/>
      <c r="AH986" s="214"/>
      <c r="AI986" s="261"/>
      <c r="AJ986" s="214"/>
      <c r="AK986" s="261"/>
      <c r="AL986" s="261"/>
      <c r="AM986" s="264"/>
      <c r="AN986" s="214"/>
      <c r="AO986" s="271"/>
      <c r="AP986" s="271"/>
      <c r="AQ986" s="271"/>
      <c r="AR986" s="271"/>
      <c r="AS986" s="272"/>
      <c r="AT986" s="272"/>
      <c r="AU986" s="214"/>
      <c r="AV986" s="214"/>
    </row>
    <row r="987" ht="15.75" customHeight="1">
      <c r="A987" s="214"/>
      <c r="B987" s="261"/>
      <c r="C987" s="266"/>
      <c r="D987" s="267"/>
      <c r="E987" s="214"/>
      <c r="F987" s="214"/>
      <c r="G987" s="214"/>
      <c r="H987" s="214"/>
      <c r="I987" s="214"/>
      <c r="J987" s="214"/>
      <c r="K987" s="268"/>
      <c r="L987" s="214"/>
      <c r="M987" s="269"/>
      <c r="N987" s="214"/>
      <c r="O987" s="214"/>
      <c r="P987" s="214"/>
      <c r="Q987" s="214"/>
      <c r="R987" s="214"/>
      <c r="S987" s="214"/>
      <c r="T987" s="214"/>
      <c r="U987" s="214"/>
      <c r="V987" s="214"/>
      <c r="W987" s="214"/>
      <c r="X987" s="214"/>
      <c r="Y987" s="261"/>
      <c r="Z987" s="262"/>
      <c r="AA987" s="262"/>
      <c r="AB987" s="270"/>
      <c r="AC987" s="214"/>
      <c r="AD987" s="214"/>
      <c r="AE987" s="214"/>
      <c r="AF987" s="214"/>
      <c r="AG987" s="214"/>
      <c r="AH987" s="214"/>
      <c r="AI987" s="261"/>
      <c r="AJ987" s="214"/>
      <c r="AK987" s="261"/>
      <c r="AL987" s="261"/>
      <c r="AM987" s="264"/>
      <c r="AN987" s="214"/>
      <c r="AO987" s="271"/>
      <c r="AP987" s="271"/>
      <c r="AQ987" s="271"/>
      <c r="AR987" s="271"/>
      <c r="AS987" s="272"/>
      <c r="AT987" s="272"/>
      <c r="AU987" s="214"/>
      <c r="AV987" s="214"/>
    </row>
    <row r="988" ht="15.75" customHeight="1">
      <c r="A988" s="214"/>
      <c r="B988" s="261"/>
      <c r="C988" s="266"/>
      <c r="D988" s="267"/>
      <c r="E988" s="214"/>
      <c r="F988" s="214"/>
      <c r="G988" s="214"/>
      <c r="H988" s="214"/>
      <c r="I988" s="214"/>
      <c r="J988" s="214"/>
      <c r="K988" s="268"/>
      <c r="L988" s="214"/>
      <c r="M988" s="269"/>
      <c r="N988" s="214"/>
      <c r="O988" s="214"/>
      <c r="P988" s="214"/>
      <c r="Q988" s="214"/>
      <c r="R988" s="214"/>
      <c r="S988" s="214"/>
      <c r="T988" s="214"/>
      <c r="U988" s="214"/>
      <c r="V988" s="214"/>
      <c r="W988" s="214"/>
      <c r="X988" s="214"/>
      <c r="Y988" s="261"/>
      <c r="Z988" s="262"/>
      <c r="AA988" s="262"/>
      <c r="AB988" s="270"/>
      <c r="AC988" s="214"/>
      <c r="AD988" s="214"/>
      <c r="AE988" s="214"/>
      <c r="AF988" s="214"/>
      <c r="AG988" s="214"/>
      <c r="AH988" s="214"/>
      <c r="AI988" s="261"/>
      <c r="AJ988" s="214"/>
      <c r="AK988" s="261"/>
      <c r="AL988" s="261"/>
      <c r="AM988" s="264"/>
      <c r="AN988" s="214"/>
      <c r="AO988" s="271"/>
      <c r="AP988" s="271"/>
      <c r="AQ988" s="271"/>
      <c r="AR988" s="271"/>
      <c r="AS988" s="272"/>
      <c r="AT988" s="272"/>
      <c r="AU988" s="214"/>
      <c r="AV988" s="214"/>
    </row>
    <row r="989" ht="15.75" customHeight="1">
      <c r="A989" s="214"/>
      <c r="B989" s="261"/>
      <c r="C989" s="266"/>
      <c r="D989" s="267"/>
      <c r="E989" s="214"/>
      <c r="F989" s="214"/>
      <c r="G989" s="214"/>
      <c r="H989" s="214"/>
      <c r="I989" s="214"/>
      <c r="J989" s="214"/>
      <c r="K989" s="268"/>
      <c r="L989" s="214"/>
      <c r="M989" s="269"/>
      <c r="N989" s="214"/>
      <c r="O989" s="214"/>
      <c r="P989" s="214"/>
      <c r="Q989" s="214"/>
      <c r="R989" s="214"/>
      <c r="S989" s="214"/>
      <c r="T989" s="214"/>
      <c r="U989" s="214"/>
      <c r="V989" s="214"/>
      <c r="W989" s="214"/>
      <c r="X989" s="214"/>
      <c r="Y989" s="261"/>
      <c r="Z989" s="262"/>
      <c r="AA989" s="262"/>
      <c r="AB989" s="270"/>
      <c r="AC989" s="214"/>
      <c r="AD989" s="214"/>
      <c r="AE989" s="214"/>
      <c r="AF989" s="214"/>
      <c r="AG989" s="214"/>
      <c r="AH989" s="214"/>
      <c r="AI989" s="261"/>
      <c r="AJ989" s="214"/>
      <c r="AK989" s="261"/>
      <c r="AL989" s="261"/>
      <c r="AM989" s="264"/>
      <c r="AN989" s="214"/>
      <c r="AO989" s="271"/>
      <c r="AP989" s="271"/>
      <c r="AQ989" s="271"/>
      <c r="AR989" s="271"/>
      <c r="AS989" s="272"/>
      <c r="AT989" s="272"/>
      <c r="AU989" s="214"/>
      <c r="AV989" s="214"/>
    </row>
    <row r="990" ht="15.75" customHeight="1">
      <c r="A990" s="214"/>
      <c r="B990" s="261"/>
      <c r="C990" s="266"/>
      <c r="D990" s="267"/>
      <c r="E990" s="214"/>
      <c r="F990" s="214"/>
      <c r="G990" s="214"/>
      <c r="H990" s="214"/>
      <c r="I990" s="214"/>
      <c r="J990" s="214"/>
      <c r="K990" s="268"/>
      <c r="L990" s="214"/>
      <c r="M990" s="269"/>
      <c r="N990" s="214"/>
      <c r="O990" s="214"/>
      <c r="P990" s="214"/>
      <c r="Q990" s="214"/>
      <c r="R990" s="214"/>
      <c r="S990" s="214"/>
      <c r="T990" s="214"/>
      <c r="U990" s="214"/>
      <c r="V990" s="214"/>
      <c r="W990" s="214"/>
      <c r="X990" s="214"/>
      <c r="Y990" s="261"/>
      <c r="Z990" s="262"/>
      <c r="AA990" s="262"/>
      <c r="AB990" s="270"/>
      <c r="AC990" s="214"/>
      <c r="AD990" s="214"/>
      <c r="AE990" s="214"/>
      <c r="AF990" s="214"/>
      <c r="AG990" s="214"/>
      <c r="AH990" s="214"/>
      <c r="AI990" s="261"/>
      <c r="AJ990" s="214"/>
      <c r="AK990" s="261"/>
      <c r="AL990" s="261"/>
      <c r="AM990" s="264"/>
      <c r="AN990" s="214"/>
      <c r="AO990" s="271"/>
      <c r="AP990" s="271"/>
      <c r="AQ990" s="271"/>
      <c r="AR990" s="271"/>
      <c r="AS990" s="272"/>
      <c r="AT990" s="272"/>
      <c r="AU990" s="214"/>
      <c r="AV990" s="214"/>
    </row>
    <row r="991" ht="15.75" customHeight="1">
      <c r="A991" s="214"/>
      <c r="B991" s="261"/>
      <c r="C991" s="266"/>
      <c r="D991" s="267"/>
      <c r="E991" s="214"/>
      <c r="F991" s="214"/>
      <c r="G991" s="214"/>
      <c r="H991" s="214"/>
      <c r="I991" s="214"/>
      <c r="J991" s="214"/>
      <c r="K991" s="268"/>
      <c r="L991" s="214"/>
      <c r="M991" s="269"/>
      <c r="N991" s="214"/>
      <c r="O991" s="214"/>
      <c r="P991" s="214"/>
      <c r="Q991" s="214"/>
      <c r="R991" s="214"/>
      <c r="S991" s="214"/>
      <c r="T991" s="214"/>
      <c r="U991" s="214"/>
      <c r="V991" s="214"/>
      <c r="W991" s="214"/>
      <c r="X991" s="214"/>
      <c r="Y991" s="261"/>
      <c r="Z991" s="262"/>
      <c r="AA991" s="262"/>
      <c r="AB991" s="270"/>
      <c r="AC991" s="214"/>
      <c r="AD991" s="214"/>
      <c r="AE991" s="214"/>
      <c r="AF991" s="214"/>
      <c r="AG991" s="214"/>
      <c r="AH991" s="214"/>
      <c r="AI991" s="261"/>
      <c r="AJ991" s="214"/>
      <c r="AK991" s="261"/>
      <c r="AL991" s="261"/>
      <c r="AM991" s="264"/>
      <c r="AN991" s="214"/>
      <c r="AO991" s="271"/>
      <c r="AP991" s="271"/>
      <c r="AQ991" s="271"/>
      <c r="AR991" s="271"/>
      <c r="AS991" s="272"/>
      <c r="AT991" s="272"/>
      <c r="AU991" s="214"/>
      <c r="AV991" s="214"/>
    </row>
    <row r="992" ht="15.75" customHeight="1">
      <c r="A992" s="214"/>
      <c r="B992" s="261"/>
      <c r="C992" s="266"/>
      <c r="D992" s="267"/>
      <c r="E992" s="214"/>
      <c r="F992" s="214"/>
      <c r="G992" s="214"/>
      <c r="H992" s="214"/>
      <c r="I992" s="214"/>
      <c r="J992" s="214"/>
      <c r="K992" s="268"/>
      <c r="L992" s="214"/>
      <c r="M992" s="269"/>
      <c r="N992" s="214"/>
      <c r="O992" s="214"/>
      <c r="P992" s="214"/>
      <c r="Q992" s="214"/>
      <c r="R992" s="214"/>
      <c r="S992" s="214"/>
      <c r="T992" s="214"/>
      <c r="U992" s="214"/>
      <c r="V992" s="214"/>
      <c r="W992" s="214"/>
      <c r="X992" s="214"/>
      <c r="Y992" s="261"/>
      <c r="Z992" s="262"/>
      <c r="AA992" s="262"/>
      <c r="AB992" s="270"/>
      <c r="AC992" s="214"/>
      <c r="AD992" s="214"/>
      <c r="AE992" s="214"/>
      <c r="AF992" s="214"/>
      <c r="AG992" s="214"/>
      <c r="AH992" s="214"/>
      <c r="AI992" s="261"/>
      <c r="AJ992" s="214"/>
      <c r="AK992" s="261"/>
      <c r="AL992" s="261"/>
      <c r="AM992" s="264"/>
      <c r="AN992" s="214"/>
      <c r="AO992" s="271"/>
      <c r="AP992" s="271"/>
      <c r="AQ992" s="271"/>
      <c r="AR992" s="271"/>
      <c r="AS992" s="272"/>
      <c r="AT992" s="272"/>
      <c r="AU992" s="214"/>
      <c r="AV992" s="214"/>
    </row>
    <row r="993" ht="15.75" customHeight="1">
      <c r="A993" s="214"/>
      <c r="B993" s="261"/>
      <c r="C993" s="266"/>
      <c r="D993" s="267"/>
      <c r="E993" s="214"/>
      <c r="F993" s="214"/>
      <c r="G993" s="214"/>
      <c r="H993" s="214"/>
      <c r="I993" s="214"/>
      <c r="J993" s="214"/>
      <c r="K993" s="268"/>
      <c r="L993" s="214"/>
      <c r="M993" s="269"/>
      <c r="N993" s="214"/>
      <c r="O993" s="214"/>
      <c r="P993" s="214"/>
      <c r="Q993" s="214"/>
      <c r="R993" s="214"/>
      <c r="S993" s="214"/>
      <c r="T993" s="214"/>
      <c r="U993" s="214"/>
      <c r="V993" s="214"/>
      <c r="W993" s="214"/>
      <c r="X993" s="214"/>
      <c r="Y993" s="261"/>
      <c r="Z993" s="262"/>
      <c r="AA993" s="262"/>
      <c r="AB993" s="270"/>
      <c r="AC993" s="214"/>
      <c r="AD993" s="214"/>
      <c r="AE993" s="214"/>
      <c r="AF993" s="214"/>
      <c r="AG993" s="214"/>
      <c r="AH993" s="214"/>
      <c r="AI993" s="261"/>
      <c r="AJ993" s="214"/>
      <c r="AK993" s="261"/>
      <c r="AL993" s="261"/>
      <c r="AM993" s="264"/>
      <c r="AN993" s="214"/>
      <c r="AO993" s="271"/>
      <c r="AP993" s="271"/>
      <c r="AQ993" s="271"/>
      <c r="AR993" s="271"/>
      <c r="AS993" s="272"/>
      <c r="AT993" s="272"/>
      <c r="AU993" s="214"/>
      <c r="AV993" s="214"/>
    </row>
    <row r="994" ht="15.75" customHeight="1">
      <c r="A994" s="214"/>
      <c r="B994" s="261"/>
      <c r="C994" s="266"/>
      <c r="D994" s="267"/>
      <c r="E994" s="214"/>
      <c r="F994" s="214"/>
      <c r="G994" s="214"/>
      <c r="H994" s="214"/>
      <c r="I994" s="214"/>
      <c r="J994" s="214"/>
      <c r="K994" s="268"/>
      <c r="L994" s="214"/>
      <c r="M994" s="269"/>
      <c r="N994" s="214"/>
      <c r="O994" s="214"/>
      <c r="P994" s="214"/>
      <c r="Q994" s="214"/>
      <c r="R994" s="214"/>
      <c r="S994" s="214"/>
      <c r="T994" s="214"/>
      <c r="U994" s="214"/>
      <c r="V994" s="214"/>
      <c r="W994" s="214"/>
      <c r="X994" s="214"/>
      <c r="Y994" s="261"/>
      <c r="Z994" s="262"/>
      <c r="AA994" s="262"/>
      <c r="AB994" s="270"/>
      <c r="AC994" s="214"/>
      <c r="AD994" s="214"/>
      <c r="AE994" s="214"/>
      <c r="AF994" s="214"/>
      <c r="AG994" s="214"/>
      <c r="AH994" s="214"/>
      <c r="AI994" s="261"/>
      <c r="AJ994" s="214"/>
      <c r="AK994" s="261"/>
      <c r="AL994" s="261"/>
      <c r="AM994" s="264"/>
      <c r="AN994" s="214"/>
      <c r="AO994" s="271"/>
      <c r="AP994" s="271"/>
      <c r="AQ994" s="271"/>
      <c r="AR994" s="271"/>
      <c r="AS994" s="272"/>
      <c r="AT994" s="272"/>
      <c r="AU994" s="214"/>
      <c r="AV994" s="214"/>
    </row>
    <row r="995" ht="15.75" customHeight="1">
      <c r="A995" s="214"/>
      <c r="B995" s="261"/>
      <c r="C995" s="266"/>
      <c r="D995" s="267"/>
      <c r="E995" s="214"/>
      <c r="F995" s="214"/>
      <c r="G995" s="214"/>
      <c r="H995" s="214"/>
      <c r="I995" s="214"/>
      <c r="J995" s="214"/>
      <c r="K995" s="268"/>
      <c r="L995" s="214"/>
      <c r="M995" s="269"/>
      <c r="N995" s="214"/>
      <c r="O995" s="214"/>
      <c r="P995" s="214"/>
      <c r="Q995" s="214"/>
      <c r="R995" s="214"/>
      <c r="S995" s="214"/>
      <c r="T995" s="214"/>
      <c r="U995" s="214"/>
      <c r="V995" s="214"/>
      <c r="W995" s="214"/>
      <c r="X995" s="214"/>
      <c r="Y995" s="261"/>
      <c r="Z995" s="262"/>
      <c r="AA995" s="262"/>
      <c r="AB995" s="270"/>
      <c r="AC995" s="214"/>
      <c r="AD995" s="214"/>
      <c r="AE995" s="214"/>
      <c r="AF995" s="214"/>
      <c r="AG995" s="214"/>
      <c r="AH995" s="214"/>
      <c r="AI995" s="261"/>
      <c r="AJ995" s="214"/>
      <c r="AK995" s="261"/>
      <c r="AL995" s="261"/>
      <c r="AM995" s="264"/>
      <c r="AN995" s="214"/>
      <c r="AO995" s="271"/>
      <c r="AP995" s="271"/>
      <c r="AQ995" s="271"/>
      <c r="AR995" s="271"/>
      <c r="AS995" s="272"/>
      <c r="AT995" s="272"/>
      <c r="AU995" s="214"/>
      <c r="AV995" s="214"/>
    </row>
    <row r="996" ht="15.75" customHeight="1">
      <c r="A996" s="214"/>
      <c r="B996" s="261"/>
      <c r="C996" s="266"/>
      <c r="D996" s="267"/>
      <c r="E996" s="214"/>
      <c r="F996" s="214"/>
      <c r="G996" s="214"/>
      <c r="H996" s="214"/>
      <c r="I996" s="214"/>
      <c r="J996" s="214"/>
      <c r="K996" s="268"/>
      <c r="L996" s="214"/>
      <c r="M996" s="269"/>
      <c r="N996" s="214"/>
      <c r="O996" s="214"/>
      <c r="P996" s="214"/>
      <c r="Q996" s="214"/>
      <c r="R996" s="214"/>
      <c r="S996" s="214"/>
      <c r="T996" s="214"/>
      <c r="U996" s="214"/>
      <c r="V996" s="214"/>
      <c r="W996" s="214"/>
      <c r="X996" s="214"/>
      <c r="Y996" s="261"/>
      <c r="Z996" s="262"/>
      <c r="AA996" s="262"/>
      <c r="AB996" s="270"/>
      <c r="AC996" s="214"/>
      <c r="AD996" s="214"/>
      <c r="AE996" s="214"/>
      <c r="AF996" s="214"/>
      <c r="AG996" s="214"/>
      <c r="AH996" s="214"/>
      <c r="AI996" s="261"/>
      <c r="AJ996" s="214"/>
      <c r="AK996" s="261"/>
      <c r="AL996" s="261"/>
      <c r="AM996" s="264"/>
      <c r="AN996" s="214"/>
      <c r="AO996" s="271"/>
      <c r="AP996" s="271"/>
      <c r="AQ996" s="271"/>
      <c r="AR996" s="271"/>
      <c r="AS996" s="272"/>
      <c r="AT996" s="272"/>
      <c r="AU996" s="214"/>
      <c r="AV996" s="214"/>
    </row>
    <row r="997" ht="15.75" customHeight="1">
      <c r="A997" s="214"/>
      <c r="B997" s="261"/>
      <c r="C997" s="266"/>
      <c r="D997" s="267"/>
      <c r="E997" s="214"/>
      <c r="F997" s="214"/>
      <c r="G997" s="214"/>
      <c r="H997" s="214"/>
      <c r="I997" s="214"/>
      <c r="J997" s="214"/>
      <c r="K997" s="268"/>
      <c r="L997" s="214"/>
      <c r="M997" s="269"/>
      <c r="N997" s="214"/>
      <c r="O997" s="214"/>
      <c r="P997" s="214"/>
      <c r="Q997" s="214"/>
      <c r="R997" s="214"/>
      <c r="S997" s="214"/>
      <c r="T997" s="214"/>
      <c r="U997" s="214"/>
      <c r="V997" s="214"/>
      <c r="W997" s="214"/>
      <c r="X997" s="214"/>
      <c r="Y997" s="261"/>
      <c r="Z997" s="262"/>
      <c r="AA997" s="262"/>
      <c r="AB997" s="270"/>
      <c r="AC997" s="214"/>
      <c r="AD997" s="214"/>
      <c r="AE997" s="214"/>
      <c r="AF997" s="214"/>
      <c r="AG997" s="214"/>
      <c r="AH997" s="214"/>
      <c r="AI997" s="261"/>
      <c r="AJ997" s="214"/>
      <c r="AK997" s="261"/>
      <c r="AL997" s="261"/>
      <c r="AM997" s="264"/>
      <c r="AN997" s="214"/>
      <c r="AO997" s="271"/>
      <c r="AP997" s="271"/>
      <c r="AQ997" s="271"/>
      <c r="AR997" s="271"/>
      <c r="AS997" s="272"/>
      <c r="AT997" s="272"/>
      <c r="AU997" s="214"/>
      <c r="AV997" s="214"/>
    </row>
    <row r="998" ht="15.75" customHeight="1">
      <c r="A998" s="214"/>
      <c r="B998" s="261"/>
      <c r="C998" s="266"/>
      <c r="D998" s="267"/>
      <c r="E998" s="214"/>
      <c r="F998" s="214"/>
      <c r="G998" s="214"/>
      <c r="H998" s="214"/>
      <c r="I998" s="214"/>
      <c r="J998" s="214"/>
      <c r="K998" s="268"/>
      <c r="L998" s="214"/>
      <c r="M998" s="269"/>
      <c r="N998" s="214"/>
      <c r="O998" s="214"/>
      <c r="P998" s="214"/>
      <c r="Q998" s="214"/>
      <c r="R998" s="214"/>
      <c r="S998" s="214"/>
      <c r="T998" s="214"/>
      <c r="U998" s="214"/>
      <c r="V998" s="214"/>
      <c r="W998" s="214"/>
      <c r="X998" s="214"/>
      <c r="Y998" s="261"/>
      <c r="Z998" s="262"/>
      <c r="AA998" s="262"/>
      <c r="AB998" s="270"/>
      <c r="AC998" s="214"/>
      <c r="AD998" s="214"/>
      <c r="AE998" s="214"/>
      <c r="AF998" s="214"/>
      <c r="AG998" s="214"/>
      <c r="AH998" s="214"/>
      <c r="AI998" s="261"/>
      <c r="AJ998" s="214"/>
      <c r="AK998" s="261"/>
      <c r="AL998" s="261"/>
      <c r="AM998" s="264"/>
      <c r="AN998" s="214"/>
      <c r="AO998" s="271"/>
      <c r="AP998" s="271"/>
      <c r="AQ998" s="271"/>
      <c r="AR998" s="271"/>
      <c r="AS998" s="272"/>
      <c r="AT998" s="272"/>
      <c r="AU998" s="214"/>
      <c r="AV998" s="214"/>
    </row>
    <row r="999" ht="15.75" customHeight="1">
      <c r="A999" s="214"/>
      <c r="B999" s="261"/>
      <c r="C999" s="266"/>
      <c r="D999" s="267"/>
      <c r="E999" s="214"/>
      <c r="F999" s="214"/>
      <c r="G999" s="214"/>
      <c r="H999" s="214"/>
      <c r="I999" s="214"/>
      <c r="J999" s="214"/>
      <c r="K999" s="268"/>
      <c r="L999" s="214"/>
      <c r="M999" s="269"/>
      <c r="N999" s="214"/>
      <c r="O999" s="214"/>
      <c r="P999" s="214"/>
      <c r="Q999" s="214"/>
      <c r="R999" s="214"/>
      <c r="S999" s="214"/>
      <c r="T999" s="214"/>
      <c r="U999" s="214"/>
      <c r="V999" s="214"/>
      <c r="W999" s="214"/>
      <c r="X999" s="214"/>
      <c r="Y999" s="261"/>
      <c r="Z999" s="262"/>
      <c r="AA999" s="262"/>
      <c r="AB999" s="270"/>
      <c r="AC999" s="214"/>
      <c r="AD999" s="214"/>
      <c r="AE999" s="214"/>
      <c r="AF999" s="214"/>
      <c r="AG999" s="214"/>
      <c r="AH999" s="214"/>
      <c r="AI999" s="261"/>
      <c r="AJ999" s="214"/>
      <c r="AK999" s="261"/>
      <c r="AL999" s="261"/>
      <c r="AM999" s="264"/>
      <c r="AN999" s="214"/>
      <c r="AO999" s="271"/>
      <c r="AP999" s="271"/>
      <c r="AQ999" s="271"/>
      <c r="AR999" s="271"/>
      <c r="AS999" s="272"/>
      <c r="AT999" s="272"/>
      <c r="AU999" s="214"/>
      <c r="AV999" s="214"/>
    </row>
    <row r="1000" ht="15.75" customHeight="1">
      <c r="A1000" s="214"/>
      <c r="B1000" s="261"/>
      <c r="C1000" s="266"/>
      <c r="D1000" s="267"/>
      <c r="E1000" s="214"/>
      <c r="F1000" s="214"/>
      <c r="G1000" s="214"/>
      <c r="H1000" s="214"/>
      <c r="I1000" s="214"/>
      <c r="J1000" s="214"/>
      <c r="K1000" s="268"/>
      <c r="L1000" s="214"/>
      <c r="M1000" s="269"/>
      <c r="N1000" s="214"/>
      <c r="O1000" s="214"/>
      <c r="P1000" s="214"/>
      <c r="Q1000" s="214"/>
      <c r="R1000" s="214"/>
      <c r="S1000" s="214"/>
      <c r="T1000" s="214"/>
      <c r="U1000" s="214"/>
      <c r="V1000" s="214"/>
      <c r="W1000" s="214"/>
      <c r="X1000" s="214"/>
      <c r="Y1000" s="261"/>
      <c r="Z1000" s="262"/>
      <c r="AA1000" s="262"/>
      <c r="AB1000" s="270"/>
      <c r="AC1000" s="214"/>
      <c r="AD1000" s="214"/>
      <c r="AE1000" s="214"/>
      <c r="AF1000" s="214"/>
      <c r="AG1000" s="214"/>
      <c r="AH1000" s="214"/>
      <c r="AI1000" s="261"/>
      <c r="AJ1000" s="214"/>
      <c r="AK1000" s="261"/>
      <c r="AL1000" s="261"/>
      <c r="AM1000" s="264"/>
      <c r="AN1000" s="214"/>
      <c r="AO1000" s="271"/>
      <c r="AP1000" s="271"/>
      <c r="AQ1000" s="271"/>
      <c r="AR1000" s="271"/>
      <c r="AS1000" s="272"/>
      <c r="AT1000" s="272"/>
      <c r="AU1000" s="214"/>
      <c r="AV1000" s="214"/>
    </row>
    <row r="1001" ht="15.75" customHeight="1">
      <c r="A1001" s="214"/>
      <c r="B1001" s="261"/>
      <c r="C1001" s="266"/>
      <c r="D1001" s="267"/>
      <c r="E1001" s="214"/>
      <c r="F1001" s="214"/>
      <c r="G1001" s="214"/>
      <c r="H1001" s="214"/>
      <c r="I1001" s="214"/>
      <c r="J1001" s="214"/>
      <c r="K1001" s="268"/>
      <c r="L1001" s="214"/>
      <c r="M1001" s="269"/>
      <c r="N1001" s="214"/>
      <c r="O1001" s="214"/>
      <c r="P1001" s="214"/>
      <c r="Q1001" s="214"/>
      <c r="R1001" s="214"/>
      <c r="S1001" s="214"/>
      <c r="T1001" s="214"/>
      <c r="U1001" s="214"/>
      <c r="V1001" s="214"/>
      <c r="W1001" s="214"/>
      <c r="X1001" s="214"/>
      <c r="Y1001" s="261"/>
      <c r="Z1001" s="262"/>
      <c r="AA1001" s="262"/>
      <c r="AB1001" s="270"/>
      <c r="AC1001" s="214"/>
      <c r="AD1001" s="214"/>
      <c r="AE1001" s="214"/>
      <c r="AF1001" s="214"/>
      <c r="AG1001" s="214"/>
      <c r="AH1001" s="214"/>
      <c r="AI1001" s="261"/>
      <c r="AJ1001" s="214"/>
      <c r="AK1001" s="261"/>
      <c r="AL1001" s="261"/>
      <c r="AM1001" s="264"/>
      <c r="AN1001" s="214"/>
      <c r="AO1001" s="271"/>
      <c r="AP1001" s="271"/>
      <c r="AQ1001" s="271"/>
      <c r="AR1001" s="271"/>
      <c r="AS1001" s="272"/>
      <c r="AT1001" s="272"/>
      <c r="AU1001" s="214"/>
      <c r="AV1001" s="214"/>
    </row>
    <row r="1002" ht="15.75" customHeight="1">
      <c r="A1002" s="214"/>
      <c r="B1002" s="261"/>
      <c r="C1002" s="266"/>
      <c r="D1002" s="267"/>
      <c r="E1002" s="214"/>
      <c r="F1002" s="214"/>
      <c r="G1002" s="214"/>
      <c r="H1002" s="214"/>
      <c r="I1002" s="214"/>
      <c r="J1002" s="214"/>
      <c r="K1002" s="268"/>
      <c r="L1002" s="214"/>
      <c r="M1002" s="269"/>
      <c r="N1002" s="214"/>
      <c r="O1002" s="214"/>
      <c r="P1002" s="214"/>
      <c r="Q1002" s="214"/>
      <c r="R1002" s="214"/>
      <c r="S1002" s="214"/>
      <c r="T1002" s="214"/>
      <c r="U1002" s="214"/>
      <c r="V1002" s="214"/>
      <c r="W1002" s="214"/>
      <c r="X1002" s="214"/>
      <c r="Y1002" s="261"/>
      <c r="Z1002" s="262"/>
      <c r="AA1002" s="262"/>
      <c r="AB1002" s="270"/>
      <c r="AC1002" s="214"/>
      <c r="AD1002" s="214"/>
      <c r="AE1002" s="214"/>
      <c r="AF1002" s="214"/>
      <c r="AG1002" s="214"/>
      <c r="AH1002" s="214"/>
      <c r="AI1002" s="261"/>
      <c r="AJ1002" s="214"/>
      <c r="AK1002" s="261"/>
      <c r="AL1002" s="261"/>
      <c r="AM1002" s="264"/>
      <c r="AN1002" s="214"/>
      <c r="AO1002" s="271"/>
      <c r="AP1002" s="271"/>
      <c r="AQ1002" s="271"/>
      <c r="AR1002" s="271"/>
      <c r="AS1002" s="272"/>
      <c r="AT1002" s="272"/>
      <c r="AU1002" s="214"/>
      <c r="AV1002" s="214"/>
    </row>
    <row r="1003" ht="15.75" customHeight="1">
      <c r="A1003" s="214"/>
      <c r="B1003" s="261"/>
      <c r="C1003" s="266"/>
      <c r="D1003" s="267"/>
      <c r="E1003" s="214"/>
      <c r="F1003" s="214"/>
      <c r="G1003" s="214"/>
      <c r="H1003" s="214"/>
      <c r="I1003" s="214"/>
      <c r="J1003" s="214"/>
      <c r="K1003" s="268"/>
      <c r="L1003" s="214"/>
      <c r="M1003" s="269"/>
      <c r="N1003" s="214"/>
      <c r="O1003" s="214"/>
      <c r="P1003" s="214"/>
      <c r="Q1003" s="214"/>
      <c r="R1003" s="214"/>
      <c r="S1003" s="214"/>
      <c r="T1003" s="214"/>
      <c r="U1003" s="214"/>
      <c r="V1003" s="214"/>
      <c r="W1003" s="214"/>
      <c r="X1003" s="214"/>
      <c r="Y1003" s="261"/>
      <c r="Z1003" s="262"/>
      <c r="AA1003" s="262"/>
      <c r="AB1003" s="270"/>
      <c r="AC1003" s="214"/>
      <c r="AD1003" s="214"/>
      <c r="AE1003" s="214"/>
      <c r="AF1003" s="214"/>
      <c r="AG1003" s="214"/>
      <c r="AH1003" s="214"/>
      <c r="AI1003" s="261"/>
      <c r="AJ1003" s="214"/>
      <c r="AK1003" s="261"/>
      <c r="AL1003" s="261"/>
      <c r="AM1003" s="264"/>
      <c r="AN1003" s="214"/>
      <c r="AO1003" s="271"/>
      <c r="AP1003" s="271"/>
      <c r="AQ1003" s="271"/>
      <c r="AR1003" s="271"/>
      <c r="AS1003" s="272"/>
      <c r="AT1003" s="272"/>
      <c r="AU1003" s="214"/>
      <c r="AV1003" s="214"/>
    </row>
    <row r="1004" ht="15.75" customHeight="1">
      <c r="A1004" s="214"/>
      <c r="B1004" s="261"/>
      <c r="C1004" s="266"/>
      <c r="D1004" s="267"/>
      <c r="E1004" s="214"/>
      <c r="F1004" s="214"/>
      <c r="G1004" s="214"/>
      <c r="H1004" s="214"/>
      <c r="I1004" s="214"/>
      <c r="J1004" s="214"/>
      <c r="K1004" s="268"/>
      <c r="L1004" s="214"/>
      <c r="M1004" s="269"/>
      <c r="N1004" s="214"/>
      <c r="O1004" s="214"/>
      <c r="P1004" s="214"/>
      <c r="Q1004" s="214"/>
      <c r="R1004" s="214"/>
      <c r="S1004" s="214"/>
      <c r="T1004" s="214"/>
      <c r="U1004" s="214"/>
      <c r="V1004" s="214"/>
      <c r="W1004" s="214"/>
      <c r="X1004" s="214"/>
      <c r="Y1004" s="261"/>
      <c r="Z1004" s="262"/>
      <c r="AA1004" s="262"/>
      <c r="AB1004" s="270"/>
      <c r="AC1004" s="214"/>
      <c r="AD1004" s="214"/>
      <c r="AE1004" s="214"/>
      <c r="AF1004" s="214"/>
      <c r="AG1004" s="214"/>
      <c r="AH1004" s="214"/>
      <c r="AI1004" s="261"/>
      <c r="AJ1004" s="214"/>
      <c r="AK1004" s="261"/>
      <c r="AL1004" s="261"/>
      <c r="AM1004" s="264"/>
      <c r="AN1004" s="214"/>
      <c r="AO1004" s="271"/>
      <c r="AP1004" s="271"/>
      <c r="AQ1004" s="271"/>
      <c r="AR1004" s="271"/>
      <c r="AS1004" s="272"/>
      <c r="AT1004" s="272"/>
      <c r="AU1004" s="214"/>
      <c r="AV1004" s="214"/>
    </row>
    <row r="1005" ht="15.75" customHeight="1">
      <c r="A1005" s="214"/>
      <c r="B1005" s="261"/>
      <c r="C1005" s="266"/>
      <c r="D1005" s="267"/>
      <c r="E1005" s="214"/>
      <c r="F1005" s="214"/>
      <c r="G1005" s="214"/>
      <c r="H1005" s="214"/>
      <c r="I1005" s="214"/>
      <c r="J1005" s="214"/>
      <c r="K1005" s="268"/>
      <c r="L1005" s="214"/>
      <c r="M1005" s="269"/>
      <c r="N1005" s="214"/>
      <c r="O1005" s="214"/>
      <c r="P1005" s="214"/>
      <c r="Q1005" s="214"/>
      <c r="R1005" s="214"/>
      <c r="S1005" s="214"/>
      <c r="T1005" s="214"/>
      <c r="U1005" s="214"/>
      <c r="V1005" s="214"/>
      <c r="W1005" s="214"/>
      <c r="X1005" s="214"/>
      <c r="Y1005" s="261"/>
      <c r="Z1005" s="262"/>
      <c r="AA1005" s="262"/>
      <c r="AB1005" s="270"/>
      <c r="AC1005" s="214"/>
      <c r="AD1005" s="214"/>
      <c r="AE1005" s="214"/>
      <c r="AF1005" s="214"/>
      <c r="AG1005" s="214"/>
      <c r="AH1005" s="214"/>
      <c r="AI1005" s="261"/>
      <c r="AJ1005" s="214"/>
      <c r="AK1005" s="261"/>
      <c r="AL1005" s="261"/>
      <c r="AM1005" s="264"/>
      <c r="AN1005" s="214"/>
      <c r="AO1005" s="271"/>
      <c r="AP1005" s="271"/>
      <c r="AQ1005" s="271"/>
      <c r="AR1005" s="271"/>
      <c r="AS1005" s="272"/>
      <c r="AT1005" s="272"/>
      <c r="AU1005" s="214"/>
      <c r="AV1005" s="214"/>
    </row>
    <row r="1006" ht="15.75" customHeight="1">
      <c r="A1006" s="214"/>
      <c r="B1006" s="261"/>
      <c r="C1006" s="266"/>
      <c r="D1006" s="267"/>
      <c r="E1006" s="214"/>
      <c r="F1006" s="214"/>
      <c r="G1006" s="214"/>
      <c r="H1006" s="214"/>
      <c r="I1006" s="214"/>
      <c r="J1006" s="214"/>
      <c r="K1006" s="268"/>
      <c r="L1006" s="214"/>
      <c r="M1006" s="269"/>
      <c r="N1006" s="214"/>
      <c r="O1006" s="214"/>
      <c r="P1006" s="214"/>
      <c r="Q1006" s="214"/>
      <c r="R1006" s="214"/>
      <c r="S1006" s="214"/>
      <c r="T1006" s="214"/>
      <c r="U1006" s="214"/>
      <c r="V1006" s="214"/>
      <c r="W1006" s="214"/>
      <c r="X1006" s="214"/>
      <c r="Y1006" s="261"/>
      <c r="Z1006" s="262"/>
      <c r="AA1006" s="262"/>
      <c r="AB1006" s="270"/>
      <c r="AC1006" s="214"/>
      <c r="AD1006" s="214"/>
      <c r="AE1006" s="214"/>
      <c r="AF1006" s="214"/>
      <c r="AG1006" s="214"/>
      <c r="AH1006" s="214"/>
      <c r="AI1006" s="261"/>
      <c r="AJ1006" s="214"/>
      <c r="AK1006" s="261"/>
      <c r="AL1006" s="261"/>
      <c r="AM1006" s="264"/>
      <c r="AN1006" s="214"/>
      <c r="AO1006" s="271"/>
      <c r="AP1006" s="271"/>
      <c r="AQ1006" s="271"/>
      <c r="AR1006" s="271"/>
      <c r="AS1006" s="272"/>
      <c r="AT1006" s="272"/>
      <c r="AU1006" s="214"/>
      <c r="AV1006" s="214"/>
    </row>
    <row r="1007" ht="15.75" customHeight="1">
      <c r="A1007" s="214"/>
      <c r="B1007" s="261"/>
      <c r="C1007" s="266"/>
      <c r="D1007" s="267"/>
      <c r="E1007" s="214"/>
      <c r="F1007" s="214"/>
      <c r="G1007" s="214"/>
      <c r="H1007" s="214"/>
      <c r="I1007" s="214"/>
      <c r="J1007" s="214"/>
      <c r="K1007" s="268"/>
      <c r="L1007" s="214"/>
      <c r="M1007" s="269"/>
      <c r="N1007" s="214"/>
      <c r="O1007" s="214"/>
      <c r="P1007" s="214"/>
      <c r="Q1007" s="214"/>
      <c r="R1007" s="214"/>
      <c r="S1007" s="214"/>
      <c r="T1007" s="214"/>
      <c r="U1007" s="214"/>
      <c r="V1007" s="214"/>
      <c r="W1007" s="214"/>
      <c r="X1007" s="214"/>
      <c r="Y1007" s="261"/>
      <c r="Z1007" s="262"/>
      <c r="AA1007" s="262"/>
      <c r="AB1007" s="270"/>
      <c r="AC1007" s="214"/>
      <c r="AD1007" s="214"/>
      <c r="AE1007" s="214"/>
      <c r="AF1007" s="214"/>
      <c r="AG1007" s="214"/>
      <c r="AH1007" s="214"/>
      <c r="AI1007" s="261"/>
      <c r="AJ1007" s="214"/>
      <c r="AK1007" s="261"/>
      <c r="AL1007" s="261"/>
      <c r="AM1007" s="264"/>
      <c r="AN1007" s="214"/>
      <c r="AO1007" s="271"/>
      <c r="AP1007" s="271"/>
      <c r="AQ1007" s="271"/>
      <c r="AR1007" s="271"/>
      <c r="AS1007" s="272"/>
      <c r="AT1007" s="272"/>
      <c r="AU1007" s="214"/>
      <c r="AV1007" s="214"/>
    </row>
    <row r="1008" ht="15.75" customHeight="1">
      <c r="A1008" s="214"/>
      <c r="B1008" s="261"/>
      <c r="C1008" s="266"/>
      <c r="D1008" s="267"/>
      <c r="E1008" s="214"/>
      <c r="F1008" s="214"/>
      <c r="G1008" s="214"/>
      <c r="H1008" s="214"/>
      <c r="I1008" s="214"/>
      <c r="J1008" s="214"/>
      <c r="K1008" s="268"/>
      <c r="L1008" s="214"/>
      <c r="M1008" s="269"/>
      <c r="N1008" s="214"/>
      <c r="O1008" s="214"/>
      <c r="P1008" s="214"/>
      <c r="Q1008" s="214"/>
      <c r="R1008" s="214"/>
      <c r="S1008" s="214"/>
      <c r="T1008" s="214"/>
      <c r="U1008" s="214"/>
      <c r="V1008" s="214"/>
      <c r="W1008" s="214"/>
      <c r="X1008" s="214"/>
      <c r="Y1008" s="261"/>
      <c r="Z1008" s="262"/>
      <c r="AA1008" s="262"/>
      <c r="AB1008" s="270"/>
      <c r="AC1008" s="214"/>
      <c r="AD1008" s="214"/>
      <c r="AE1008" s="214"/>
      <c r="AF1008" s="214"/>
      <c r="AG1008" s="214"/>
      <c r="AH1008" s="214"/>
      <c r="AI1008" s="261"/>
      <c r="AJ1008" s="214"/>
      <c r="AK1008" s="261"/>
      <c r="AL1008" s="261"/>
      <c r="AM1008" s="264"/>
      <c r="AN1008" s="214"/>
      <c r="AO1008" s="271"/>
      <c r="AP1008" s="271"/>
      <c r="AQ1008" s="271"/>
      <c r="AR1008" s="271"/>
      <c r="AS1008" s="272"/>
      <c r="AT1008" s="272"/>
      <c r="AU1008" s="214"/>
      <c r="AV1008" s="214"/>
    </row>
    <row r="1009" ht="15.75" customHeight="1">
      <c r="A1009" s="214"/>
      <c r="B1009" s="261"/>
      <c r="C1009" s="266"/>
      <c r="D1009" s="267"/>
      <c r="E1009" s="214"/>
      <c r="F1009" s="214"/>
      <c r="G1009" s="214"/>
      <c r="H1009" s="214"/>
      <c r="I1009" s="214"/>
      <c r="J1009" s="214"/>
      <c r="K1009" s="268"/>
      <c r="L1009" s="214"/>
      <c r="M1009" s="269"/>
      <c r="N1009" s="214"/>
      <c r="O1009" s="214"/>
      <c r="P1009" s="214"/>
      <c r="Q1009" s="214"/>
      <c r="R1009" s="214"/>
      <c r="S1009" s="214"/>
      <c r="T1009" s="214"/>
      <c r="U1009" s="214"/>
      <c r="V1009" s="214"/>
      <c r="W1009" s="214"/>
      <c r="X1009" s="214"/>
      <c r="Y1009" s="261"/>
      <c r="Z1009" s="262"/>
      <c r="AA1009" s="262"/>
      <c r="AB1009" s="270"/>
      <c r="AC1009" s="214"/>
      <c r="AD1009" s="214"/>
      <c r="AE1009" s="214"/>
      <c r="AF1009" s="214"/>
      <c r="AG1009" s="214"/>
      <c r="AH1009" s="214"/>
      <c r="AI1009" s="261"/>
      <c r="AJ1009" s="214"/>
      <c r="AK1009" s="261"/>
      <c r="AL1009" s="261"/>
      <c r="AM1009" s="264"/>
      <c r="AN1009" s="214"/>
      <c r="AO1009" s="271"/>
      <c r="AP1009" s="271"/>
      <c r="AQ1009" s="271"/>
      <c r="AR1009" s="271"/>
      <c r="AS1009" s="272"/>
      <c r="AT1009" s="272"/>
      <c r="AU1009" s="214"/>
      <c r="AV1009" s="214"/>
    </row>
    <row r="1010" ht="15.75" customHeight="1">
      <c r="A1010" s="214"/>
      <c r="B1010" s="261"/>
      <c r="C1010" s="266"/>
      <c r="D1010" s="267"/>
      <c r="E1010" s="214"/>
      <c r="F1010" s="214"/>
      <c r="G1010" s="214"/>
      <c r="H1010" s="214"/>
      <c r="I1010" s="214"/>
      <c r="J1010" s="214"/>
      <c r="K1010" s="268"/>
      <c r="L1010" s="214"/>
      <c r="M1010" s="269"/>
      <c r="N1010" s="214"/>
      <c r="O1010" s="214"/>
      <c r="P1010" s="214"/>
      <c r="Q1010" s="214"/>
      <c r="R1010" s="214"/>
      <c r="S1010" s="214"/>
      <c r="T1010" s="214"/>
      <c r="U1010" s="214"/>
      <c r="V1010" s="214"/>
      <c r="W1010" s="214"/>
      <c r="X1010" s="214"/>
      <c r="Y1010" s="261"/>
      <c r="Z1010" s="262"/>
      <c r="AA1010" s="262"/>
      <c r="AB1010" s="270"/>
      <c r="AC1010" s="214"/>
      <c r="AD1010" s="214"/>
      <c r="AE1010" s="214"/>
      <c r="AF1010" s="214"/>
      <c r="AG1010" s="214"/>
      <c r="AH1010" s="214"/>
      <c r="AI1010" s="261"/>
      <c r="AJ1010" s="214"/>
      <c r="AK1010" s="261"/>
      <c r="AL1010" s="261"/>
      <c r="AM1010" s="264"/>
      <c r="AN1010" s="214"/>
      <c r="AO1010" s="271"/>
      <c r="AP1010" s="271"/>
      <c r="AQ1010" s="271"/>
      <c r="AR1010" s="271"/>
      <c r="AS1010" s="272"/>
      <c r="AT1010" s="272"/>
      <c r="AU1010" s="214"/>
      <c r="AV1010" s="214"/>
    </row>
    <row r="1011" ht="15.75" customHeight="1">
      <c r="A1011" s="214"/>
      <c r="B1011" s="261"/>
      <c r="C1011" s="266"/>
      <c r="D1011" s="267"/>
      <c r="E1011" s="214"/>
      <c r="F1011" s="214"/>
      <c r="G1011" s="214"/>
      <c r="H1011" s="214"/>
      <c r="I1011" s="214"/>
      <c r="J1011" s="214"/>
      <c r="K1011" s="268"/>
      <c r="L1011" s="214"/>
      <c r="M1011" s="269"/>
      <c r="N1011" s="214"/>
      <c r="O1011" s="214"/>
      <c r="P1011" s="214"/>
      <c r="Q1011" s="214"/>
      <c r="R1011" s="214"/>
      <c r="S1011" s="214"/>
      <c r="T1011" s="214"/>
      <c r="U1011" s="214"/>
      <c r="V1011" s="214"/>
      <c r="W1011" s="214"/>
      <c r="X1011" s="214"/>
      <c r="Y1011" s="261"/>
      <c r="Z1011" s="262"/>
      <c r="AA1011" s="262"/>
      <c r="AB1011" s="270"/>
      <c r="AC1011" s="214"/>
      <c r="AD1011" s="214"/>
      <c r="AE1011" s="214"/>
      <c r="AF1011" s="214"/>
      <c r="AG1011" s="214"/>
      <c r="AH1011" s="214"/>
      <c r="AI1011" s="261"/>
      <c r="AJ1011" s="214"/>
      <c r="AK1011" s="261"/>
      <c r="AL1011" s="261"/>
      <c r="AM1011" s="264"/>
      <c r="AN1011" s="214"/>
      <c r="AO1011" s="271"/>
      <c r="AP1011" s="271"/>
      <c r="AQ1011" s="271"/>
      <c r="AR1011" s="271"/>
      <c r="AS1011" s="272"/>
      <c r="AT1011" s="272"/>
      <c r="AU1011" s="214"/>
      <c r="AV1011" s="214"/>
    </row>
    <row r="1012" ht="15.75" customHeight="1">
      <c r="A1012" s="214"/>
      <c r="B1012" s="261"/>
      <c r="C1012" s="266"/>
      <c r="D1012" s="267"/>
      <c r="E1012" s="214"/>
      <c r="F1012" s="214"/>
      <c r="G1012" s="214"/>
      <c r="H1012" s="214"/>
      <c r="I1012" s="214"/>
      <c r="J1012" s="214"/>
      <c r="K1012" s="268"/>
      <c r="L1012" s="214"/>
      <c r="M1012" s="269"/>
      <c r="N1012" s="214"/>
      <c r="O1012" s="214"/>
      <c r="P1012" s="214"/>
      <c r="Q1012" s="214"/>
      <c r="R1012" s="214"/>
      <c r="S1012" s="214"/>
      <c r="T1012" s="214"/>
      <c r="U1012" s="214"/>
      <c r="V1012" s="214"/>
      <c r="W1012" s="214"/>
      <c r="X1012" s="214"/>
      <c r="Y1012" s="261"/>
      <c r="Z1012" s="262"/>
      <c r="AA1012" s="262"/>
      <c r="AB1012" s="270"/>
      <c r="AC1012" s="214"/>
      <c r="AD1012" s="214"/>
      <c r="AE1012" s="214"/>
      <c r="AF1012" s="214"/>
      <c r="AG1012" s="214"/>
      <c r="AH1012" s="214"/>
      <c r="AI1012" s="261"/>
      <c r="AJ1012" s="214"/>
      <c r="AK1012" s="261"/>
      <c r="AL1012" s="261"/>
      <c r="AM1012" s="264"/>
      <c r="AN1012" s="214"/>
      <c r="AO1012" s="271"/>
      <c r="AP1012" s="271"/>
      <c r="AQ1012" s="271"/>
      <c r="AR1012" s="271"/>
      <c r="AS1012" s="272"/>
      <c r="AT1012" s="272"/>
      <c r="AU1012" s="214"/>
      <c r="AV1012" s="214"/>
    </row>
    <row r="1013" ht="15.75" customHeight="1">
      <c r="A1013" s="214"/>
      <c r="B1013" s="261"/>
      <c r="C1013" s="266"/>
      <c r="D1013" s="267"/>
      <c r="E1013" s="214"/>
      <c r="F1013" s="214"/>
      <c r="G1013" s="214"/>
      <c r="H1013" s="214"/>
      <c r="I1013" s="214"/>
      <c r="J1013" s="214"/>
      <c r="K1013" s="268"/>
      <c r="L1013" s="214"/>
      <c r="M1013" s="269"/>
      <c r="N1013" s="214"/>
      <c r="O1013" s="214"/>
      <c r="P1013" s="214"/>
      <c r="Q1013" s="214"/>
      <c r="R1013" s="214"/>
      <c r="S1013" s="214"/>
      <c r="T1013" s="214"/>
      <c r="U1013" s="214"/>
      <c r="V1013" s="214"/>
      <c r="W1013" s="214"/>
      <c r="X1013" s="214"/>
      <c r="Y1013" s="261"/>
      <c r="Z1013" s="262"/>
      <c r="AA1013" s="262"/>
      <c r="AB1013" s="270"/>
      <c r="AC1013" s="214"/>
      <c r="AD1013" s="214"/>
      <c r="AE1013" s="214"/>
      <c r="AF1013" s="214"/>
      <c r="AG1013" s="214"/>
      <c r="AH1013" s="214"/>
      <c r="AI1013" s="261"/>
      <c r="AJ1013" s="214"/>
      <c r="AK1013" s="261"/>
      <c r="AL1013" s="261"/>
      <c r="AM1013" s="264"/>
      <c r="AN1013" s="214"/>
      <c r="AO1013" s="271"/>
      <c r="AP1013" s="271"/>
      <c r="AQ1013" s="271"/>
      <c r="AR1013" s="271"/>
      <c r="AS1013" s="272"/>
      <c r="AT1013" s="272"/>
      <c r="AU1013" s="214"/>
      <c r="AV1013" s="214"/>
    </row>
    <row r="1014" ht="15.75" customHeight="1">
      <c r="A1014" s="214"/>
      <c r="B1014" s="261"/>
      <c r="C1014" s="266"/>
      <c r="D1014" s="267"/>
      <c r="E1014" s="214"/>
      <c r="F1014" s="214"/>
      <c r="G1014" s="214"/>
      <c r="H1014" s="214"/>
      <c r="I1014" s="214"/>
      <c r="J1014" s="214"/>
      <c r="K1014" s="268"/>
      <c r="L1014" s="214"/>
      <c r="M1014" s="269"/>
      <c r="N1014" s="214"/>
      <c r="O1014" s="214"/>
      <c r="P1014" s="214"/>
      <c r="Q1014" s="214"/>
      <c r="R1014" s="214"/>
      <c r="S1014" s="214"/>
      <c r="T1014" s="214"/>
      <c r="U1014" s="214"/>
      <c r="V1014" s="214"/>
      <c r="W1014" s="214"/>
      <c r="X1014" s="214"/>
      <c r="Y1014" s="261"/>
      <c r="Z1014" s="262"/>
      <c r="AA1014" s="262"/>
      <c r="AB1014" s="270"/>
      <c r="AC1014" s="214"/>
      <c r="AD1014" s="214"/>
      <c r="AE1014" s="214"/>
      <c r="AF1014" s="214"/>
      <c r="AG1014" s="214"/>
      <c r="AH1014" s="214"/>
      <c r="AI1014" s="261"/>
      <c r="AJ1014" s="214"/>
      <c r="AK1014" s="261"/>
      <c r="AL1014" s="261"/>
      <c r="AM1014" s="264"/>
      <c r="AN1014" s="214"/>
      <c r="AO1014" s="271"/>
      <c r="AP1014" s="271"/>
      <c r="AQ1014" s="271"/>
      <c r="AR1014" s="271"/>
      <c r="AS1014" s="272"/>
      <c r="AT1014" s="272"/>
      <c r="AU1014" s="214"/>
      <c r="AV1014" s="214"/>
    </row>
    <row r="1015" ht="15.75" customHeight="1">
      <c r="A1015" s="214"/>
      <c r="B1015" s="261"/>
      <c r="C1015" s="266"/>
      <c r="D1015" s="267"/>
      <c r="E1015" s="214"/>
      <c r="F1015" s="214"/>
      <c r="G1015" s="214"/>
      <c r="H1015" s="214"/>
      <c r="I1015" s="214"/>
      <c r="J1015" s="214"/>
      <c r="K1015" s="268"/>
      <c r="L1015" s="214"/>
      <c r="M1015" s="269"/>
      <c r="N1015" s="214"/>
      <c r="O1015" s="214"/>
      <c r="P1015" s="214"/>
      <c r="Q1015" s="214"/>
      <c r="R1015" s="214"/>
      <c r="S1015" s="214"/>
      <c r="T1015" s="214"/>
      <c r="U1015" s="214"/>
      <c r="V1015" s="214"/>
      <c r="W1015" s="214"/>
      <c r="X1015" s="214"/>
      <c r="Y1015" s="261"/>
      <c r="Z1015" s="262"/>
      <c r="AA1015" s="262"/>
      <c r="AB1015" s="270"/>
      <c r="AC1015" s="214"/>
      <c r="AD1015" s="214"/>
      <c r="AE1015" s="214"/>
      <c r="AF1015" s="214"/>
      <c r="AG1015" s="214"/>
      <c r="AH1015" s="214"/>
      <c r="AI1015" s="261"/>
      <c r="AJ1015" s="214"/>
      <c r="AK1015" s="261"/>
      <c r="AL1015" s="261"/>
      <c r="AM1015" s="264"/>
      <c r="AN1015" s="214"/>
      <c r="AO1015" s="271"/>
      <c r="AP1015" s="271"/>
      <c r="AQ1015" s="271"/>
      <c r="AR1015" s="271"/>
      <c r="AS1015" s="272"/>
      <c r="AT1015" s="272"/>
      <c r="AU1015" s="214"/>
      <c r="AV1015" s="214"/>
    </row>
    <row r="1016" ht="15.75" customHeight="1">
      <c r="A1016" s="214"/>
      <c r="B1016" s="261"/>
      <c r="C1016" s="266"/>
      <c r="D1016" s="267"/>
      <c r="E1016" s="214"/>
      <c r="F1016" s="214"/>
      <c r="G1016" s="214"/>
      <c r="H1016" s="214"/>
      <c r="I1016" s="214"/>
      <c r="J1016" s="214"/>
      <c r="K1016" s="268"/>
      <c r="L1016" s="214"/>
      <c r="M1016" s="269"/>
      <c r="N1016" s="214"/>
      <c r="O1016" s="214"/>
      <c r="P1016" s="214"/>
      <c r="Q1016" s="214"/>
      <c r="R1016" s="214"/>
      <c r="S1016" s="214"/>
      <c r="T1016" s="214"/>
      <c r="U1016" s="214"/>
      <c r="V1016" s="214"/>
      <c r="W1016" s="214"/>
      <c r="X1016" s="214"/>
      <c r="Y1016" s="261"/>
      <c r="Z1016" s="262"/>
      <c r="AA1016" s="262"/>
      <c r="AB1016" s="270"/>
      <c r="AC1016" s="214"/>
      <c r="AD1016" s="214"/>
      <c r="AE1016" s="214"/>
      <c r="AF1016" s="214"/>
      <c r="AG1016" s="214"/>
      <c r="AH1016" s="214"/>
      <c r="AI1016" s="261"/>
      <c r="AJ1016" s="214"/>
      <c r="AK1016" s="261"/>
      <c r="AL1016" s="261"/>
      <c r="AM1016" s="264"/>
      <c r="AN1016" s="214"/>
      <c r="AO1016" s="271"/>
      <c r="AP1016" s="271"/>
      <c r="AQ1016" s="271"/>
      <c r="AR1016" s="271"/>
      <c r="AS1016" s="272"/>
      <c r="AT1016" s="272"/>
      <c r="AU1016" s="214"/>
      <c r="AV1016" s="214"/>
    </row>
    <row r="1017" ht="15.75" customHeight="1">
      <c r="A1017" s="214"/>
      <c r="B1017" s="261"/>
      <c r="C1017" s="266"/>
      <c r="D1017" s="267"/>
      <c r="E1017" s="214"/>
      <c r="F1017" s="214"/>
      <c r="G1017" s="214"/>
      <c r="H1017" s="214"/>
      <c r="I1017" s="214"/>
      <c r="J1017" s="214"/>
      <c r="K1017" s="268"/>
      <c r="L1017" s="214"/>
      <c r="M1017" s="269"/>
      <c r="N1017" s="214"/>
      <c r="O1017" s="214"/>
      <c r="P1017" s="214"/>
      <c r="Q1017" s="214"/>
      <c r="R1017" s="214"/>
      <c r="S1017" s="214"/>
      <c r="T1017" s="214"/>
      <c r="U1017" s="214"/>
      <c r="V1017" s="214"/>
      <c r="W1017" s="214"/>
      <c r="X1017" s="214"/>
      <c r="Y1017" s="261"/>
      <c r="Z1017" s="262"/>
      <c r="AA1017" s="262"/>
      <c r="AB1017" s="270"/>
      <c r="AC1017" s="214"/>
      <c r="AD1017" s="214"/>
      <c r="AE1017" s="214"/>
      <c r="AF1017" s="214"/>
      <c r="AG1017" s="214"/>
      <c r="AH1017" s="214"/>
      <c r="AI1017" s="261"/>
      <c r="AJ1017" s="214"/>
      <c r="AK1017" s="261"/>
      <c r="AL1017" s="261"/>
      <c r="AM1017" s="264"/>
      <c r="AN1017" s="214"/>
      <c r="AO1017" s="271"/>
      <c r="AP1017" s="271"/>
      <c r="AQ1017" s="271"/>
      <c r="AR1017" s="271"/>
      <c r="AS1017" s="272"/>
      <c r="AT1017" s="272"/>
      <c r="AU1017" s="214"/>
      <c r="AV1017" s="214"/>
    </row>
    <row r="1018" ht="15.75" customHeight="1">
      <c r="A1018" s="214"/>
      <c r="B1018" s="261"/>
      <c r="C1018" s="266"/>
      <c r="D1018" s="267"/>
      <c r="E1018" s="214"/>
      <c r="F1018" s="214"/>
      <c r="G1018" s="214"/>
      <c r="H1018" s="214"/>
      <c r="I1018" s="214"/>
      <c r="J1018" s="214"/>
      <c r="K1018" s="268"/>
      <c r="L1018" s="214"/>
      <c r="M1018" s="269"/>
      <c r="N1018" s="214"/>
      <c r="O1018" s="214"/>
      <c r="P1018" s="214"/>
      <c r="Q1018" s="214"/>
      <c r="R1018" s="214"/>
      <c r="S1018" s="214"/>
      <c r="T1018" s="214"/>
      <c r="U1018" s="214"/>
      <c r="V1018" s="214"/>
      <c r="W1018" s="214"/>
      <c r="X1018" s="214"/>
      <c r="Y1018" s="261"/>
      <c r="Z1018" s="262"/>
      <c r="AA1018" s="262"/>
      <c r="AB1018" s="270"/>
      <c r="AC1018" s="214"/>
      <c r="AD1018" s="214"/>
      <c r="AE1018" s="214"/>
      <c r="AF1018" s="214"/>
      <c r="AG1018" s="214"/>
      <c r="AH1018" s="214"/>
      <c r="AI1018" s="261"/>
      <c r="AJ1018" s="214"/>
      <c r="AK1018" s="261"/>
      <c r="AL1018" s="261"/>
      <c r="AM1018" s="264"/>
      <c r="AN1018" s="214"/>
      <c r="AO1018" s="271"/>
      <c r="AP1018" s="271"/>
      <c r="AQ1018" s="271"/>
      <c r="AR1018" s="271"/>
      <c r="AS1018" s="272"/>
      <c r="AT1018" s="272"/>
      <c r="AU1018" s="214"/>
      <c r="AV1018" s="214"/>
    </row>
    <row r="1019" ht="15.75" customHeight="1">
      <c r="A1019" s="214"/>
      <c r="B1019" s="261"/>
      <c r="C1019" s="266"/>
      <c r="D1019" s="267"/>
      <c r="E1019" s="214"/>
      <c r="F1019" s="214"/>
      <c r="G1019" s="214"/>
      <c r="H1019" s="214"/>
      <c r="I1019" s="214"/>
      <c r="J1019" s="214"/>
      <c r="K1019" s="268"/>
      <c r="L1019" s="214"/>
      <c r="M1019" s="269"/>
      <c r="N1019" s="214"/>
      <c r="O1019" s="214"/>
      <c r="P1019" s="214"/>
      <c r="Q1019" s="214"/>
      <c r="R1019" s="214"/>
      <c r="S1019" s="214"/>
      <c r="T1019" s="214"/>
      <c r="U1019" s="214"/>
      <c r="V1019" s="214"/>
      <c r="W1019" s="214"/>
      <c r="X1019" s="214"/>
      <c r="Y1019" s="261"/>
      <c r="Z1019" s="262"/>
      <c r="AA1019" s="262"/>
      <c r="AB1019" s="270"/>
      <c r="AC1019" s="214"/>
      <c r="AD1019" s="214"/>
      <c r="AE1019" s="214"/>
      <c r="AF1019" s="214"/>
      <c r="AG1019" s="214"/>
      <c r="AH1019" s="214"/>
      <c r="AI1019" s="261"/>
      <c r="AJ1019" s="214"/>
      <c r="AK1019" s="261"/>
      <c r="AL1019" s="261"/>
      <c r="AM1019" s="264"/>
      <c r="AN1019" s="214"/>
      <c r="AO1019" s="271"/>
      <c r="AP1019" s="271"/>
      <c r="AQ1019" s="271"/>
      <c r="AR1019" s="271"/>
      <c r="AS1019" s="272"/>
      <c r="AT1019" s="272"/>
      <c r="AU1019" s="214"/>
      <c r="AV1019" s="214"/>
    </row>
    <row r="1020" ht="15.75" customHeight="1">
      <c r="A1020" s="214"/>
      <c r="B1020" s="261"/>
      <c r="C1020" s="266"/>
      <c r="D1020" s="267"/>
      <c r="E1020" s="214"/>
      <c r="F1020" s="214"/>
      <c r="G1020" s="214"/>
      <c r="H1020" s="214"/>
      <c r="I1020" s="214"/>
      <c r="J1020" s="214"/>
      <c r="K1020" s="268"/>
      <c r="L1020" s="214"/>
      <c r="M1020" s="269"/>
      <c r="N1020" s="214"/>
      <c r="O1020" s="214"/>
      <c r="P1020" s="214"/>
      <c r="Q1020" s="214"/>
      <c r="R1020" s="214"/>
      <c r="S1020" s="214"/>
      <c r="T1020" s="214"/>
      <c r="U1020" s="214"/>
      <c r="V1020" s="214"/>
      <c r="W1020" s="214"/>
      <c r="X1020" s="214"/>
      <c r="Y1020" s="261"/>
      <c r="Z1020" s="262"/>
      <c r="AA1020" s="262"/>
      <c r="AB1020" s="270"/>
      <c r="AC1020" s="214"/>
      <c r="AD1020" s="214"/>
      <c r="AE1020" s="214"/>
      <c r="AF1020" s="214"/>
      <c r="AG1020" s="214"/>
      <c r="AH1020" s="214"/>
      <c r="AI1020" s="261"/>
      <c r="AJ1020" s="214"/>
      <c r="AK1020" s="261"/>
      <c r="AL1020" s="261"/>
      <c r="AM1020" s="264"/>
      <c r="AN1020" s="214"/>
      <c r="AO1020" s="271"/>
      <c r="AP1020" s="271"/>
      <c r="AQ1020" s="271"/>
      <c r="AR1020" s="271"/>
      <c r="AS1020" s="272"/>
      <c r="AT1020" s="272"/>
      <c r="AU1020" s="214"/>
      <c r="AV1020" s="214"/>
    </row>
    <row r="1021" ht="15.75" customHeight="1">
      <c r="A1021" s="214"/>
      <c r="B1021" s="261"/>
      <c r="C1021" s="266"/>
      <c r="D1021" s="267"/>
      <c r="E1021" s="214"/>
      <c r="F1021" s="214"/>
      <c r="G1021" s="214"/>
      <c r="H1021" s="214"/>
      <c r="I1021" s="214"/>
      <c r="J1021" s="214"/>
      <c r="K1021" s="268"/>
      <c r="L1021" s="214"/>
      <c r="M1021" s="269"/>
      <c r="N1021" s="214"/>
      <c r="O1021" s="214"/>
      <c r="P1021" s="214"/>
      <c r="Q1021" s="214"/>
      <c r="R1021" s="214"/>
      <c r="S1021" s="214"/>
      <c r="T1021" s="214"/>
      <c r="U1021" s="214"/>
      <c r="V1021" s="214"/>
      <c r="W1021" s="214"/>
      <c r="X1021" s="214"/>
      <c r="Y1021" s="261"/>
      <c r="Z1021" s="262"/>
      <c r="AA1021" s="262"/>
      <c r="AB1021" s="270"/>
      <c r="AC1021" s="214"/>
      <c r="AD1021" s="214"/>
      <c r="AE1021" s="214"/>
      <c r="AF1021" s="214"/>
      <c r="AG1021" s="214"/>
      <c r="AH1021" s="214"/>
      <c r="AI1021" s="261"/>
      <c r="AJ1021" s="214"/>
      <c r="AK1021" s="261"/>
      <c r="AL1021" s="261"/>
      <c r="AM1021" s="264"/>
      <c r="AN1021" s="214"/>
      <c r="AO1021" s="271"/>
      <c r="AP1021" s="271"/>
      <c r="AQ1021" s="271"/>
      <c r="AR1021" s="271"/>
      <c r="AS1021" s="272"/>
      <c r="AT1021" s="272"/>
      <c r="AU1021" s="214"/>
      <c r="AV1021" s="214"/>
    </row>
    <row r="1022" ht="15.75" customHeight="1">
      <c r="A1022" s="214"/>
      <c r="B1022" s="261"/>
      <c r="C1022" s="266"/>
      <c r="D1022" s="267"/>
      <c r="E1022" s="214"/>
      <c r="F1022" s="214"/>
      <c r="G1022" s="214"/>
      <c r="H1022" s="214"/>
      <c r="I1022" s="214"/>
      <c r="J1022" s="214"/>
      <c r="K1022" s="268"/>
      <c r="L1022" s="214"/>
      <c r="M1022" s="269"/>
      <c r="N1022" s="214"/>
      <c r="O1022" s="214"/>
      <c r="P1022" s="214"/>
      <c r="Q1022" s="214"/>
      <c r="R1022" s="214"/>
      <c r="S1022" s="214"/>
      <c r="T1022" s="214"/>
      <c r="U1022" s="214"/>
      <c r="V1022" s="214"/>
      <c r="W1022" s="214"/>
      <c r="X1022" s="214"/>
      <c r="Y1022" s="261"/>
      <c r="Z1022" s="262"/>
      <c r="AA1022" s="262"/>
      <c r="AB1022" s="270"/>
      <c r="AC1022" s="214"/>
      <c r="AD1022" s="214"/>
      <c r="AE1022" s="214"/>
      <c r="AF1022" s="214"/>
      <c r="AG1022" s="214"/>
      <c r="AH1022" s="214"/>
      <c r="AI1022" s="261"/>
      <c r="AJ1022" s="214"/>
      <c r="AK1022" s="261"/>
      <c r="AL1022" s="261"/>
      <c r="AM1022" s="264"/>
      <c r="AN1022" s="214"/>
      <c r="AO1022" s="271"/>
      <c r="AP1022" s="271"/>
      <c r="AQ1022" s="271"/>
      <c r="AR1022" s="271"/>
      <c r="AS1022" s="272"/>
      <c r="AT1022" s="272"/>
      <c r="AU1022" s="214"/>
      <c r="AV1022" s="214"/>
    </row>
    <row r="1023" ht="15.75" customHeight="1">
      <c r="A1023" s="214"/>
      <c r="B1023" s="261"/>
      <c r="C1023" s="266"/>
      <c r="D1023" s="267"/>
      <c r="E1023" s="214"/>
      <c r="F1023" s="214"/>
      <c r="G1023" s="214"/>
      <c r="H1023" s="214"/>
      <c r="I1023" s="214"/>
      <c r="J1023" s="214"/>
      <c r="K1023" s="268"/>
      <c r="L1023" s="214"/>
      <c r="M1023" s="269"/>
      <c r="N1023" s="214"/>
      <c r="O1023" s="214"/>
      <c r="P1023" s="214"/>
      <c r="Q1023" s="214"/>
      <c r="R1023" s="214"/>
      <c r="S1023" s="214"/>
      <c r="T1023" s="214"/>
      <c r="U1023" s="214"/>
      <c r="V1023" s="214"/>
      <c r="W1023" s="214"/>
      <c r="X1023" s="214"/>
      <c r="Y1023" s="261"/>
      <c r="Z1023" s="262"/>
      <c r="AA1023" s="262"/>
      <c r="AB1023" s="270"/>
      <c r="AC1023" s="214"/>
      <c r="AD1023" s="214"/>
      <c r="AE1023" s="214"/>
      <c r="AF1023" s="214"/>
      <c r="AG1023" s="214"/>
      <c r="AH1023" s="214"/>
      <c r="AI1023" s="261"/>
      <c r="AJ1023" s="214"/>
      <c r="AK1023" s="261"/>
      <c r="AL1023" s="261"/>
      <c r="AM1023" s="264"/>
      <c r="AN1023" s="214"/>
      <c r="AO1023" s="271"/>
      <c r="AP1023" s="271"/>
      <c r="AQ1023" s="271"/>
      <c r="AR1023" s="271"/>
      <c r="AS1023" s="272"/>
      <c r="AT1023" s="272"/>
      <c r="AU1023" s="214"/>
      <c r="AV1023" s="214"/>
    </row>
    <row r="1024" ht="15.75" customHeight="1">
      <c r="A1024" s="214"/>
      <c r="B1024" s="261"/>
      <c r="C1024" s="266"/>
      <c r="D1024" s="267"/>
      <c r="E1024" s="214"/>
      <c r="F1024" s="214"/>
      <c r="G1024" s="214"/>
      <c r="H1024" s="214"/>
      <c r="I1024" s="214"/>
      <c r="J1024" s="214"/>
      <c r="K1024" s="268"/>
      <c r="L1024" s="214"/>
      <c r="M1024" s="269"/>
      <c r="N1024" s="214"/>
      <c r="O1024" s="214"/>
      <c r="P1024" s="214"/>
      <c r="Q1024" s="214"/>
      <c r="R1024" s="214"/>
      <c r="S1024" s="214"/>
      <c r="T1024" s="214"/>
      <c r="U1024" s="214"/>
      <c r="V1024" s="214"/>
      <c r="W1024" s="214"/>
      <c r="X1024" s="214"/>
      <c r="Y1024" s="261"/>
      <c r="Z1024" s="262"/>
      <c r="AA1024" s="262"/>
      <c r="AB1024" s="270"/>
      <c r="AC1024" s="214"/>
      <c r="AD1024" s="214"/>
      <c r="AE1024" s="214"/>
      <c r="AF1024" s="214"/>
      <c r="AG1024" s="214"/>
      <c r="AH1024" s="214"/>
      <c r="AI1024" s="261"/>
      <c r="AJ1024" s="214"/>
      <c r="AK1024" s="261"/>
      <c r="AL1024" s="261"/>
      <c r="AM1024" s="264"/>
      <c r="AN1024" s="214"/>
      <c r="AO1024" s="271"/>
      <c r="AP1024" s="271"/>
      <c r="AQ1024" s="271"/>
      <c r="AR1024" s="271"/>
      <c r="AS1024" s="272"/>
      <c r="AT1024" s="272"/>
      <c r="AU1024" s="214"/>
      <c r="AV1024" s="214"/>
    </row>
    <row r="1025" ht="15.75" customHeight="1">
      <c r="A1025" s="214"/>
      <c r="B1025" s="261"/>
      <c r="C1025" s="266"/>
      <c r="D1025" s="267"/>
      <c r="E1025" s="214"/>
      <c r="F1025" s="214"/>
      <c r="G1025" s="214"/>
      <c r="H1025" s="214"/>
      <c r="I1025" s="214"/>
      <c r="J1025" s="214"/>
      <c r="K1025" s="268"/>
      <c r="L1025" s="214"/>
      <c r="M1025" s="269"/>
      <c r="N1025" s="214"/>
      <c r="O1025" s="214"/>
      <c r="P1025" s="214"/>
      <c r="Q1025" s="214"/>
      <c r="R1025" s="214"/>
      <c r="S1025" s="214"/>
      <c r="T1025" s="214"/>
      <c r="U1025" s="214"/>
      <c r="V1025" s="214"/>
      <c r="W1025" s="214"/>
      <c r="X1025" s="214"/>
      <c r="Y1025" s="261"/>
      <c r="Z1025" s="262"/>
      <c r="AA1025" s="262"/>
      <c r="AB1025" s="270"/>
      <c r="AC1025" s="214"/>
      <c r="AD1025" s="214"/>
      <c r="AE1025" s="214"/>
      <c r="AF1025" s="214"/>
      <c r="AG1025" s="214"/>
      <c r="AH1025" s="214"/>
      <c r="AI1025" s="261"/>
      <c r="AJ1025" s="214"/>
      <c r="AK1025" s="261"/>
      <c r="AL1025" s="261"/>
      <c r="AM1025" s="264"/>
      <c r="AN1025" s="214"/>
      <c r="AO1025" s="271"/>
      <c r="AP1025" s="271"/>
      <c r="AQ1025" s="271"/>
      <c r="AR1025" s="271"/>
      <c r="AS1025" s="272"/>
      <c r="AT1025" s="272"/>
      <c r="AU1025" s="214"/>
      <c r="AV1025" s="214"/>
    </row>
    <row r="1026" ht="15.75" customHeight="1">
      <c r="A1026" s="214"/>
      <c r="B1026" s="261"/>
      <c r="C1026" s="266"/>
      <c r="D1026" s="267"/>
      <c r="E1026" s="214"/>
      <c r="F1026" s="214"/>
      <c r="G1026" s="214"/>
      <c r="H1026" s="214"/>
      <c r="I1026" s="214"/>
      <c r="J1026" s="214"/>
      <c r="K1026" s="268"/>
      <c r="L1026" s="214"/>
      <c r="M1026" s="269"/>
      <c r="N1026" s="214"/>
      <c r="O1026" s="214"/>
      <c r="P1026" s="214"/>
      <c r="Q1026" s="214"/>
      <c r="R1026" s="214"/>
      <c r="S1026" s="214"/>
      <c r="T1026" s="214"/>
      <c r="U1026" s="214"/>
      <c r="V1026" s="214"/>
      <c r="W1026" s="214"/>
      <c r="X1026" s="214"/>
      <c r="Y1026" s="261"/>
      <c r="Z1026" s="262"/>
      <c r="AA1026" s="262"/>
      <c r="AB1026" s="270"/>
      <c r="AC1026" s="214"/>
      <c r="AD1026" s="214"/>
      <c r="AE1026" s="214"/>
      <c r="AF1026" s="214"/>
      <c r="AG1026" s="214"/>
      <c r="AH1026" s="214"/>
      <c r="AI1026" s="261"/>
      <c r="AJ1026" s="214"/>
      <c r="AK1026" s="261"/>
      <c r="AL1026" s="261"/>
      <c r="AM1026" s="264"/>
      <c r="AN1026" s="214"/>
      <c r="AO1026" s="271"/>
      <c r="AP1026" s="271"/>
      <c r="AQ1026" s="271"/>
      <c r="AR1026" s="271"/>
      <c r="AS1026" s="272"/>
      <c r="AT1026" s="272"/>
      <c r="AU1026" s="214"/>
      <c r="AV1026" s="214"/>
    </row>
    <row r="1027" ht="15.75" customHeight="1">
      <c r="A1027" s="214"/>
      <c r="B1027" s="261"/>
      <c r="C1027" s="266"/>
      <c r="D1027" s="267"/>
      <c r="E1027" s="214"/>
      <c r="F1027" s="214"/>
      <c r="G1027" s="214"/>
      <c r="H1027" s="214"/>
      <c r="I1027" s="214"/>
      <c r="J1027" s="214"/>
      <c r="K1027" s="268"/>
      <c r="L1027" s="214"/>
      <c r="M1027" s="269"/>
      <c r="N1027" s="214"/>
      <c r="O1027" s="214"/>
      <c r="P1027" s="214"/>
      <c r="Q1027" s="214"/>
      <c r="R1027" s="214"/>
      <c r="S1027" s="214"/>
      <c r="T1027" s="214"/>
      <c r="U1027" s="214"/>
      <c r="V1027" s="214"/>
      <c r="W1027" s="214"/>
      <c r="X1027" s="214"/>
      <c r="Y1027" s="261"/>
      <c r="Z1027" s="262"/>
      <c r="AA1027" s="262"/>
      <c r="AB1027" s="270"/>
      <c r="AC1027" s="214"/>
      <c r="AD1027" s="214"/>
      <c r="AE1027" s="214"/>
      <c r="AF1027" s="214"/>
      <c r="AG1027" s="214"/>
      <c r="AH1027" s="214"/>
      <c r="AI1027" s="261"/>
      <c r="AJ1027" s="214"/>
      <c r="AK1027" s="261"/>
      <c r="AL1027" s="261"/>
      <c r="AM1027" s="264"/>
      <c r="AN1027" s="214"/>
      <c r="AO1027" s="271"/>
      <c r="AP1027" s="271"/>
      <c r="AQ1027" s="271"/>
      <c r="AR1027" s="271"/>
      <c r="AS1027" s="272"/>
      <c r="AT1027" s="272"/>
      <c r="AU1027" s="214"/>
      <c r="AV1027" s="214"/>
    </row>
    <row r="1028" ht="15.75" customHeight="1">
      <c r="A1028" s="214"/>
      <c r="B1028" s="261"/>
      <c r="C1028" s="266"/>
      <c r="D1028" s="267"/>
      <c r="E1028" s="214"/>
      <c r="F1028" s="214"/>
      <c r="G1028" s="214"/>
      <c r="H1028" s="214"/>
      <c r="I1028" s="214"/>
      <c r="J1028" s="214"/>
      <c r="K1028" s="268"/>
      <c r="L1028" s="214"/>
      <c r="M1028" s="269"/>
      <c r="N1028" s="214"/>
      <c r="O1028" s="214"/>
      <c r="P1028" s="214"/>
      <c r="Q1028" s="214"/>
      <c r="R1028" s="214"/>
      <c r="S1028" s="214"/>
      <c r="T1028" s="214"/>
      <c r="U1028" s="214"/>
      <c r="V1028" s="214"/>
      <c r="W1028" s="214"/>
      <c r="X1028" s="214"/>
      <c r="Y1028" s="261"/>
      <c r="Z1028" s="262"/>
      <c r="AA1028" s="262"/>
      <c r="AB1028" s="270"/>
      <c r="AC1028" s="214"/>
      <c r="AD1028" s="214"/>
      <c r="AE1028" s="214"/>
      <c r="AF1028" s="214"/>
      <c r="AG1028" s="214"/>
      <c r="AH1028" s="214"/>
      <c r="AI1028" s="261"/>
      <c r="AJ1028" s="214"/>
      <c r="AK1028" s="261"/>
      <c r="AL1028" s="261"/>
      <c r="AM1028" s="264"/>
      <c r="AN1028" s="214"/>
      <c r="AO1028" s="271"/>
      <c r="AP1028" s="271"/>
      <c r="AQ1028" s="271"/>
      <c r="AR1028" s="271"/>
      <c r="AS1028" s="272"/>
      <c r="AT1028" s="272"/>
      <c r="AU1028" s="214"/>
      <c r="AV1028" s="214"/>
    </row>
    <row r="1029" ht="15.75" customHeight="1">
      <c r="A1029" s="214"/>
      <c r="B1029" s="261"/>
      <c r="C1029" s="266"/>
      <c r="D1029" s="267"/>
      <c r="E1029" s="214"/>
      <c r="F1029" s="214"/>
      <c r="G1029" s="214"/>
      <c r="H1029" s="214"/>
      <c r="I1029" s="214"/>
      <c r="J1029" s="214"/>
      <c r="K1029" s="268"/>
      <c r="L1029" s="214"/>
      <c r="M1029" s="269"/>
      <c r="N1029" s="214"/>
      <c r="O1029" s="214"/>
      <c r="P1029" s="214"/>
      <c r="Q1029" s="214"/>
      <c r="R1029" s="214"/>
      <c r="S1029" s="214"/>
      <c r="T1029" s="214"/>
      <c r="U1029" s="214"/>
      <c r="V1029" s="214"/>
      <c r="W1029" s="214"/>
      <c r="X1029" s="214"/>
      <c r="Y1029" s="261"/>
      <c r="Z1029" s="262"/>
      <c r="AA1029" s="262"/>
      <c r="AB1029" s="270"/>
      <c r="AC1029" s="214"/>
      <c r="AD1029" s="214"/>
      <c r="AE1029" s="214"/>
      <c r="AF1029" s="214"/>
      <c r="AG1029" s="214"/>
      <c r="AH1029" s="214"/>
      <c r="AI1029" s="261"/>
      <c r="AJ1029" s="214"/>
      <c r="AK1029" s="261"/>
      <c r="AL1029" s="261"/>
      <c r="AM1029" s="264"/>
      <c r="AN1029" s="214"/>
      <c r="AO1029" s="271"/>
      <c r="AP1029" s="271"/>
      <c r="AQ1029" s="271"/>
      <c r="AR1029" s="271"/>
      <c r="AS1029" s="272"/>
      <c r="AT1029" s="272"/>
      <c r="AU1029" s="214"/>
      <c r="AV1029" s="214"/>
    </row>
  </sheetData>
  <autoFilter ref="$A$1:$AV$1029"/>
  <customSheetViews>
    <customSheetView guid="{949B0593-BF4C-4693-822C-D9E7979550CE}" filter="1" showAutoFilter="1">
      <autoFilter ref="$A$1:$AV$1029"/>
      <extLst>
        <ext uri="GoogleSheetsCustomDataVersion1">
          <go:sheetsCustomData xmlns:go="http://customooxmlschemas.google.com/" filterViewId="1146301288"/>
        </ext>
      </extLst>
    </customSheetView>
  </customSheetViews>
  <dataValidations>
    <dataValidation type="list" allowBlank="1" showErrorMessage="1" sqref="P2:X197 AC2:AF197">
      <formula1>"Sim,Não,n/a,s/i"</formula1>
    </dataValidation>
    <dataValidation type="list" allowBlank="1" showErrorMessage="1" sqref="G2:I197 N2:N197 AN2:AN197">
      <formula1>"Sim,Não"</formula1>
    </dataValidation>
  </dataValidations>
  <hyperlinks>
    <hyperlink r:id="rId2" ref="AG2"/>
    <hyperlink r:id="rId3" ref="AH2"/>
    <hyperlink r:id="rId4" ref="AI2"/>
    <hyperlink r:id="rId5" ref="AJ2"/>
    <hyperlink r:id="rId6" ref="AO2"/>
    <hyperlink r:id="rId7" ref="AP2"/>
    <hyperlink r:id="rId8" location="conteudo_4" ref="AQ2"/>
    <hyperlink r:id="rId9" ref="AR2"/>
    <hyperlink r:id="rId10" ref="AG3"/>
    <hyperlink r:id="rId11" ref="AH3"/>
    <hyperlink r:id="rId12" ref="AI3"/>
    <hyperlink r:id="rId13" ref="AJ3"/>
    <hyperlink r:id="rId14" ref="AO3"/>
    <hyperlink r:id="rId15" ref="AP3"/>
    <hyperlink r:id="rId16" ref="AQ3"/>
    <hyperlink r:id="rId17" ref="AR3"/>
    <hyperlink r:id="rId18" ref="AS3"/>
    <hyperlink r:id="rId19" ref="AT3"/>
    <hyperlink r:id="rId20" ref="AG4"/>
    <hyperlink r:id="rId21" ref="AI4"/>
    <hyperlink r:id="rId22" ref="AJ4"/>
    <hyperlink r:id="rId23" ref="AO4"/>
    <hyperlink r:id="rId24" ref="AP4"/>
    <hyperlink r:id="rId25" ref="AQ4"/>
    <hyperlink r:id="rId26" ref="AR4"/>
    <hyperlink r:id="rId27" ref="AS4"/>
    <hyperlink r:id="rId28" ref="AT4"/>
    <hyperlink r:id="rId29" ref="AU4"/>
    <hyperlink r:id="rId30" ref="AG5"/>
    <hyperlink r:id="rId31" ref="AH5"/>
    <hyperlink r:id="rId32" ref="AI5"/>
    <hyperlink r:id="rId33" ref="AJ5"/>
    <hyperlink r:id="rId34" ref="AO5"/>
    <hyperlink r:id="rId35" ref="AG6"/>
    <hyperlink r:id="rId36" ref="AH6"/>
    <hyperlink r:id="rId37" ref="AI6"/>
    <hyperlink r:id="rId38" ref="AJ6"/>
    <hyperlink r:id="rId39" ref="AO6"/>
    <hyperlink r:id="rId40" ref="AP6"/>
    <hyperlink r:id="rId41" ref="AQ6"/>
    <hyperlink r:id="rId42" ref="AR6"/>
    <hyperlink r:id="rId43" ref="AS6"/>
    <hyperlink r:id="rId44" ref="AG7"/>
    <hyperlink r:id="rId45" ref="AH7"/>
    <hyperlink r:id="rId46" ref="AI7"/>
    <hyperlink r:id="rId47" ref="AK7"/>
    <hyperlink r:id="rId48" ref="AO7"/>
    <hyperlink r:id="rId49" ref="AP7"/>
    <hyperlink r:id="rId50" ref="AQ7"/>
    <hyperlink r:id="rId51" ref="AG8"/>
    <hyperlink r:id="rId52" ref="AH8"/>
    <hyperlink r:id="rId53" ref="AI8"/>
    <hyperlink r:id="rId54" ref="AJ8"/>
    <hyperlink r:id="rId55" ref="AK8"/>
    <hyperlink r:id="rId56" ref="AO8"/>
    <hyperlink r:id="rId57" ref="AP8"/>
    <hyperlink r:id="rId58" ref="AQ8"/>
    <hyperlink r:id="rId59" ref="AR8"/>
    <hyperlink r:id="rId60" location="page=20" ref="AS8"/>
    <hyperlink r:id="rId61" ref="AT8"/>
    <hyperlink r:id="rId62" ref="AU8"/>
    <hyperlink r:id="rId63" ref="AG9"/>
    <hyperlink r:id="rId64" ref="AH9"/>
    <hyperlink r:id="rId65" location="Oquefazemos" ref="AI9"/>
    <hyperlink r:id="rId66" ref="AJ9"/>
    <hyperlink r:id="rId67" ref="AO9"/>
    <hyperlink r:id="rId68" ref="AP9"/>
    <hyperlink r:id="rId69" ref="AQ9"/>
    <hyperlink r:id="rId70" location="Oquefazemos" ref="AR9"/>
    <hyperlink r:id="rId71" ref="AS9"/>
    <hyperlink r:id="rId72" ref="AG10"/>
    <hyperlink r:id="rId73" ref="AH10"/>
    <hyperlink r:id="rId74" ref="AI10"/>
    <hyperlink r:id="rId75" ref="AJ10"/>
    <hyperlink r:id="rId76" ref="AK10"/>
    <hyperlink r:id="rId77" ref="AO10"/>
    <hyperlink r:id="rId78" ref="AP10"/>
    <hyperlink r:id="rId79" ref="AQ10"/>
    <hyperlink r:id="rId80" ref="AR10"/>
    <hyperlink r:id="rId81" ref="AS10"/>
    <hyperlink r:id="rId82" ref="AT10"/>
    <hyperlink r:id="rId83" ref="AU10"/>
    <hyperlink r:id="rId84" ref="AG11"/>
    <hyperlink r:id="rId85" ref="AI11"/>
    <hyperlink r:id="rId86" ref="AK11"/>
    <hyperlink r:id="rId87" ref="AO11"/>
    <hyperlink r:id="rId88" ref="AP11"/>
    <hyperlink r:id="rId89" ref="AQ11"/>
    <hyperlink r:id="rId90" ref="AR11"/>
    <hyperlink r:id="rId91" ref="AS11"/>
    <hyperlink r:id="rId92" ref="AT11"/>
    <hyperlink r:id="rId93" ref="AG12"/>
    <hyperlink r:id="rId94" ref="AH12"/>
    <hyperlink r:id="rId95" ref="AI12"/>
    <hyperlink r:id="rId96" ref="AJ12"/>
    <hyperlink r:id="rId97" ref="AO12"/>
    <hyperlink r:id="rId98" ref="AP12"/>
    <hyperlink r:id="rId99" ref="AQ12"/>
    <hyperlink r:id="rId100" ref="AR12"/>
    <hyperlink r:id="rId101" ref="AS12"/>
    <hyperlink r:id="rId102" ref="AI13"/>
    <hyperlink r:id="rId103" ref="AO13"/>
    <hyperlink r:id="rId104" ref="AP13"/>
    <hyperlink r:id="rId105" ref="AQ13"/>
    <hyperlink r:id="rId106" ref="AG14"/>
    <hyperlink r:id="rId107" ref="AH14"/>
    <hyperlink r:id="rId108" ref="AI14"/>
    <hyperlink r:id="rId109" ref="AJ14"/>
    <hyperlink r:id="rId110" ref="AO14"/>
    <hyperlink r:id="rId111" ref="AP14"/>
    <hyperlink r:id="rId112" ref="AQ14"/>
    <hyperlink r:id="rId113" ref="AR14"/>
    <hyperlink r:id="rId114" ref="AG15"/>
    <hyperlink r:id="rId115" ref="AH15"/>
    <hyperlink r:id="rId116" ref="AI15"/>
    <hyperlink r:id="rId117" ref="AJ15"/>
    <hyperlink r:id="rId118" ref="AO15"/>
    <hyperlink r:id="rId119" ref="AP15"/>
    <hyperlink r:id="rId120" ref="AQ15"/>
    <hyperlink r:id="rId121" ref="AG16"/>
    <hyperlink r:id="rId122" ref="AH16"/>
    <hyperlink r:id="rId123" ref="AI16"/>
    <hyperlink r:id="rId124" ref="AJ16"/>
    <hyperlink r:id="rId125" ref="AK16"/>
    <hyperlink r:id="rId126" ref="AO16"/>
    <hyperlink r:id="rId127" ref="AP16"/>
    <hyperlink r:id="rId128" ref="AQ16"/>
    <hyperlink r:id="rId129" ref="AG17"/>
    <hyperlink r:id="rId130" ref="AH17"/>
    <hyperlink r:id="rId131" ref="AI17"/>
    <hyperlink r:id="rId132" ref="AJ17"/>
    <hyperlink r:id="rId133" ref="AO17"/>
    <hyperlink r:id="rId134" ref="AP17"/>
    <hyperlink r:id="rId135" ref="AG18"/>
    <hyperlink r:id="rId136" ref="AH18"/>
    <hyperlink r:id="rId137" ref="AI18"/>
    <hyperlink r:id="rId138" ref="AJ18"/>
    <hyperlink r:id="rId139" ref="AK18"/>
    <hyperlink r:id="rId140" ref="AO18"/>
    <hyperlink r:id="rId141" ref="AP18"/>
    <hyperlink r:id="rId142" ref="AQ18"/>
    <hyperlink r:id="rId143" ref="AR18"/>
    <hyperlink r:id="rId144" ref="AG19"/>
    <hyperlink r:id="rId145" ref="AI19"/>
    <hyperlink r:id="rId146" ref="AO19"/>
    <hyperlink r:id="rId147" ref="AP19"/>
    <hyperlink r:id="rId148" ref="AQ19"/>
    <hyperlink r:id="rId149" ref="AR19"/>
    <hyperlink r:id="rId150" ref="AG20"/>
    <hyperlink r:id="rId151" ref="AH20"/>
    <hyperlink r:id="rId152" ref="AI20"/>
    <hyperlink r:id="rId153" ref="AJ20"/>
    <hyperlink r:id="rId154" ref="AO20"/>
    <hyperlink r:id="rId155" ref="AP20"/>
    <hyperlink r:id="rId156" ref="AQ20"/>
    <hyperlink r:id="rId157" ref="AG21"/>
    <hyperlink r:id="rId158" ref="AH21"/>
    <hyperlink r:id="rId159" ref="AI21"/>
    <hyperlink r:id="rId160" ref="AJ21"/>
    <hyperlink r:id="rId161" ref="AO21"/>
    <hyperlink r:id="rId162" ref="AP21"/>
    <hyperlink r:id="rId163" ref="AQ21"/>
    <hyperlink r:id="rId164" ref="AR21"/>
    <hyperlink r:id="rId165" ref="AS21"/>
    <hyperlink r:id="rId166" ref="AG22"/>
    <hyperlink r:id="rId167" ref="AH22"/>
    <hyperlink r:id="rId168" ref="AI22"/>
    <hyperlink r:id="rId169" ref="AJ22"/>
    <hyperlink r:id="rId170" ref="AO22"/>
    <hyperlink r:id="rId171" ref="AP22"/>
    <hyperlink r:id="rId172" ref="AI23"/>
    <hyperlink r:id="rId173" ref="AK23"/>
    <hyperlink r:id="rId174" ref="AO23"/>
    <hyperlink r:id="rId175" ref="AP23"/>
    <hyperlink r:id="rId176" ref="AQ23"/>
    <hyperlink r:id="rId177" ref="AR23"/>
    <hyperlink r:id="rId178" ref="AS23"/>
    <hyperlink r:id="rId179" ref="AT23"/>
    <hyperlink r:id="rId180" ref="AI24"/>
    <hyperlink r:id="rId181" ref="AK24"/>
    <hyperlink r:id="rId182" ref="AO24"/>
    <hyperlink r:id="rId183" ref="AP24"/>
    <hyperlink r:id="rId184" ref="AQ24"/>
    <hyperlink r:id="rId185" ref="AR24"/>
    <hyperlink r:id="rId186" ref="AS24"/>
    <hyperlink r:id="rId187" ref="AI25"/>
    <hyperlink r:id="rId188" ref="AK25"/>
    <hyperlink r:id="rId189" ref="AO25"/>
    <hyperlink r:id="rId190" ref="AP25"/>
    <hyperlink r:id="rId191" ref="AQ25"/>
    <hyperlink r:id="rId192" ref="AR25"/>
    <hyperlink r:id="rId193" ref="AI26"/>
    <hyperlink r:id="rId194" ref="AK26"/>
    <hyperlink r:id="rId195" ref="AO26"/>
    <hyperlink r:id="rId196" ref="AP26"/>
    <hyperlink r:id="rId197" ref="AQ26"/>
    <hyperlink r:id="rId198" ref="AR26"/>
    <hyperlink r:id="rId199" ref="AI27"/>
    <hyperlink r:id="rId200" ref="AO27"/>
    <hyperlink r:id="rId201" ref="AP27"/>
    <hyperlink r:id="rId202" ref="AQ27"/>
    <hyperlink r:id="rId203" ref="AR27"/>
    <hyperlink r:id="rId204" ref="AS27"/>
    <hyperlink r:id="rId205" ref="AI28"/>
    <hyperlink r:id="rId206" ref="AO28"/>
    <hyperlink r:id="rId207" ref="AP28"/>
    <hyperlink r:id="rId208" ref="AQ28"/>
    <hyperlink r:id="rId209" ref="AR28"/>
    <hyperlink r:id="rId210" ref="AS28"/>
    <hyperlink r:id="rId211" ref="AI29"/>
    <hyperlink r:id="rId212" ref="AO29"/>
    <hyperlink r:id="rId213" ref="AP29"/>
    <hyperlink r:id="rId214" ref="AI30"/>
    <hyperlink r:id="rId215" ref="AO30"/>
    <hyperlink r:id="rId216" ref="AP30"/>
    <hyperlink r:id="rId217" ref="AQ30"/>
    <hyperlink r:id="rId218" ref="AR30"/>
    <hyperlink r:id="rId219" ref="AS30"/>
    <hyperlink r:id="rId220" ref="AT30"/>
    <hyperlink r:id="rId221" ref="AI31"/>
    <hyperlink r:id="rId222" ref="AO31"/>
    <hyperlink r:id="rId223" ref="AP31"/>
    <hyperlink r:id="rId224" ref="AQ31"/>
    <hyperlink r:id="rId225" ref="AR31"/>
    <hyperlink r:id="rId226" ref="AS31"/>
    <hyperlink r:id="rId227" ref="AI32"/>
    <hyperlink r:id="rId228" ref="AO32"/>
    <hyperlink r:id="rId229" ref="AP32"/>
    <hyperlink r:id="rId230" ref="AI33"/>
    <hyperlink r:id="rId231" ref="AK33"/>
    <hyperlink r:id="rId232" ref="AO33"/>
    <hyperlink r:id="rId233" ref="AP33"/>
    <hyperlink r:id="rId234" ref="AQ33"/>
    <hyperlink r:id="rId235" ref="AR33"/>
    <hyperlink r:id="rId236" ref="AS33"/>
    <hyperlink r:id="rId237" ref="AI34"/>
    <hyperlink r:id="rId238" ref="AK34"/>
    <hyperlink r:id="rId239" ref="AO34"/>
    <hyperlink r:id="rId240" ref="AP34"/>
    <hyperlink r:id="rId241" ref="AQ34"/>
    <hyperlink r:id="rId242" ref="AR34"/>
    <hyperlink r:id="rId243" ref="AS34"/>
    <hyperlink r:id="rId244" ref="AT34"/>
    <hyperlink r:id="rId245" ref="AI35"/>
    <hyperlink r:id="rId246" ref="AO35"/>
    <hyperlink r:id="rId247" ref="AP35"/>
    <hyperlink r:id="rId248" ref="AQ35"/>
    <hyperlink r:id="rId249" ref="AR35"/>
    <hyperlink r:id="rId250" ref="AS35"/>
    <hyperlink r:id="rId251" ref="AT35"/>
    <hyperlink r:id="rId252" ref="AU35"/>
    <hyperlink r:id="rId253" ref="AI36"/>
    <hyperlink r:id="rId254" ref="AO36"/>
    <hyperlink r:id="rId255" ref="AP36"/>
    <hyperlink r:id="rId256" ref="AQ36"/>
    <hyperlink r:id="rId257" ref="AI37"/>
    <hyperlink r:id="rId258" ref="AO37"/>
    <hyperlink r:id="rId259" ref="AP37"/>
    <hyperlink r:id="rId260" ref="AQ37"/>
    <hyperlink r:id="rId261" ref="AR37"/>
    <hyperlink r:id="rId262" ref="AI38"/>
    <hyperlink r:id="rId263" location="flipbook-df_323/5/" ref="AO38"/>
    <hyperlink r:id="rId264" location="flipbook-df_321/1/" ref="AP38"/>
    <hyperlink r:id="rId265" location="flipbook-df_319/1/" ref="AQ38"/>
    <hyperlink r:id="rId266" location="flipbook-df_307/1/" ref="AR38"/>
    <hyperlink r:id="rId267" ref="AI39"/>
    <hyperlink r:id="rId268" ref="AO39"/>
    <hyperlink r:id="rId269" ref="AP39"/>
    <hyperlink r:id="rId270" ref="AQ39"/>
    <hyperlink r:id="rId271" ref="AR39"/>
    <hyperlink r:id="rId272" ref="AS39"/>
    <hyperlink r:id="rId273" ref="AI40"/>
    <hyperlink r:id="rId274" ref="AK40"/>
    <hyperlink r:id="rId275" location=":~:text=Fundado%20em%201998%2C%20o%20Grupo,Coffee%2C%20foi%20criada%20em%202000." ref="AO40"/>
    <hyperlink r:id="rId276" ref="AP40"/>
    <hyperlink r:id="rId277" ref="AQ40"/>
    <hyperlink r:id="rId278" ref="AR40"/>
    <hyperlink r:id="rId279" ref="AI41"/>
    <hyperlink r:id="rId280" ref="AK41"/>
    <hyperlink r:id="rId281" ref="AO41"/>
    <hyperlink r:id="rId282" ref="AP41"/>
    <hyperlink r:id="rId283" ref="AQ41"/>
    <hyperlink r:id="rId284" ref="AR41"/>
    <hyperlink r:id="rId285" ref="AS41"/>
    <hyperlink r:id="rId286" ref="AT41"/>
    <hyperlink r:id="rId287" ref="AI42"/>
    <hyperlink r:id="rId288" ref="AO42"/>
    <hyperlink r:id="rId289" ref="AP42"/>
    <hyperlink r:id="rId290" ref="AQ42"/>
    <hyperlink r:id="rId291" ref="AR42"/>
    <hyperlink r:id="rId292" ref="AI43"/>
    <hyperlink r:id="rId293" ref="AK43"/>
    <hyperlink r:id="rId294" ref="AO43"/>
    <hyperlink r:id="rId295" ref="AP43"/>
    <hyperlink r:id="rId296" ref="AQ43"/>
    <hyperlink r:id="rId297" ref="AR43"/>
    <hyperlink r:id="rId298" ref="AI44"/>
    <hyperlink r:id="rId299" ref="AK44"/>
    <hyperlink r:id="rId300" ref="AO44"/>
    <hyperlink r:id="rId301" ref="AP44"/>
    <hyperlink r:id="rId302" ref="AQ44"/>
    <hyperlink r:id="rId303" ref="AR44"/>
    <hyperlink r:id="rId304" ref="AI45"/>
    <hyperlink r:id="rId305" ref="AO45"/>
    <hyperlink r:id="rId306" ref="AP45"/>
    <hyperlink r:id="rId307" ref="AQ45"/>
    <hyperlink r:id="rId308" ref="AR45"/>
    <hyperlink r:id="rId309" ref="AI46"/>
    <hyperlink r:id="rId310" ref="AK46"/>
    <hyperlink r:id="rId311" ref="AO46"/>
    <hyperlink r:id="rId312" ref="AP46"/>
    <hyperlink r:id="rId313" ref="AQ46"/>
    <hyperlink r:id="rId314" ref="AR46"/>
    <hyperlink r:id="rId315" ref="AS46"/>
    <hyperlink r:id="rId316" ref="AI47"/>
    <hyperlink r:id="rId317" ref="AK47"/>
    <hyperlink r:id="rId318" ref="AO47"/>
    <hyperlink r:id="rId319" ref="AP47"/>
    <hyperlink r:id="rId320" ref="AQ47"/>
    <hyperlink r:id="rId321" ref="AR47"/>
    <hyperlink r:id="rId322" ref="AS47"/>
    <hyperlink r:id="rId323" ref="AI48"/>
    <hyperlink r:id="rId324" ref="AK48"/>
    <hyperlink r:id="rId325" ref="AO48"/>
    <hyperlink r:id="rId326" ref="AP48"/>
    <hyperlink r:id="rId327" ref="AQ48"/>
    <hyperlink r:id="rId328" ref="AR48"/>
    <hyperlink r:id="rId329" ref="AI49"/>
    <hyperlink r:id="rId330" ref="AO49"/>
    <hyperlink r:id="rId331" ref="AP49"/>
    <hyperlink r:id="rId332" ref="AQ49"/>
    <hyperlink r:id="rId333" ref="AR49"/>
    <hyperlink r:id="rId334" ref="AI50"/>
    <hyperlink r:id="rId335" ref="AO50"/>
    <hyperlink r:id="rId336" ref="AP50"/>
    <hyperlink r:id="rId337" ref="AQ50"/>
    <hyperlink r:id="rId338" ref="AR50"/>
    <hyperlink r:id="rId339" ref="AI51"/>
    <hyperlink r:id="rId340" ref="AK51"/>
    <hyperlink r:id="rId341" ref="AO51"/>
    <hyperlink r:id="rId342" ref="AP51"/>
    <hyperlink r:id="rId343" ref="AQ51"/>
    <hyperlink r:id="rId344" ref="AR51"/>
    <hyperlink r:id="rId345" ref="AI52"/>
    <hyperlink r:id="rId346" ref="AK52"/>
    <hyperlink r:id="rId347" ref="AO52"/>
    <hyperlink r:id="rId348" ref="AP52"/>
    <hyperlink r:id="rId349" ref="AQ52"/>
    <hyperlink r:id="rId350" ref="AR52"/>
    <hyperlink r:id="rId351" ref="AI53"/>
    <hyperlink r:id="rId352" ref="AO53"/>
    <hyperlink r:id="rId353" ref="AP53"/>
    <hyperlink r:id="rId354" ref="AQ53"/>
    <hyperlink r:id="rId355" ref="AI54"/>
    <hyperlink r:id="rId356" ref="AK54"/>
    <hyperlink r:id="rId357" ref="AO54"/>
    <hyperlink r:id="rId358" ref="AP54"/>
    <hyperlink r:id="rId359" ref="AQ54"/>
    <hyperlink r:id="rId360" ref="AR54"/>
    <hyperlink r:id="rId361" ref="AI55"/>
    <hyperlink r:id="rId362" ref="AO55"/>
    <hyperlink r:id="rId363" ref="AP55"/>
    <hyperlink r:id="rId364" ref="AQ55"/>
    <hyperlink r:id="rId365" ref="AR55"/>
    <hyperlink r:id="rId366" ref="AS55"/>
    <hyperlink r:id="rId367" ref="AI56"/>
    <hyperlink r:id="rId368" ref="AO56"/>
    <hyperlink r:id="rId369" ref="AP56"/>
    <hyperlink r:id="rId370" ref="AI57"/>
    <hyperlink r:id="rId371" ref="AO57"/>
    <hyperlink r:id="rId372" ref="AP57"/>
    <hyperlink r:id="rId373" ref="AQ57"/>
    <hyperlink r:id="rId374" ref="AR57"/>
    <hyperlink r:id="rId375" ref="AS57"/>
    <hyperlink r:id="rId376" ref="AT57"/>
    <hyperlink r:id="rId377" ref="AU57"/>
    <hyperlink r:id="rId378" ref="AI58"/>
    <hyperlink r:id="rId379" ref="AO58"/>
    <hyperlink r:id="rId380" ref="AP58"/>
    <hyperlink r:id="rId381" ref="AQ58"/>
    <hyperlink r:id="rId382" ref="AI59"/>
    <hyperlink r:id="rId383" ref="AO59"/>
    <hyperlink r:id="rId384" ref="AP59"/>
    <hyperlink r:id="rId385" ref="AQ59"/>
    <hyperlink r:id="rId386" ref="AI60"/>
    <hyperlink r:id="rId387" ref="AK60"/>
    <hyperlink r:id="rId388" ref="AO60"/>
    <hyperlink r:id="rId389" ref="AP60"/>
    <hyperlink r:id="rId390" ref="AQ60"/>
    <hyperlink r:id="rId391" ref="AI61"/>
    <hyperlink r:id="rId392" ref="AO61"/>
    <hyperlink r:id="rId393" ref="AP61"/>
    <hyperlink r:id="rId394" ref="AQ61"/>
    <hyperlink r:id="rId395" ref="AI62"/>
    <hyperlink r:id="rId396" ref="AO62"/>
    <hyperlink r:id="rId397" ref="AP62"/>
    <hyperlink r:id="rId398" ref="AQ62"/>
    <hyperlink r:id="rId399" ref="AR62"/>
    <hyperlink r:id="rId400" ref="AI63"/>
    <hyperlink r:id="rId401" ref="AO63"/>
    <hyperlink r:id="rId402" ref="AP63"/>
    <hyperlink r:id="rId403" ref="AQ63"/>
    <hyperlink r:id="rId404" ref="AR63"/>
    <hyperlink r:id="rId405" ref="AI64"/>
    <hyperlink r:id="rId406" ref="AO64"/>
    <hyperlink r:id="rId407" ref="AP64"/>
    <hyperlink r:id="rId408" ref="AQ64"/>
    <hyperlink r:id="rId409" ref="AR64"/>
    <hyperlink r:id="rId410" ref="AI65"/>
    <hyperlink r:id="rId411" ref="AK65"/>
    <hyperlink r:id="rId412" ref="AO65"/>
    <hyperlink r:id="rId413" ref="AP65"/>
    <hyperlink r:id="rId414" ref="AQ65"/>
    <hyperlink r:id="rId415" ref="AR65"/>
    <hyperlink r:id="rId416" ref="AS65"/>
    <hyperlink r:id="rId417" ref="AT65"/>
    <hyperlink r:id="rId418" ref="AI66"/>
    <hyperlink r:id="rId419" ref="AO66"/>
    <hyperlink r:id="rId420" ref="AP66"/>
    <hyperlink r:id="rId421" ref="AQ66"/>
    <hyperlink r:id="rId422" ref="AR66"/>
    <hyperlink r:id="rId423" ref="AI67"/>
    <hyperlink r:id="rId424" ref="AO67"/>
    <hyperlink r:id="rId425" location="/social" ref="AP67"/>
    <hyperlink r:id="rId426" location="/" ref="AQ67"/>
    <hyperlink r:id="rId427" ref="AR67"/>
    <hyperlink r:id="rId428" ref="AI68"/>
    <hyperlink r:id="rId429" ref="AK68"/>
    <hyperlink r:id="rId430" ref="AO68"/>
    <hyperlink r:id="rId431" ref="AP68"/>
    <hyperlink r:id="rId432" ref="AQ68"/>
    <hyperlink r:id="rId433" ref="AR68"/>
    <hyperlink r:id="rId434" ref="AS68"/>
    <hyperlink r:id="rId435" ref="AI69"/>
    <hyperlink r:id="rId436" ref="AK69"/>
    <hyperlink r:id="rId437" ref="AO69"/>
    <hyperlink r:id="rId438" ref="AP69"/>
    <hyperlink r:id="rId439" location="p=1" ref="AQ69"/>
    <hyperlink r:id="rId440" ref="AI70"/>
    <hyperlink r:id="rId441" ref="AO70"/>
    <hyperlink r:id="rId442" ref="AP70"/>
    <hyperlink r:id="rId443" ref="AI71"/>
    <hyperlink r:id="rId444" ref="AO71"/>
    <hyperlink r:id="rId445" ref="AP71"/>
    <hyperlink r:id="rId446" ref="AQ71"/>
    <hyperlink r:id="rId447" ref="AR71"/>
    <hyperlink r:id="rId448" ref="AI72"/>
    <hyperlink r:id="rId449" ref="AK72"/>
    <hyperlink r:id="rId450" ref="AO72"/>
    <hyperlink r:id="rId451" ref="AP72"/>
    <hyperlink r:id="rId452" ref="AI73"/>
    <hyperlink r:id="rId453" ref="AO73"/>
    <hyperlink r:id="rId454" ref="AP73"/>
    <hyperlink r:id="rId455" ref="AI74"/>
    <hyperlink r:id="rId456" ref="AK74"/>
    <hyperlink r:id="rId457" ref="AO74"/>
    <hyperlink r:id="rId458" ref="AP74"/>
    <hyperlink r:id="rId459" ref="AQ74"/>
    <hyperlink r:id="rId460" ref="AR74"/>
    <hyperlink r:id="rId461" ref="AI75"/>
    <hyperlink r:id="rId462" ref="AO75"/>
    <hyperlink r:id="rId463" ref="AP75"/>
    <hyperlink r:id="rId464" ref="AQ75"/>
    <hyperlink r:id="rId465" ref="AR75"/>
    <hyperlink r:id="rId466" ref="AS75"/>
    <hyperlink r:id="rId467" ref="AT75"/>
    <hyperlink r:id="rId468" ref="AI76"/>
    <hyperlink r:id="rId469" ref="AO76"/>
    <hyperlink r:id="rId470" ref="AP76"/>
    <hyperlink r:id="rId471" ref="AQ76"/>
    <hyperlink r:id="rId472" ref="AI77"/>
    <hyperlink r:id="rId473" ref="AO77"/>
    <hyperlink r:id="rId474" ref="AP77"/>
    <hyperlink r:id="rId475" ref="AQ77"/>
    <hyperlink r:id="rId476" ref="AR77"/>
    <hyperlink r:id="rId477" ref="AI78"/>
    <hyperlink r:id="rId478" ref="AK78"/>
    <hyperlink r:id="rId479" ref="AO78"/>
    <hyperlink r:id="rId480" ref="AP78"/>
    <hyperlink r:id="rId481" ref="AI79"/>
    <hyperlink r:id="rId482" ref="AO79"/>
    <hyperlink r:id="rId483" ref="AP79"/>
    <hyperlink r:id="rId484" ref="AI80"/>
    <hyperlink r:id="rId485" ref="AO80"/>
    <hyperlink r:id="rId486" ref="AP80"/>
    <hyperlink r:id="rId487" ref="AQ80"/>
    <hyperlink r:id="rId488" ref="AI81"/>
    <hyperlink r:id="rId489" ref="AO81"/>
    <hyperlink r:id="rId490" ref="AI82"/>
    <hyperlink r:id="rId491" ref="AO82"/>
    <hyperlink r:id="rId492" ref="AI83"/>
    <hyperlink r:id="rId493" ref="AO83"/>
    <hyperlink r:id="rId494" ref="AP83"/>
    <hyperlink r:id="rId495" ref="AQ83"/>
    <hyperlink r:id="rId496" ref="AI84"/>
    <hyperlink r:id="rId497" ref="AO84"/>
    <hyperlink r:id="rId498" ref="AP84"/>
    <hyperlink r:id="rId499" location="sustentabilidadeRelatorio" ref="AI85"/>
    <hyperlink r:id="rId500" ref="AO85"/>
    <hyperlink r:id="rId501" ref="AP85"/>
    <hyperlink r:id="rId502" ref="AQ85"/>
    <hyperlink r:id="rId503" ref="AI86"/>
    <hyperlink r:id="rId504" ref="AK86"/>
    <hyperlink r:id="rId505" ref="AO86"/>
    <hyperlink r:id="rId506" ref="AP86"/>
    <hyperlink r:id="rId507" ref="AI87"/>
    <hyperlink r:id="rId508" ref="AO87"/>
    <hyperlink r:id="rId509" ref="AP87"/>
    <hyperlink r:id="rId510" ref="AQ87"/>
    <hyperlink r:id="rId511" ref="AR87"/>
    <hyperlink r:id="rId512" ref="AI88"/>
    <hyperlink r:id="rId513" ref="AO88"/>
    <hyperlink r:id="rId514" ref="AP88"/>
    <hyperlink r:id="rId515" ref="AQ88"/>
    <hyperlink r:id="rId516" ref="AI89"/>
    <hyperlink r:id="rId517" ref="AO89"/>
    <hyperlink r:id="rId518" ref="AP89"/>
    <hyperlink r:id="rId519" ref="AQ89"/>
    <hyperlink r:id="rId520" ref="AR89"/>
    <hyperlink r:id="rId521" ref="AI90"/>
    <hyperlink r:id="rId522" ref="AO90"/>
    <hyperlink r:id="rId523" ref="AP90"/>
    <hyperlink r:id="rId524" ref="AQ90"/>
    <hyperlink r:id="rId525" ref="AR90"/>
    <hyperlink r:id="rId526" ref="AI91"/>
    <hyperlink r:id="rId527" ref="AO91"/>
    <hyperlink r:id="rId528" ref="AI92"/>
    <hyperlink r:id="rId529" ref="AO92"/>
    <hyperlink r:id="rId530" ref="AI93"/>
    <hyperlink r:id="rId531" ref="AO93"/>
    <hyperlink r:id="rId532" ref="AP93"/>
    <hyperlink r:id="rId533" ref="AI94"/>
    <hyperlink r:id="rId534" ref="AK94"/>
    <hyperlink r:id="rId535" ref="AO94"/>
    <hyperlink r:id="rId536" ref="AP94"/>
    <hyperlink r:id="rId537" ref="AI95"/>
    <hyperlink r:id="rId538" ref="AO95"/>
    <hyperlink r:id="rId539" ref="AP95"/>
    <hyperlink r:id="rId540" ref="AI96"/>
    <hyperlink r:id="rId541" ref="AO96"/>
    <hyperlink r:id="rId542" ref="AP96"/>
    <hyperlink r:id="rId543" ref="AQ96"/>
    <hyperlink r:id="rId544" ref="AR96"/>
    <hyperlink r:id="rId545" ref="AI97"/>
    <hyperlink r:id="rId546" ref="AO97"/>
    <hyperlink r:id="rId547" ref="AI98"/>
    <hyperlink r:id="rId548" ref="AO98"/>
    <hyperlink r:id="rId549" ref="AP98"/>
    <hyperlink r:id="rId550" ref="AQ98"/>
    <hyperlink r:id="rId551" ref="AR98"/>
    <hyperlink r:id="rId552" ref="AS98"/>
    <hyperlink r:id="rId553" ref="AI99"/>
    <hyperlink r:id="rId554" ref="AO99"/>
    <hyperlink r:id="rId555" ref="AP99"/>
    <hyperlink r:id="rId556" ref="AQ99"/>
  </hyperlinks>
  <drawing r:id="rId557"/>
  <legacyDrawing r:id="rId558"/>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8.0"/>
    <col customWidth="1" min="2" max="2" width="42.38"/>
    <col customWidth="1" min="3" max="3" width="51.5"/>
    <col customWidth="1" min="4" max="6" width="12.63"/>
  </cols>
  <sheetData>
    <row r="1" ht="15.75" customHeight="1">
      <c r="A1" s="273" t="s">
        <v>3981</v>
      </c>
      <c r="B1" s="273" t="s">
        <v>3161</v>
      </c>
      <c r="C1" s="274" t="s">
        <v>3982</v>
      </c>
      <c r="D1" s="274" t="s">
        <v>3163</v>
      </c>
      <c r="E1" s="275"/>
      <c r="F1" s="275"/>
      <c r="G1" s="275"/>
      <c r="H1" s="275"/>
      <c r="I1" s="275"/>
      <c r="J1" s="275"/>
      <c r="K1" s="275"/>
      <c r="L1" s="275"/>
      <c r="M1" s="275"/>
      <c r="N1" s="275"/>
      <c r="O1" s="275"/>
      <c r="P1" s="275"/>
      <c r="Q1" s="275"/>
      <c r="R1" s="275"/>
      <c r="S1" s="275"/>
      <c r="T1" s="275"/>
      <c r="U1" s="275"/>
      <c r="V1" s="275"/>
      <c r="W1" s="275"/>
      <c r="X1" s="275"/>
      <c r="Y1" s="275"/>
      <c r="Z1" s="275"/>
    </row>
    <row r="2" ht="15.75" customHeight="1">
      <c r="A2" s="276" t="s">
        <v>1</v>
      </c>
      <c r="B2" s="276" t="s">
        <v>3164</v>
      </c>
      <c r="C2" s="277" t="s">
        <v>3166</v>
      </c>
      <c r="D2" s="278"/>
      <c r="E2" s="279"/>
      <c r="F2" s="279"/>
      <c r="G2" s="279"/>
      <c r="H2" s="279"/>
      <c r="I2" s="279"/>
      <c r="J2" s="279"/>
      <c r="K2" s="279"/>
      <c r="L2" s="279"/>
      <c r="M2" s="279"/>
      <c r="N2" s="279"/>
      <c r="O2" s="279"/>
      <c r="P2" s="279"/>
      <c r="Q2" s="279"/>
      <c r="R2" s="279"/>
      <c r="S2" s="279"/>
      <c r="T2" s="279"/>
      <c r="U2" s="279"/>
      <c r="V2" s="279"/>
      <c r="W2" s="279"/>
      <c r="X2" s="279"/>
      <c r="Y2" s="279"/>
      <c r="Z2" s="279"/>
    </row>
    <row r="3" ht="15.75" customHeight="1">
      <c r="A3" s="276" t="s">
        <v>0</v>
      </c>
      <c r="B3" s="276" t="s">
        <v>3164</v>
      </c>
      <c r="C3" s="277" t="s">
        <v>3983</v>
      </c>
      <c r="D3" s="278" t="s">
        <v>3164</v>
      </c>
      <c r="E3" s="279"/>
      <c r="F3" s="279"/>
      <c r="G3" s="279"/>
      <c r="H3" s="279"/>
      <c r="I3" s="279"/>
      <c r="J3" s="279"/>
      <c r="K3" s="279"/>
      <c r="L3" s="279"/>
      <c r="M3" s="279"/>
      <c r="N3" s="279"/>
      <c r="O3" s="279"/>
      <c r="P3" s="279"/>
      <c r="Q3" s="279"/>
      <c r="R3" s="279"/>
      <c r="S3" s="279"/>
      <c r="T3" s="279"/>
      <c r="U3" s="279"/>
      <c r="V3" s="279"/>
      <c r="W3" s="279"/>
      <c r="X3" s="279"/>
      <c r="Y3" s="279"/>
      <c r="Z3" s="279"/>
    </row>
    <row r="4" ht="15.75" customHeight="1">
      <c r="A4" s="280" t="s">
        <v>3476</v>
      </c>
      <c r="B4" s="280" t="s">
        <v>3164</v>
      </c>
      <c r="C4" s="281" t="s">
        <v>3984</v>
      </c>
      <c r="D4" s="195" t="s">
        <v>3164</v>
      </c>
      <c r="E4" s="279"/>
      <c r="F4" s="279"/>
      <c r="G4" s="279"/>
      <c r="H4" s="279"/>
      <c r="I4" s="279"/>
      <c r="J4" s="279"/>
      <c r="K4" s="279"/>
      <c r="L4" s="279"/>
      <c r="M4" s="279"/>
      <c r="N4" s="279"/>
      <c r="O4" s="279"/>
      <c r="P4" s="279"/>
      <c r="Q4" s="279"/>
      <c r="R4" s="279"/>
      <c r="S4" s="279"/>
      <c r="T4" s="279"/>
      <c r="U4" s="279"/>
      <c r="V4" s="279"/>
      <c r="W4" s="279"/>
      <c r="X4" s="279"/>
      <c r="Y4" s="279"/>
      <c r="Z4" s="279"/>
    </row>
    <row r="5" ht="15.75" customHeight="1">
      <c r="A5" s="276" t="s">
        <v>3477</v>
      </c>
      <c r="B5" s="276" t="s">
        <v>3167</v>
      </c>
      <c r="C5" s="277" t="s">
        <v>3985</v>
      </c>
      <c r="D5" s="278" t="s">
        <v>3164</v>
      </c>
      <c r="E5" s="279"/>
      <c r="F5" s="279"/>
      <c r="G5" s="279"/>
      <c r="H5" s="279"/>
      <c r="I5" s="279"/>
      <c r="J5" s="279"/>
      <c r="K5" s="279"/>
      <c r="L5" s="279"/>
      <c r="M5" s="279"/>
      <c r="N5" s="279"/>
      <c r="O5" s="279"/>
      <c r="P5" s="279"/>
      <c r="Q5" s="279"/>
      <c r="R5" s="279"/>
      <c r="S5" s="279"/>
      <c r="T5" s="279"/>
      <c r="U5" s="279"/>
      <c r="V5" s="279"/>
      <c r="W5" s="279"/>
      <c r="X5" s="279"/>
      <c r="Y5" s="279"/>
      <c r="Z5" s="279"/>
    </row>
    <row r="6" ht="15.75" customHeight="1">
      <c r="A6" s="280" t="s">
        <v>3478</v>
      </c>
      <c r="B6" s="280" t="s">
        <v>3986</v>
      </c>
      <c r="C6" s="281" t="s">
        <v>3987</v>
      </c>
      <c r="D6" s="282" t="s">
        <v>3164</v>
      </c>
      <c r="E6" s="279"/>
      <c r="F6" s="279"/>
      <c r="G6" s="279"/>
      <c r="H6" s="279"/>
      <c r="I6" s="279"/>
      <c r="J6" s="279"/>
      <c r="K6" s="279"/>
      <c r="L6" s="279"/>
      <c r="M6" s="279"/>
      <c r="N6" s="279"/>
      <c r="O6" s="279"/>
      <c r="P6" s="279"/>
      <c r="Q6" s="279"/>
      <c r="R6" s="279"/>
      <c r="S6" s="279"/>
      <c r="T6" s="279"/>
      <c r="U6" s="279"/>
      <c r="V6" s="279"/>
      <c r="W6" s="279"/>
      <c r="X6" s="279"/>
      <c r="Y6" s="279"/>
      <c r="Z6" s="279"/>
    </row>
    <row r="7" ht="15.75" customHeight="1">
      <c r="A7" s="276" t="s">
        <v>3479</v>
      </c>
      <c r="B7" s="276" t="s">
        <v>3988</v>
      </c>
      <c r="C7" s="277" t="s">
        <v>3989</v>
      </c>
      <c r="D7" s="278" t="s">
        <v>3164</v>
      </c>
      <c r="E7" s="279"/>
      <c r="F7" s="279"/>
      <c r="G7" s="279"/>
      <c r="H7" s="279"/>
      <c r="I7" s="279"/>
      <c r="J7" s="279"/>
      <c r="K7" s="279"/>
      <c r="L7" s="279"/>
      <c r="M7" s="279"/>
      <c r="N7" s="279"/>
      <c r="O7" s="279"/>
      <c r="P7" s="279"/>
      <c r="Q7" s="279"/>
      <c r="R7" s="279"/>
      <c r="S7" s="279"/>
      <c r="T7" s="279"/>
      <c r="U7" s="279"/>
      <c r="V7" s="279"/>
      <c r="W7" s="279"/>
      <c r="X7" s="279"/>
      <c r="Y7" s="279"/>
      <c r="Z7" s="279"/>
    </row>
    <row r="8" ht="15.75" customHeight="1">
      <c r="A8" s="283" t="s">
        <v>3480</v>
      </c>
      <c r="B8" s="280" t="s">
        <v>3179</v>
      </c>
      <c r="C8" s="281" t="s">
        <v>3990</v>
      </c>
      <c r="D8" s="195" t="s">
        <v>3164</v>
      </c>
      <c r="E8" s="279"/>
      <c r="F8" s="279"/>
      <c r="G8" s="279"/>
      <c r="H8" s="279"/>
      <c r="I8" s="279"/>
      <c r="J8" s="279"/>
      <c r="K8" s="279"/>
      <c r="L8" s="279"/>
      <c r="M8" s="279"/>
      <c r="N8" s="279"/>
      <c r="O8" s="279"/>
      <c r="P8" s="279"/>
      <c r="Q8" s="279"/>
      <c r="R8" s="279"/>
      <c r="S8" s="279"/>
      <c r="T8" s="279"/>
      <c r="U8" s="279"/>
      <c r="V8" s="279"/>
      <c r="W8" s="279"/>
      <c r="X8" s="279"/>
      <c r="Y8" s="279"/>
      <c r="Z8" s="279"/>
    </row>
    <row r="9" ht="15.75" customHeight="1">
      <c r="A9" s="284" t="s">
        <v>41</v>
      </c>
      <c r="B9" s="276" t="s">
        <v>3179</v>
      </c>
      <c r="C9" s="277" t="s">
        <v>3991</v>
      </c>
      <c r="D9" s="285" t="s">
        <v>3164</v>
      </c>
      <c r="E9" s="279"/>
      <c r="F9" s="279"/>
      <c r="G9" s="279"/>
      <c r="H9" s="279"/>
      <c r="I9" s="279"/>
      <c r="J9" s="279"/>
      <c r="K9" s="279"/>
      <c r="L9" s="279"/>
      <c r="M9" s="279"/>
      <c r="N9" s="279"/>
      <c r="O9" s="279"/>
      <c r="P9" s="279"/>
      <c r="Q9" s="279"/>
      <c r="R9" s="279"/>
      <c r="S9" s="279"/>
      <c r="T9" s="279"/>
      <c r="U9" s="279"/>
      <c r="V9" s="279"/>
      <c r="W9" s="279"/>
      <c r="X9" s="279"/>
      <c r="Y9" s="279"/>
      <c r="Z9" s="279"/>
    </row>
    <row r="10" ht="15.75" customHeight="1">
      <c r="A10" s="283" t="s">
        <v>3481</v>
      </c>
      <c r="B10" s="280" t="s">
        <v>3179</v>
      </c>
      <c r="C10" s="281" t="s">
        <v>3992</v>
      </c>
      <c r="D10" s="195" t="s">
        <v>3164</v>
      </c>
      <c r="E10" s="279"/>
      <c r="F10" s="279"/>
      <c r="G10" s="279"/>
      <c r="H10" s="279"/>
      <c r="I10" s="279"/>
      <c r="J10" s="279"/>
      <c r="K10" s="279"/>
      <c r="L10" s="279"/>
      <c r="M10" s="279"/>
      <c r="N10" s="279"/>
      <c r="O10" s="279"/>
      <c r="P10" s="279"/>
      <c r="Q10" s="279"/>
      <c r="R10" s="279"/>
      <c r="S10" s="279"/>
      <c r="T10" s="279"/>
      <c r="U10" s="279"/>
      <c r="V10" s="279"/>
      <c r="W10" s="279"/>
      <c r="X10" s="279"/>
      <c r="Y10" s="279"/>
      <c r="Z10" s="279"/>
    </row>
    <row r="11" ht="15.75" customHeight="1">
      <c r="A11" s="284" t="s">
        <v>3482</v>
      </c>
      <c r="B11" s="276" t="s">
        <v>3164</v>
      </c>
      <c r="C11" s="277" t="s">
        <v>3993</v>
      </c>
      <c r="D11" s="285" t="s">
        <v>3164</v>
      </c>
      <c r="E11" s="279"/>
      <c r="F11" s="279"/>
      <c r="G11" s="279"/>
      <c r="H11" s="279"/>
      <c r="I11" s="279"/>
      <c r="J11" s="279"/>
      <c r="K11" s="279"/>
      <c r="L11" s="279"/>
      <c r="M11" s="279"/>
      <c r="N11" s="279"/>
      <c r="O11" s="279"/>
      <c r="P11" s="279"/>
      <c r="Q11" s="279"/>
      <c r="R11" s="279"/>
      <c r="S11" s="279"/>
      <c r="T11" s="279"/>
      <c r="U11" s="279"/>
      <c r="V11" s="279"/>
      <c r="W11" s="279"/>
      <c r="X11" s="279"/>
      <c r="Y11" s="279"/>
      <c r="Z11" s="279"/>
    </row>
    <row r="12" ht="15.75" customHeight="1">
      <c r="A12" s="283" t="s">
        <v>3483</v>
      </c>
      <c r="B12" s="280" t="s">
        <v>3164</v>
      </c>
      <c r="C12" s="281" t="s">
        <v>3994</v>
      </c>
      <c r="D12" s="195" t="s">
        <v>3164</v>
      </c>
      <c r="E12" s="279"/>
      <c r="F12" s="279"/>
      <c r="G12" s="279"/>
      <c r="H12" s="279"/>
      <c r="I12" s="279"/>
      <c r="J12" s="279"/>
      <c r="K12" s="279"/>
      <c r="L12" s="279"/>
      <c r="M12" s="279"/>
      <c r="N12" s="279"/>
      <c r="O12" s="279"/>
      <c r="P12" s="279"/>
      <c r="Q12" s="279"/>
      <c r="R12" s="279"/>
      <c r="S12" s="279"/>
      <c r="T12" s="279"/>
      <c r="U12" s="279"/>
      <c r="V12" s="279"/>
      <c r="W12" s="279"/>
      <c r="X12" s="279"/>
      <c r="Y12" s="279"/>
      <c r="Z12" s="279"/>
    </row>
    <row r="13" ht="15.75" customHeight="1">
      <c r="A13" s="284" t="s">
        <v>3484</v>
      </c>
      <c r="B13" s="276" t="s">
        <v>3164</v>
      </c>
      <c r="C13" s="277" t="s">
        <v>3995</v>
      </c>
      <c r="D13" s="285" t="s">
        <v>3164</v>
      </c>
      <c r="E13" s="279"/>
      <c r="F13" s="279"/>
      <c r="G13" s="279"/>
      <c r="H13" s="279"/>
      <c r="I13" s="279"/>
      <c r="J13" s="279"/>
      <c r="K13" s="279"/>
      <c r="L13" s="279"/>
      <c r="M13" s="279"/>
      <c r="N13" s="279"/>
      <c r="O13" s="279"/>
      <c r="P13" s="279"/>
      <c r="Q13" s="279"/>
      <c r="R13" s="279"/>
      <c r="S13" s="279"/>
      <c r="T13" s="279"/>
      <c r="U13" s="279"/>
      <c r="V13" s="279"/>
      <c r="W13" s="279"/>
      <c r="X13" s="279"/>
      <c r="Y13" s="279"/>
      <c r="Z13" s="279"/>
    </row>
    <row r="14" ht="15.75" customHeight="1">
      <c r="A14" s="283" t="s">
        <v>3485</v>
      </c>
      <c r="B14" s="286" t="s">
        <v>3164</v>
      </c>
      <c r="C14" s="281" t="s">
        <v>3996</v>
      </c>
      <c r="D14" s="282" t="s">
        <v>3164</v>
      </c>
      <c r="E14" s="279"/>
      <c r="F14" s="279"/>
      <c r="G14" s="279"/>
      <c r="H14" s="279"/>
      <c r="I14" s="279"/>
      <c r="J14" s="279"/>
      <c r="K14" s="279"/>
      <c r="L14" s="279"/>
      <c r="M14" s="279"/>
      <c r="N14" s="279"/>
      <c r="O14" s="279"/>
      <c r="P14" s="279"/>
      <c r="Q14" s="279"/>
      <c r="R14" s="279"/>
      <c r="S14" s="279"/>
      <c r="T14" s="279"/>
      <c r="U14" s="279"/>
      <c r="V14" s="279"/>
      <c r="W14" s="279"/>
      <c r="X14" s="279"/>
      <c r="Y14" s="279"/>
      <c r="Z14" s="279"/>
    </row>
    <row r="15" ht="15.75" customHeight="1">
      <c r="A15" s="276" t="s">
        <v>3486</v>
      </c>
      <c r="B15" s="276" t="s">
        <v>3179</v>
      </c>
      <c r="C15" s="277" t="s">
        <v>3997</v>
      </c>
      <c r="D15" s="278" t="s">
        <v>3164</v>
      </c>
      <c r="E15" s="279"/>
      <c r="F15" s="279"/>
      <c r="G15" s="279"/>
      <c r="H15" s="279"/>
      <c r="I15" s="279"/>
      <c r="J15" s="279"/>
      <c r="K15" s="279"/>
      <c r="L15" s="279"/>
      <c r="M15" s="279"/>
      <c r="N15" s="279"/>
      <c r="O15" s="279"/>
      <c r="P15" s="279"/>
      <c r="Q15" s="279"/>
      <c r="R15" s="279"/>
      <c r="S15" s="279"/>
      <c r="T15" s="279"/>
      <c r="U15" s="279"/>
      <c r="V15" s="279"/>
      <c r="W15" s="279"/>
      <c r="X15" s="279"/>
      <c r="Y15" s="279"/>
      <c r="Z15" s="279"/>
    </row>
    <row r="16" ht="15.75" customHeight="1">
      <c r="A16" s="283" t="s">
        <v>3487</v>
      </c>
      <c r="B16" s="286" t="s">
        <v>3164</v>
      </c>
      <c r="C16" s="281" t="s">
        <v>3998</v>
      </c>
      <c r="D16" s="195" t="s">
        <v>3164</v>
      </c>
      <c r="E16" s="279"/>
      <c r="F16" s="279"/>
      <c r="G16" s="279"/>
      <c r="H16" s="279"/>
      <c r="I16" s="279"/>
      <c r="J16" s="279"/>
      <c r="K16" s="279"/>
      <c r="L16" s="279"/>
      <c r="M16" s="279"/>
      <c r="N16" s="279"/>
      <c r="O16" s="279"/>
      <c r="P16" s="279"/>
      <c r="Q16" s="279"/>
      <c r="R16" s="279"/>
      <c r="S16" s="279"/>
      <c r="T16" s="279"/>
      <c r="U16" s="279"/>
      <c r="V16" s="279"/>
      <c r="W16" s="279"/>
      <c r="X16" s="279"/>
      <c r="Y16" s="279"/>
      <c r="Z16" s="279"/>
    </row>
    <row r="17" ht="15.75" customHeight="1">
      <c r="A17" s="276" t="s">
        <v>42</v>
      </c>
      <c r="B17" s="276" t="s">
        <v>3179</v>
      </c>
      <c r="C17" s="287" t="s">
        <v>3999</v>
      </c>
      <c r="D17" s="278" t="s">
        <v>3164</v>
      </c>
      <c r="E17" s="279"/>
      <c r="F17" s="279"/>
      <c r="G17" s="279"/>
      <c r="H17" s="279"/>
      <c r="I17" s="279"/>
      <c r="J17" s="279"/>
      <c r="K17" s="279"/>
      <c r="L17" s="279"/>
      <c r="M17" s="279"/>
      <c r="N17" s="279"/>
      <c r="O17" s="279"/>
      <c r="P17" s="279"/>
      <c r="Q17" s="279"/>
      <c r="R17" s="279"/>
      <c r="S17" s="279"/>
      <c r="T17" s="279"/>
      <c r="U17" s="279"/>
      <c r="V17" s="279"/>
      <c r="W17" s="279"/>
      <c r="X17" s="279"/>
      <c r="Y17" s="279"/>
      <c r="Z17" s="279"/>
    </row>
    <row r="18" ht="15.75" customHeight="1">
      <c r="A18" s="276" t="s">
        <v>43</v>
      </c>
      <c r="B18" s="276" t="s">
        <v>3179</v>
      </c>
      <c r="C18" s="287" t="s">
        <v>4000</v>
      </c>
      <c r="D18" s="278" t="s">
        <v>3164</v>
      </c>
      <c r="E18" s="279"/>
      <c r="F18" s="279"/>
      <c r="G18" s="279"/>
      <c r="H18" s="279"/>
      <c r="I18" s="279"/>
      <c r="J18" s="279"/>
      <c r="K18" s="279"/>
      <c r="L18" s="279"/>
      <c r="M18" s="279"/>
      <c r="N18" s="279"/>
      <c r="O18" s="279"/>
      <c r="P18" s="279"/>
      <c r="Q18" s="279"/>
      <c r="R18" s="279"/>
      <c r="S18" s="279"/>
      <c r="T18" s="279"/>
      <c r="U18" s="279"/>
      <c r="V18" s="279"/>
      <c r="W18" s="279"/>
      <c r="X18" s="279"/>
      <c r="Y18" s="279"/>
      <c r="Z18" s="279"/>
    </row>
    <row r="19" ht="15.75" customHeight="1">
      <c r="A19" s="276" t="s">
        <v>44</v>
      </c>
      <c r="B19" s="276" t="s">
        <v>3179</v>
      </c>
      <c r="C19" s="287" t="s">
        <v>4001</v>
      </c>
      <c r="D19" s="278" t="s">
        <v>3164</v>
      </c>
      <c r="E19" s="279"/>
      <c r="F19" s="279"/>
      <c r="G19" s="279"/>
      <c r="H19" s="279"/>
      <c r="I19" s="279"/>
      <c r="J19" s="279"/>
      <c r="K19" s="279"/>
      <c r="L19" s="279"/>
      <c r="M19" s="279"/>
      <c r="N19" s="279"/>
      <c r="O19" s="279"/>
      <c r="P19" s="279"/>
      <c r="Q19" s="279"/>
      <c r="R19" s="279"/>
      <c r="S19" s="279"/>
      <c r="T19" s="279"/>
      <c r="U19" s="279"/>
      <c r="V19" s="279"/>
      <c r="W19" s="279"/>
      <c r="X19" s="279"/>
      <c r="Y19" s="279"/>
      <c r="Z19" s="279"/>
    </row>
    <row r="20" ht="15.75" customHeight="1">
      <c r="A20" s="276" t="s">
        <v>45</v>
      </c>
      <c r="B20" s="276" t="s">
        <v>3179</v>
      </c>
      <c r="C20" s="287" t="s">
        <v>4002</v>
      </c>
      <c r="D20" s="278" t="s">
        <v>3164</v>
      </c>
      <c r="E20" s="279"/>
      <c r="F20" s="279"/>
      <c r="G20" s="279"/>
      <c r="H20" s="279"/>
      <c r="I20" s="279"/>
      <c r="J20" s="279"/>
      <c r="K20" s="279"/>
      <c r="L20" s="279"/>
      <c r="M20" s="279"/>
      <c r="N20" s="279"/>
      <c r="O20" s="279"/>
      <c r="P20" s="279"/>
      <c r="Q20" s="279"/>
      <c r="R20" s="279"/>
      <c r="S20" s="279"/>
      <c r="T20" s="279"/>
      <c r="U20" s="279"/>
      <c r="V20" s="279"/>
      <c r="W20" s="279"/>
      <c r="X20" s="279"/>
      <c r="Y20" s="279"/>
      <c r="Z20" s="279"/>
    </row>
    <row r="21" ht="15.75" customHeight="1">
      <c r="A21" s="276" t="s">
        <v>46</v>
      </c>
      <c r="B21" s="276" t="s">
        <v>3179</v>
      </c>
      <c r="C21" s="287" t="s">
        <v>4003</v>
      </c>
      <c r="D21" s="278" t="s">
        <v>3164</v>
      </c>
      <c r="E21" s="279"/>
      <c r="F21" s="279"/>
      <c r="G21" s="279"/>
      <c r="H21" s="279"/>
      <c r="I21" s="279"/>
      <c r="J21" s="279"/>
      <c r="K21" s="279"/>
      <c r="L21" s="279"/>
      <c r="M21" s="279"/>
      <c r="N21" s="279"/>
      <c r="O21" s="279"/>
      <c r="P21" s="279"/>
      <c r="Q21" s="279"/>
      <c r="R21" s="279"/>
      <c r="S21" s="279"/>
      <c r="T21" s="279"/>
      <c r="U21" s="279"/>
      <c r="V21" s="279"/>
      <c r="W21" s="279"/>
      <c r="X21" s="279"/>
      <c r="Y21" s="279"/>
      <c r="Z21" s="279"/>
    </row>
    <row r="22" ht="15.75" customHeight="1">
      <c r="A22" s="276" t="s">
        <v>47</v>
      </c>
      <c r="B22" s="276" t="s">
        <v>3179</v>
      </c>
      <c r="C22" s="287" t="s">
        <v>4004</v>
      </c>
      <c r="D22" s="278" t="s">
        <v>3164</v>
      </c>
      <c r="E22" s="279"/>
      <c r="F22" s="279"/>
      <c r="G22" s="279"/>
      <c r="H22" s="279"/>
      <c r="I22" s="279"/>
      <c r="J22" s="279"/>
      <c r="K22" s="279"/>
      <c r="L22" s="279"/>
      <c r="M22" s="279"/>
      <c r="N22" s="279"/>
      <c r="O22" s="279"/>
      <c r="P22" s="279"/>
      <c r="Q22" s="279"/>
      <c r="R22" s="279"/>
      <c r="S22" s="279"/>
      <c r="T22" s="279"/>
      <c r="U22" s="279"/>
      <c r="V22" s="279"/>
      <c r="W22" s="279"/>
      <c r="X22" s="279"/>
      <c r="Y22" s="279"/>
      <c r="Z22" s="279"/>
    </row>
    <row r="23" ht="15.75" customHeight="1">
      <c r="A23" s="276" t="s">
        <v>48</v>
      </c>
      <c r="B23" s="276" t="s">
        <v>3179</v>
      </c>
      <c r="C23" s="287" t="s">
        <v>4005</v>
      </c>
      <c r="D23" s="278" t="s">
        <v>3164</v>
      </c>
      <c r="E23" s="279"/>
      <c r="F23" s="279"/>
      <c r="G23" s="279"/>
      <c r="H23" s="279"/>
      <c r="I23" s="279"/>
      <c r="J23" s="279"/>
      <c r="K23" s="279"/>
      <c r="L23" s="279"/>
      <c r="M23" s="279"/>
      <c r="N23" s="279"/>
      <c r="O23" s="279"/>
      <c r="P23" s="279"/>
      <c r="Q23" s="279"/>
      <c r="R23" s="279"/>
      <c r="S23" s="279"/>
      <c r="T23" s="279"/>
      <c r="U23" s="279"/>
      <c r="V23" s="279"/>
      <c r="W23" s="279"/>
      <c r="X23" s="279"/>
      <c r="Y23" s="279"/>
      <c r="Z23" s="279"/>
    </row>
    <row r="24" ht="15.75" customHeight="1">
      <c r="A24" s="280" t="s">
        <v>3488</v>
      </c>
      <c r="B24" s="280" t="s">
        <v>3179</v>
      </c>
      <c r="C24" s="281" t="s">
        <v>4006</v>
      </c>
      <c r="D24" s="195" t="s">
        <v>3164</v>
      </c>
      <c r="E24" s="279"/>
      <c r="F24" s="279"/>
      <c r="G24" s="279"/>
      <c r="H24" s="279"/>
      <c r="I24" s="279"/>
      <c r="J24" s="279"/>
      <c r="K24" s="279"/>
      <c r="L24" s="279"/>
      <c r="M24" s="279"/>
      <c r="N24" s="279"/>
      <c r="O24" s="279"/>
      <c r="P24" s="279"/>
      <c r="Q24" s="279"/>
      <c r="R24" s="279"/>
      <c r="S24" s="279"/>
      <c r="T24" s="279"/>
      <c r="U24" s="279"/>
      <c r="V24" s="279"/>
      <c r="W24" s="279"/>
      <c r="X24" s="279"/>
      <c r="Y24" s="279"/>
      <c r="Z24" s="279"/>
    </row>
    <row r="25" ht="15.75" customHeight="1">
      <c r="A25" s="276" t="s">
        <v>3489</v>
      </c>
      <c r="B25" s="276" t="s">
        <v>3179</v>
      </c>
      <c r="C25" s="277" t="s">
        <v>4007</v>
      </c>
      <c r="D25" s="285" t="s">
        <v>3164</v>
      </c>
      <c r="E25" s="279"/>
      <c r="F25" s="279"/>
      <c r="G25" s="279"/>
      <c r="H25" s="279"/>
      <c r="I25" s="279"/>
      <c r="J25" s="279"/>
      <c r="K25" s="279"/>
      <c r="L25" s="279"/>
      <c r="M25" s="279"/>
      <c r="N25" s="279"/>
      <c r="O25" s="279"/>
      <c r="P25" s="279"/>
      <c r="Q25" s="279"/>
      <c r="R25" s="279"/>
      <c r="S25" s="279"/>
      <c r="T25" s="279"/>
      <c r="U25" s="279"/>
      <c r="V25" s="279"/>
      <c r="W25" s="279"/>
      <c r="X25" s="279"/>
      <c r="Y25" s="279"/>
      <c r="Z25" s="279"/>
    </row>
    <row r="26" ht="15.75" customHeight="1">
      <c r="A26" s="280" t="s">
        <v>3490</v>
      </c>
      <c r="B26" s="286" t="s">
        <v>3164</v>
      </c>
      <c r="C26" s="281" t="s">
        <v>4008</v>
      </c>
      <c r="D26" s="195" t="s">
        <v>3164</v>
      </c>
      <c r="E26" s="279"/>
      <c r="F26" s="279"/>
      <c r="G26" s="279"/>
      <c r="H26" s="279"/>
      <c r="I26" s="279"/>
      <c r="J26" s="279"/>
      <c r="K26" s="279"/>
      <c r="L26" s="279"/>
      <c r="M26" s="279"/>
      <c r="N26" s="279"/>
      <c r="O26" s="279"/>
      <c r="P26" s="279"/>
      <c r="Q26" s="279"/>
      <c r="R26" s="279"/>
      <c r="S26" s="279"/>
      <c r="T26" s="279"/>
      <c r="U26" s="279"/>
      <c r="V26" s="279"/>
      <c r="W26" s="279"/>
      <c r="X26" s="279"/>
      <c r="Y26" s="279"/>
      <c r="Z26" s="279"/>
    </row>
    <row r="27" ht="15.75" customHeight="1">
      <c r="A27" s="276" t="s">
        <v>3491</v>
      </c>
      <c r="B27" s="276" t="s">
        <v>3164</v>
      </c>
      <c r="C27" s="277" t="s">
        <v>4009</v>
      </c>
      <c r="D27" s="285" t="s">
        <v>3164</v>
      </c>
      <c r="E27" s="279"/>
      <c r="F27" s="279"/>
      <c r="G27" s="279"/>
      <c r="H27" s="279"/>
      <c r="I27" s="279"/>
      <c r="J27" s="279"/>
      <c r="K27" s="279"/>
      <c r="L27" s="279"/>
      <c r="M27" s="279"/>
      <c r="N27" s="279"/>
      <c r="O27" s="279"/>
      <c r="P27" s="279"/>
      <c r="Q27" s="279"/>
      <c r="R27" s="279"/>
      <c r="S27" s="279"/>
      <c r="T27" s="279"/>
      <c r="U27" s="279"/>
      <c r="V27" s="279"/>
      <c r="W27" s="279"/>
      <c r="X27" s="279"/>
      <c r="Y27" s="279"/>
      <c r="Z27" s="279"/>
    </row>
    <row r="28" ht="15.75" customHeight="1">
      <c r="A28" s="280" t="s">
        <v>3492</v>
      </c>
      <c r="B28" s="286" t="s">
        <v>3164</v>
      </c>
      <c r="C28" s="281" t="s">
        <v>4010</v>
      </c>
      <c r="D28" s="195" t="s">
        <v>3164</v>
      </c>
      <c r="E28" s="279"/>
      <c r="F28" s="279"/>
      <c r="G28" s="279"/>
      <c r="H28" s="279"/>
      <c r="I28" s="279"/>
      <c r="J28" s="279"/>
      <c r="K28" s="279"/>
      <c r="L28" s="279"/>
      <c r="M28" s="279"/>
      <c r="N28" s="279"/>
      <c r="O28" s="279"/>
      <c r="P28" s="279"/>
      <c r="Q28" s="279"/>
      <c r="R28" s="279"/>
      <c r="S28" s="279"/>
      <c r="T28" s="279"/>
      <c r="U28" s="279"/>
      <c r="V28" s="279"/>
      <c r="W28" s="279"/>
      <c r="X28" s="279"/>
      <c r="Y28" s="279"/>
      <c r="Z28" s="279"/>
    </row>
    <row r="29" ht="15.75" customHeight="1">
      <c r="A29" s="276" t="s">
        <v>3493</v>
      </c>
      <c r="B29" s="276" t="s">
        <v>3164</v>
      </c>
      <c r="C29" s="277" t="s">
        <v>4011</v>
      </c>
      <c r="D29" s="285" t="s">
        <v>3164</v>
      </c>
      <c r="E29" s="279"/>
      <c r="F29" s="279"/>
      <c r="G29" s="279"/>
      <c r="H29" s="279"/>
      <c r="I29" s="279"/>
      <c r="J29" s="279"/>
      <c r="K29" s="279"/>
      <c r="L29" s="279"/>
      <c r="M29" s="279"/>
      <c r="N29" s="279"/>
      <c r="O29" s="279"/>
      <c r="P29" s="279"/>
      <c r="Q29" s="279"/>
      <c r="R29" s="279"/>
      <c r="S29" s="279"/>
      <c r="T29" s="279"/>
      <c r="U29" s="279"/>
      <c r="V29" s="279"/>
      <c r="W29" s="279"/>
      <c r="X29" s="279"/>
      <c r="Y29" s="279"/>
      <c r="Z29" s="279"/>
    </row>
    <row r="30" ht="15.75" customHeight="1">
      <c r="A30" s="283" t="s">
        <v>3494</v>
      </c>
      <c r="B30" s="280" t="s">
        <v>3179</v>
      </c>
      <c r="C30" s="281" t="s">
        <v>4012</v>
      </c>
      <c r="D30" s="195" t="s">
        <v>3164</v>
      </c>
      <c r="E30" s="279"/>
      <c r="F30" s="279"/>
      <c r="G30" s="279"/>
      <c r="H30" s="279"/>
      <c r="I30" s="279"/>
      <c r="J30" s="279"/>
      <c r="K30" s="279"/>
      <c r="L30" s="279"/>
      <c r="M30" s="279"/>
      <c r="N30" s="279"/>
      <c r="O30" s="279"/>
      <c r="P30" s="279"/>
      <c r="Q30" s="279"/>
      <c r="R30" s="279"/>
      <c r="S30" s="279"/>
      <c r="T30" s="279"/>
      <c r="U30" s="279"/>
      <c r="V30" s="279"/>
      <c r="W30" s="279"/>
      <c r="X30" s="279"/>
      <c r="Y30" s="279"/>
      <c r="Z30" s="279"/>
    </row>
    <row r="31" ht="15.75" customHeight="1">
      <c r="A31" s="283" t="s">
        <v>3495</v>
      </c>
      <c r="B31" s="280" t="s">
        <v>3179</v>
      </c>
      <c r="C31" s="281" t="s">
        <v>4013</v>
      </c>
      <c r="D31" s="195" t="s">
        <v>3164</v>
      </c>
      <c r="E31" s="279"/>
      <c r="F31" s="279"/>
      <c r="G31" s="279"/>
      <c r="H31" s="279"/>
      <c r="I31" s="279"/>
      <c r="J31" s="279"/>
      <c r="K31" s="279"/>
      <c r="L31" s="279"/>
      <c r="M31" s="279"/>
      <c r="N31" s="279"/>
      <c r="O31" s="279"/>
      <c r="P31" s="279"/>
      <c r="Q31" s="279"/>
      <c r="R31" s="279"/>
      <c r="S31" s="279"/>
      <c r="T31" s="279"/>
      <c r="U31" s="279"/>
      <c r="V31" s="279"/>
      <c r="W31" s="279"/>
      <c r="X31" s="279"/>
      <c r="Y31" s="279"/>
      <c r="Z31" s="279"/>
    </row>
    <row r="32" ht="15.75" customHeight="1">
      <c r="A32" s="283" t="s">
        <v>3496</v>
      </c>
      <c r="B32" s="280" t="s">
        <v>3179</v>
      </c>
      <c r="C32" s="281" t="s">
        <v>4014</v>
      </c>
      <c r="D32" s="195" t="s">
        <v>3164</v>
      </c>
      <c r="E32" s="279"/>
      <c r="F32" s="279"/>
      <c r="G32" s="279"/>
      <c r="H32" s="279"/>
      <c r="I32" s="279"/>
      <c r="J32" s="279"/>
      <c r="K32" s="279"/>
      <c r="L32" s="279"/>
      <c r="M32" s="279"/>
      <c r="N32" s="279"/>
      <c r="O32" s="279"/>
      <c r="P32" s="279"/>
      <c r="Q32" s="279"/>
      <c r="R32" s="279"/>
      <c r="S32" s="279"/>
      <c r="T32" s="279"/>
      <c r="U32" s="279"/>
      <c r="V32" s="279"/>
      <c r="W32" s="279"/>
      <c r="X32" s="279"/>
      <c r="Y32" s="279"/>
      <c r="Z32" s="279"/>
    </row>
    <row r="33" ht="15.75" customHeight="1">
      <c r="A33" s="283" t="s">
        <v>3497</v>
      </c>
      <c r="B33" s="280" t="s">
        <v>3179</v>
      </c>
      <c r="C33" s="281" t="s">
        <v>4015</v>
      </c>
      <c r="D33" s="195" t="s">
        <v>3164</v>
      </c>
      <c r="E33" s="279"/>
      <c r="F33" s="279"/>
      <c r="G33" s="279"/>
      <c r="H33" s="279"/>
      <c r="I33" s="279"/>
      <c r="J33" s="279"/>
      <c r="K33" s="279"/>
      <c r="L33" s="279"/>
      <c r="M33" s="279"/>
      <c r="N33" s="279"/>
      <c r="O33" s="279"/>
      <c r="P33" s="279"/>
      <c r="Q33" s="279"/>
      <c r="R33" s="279"/>
      <c r="S33" s="279"/>
      <c r="T33" s="279"/>
      <c r="U33" s="279"/>
      <c r="V33" s="279"/>
      <c r="W33" s="279"/>
      <c r="X33" s="279"/>
      <c r="Y33" s="279"/>
      <c r="Z33" s="279"/>
    </row>
    <row r="34" ht="15.75" customHeight="1">
      <c r="A34" s="288"/>
      <c r="B34" s="289"/>
      <c r="C34" s="279"/>
      <c r="D34" s="275"/>
      <c r="E34" s="279"/>
      <c r="F34" s="279"/>
      <c r="G34" s="279"/>
      <c r="H34" s="279"/>
      <c r="I34" s="279"/>
      <c r="J34" s="279"/>
      <c r="K34" s="279"/>
      <c r="L34" s="279"/>
      <c r="M34" s="279"/>
      <c r="N34" s="279"/>
      <c r="O34" s="279"/>
      <c r="P34" s="279"/>
      <c r="Q34" s="279"/>
      <c r="R34" s="279"/>
      <c r="S34" s="279"/>
      <c r="T34" s="279"/>
      <c r="U34" s="279"/>
      <c r="V34" s="279"/>
      <c r="W34" s="279"/>
      <c r="X34" s="279"/>
      <c r="Y34" s="279"/>
      <c r="Z34" s="279"/>
    </row>
    <row r="35" ht="15.75" customHeight="1"/>
    <row r="36" ht="15.75" customHeight="1"/>
    <row r="37" ht="15.75" customHeight="1"/>
    <row r="38" ht="15.75" customHeight="1"/>
    <row r="39" ht="15.75" customHeight="1"/>
    <row r="40" ht="15.75" customHeight="1"/>
    <row r="41" ht="15.75" customHeight="1"/>
    <row r="42" ht="15.75" customHeight="1"/>
    <row r="43" ht="15.75" customHeight="1">
      <c r="A43" s="288"/>
      <c r="B43" s="279"/>
      <c r="C43" s="279"/>
      <c r="D43" s="275"/>
      <c r="E43" s="279"/>
      <c r="F43" s="279"/>
      <c r="G43" s="279"/>
      <c r="H43" s="279"/>
      <c r="I43" s="279"/>
      <c r="J43" s="279"/>
      <c r="K43" s="279"/>
      <c r="L43" s="279"/>
      <c r="M43" s="279"/>
      <c r="N43" s="279"/>
      <c r="O43" s="279"/>
      <c r="P43" s="279"/>
      <c r="Q43" s="279"/>
      <c r="R43" s="279"/>
      <c r="S43" s="279"/>
      <c r="T43" s="279"/>
      <c r="U43" s="279"/>
      <c r="V43" s="279"/>
      <c r="W43" s="279"/>
      <c r="X43" s="279"/>
      <c r="Y43" s="279"/>
      <c r="Z43" s="279"/>
    </row>
    <row r="44" ht="15.75" customHeight="1">
      <c r="A44" s="288"/>
      <c r="B44" s="279"/>
      <c r="C44" s="279"/>
      <c r="D44" s="275"/>
      <c r="E44" s="279"/>
      <c r="F44" s="279"/>
      <c r="G44" s="279"/>
      <c r="H44" s="279"/>
      <c r="I44" s="279"/>
      <c r="J44" s="279"/>
      <c r="K44" s="279"/>
      <c r="L44" s="279"/>
      <c r="M44" s="279"/>
      <c r="N44" s="279"/>
      <c r="O44" s="279"/>
      <c r="P44" s="279"/>
      <c r="Q44" s="279"/>
      <c r="R44" s="279"/>
      <c r="S44" s="279"/>
      <c r="T44" s="279"/>
      <c r="U44" s="279"/>
      <c r="V44" s="279"/>
      <c r="W44" s="279"/>
      <c r="X44" s="279"/>
      <c r="Y44" s="279"/>
      <c r="Z44" s="279"/>
    </row>
    <row r="45" ht="15.75" customHeight="1">
      <c r="A45" s="288"/>
      <c r="B45" s="279"/>
      <c r="C45" s="279"/>
      <c r="D45" s="275"/>
      <c r="E45" s="279"/>
      <c r="F45" s="279"/>
      <c r="G45" s="279"/>
      <c r="H45" s="279"/>
      <c r="I45" s="279"/>
      <c r="J45" s="279"/>
      <c r="K45" s="279"/>
      <c r="L45" s="279"/>
      <c r="M45" s="279"/>
      <c r="N45" s="279"/>
      <c r="O45" s="279"/>
      <c r="P45" s="279"/>
      <c r="Q45" s="279"/>
      <c r="R45" s="279"/>
      <c r="S45" s="279"/>
      <c r="T45" s="279"/>
      <c r="U45" s="279"/>
      <c r="V45" s="279"/>
      <c r="W45" s="279"/>
      <c r="X45" s="279"/>
      <c r="Y45" s="279"/>
      <c r="Z45" s="279"/>
    </row>
    <row r="46" ht="15.75" customHeight="1">
      <c r="A46" s="288"/>
      <c r="B46" s="279"/>
      <c r="C46" s="279"/>
      <c r="D46" s="275"/>
      <c r="E46" s="279"/>
      <c r="F46" s="279"/>
      <c r="G46" s="279"/>
      <c r="H46" s="279"/>
      <c r="I46" s="279"/>
      <c r="J46" s="279"/>
      <c r="K46" s="279"/>
      <c r="L46" s="279"/>
      <c r="M46" s="279"/>
      <c r="N46" s="279"/>
      <c r="O46" s="279"/>
      <c r="P46" s="279"/>
      <c r="Q46" s="279"/>
      <c r="R46" s="279"/>
      <c r="S46" s="279"/>
      <c r="T46" s="279"/>
      <c r="U46" s="279"/>
      <c r="V46" s="279"/>
      <c r="W46" s="279"/>
      <c r="X46" s="279"/>
      <c r="Y46" s="279"/>
      <c r="Z46" s="279"/>
    </row>
    <row r="47" ht="15.75" customHeight="1">
      <c r="A47" s="288"/>
      <c r="B47" s="279"/>
      <c r="C47" s="279"/>
      <c r="D47" s="275"/>
      <c r="E47" s="279"/>
      <c r="F47" s="279"/>
      <c r="G47" s="279"/>
      <c r="H47" s="279"/>
      <c r="I47" s="279"/>
      <c r="J47" s="279"/>
      <c r="K47" s="279"/>
      <c r="L47" s="279"/>
      <c r="M47" s="279"/>
      <c r="N47" s="279"/>
      <c r="O47" s="279"/>
      <c r="P47" s="279"/>
      <c r="Q47" s="279"/>
      <c r="R47" s="279"/>
      <c r="S47" s="279"/>
      <c r="T47" s="279"/>
      <c r="U47" s="279"/>
      <c r="V47" s="279"/>
      <c r="W47" s="279"/>
      <c r="X47" s="279"/>
      <c r="Y47" s="279"/>
      <c r="Z47" s="279"/>
    </row>
    <row r="48" ht="15.75" customHeight="1">
      <c r="A48" s="288"/>
      <c r="B48" s="279"/>
      <c r="C48" s="279"/>
      <c r="D48" s="275"/>
      <c r="E48" s="279"/>
      <c r="F48" s="279"/>
      <c r="G48" s="279"/>
      <c r="H48" s="279"/>
      <c r="I48" s="279"/>
      <c r="J48" s="279"/>
      <c r="K48" s="279"/>
      <c r="L48" s="279"/>
      <c r="M48" s="279"/>
      <c r="N48" s="279"/>
      <c r="O48" s="279"/>
      <c r="P48" s="279"/>
      <c r="Q48" s="279"/>
      <c r="R48" s="279"/>
      <c r="S48" s="279"/>
      <c r="T48" s="279"/>
      <c r="U48" s="279"/>
      <c r="V48" s="279"/>
      <c r="W48" s="279"/>
      <c r="X48" s="279"/>
      <c r="Y48" s="279"/>
      <c r="Z48" s="279"/>
    </row>
    <row r="49" ht="15.75" customHeight="1">
      <c r="A49" s="288"/>
      <c r="B49" s="279"/>
      <c r="C49" s="279"/>
      <c r="D49" s="275"/>
      <c r="E49" s="279"/>
      <c r="F49" s="279"/>
      <c r="G49" s="279"/>
      <c r="H49" s="279"/>
      <c r="I49" s="279"/>
      <c r="J49" s="279"/>
      <c r="K49" s="279"/>
      <c r="L49" s="279"/>
      <c r="M49" s="279"/>
      <c r="N49" s="279"/>
      <c r="O49" s="279"/>
      <c r="P49" s="279"/>
      <c r="Q49" s="279"/>
      <c r="R49" s="279"/>
      <c r="S49" s="279"/>
      <c r="T49" s="279"/>
      <c r="U49" s="279"/>
      <c r="V49" s="279"/>
      <c r="W49" s="279"/>
      <c r="X49" s="279"/>
      <c r="Y49" s="279"/>
      <c r="Z49" s="279"/>
    </row>
    <row r="50" ht="15.75" customHeight="1">
      <c r="A50" s="288"/>
      <c r="B50" s="279"/>
      <c r="C50" s="279"/>
      <c r="D50" s="275"/>
      <c r="E50" s="279"/>
      <c r="F50" s="279"/>
      <c r="G50" s="279"/>
      <c r="H50" s="279"/>
      <c r="I50" s="279"/>
      <c r="J50" s="279"/>
      <c r="K50" s="279"/>
      <c r="L50" s="279"/>
      <c r="M50" s="279"/>
      <c r="N50" s="279"/>
      <c r="O50" s="279"/>
      <c r="P50" s="279"/>
      <c r="Q50" s="279"/>
      <c r="R50" s="279"/>
      <c r="S50" s="279"/>
      <c r="T50" s="279"/>
      <c r="U50" s="279"/>
      <c r="V50" s="279"/>
      <c r="W50" s="279"/>
      <c r="X50" s="279"/>
      <c r="Y50" s="279"/>
      <c r="Z50" s="279"/>
    </row>
    <row r="51" ht="15.75" customHeight="1">
      <c r="A51" s="288"/>
      <c r="B51" s="279"/>
      <c r="C51" s="279"/>
      <c r="D51" s="275"/>
      <c r="E51" s="279"/>
      <c r="F51" s="279"/>
      <c r="G51" s="279"/>
      <c r="H51" s="279"/>
      <c r="I51" s="279"/>
      <c r="J51" s="279"/>
      <c r="K51" s="279"/>
      <c r="L51" s="279"/>
      <c r="M51" s="279"/>
      <c r="N51" s="279"/>
      <c r="O51" s="279"/>
      <c r="P51" s="279"/>
      <c r="Q51" s="279"/>
      <c r="R51" s="279"/>
      <c r="S51" s="279"/>
      <c r="T51" s="279"/>
      <c r="U51" s="279"/>
      <c r="V51" s="279"/>
      <c r="W51" s="279"/>
      <c r="X51" s="279"/>
      <c r="Y51" s="279"/>
      <c r="Z51" s="279"/>
    </row>
    <row r="52" ht="15.75" customHeight="1">
      <c r="A52" s="288"/>
      <c r="B52" s="279"/>
      <c r="C52" s="279"/>
      <c r="D52" s="275"/>
      <c r="E52" s="279"/>
      <c r="F52" s="279"/>
      <c r="G52" s="279"/>
      <c r="H52" s="279"/>
      <c r="I52" s="279"/>
      <c r="J52" s="279"/>
      <c r="K52" s="279"/>
      <c r="L52" s="279"/>
      <c r="M52" s="279"/>
      <c r="N52" s="279"/>
      <c r="O52" s="279"/>
      <c r="P52" s="279"/>
      <c r="Q52" s="279"/>
      <c r="R52" s="279"/>
      <c r="S52" s="279"/>
      <c r="T52" s="279"/>
      <c r="U52" s="279"/>
      <c r="V52" s="279"/>
      <c r="W52" s="279"/>
      <c r="X52" s="279"/>
      <c r="Y52" s="279"/>
      <c r="Z52" s="279"/>
    </row>
    <row r="53" ht="15.75" customHeight="1">
      <c r="A53" s="288"/>
      <c r="B53" s="279"/>
      <c r="C53" s="279"/>
      <c r="D53" s="275"/>
      <c r="E53" s="279"/>
      <c r="F53" s="279"/>
      <c r="G53" s="279"/>
      <c r="H53" s="279"/>
      <c r="I53" s="279"/>
      <c r="J53" s="279"/>
      <c r="K53" s="279"/>
      <c r="L53" s="279"/>
      <c r="M53" s="279"/>
      <c r="N53" s="279"/>
      <c r="O53" s="279"/>
      <c r="P53" s="279"/>
      <c r="Q53" s="279"/>
      <c r="R53" s="279"/>
      <c r="S53" s="279"/>
      <c r="T53" s="279"/>
      <c r="U53" s="279"/>
      <c r="V53" s="279"/>
      <c r="W53" s="279"/>
      <c r="X53" s="279"/>
      <c r="Y53" s="279"/>
      <c r="Z53" s="279"/>
    </row>
    <row r="54" ht="15.75" customHeight="1">
      <c r="A54" s="288"/>
      <c r="B54" s="279"/>
      <c r="C54" s="279"/>
      <c r="D54" s="275"/>
      <c r="E54" s="279"/>
      <c r="F54" s="279"/>
      <c r="G54" s="279"/>
      <c r="H54" s="279"/>
      <c r="I54" s="279"/>
      <c r="J54" s="279"/>
      <c r="K54" s="279"/>
      <c r="L54" s="279"/>
      <c r="M54" s="279"/>
      <c r="N54" s="279"/>
      <c r="O54" s="279"/>
      <c r="P54" s="279"/>
      <c r="Q54" s="279"/>
      <c r="R54" s="279"/>
      <c r="S54" s="279"/>
      <c r="T54" s="279"/>
      <c r="U54" s="279"/>
      <c r="V54" s="279"/>
      <c r="W54" s="279"/>
      <c r="X54" s="279"/>
      <c r="Y54" s="279"/>
      <c r="Z54" s="279"/>
    </row>
    <row r="55" ht="15.75" customHeight="1">
      <c r="A55" s="288"/>
      <c r="B55" s="279"/>
      <c r="C55" s="279"/>
      <c r="D55" s="275"/>
      <c r="E55" s="279"/>
      <c r="F55" s="279"/>
      <c r="G55" s="279"/>
      <c r="H55" s="279"/>
      <c r="I55" s="279"/>
      <c r="J55" s="279"/>
      <c r="K55" s="279"/>
      <c r="L55" s="279"/>
      <c r="M55" s="279"/>
      <c r="N55" s="279"/>
      <c r="O55" s="279"/>
      <c r="P55" s="279"/>
      <c r="Q55" s="279"/>
      <c r="R55" s="279"/>
      <c r="S55" s="279"/>
      <c r="T55" s="279"/>
      <c r="U55" s="279"/>
      <c r="V55" s="279"/>
      <c r="W55" s="279"/>
      <c r="X55" s="279"/>
      <c r="Y55" s="279"/>
      <c r="Z55" s="279"/>
    </row>
    <row r="56" ht="15.75" customHeight="1">
      <c r="A56" s="288"/>
      <c r="B56" s="279"/>
      <c r="C56" s="279"/>
      <c r="D56" s="275"/>
      <c r="E56" s="279"/>
      <c r="F56" s="279"/>
      <c r="G56" s="279"/>
      <c r="H56" s="279"/>
      <c r="I56" s="279"/>
      <c r="J56" s="279"/>
      <c r="K56" s="279"/>
      <c r="L56" s="279"/>
      <c r="M56" s="279"/>
      <c r="N56" s="279"/>
      <c r="O56" s="279"/>
      <c r="P56" s="279"/>
      <c r="Q56" s="279"/>
      <c r="R56" s="279"/>
      <c r="S56" s="279"/>
      <c r="T56" s="279"/>
      <c r="U56" s="279"/>
      <c r="V56" s="279"/>
      <c r="W56" s="279"/>
      <c r="X56" s="279"/>
      <c r="Y56" s="279"/>
      <c r="Z56" s="279"/>
    </row>
    <row r="57" ht="15.75" customHeight="1">
      <c r="A57" s="288"/>
      <c r="B57" s="279"/>
      <c r="C57" s="279"/>
      <c r="D57" s="275"/>
      <c r="E57" s="279"/>
      <c r="F57" s="279"/>
      <c r="G57" s="279"/>
      <c r="H57" s="279"/>
      <c r="I57" s="279"/>
      <c r="J57" s="279"/>
      <c r="K57" s="279"/>
      <c r="L57" s="279"/>
      <c r="M57" s="279"/>
      <c r="N57" s="279"/>
      <c r="O57" s="279"/>
      <c r="P57" s="279"/>
      <c r="Q57" s="279"/>
      <c r="R57" s="279"/>
      <c r="S57" s="279"/>
      <c r="T57" s="279"/>
      <c r="U57" s="279"/>
      <c r="V57" s="279"/>
      <c r="W57" s="279"/>
      <c r="X57" s="279"/>
      <c r="Y57" s="279"/>
      <c r="Z57" s="279"/>
    </row>
    <row r="58" ht="15.75" customHeight="1">
      <c r="A58" s="288"/>
      <c r="B58" s="279"/>
      <c r="C58" s="279"/>
      <c r="D58" s="275"/>
      <c r="E58" s="279"/>
      <c r="F58" s="279"/>
      <c r="G58" s="279"/>
      <c r="H58" s="279"/>
      <c r="I58" s="279"/>
      <c r="J58" s="279"/>
      <c r="K58" s="279"/>
      <c r="L58" s="279"/>
      <c r="M58" s="279"/>
      <c r="N58" s="279"/>
      <c r="O58" s="279"/>
      <c r="P58" s="279"/>
      <c r="Q58" s="279"/>
      <c r="R58" s="279"/>
      <c r="S58" s="279"/>
      <c r="T58" s="279"/>
      <c r="U58" s="279"/>
      <c r="V58" s="279"/>
      <c r="W58" s="279"/>
      <c r="X58" s="279"/>
      <c r="Y58" s="279"/>
      <c r="Z58" s="279"/>
    </row>
    <row r="59" ht="15.75" customHeight="1">
      <c r="A59" s="288"/>
      <c r="B59" s="279"/>
      <c r="C59" s="279"/>
      <c r="D59" s="275"/>
      <c r="E59" s="279"/>
      <c r="F59" s="279"/>
      <c r="G59" s="279"/>
      <c r="H59" s="279"/>
      <c r="I59" s="279"/>
      <c r="J59" s="279"/>
      <c r="K59" s="279"/>
      <c r="L59" s="279"/>
      <c r="M59" s="279"/>
      <c r="N59" s="279"/>
      <c r="O59" s="279"/>
      <c r="P59" s="279"/>
      <c r="Q59" s="279"/>
      <c r="R59" s="279"/>
      <c r="S59" s="279"/>
      <c r="T59" s="279"/>
      <c r="U59" s="279"/>
      <c r="V59" s="279"/>
      <c r="W59" s="279"/>
      <c r="X59" s="279"/>
      <c r="Y59" s="279"/>
      <c r="Z59" s="279"/>
    </row>
    <row r="60" ht="15.75" customHeight="1">
      <c r="A60" s="288"/>
      <c r="B60" s="279"/>
      <c r="C60" s="279"/>
      <c r="D60" s="275"/>
      <c r="E60" s="279"/>
      <c r="F60" s="279"/>
      <c r="G60" s="279"/>
      <c r="H60" s="279"/>
      <c r="I60" s="279"/>
      <c r="J60" s="279"/>
      <c r="K60" s="279"/>
      <c r="L60" s="279"/>
      <c r="M60" s="279"/>
      <c r="N60" s="279"/>
      <c r="O60" s="279"/>
      <c r="P60" s="279"/>
      <c r="Q60" s="279"/>
      <c r="R60" s="279"/>
      <c r="S60" s="279"/>
      <c r="T60" s="279"/>
      <c r="U60" s="279"/>
      <c r="V60" s="279"/>
      <c r="W60" s="279"/>
      <c r="X60" s="279"/>
      <c r="Y60" s="279"/>
      <c r="Z60" s="279"/>
    </row>
    <row r="61" ht="15.75" customHeight="1">
      <c r="A61" s="288"/>
      <c r="B61" s="279"/>
      <c r="C61" s="279"/>
      <c r="D61" s="275"/>
      <c r="E61" s="279"/>
      <c r="F61" s="279"/>
      <c r="G61" s="279"/>
      <c r="H61" s="279"/>
      <c r="I61" s="279"/>
      <c r="J61" s="279"/>
      <c r="K61" s="279"/>
      <c r="L61" s="279"/>
      <c r="M61" s="279"/>
      <c r="N61" s="279"/>
      <c r="O61" s="279"/>
      <c r="P61" s="279"/>
      <c r="Q61" s="279"/>
      <c r="R61" s="279"/>
      <c r="S61" s="279"/>
      <c r="T61" s="279"/>
      <c r="U61" s="279"/>
      <c r="V61" s="279"/>
      <c r="W61" s="279"/>
      <c r="X61" s="279"/>
      <c r="Y61" s="279"/>
      <c r="Z61" s="279"/>
    </row>
    <row r="62" ht="15.75" customHeight="1">
      <c r="A62" s="288"/>
      <c r="B62" s="279"/>
      <c r="C62" s="279"/>
      <c r="D62" s="275"/>
      <c r="E62" s="279"/>
      <c r="F62" s="279"/>
      <c r="G62" s="279"/>
      <c r="H62" s="279"/>
      <c r="I62" s="279"/>
      <c r="J62" s="279"/>
      <c r="K62" s="279"/>
      <c r="L62" s="279"/>
      <c r="M62" s="279"/>
      <c r="N62" s="279"/>
      <c r="O62" s="279"/>
      <c r="P62" s="279"/>
      <c r="Q62" s="279"/>
      <c r="R62" s="279"/>
      <c r="S62" s="279"/>
      <c r="T62" s="279"/>
      <c r="U62" s="279"/>
      <c r="V62" s="279"/>
      <c r="W62" s="279"/>
      <c r="X62" s="279"/>
      <c r="Y62" s="279"/>
      <c r="Z62" s="279"/>
    </row>
    <row r="63" ht="15.75" customHeight="1">
      <c r="A63" s="288"/>
      <c r="B63" s="279"/>
      <c r="C63" s="279"/>
      <c r="D63" s="275"/>
      <c r="E63" s="279"/>
      <c r="F63" s="279"/>
      <c r="G63" s="279"/>
      <c r="H63" s="279"/>
      <c r="I63" s="279"/>
      <c r="J63" s="279"/>
      <c r="K63" s="279"/>
      <c r="L63" s="279"/>
      <c r="M63" s="279"/>
      <c r="N63" s="279"/>
      <c r="O63" s="279"/>
      <c r="P63" s="279"/>
      <c r="Q63" s="279"/>
      <c r="R63" s="279"/>
      <c r="S63" s="279"/>
      <c r="T63" s="279"/>
      <c r="U63" s="279"/>
      <c r="V63" s="279"/>
      <c r="W63" s="279"/>
      <c r="X63" s="279"/>
      <c r="Y63" s="279"/>
      <c r="Z63" s="279"/>
    </row>
    <row r="64" ht="15.75" customHeight="1">
      <c r="A64" s="288"/>
      <c r="B64" s="279"/>
      <c r="C64" s="279"/>
      <c r="D64" s="275"/>
      <c r="E64" s="279"/>
      <c r="F64" s="279"/>
      <c r="G64" s="279"/>
      <c r="H64" s="279"/>
      <c r="I64" s="279"/>
      <c r="J64" s="279"/>
      <c r="K64" s="279"/>
      <c r="L64" s="279"/>
      <c r="M64" s="279"/>
      <c r="N64" s="279"/>
      <c r="O64" s="279"/>
      <c r="P64" s="279"/>
      <c r="Q64" s="279"/>
      <c r="R64" s="279"/>
      <c r="S64" s="279"/>
      <c r="T64" s="279"/>
      <c r="U64" s="279"/>
      <c r="V64" s="279"/>
      <c r="W64" s="279"/>
      <c r="X64" s="279"/>
      <c r="Y64" s="279"/>
      <c r="Z64" s="279"/>
    </row>
    <row r="65" ht="15.75" customHeight="1">
      <c r="A65" s="288"/>
      <c r="B65" s="279"/>
      <c r="C65" s="279"/>
      <c r="D65" s="275"/>
      <c r="E65" s="279"/>
      <c r="F65" s="279"/>
      <c r="G65" s="279"/>
      <c r="H65" s="279"/>
      <c r="I65" s="279"/>
      <c r="J65" s="279"/>
      <c r="K65" s="279"/>
      <c r="L65" s="279"/>
      <c r="M65" s="279"/>
      <c r="N65" s="279"/>
      <c r="O65" s="279"/>
      <c r="P65" s="279"/>
      <c r="Q65" s="279"/>
      <c r="R65" s="279"/>
      <c r="S65" s="279"/>
      <c r="T65" s="279"/>
      <c r="U65" s="279"/>
      <c r="V65" s="279"/>
      <c r="W65" s="279"/>
      <c r="X65" s="279"/>
      <c r="Y65" s="279"/>
      <c r="Z65" s="279"/>
    </row>
    <row r="66" ht="15.75" customHeight="1">
      <c r="A66" s="288"/>
      <c r="B66" s="279"/>
      <c r="C66" s="279"/>
      <c r="D66" s="275"/>
      <c r="E66" s="279"/>
      <c r="F66" s="279"/>
      <c r="G66" s="279"/>
      <c r="H66" s="279"/>
      <c r="I66" s="279"/>
      <c r="J66" s="279"/>
      <c r="K66" s="279"/>
      <c r="L66" s="279"/>
      <c r="M66" s="279"/>
      <c r="N66" s="279"/>
      <c r="O66" s="279"/>
      <c r="P66" s="279"/>
      <c r="Q66" s="279"/>
      <c r="R66" s="279"/>
      <c r="S66" s="279"/>
      <c r="T66" s="279"/>
      <c r="U66" s="279"/>
      <c r="V66" s="279"/>
      <c r="W66" s="279"/>
      <c r="X66" s="279"/>
      <c r="Y66" s="279"/>
      <c r="Z66" s="279"/>
    </row>
    <row r="67" ht="15.75" customHeight="1">
      <c r="A67" s="288"/>
      <c r="B67" s="279"/>
      <c r="C67" s="279"/>
      <c r="D67" s="275"/>
      <c r="E67" s="279"/>
      <c r="F67" s="279"/>
      <c r="G67" s="279"/>
      <c r="H67" s="279"/>
      <c r="I67" s="279"/>
      <c r="J67" s="279"/>
      <c r="K67" s="279"/>
      <c r="L67" s="279"/>
      <c r="M67" s="279"/>
      <c r="N67" s="279"/>
      <c r="O67" s="279"/>
      <c r="P67" s="279"/>
      <c r="Q67" s="279"/>
      <c r="R67" s="279"/>
      <c r="S67" s="279"/>
      <c r="T67" s="279"/>
      <c r="U67" s="279"/>
      <c r="V67" s="279"/>
      <c r="W67" s="279"/>
      <c r="X67" s="279"/>
      <c r="Y67" s="279"/>
      <c r="Z67" s="279"/>
    </row>
    <row r="68" ht="15.75" customHeight="1">
      <c r="A68" s="288"/>
      <c r="B68" s="279"/>
      <c r="C68" s="279"/>
      <c r="D68" s="275"/>
      <c r="E68" s="279"/>
      <c r="F68" s="279"/>
      <c r="G68" s="279"/>
      <c r="H68" s="279"/>
      <c r="I68" s="279"/>
      <c r="J68" s="279"/>
      <c r="K68" s="279"/>
      <c r="L68" s="279"/>
      <c r="M68" s="279"/>
      <c r="N68" s="279"/>
      <c r="O68" s="279"/>
      <c r="P68" s="279"/>
      <c r="Q68" s="279"/>
      <c r="R68" s="279"/>
      <c r="S68" s="279"/>
      <c r="T68" s="279"/>
      <c r="U68" s="279"/>
      <c r="V68" s="279"/>
      <c r="W68" s="279"/>
      <c r="X68" s="279"/>
      <c r="Y68" s="279"/>
      <c r="Z68" s="279"/>
    </row>
    <row r="69" ht="15.75" customHeight="1">
      <c r="A69" s="288"/>
      <c r="B69" s="279"/>
      <c r="C69" s="279"/>
      <c r="D69" s="275"/>
      <c r="E69" s="279"/>
      <c r="F69" s="279"/>
      <c r="G69" s="279"/>
      <c r="H69" s="279"/>
      <c r="I69" s="279"/>
      <c r="J69" s="279"/>
      <c r="K69" s="279"/>
      <c r="L69" s="279"/>
      <c r="M69" s="279"/>
      <c r="N69" s="279"/>
      <c r="O69" s="279"/>
      <c r="P69" s="279"/>
      <c r="Q69" s="279"/>
      <c r="R69" s="279"/>
      <c r="S69" s="279"/>
      <c r="T69" s="279"/>
      <c r="U69" s="279"/>
      <c r="V69" s="279"/>
      <c r="W69" s="279"/>
      <c r="X69" s="279"/>
      <c r="Y69" s="279"/>
      <c r="Z69" s="279"/>
    </row>
    <row r="70" ht="15.75" customHeight="1">
      <c r="A70" s="288"/>
      <c r="B70" s="279"/>
      <c r="C70" s="279"/>
      <c r="D70" s="275"/>
      <c r="E70" s="279"/>
      <c r="F70" s="279"/>
      <c r="G70" s="279"/>
      <c r="H70" s="279"/>
      <c r="I70" s="279"/>
      <c r="J70" s="279"/>
      <c r="K70" s="279"/>
      <c r="L70" s="279"/>
      <c r="M70" s="279"/>
      <c r="N70" s="279"/>
      <c r="O70" s="279"/>
      <c r="P70" s="279"/>
      <c r="Q70" s="279"/>
      <c r="R70" s="279"/>
      <c r="S70" s="279"/>
      <c r="T70" s="279"/>
      <c r="U70" s="279"/>
      <c r="V70" s="279"/>
      <c r="W70" s="279"/>
      <c r="X70" s="279"/>
      <c r="Y70" s="279"/>
      <c r="Z70" s="279"/>
    </row>
    <row r="71" ht="15.75" customHeight="1">
      <c r="A71" s="288"/>
      <c r="B71" s="279"/>
      <c r="C71" s="279"/>
      <c r="D71" s="275"/>
      <c r="E71" s="279"/>
      <c r="F71" s="279"/>
      <c r="G71" s="279"/>
      <c r="H71" s="279"/>
      <c r="I71" s="279"/>
      <c r="J71" s="279"/>
      <c r="K71" s="279"/>
      <c r="L71" s="279"/>
      <c r="M71" s="279"/>
      <c r="N71" s="279"/>
      <c r="O71" s="279"/>
      <c r="P71" s="279"/>
      <c r="Q71" s="279"/>
      <c r="R71" s="279"/>
      <c r="S71" s="279"/>
      <c r="T71" s="279"/>
      <c r="U71" s="279"/>
      <c r="V71" s="279"/>
      <c r="W71" s="279"/>
      <c r="X71" s="279"/>
      <c r="Y71" s="279"/>
      <c r="Z71" s="279"/>
    </row>
    <row r="72" ht="15.75" customHeight="1">
      <c r="A72" s="288"/>
      <c r="B72" s="279"/>
      <c r="C72" s="279"/>
      <c r="D72" s="275"/>
      <c r="E72" s="279"/>
      <c r="F72" s="279"/>
      <c r="G72" s="279"/>
      <c r="H72" s="279"/>
      <c r="I72" s="279"/>
      <c r="J72" s="279"/>
      <c r="K72" s="279"/>
      <c r="L72" s="279"/>
      <c r="M72" s="279"/>
      <c r="N72" s="279"/>
      <c r="O72" s="279"/>
      <c r="P72" s="279"/>
      <c r="Q72" s="279"/>
      <c r="R72" s="279"/>
      <c r="S72" s="279"/>
      <c r="T72" s="279"/>
      <c r="U72" s="279"/>
      <c r="V72" s="279"/>
      <c r="W72" s="279"/>
      <c r="X72" s="279"/>
      <c r="Y72" s="279"/>
      <c r="Z72" s="279"/>
    </row>
    <row r="73" ht="15.75" customHeight="1">
      <c r="A73" s="288"/>
      <c r="B73" s="279"/>
      <c r="C73" s="279"/>
      <c r="D73" s="275"/>
      <c r="E73" s="279"/>
      <c r="F73" s="279"/>
      <c r="G73" s="279"/>
      <c r="H73" s="279"/>
      <c r="I73" s="279"/>
      <c r="J73" s="279"/>
      <c r="K73" s="279"/>
      <c r="L73" s="279"/>
      <c r="M73" s="279"/>
      <c r="N73" s="279"/>
      <c r="O73" s="279"/>
      <c r="P73" s="279"/>
      <c r="Q73" s="279"/>
      <c r="R73" s="279"/>
      <c r="S73" s="279"/>
      <c r="T73" s="279"/>
      <c r="U73" s="279"/>
      <c r="V73" s="279"/>
      <c r="W73" s="279"/>
      <c r="X73" s="279"/>
      <c r="Y73" s="279"/>
      <c r="Z73" s="279"/>
    </row>
    <row r="74" ht="15.75" customHeight="1">
      <c r="A74" s="288"/>
      <c r="B74" s="279"/>
      <c r="C74" s="279"/>
      <c r="D74" s="275"/>
      <c r="E74" s="279"/>
      <c r="F74" s="279"/>
      <c r="G74" s="279"/>
      <c r="H74" s="279"/>
      <c r="I74" s="279"/>
      <c r="J74" s="279"/>
      <c r="K74" s="279"/>
      <c r="L74" s="279"/>
      <c r="M74" s="279"/>
      <c r="N74" s="279"/>
      <c r="O74" s="279"/>
      <c r="P74" s="279"/>
      <c r="Q74" s="279"/>
      <c r="R74" s="279"/>
      <c r="S74" s="279"/>
      <c r="T74" s="279"/>
      <c r="U74" s="279"/>
      <c r="V74" s="279"/>
      <c r="W74" s="279"/>
      <c r="X74" s="279"/>
      <c r="Y74" s="279"/>
      <c r="Z74" s="279"/>
    </row>
    <row r="75" ht="15.75" customHeight="1">
      <c r="A75" s="288"/>
      <c r="B75" s="279"/>
      <c r="C75" s="279"/>
      <c r="D75" s="275"/>
      <c r="E75" s="279"/>
      <c r="F75" s="279"/>
      <c r="G75" s="279"/>
      <c r="H75" s="279"/>
      <c r="I75" s="279"/>
      <c r="J75" s="279"/>
      <c r="K75" s="279"/>
      <c r="L75" s="279"/>
      <c r="M75" s="279"/>
      <c r="N75" s="279"/>
      <c r="O75" s="279"/>
      <c r="P75" s="279"/>
      <c r="Q75" s="279"/>
      <c r="R75" s="279"/>
      <c r="S75" s="279"/>
      <c r="T75" s="279"/>
      <c r="U75" s="279"/>
      <c r="V75" s="279"/>
      <c r="W75" s="279"/>
      <c r="X75" s="279"/>
      <c r="Y75" s="279"/>
      <c r="Z75" s="279"/>
    </row>
    <row r="76" ht="15.75" customHeight="1">
      <c r="A76" s="288"/>
      <c r="B76" s="279"/>
      <c r="C76" s="279"/>
      <c r="D76" s="275"/>
      <c r="E76" s="279"/>
      <c r="F76" s="279"/>
      <c r="G76" s="279"/>
      <c r="H76" s="279"/>
      <c r="I76" s="279"/>
      <c r="J76" s="279"/>
      <c r="K76" s="279"/>
      <c r="L76" s="279"/>
      <c r="M76" s="279"/>
      <c r="N76" s="279"/>
      <c r="O76" s="279"/>
      <c r="P76" s="279"/>
      <c r="Q76" s="279"/>
      <c r="R76" s="279"/>
      <c r="S76" s="279"/>
      <c r="T76" s="279"/>
      <c r="U76" s="279"/>
      <c r="V76" s="279"/>
      <c r="W76" s="279"/>
      <c r="X76" s="279"/>
      <c r="Y76" s="279"/>
      <c r="Z76" s="279"/>
    </row>
    <row r="77" ht="15.75" customHeight="1">
      <c r="A77" s="288"/>
      <c r="B77" s="279"/>
      <c r="C77" s="279"/>
      <c r="D77" s="275"/>
      <c r="E77" s="279"/>
      <c r="F77" s="279"/>
      <c r="G77" s="279"/>
      <c r="H77" s="279"/>
      <c r="I77" s="279"/>
      <c r="J77" s="279"/>
      <c r="K77" s="279"/>
      <c r="L77" s="279"/>
      <c r="M77" s="279"/>
      <c r="N77" s="279"/>
      <c r="O77" s="279"/>
      <c r="P77" s="279"/>
      <c r="Q77" s="279"/>
      <c r="R77" s="279"/>
      <c r="S77" s="279"/>
      <c r="T77" s="279"/>
      <c r="U77" s="279"/>
      <c r="V77" s="279"/>
      <c r="W77" s="279"/>
      <c r="X77" s="279"/>
      <c r="Y77" s="279"/>
      <c r="Z77" s="279"/>
    </row>
    <row r="78" ht="15.75" customHeight="1">
      <c r="A78" s="288"/>
      <c r="B78" s="279"/>
      <c r="C78" s="279"/>
      <c r="D78" s="275"/>
      <c r="E78" s="279"/>
      <c r="F78" s="279"/>
      <c r="G78" s="279"/>
      <c r="H78" s="279"/>
      <c r="I78" s="279"/>
      <c r="J78" s="279"/>
      <c r="K78" s="279"/>
      <c r="L78" s="279"/>
      <c r="M78" s="279"/>
      <c r="N78" s="279"/>
      <c r="O78" s="279"/>
      <c r="P78" s="279"/>
      <c r="Q78" s="279"/>
      <c r="R78" s="279"/>
      <c r="S78" s="279"/>
      <c r="T78" s="279"/>
      <c r="U78" s="279"/>
      <c r="V78" s="279"/>
      <c r="W78" s="279"/>
      <c r="X78" s="279"/>
      <c r="Y78" s="279"/>
      <c r="Z78" s="279"/>
    </row>
    <row r="79" ht="15.75" customHeight="1">
      <c r="A79" s="288"/>
      <c r="B79" s="279"/>
      <c r="C79" s="279"/>
      <c r="D79" s="275"/>
      <c r="E79" s="279"/>
      <c r="F79" s="279"/>
      <c r="G79" s="279"/>
      <c r="H79" s="279"/>
      <c r="I79" s="279"/>
      <c r="J79" s="279"/>
      <c r="K79" s="279"/>
      <c r="L79" s="279"/>
      <c r="M79" s="279"/>
      <c r="N79" s="279"/>
      <c r="O79" s="279"/>
      <c r="P79" s="279"/>
      <c r="Q79" s="279"/>
      <c r="R79" s="279"/>
      <c r="S79" s="279"/>
      <c r="T79" s="279"/>
      <c r="U79" s="279"/>
      <c r="V79" s="279"/>
      <c r="W79" s="279"/>
      <c r="X79" s="279"/>
      <c r="Y79" s="279"/>
      <c r="Z79" s="279"/>
    </row>
    <row r="80" ht="15.75" customHeight="1">
      <c r="A80" s="288"/>
      <c r="B80" s="279"/>
      <c r="C80" s="279"/>
      <c r="D80" s="275"/>
      <c r="E80" s="279"/>
      <c r="F80" s="279"/>
      <c r="G80" s="279"/>
      <c r="H80" s="279"/>
      <c r="I80" s="279"/>
      <c r="J80" s="279"/>
      <c r="K80" s="279"/>
      <c r="L80" s="279"/>
      <c r="M80" s="279"/>
      <c r="N80" s="279"/>
      <c r="O80" s="279"/>
      <c r="P80" s="279"/>
      <c r="Q80" s="279"/>
      <c r="R80" s="279"/>
      <c r="S80" s="279"/>
      <c r="T80" s="279"/>
      <c r="U80" s="279"/>
      <c r="V80" s="279"/>
      <c r="W80" s="279"/>
      <c r="X80" s="279"/>
      <c r="Y80" s="279"/>
      <c r="Z80" s="279"/>
    </row>
    <row r="81" ht="15.75" customHeight="1">
      <c r="A81" s="288"/>
      <c r="B81" s="279"/>
      <c r="C81" s="279"/>
      <c r="D81" s="275"/>
      <c r="E81" s="279"/>
      <c r="F81" s="279"/>
      <c r="G81" s="279"/>
      <c r="H81" s="279"/>
      <c r="I81" s="279"/>
      <c r="J81" s="279"/>
      <c r="K81" s="279"/>
      <c r="L81" s="279"/>
      <c r="M81" s="279"/>
      <c r="N81" s="279"/>
      <c r="O81" s="279"/>
      <c r="P81" s="279"/>
      <c r="Q81" s="279"/>
      <c r="R81" s="279"/>
      <c r="S81" s="279"/>
      <c r="T81" s="279"/>
      <c r="U81" s="279"/>
      <c r="V81" s="279"/>
      <c r="W81" s="279"/>
      <c r="X81" s="279"/>
      <c r="Y81" s="279"/>
      <c r="Z81" s="279"/>
    </row>
    <row r="82" ht="15.75" customHeight="1">
      <c r="A82" s="288"/>
      <c r="B82" s="279"/>
      <c r="C82" s="279"/>
      <c r="D82" s="275"/>
      <c r="E82" s="279"/>
      <c r="F82" s="279"/>
      <c r="G82" s="279"/>
      <c r="H82" s="279"/>
      <c r="I82" s="279"/>
      <c r="J82" s="279"/>
      <c r="K82" s="279"/>
      <c r="L82" s="279"/>
      <c r="M82" s="279"/>
      <c r="N82" s="279"/>
      <c r="O82" s="279"/>
      <c r="P82" s="279"/>
      <c r="Q82" s="279"/>
      <c r="R82" s="279"/>
      <c r="S82" s="279"/>
      <c r="T82" s="279"/>
      <c r="U82" s="279"/>
      <c r="V82" s="279"/>
      <c r="W82" s="279"/>
      <c r="X82" s="279"/>
      <c r="Y82" s="279"/>
      <c r="Z82" s="279"/>
    </row>
    <row r="83" ht="15.75" customHeight="1">
      <c r="A83" s="288"/>
      <c r="B83" s="279"/>
      <c r="C83" s="279"/>
      <c r="D83" s="275"/>
      <c r="E83" s="279"/>
      <c r="F83" s="279"/>
      <c r="G83" s="279"/>
      <c r="H83" s="279"/>
      <c r="I83" s="279"/>
      <c r="J83" s="279"/>
      <c r="K83" s="279"/>
      <c r="L83" s="279"/>
      <c r="M83" s="279"/>
      <c r="N83" s="279"/>
      <c r="O83" s="279"/>
      <c r="P83" s="279"/>
      <c r="Q83" s="279"/>
      <c r="R83" s="279"/>
      <c r="S83" s="279"/>
      <c r="T83" s="279"/>
      <c r="U83" s="279"/>
      <c r="V83" s="279"/>
      <c r="W83" s="279"/>
      <c r="X83" s="279"/>
      <c r="Y83" s="279"/>
      <c r="Z83" s="279"/>
    </row>
    <row r="84" ht="15.75" customHeight="1">
      <c r="A84" s="288"/>
      <c r="B84" s="279"/>
      <c r="C84" s="279"/>
      <c r="D84" s="275"/>
      <c r="E84" s="279"/>
      <c r="F84" s="279"/>
      <c r="G84" s="279"/>
      <c r="H84" s="279"/>
      <c r="I84" s="279"/>
      <c r="J84" s="279"/>
      <c r="K84" s="279"/>
      <c r="L84" s="279"/>
      <c r="M84" s="279"/>
      <c r="N84" s="279"/>
      <c r="O84" s="279"/>
      <c r="P84" s="279"/>
      <c r="Q84" s="279"/>
      <c r="R84" s="279"/>
      <c r="S84" s="279"/>
      <c r="T84" s="279"/>
      <c r="U84" s="279"/>
      <c r="V84" s="279"/>
      <c r="W84" s="279"/>
      <c r="X84" s="279"/>
      <c r="Y84" s="279"/>
      <c r="Z84" s="279"/>
    </row>
    <row r="85" ht="15.75" customHeight="1">
      <c r="A85" s="288"/>
      <c r="B85" s="279"/>
      <c r="C85" s="279"/>
      <c r="D85" s="275"/>
      <c r="E85" s="279"/>
      <c r="F85" s="279"/>
      <c r="G85" s="279"/>
      <c r="H85" s="279"/>
      <c r="I85" s="279"/>
      <c r="J85" s="279"/>
      <c r="K85" s="279"/>
      <c r="L85" s="279"/>
      <c r="M85" s="279"/>
      <c r="N85" s="279"/>
      <c r="O85" s="279"/>
      <c r="P85" s="279"/>
      <c r="Q85" s="279"/>
      <c r="R85" s="279"/>
      <c r="S85" s="279"/>
      <c r="T85" s="279"/>
      <c r="U85" s="279"/>
      <c r="V85" s="279"/>
      <c r="W85" s="279"/>
      <c r="X85" s="279"/>
      <c r="Y85" s="279"/>
      <c r="Z85" s="279"/>
    </row>
    <row r="86" ht="15.75" customHeight="1">
      <c r="A86" s="288"/>
      <c r="B86" s="279"/>
      <c r="C86" s="279"/>
      <c r="D86" s="275"/>
      <c r="E86" s="279"/>
      <c r="F86" s="279"/>
      <c r="G86" s="279"/>
      <c r="H86" s="279"/>
      <c r="I86" s="279"/>
      <c r="J86" s="279"/>
      <c r="K86" s="279"/>
      <c r="L86" s="279"/>
      <c r="M86" s="279"/>
      <c r="N86" s="279"/>
      <c r="O86" s="279"/>
      <c r="P86" s="279"/>
      <c r="Q86" s="279"/>
      <c r="R86" s="279"/>
      <c r="S86" s="279"/>
      <c r="T86" s="279"/>
      <c r="U86" s="279"/>
      <c r="V86" s="279"/>
      <c r="W86" s="279"/>
      <c r="X86" s="279"/>
      <c r="Y86" s="279"/>
      <c r="Z86" s="279"/>
    </row>
    <row r="87" ht="15.75" customHeight="1">
      <c r="A87" s="288"/>
      <c r="B87" s="279"/>
      <c r="C87" s="279"/>
      <c r="D87" s="275"/>
      <c r="E87" s="279"/>
      <c r="F87" s="279"/>
      <c r="G87" s="279"/>
      <c r="H87" s="279"/>
      <c r="I87" s="279"/>
      <c r="J87" s="279"/>
      <c r="K87" s="279"/>
      <c r="L87" s="279"/>
      <c r="M87" s="279"/>
      <c r="N87" s="279"/>
      <c r="O87" s="279"/>
      <c r="P87" s="279"/>
      <c r="Q87" s="279"/>
      <c r="R87" s="279"/>
      <c r="S87" s="279"/>
      <c r="T87" s="279"/>
      <c r="U87" s="279"/>
      <c r="V87" s="279"/>
      <c r="W87" s="279"/>
      <c r="X87" s="279"/>
      <c r="Y87" s="279"/>
      <c r="Z87" s="279"/>
    </row>
    <row r="88" ht="15.75" customHeight="1">
      <c r="A88" s="288"/>
      <c r="B88" s="279"/>
      <c r="C88" s="279"/>
      <c r="D88" s="275"/>
      <c r="E88" s="279"/>
      <c r="F88" s="279"/>
      <c r="G88" s="279"/>
      <c r="H88" s="279"/>
      <c r="I88" s="279"/>
      <c r="J88" s="279"/>
      <c r="K88" s="279"/>
      <c r="L88" s="279"/>
      <c r="M88" s="279"/>
      <c r="N88" s="279"/>
      <c r="O88" s="279"/>
      <c r="P88" s="279"/>
      <c r="Q88" s="279"/>
      <c r="R88" s="279"/>
      <c r="S88" s="279"/>
      <c r="T88" s="279"/>
      <c r="U88" s="279"/>
      <c r="V88" s="279"/>
      <c r="W88" s="279"/>
      <c r="X88" s="279"/>
      <c r="Y88" s="279"/>
      <c r="Z88" s="279"/>
    </row>
    <row r="89" ht="15.75" customHeight="1">
      <c r="A89" s="288"/>
      <c r="B89" s="279"/>
      <c r="C89" s="279"/>
      <c r="D89" s="275"/>
      <c r="E89" s="279"/>
      <c r="F89" s="279"/>
      <c r="G89" s="279"/>
      <c r="H89" s="279"/>
      <c r="I89" s="279"/>
      <c r="J89" s="279"/>
      <c r="K89" s="279"/>
      <c r="L89" s="279"/>
      <c r="M89" s="279"/>
      <c r="N89" s="279"/>
      <c r="O89" s="279"/>
      <c r="P89" s="279"/>
      <c r="Q89" s="279"/>
      <c r="R89" s="279"/>
      <c r="S89" s="279"/>
      <c r="T89" s="279"/>
      <c r="U89" s="279"/>
      <c r="V89" s="279"/>
      <c r="W89" s="279"/>
      <c r="X89" s="279"/>
      <c r="Y89" s="279"/>
      <c r="Z89" s="279"/>
    </row>
    <row r="90" ht="15.75" customHeight="1">
      <c r="A90" s="288"/>
      <c r="B90" s="279"/>
      <c r="C90" s="279"/>
      <c r="D90" s="275"/>
      <c r="E90" s="279"/>
      <c r="F90" s="279"/>
      <c r="G90" s="279"/>
      <c r="H90" s="279"/>
      <c r="I90" s="279"/>
      <c r="J90" s="279"/>
      <c r="K90" s="279"/>
      <c r="L90" s="279"/>
      <c r="M90" s="279"/>
      <c r="N90" s="279"/>
      <c r="O90" s="279"/>
      <c r="P90" s="279"/>
      <c r="Q90" s="279"/>
      <c r="R90" s="279"/>
      <c r="S90" s="279"/>
      <c r="T90" s="279"/>
      <c r="U90" s="279"/>
      <c r="V90" s="279"/>
      <c r="W90" s="279"/>
      <c r="X90" s="279"/>
      <c r="Y90" s="279"/>
      <c r="Z90" s="279"/>
    </row>
    <row r="91" ht="15.75" customHeight="1">
      <c r="A91" s="288"/>
      <c r="B91" s="279"/>
      <c r="C91" s="279"/>
      <c r="D91" s="275"/>
      <c r="E91" s="279"/>
      <c r="F91" s="279"/>
      <c r="G91" s="279"/>
      <c r="H91" s="279"/>
      <c r="I91" s="279"/>
      <c r="J91" s="279"/>
      <c r="K91" s="279"/>
      <c r="L91" s="279"/>
      <c r="M91" s="279"/>
      <c r="N91" s="279"/>
      <c r="O91" s="279"/>
      <c r="P91" s="279"/>
      <c r="Q91" s="279"/>
      <c r="R91" s="279"/>
      <c r="S91" s="279"/>
      <c r="T91" s="279"/>
      <c r="U91" s="279"/>
      <c r="V91" s="279"/>
      <c r="W91" s="279"/>
      <c r="X91" s="279"/>
      <c r="Y91" s="279"/>
      <c r="Z91" s="279"/>
    </row>
    <row r="92" ht="15.75" customHeight="1">
      <c r="A92" s="288"/>
      <c r="B92" s="279"/>
      <c r="C92" s="279"/>
      <c r="D92" s="275"/>
      <c r="E92" s="279"/>
      <c r="F92" s="279"/>
      <c r="G92" s="279"/>
      <c r="H92" s="279"/>
      <c r="I92" s="279"/>
      <c r="J92" s="279"/>
      <c r="K92" s="279"/>
      <c r="L92" s="279"/>
      <c r="M92" s="279"/>
      <c r="N92" s="279"/>
      <c r="O92" s="279"/>
      <c r="P92" s="279"/>
      <c r="Q92" s="279"/>
      <c r="R92" s="279"/>
      <c r="S92" s="279"/>
      <c r="T92" s="279"/>
      <c r="U92" s="279"/>
      <c r="V92" s="279"/>
      <c r="W92" s="279"/>
      <c r="X92" s="279"/>
      <c r="Y92" s="279"/>
      <c r="Z92" s="279"/>
    </row>
    <row r="93" ht="15.75" customHeight="1">
      <c r="A93" s="288"/>
      <c r="B93" s="279"/>
      <c r="C93" s="279"/>
      <c r="D93" s="275"/>
      <c r="E93" s="279"/>
      <c r="F93" s="279"/>
      <c r="G93" s="279"/>
      <c r="H93" s="279"/>
      <c r="I93" s="279"/>
      <c r="J93" s="279"/>
      <c r="K93" s="279"/>
      <c r="L93" s="279"/>
      <c r="M93" s="279"/>
      <c r="N93" s="279"/>
      <c r="O93" s="279"/>
      <c r="P93" s="279"/>
      <c r="Q93" s="279"/>
      <c r="R93" s="279"/>
      <c r="S93" s="279"/>
      <c r="T93" s="279"/>
      <c r="U93" s="279"/>
      <c r="V93" s="279"/>
      <c r="W93" s="279"/>
      <c r="X93" s="279"/>
      <c r="Y93" s="279"/>
      <c r="Z93" s="279"/>
    </row>
    <row r="94" ht="15.75" customHeight="1">
      <c r="A94" s="288"/>
      <c r="B94" s="279"/>
      <c r="C94" s="279"/>
      <c r="D94" s="275"/>
      <c r="E94" s="279"/>
      <c r="F94" s="279"/>
      <c r="G94" s="279"/>
      <c r="H94" s="279"/>
      <c r="I94" s="279"/>
      <c r="J94" s="279"/>
      <c r="K94" s="279"/>
      <c r="L94" s="279"/>
      <c r="M94" s="279"/>
      <c r="N94" s="279"/>
      <c r="O94" s="279"/>
      <c r="P94" s="279"/>
      <c r="Q94" s="279"/>
      <c r="R94" s="279"/>
      <c r="S94" s="279"/>
      <c r="T94" s="279"/>
      <c r="U94" s="279"/>
      <c r="V94" s="279"/>
      <c r="W94" s="279"/>
      <c r="X94" s="279"/>
      <c r="Y94" s="279"/>
      <c r="Z94" s="279"/>
    </row>
    <row r="95" ht="15.75" customHeight="1">
      <c r="A95" s="288"/>
      <c r="B95" s="279"/>
      <c r="C95" s="279"/>
      <c r="D95" s="275"/>
      <c r="E95" s="279"/>
      <c r="F95" s="279"/>
      <c r="G95" s="279"/>
      <c r="H95" s="279"/>
      <c r="I95" s="279"/>
      <c r="J95" s="279"/>
      <c r="K95" s="279"/>
      <c r="L95" s="279"/>
      <c r="M95" s="279"/>
      <c r="N95" s="279"/>
      <c r="O95" s="279"/>
      <c r="P95" s="279"/>
      <c r="Q95" s="279"/>
      <c r="R95" s="279"/>
      <c r="S95" s="279"/>
      <c r="T95" s="279"/>
      <c r="U95" s="279"/>
      <c r="V95" s="279"/>
      <c r="W95" s="279"/>
      <c r="X95" s="279"/>
      <c r="Y95" s="279"/>
      <c r="Z95" s="279"/>
    </row>
    <row r="96" ht="15.75" customHeight="1">
      <c r="A96" s="288"/>
      <c r="B96" s="279"/>
      <c r="C96" s="279"/>
      <c r="D96" s="275"/>
      <c r="E96" s="279"/>
      <c r="F96" s="279"/>
      <c r="G96" s="279"/>
      <c r="H96" s="279"/>
      <c r="I96" s="279"/>
      <c r="J96" s="279"/>
      <c r="K96" s="279"/>
      <c r="L96" s="279"/>
      <c r="M96" s="279"/>
      <c r="N96" s="279"/>
      <c r="O96" s="279"/>
      <c r="P96" s="279"/>
      <c r="Q96" s="279"/>
      <c r="R96" s="279"/>
      <c r="S96" s="279"/>
      <c r="T96" s="279"/>
      <c r="U96" s="279"/>
      <c r="V96" s="279"/>
      <c r="W96" s="279"/>
      <c r="X96" s="279"/>
      <c r="Y96" s="279"/>
      <c r="Z96" s="279"/>
    </row>
    <row r="97" ht="15.75" customHeight="1">
      <c r="A97" s="288"/>
      <c r="B97" s="279"/>
      <c r="C97" s="279"/>
      <c r="D97" s="275"/>
      <c r="E97" s="279"/>
      <c r="F97" s="279"/>
      <c r="G97" s="279"/>
      <c r="H97" s="279"/>
      <c r="I97" s="279"/>
      <c r="J97" s="279"/>
      <c r="K97" s="279"/>
      <c r="L97" s="279"/>
      <c r="M97" s="279"/>
      <c r="N97" s="279"/>
      <c r="O97" s="279"/>
      <c r="P97" s="279"/>
      <c r="Q97" s="279"/>
      <c r="R97" s="279"/>
      <c r="S97" s="279"/>
      <c r="T97" s="279"/>
      <c r="U97" s="279"/>
      <c r="V97" s="279"/>
      <c r="W97" s="279"/>
      <c r="X97" s="279"/>
      <c r="Y97" s="279"/>
      <c r="Z97" s="279"/>
    </row>
    <row r="98" ht="15.75" customHeight="1">
      <c r="A98" s="288"/>
      <c r="B98" s="279"/>
      <c r="C98" s="279"/>
      <c r="D98" s="275"/>
      <c r="E98" s="279"/>
      <c r="F98" s="279"/>
      <c r="G98" s="279"/>
      <c r="H98" s="279"/>
      <c r="I98" s="279"/>
      <c r="J98" s="279"/>
      <c r="K98" s="279"/>
      <c r="L98" s="279"/>
      <c r="M98" s="279"/>
      <c r="N98" s="279"/>
      <c r="O98" s="279"/>
      <c r="P98" s="279"/>
      <c r="Q98" s="279"/>
      <c r="R98" s="279"/>
      <c r="S98" s="279"/>
      <c r="T98" s="279"/>
      <c r="U98" s="279"/>
      <c r="V98" s="279"/>
      <c r="W98" s="279"/>
      <c r="X98" s="279"/>
      <c r="Y98" s="279"/>
      <c r="Z98" s="279"/>
    </row>
    <row r="99" ht="15.75" customHeight="1">
      <c r="A99" s="288"/>
      <c r="B99" s="279"/>
      <c r="C99" s="279"/>
      <c r="D99" s="275"/>
      <c r="E99" s="279"/>
      <c r="F99" s="279"/>
      <c r="G99" s="279"/>
      <c r="H99" s="279"/>
      <c r="I99" s="279"/>
      <c r="J99" s="279"/>
      <c r="K99" s="279"/>
      <c r="L99" s="279"/>
      <c r="M99" s="279"/>
      <c r="N99" s="279"/>
      <c r="O99" s="279"/>
      <c r="P99" s="279"/>
      <c r="Q99" s="279"/>
      <c r="R99" s="279"/>
      <c r="S99" s="279"/>
      <c r="T99" s="279"/>
      <c r="U99" s="279"/>
      <c r="V99" s="279"/>
      <c r="W99" s="279"/>
      <c r="X99" s="279"/>
      <c r="Y99" s="279"/>
      <c r="Z99" s="279"/>
    </row>
    <row r="100" ht="15.75" customHeight="1">
      <c r="A100" s="288"/>
      <c r="B100" s="279"/>
      <c r="C100" s="279"/>
      <c r="D100" s="275"/>
      <c r="E100" s="279"/>
      <c r="F100" s="279"/>
      <c r="G100" s="279"/>
      <c r="H100" s="279"/>
      <c r="I100" s="279"/>
      <c r="J100" s="279"/>
      <c r="K100" s="279"/>
      <c r="L100" s="279"/>
      <c r="M100" s="279"/>
      <c r="N100" s="279"/>
      <c r="O100" s="279"/>
      <c r="P100" s="279"/>
      <c r="Q100" s="279"/>
      <c r="R100" s="279"/>
      <c r="S100" s="279"/>
      <c r="T100" s="279"/>
      <c r="U100" s="279"/>
      <c r="V100" s="279"/>
      <c r="W100" s="279"/>
      <c r="X100" s="279"/>
      <c r="Y100" s="279"/>
      <c r="Z100" s="279"/>
    </row>
    <row r="101" ht="15.75" customHeight="1">
      <c r="A101" s="288"/>
      <c r="B101" s="279"/>
      <c r="C101" s="279"/>
      <c r="D101" s="275"/>
      <c r="E101" s="279"/>
      <c r="F101" s="279"/>
      <c r="G101" s="279"/>
      <c r="H101" s="279"/>
      <c r="I101" s="279"/>
      <c r="J101" s="279"/>
      <c r="K101" s="279"/>
      <c r="L101" s="279"/>
      <c r="M101" s="279"/>
      <c r="N101" s="279"/>
      <c r="O101" s="279"/>
      <c r="P101" s="279"/>
      <c r="Q101" s="279"/>
      <c r="R101" s="279"/>
      <c r="S101" s="279"/>
      <c r="T101" s="279"/>
      <c r="U101" s="279"/>
      <c r="V101" s="279"/>
      <c r="W101" s="279"/>
      <c r="X101" s="279"/>
      <c r="Y101" s="279"/>
      <c r="Z101" s="279"/>
    </row>
    <row r="102" ht="15.75" customHeight="1">
      <c r="A102" s="288"/>
      <c r="B102" s="279"/>
      <c r="C102" s="279"/>
      <c r="D102" s="275"/>
      <c r="E102" s="279"/>
      <c r="F102" s="279"/>
      <c r="G102" s="279"/>
      <c r="H102" s="279"/>
      <c r="I102" s="279"/>
      <c r="J102" s="279"/>
      <c r="K102" s="279"/>
      <c r="L102" s="279"/>
      <c r="M102" s="279"/>
      <c r="N102" s="279"/>
      <c r="O102" s="279"/>
      <c r="P102" s="279"/>
      <c r="Q102" s="279"/>
      <c r="R102" s="279"/>
      <c r="S102" s="279"/>
      <c r="T102" s="279"/>
      <c r="U102" s="279"/>
      <c r="V102" s="279"/>
      <c r="W102" s="279"/>
      <c r="X102" s="279"/>
      <c r="Y102" s="279"/>
      <c r="Z102" s="279"/>
    </row>
    <row r="103" ht="15.75" customHeight="1">
      <c r="A103" s="288"/>
      <c r="B103" s="279"/>
      <c r="C103" s="279"/>
      <c r="D103" s="275"/>
      <c r="E103" s="279"/>
      <c r="F103" s="279"/>
      <c r="G103" s="279"/>
      <c r="H103" s="279"/>
      <c r="I103" s="279"/>
      <c r="J103" s="279"/>
      <c r="K103" s="279"/>
      <c r="L103" s="279"/>
      <c r="M103" s="279"/>
      <c r="N103" s="279"/>
      <c r="O103" s="279"/>
      <c r="P103" s="279"/>
      <c r="Q103" s="279"/>
      <c r="R103" s="279"/>
      <c r="S103" s="279"/>
      <c r="T103" s="279"/>
      <c r="U103" s="279"/>
      <c r="V103" s="279"/>
      <c r="W103" s="279"/>
      <c r="X103" s="279"/>
      <c r="Y103" s="279"/>
      <c r="Z103" s="279"/>
    </row>
    <row r="104" ht="15.75" customHeight="1">
      <c r="A104" s="288"/>
      <c r="B104" s="279"/>
      <c r="C104" s="279"/>
      <c r="D104" s="275"/>
      <c r="E104" s="279"/>
      <c r="F104" s="279"/>
      <c r="G104" s="279"/>
      <c r="H104" s="279"/>
      <c r="I104" s="279"/>
      <c r="J104" s="279"/>
      <c r="K104" s="279"/>
      <c r="L104" s="279"/>
      <c r="M104" s="279"/>
      <c r="N104" s="279"/>
      <c r="O104" s="279"/>
      <c r="P104" s="279"/>
      <c r="Q104" s="279"/>
      <c r="R104" s="279"/>
      <c r="S104" s="279"/>
      <c r="T104" s="279"/>
      <c r="U104" s="279"/>
      <c r="V104" s="279"/>
      <c r="W104" s="279"/>
      <c r="X104" s="279"/>
      <c r="Y104" s="279"/>
      <c r="Z104" s="279"/>
    </row>
    <row r="105" ht="15.75" customHeight="1">
      <c r="A105" s="288"/>
      <c r="B105" s="279"/>
      <c r="C105" s="279"/>
      <c r="D105" s="275"/>
      <c r="E105" s="279"/>
      <c r="F105" s="279"/>
      <c r="G105" s="279"/>
      <c r="H105" s="279"/>
      <c r="I105" s="279"/>
      <c r="J105" s="279"/>
      <c r="K105" s="279"/>
      <c r="L105" s="279"/>
      <c r="M105" s="279"/>
      <c r="N105" s="279"/>
      <c r="O105" s="279"/>
      <c r="P105" s="279"/>
      <c r="Q105" s="279"/>
      <c r="R105" s="279"/>
      <c r="S105" s="279"/>
      <c r="T105" s="279"/>
      <c r="U105" s="279"/>
      <c r="V105" s="279"/>
      <c r="W105" s="279"/>
      <c r="X105" s="279"/>
      <c r="Y105" s="279"/>
      <c r="Z105" s="279"/>
    </row>
    <row r="106" ht="15.75" customHeight="1">
      <c r="A106" s="288"/>
      <c r="B106" s="279"/>
      <c r="C106" s="279"/>
      <c r="D106" s="275"/>
      <c r="E106" s="279"/>
      <c r="F106" s="279"/>
      <c r="G106" s="279"/>
      <c r="H106" s="279"/>
      <c r="I106" s="279"/>
      <c r="J106" s="279"/>
      <c r="K106" s="279"/>
      <c r="L106" s="279"/>
      <c r="M106" s="279"/>
      <c r="N106" s="279"/>
      <c r="O106" s="279"/>
      <c r="P106" s="279"/>
      <c r="Q106" s="279"/>
      <c r="R106" s="279"/>
      <c r="S106" s="279"/>
      <c r="T106" s="279"/>
      <c r="U106" s="279"/>
      <c r="V106" s="279"/>
      <c r="W106" s="279"/>
      <c r="X106" s="279"/>
      <c r="Y106" s="279"/>
      <c r="Z106" s="279"/>
    </row>
    <row r="107" ht="15.75" customHeight="1">
      <c r="A107" s="288"/>
      <c r="B107" s="279"/>
      <c r="C107" s="279"/>
      <c r="D107" s="275"/>
      <c r="E107" s="279"/>
      <c r="F107" s="279"/>
      <c r="G107" s="279"/>
      <c r="H107" s="279"/>
      <c r="I107" s="279"/>
      <c r="J107" s="279"/>
      <c r="K107" s="279"/>
      <c r="L107" s="279"/>
      <c r="M107" s="279"/>
      <c r="N107" s="279"/>
      <c r="O107" s="279"/>
      <c r="P107" s="279"/>
      <c r="Q107" s="279"/>
      <c r="R107" s="279"/>
      <c r="S107" s="279"/>
      <c r="T107" s="279"/>
      <c r="U107" s="279"/>
      <c r="V107" s="279"/>
      <c r="W107" s="279"/>
      <c r="X107" s="279"/>
      <c r="Y107" s="279"/>
      <c r="Z107" s="279"/>
    </row>
    <row r="108" ht="15.75" customHeight="1">
      <c r="A108" s="288"/>
      <c r="B108" s="279"/>
      <c r="C108" s="279"/>
      <c r="D108" s="275"/>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79"/>
    </row>
    <row r="109" ht="15.75" customHeight="1">
      <c r="A109" s="288"/>
      <c r="B109" s="279"/>
      <c r="C109" s="279"/>
      <c r="D109" s="275"/>
      <c r="E109" s="279"/>
      <c r="F109" s="279"/>
      <c r="G109" s="279"/>
      <c r="H109" s="279"/>
      <c r="I109" s="279"/>
      <c r="J109" s="279"/>
      <c r="K109" s="279"/>
      <c r="L109" s="279"/>
      <c r="M109" s="279"/>
      <c r="N109" s="279"/>
      <c r="O109" s="279"/>
      <c r="P109" s="279"/>
      <c r="Q109" s="279"/>
      <c r="R109" s="279"/>
      <c r="S109" s="279"/>
      <c r="T109" s="279"/>
      <c r="U109" s="279"/>
      <c r="V109" s="279"/>
      <c r="W109" s="279"/>
      <c r="X109" s="279"/>
      <c r="Y109" s="279"/>
      <c r="Z109" s="279"/>
    </row>
    <row r="110" ht="15.75" customHeight="1">
      <c r="A110" s="288"/>
      <c r="B110" s="279"/>
      <c r="C110" s="279"/>
      <c r="D110" s="275"/>
      <c r="E110" s="279"/>
      <c r="F110" s="279"/>
      <c r="G110" s="279"/>
      <c r="H110" s="279"/>
      <c r="I110" s="279"/>
      <c r="J110" s="279"/>
      <c r="K110" s="279"/>
      <c r="L110" s="279"/>
      <c r="M110" s="279"/>
      <c r="N110" s="279"/>
      <c r="O110" s="279"/>
      <c r="P110" s="279"/>
      <c r="Q110" s="279"/>
      <c r="R110" s="279"/>
      <c r="S110" s="279"/>
      <c r="T110" s="279"/>
      <c r="U110" s="279"/>
      <c r="V110" s="279"/>
      <c r="W110" s="279"/>
      <c r="X110" s="279"/>
      <c r="Y110" s="279"/>
      <c r="Z110" s="279"/>
    </row>
    <row r="111" ht="15.75" customHeight="1">
      <c r="A111" s="288"/>
      <c r="B111" s="279"/>
      <c r="C111" s="279"/>
      <c r="D111" s="275"/>
      <c r="E111" s="279"/>
      <c r="F111" s="279"/>
      <c r="G111" s="279"/>
      <c r="H111" s="279"/>
      <c r="I111" s="279"/>
      <c r="J111" s="279"/>
      <c r="K111" s="279"/>
      <c r="L111" s="279"/>
      <c r="M111" s="279"/>
      <c r="N111" s="279"/>
      <c r="O111" s="279"/>
      <c r="P111" s="279"/>
      <c r="Q111" s="279"/>
      <c r="R111" s="279"/>
      <c r="S111" s="279"/>
      <c r="T111" s="279"/>
      <c r="U111" s="279"/>
      <c r="V111" s="279"/>
      <c r="W111" s="279"/>
      <c r="X111" s="279"/>
      <c r="Y111" s="279"/>
      <c r="Z111" s="279"/>
    </row>
    <row r="112" ht="15.75" customHeight="1">
      <c r="A112" s="288"/>
      <c r="B112" s="279"/>
      <c r="C112" s="279"/>
      <c r="D112" s="275"/>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row>
    <row r="113" ht="15.75" customHeight="1">
      <c r="A113" s="288"/>
      <c r="B113" s="279"/>
      <c r="C113" s="279"/>
      <c r="D113" s="275"/>
      <c r="E113" s="279"/>
      <c r="F113" s="279"/>
      <c r="G113" s="279"/>
      <c r="H113" s="279"/>
      <c r="I113" s="279"/>
      <c r="J113" s="279"/>
      <c r="K113" s="279"/>
      <c r="L113" s="279"/>
      <c r="M113" s="279"/>
      <c r="N113" s="279"/>
      <c r="O113" s="279"/>
      <c r="P113" s="279"/>
      <c r="Q113" s="279"/>
      <c r="R113" s="279"/>
      <c r="S113" s="279"/>
      <c r="T113" s="279"/>
      <c r="U113" s="279"/>
      <c r="V113" s="279"/>
      <c r="W113" s="279"/>
      <c r="X113" s="279"/>
      <c r="Y113" s="279"/>
      <c r="Z113" s="279"/>
    </row>
    <row r="114" ht="15.75" customHeight="1">
      <c r="A114" s="288"/>
      <c r="B114" s="279"/>
      <c r="C114" s="279"/>
      <c r="D114" s="275"/>
      <c r="E114" s="279"/>
      <c r="F114" s="279"/>
      <c r="G114" s="279"/>
      <c r="H114" s="279"/>
      <c r="I114" s="279"/>
      <c r="J114" s="279"/>
      <c r="K114" s="279"/>
      <c r="L114" s="279"/>
      <c r="M114" s="279"/>
      <c r="N114" s="279"/>
      <c r="O114" s="279"/>
      <c r="P114" s="279"/>
      <c r="Q114" s="279"/>
      <c r="R114" s="279"/>
      <c r="S114" s="279"/>
      <c r="T114" s="279"/>
      <c r="U114" s="279"/>
      <c r="V114" s="279"/>
      <c r="W114" s="279"/>
      <c r="X114" s="279"/>
      <c r="Y114" s="279"/>
      <c r="Z114" s="279"/>
    </row>
    <row r="115" ht="15.75" customHeight="1">
      <c r="A115" s="288"/>
      <c r="B115" s="279"/>
      <c r="C115" s="279"/>
      <c r="D115" s="275"/>
      <c r="E115" s="279"/>
      <c r="F115" s="279"/>
      <c r="G115" s="279"/>
      <c r="H115" s="279"/>
      <c r="I115" s="279"/>
      <c r="J115" s="279"/>
      <c r="K115" s="279"/>
      <c r="L115" s="279"/>
      <c r="M115" s="279"/>
      <c r="N115" s="279"/>
      <c r="O115" s="279"/>
      <c r="P115" s="279"/>
      <c r="Q115" s="279"/>
      <c r="R115" s="279"/>
      <c r="S115" s="279"/>
      <c r="T115" s="279"/>
      <c r="U115" s="279"/>
      <c r="V115" s="279"/>
      <c r="W115" s="279"/>
      <c r="X115" s="279"/>
      <c r="Y115" s="279"/>
      <c r="Z115" s="279"/>
    </row>
    <row r="116" ht="15.75" customHeight="1">
      <c r="A116" s="288"/>
      <c r="B116" s="279"/>
      <c r="C116" s="279"/>
      <c r="D116" s="275"/>
      <c r="E116" s="279"/>
      <c r="F116" s="279"/>
      <c r="G116" s="279"/>
      <c r="H116" s="279"/>
      <c r="I116" s="279"/>
      <c r="J116" s="279"/>
      <c r="K116" s="279"/>
      <c r="L116" s="279"/>
      <c r="M116" s="279"/>
      <c r="N116" s="279"/>
      <c r="O116" s="279"/>
      <c r="P116" s="279"/>
      <c r="Q116" s="279"/>
      <c r="R116" s="279"/>
      <c r="S116" s="279"/>
      <c r="T116" s="279"/>
      <c r="U116" s="279"/>
      <c r="V116" s="279"/>
      <c r="W116" s="279"/>
      <c r="X116" s="279"/>
      <c r="Y116" s="279"/>
      <c r="Z116" s="279"/>
    </row>
    <row r="117" ht="15.75" customHeight="1">
      <c r="A117" s="288"/>
      <c r="B117" s="279"/>
      <c r="C117" s="279"/>
      <c r="D117" s="275"/>
      <c r="E117" s="279"/>
      <c r="F117" s="279"/>
      <c r="G117" s="279"/>
      <c r="H117" s="279"/>
      <c r="I117" s="279"/>
      <c r="J117" s="279"/>
      <c r="K117" s="279"/>
      <c r="L117" s="279"/>
      <c r="M117" s="279"/>
      <c r="N117" s="279"/>
      <c r="O117" s="279"/>
      <c r="P117" s="279"/>
      <c r="Q117" s="279"/>
      <c r="R117" s="279"/>
      <c r="S117" s="279"/>
      <c r="T117" s="279"/>
      <c r="U117" s="279"/>
      <c r="V117" s="279"/>
      <c r="W117" s="279"/>
      <c r="X117" s="279"/>
      <c r="Y117" s="279"/>
      <c r="Z117" s="279"/>
    </row>
    <row r="118" ht="15.75" customHeight="1">
      <c r="A118" s="288"/>
      <c r="B118" s="279"/>
      <c r="C118" s="279"/>
      <c r="D118" s="275"/>
      <c r="E118" s="279"/>
      <c r="F118" s="279"/>
      <c r="G118" s="279"/>
      <c r="H118" s="279"/>
      <c r="I118" s="279"/>
      <c r="J118" s="279"/>
      <c r="K118" s="279"/>
      <c r="L118" s="279"/>
      <c r="M118" s="279"/>
      <c r="N118" s="279"/>
      <c r="O118" s="279"/>
      <c r="P118" s="279"/>
      <c r="Q118" s="279"/>
      <c r="R118" s="279"/>
      <c r="S118" s="279"/>
      <c r="T118" s="279"/>
      <c r="U118" s="279"/>
      <c r="V118" s="279"/>
      <c r="W118" s="279"/>
      <c r="X118" s="279"/>
      <c r="Y118" s="279"/>
      <c r="Z118" s="279"/>
    </row>
    <row r="119" ht="15.75" customHeight="1">
      <c r="A119" s="288"/>
      <c r="B119" s="279"/>
      <c r="C119" s="279"/>
      <c r="D119" s="275"/>
      <c r="E119" s="279"/>
      <c r="F119" s="279"/>
      <c r="G119" s="279"/>
      <c r="H119" s="279"/>
      <c r="I119" s="279"/>
      <c r="J119" s="279"/>
      <c r="K119" s="279"/>
      <c r="L119" s="279"/>
      <c r="M119" s="279"/>
      <c r="N119" s="279"/>
      <c r="O119" s="279"/>
      <c r="P119" s="279"/>
      <c r="Q119" s="279"/>
      <c r="R119" s="279"/>
      <c r="S119" s="279"/>
      <c r="T119" s="279"/>
      <c r="U119" s="279"/>
      <c r="V119" s="279"/>
      <c r="W119" s="279"/>
      <c r="X119" s="279"/>
      <c r="Y119" s="279"/>
      <c r="Z119" s="279"/>
    </row>
    <row r="120" ht="15.75" customHeight="1">
      <c r="A120" s="288"/>
      <c r="B120" s="279"/>
      <c r="C120" s="279"/>
      <c r="D120" s="275"/>
      <c r="E120" s="279"/>
      <c r="F120" s="279"/>
      <c r="G120" s="279"/>
      <c r="H120" s="279"/>
      <c r="I120" s="279"/>
      <c r="J120" s="279"/>
      <c r="K120" s="279"/>
      <c r="L120" s="279"/>
      <c r="M120" s="279"/>
      <c r="N120" s="279"/>
      <c r="O120" s="279"/>
      <c r="P120" s="279"/>
      <c r="Q120" s="279"/>
      <c r="R120" s="279"/>
      <c r="S120" s="279"/>
      <c r="T120" s="279"/>
      <c r="U120" s="279"/>
      <c r="V120" s="279"/>
      <c r="W120" s="279"/>
      <c r="X120" s="279"/>
      <c r="Y120" s="279"/>
      <c r="Z120" s="279"/>
    </row>
    <row r="121" ht="15.75" customHeight="1">
      <c r="A121" s="288"/>
      <c r="B121" s="279"/>
      <c r="C121" s="279"/>
      <c r="D121" s="275"/>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79"/>
    </row>
    <row r="122" ht="15.75" customHeight="1">
      <c r="A122" s="288"/>
      <c r="B122" s="279"/>
      <c r="C122" s="279"/>
      <c r="D122" s="275"/>
      <c r="E122" s="279"/>
      <c r="F122" s="279"/>
      <c r="G122" s="279"/>
      <c r="H122" s="279"/>
      <c r="I122" s="279"/>
      <c r="J122" s="279"/>
      <c r="K122" s="279"/>
      <c r="L122" s="279"/>
      <c r="M122" s="279"/>
      <c r="N122" s="279"/>
      <c r="O122" s="279"/>
      <c r="P122" s="279"/>
      <c r="Q122" s="279"/>
      <c r="R122" s="279"/>
      <c r="S122" s="279"/>
      <c r="T122" s="279"/>
      <c r="U122" s="279"/>
      <c r="V122" s="279"/>
      <c r="W122" s="279"/>
      <c r="X122" s="279"/>
      <c r="Y122" s="279"/>
      <c r="Z122" s="279"/>
    </row>
    <row r="123" ht="15.75" customHeight="1">
      <c r="A123" s="288"/>
      <c r="B123" s="279"/>
      <c r="C123" s="279"/>
      <c r="D123" s="275"/>
      <c r="E123" s="279"/>
      <c r="F123" s="279"/>
      <c r="G123" s="279"/>
      <c r="H123" s="279"/>
      <c r="I123" s="279"/>
      <c r="J123" s="279"/>
      <c r="K123" s="279"/>
      <c r="L123" s="279"/>
      <c r="M123" s="279"/>
      <c r="N123" s="279"/>
      <c r="O123" s="279"/>
      <c r="P123" s="279"/>
      <c r="Q123" s="279"/>
      <c r="R123" s="279"/>
      <c r="S123" s="279"/>
      <c r="T123" s="279"/>
      <c r="U123" s="279"/>
      <c r="V123" s="279"/>
      <c r="W123" s="279"/>
      <c r="X123" s="279"/>
      <c r="Y123" s="279"/>
      <c r="Z123" s="279"/>
    </row>
    <row r="124" ht="15.75" customHeight="1">
      <c r="A124" s="288"/>
      <c r="B124" s="279"/>
      <c r="C124" s="279"/>
      <c r="D124" s="275"/>
      <c r="E124" s="279"/>
      <c r="F124" s="279"/>
      <c r="G124" s="279"/>
      <c r="H124" s="279"/>
      <c r="I124" s="279"/>
      <c r="J124" s="279"/>
      <c r="K124" s="279"/>
      <c r="L124" s="279"/>
      <c r="M124" s="279"/>
      <c r="N124" s="279"/>
      <c r="O124" s="279"/>
      <c r="P124" s="279"/>
      <c r="Q124" s="279"/>
      <c r="R124" s="279"/>
      <c r="S124" s="279"/>
      <c r="T124" s="279"/>
      <c r="U124" s="279"/>
      <c r="V124" s="279"/>
      <c r="W124" s="279"/>
      <c r="X124" s="279"/>
      <c r="Y124" s="279"/>
      <c r="Z124" s="279"/>
    </row>
    <row r="125" ht="15.75" customHeight="1">
      <c r="A125" s="288"/>
      <c r="B125" s="279"/>
      <c r="C125" s="279"/>
      <c r="D125" s="275"/>
      <c r="E125" s="279"/>
      <c r="F125" s="279"/>
      <c r="G125" s="279"/>
      <c r="H125" s="279"/>
      <c r="I125" s="279"/>
      <c r="J125" s="279"/>
      <c r="K125" s="279"/>
      <c r="L125" s="279"/>
      <c r="M125" s="279"/>
      <c r="N125" s="279"/>
      <c r="O125" s="279"/>
      <c r="P125" s="279"/>
      <c r="Q125" s="279"/>
      <c r="R125" s="279"/>
      <c r="S125" s="279"/>
      <c r="T125" s="279"/>
      <c r="U125" s="279"/>
      <c r="V125" s="279"/>
      <c r="W125" s="279"/>
      <c r="X125" s="279"/>
      <c r="Y125" s="279"/>
      <c r="Z125" s="279"/>
    </row>
    <row r="126" ht="15.75" customHeight="1">
      <c r="A126" s="288"/>
      <c r="B126" s="279"/>
      <c r="C126" s="279"/>
      <c r="D126" s="275"/>
      <c r="E126" s="279"/>
      <c r="F126" s="279"/>
      <c r="G126" s="279"/>
      <c r="H126" s="279"/>
      <c r="I126" s="279"/>
      <c r="J126" s="279"/>
      <c r="K126" s="279"/>
      <c r="L126" s="279"/>
      <c r="M126" s="279"/>
      <c r="N126" s="279"/>
      <c r="O126" s="279"/>
      <c r="P126" s="279"/>
      <c r="Q126" s="279"/>
      <c r="R126" s="279"/>
      <c r="S126" s="279"/>
      <c r="T126" s="279"/>
      <c r="U126" s="279"/>
      <c r="V126" s="279"/>
      <c r="W126" s="279"/>
      <c r="X126" s="279"/>
      <c r="Y126" s="279"/>
      <c r="Z126" s="279"/>
    </row>
    <row r="127" ht="15.75" customHeight="1">
      <c r="A127" s="288"/>
      <c r="B127" s="279"/>
      <c r="C127" s="279"/>
      <c r="D127" s="275"/>
      <c r="E127" s="279"/>
      <c r="F127" s="279"/>
      <c r="G127" s="279"/>
      <c r="H127" s="279"/>
      <c r="I127" s="279"/>
      <c r="J127" s="279"/>
      <c r="K127" s="279"/>
      <c r="L127" s="279"/>
      <c r="M127" s="279"/>
      <c r="N127" s="279"/>
      <c r="O127" s="279"/>
      <c r="P127" s="279"/>
      <c r="Q127" s="279"/>
      <c r="R127" s="279"/>
      <c r="S127" s="279"/>
      <c r="T127" s="279"/>
      <c r="U127" s="279"/>
      <c r="V127" s="279"/>
      <c r="W127" s="279"/>
      <c r="X127" s="279"/>
      <c r="Y127" s="279"/>
      <c r="Z127" s="279"/>
    </row>
    <row r="128" ht="15.75" customHeight="1">
      <c r="A128" s="288"/>
      <c r="B128" s="279"/>
      <c r="C128" s="279"/>
      <c r="D128" s="275"/>
      <c r="E128" s="279"/>
      <c r="F128" s="279"/>
      <c r="G128" s="279"/>
      <c r="H128" s="279"/>
      <c r="I128" s="279"/>
      <c r="J128" s="279"/>
      <c r="K128" s="279"/>
      <c r="L128" s="279"/>
      <c r="M128" s="279"/>
      <c r="N128" s="279"/>
      <c r="O128" s="279"/>
      <c r="P128" s="279"/>
      <c r="Q128" s="279"/>
      <c r="R128" s="279"/>
      <c r="S128" s="279"/>
      <c r="T128" s="279"/>
      <c r="U128" s="279"/>
      <c r="V128" s="279"/>
      <c r="W128" s="279"/>
      <c r="X128" s="279"/>
      <c r="Y128" s="279"/>
      <c r="Z128" s="279"/>
    </row>
    <row r="129" ht="15.75" customHeight="1">
      <c r="A129" s="288"/>
      <c r="B129" s="279"/>
      <c r="C129" s="279"/>
      <c r="D129" s="275"/>
      <c r="E129" s="279"/>
      <c r="F129" s="279"/>
      <c r="G129" s="279"/>
      <c r="H129" s="279"/>
      <c r="I129" s="279"/>
      <c r="J129" s="279"/>
      <c r="K129" s="279"/>
      <c r="L129" s="279"/>
      <c r="M129" s="279"/>
      <c r="N129" s="279"/>
      <c r="O129" s="279"/>
      <c r="P129" s="279"/>
      <c r="Q129" s="279"/>
      <c r="R129" s="279"/>
      <c r="S129" s="279"/>
      <c r="T129" s="279"/>
      <c r="U129" s="279"/>
      <c r="V129" s="279"/>
      <c r="W129" s="279"/>
      <c r="X129" s="279"/>
      <c r="Y129" s="279"/>
      <c r="Z129" s="279"/>
    </row>
    <row r="130" ht="15.75" customHeight="1">
      <c r="A130" s="288"/>
      <c r="B130" s="279"/>
      <c r="C130" s="279"/>
      <c r="D130" s="275"/>
      <c r="E130" s="279"/>
      <c r="F130" s="279"/>
      <c r="G130" s="279"/>
      <c r="H130" s="279"/>
      <c r="I130" s="279"/>
      <c r="J130" s="279"/>
      <c r="K130" s="279"/>
      <c r="L130" s="279"/>
      <c r="M130" s="279"/>
      <c r="N130" s="279"/>
      <c r="O130" s="279"/>
      <c r="P130" s="279"/>
      <c r="Q130" s="279"/>
      <c r="R130" s="279"/>
      <c r="S130" s="279"/>
      <c r="T130" s="279"/>
      <c r="U130" s="279"/>
      <c r="V130" s="279"/>
      <c r="W130" s="279"/>
      <c r="X130" s="279"/>
      <c r="Y130" s="279"/>
      <c r="Z130" s="279"/>
    </row>
    <row r="131" ht="15.75" customHeight="1">
      <c r="A131" s="288"/>
      <c r="B131" s="279"/>
      <c r="C131" s="279"/>
      <c r="D131" s="275"/>
      <c r="E131" s="279"/>
      <c r="F131" s="279"/>
      <c r="G131" s="279"/>
      <c r="H131" s="279"/>
      <c r="I131" s="279"/>
      <c r="J131" s="279"/>
      <c r="K131" s="279"/>
      <c r="L131" s="279"/>
      <c r="M131" s="279"/>
      <c r="N131" s="279"/>
      <c r="O131" s="279"/>
      <c r="P131" s="279"/>
      <c r="Q131" s="279"/>
      <c r="R131" s="279"/>
      <c r="S131" s="279"/>
      <c r="T131" s="279"/>
      <c r="U131" s="279"/>
      <c r="V131" s="279"/>
      <c r="W131" s="279"/>
      <c r="X131" s="279"/>
      <c r="Y131" s="279"/>
      <c r="Z131" s="279"/>
    </row>
    <row r="132" ht="15.75" customHeight="1">
      <c r="A132" s="288"/>
      <c r="B132" s="279"/>
      <c r="C132" s="279"/>
      <c r="D132" s="275"/>
      <c r="E132" s="279"/>
      <c r="F132" s="279"/>
      <c r="G132" s="279"/>
      <c r="H132" s="279"/>
      <c r="I132" s="279"/>
      <c r="J132" s="279"/>
      <c r="K132" s="279"/>
      <c r="L132" s="279"/>
      <c r="M132" s="279"/>
      <c r="N132" s="279"/>
      <c r="O132" s="279"/>
      <c r="P132" s="279"/>
      <c r="Q132" s="279"/>
      <c r="R132" s="279"/>
      <c r="S132" s="279"/>
      <c r="T132" s="279"/>
      <c r="U132" s="279"/>
      <c r="V132" s="279"/>
      <c r="W132" s="279"/>
      <c r="X132" s="279"/>
      <c r="Y132" s="279"/>
      <c r="Z132" s="279"/>
    </row>
    <row r="133" ht="15.75" customHeight="1">
      <c r="A133" s="288"/>
      <c r="B133" s="279"/>
      <c r="C133" s="279"/>
      <c r="D133" s="275"/>
      <c r="E133" s="279"/>
      <c r="F133" s="279"/>
      <c r="G133" s="279"/>
      <c r="H133" s="279"/>
      <c r="I133" s="279"/>
      <c r="J133" s="279"/>
      <c r="K133" s="279"/>
      <c r="L133" s="279"/>
      <c r="M133" s="279"/>
      <c r="N133" s="279"/>
      <c r="O133" s="279"/>
      <c r="P133" s="279"/>
      <c r="Q133" s="279"/>
      <c r="R133" s="279"/>
      <c r="S133" s="279"/>
      <c r="T133" s="279"/>
      <c r="U133" s="279"/>
      <c r="V133" s="279"/>
      <c r="W133" s="279"/>
      <c r="X133" s="279"/>
      <c r="Y133" s="279"/>
      <c r="Z133" s="279"/>
    </row>
    <row r="134" ht="15.75" customHeight="1">
      <c r="A134" s="288"/>
      <c r="B134" s="279"/>
      <c r="C134" s="279"/>
      <c r="D134" s="275"/>
      <c r="E134" s="279"/>
      <c r="F134" s="279"/>
      <c r="G134" s="279"/>
      <c r="H134" s="279"/>
      <c r="I134" s="279"/>
      <c r="J134" s="279"/>
      <c r="K134" s="279"/>
      <c r="L134" s="279"/>
      <c r="M134" s="279"/>
      <c r="N134" s="279"/>
      <c r="O134" s="279"/>
      <c r="P134" s="279"/>
      <c r="Q134" s="279"/>
      <c r="R134" s="279"/>
      <c r="S134" s="279"/>
      <c r="T134" s="279"/>
      <c r="U134" s="279"/>
      <c r="V134" s="279"/>
      <c r="W134" s="279"/>
      <c r="X134" s="279"/>
      <c r="Y134" s="279"/>
      <c r="Z134" s="279"/>
    </row>
    <row r="135" ht="15.75" customHeight="1">
      <c r="A135" s="288"/>
      <c r="B135" s="279"/>
      <c r="C135" s="279"/>
      <c r="D135" s="275"/>
      <c r="E135" s="279"/>
      <c r="F135" s="279"/>
      <c r="G135" s="279"/>
      <c r="H135" s="279"/>
      <c r="I135" s="279"/>
      <c r="J135" s="279"/>
      <c r="K135" s="279"/>
      <c r="L135" s="279"/>
      <c r="M135" s="279"/>
      <c r="N135" s="279"/>
      <c r="O135" s="279"/>
      <c r="P135" s="279"/>
      <c r="Q135" s="279"/>
      <c r="R135" s="279"/>
      <c r="S135" s="279"/>
      <c r="T135" s="279"/>
      <c r="U135" s="279"/>
      <c r="V135" s="279"/>
      <c r="W135" s="279"/>
      <c r="X135" s="279"/>
      <c r="Y135" s="279"/>
      <c r="Z135" s="279"/>
    </row>
    <row r="136" ht="15.75" customHeight="1">
      <c r="A136" s="288"/>
      <c r="B136" s="279"/>
      <c r="C136" s="279"/>
      <c r="D136" s="275"/>
      <c r="E136" s="279"/>
      <c r="F136" s="279"/>
      <c r="G136" s="279"/>
      <c r="H136" s="279"/>
      <c r="I136" s="279"/>
      <c r="J136" s="279"/>
      <c r="K136" s="279"/>
      <c r="L136" s="279"/>
      <c r="M136" s="279"/>
      <c r="N136" s="279"/>
      <c r="O136" s="279"/>
      <c r="P136" s="279"/>
      <c r="Q136" s="279"/>
      <c r="R136" s="279"/>
      <c r="S136" s="279"/>
      <c r="T136" s="279"/>
      <c r="U136" s="279"/>
      <c r="V136" s="279"/>
      <c r="W136" s="279"/>
      <c r="X136" s="279"/>
      <c r="Y136" s="279"/>
      <c r="Z136" s="279"/>
    </row>
    <row r="137" ht="15.75" customHeight="1">
      <c r="A137" s="288"/>
      <c r="B137" s="279"/>
      <c r="C137" s="279"/>
      <c r="D137" s="275"/>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row>
    <row r="138" ht="15.75" customHeight="1">
      <c r="A138" s="288"/>
      <c r="B138" s="279"/>
      <c r="C138" s="279"/>
      <c r="D138" s="275"/>
      <c r="E138" s="279"/>
      <c r="F138" s="279"/>
      <c r="G138" s="279"/>
      <c r="H138" s="279"/>
      <c r="I138" s="279"/>
      <c r="J138" s="279"/>
      <c r="K138" s="279"/>
      <c r="L138" s="279"/>
      <c r="M138" s="279"/>
      <c r="N138" s="279"/>
      <c r="O138" s="279"/>
      <c r="P138" s="279"/>
      <c r="Q138" s="279"/>
      <c r="R138" s="279"/>
      <c r="S138" s="279"/>
      <c r="T138" s="279"/>
      <c r="U138" s="279"/>
      <c r="V138" s="279"/>
      <c r="W138" s="279"/>
      <c r="X138" s="279"/>
      <c r="Y138" s="279"/>
      <c r="Z138" s="279"/>
    </row>
    <row r="139" ht="15.75" customHeight="1">
      <c r="A139" s="288"/>
      <c r="B139" s="279"/>
      <c r="C139" s="279"/>
      <c r="D139" s="275"/>
      <c r="E139" s="279"/>
      <c r="F139" s="279"/>
      <c r="G139" s="279"/>
      <c r="H139" s="279"/>
      <c r="I139" s="279"/>
      <c r="J139" s="279"/>
      <c r="K139" s="279"/>
      <c r="L139" s="279"/>
      <c r="M139" s="279"/>
      <c r="N139" s="279"/>
      <c r="O139" s="279"/>
      <c r="P139" s="279"/>
      <c r="Q139" s="279"/>
      <c r="R139" s="279"/>
      <c r="S139" s="279"/>
      <c r="T139" s="279"/>
      <c r="U139" s="279"/>
      <c r="V139" s="279"/>
      <c r="W139" s="279"/>
      <c r="X139" s="279"/>
      <c r="Y139" s="279"/>
      <c r="Z139" s="279"/>
    </row>
    <row r="140" ht="15.75" customHeight="1">
      <c r="A140" s="288"/>
      <c r="B140" s="279"/>
      <c r="C140" s="279"/>
      <c r="D140" s="275"/>
      <c r="E140" s="279"/>
      <c r="F140" s="279"/>
      <c r="G140" s="279"/>
      <c r="H140" s="279"/>
      <c r="I140" s="279"/>
      <c r="J140" s="279"/>
      <c r="K140" s="279"/>
      <c r="L140" s="279"/>
      <c r="M140" s="279"/>
      <c r="N140" s="279"/>
      <c r="O140" s="279"/>
      <c r="P140" s="279"/>
      <c r="Q140" s="279"/>
      <c r="R140" s="279"/>
      <c r="S140" s="279"/>
      <c r="T140" s="279"/>
      <c r="U140" s="279"/>
      <c r="V140" s="279"/>
      <c r="W140" s="279"/>
      <c r="X140" s="279"/>
      <c r="Y140" s="279"/>
      <c r="Z140" s="279"/>
    </row>
    <row r="141" ht="15.75" customHeight="1">
      <c r="A141" s="288"/>
      <c r="B141" s="279"/>
      <c r="C141" s="279"/>
      <c r="D141" s="275"/>
      <c r="E141" s="279"/>
      <c r="F141" s="279"/>
      <c r="G141" s="279"/>
      <c r="H141" s="279"/>
      <c r="I141" s="279"/>
      <c r="J141" s="279"/>
      <c r="K141" s="279"/>
      <c r="L141" s="279"/>
      <c r="M141" s="279"/>
      <c r="N141" s="279"/>
      <c r="O141" s="279"/>
      <c r="P141" s="279"/>
      <c r="Q141" s="279"/>
      <c r="R141" s="279"/>
      <c r="S141" s="279"/>
      <c r="T141" s="279"/>
      <c r="U141" s="279"/>
      <c r="V141" s="279"/>
      <c r="W141" s="279"/>
      <c r="X141" s="279"/>
      <c r="Y141" s="279"/>
      <c r="Z141" s="279"/>
    </row>
    <row r="142" ht="15.75" customHeight="1">
      <c r="A142" s="288"/>
      <c r="B142" s="279"/>
      <c r="C142" s="279"/>
      <c r="D142" s="275"/>
      <c r="E142" s="279"/>
      <c r="F142" s="279"/>
      <c r="G142" s="279"/>
      <c r="H142" s="279"/>
      <c r="I142" s="279"/>
      <c r="J142" s="279"/>
      <c r="K142" s="279"/>
      <c r="L142" s="279"/>
      <c r="M142" s="279"/>
      <c r="N142" s="279"/>
      <c r="O142" s="279"/>
      <c r="P142" s="279"/>
      <c r="Q142" s="279"/>
      <c r="R142" s="279"/>
      <c r="S142" s="279"/>
      <c r="T142" s="279"/>
      <c r="U142" s="279"/>
      <c r="V142" s="279"/>
      <c r="W142" s="279"/>
      <c r="X142" s="279"/>
      <c r="Y142" s="279"/>
      <c r="Z142" s="279"/>
    </row>
    <row r="143" ht="15.75" customHeight="1">
      <c r="A143" s="288"/>
      <c r="B143" s="279"/>
      <c r="C143" s="279"/>
      <c r="D143" s="275"/>
      <c r="E143" s="279"/>
      <c r="F143" s="279"/>
      <c r="G143" s="279"/>
      <c r="H143" s="279"/>
      <c r="I143" s="279"/>
      <c r="J143" s="279"/>
      <c r="K143" s="279"/>
      <c r="L143" s="279"/>
      <c r="M143" s="279"/>
      <c r="N143" s="279"/>
      <c r="O143" s="279"/>
      <c r="P143" s="279"/>
      <c r="Q143" s="279"/>
      <c r="R143" s="279"/>
      <c r="S143" s="279"/>
      <c r="T143" s="279"/>
      <c r="U143" s="279"/>
      <c r="V143" s="279"/>
      <c r="W143" s="279"/>
      <c r="X143" s="279"/>
      <c r="Y143" s="279"/>
      <c r="Z143" s="279"/>
    </row>
    <row r="144" ht="15.75" customHeight="1">
      <c r="A144" s="288"/>
      <c r="B144" s="279"/>
      <c r="C144" s="279"/>
      <c r="D144" s="275"/>
      <c r="E144" s="279"/>
      <c r="F144" s="279"/>
      <c r="G144" s="279"/>
      <c r="H144" s="279"/>
      <c r="I144" s="279"/>
      <c r="J144" s="279"/>
      <c r="K144" s="279"/>
      <c r="L144" s="279"/>
      <c r="M144" s="279"/>
      <c r="N144" s="279"/>
      <c r="O144" s="279"/>
      <c r="P144" s="279"/>
      <c r="Q144" s="279"/>
      <c r="R144" s="279"/>
      <c r="S144" s="279"/>
      <c r="T144" s="279"/>
      <c r="U144" s="279"/>
      <c r="V144" s="279"/>
      <c r="W144" s="279"/>
      <c r="X144" s="279"/>
      <c r="Y144" s="279"/>
      <c r="Z144" s="279"/>
    </row>
    <row r="145" ht="15.75" customHeight="1">
      <c r="A145" s="288"/>
      <c r="B145" s="279"/>
      <c r="C145" s="279"/>
      <c r="D145" s="275"/>
      <c r="E145" s="279"/>
      <c r="F145" s="279"/>
      <c r="G145" s="279"/>
      <c r="H145" s="279"/>
      <c r="I145" s="279"/>
      <c r="J145" s="279"/>
      <c r="K145" s="279"/>
      <c r="L145" s="279"/>
      <c r="M145" s="279"/>
      <c r="N145" s="279"/>
      <c r="O145" s="279"/>
      <c r="P145" s="279"/>
      <c r="Q145" s="279"/>
      <c r="R145" s="279"/>
      <c r="S145" s="279"/>
      <c r="T145" s="279"/>
      <c r="U145" s="279"/>
      <c r="V145" s="279"/>
      <c r="W145" s="279"/>
      <c r="X145" s="279"/>
      <c r="Y145" s="279"/>
      <c r="Z145" s="279"/>
    </row>
    <row r="146" ht="15.75" customHeight="1">
      <c r="A146" s="288"/>
      <c r="B146" s="279"/>
      <c r="C146" s="279"/>
      <c r="D146" s="275"/>
      <c r="E146" s="279"/>
      <c r="F146" s="279"/>
      <c r="G146" s="279"/>
      <c r="H146" s="279"/>
      <c r="I146" s="279"/>
      <c r="J146" s="279"/>
      <c r="K146" s="279"/>
      <c r="L146" s="279"/>
      <c r="M146" s="279"/>
      <c r="N146" s="279"/>
      <c r="O146" s="279"/>
      <c r="P146" s="279"/>
      <c r="Q146" s="279"/>
      <c r="R146" s="279"/>
      <c r="S146" s="279"/>
      <c r="T146" s="279"/>
      <c r="U146" s="279"/>
      <c r="V146" s="279"/>
      <c r="W146" s="279"/>
      <c r="X146" s="279"/>
      <c r="Y146" s="279"/>
      <c r="Z146" s="279"/>
    </row>
    <row r="147" ht="15.75" customHeight="1">
      <c r="A147" s="288"/>
      <c r="B147" s="279"/>
      <c r="C147" s="279"/>
      <c r="D147" s="275"/>
      <c r="E147" s="279"/>
      <c r="F147" s="279"/>
      <c r="G147" s="279"/>
      <c r="H147" s="279"/>
      <c r="I147" s="279"/>
      <c r="J147" s="279"/>
      <c r="K147" s="279"/>
      <c r="L147" s="279"/>
      <c r="M147" s="279"/>
      <c r="N147" s="279"/>
      <c r="O147" s="279"/>
      <c r="P147" s="279"/>
      <c r="Q147" s="279"/>
      <c r="R147" s="279"/>
      <c r="S147" s="279"/>
      <c r="T147" s="279"/>
      <c r="U147" s="279"/>
      <c r="V147" s="279"/>
      <c r="W147" s="279"/>
      <c r="X147" s="279"/>
      <c r="Y147" s="279"/>
      <c r="Z147" s="279"/>
    </row>
    <row r="148" ht="15.75" customHeight="1">
      <c r="A148" s="288"/>
      <c r="B148" s="279"/>
      <c r="C148" s="279"/>
      <c r="D148" s="275"/>
      <c r="E148" s="279"/>
      <c r="F148" s="279"/>
      <c r="G148" s="279"/>
      <c r="H148" s="279"/>
      <c r="I148" s="279"/>
      <c r="J148" s="279"/>
      <c r="K148" s="279"/>
      <c r="L148" s="279"/>
      <c r="M148" s="279"/>
      <c r="N148" s="279"/>
      <c r="O148" s="279"/>
      <c r="P148" s="279"/>
      <c r="Q148" s="279"/>
      <c r="R148" s="279"/>
      <c r="S148" s="279"/>
      <c r="T148" s="279"/>
      <c r="U148" s="279"/>
      <c r="V148" s="279"/>
      <c r="W148" s="279"/>
      <c r="X148" s="279"/>
      <c r="Y148" s="279"/>
      <c r="Z148" s="279"/>
    </row>
    <row r="149" ht="15.75" customHeight="1">
      <c r="A149" s="288"/>
      <c r="B149" s="279"/>
      <c r="C149" s="279"/>
      <c r="D149" s="275"/>
      <c r="E149" s="279"/>
      <c r="F149" s="279"/>
      <c r="G149" s="279"/>
      <c r="H149" s="279"/>
      <c r="I149" s="279"/>
      <c r="J149" s="279"/>
      <c r="K149" s="279"/>
      <c r="L149" s="279"/>
      <c r="M149" s="279"/>
      <c r="N149" s="279"/>
      <c r="O149" s="279"/>
      <c r="P149" s="279"/>
      <c r="Q149" s="279"/>
      <c r="R149" s="279"/>
      <c r="S149" s="279"/>
      <c r="T149" s="279"/>
      <c r="U149" s="279"/>
      <c r="V149" s="279"/>
      <c r="W149" s="279"/>
      <c r="X149" s="279"/>
      <c r="Y149" s="279"/>
      <c r="Z149" s="279"/>
    </row>
    <row r="150" ht="15.75" customHeight="1">
      <c r="A150" s="288"/>
      <c r="B150" s="279"/>
      <c r="C150" s="279"/>
      <c r="D150" s="275"/>
      <c r="E150" s="279"/>
      <c r="F150" s="279"/>
      <c r="G150" s="279"/>
      <c r="H150" s="279"/>
      <c r="I150" s="279"/>
      <c r="J150" s="279"/>
      <c r="K150" s="279"/>
      <c r="L150" s="279"/>
      <c r="M150" s="279"/>
      <c r="N150" s="279"/>
      <c r="O150" s="279"/>
      <c r="P150" s="279"/>
      <c r="Q150" s="279"/>
      <c r="R150" s="279"/>
      <c r="S150" s="279"/>
      <c r="T150" s="279"/>
      <c r="U150" s="279"/>
      <c r="V150" s="279"/>
      <c r="W150" s="279"/>
      <c r="X150" s="279"/>
      <c r="Y150" s="279"/>
      <c r="Z150" s="279"/>
    </row>
    <row r="151" ht="15.75" customHeight="1">
      <c r="A151" s="288"/>
      <c r="B151" s="279"/>
      <c r="C151" s="279"/>
      <c r="D151" s="275"/>
      <c r="E151" s="279"/>
      <c r="F151" s="279"/>
      <c r="G151" s="279"/>
      <c r="H151" s="279"/>
      <c r="I151" s="279"/>
      <c r="J151" s="279"/>
      <c r="K151" s="279"/>
      <c r="L151" s="279"/>
      <c r="M151" s="279"/>
      <c r="N151" s="279"/>
      <c r="O151" s="279"/>
      <c r="P151" s="279"/>
      <c r="Q151" s="279"/>
      <c r="R151" s="279"/>
      <c r="S151" s="279"/>
      <c r="T151" s="279"/>
      <c r="U151" s="279"/>
      <c r="V151" s="279"/>
      <c r="W151" s="279"/>
      <c r="X151" s="279"/>
      <c r="Y151" s="279"/>
      <c r="Z151" s="279"/>
    </row>
    <row r="152" ht="15.75" customHeight="1">
      <c r="A152" s="288"/>
      <c r="B152" s="279"/>
      <c r="C152" s="279"/>
      <c r="D152" s="275"/>
      <c r="E152" s="279"/>
      <c r="F152" s="279"/>
      <c r="G152" s="279"/>
      <c r="H152" s="279"/>
      <c r="I152" s="279"/>
      <c r="J152" s="279"/>
      <c r="K152" s="279"/>
      <c r="L152" s="279"/>
      <c r="M152" s="279"/>
      <c r="N152" s="279"/>
      <c r="O152" s="279"/>
      <c r="P152" s="279"/>
      <c r="Q152" s="279"/>
      <c r="R152" s="279"/>
      <c r="S152" s="279"/>
      <c r="T152" s="279"/>
      <c r="U152" s="279"/>
      <c r="V152" s="279"/>
      <c r="W152" s="279"/>
      <c r="X152" s="279"/>
      <c r="Y152" s="279"/>
      <c r="Z152" s="279"/>
    </row>
    <row r="153" ht="15.75" customHeight="1">
      <c r="A153" s="288"/>
      <c r="B153" s="279"/>
      <c r="C153" s="279"/>
      <c r="D153" s="275"/>
      <c r="E153" s="279"/>
      <c r="F153" s="279"/>
      <c r="G153" s="279"/>
      <c r="H153" s="279"/>
      <c r="I153" s="279"/>
      <c r="J153" s="279"/>
      <c r="K153" s="279"/>
      <c r="L153" s="279"/>
      <c r="M153" s="279"/>
      <c r="N153" s="279"/>
      <c r="O153" s="279"/>
      <c r="P153" s="279"/>
      <c r="Q153" s="279"/>
      <c r="R153" s="279"/>
      <c r="S153" s="279"/>
      <c r="T153" s="279"/>
      <c r="U153" s="279"/>
      <c r="V153" s="279"/>
      <c r="W153" s="279"/>
      <c r="X153" s="279"/>
      <c r="Y153" s="279"/>
      <c r="Z153" s="279"/>
    </row>
    <row r="154" ht="15.75" customHeight="1">
      <c r="A154" s="288"/>
      <c r="B154" s="279"/>
      <c r="C154" s="279"/>
      <c r="D154" s="275"/>
      <c r="E154" s="279"/>
      <c r="F154" s="279"/>
      <c r="G154" s="279"/>
      <c r="H154" s="279"/>
      <c r="I154" s="279"/>
      <c r="J154" s="279"/>
      <c r="K154" s="279"/>
      <c r="L154" s="279"/>
      <c r="M154" s="279"/>
      <c r="N154" s="279"/>
      <c r="O154" s="279"/>
      <c r="P154" s="279"/>
      <c r="Q154" s="279"/>
      <c r="R154" s="279"/>
      <c r="S154" s="279"/>
      <c r="T154" s="279"/>
      <c r="U154" s="279"/>
      <c r="V154" s="279"/>
      <c r="W154" s="279"/>
      <c r="X154" s="279"/>
      <c r="Y154" s="279"/>
      <c r="Z154" s="279"/>
    </row>
    <row r="155" ht="15.75" customHeight="1">
      <c r="A155" s="288"/>
      <c r="B155" s="279"/>
      <c r="C155" s="279"/>
      <c r="D155" s="275"/>
      <c r="E155" s="279"/>
      <c r="F155" s="279"/>
      <c r="G155" s="279"/>
      <c r="H155" s="279"/>
      <c r="I155" s="279"/>
      <c r="J155" s="279"/>
      <c r="K155" s="279"/>
      <c r="L155" s="279"/>
      <c r="M155" s="279"/>
      <c r="N155" s="279"/>
      <c r="O155" s="279"/>
      <c r="P155" s="279"/>
      <c r="Q155" s="279"/>
      <c r="R155" s="279"/>
      <c r="S155" s="279"/>
      <c r="T155" s="279"/>
      <c r="U155" s="279"/>
      <c r="V155" s="279"/>
      <c r="W155" s="279"/>
      <c r="X155" s="279"/>
      <c r="Y155" s="279"/>
      <c r="Z155" s="279"/>
    </row>
    <row r="156" ht="15.75" customHeight="1">
      <c r="A156" s="288"/>
      <c r="B156" s="279"/>
      <c r="C156" s="279"/>
      <c r="D156" s="275"/>
      <c r="E156" s="279"/>
      <c r="F156" s="279"/>
      <c r="G156" s="279"/>
      <c r="H156" s="279"/>
      <c r="I156" s="279"/>
      <c r="J156" s="279"/>
      <c r="K156" s="279"/>
      <c r="L156" s="279"/>
      <c r="M156" s="279"/>
      <c r="N156" s="279"/>
      <c r="O156" s="279"/>
      <c r="P156" s="279"/>
      <c r="Q156" s="279"/>
      <c r="R156" s="279"/>
      <c r="S156" s="279"/>
      <c r="T156" s="279"/>
      <c r="U156" s="279"/>
      <c r="V156" s="279"/>
      <c r="W156" s="279"/>
      <c r="X156" s="279"/>
      <c r="Y156" s="279"/>
      <c r="Z156" s="279"/>
    </row>
    <row r="157" ht="15.75" customHeight="1">
      <c r="A157" s="288"/>
      <c r="B157" s="279"/>
      <c r="C157" s="279"/>
      <c r="D157" s="275"/>
      <c r="E157" s="279"/>
      <c r="F157" s="279"/>
      <c r="G157" s="279"/>
      <c r="H157" s="279"/>
      <c r="I157" s="279"/>
      <c r="J157" s="279"/>
      <c r="K157" s="279"/>
      <c r="L157" s="279"/>
      <c r="M157" s="279"/>
      <c r="N157" s="279"/>
      <c r="O157" s="279"/>
      <c r="P157" s="279"/>
      <c r="Q157" s="279"/>
      <c r="R157" s="279"/>
      <c r="S157" s="279"/>
      <c r="T157" s="279"/>
      <c r="U157" s="279"/>
      <c r="V157" s="279"/>
      <c r="W157" s="279"/>
      <c r="X157" s="279"/>
      <c r="Y157" s="279"/>
      <c r="Z157" s="279"/>
    </row>
    <row r="158" ht="15.75" customHeight="1">
      <c r="A158" s="288"/>
      <c r="B158" s="279"/>
      <c r="C158" s="279"/>
      <c r="D158" s="275"/>
      <c r="E158" s="279"/>
      <c r="F158" s="279"/>
      <c r="G158" s="279"/>
      <c r="H158" s="279"/>
      <c r="I158" s="279"/>
      <c r="J158" s="279"/>
      <c r="K158" s="279"/>
      <c r="L158" s="279"/>
      <c r="M158" s="279"/>
      <c r="N158" s="279"/>
      <c r="O158" s="279"/>
      <c r="P158" s="279"/>
      <c r="Q158" s="279"/>
      <c r="R158" s="279"/>
      <c r="S158" s="279"/>
      <c r="T158" s="279"/>
      <c r="U158" s="279"/>
      <c r="V158" s="279"/>
      <c r="W158" s="279"/>
      <c r="X158" s="279"/>
      <c r="Y158" s="279"/>
      <c r="Z158" s="279"/>
    </row>
    <row r="159" ht="15.75" customHeight="1">
      <c r="A159" s="288"/>
      <c r="B159" s="279"/>
      <c r="C159" s="279"/>
      <c r="D159" s="275"/>
      <c r="E159" s="279"/>
      <c r="F159" s="279"/>
      <c r="G159" s="279"/>
      <c r="H159" s="279"/>
      <c r="I159" s="279"/>
      <c r="J159" s="279"/>
      <c r="K159" s="279"/>
      <c r="L159" s="279"/>
      <c r="M159" s="279"/>
      <c r="N159" s="279"/>
      <c r="O159" s="279"/>
      <c r="P159" s="279"/>
      <c r="Q159" s="279"/>
      <c r="R159" s="279"/>
      <c r="S159" s="279"/>
      <c r="T159" s="279"/>
      <c r="U159" s="279"/>
      <c r="V159" s="279"/>
      <c r="W159" s="279"/>
      <c r="X159" s="279"/>
      <c r="Y159" s="279"/>
      <c r="Z159" s="279"/>
    </row>
    <row r="160" ht="15.75" customHeight="1">
      <c r="A160" s="288"/>
      <c r="B160" s="279"/>
      <c r="C160" s="279"/>
      <c r="D160" s="275"/>
      <c r="E160" s="279"/>
      <c r="F160" s="279"/>
      <c r="G160" s="279"/>
      <c r="H160" s="279"/>
      <c r="I160" s="279"/>
      <c r="J160" s="279"/>
      <c r="K160" s="279"/>
      <c r="L160" s="279"/>
      <c r="M160" s="279"/>
      <c r="N160" s="279"/>
      <c r="O160" s="279"/>
      <c r="P160" s="279"/>
      <c r="Q160" s="279"/>
      <c r="R160" s="279"/>
      <c r="S160" s="279"/>
      <c r="T160" s="279"/>
      <c r="U160" s="279"/>
      <c r="V160" s="279"/>
      <c r="W160" s="279"/>
      <c r="X160" s="279"/>
      <c r="Y160" s="279"/>
      <c r="Z160" s="279"/>
    </row>
    <row r="161" ht="15.75" customHeight="1">
      <c r="A161" s="288"/>
      <c r="B161" s="279"/>
      <c r="C161" s="279"/>
      <c r="D161" s="275"/>
      <c r="E161" s="279"/>
      <c r="F161" s="279"/>
      <c r="G161" s="279"/>
      <c r="H161" s="279"/>
      <c r="I161" s="279"/>
      <c r="J161" s="279"/>
      <c r="K161" s="279"/>
      <c r="L161" s="279"/>
      <c r="M161" s="279"/>
      <c r="N161" s="279"/>
      <c r="O161" s="279"/>
      <c r="P161" s="279"/>
      <c r="Q161" s="279"/>
      <c r="R161" s="279"/>
      <c r="S161" s="279"/>
      <c r="T161" s="279"/>
      <c r="U161" s="279"/>
      <c r="V161" s="279"/>
      <c r="W161" s="279"/>
      <c r="X161" s="279"/>
      <c r="Y161" s="279"/>
      <c r="Z161" s="279"/>
    </row>
    <row r="162" ht="15.75" customHeight="1">
      <c r="A162" s="288"/>
      <c r="B162" s="279"/>
      <c r="C162" s="279"/>
      <c r="D162" s="275"/>
      <c r="E162" s="279"/>
      <c r="F162" s="279"/>
      <c r="G162" s="279"/>
      <c r="H162" s="279"/>
      <c r="I162" s="279"/>
      <c r="J162" s="279"/>
      <c r="K162" s="279"/>
      <c r="L162" s="279"/>
      <c r="M162" s="279"/>
      <c r="N162" s="279"/>
      <c r="O162" s="279"/>
      <c r="P162" s="279"/>
      <c r="Q162" s="279"/>
      <c r="R162" s="279"/>
      <c r="S162" s="279"/>
      <c r="T162" s="279"/>
      <c r="U162" s="279"/>
      <c r="V162" s="279"/>
      <c r="W162" s="279"/>
      <c r="X162" s="279"/>
      <c r="Y162" s="279"/>
      <c r="Z162" s="279"/>
    </row>
    <row r="163" ht="15.75" customHeight="1">
      <c r="A163" s="288"/>
      <c r="B163" s="279"/>
      <c r="C163" s="279"/>
      <c r="D163" s="275"/>
      <c r="E163" s="279"/>
      <c r="F163" s="279"/>
      <c r="G163" s="279"/>
      <c r="H163" s="279"/>
      <c r="I163" s="279"/>
      <c r="J163" s="279"/>
      <c r="K163" s="279"/>
      <c r="L163" s="279"/>
      <c r="M163" s="279"/>
      <c r="N163" s="279"/>
      <c r="O163" s="279"/>
      <c r="P163" s="279"/>
      <c r="Q163" s="279"/>
      <c r="R163" s="279"/>
      <c r="S163" s="279"/>
      <c r="T163" s="279"/>
      <c r="U163" s="279"/>
      <c r="V163" s="279"/>
      <c r="W163" s="279"/>
      <c r="X163" s="279"/>
      <c r="Y163" s="279"/>
      <c r="Z163" s="279"/>
    </row>
    <row r="164" ht="15.75" customHeight="1">
      <c r="A164" s="288"/>
      <c r="B164" s="279"/>
      <c r="C164" s="279"/>
      <c r="D164" s="275"/>
      <c r="E164" s="279"/>
      <c r="F164" s="279"/>
      <c r="G164" s="279"/>
      <c r="H164" s="279"/>
      <c r="I164" s="279"/>
      <c r="J164" s="279"/>
      <c r="K164" s="279"/>
      <c r="L164" s="279"/>
      <c r="M164" s="279"/>
      <c r="N164" s="279"/>
      <c r="O164" s="279"/>
      <c r="P164" s="279"/>
      <c r="Q164" s="279"/>
      <c r="R164" s="279"/>
      <c r="S164" s="279"/>
      <c r="T164" s="279"/>
      <c r="U164" s="279"/>
      <c r="V164" s="279"/>
      <c r="W164" s="279"/>
      <c r="X164" s="279"/>
      <c r="Y164" s="279"/>
      <c r="Z164" s="279"/>
    </row>
    <row r="165" ht="15.75" customHeight="1">
      <c r="A165" s="288"/>
      <c r="B165" s="279"/>
      <c r="C165" s="279"/>
      <c r="D165" s="275"/>
      <c r="E165" s="279"/>
      <c r="F165" s="279"/>
      <c r="G165" s="279"/>
      <c r="H165" s="279"/>
      <c r="I165" s="279"/>
      <c r="J165" s="279"/>
      <c r="K165" s="279"/>
      <c r="L165" s="279"/>
      <c r="M165" s="279"/>
      <c r="N165" s="279"/>
      <c r="O165" s="279"/>
      <c r="P165" s="279"/>
      <c r="Q165" s="279"/>
      <c r="R165" s="279"/>
      <c r="S165" s="279"/>
      <c r="T165" s="279"/>
      <c r="U165" s="279"/>
      <c r="V165" s="279"/>
      <c r="W165" s="279"/>
      <c r="X165" s="279"/>
      <c r="Y165" s="279"/>
      <c r="Z165" s="279"/>
    </row>
    <row r="166" ht="15.75" customHeight="1">
      <c r="A166" s="288"/>
      <c r="B166" s="279"/>
      <c r="C166" s="279"/>
      <c r="D166" s="275"/>
      <c r="E166" s="279"/>
      <c r="F166" s="279"/>
      <c r="G166" s="279"/>
      <c r="H166" s="279"/>
      <c r="I166" s="279"/>
      <c r="J166" s="279"/>
      <c r="K166" s="279"/>
      <c r="L166" s="279"/>
      <c r="M166" s="279"/>
      <c r="N166" s="279"/>
      <c r="O166" s="279"/>
      <c r="P166" s="279"/>
      <c r="Q166" s="279"/>
      <c r="R166" s="279"/>
      <c r="S166" s="279"/>
      <c r="T166" s="279"/>
      <c r="U166" s="279"/>
      <c r="V166" s="279"/>
      <c r="W166" s="279"/>
      <c r="X166" s="279"/>
      <c r="Y166" s="279"/>
      <c r="Z166" s="279"/>
    </row>
    <row r="167" ht="15.75" customHeight="1">
      <c r="A167" s="288"/>
      <c r="B167" s="279"/>
      <c r="C167" s="279"/>
      <c r="D167" s="275"/>
      <c r="E167" s="279"/>
      <c r="F167" s="279"/>
      <c r="G167" s="279"/>
      <c r="H167" s="279"/>
      <c r="I167" s="279"/>
      <c r="J167" s="279"/>
      <c r="K167" s="279"/>
      <c r="L167" s="279"/>
      <c r="M167" s="279"/>
      <c r="N167" s="279"/>
      <c r="O167" s="279"/>
      <c r="P167" s="279"/>
      <c r="Q167" s="279"/>
      <c r="R167" s="279"/>
      <c r="S167" s="279"/>
      <c r="T167" s="279"/>
      <c r="U167" s="279"/>
      <c r="V167" s="279"/>
      <c r="W167" s="279"/>
      <c r="X167" s="279"/>
      <c r="Y167" s="279"/>
      <c r="Z167" s="279"/>
    </row>
    <row r="168" ht="15.75" customHeight="1">
      <c r="A168" s="288"/>
      <c r="B168" s="279"/>
      <c r="C168" s="279"/>
      <c r="D168" s="275"/>
      <c r="E168" s="279"/>
      <c r="F168" s="279"/>
      <c r="G168" s="279"/>
      <c r="H168" s="279"/>
      <c r="I168" s="279"/>
      <c r="J168" s="279"/>
      <c r="K168" s="279"/>
      <c r="L168" s="279"/>
      <c r="M168" s="279"/>
      <c r="N168" s="279"/>
      <c r="O168" s="279"/>
      <c r="P168" s="279"/>
      <c r="Q168" s="279"/>
      <c r="R168" s="279"/>
      <c r="S168" s="279"/>
      <c r="T168" s="279"/>
      <c r="U168" s="279"/>
      <c r="V168" s="279"/>
      <c r="W168" s="279"/>
      <c r="X168" s="279"/>
      <c r="Y168" s="279"/>
      <c r="Z168" s="279"/>
    </row>
    <row r="169" ht="15.75" customHeight="1">
      <c r="A169" s="288"/>
      <c r="B169" s="279"/>
      <c r="C169" s="279"/>
      <c r="D169" s="275"/>
      <c r="E169" s="279"/>
      <c r="F169" s="279"/>
      <c r="G169" s="279"/>
      <c r="H169" s="279"/>
      <c r="I169" s="279"/>
      <c r="J169" s="279"/>
      <c r="K169" s="279"/>
      <c r="L169" s="279"/>
      <c r="M169" s="279"/>
      <c r="N169" s="279"/>
      <c r="O169" s="279"/>
      <c r="P169" s="279"/>
      <c r="Q169" s="279"/>
      <c r="R169" s="279"/>
      <c r="S169" s="279"/>
      <c r="T169" s="279"/>
      <c r="U169" s="279"/>
      <c r="V169" s="279"/>
      <c r="W169" s="279"/>
      <c r="X169" s="279"/>
      <c r="Y169" s="279"/>
      <c r="Z169" s="279"/>
    </row>
    <row r="170" ht="15.75" customHeight="1">
      <c r="A170" s="288"/>
      <c r="B170" s="279"/>
      <c r="C170" s="279"/>
      <c r="D170" s="275"/>
      <c r="E170" s="279"/>
      <c r="F170" s="279"/>
      <c r="G170" s="279"/>
      <c r="H170" s="279"/>
      <c r="I170" s="279"/>
      <c r="J170" s="279"/>
      <c r="K170" s="279"/>
      <c r="L170" s="279"/>
      <c r="M170" s="279"/>
      <c r="N170" s="279"/>
      <c r="O170" s="279"/>
      <c r="P170" s="279"/>
      <c r="Q170" s="279"/>
      <c r="R170" s="279"/>
      <c r="S170" s="279"/>
      <c r="T170" s="279"/>
      <c r="U170" s="279"/>
      <c r="V170" s="279"/>
      <c r="W170" s="279"/>
      <c r="X170" s="279"/>
      <c r="Y170" s="279"/>
      <c r="Z170" s="279"/>
    </row>
    <row r="171" ht="15.75" customHeight="1">
      <c r="A171" s="288"/>
      <c r="B171" s="279"/>
      <c r="C171" s="279"/>
      <c r="D171" s="275"/>
      <c r="E171" s="279"/>
      <c r="F171" s="279"/>
      <c r="G171" s="279"/>
      <c r="H171" s="279"/>
      <c r="I171" s="279"/>
      <c r="J171" s="279"/>
      <c r="K171" s="279"/>
      <c r="L171" s="279"/>
      <c r="M171" s="279"/>
      <c r="N171" s="279"/>
      <c r="O171" s="279"/>
      <c r="P171" s="279"/>
      <c r="Q171" s="279"/>
      <c r="R171" s="279"/>
      <c r="S171" s="279"/>
      <c r="T171" s="279"/>
      <c r="U171" s="279"/>
      <c r="V171" s="279"/>
      <c r="W171" s="279"/>
      <c r="X171" s="279"/>
      <c r="Y171" s="279"/>
      <c r="Z171" s="279"/>
    </row>
    <row r="172" ht="15.75" customHeight="1">
      <c r="A172" s="288"/>
      <c r="B172" s="279"/>
      <c r="C172" s="279"/>
      <c r="D172" s="275"/>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row>
    <row r="173" ht="15.75" customHeight="1">
      <c r="A173" s="288"/>
      <c r="B173" s="279"/>
      <c r="C173" s="279"/>
      <c r="D173" s="275"/>
      <c r="E173" s="279"/>
      <c r="F173" s="279"/>
      <c r="G173" s="279"/>
      <c r="H173" s="279"/>
      <c r="I173" s="279"/>
      <c r="J173" s="279"/>
      <c r="K173" s="279"/>
      <c r="L173" s="279"/>
      <c r="M173" s="279"/>
      <c r="N173" s="279"/>
      <c r="O173" s="279"/>
      <c r="P173" s="279"/>
      <c r="Q173" s="279"/>
      <c r="R173" s="279"/>
      <c r="S173" s="279"/>
      <c r="T173" s="279"/>
      <c r="U173" s="279"/>
      <c r="V173" s="279"/>
      <c r="W173" s="279"/>
      <c r="X173" s="279"/>
      <c r="Y173" s="279"/>
      <c r="Z173" s="279"/>
    </row>
    <row r="174" ht="15.75" customHeight="1">
      <c r="A174" s="288"/>
      <c r="B174" s="279"/>
      <c r="C174" s="279"/>
      <c r="D174" s="275"/>
      <c r="E174" s="279"/>
      <c r="F174" s="279"/>
      <c r="G174" s="279"/>
      <c r="H174" s="279"/>
      <c r="I174" s="279"/>
      <c r="J174" s="279"/>
      <c r="K174" s="279"/>
      <c r="L174" s="279"/>
      <c r="M174" s="279"/>
      <c r="N174" s="279"/>
      <c r="O174" s="279"/>
      <c r="P174" s="279"/>
      <c r="Q174" s="279"/>
      <c r="R174" s="279"/>
      <c r="S174" s="279"/>
      <c r="T174" s="279"/>
      <c r="U174" s="279"/>
      <c r="V174" s="279"/>
      <c r="W174" s="279"/>
      <c r="X174" s="279"/>
      <c r="Y174" s="279"/>
      <c r="Z174" s="279"/>
    </row>
    <row r="175" ht="15.75" customHeight="1">
      <c r="A175" s="288"/>
      <c r="B175" s="279"/>
      <c r="C175" s="279"/>
      <c r="D175" s="275"/>
      <c r="E175" s="279"/>
      <c r="F175" s="279"/>
      <c r="G175" s="279"/>
      <c r="H175" s="279"/>
      <c r="I175" s="279"/>
      <c r="J175" s="279"/>
      <c r="K175" s="279"/>
      <c r="L175" s="279"/>
      <c r="M175" s="279"/>
      <c r="N175" s="279"/>
      <c r="O175" s="279"/>
      <c r="P175" s="279"/>
      <c r="Q175" s="279"/>
      <c r="R175" s="279"/>
      <c r="S175" s="279"/>
      <c r="T175" s="279"/>
      <c r="U175" s="279"/>
      <c r="V175" s="279"/>
      <c r="W175" s="279"/>
      <c r="X175" s="279"/>
      <c r="Y175" s="279"/>
      <c r="Z175" s="279"/>
    </row>
    <row r="176" ht="15.75" customHeight="1">
      <c r="A176" s="288"/>
      <c r="B176" s="279"/>
      <c r="C176" s="279"/>
      <c r="D176" s="275"/>
      <c r="E176" s="279"/>
      <c r="F176" s="279"/>
      <c r="G176" s="279"/>
      <c r="H176" s="279"/>
      <c r="I176" s="279"/>
      <c r="J176" s="279"/>
      <c r="K176" s="279"/>
      <c r="L176" s="279"/>
      <c r="M176" s="279"/>
      <c r="N176" s="279"/>
      <c r="O176" s="279"/>
      <c r="P176" s="279"/>
      <c r="Q176" s="279"/>
      <c r="R176" s="279"/>
      <c r="S176" s="279"/>
      <c r="T176" s="279"/>
      <c r="U176" s="279"/>
      <c r="V176" s="279"/>
      <c r="W176" s="279"/>
      <c r="X176" s="279"/>
      <c r="Y176" s="279"/>
      <c r="Z176" s="279"/>
    </row>
    <row r="177" ht="15.75" customHeight="1">
      <c r="A177" s="288"/>
      <c r="B177" s="279"/>
      <c r="C177" s="279"/>
      <c r="D177" s="275"/>
      <c r="E177" s="279"/>
      <c r="F177" s="279"/>
      <c r="G177" s="279"/>
      <c r="H177" s="279"/>
      <c r="I177" s="279"/>
      <c r="J177" s="279"/>
      <c r="K177" s="279"/>
      <c r="L177" s="279"/>
      <c r="M177" s="279"/>
      <c r="N177" s="279"/>
      <c r="O177" s="279"/>
      <c r="P177" s="279"/>
      <c r="Q177" s="279"/>
      <c r="R177" s="279"/>
      <c r="S177" s="279"/>
      <c r="T177" s="279"/>
      <c r="U177" s="279"/>
      <c r="V177" s="279"/>
      <c r="W177" s="279"/>
      <c r="X177" s="279"/>
      <c r="Y177" s="279"/>
      <c r="Z177" s="279"/>
    </row>
    <row r="178" ht="15.75" customHeight="1">
      <c r="A178" s="288"/>
      <c r="B178" s="279"/>
      <c r="C178" s="279"/>
      <c r="D178" s="275"/>
      <c r="E178" s="279"/>
      <c r="F178" s="279"/>
      <c r="G178" s="279"/>
      <c r="H178" s="279"/>
      <c r="I178" s="279"/>
      <c r="J178" s="279"/>
      <c r="K178" s="279"/>
      <c r="L178" s="279"/>
      <c r="M178" s="279"/>
      <c r="N178" s="279"/>
      <c r="O178" s="279"/>
      <c r="P178" s="279"/>
      <c r="Q178" s="279"/>
      <c r="R178" s="279"/>
      <c r="S178" s="279"/>
      <c r="T178" s="279"/>
      <c r="U178" s="279"/>
      <c r="V178" s="279"/>
      <c r="W178" s="279"/>
      <c r="X178" s="279"/>
      <c r="Y178" s="279"/>
      <c r="Z178" s="279"/>
    </row>
    <row r="179" ht="15.75" customHeight="1">
      <c r="A179" s="288"/>
      <c r="B179" s="279"/>
      <c r="C179" s="279"/>
      <c r="D179" s="275"/>
      <c r="E179" s="279"/>
      <c r="F179" s="279"/>
      <c r="G179" s="279"/>
      <c r="H179" s="279"/>
      <c r="I179" s="279"/>
      <c r="J179" s="279"/>
      <c r="K179" s="279"/>
      <c r="L179" s="279"/>
      <c r="M179" s="279"/>
      <c r="N179" s="279"/>
      <c r="O179" s="279"/>
      <c r="P179" s="279"/>
      <c r="Q179" s="279"/>
      <c r="R179" s="279"/>
      <c r="S179" s="279"/>
      <c r="T179" s="279"/>
      <c r="U179" s="279"/>
      <c r="V179" s="279"/>
      <c r="W179" s="279"/>
      <c r="X179" s="279"/>
      <c r="Y179" s="279"/>
      <c r="Z179" s="279"/>
    </row>
    <row r="180" ht="15.75" customHeight="1">
      <c r="A180" s="288"/>
      <c r="B180" s="279"/>
      <c r="C180" s="279"/>
      <c r="D180" s="275"/>
      <c r="E180" s="279"/>
      <c r="F180" s="279"/>
      <c r="G180" s="279"/>
      <c r="H180" s="279"/>
      <c r="I180" s="279"/>
      <c r="J180" s="279"/>
      <c r="K180" s="279"/>
      <c r="L180" s="279"/>
      <c r="M180" s="279"/>
      <c r="N180" s="279"/>
      <c r="O180" s="279"/>
      <c r="P180" s="279"/>
      <c r="Q180" s="279"/>
      <c r="R180" s="279"/>
      <c r="S180" s="279"/>
      <c r="T180" s="279"/>
      <c r="U180" s="279"/>
      <c r="V180" s="279"/>
      <c r="W180" s="279"/>
      <c r="X180" s="279"/>
      <c r="Y180" s="279"/>
      <c r="Z180" s="279"/>
    </row>
    <row r="181" ht="15.75" customHeight="1">
      <c r="A181" s="288"/>
      <c r="B181" s="279"/>
      <c r="C181" s="279"/>
      <c r="D181" s="275"/>
      <c r="E181" s="279"/>
      <c r="F181" s="279"/>
      <c r="G181" s="279"/>
      <c r="H181" s="279"/>
      <c r="I181" s="279"/>
      <c r="J181" s="279"/>
      <c r="K181" s="279"/>
      <c r="L181" s="279"/>
      <c r="M181" s="279"/>
      <c r="N181" s="279"/>
      <c r="O181" s="279"/>
      <c r="P181" s="279"/>
      <c r="Q181" s="279"/>
      <c r="R181" s="279"/>
      <c r="S181" s="279"/>
      <c r="T181" s="279"/>
      <c r="U181" s="279"/>
      <c r="V181" s="279"/>
      <c r="W181" s="279"/>
      <c r="X181" s="279"/>
      <c r="Y181" s="279"/>
      <c r="Z181" s="279"/>
    </row>
    <row r="182" ht="15.75" customHeight="1">
      <c r="A182" s="288"/>
      <c r="B182" s="279"/>
      <c r="C182" s="279"/>
      <c r="D182" s="275"/>
      <c r="E182" s="279"/>
      <c r="F182" s="279"/>
      <c r="G182" s="279"/>
      <c r="H182" s="279"/>
      <c r="I182" s="279"/>
      <c r="J182" s="279"/>
      <c r="K182" s="279"/>
      <c r="L182" s="279"/>
      <c r="M182" s="279"/>
      <c r="N182" s="279"/>
      <c r="O182" s="279"/>
      <c r="P182" s="279"/>
      <c r="Q182" s="279"/>
      <c r="R182" s="279"/>
      <c r="S182" s="279"/>
      <c r="T182" s="279"/>
      <c r="U182" s="279"/>
      <c r="V182" s="279"/>
      <c r="W182" s="279"/>
      <c r="X182" s="279"/>
      <c r="Y182" s="279"/>
      <c r="Z182" s="279"/>
    </row>
    <row r="183" ht="15.75" customHeight="1">
      <c r="A183" s="288"/>
      <c r="B183" s="279"/>
      <c r="C183" s="279"/>
      <c r="D183" s="275"/>
      <c r="E183" s="279"/>
      <c r="F183" s="279"/>
      <c r="G183" s="279"/>
      <c r="H183" s="279"/>
      <c r="I183" s="279"/>
      <c r="J183" s="279"/>
      <c r="K183" s="279"/>
      <c r="L183" s="279"/>
      <c r="M183" s="279"/>
      <c r="N183" s="279"/>
      <c r="O183" s="279"/>
      <c r="P183" s="279"/>
      <c r="Q183" s="279"/>
      <c r="R183" s="279"/>
      <c r="S183" s="279"/>
      <c r="T183" s="279"/>
      <c r="U183" s="279"/>
      <c r="V183" s="279"/>
      <c r="W183" s="279"/>
      <c r="X183" s="279"/>
      <c r="Y183" s="279"/>
      <c r="Z183" s="279"/>
    </row>
    <row r="184" ht="15.75" customHeight="1">
      <c r="A184" s="288"/>
      <c r="B184" s="279"/>
      <c r="C184" s="279"/>
      <c r="D184" s="275"/>
      <c r="E184" s="279"/>
      <c r="F184" s="279"/>
      <c r="G184" s="279"/>
      <c r="H184" s="279"/>
      <c r="I184" s="279"/>
      <c r="J184" s="279"/>
      <c r="K184" s="279"/>
      <c r="L184" s="279"/>
      <c r="M184" s="279"/>
      <c r="N184" s="279"/>
      <c r="O184" s="279"/>
      <c r="P184" s="279"/>
      <c r="Q184" s="279"/>
      <c r="R184" s="279"/>
      <c r="S184" s="279"/>
      <c r="T184" s="279"/>
      <c r="U184" s="279"/>
      <c r="V184" s="279"/>
      <c r="W184" s="279"/>
      <c r="X184" s="279"/>
      <c r="Y184" s="279"/>
      <c r="Z184" s="279"/>
    </row>
    <row r="185" ht="15.75" customHeight="1">
      <c r="A185" s="288"/>
      <c r="B185" s="279"/>
      <c r="C185" s="279"/>
      <c r="D185" s="275"/>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row>
    <row r="186" ht="15.75" customHeight="1">
      <c r="A186" s="288"/>
      <c r="B186" s="279"/>
      <c r="C186" s="279"/>
      <c r="D186" s="275"/>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row>
    <row r="187" ht="15.75" customHeight="1">
      <c r="A187" s="288"/>
      <c r="B187" s="279"/>
      <c r="C187" s="279"/>
      <c r="D187" s="275"/>
      <c r="E187" s="279"/>
      <c r="F187" s="279"/>
      <c r="G187" s="279"/>
      <c r="H187" s="279"/>
      <c r="I187" s="279"/>
      <c r="J187" s="279"/>
      <c r="K187" s="279"/>
      <c r="L187" s="279"/>
      <c r="M187" s="279"/>
      <c r="N187" s="279"/>
      <c r="O187" s="279"/>
      <c r="P187" s="279"/>
      <c r="Q187" s="279"/>
      <c r="R187" s="279"/>
      <c r="S187" s="279"/>
      <c r="T187" s="279"/>
      <c r="U187" s="279"/>
      <c r="V187" s="279"/>
      <c r="W187" s="279"/>
      <c r="X187" s="279"/>
      <c r="Y187" s="279"/>
      <c r="Z187" s="279"/>
    </row>
    <row r="188" ht="15.75" customHeight="1">
      <c r="A188" s="288"/>
      <c r="B188" s="279"/>
      <c r="C188" s="279"/>
      <c r="D188" s="275"/>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row>
    <row r="189" ht="15.75" customHeight="1">
      <c r="A189" s="288"/>
      <c r="B189" s="279"/>
      <c r="C189" s="279"/>
      <c r="D189" s="275"/>
      <c r="E189" s="279"/>
      <c r="F189" s="279"/>
      <c r="G189" s="279"/>
      <c r="H189" s="279"/>
      <c r="I189" s="279"/>
      <c r="J189" s="279"/>
      <c r="K189" s="279"/>
      <c r="L189" s="279"/>
      <c r="M189" s="279"/>
      <c r="N189" s="279"/>
      <c r="O189" s="279"/>
      <c r="P189" s="279"/>
      <c r="Q189" s="279"/>
      <c r="R189" s="279"/>
      <c r="S189" s="279"/>
      <c r="T189" s="279"/>
      <c r="U189" s="279"/>
      <c r="V189" s="279"/>
      <c r="W189" s="279"/>
      <c r="X189" s="279"/>
      <c r="Y189" s="279"/>
      <c r="Z189" s="279"/>
    </row>
    <row r="190" ht="15.75" customHeight="1">
      <c r="A190" s="288"/>
      <c r="B190" s="279"/>
      <c r="C190" s="279"/>
      <c r="D190" s="275"/>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row>
    <row r="191" ht="15.75" customHeight="1">
      <c r="A191" s="288"/>
      <c r="B191" s="279"/>
      <c r="C191" s="279"/>
      <c r="D191" s="275"/>
      <c r="E191" s="279"/>
      <c r="F191" s="279"/>
      <c r="G191" s="279"/>
      <c r="H191" s="279"/>
      <c r="I191" s="279"/>
      <c r="J191" s="279"/>
      <c r="K191" s="279"/>
      <c r="L191" s="279"/>
      <c r="M191" s="279"/>
      <c r="N191" s="279"/>
      <c r="O191" s="279"/>
      <c r="P191" s="279"/>
      <c r="Q191" s="279"/>
      <c r="R191" s="279"/>
      <c r="S191" s="279"/>
      <c r="T191" s="279"/>
      <c r="U191" s="279"/>
      <c r="V191" s="279"/>
      <c r="W191" s="279"/>
      <c r="X191" s="279"/>
      <c r="Y191" s="279"/>
      <c r="Z191" s="279"/>
    </row>
    <row r="192" ht="15.75" customHeight="1">
      <c r="A192" s="288"/>
      <c r="B192" s="279"/>
      <c r="C192" s="279"/>
      <c r="D192" s="275"/>
      <c r="E192" s="279"/>
      <c r="F192" s="279"/>
      <c r="G192" s="279"/>
      <c r="H192" s="279"/>
      <c r="I192" s="279"/>
      <c r="J192" s="279"/>
      <c r="K192" s="279"/>
      <c r="L192" s="279"/>
      <c r="M192" s="279"/>
      <c r="N192" s="279"/>
      <c r="O192" s="279"/>
      <c r="P192" s="279"/>
      <c r="Q192" s="279"/>
      <c r="R192" s="279"/>
      <c r="S192" s="279"/>
      <c r="T192" s="279"/>
      <c r="U192" s="279"/>
      <c r="V192" s="279"/>
      <c r="W192" s="279"/>
      <c r="X192" s="279"/>
      <c r="Y192" s="279"/>
      <c r="Z192" s="279"/>
    </row>
    <row r="193" ht="15.75" customHeight="1">
      <c r="A193" s="288"/>
      <c r="B193" s="279"/>
      <c r="C193" s="279"/>
      <c r="D193" s="275"/>
      <c r="E193" s="279"/>
      <c r="F193" s="279"/>
      <c r="G193" s="279"/>
      <c r="H193" s="279"/>
      <c r="I193" s="279"/>
      <c r="J193" s="279"/>
      <c r="K193" s="279"/>
      <c r="L193" s="279"/>
      <c r="M193" s="279"/>
      <c r="N193" s="279"/>
      <c r="O193" s="279"/>
      <c r="P193" s="279"/>
      <c r="Q193" s="279"/>
      <c r="R193" s="279"/>
      <c r="S193" s="279"/>
      <c r="T193" s="279"/>
      <c r="U193" s="279"/>
      <c r="V193" s="279"/>
      <c r="W193" s="279"/>
      <c r="X193" s="279"/>
      <c r="Y193" s="279"/>
      <c r="Z193" s="279"/>
    </row>
    <row r="194" ht="15.75" customHeight="1">
      <c r="A194" s="288"/>
      <c r="B194" s="279"/>
      <c r="C194" s="279"/>
      <c r="D194" s="275"/>
      <c r="E194" s="279"/>
      <c r="F194" s="279"/>
      <c r="G194" s="279"/>
      <c r="H194" s="279"/>
      <c r="I194" s="279"/>
      <c r="J194" s="279"/>
      <c r="K194" s="279"/>
      <c r="L194" s="279"/>
      <c r="M194" s="279"/>
      <c r="N194" s="279"/>
      <c r="O194" s="279"/>
      <c r="P194" s="279"/>
      <c r="Q194" s="279"/>
      <c r="R194" s="279"/>
      <c r="S194" s="279"/>
      <c r="T194" s="279"/>
      <c r="U194" s="279"/>
      <c r="V194" s="279"/>
      <c r="W194" s="279"/>
      <c r="X194" s="279"/>
      <c r="Y194" s="279"/>
      <c r="Z194" s="279"/>
    </row>
    <row r="195" ht="15.75" customHeight="1">
      <c r="A195" s="288"/>
      <c r="B195" s="279"/>
      <c r="C195" s="279"/>
      <c r="D195" s="275"/>
      <c r="E195" s="279"/>
      <c r="F195" s="279"/>
      <c r="G195" s="279"/>
      <c r="H195" s="279"/>
      <c r="I195" s="279"/>
      <c r="J195" s="279"/>
      <c r="K195" s="279"/>
      <c r="L195" s="279"/>
      <c r="M195" s="279"/>
      <c r="N195" s="279"/>
      <c r="O195" s="279"/>
      <c r="P195" s="279"/>
      <c r="Q195" s="279"/>
      <c r="R195" s="279"/>
      <c r="S195" s="279"/>
      <c r="T195" s="279"/>
      <c r="U195" s="279"/>
      <c r="V195" s="279"/>
      <c r="W195" s="279"/>
      <c r="X195" s="279"/>
      <c r="Y195" s="279"/>
      <c r="Z195" s="279"/>
    </row>
    <row r="196" ht="15.75" customHeight="1">
      <c r="A196" s="288"/>
      <c r="B196" s="279"/>
      <c r="C196" s="279"/>
      <c r="D196" s="275"/>
      <c r="E196" s="279"/>
      <c r="F196" s="279"/>
      <c r="G196" s="279"/>
      <c r="H196" s="279"/>
      <c r="I196" s="279"/>
      <c r="J196" s="279"/>
      <c r="K196" s="279"/>
      <c r="L196" s="279"/>
      <c r="M196" s="279"/>
      <c r="N196" s="279"/>
      <c r="O196" s="279"/>
      <c r="P196" s="279"/>
      <c r="Q196" s="279"/>
      <c r="R196" s="279"/>
      <c r="S196" s="279"/>
      <c r="T196" s="279"/>
      <c r="U196" s="279"/>
      <c r="V196" s="279"/>
      <c r="W196" s="279"/>
      <c r="X196" s="279"/>
      <c r="Y196" s="279"/>
      <c r="Z196" s="279"/>
    </row>
    <row r="197" ht="15.75" customHeight="1">
      <c r="A197" s="288"/>
      <c r="B197" s="279"/>
      <c r="C197" s="279"/>
      <c r="D197" s="275"/>
      <c r="E197" s="279"/>
      <c r="F197" s="279"/>
      <c r="G197" s="279"/>
      <c r="H197" s="279"/>
      <c r="I197" s="279"/>
      <c r="J197" s="279"/>
      <c r="K197" s="279"/>
      <c r="L197" s="279"/>
      <c r="M197" s="279"/>
      <c r="N197" s="279"/>
      <c r="O197" s="279"/>
      <c r="P197" s="279"/>
      <c r="Q197" s="279"/>
      <c r="R197" s="279"/>
      <c r="S197" s="279"/>
      <c r="T197" s="279"/>
      <c r="U197" s="279"/>
      <c r="V197" s="279"/>
      <c r="W197" s="279"/>
      <c r="X197" s="279"/>
      <c r="Y197" s="279"/>
      <c r="Z197" s="279"/>
    </row>
    <row r="198" ht="15.75" customHeight="1">
      <c r="A198" s="288"/>
      <c r="B198" s="279"/>
      <c r="C198" s="279"/>
      <c r="D198" s="275"/>
      <c r="E198" s="279"/>
      <c r="F198" s="279"/>
      <c r="G198" s="279"/>
      <c r="H198" s="279"/>
      <c r="I198" s="279"/>
      <c r="J198" s="279"/>
      <c r="K198" s="279"/>
      <c r="L198" s="279"/>
      <c r="M198" s="279"/>
      <c r="N198" s="279"/>
      <c r="O198" s="279"/>
      <c r="P198" s="279"/>
      <c r="Q198" s="279"/>
      <c r="R198" s="279"/>
      <c r="S198" s="279"/>
      <c r="T198" s="279"/>
      <c r="U198" s="279"/>
      <c r="V198" s="279"/>
      <c r="W198" s="279"/>
      <c r="X198" s="279"/>
      <c r="Y198" s="279"/>
      <c r="Z198" s="279"/>
    </row>
    <row r="199" ht="15.75" customHeight="1">
      <c r="A199" s="288"/>
      <c r="B199" s="279"/>
      <c r="C199" s="279"/>
      <c r="D199" s="275"/>
      <c r="E199" s="279"/>
      <c r="F199" s="279"/>
      <c r="G199" s="279"/>
      <c r="H199" s="279"/>
      <c r="I199" s="279"/>
      <c r="J199" s="279"/>
      <c r="K199" s="279"/>
      <c r="L199" s="279"/>
      <c r="M199" s="279"/>
      <c r="N199" s="279"/>
      <c r="O199" s="279"/>
      <c r="P199" s="279"/>
      <c r="Q199" s="279"/>
      <c r="R199" s="279"/>
      <c r="S199" s="279"/>
      <c r="T199" s="279"/>
      <c r="U199" s="279"/>
      <c r="V199" s="279"/>
      <c r="W199" s="279"/>
      <c r="X199" s="279"/>
      <c r="Y199" s="279"/>
      <c r="Z199" s="279"/>
    </row>
    <row r="200" ht="15.75" customHeight="1">
      <c r="A200" s="288"/>
      <c r="B200" s="279"/>
      <c r="C200" s="279"/>
      <c r="D200" s="275"/>
      <c r="E200" s="279"/>
      <c r="F200" s="279"/>
      <c r="G200" s="279"/>
      <c r="H200" s="279"/>
      <c r="I200" s="279"/>
      <c r="J200" s="279"/>
      <c r="K200" s="279"/>
      <c r="L200" s="279"/>
      <c r="M200" s="279"/>
      <c r="N200" s="279"/>
      <c r="O200" s="279"/>
      <c r="P200" s="279"/>
      <c r="Q200" s="279"/>
      <c r="R200" s="279"/>
      <c r="S200" s="279"/>
      <c r="T200" s="279"/>
      <c r="U200" s="279"/>
      <c r="V200" s="279"/>
      <c r="W200" s="279"/>
      <c r="X200" s="279"/>
      <c r="Y200" s="279"/>
      <c r="Z200" s="279"/>
    </row>
    <row r="201" ht="15.75" customHeight="1">
      <c r="A201" s="288"/>
      <c r="B201" s="279"/>
      <c r="C201" s="279"/>
      <c r="D201" s="275"/>
      <c r="E201" s="279"/>
      <c r="F201" s="279"/>
      <c r="G201" s="279"/>
      <c r="H201" s="279"/>
      <c r="I201" s="279"/>
      <c r="J201" s="279"/>
      <c r="K201" s="279"/>
      <c r="L201" s="279"/>
      <c r="M201" s="279"/>
      <c r="N201" s="279"/>
      <c r="O201" s="279"/>
      <c r="P201" s="279"/>
      <c r="Q201" s="279"/>
      <c r="R201" s="279"/>
      <c r="S201" s="279"/>
      <c r="T201" s="279"/>
      <c r="U201" s="279"/>
      <c r="V201" s="279"/>
      <c r="W201" s="279"/>
      <c r="X201" s="279"/>
      <c r="Y201" s="279"/>
      <c r="Z201" s="279"/>
    </row>
    <row r="202" ht="15.75" customHeight="1">
      <c r="A202" s="288"/>
      <c r="B202" s="279"/>
      <c r="C202" s="279"/>
      <c r="D202" s="275"/>
      <c r="E202" s="279"/>
      <c r="F202" s="279"/>
      <c r="G202" s="279"/>
      <c r="H202" s="279"/>
      <c r="I202" s="279"/>
      <c r="J202" s="279"/>
      <c r="K202" s="279"/>
      <c r="L202" s="279"/>
      <c r="M202" s="279"/>
      <c r="N202" s="279"/>
      <c r="O202" s="279"/>
      <c r="P202" s="279"/>
      <c r="Q202" s="279"/>
      <c r="R202" s="279"/>
      <c r="S202" s="279"/>
      <c r="T202" s="279"/>
      <c r="U202" s="279"/>
      <c r="V202" s="279"/>
      <c r="W202" s="279"/>
      <c r="X202" s="279"/>
      <c r="Y202" s="279"/>
      <c r="Z202" s="279"/>
    </row>
    <row r="203" ht="15.75" customHeight="1">
      <c r="A203" s="288"/>
      <c r="B203" s="279"/>
      <c r="C203" s="279"/>
      <c r="D203" s="275"/>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row>
    <row r="204" ht="15.75" customHeight="1">
      <c r="A204" s="288"/>
      <c r="B204" s="279"/>
      <c r="C204" s="279"/>
      <c r="D204" s="275"/>
      <c r="E204" s="279"/>
      <c r="F204" s="279"/>
      <c r="G204" s="279"/>
      <c r="H204" s="279"/>
      <c r="I204" s="279"/>
      <c r="J204" s="279"/>
      <c r="K204" s="279"/>
      <c r="L204" s="279"/>
      <c r="M204" s="279"/>
      <c r="N204" s="279"/>
      <c r="O204" s="279"/>
      <c r="P204" s="279"/>
      <c r="Q204" s="279"/>
      <c r="R204" s="279"/>
      <c r="S204" s="279"/>
      <c r="T204" s="279"/>
      <c r="U204" s="279"/>
      <c r="V204" s="279"/>
      <c r="W204" s="279"/>
      <c r="X204" s="279"/>
      <c r="Y204" s="279"/>
      <c r="Z204" s="279"/>
    </row>
    <row r="205" ht="15.75" customHeight="1">
      <c r="A205" s="288"/>
      <c r="B205" s="279"/>
      <c r="C205" s="279"/>
      <c r="D205" s="275"/>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row>
    <row r="206" ht="15.75" customHeight="1">
      <c r="A206" s="288"/>
      <c r="B206" s="279"/>
      <c r="C206" s="279"/>
      <c r="D206" s="275"/>
      <c r="E206" s="279"/>
      <c r="F206" s="279"/>
      <c r="G206" s="279"/>
      <c r="H206" s="279"/>
      <c r="I206" s="279"/>
      <c r="J206" s="279"/>
      <c r="K206" s="279"/>
      <c r="L206" s="279"/>
      <c r="M206" s="279"/>
      <c r="N206" s="279"/>
      <c r="O206" s="279"/>
      <c r="P206" s="279"/>
      <c r="Q206" s="279"/>
      <c r="R206" s="279"/>
      <c r="S206" s="279"/>
      <c r="T206" s="279"/>
      <c r="U206" s="279"/>
      <c r="V206" s="279"/>
      <c r="W206" s="279"/>
      <c r="X206" s="279"/>
      <c r="Y206" s="279"/>
      <c r="Z206" s="279"/>
    </row>
    <row r="207" ht="15.75" customHeight="1">
      <c r="A207" s="288"/>
      <c r="B207" s="279"/>
      <c r="C207" s="279"/>
      <c r="D207" s="275"/>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row>
    <row r="208" ht="15.75" customHeight="1">
      <c r="A208" s="288"/>
      <c r="B208" s="279"/>
      <c r="C208" s="279"/>
      <c r="D208" s="275"/>
      <c r="E208" s="279"/>
      <c r="F208" s="279"/>
      <c r="G208" s="279"/>
      <c r="H208" s="279"/>
      <c r="I208" s="279"/>
      <c r="J208" s="279"/>
      <c r="K208" s="279"/>
      <c r="L208" s="279"/>
      <c r="M208" s="279"/>
      <c r="N208" s="279"/>
      <c r="O208" s="279"/>
      <c r="P208" s="279"/>
      <c r="Q208" s="279"/>
      <c r="R208" s="279"/>
      <c r="S208" s="279"/>
      <c r="T208" s="279"/>
      <c r="U208" s="279"/>
      <c r="V208" s="279"/>
      <c r="W208" s="279"/>
      <c r="X208" s="279"/>
      <c r="Y208" s="279"/>
      <c r="Z208" s="279"/>
    </row>
    <row r="209" ht="15.75" customHeight="1">
      <c r="A209" s="288"/>
      <c r="B209" s="279"/>
      <c r="C209" s="279"/>
      <c r="D209" s="275"/>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row>
    <row r="210" ht="15.75" customHeight="1">
      <c r="A210" s="288"/>
      <c r="B210" s="279"/>
      <c r="C210" s="279"/>
      <c r="D210" s="275"/>
      <c r="E210" s="279"/>
      <c r="F210" s="279"/>
      <c r="G210" s="279"/>
      <c r="H210" s="279"/>
      <c r="I210" s="279"/>
      <c r="J210" s="279"/>
      <c r="K210" s="279"/>
      <c r="L210" s="279"/>
      <c r="M210" s="279"/>
      <c r="N210" s="279"/>
      <c r="O210" s="279"/>
      <c r="P210" s="279"/>
      <c r="Q210" s="279"/>
      <c r="R210" s="279"/>
      <c r="S210" s="279"/>
      <c r="T210" s="279"/>
      <c r="U210" s="279"/>
      <c r="V210" s="279"/>
      <c r="W210" s="279"/>
      <c r="X210" s="279"/>
      <c r="Y210" s="279"/>
      <c r="Z210" s="279"/>
    </row>
    <row r="211" ht="15.75" customHeight="1">
      <c r="A211" s="288"/>
      <c r="B211" s="279"/>
      <c r="C211" s="279"/>
      <c r="D211" s="275"/>
      <c r="E211" s="279"/>
      <c r="F211" s="279"/>
      <c r="G211" s="279"/>
      <c r="H211" s="279"/>
      <c r="I211" s="279"/>
      <c r="J211" s="279"/>
      <c r="K211" s="279"/>
      <c r="L211" s="279"/>
      <c r="M211" s="279"/>
      <c r="N211" s="279"/>
      <c r="O211" s="279"/>
      <c r="P211" s="279"/>
      <c r="Q211" s="279"/>
      <c r="R211" s="279"/>
      <c r="S211" s="279"/>
      <c r="T211" s="279"/>
      <c r="U211" s="279"/>
      <c r="V211" s="279"/>
      <c r="W211" s="279"/>
      <c r="X211" s="279"/>
      <c r="Y211" s="279"/>
      <c r="Z211" s="279"/>
    </row>
    <row r="212" ht="15.75" customHeight="1">
      <c r="A212" s="288"/>
      <c r="B212" s="279"/>
      <c r="C212" s="279"/>
      <c r="D212" s="275"/>
      <c r="E212" s="279"/>
      <c r="F212" s="279"/>
      <c r="G212" s="279"/>
      <c r="H212" s="279"/>
      <c r="I212" s="279"/>
      <c r="J212" s="279"/>
      <c r="K212" s="279"/>
      <c r="L212" s="279"/>
      <c r="M212" s="279"/>
      <c r="N212" s="279"/>
      <c r="O212" s="279"/>
      <c r="P212" s="279"/>
      <c r="Q212" s="279"/>
      <c r="R212" s="279"/>
      <c r="S212" s="279"/>
      <c r="T212" s="279"/>
      <c r="U212" s="279"/>
      <c r="V212" s="279"/>
      <c r="W212" s="279"/>
      <c r="X212" s="279"/>
      <c r="Y212" s="279"/>
      <c r="Z212" s="279"/>
    </row>
    <row r="213" ht="15.75" customHeight="1">
      <c r="A213" s="288"/>
      <c r="B213" s="279"/>
      <c r="C213" s="279"/>
      <c r="D213" s="275"/>
      <c r="E213" s="279"/>
      <c r="F213" s="279"/>
      <c r="G213" s="279"/>
      <c r="H213" s="279"/>
      <c r="I213" s="279"/>
      <c r="J213" s="279"/>
      <c r="K213" s="279"/>
      <c r="L213" s="279"/>
      <c r="M213" s="279"/>
      <c r="N213" s="279"/>
      <c r="O213" s="279"/>
      <c r="P213" s="279"/>
      <c r="Q213" s="279"/>
      <c r="R213" s="279"/>
      <c r="S213" s="279"/>
      <c r="T213" s="279"/>
      <c r="U213" s="279"/>
      <c r="V213" s="279"/>
      <c r="W213" s="279"/>
      <c r="X213" s="279"/>
      <c r="Y213" s="279"/>
      <c r="Z213" s="279"/>
    </row>
    <row r="214" ht="15.75" customHeight="1">
      <c r="A214" s="288"/>
      <c r="B214" s="279"/>
      <c r="C214" s="279"/>
      <c r="D214" s="275"/>
      <c r="E214" s="279"/>
      <c r="F214" s="279"/>
      <c r="G214" s="279"/>
      <c r="H214" s="279"/>
      <c r="I214" s="279"/>
      <c r="J214" s="279"/>
      <c r="K214" s="279"/>
      <c r="L214" s="279"/>
      <c r="M214" s="279"/>
      <c r="N214" s="279"/>
      <c r="O214" s="279"/>
      <c r="P214" s="279"/>
      <c r="Q214" s="279"/>
      <c r="R214" s="279"/>
      <c r="S214" s="279"/>
      <c r="T214" s="279"/>
      <c r="U214" s="279"/>
      <c r="V214" s="279"/>
      <c r="W214" s="279"/>
      <c r="X214" s="279"/>
      <c r="Y214" s="279"/>
      <c r="Z214" s="279"/>
    </row>
    <row r="215" ht="15.75" customHeight="1">
      <c r="A215" s="288"/>
      <c r="B215" s="279"/>
      <c r="C215" s="279"/>
      <c r="D215" s="275"/>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row>
    <row r="216" ht="15.75" customHeight="1">
      <c r="A216" s="288"/>
      <c r="B216" s="279"/>
      <c r="C216" s="279"/>
      <c r="D216" s="275"/>
      <c r="E216" s="279"/>
      <c r="F216" s="279"/>
      <c r="G216" s="279"/>
      <c r="H216" s="279"/>
      <c r="I216" s="279"/>
      <c r="J216" s="279"/>
      <c r="K216" s="279"/>
      <c r="L216" s="279"/>
      <c r="M216" s="279"/>
      <c r="N216" s="279"/>
      <c r="O216" s="279"/>
      <c r="P216" s="279"/>
      <c r="Q216" s="279"/>
      <c r="R216" s="279"/>
      <c r="S216" s="279"/>
      <c r="T216" s="279"/>
      <c r="U216" s="279"/>
      <c r="V216" s="279"/>
      <c r="W216" s="279"/>
      <c r="X216" s="279"/>
      <c r="Y216" s="279"/>
      <c r="Z216" s="279"/>
    </row>
    <row r="217" ht="15.75" customHeight="1">
      <c r="A217" s="288"/>
      <c r="B217" s="279"/>
      <c r="C217" s="279"/>
      <c r="D217" s="275"/>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row>
    <row r="218" ht="15.75" customHeight="1">
      <c r="A218" s="288"/>
      <c r="B218" s="279"/>
      <c r="C218" s="279"/>
      <c r="D218" s="275"/>
      <c r="E218" s="279"/>
      <c r="F218" s="279"/>
      <c r="G218" s="279"/>
      <c r="H218" s="279"/>
      <c r="I218" s="279"/>
      <c r="J218" s="279"/>
      <c r="K218" s="279"/>
      <c r="L218" s="279"/>
      <c r="M218" s="279"/>
      <c r="N218" s="279"/>
      <c r="O218" s="279"/>
      <c r="P218" s="279"/>
      <c r="Q218" s="279"/>
      <c r="R218" s="279"/>
      <c r="S218" s="279"/>
      <c r="T218" s="279"/>
      <c r="U218" s="279"/>
      <c r="V218" s="279"/>
      <c r="W218" s="279"/>
      <c r="X218" s="279"/>
      <c r="Y218" s="279"/>
      <c r="Z218" s="279"/>
    </row>
    <row r="219" ht="15.75" customHeight="1">
      <c r="A219" s="288"/>
      <c r="B219" s="279"/>
      <c r="C219" s="279"/>
      <c r="D219" s="275"/>
      <c r="E219" s="279"/>
      <c r="F219" s="279"/>
      <c r="G219" s="279"/>
      <c r="H219" s="279"/>
      <c r="I219" s="279"/>
      <c r="J219" s="279"/>
      <c r="K219" s="279"/>
      <c r="L219" s="279"/>
      <c r="M219" s="279"/>
      <c r="N219" s="279"/>
      <c r="O219" s="279"/>
      <c r="P219" s="279"/>
      <c r="Q219" s="279"/>
      <c r="R219" s="279"/>
      <c r="S219" s="279"/>
      <c r="T219" s="279"/>
      <c r="U219" s="279"/>
      <c r="V219" s="279"/>
      <c r="W219" s="279"/>
      <c r="X219" s="279"/>
      <c r="Y219" s="279"/>
      <c r="Z219" s="279"/>
    </row>
    <row r="220" ht="15.75" customHeight="1">
      <c r="A220" s="288"/>
      <c r="B220" s="279"/>
      <c r="C220" s="279"/>
      <c r="D220" s="275"/>
      <c r="E220" s="279"/>
      <c r="F220" s="279"/>
      <c r="G220" s="279"/>
      <c r="H220" s="279"/>
      <c r="I220" s="279"/>
      <c r="J220" s="279"/>
      <c r="K220" s="279"/>
      <c r="L220" s="279"/>
      <c r="M220" s="279"/>
      <c r="N220" s="279"/>
      <c r="O220" s="279"/>
      <c r="P220" s="279"/>
      <c r="Q220" s="279"/>
      <c r="R220" s="279"/>
      <c r="S220" s="279"/>
      <c r="T220" s="279"/>
      <c r="U220" s="279"/>
      <c r="V220" s="279"/>
      <c r="W220" s="279"/>
      <c r="X220" s="279"/>
      <c r="Y220" s="279"/>
      <c r="Z220" s="279"/>
    </row>
    <row r="221" ht="15.75" customHeight="1">
      <c r="A221" s="288"/>
      <c r="B221" s="279"/>
      <c r="C221" s="279"/>
      <c r="D221" s="275"/>
      <c r="E221" s="279"/>
      <c r="F221" s="279"/>
      <c r="G221" s="279"/>
      <c r="H221" s="279"/>
      <c r="I221" s="279"/>
      <c r="J221" s="279"/>
      <c r="K221" s="279"/>
      <c r="L221" s="279"/>
      <c r="M221" s="279"/>
      <c r="N221" s="279"/>
      <c r="O221" s="279"/>
      <c r="P221" s="279"/>
      <c r="Q221" s="279"/>
      <c r="R221" s="279"/>
      <c r="S221" s="279"/>
      <c r="T221" s="279"/>
      <c r="U221" s="279"/>
      <c r="V221" s="279"/>
      <c r="W221" s="279"/>
      <c r="X221" s="279"/>
      <c r="Y221" s="279"/>
      <c r="Z221" s="279"/>
    </row>
    <row r="222" ht="15.75" customHeight="1">
      <c r="A222" s="288"/>
      <c r="B222" s="279"/>
      <c r="C222" s="279"/>
      <c r="D222" s="275"/>
      <c r="E222" s="279"/>
      <c r="F222" s="279"/>
      <c r="G222" s="279"/>
      <c r="H222" s="279"/>
      <c r="I222" s="279"/>
      <c r="J222" s="279"/>
      <c r="K222" s="279"/>
      <c r="L222" s="279"/>
      <c r="M222" s="279"/>
      <c r="N222" s="279"/>
      <c r="O222" s="279"/>
      <c r="P222" s="279"/>
      <c r="Q222" s="279"/>
      <c r="R222" s="279"/>
      <c r="S222" s="279"/>
      <c r="T222" s="279"/>
      <c r="U222" s="279"/>
      <c r="V222" s="279"/>
      <c r="W222" s="279"/>
      <c r="X222" s="279"/>
      <c r="Y222" s="279"/>
      <c r="Z222" s="279"/>
    </row>
    <row r="223" ht="15.75" customHeight="1">
      <c r="A223" s="288"/>
      <c r="B223" s="279"/>
      <c r="C223" s="279"/>
      <c r="D223" s="275"/>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row>
    <row r="224" ht="15.75" customHeight="1">
      <c r="A224" s="288"/>
      <c r="B224" s="279"/>
      <c r="C224" s="279"/>
      <c r="D224" s="275"/>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row>
    <row r="225" ht="15.75" customHeight="1">
      <c r="A225" s="288"/>
      <c r="B225" s="279"/>
      <c r="C225" s="279"/>
      <c r="D225" s="275"/>
      <c r="E225" s="279"/>
      <c r="F225" s="279"/>
      <c r="G225" s="279"/>
      <c r="H225" s="279"/>
      <c r="I225" s="279"/>
      <c r="J225" s="279"/>
      <c r="K225" s="279"/>
      <c r="L225" s="279"/>
      <c r="M225" s="279"/>
      <c r="N225" s="279"/>
      <c r="O225" s="279"/>
      <c r="P225" s="279"/>
      <c r="Q225" s="279"/>
      <c r="R225" s="279"/>
      <c r="S225" s="279"/>
      <c r="T225" s="279"/>
      <c r="U225" s="279"/>
      <c r="V225" s="279"/>
      <c r="W225" s="279"/>
      <c r="X225" s="279"/>
      <c r="Y225" s="279"/>
      <c r="Z225" s="279"/>
    </row>
    <row r="226" ht="15.7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5.7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5.7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5.7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5.7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5.7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5.7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5.7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5.7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5.7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5.7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5.7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5.7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5.7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5.7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5.7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5.7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5.7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5.7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5.7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5.7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5.7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5.7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5.7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5.7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5.7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5.7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5.7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5.7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5.7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5.7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5.7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5.7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5.7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5.7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5.7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5.7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5.7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5.7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5.7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5.7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5.7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5.7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5.7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5.7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5.7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5.7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5.7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5.7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5.7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5.7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5.7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5.7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5.7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5.7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5.7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5.7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5.7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5.7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5.7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5.7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5.7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5.7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5.7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5.7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5.7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5.7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5.7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5.7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5.7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5.7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5.7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5.7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5.7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5.7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5.7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5.7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5.7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5.7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5.7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5.7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5.7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5.7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5.7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5.7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5.7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5.7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5.7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5.7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5.7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5.7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5.7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5.7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5.7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5.7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5.7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5.7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5.7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5.7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5.7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5.7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5.7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5.7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5.7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5.7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5.7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5.7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5.7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5.7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5.7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5.7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5.7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5.7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5.7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5.7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5.7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5.7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5.7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5.7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5.7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5.7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5.7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5.7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5.7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5.7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5.7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5.7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5.7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5.7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5.7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5.7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5.7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5.7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5.7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5.7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5.7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5.7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5.7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5.7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5.7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5.7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5.7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5.7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5.7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5.7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5.7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5.7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5.7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5.7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5.7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5.7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5.7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5.7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5.7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5.7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5.7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5.7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5.7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5.7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5.7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5.7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5.7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5.7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ht="15.7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ht="15.7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ht="15.7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ht="15.7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ht="15.7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ht="15.7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ht="15.7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ht="15.7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ht="15.7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ht="15.7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ht="15.7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ht="15.7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ht="15.7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ht="15.7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ht="15.7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ht="15.7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ht="15.7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ht="15.7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ht="15.7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ht="15.7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ht="15.7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ht="15.7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ht="15.7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ht="15.7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ht="15.7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ht="15.7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ht="15.7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ht="15.7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ht="15.7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ht="15.7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ht="15.7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ht="15.7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ht="15.7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ht="15.7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ht="15.7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ht="15.7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ht="15.7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ht="15.7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ht="15.7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ht="15.7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ht="15.7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ht="15.7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ht="15.7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ht="15.7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ht="15.7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ht="15.7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ht="15.7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ht="15.7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ht="15.7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ht="15.7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ht="15.7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ht="15.7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ht="15.7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ht="15.7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ht="15.7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ht="15.7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ht="15.7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ht="15.7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ht="15.7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ht="15.7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ht="15.7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ht="15.7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ht="15.7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ht="15.7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ht="15.7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ht="15.7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ht="15.7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ht="15.7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ht="15.7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ht="15.7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ht="15.7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ht="15.7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ht="15.7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ht="15.7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ht="15.7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ht="15.7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ht="15.7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ht="15.7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ht="15.7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ht="15.7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ht="15.7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ht="15.7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ht="15.7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ht="15.7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ht="15.7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ht="15.7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ht="15.7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ht="15.7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ht="15.7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ht="15.7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ht="15.7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ht="15.7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ht="15.7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ht="15.7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ht="15.7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ht="15.7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ht="15.7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ht="15.7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ht="15.7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ht="15.7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ht="15.7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ht="15.7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ht="15.7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ht="15.7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ht="15.7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ht="15.7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ht="15.7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ht="15.7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ht="15.7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ht="15.7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ht="15.7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ht="15.7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ht="15.7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ht="15.7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ht="15.7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ht="15.7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ht="15.7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ht="15.7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ht="15.7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ht="15.7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ht="15.7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ht="15.7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ht="15.7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ht="15.7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ht="15.7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ht="15.7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ht="15.7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ht="15.7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ht="15.7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ht="15.7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ht="15.7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ht="15.7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ht="15.7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ht="15.7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ht="15.7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ht="15.7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ht="15.7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ht="15.7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ht="15.7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ht="15.7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ht="15.7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ht="15.7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ht="15.7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ht="15.7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ht="15.7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ht="15.7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ht="15.7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ht="15.7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ht="15.7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ht="15.7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ht="15.7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ht="15.7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ht="15.7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ht="15.7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ht="15.7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ht="15.7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ht="15.7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ht="15.7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ht="15.7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ht="15.7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ht="15.7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ht="15.7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ht="15.7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ht="15.7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ht="15.7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ht="15.7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ht="15.7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ht="15.7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ht="15.7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ht="15.7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ht="15.7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ht="15.7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ht="15.7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ht="15.7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ht="15.7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ht="15.7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ht="15.7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ht="15.7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ht="15.7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ht="15.7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ht="15.7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ht="15.7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ht="15.7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ht="15.7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ht="15.7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ht="15.7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ht="15.7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ht="15.7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ht="15.7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ht="15.7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ht="15.7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ht="15.7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ht="15.7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ht="15.7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ht="15.7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ht="15.7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ht="15.7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ht="15.7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ht="15.7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ht="15.7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ht="15.7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ht="15.7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ht="15.7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ht="15.7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ht="15.7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ht="15.7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ht="15.7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ht="15.7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ht="15.7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ht="15.7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ht="15.7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ht="15.7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ht="15.7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ht="15.7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ht="15.7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ht="15.7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ht="15.7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ht="15.7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ht="15.7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ht="15.7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ht="15.7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ht="15.7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ht="15.7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ht="15.7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ht="15.7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ht="15.7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ht="15.7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ht="15.7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ht="15.7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ht="15.7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ht="15.7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ht="15.7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ht="15.7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ht="15.7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ht="15.7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ht="15.7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ht="15.7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ht="15.7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ht="15.7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ht="15.7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ht="15.7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ht="15.7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ht="15.7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ht="15.7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ht="15.7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ht="15.7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ht="15.7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ht="15.7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ht="15.7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ht="15.7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ht="15.7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ht="15.7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ht="15.7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ht="15.7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ht="15.7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ht="15.7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ht="15.7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ht="15.7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ht="15.7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ht="15.7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ht="15.7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ht="15.7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ht="15.7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ht="15.7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ht="15.7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ht="15.7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ht="15.7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ht="15.7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ht="15.7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ht="15.7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ht="15.7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ht="15.7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ht="15.7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ht="15.7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ht="15.7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ht="15.7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ht="15.7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ht="15.7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ht="15.7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ht="15.7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ht="15.7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ht="15.7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ht="15.7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ht="15.7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ht="15.7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ht="15.7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ht="15.7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ht="15.7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ht="15.7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ht="15.7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ht="15.7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ht="15.7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ht="15.7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ht="15.7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ht="15.7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ht="15.7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ht="15.7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ht="15.7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ht="15.7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ht="15.7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ht="15.7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ht="15.7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ht="15.7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ht="15.7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ht="15.7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ht="15.7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ht="15.7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ht="15.7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ht="15.7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ht="15.7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ht="15.7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ht="15.7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ht="15.7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ht="15.7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ht="15.7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ht="15.7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ht="15.7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ht="15.7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ht="15.7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ht="15.7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ht="15.7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ht="15.7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ht="15.7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ht="15.7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ht="15.7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ht="15.7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ht="15.7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ht="15.7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ht="15.7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ht="15.7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ht="15.7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ht="15.7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ht="15.7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ht="15.7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ht="15.7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ht="15.7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ht="15.7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ht="15.7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ht="15.7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ht="15.7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ht="15.7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ht="15.7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ht="15.7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ht="15.7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ht="15.7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ht="15.7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ht="15.7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ht="15.7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ht="15.7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ht="15.7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ht="15.7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ht="15.7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ht="15.7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ht="15.7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ht="15.7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ht="15.7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ht="15.7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ht="15.7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ht="15.7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ht="15.7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ht="15.7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ht="15.7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ht="15.7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ht="15.7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ht="15.7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ht="15.7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ht="15.7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ht="15.7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ht="15.7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ht="15.7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ht="15.7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ht="15.7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ht="15.7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ht="15.7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ht="15.7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ht="15.7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ht="15.7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ht="15.7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ht="15.7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ht="15.7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ht="15.7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ht="15.7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ht="15.7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ht="15.7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ht="15.7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ht="15.7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ht="15.7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ht="15.7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ht="15.7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ht="15.7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ht="15.7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ht="15.7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ht="15.7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ht="15.7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ht="15.7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ht="15.7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ht="15.7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ht="15.7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ht="15.7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ht="15.7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ht="15.7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ht="15.7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ht="15.7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ht="15.7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ht="15.7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ht="15.7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ht="15.7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ht="15.7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ht="15.7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ht="15.7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ht="15.7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ht="15.7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ht="15.7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ht="15.7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ht="15.7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ht="15.7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ht="15.7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ht="15.7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ht="15.7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ht="15.7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ht="15.7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ht="15.7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ht="15.7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ht="15.7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ht="15.7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ht="15.7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ht="15.7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ht="15.7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ht="15.7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ht="15.7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ht="15.7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ht="15.7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ht="15.7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ht="15.7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ht="15.7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ht="15.7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ht="15.7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ht="15.7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ht="15.7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ht="15.7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ht="15.7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ht="15.7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ht="15.7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ht="15.7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ht="15.7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ht="15.7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ht="15.7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ht="15.7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ht="15.7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ht="15.7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ht="15.7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ht="15.7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ht="15.7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ht="15.7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ht="15.7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ht="15.7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ht="15.7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ht="15.7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ht="15.7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ht="15.7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ht="15.7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ht="15.7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ht="15.7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ht="15.7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ht="15.7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ht="15.7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ht="15.7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ht="15.7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ht="15.7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ht="15.7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ht="15.7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ht="15.7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ht="15.7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ht="15.7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ht="15.7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ht="15.7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ht="15.7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ht="15.7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ht="15.7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ht="15.7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ht="15.7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ht="15.7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row r="1001" ht="15.75" customHeight="1">
      <c r="A1001" s="110"/>
      <c r="B1001" s="110"/>
      <c r="C1001" s="110"/>
      <c r="D1001" s="110"/>
      <c r="E1001" s="110"/>
      <c r="F1001" s="110"/>
      <c r="G1001" s="110"/>
      <c r="H1001" s="110"/>
      <c r="I1001" s="110"/>
      <c r="J1001" s="110"/>
      <c r="K1001" s="110"/>
      <c r="L1001" s="110"/>
      <c r="M1001" s="110"/>
      <c r="N1001" s="110"/>
      <c r="O1001" s="110"/>
      <c r="P1001" s="110"/>
      <c r="Q1001" s="110"/>
      <c r="R1001" s="110"/>
      <c r="S1001" s="110"/>
      <c r="T1001" s="110"/>
      <c r="U1001" s="110"/>
      <c r="V1001" s="110"/>
      <c r="W1001" s="110"/>
      <c r="X1001" s="110"/>
      <c r="Y1001" s="110"/>
      <c r="Z1001" s="110"/>
    </row>
    <row r="1002" ht="15.75" customHeight="1">
      <c r="A1002" s="110"/>
      <c r="B1002" s="110"/>
      <c r="C1002" s="110"/>
      <c r="D1002" s="110"/>
      <c r="E1002" s="110"/>
      <c r="F1002" s="110"/>
      <c r="G1002" s="110"/>
      <c r="H1002" s="110"/>
      <c r="I1002" s="110"/>
      <c r="J1002" s="110"/>
      <c r="K1002" s="110"/>
      <c r="L1002" s="110"/>
      <c r="M1002" s="110"/>
      <c r="N1002" s="110"/>
      <c r="O1002" s="110"/>
      <c r="P1002" s="110"/>
      <c r="Q1002" s="110"/>
      <c r="R1002" s="110"/>
      <c r="S1002" s="110"/>
      <c r="T1002" s="110"/>
      <c r="U1002" s="110"/>
      <c r="V1002" s="110"/>
      <c r="W1002" s="110"/>
      <c r="X1002" s="110"/>
      <c r="Y1002" s="110"/>
      <c r="Z1002" s="110"/>
    </row>
    <row r="1003" ht="15.75" customHeight="1">
      <c r="A1003" s="110"/>
      <c r="B1003" s="110"/>
      <c r="C1003" s="110"/>
      <c r="D1003" s="110"/>
      <c r="E1003" s="110"/>
      <c r="F1003" s="110"/>
      <c r="G1003" s="110"/>
      <c r="H1003" s="110"/>
      <c r="I1003" s="110"/>
      <c r="J1003" s="110"/>
      <c r="K1003" s="110"/>
      <c r="L1003" s="110"/>
      <c r="M1003" s="110"/>
      <c r="N1003" s="110"/>
      <c r="O1003" s="110"/>
      <c r="P1003" s="110"/>
      <c r="Q1003" s="110"/>
      <c r="R1003" s="110"/>
      <c r="S1003" s="110"/>
      <c r="T1003" s="110"/>
      <c r="U1003" s="110"/>
      <c r="V1003" s="110"/>
      <c r="W1003" s="110"/>
      <c r="X1003" s="110"/>
      <c r="Y1003" s="110"/>
      <c r="Z1003" s="110"/>
    </row>
    <row r="1004" ht="15.75" customHeight="1">
      <c r="A1004" s="110"/>
      <c r="B1004" s="110"/>
      <c r="C1004" s="110"/>
      <c r="D1004" s="110"/>
      <c r="E1004" s="110"/>
      <c r="F1004" s="110"/>
      <c r="G1004" s="110"/>
      <c r="H1004" s="110"/>
      <c r="I1004" s="110"/>
      <c r="J1004" s="110"/>
      <c r="K1004" s="110"/>
      <c r="L1004" s="110"/>
      <c r="M1004" s="110"/>
      <c r="N1004" s="110"/>
      <c r="O1004" s="110"/>
      <c r="P1004" s="110"/>
      <c r="Q1004" s="110"/>
      <c r="R1004" s="110"/>
      <c r="S1004" s="110"/>
      <c r="T1004" s="110"/>
      <c r="U1004" s="110"/>
      <c r="V1004" s="110"/>
      <c r="W1004" s="110"/>
      <c r="X1004" s="110"/>
      <c r="Y1004" s="110"/>
      <c r="Z1004" s="110"/>
    </row>
    <row r="1005" ht="15.75" customHeight="1">
      <c r="A1005" s="110"/>
      <c r="B1005" s="110"/>
      <c r="C1005" s="110"/>
      <c r="D1005" s="110"/>
      <c r="E1005" s="110"/>
      <c r="F1005" s="110"/>
      <c r="G1005" s="110"/>
      <c r="H1005" s="110"/>
      <c r="I1005" s="110"/>
      <c r="J1005" s="110"/>
      <c r="K1005" s="110"/>
      <c r="L1005" s="110"/>
      <c r="M1005" s="110"/>
      <c r="N1005" s="110"/>
      <c r="O1005" s="110"/>
      <c r="P1005" s="110"/>
      <c r="Q1005" s="110"/>
      <c r="R1005" s="110"/>
      <c r="S1005" s="110"/>
      <c r="T1005" s="110"/>
      <c r="U1005" s="110"/>
      <c r="V1005" s="110"/>
      <c r="W1005" s="110"/>
      <c r="X1005" s="110"/>
      <c r="Y1005" s="110"/>
      <c r="Z1005" s="110"/>
    </row>
  </sheetData>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64.5"/>
    <col customWidth="1" min="2" max="2" width="16.75"/>
    <col customWidth="1" min="3" max="3" width="41.63"/>
    <col customWidth="1" min="4" max="4" width="32.75"/>
    <col customWidth="1" min="5" max="5" width="18.13"/>
  </cols>
  <sheetData>
    <row r="1">
      <c r="A1" s="290" t="s">
        <v>4016</v>
      </c>
      <c r="B1" s="190" t="s">
        <v>4017</v>
      </c>
      <c r="C1" s="290" t="s">
        <v>4018</v>
      </c>
      <c r="D1" s="290" t="s">
        <v>4019</v>
      </c>
      <c r="E1" s="190" t="s">
        <v>4020</v>
      </c>
    </row>
    <row r="2">
      <c r="A2" s="291" t="s">
        <v>4021</v>
      </c>
      <c r="B2" s="291" t="s">
        <v>3326</v>
      </c>
      <c r="C2" s="58" t="s">
        <v>4022</v>
      </c>
      <c r="D2" s="291" t="s">
        <v>4023</v>
      </c>
      <c r="E2" s="292" t="s">
        <v>4024</v>
      </c>
    </row>
    <row r="3">
      <c r="A3" s="291" t="s">
        <v>4025</v>
      </c>
      <c r="B3" s="291" t="s">
        <v>4026</v>
      </c>
      <c r="C3" s="58" t="s">
        <v>4027</v>
      </c>
      <c r="D3" s="291" t="s">
        <v>4028</v>
      </c>
      <c r="E3" s="293" t="s">
        <v>4029</v>
      </c>
    </row>
    <row r="4">
      <c r="A4" s="291" t="s">
        <v>4030</v>
      </c>
      <c r="B4" s="291" t="s">
        <v>4031</v>
      </c>
      <c r="C4" s="58" t="s">
        <v>4032</v>
      </c>
      <c r="D4" s="291" t="s">
        <v>4033</v>
      </c>
      <c r="E4" s="292" t="s">
        <v>4034</v>
      </c>
    </row>
    <row r="5">
      <c r="A5" s="291" t="s">
        <v>4035</v>
      </c>
      <c r="B5" s="291" t="s">
        <v>4026</v>
      </c>
      <c r="C5" s="58" t="s">
        <v>4036</v>
      </c>
      <c r="D5" s="291" t="s">
        <v>4037</v>
      </c>
      <c r="E5" s="293" t="s">
        <v>4038</v>
      </c>
    </row>
    <row r="6">
      <c r="A6" s="291" t="s">
        <v>4039</v>
      </c>
      <c r="B6" s="291" t="s">
        <v>4026</v>
      </c>
      <c r="C6" s="58" t="s">
        <v>4040</v>
      </c>
      <c r="D6" s="291" t="s">
        <v>4041</v>
      </c>
      <c r="E6" s="292" t="s">
        <v>4042</v>
      </c>
    </row>
    <row r="7">
      <c r="A7" s="291" t="s">
        <v>4043</v>
      </c>
      <c r="B7" s="291" t="s">
        <v>4026</v>
      </c>
      <c r="C7" s="58" t="s">
        <v>4044</v>
      </c>
      <c r="D7" s="291" t="s">
        <v>4045</v>
      </c>
      <c r="E7" s="293" t="s">
        <v>4046</v>
      </c>
    </row>
    <row r="8">
      <c r="A8" s="294" t="s">
        <v>4047</v>
      </c>
      <c r="B8" s="291" t="s">
        <v>4026</v>
      </c>
      <c r="C8" s="58" t="s">
        <v>4048</v>
      </c>
      <c r="D8" s="291" t="s">
        <v>4049</v>
      </c>
      <c r="E8" s="292" t="s">
        <v>4050</v>
      </c>
    </row>
    <row r="9">
      <c r="A9" s="291" t="s">
        <v>4051</v>
      </c>
      <c r="B9" s="291" t="s">
        <v>4026</v>
      </c>
      <c r="C9" s="58" t="s">
        <v>4052</v>
      </c>
      <c r="D9" s="291" t="s">
        <v>4053</v>
      </c>
      <c r="E9" s="295" t="s">
        <v>4054</v>
      </c>
    </row>
    <row r="10">
      <c r="A10" s="291" t="s">
        <v>4055</v>
      </c>
      <c r="B10" s="291" t="s">
        <v>3326</v>
      </c>
      <c r="C10" s="58" t="s">
        <v>4056</v>
      </c>
      <c r="D10" s="291" t="s">
        <v>4057</v>
      </c>
      <c r="E10" s="293" t="s">
        <v>4058</v>
      </c>
    </row>
    <row r="11">
      <c r="A11" s="291" t="s">
        <v>4059</v>
      </c>
      <c r="B11" s="291" t="s">
        <v>4031</v>
      </c>
      <c r="C11" s="58"/>
      <c r="D11" s="291" t="s">
        <v>4060</v>
      </c>
      <c r="E11" s="293" t="s">
        <v>4061</v>
      </c>
      <c r="F11" s="296" t="s">
        <v>4062</v>
      </c>
    </row>
    <row r="12">
      <c r="A12" s="291" t="s">
        <v>4063</v>
      </c>
      <c r="B12" s="291" t="s">
        <v>4031</v>
      </c>
      <c r="C12" s="58" t="s">
        <v>4064</v>
      </c>
      <c r="D12" s="291" t="s">
        <v>4065</v>
      </c>
      <c r="E12" s="293" t="s">
        <v>4066</v>
      </c>
    </row>
    <row r="13">
      <c r="A13" s="291" t="s">
        <v>4067</v>
      </c>
      <c r="B13" s="291" t="s">
        <v>4026</v>
      </c>
      <c r="C13" s="58" t="s">
        <v>4068</v>
      </c>
      <c r="D13" s="291" t="s">
        <v>4045</v>
      </c>
      <c r="E13" s="293" t="s">
        <v>4069</v>
      </c>
    </row>
    <row r="14">
      <c r="A14" s="291" t="s">
        <v>4070</v>
      </c>
      <c r="B14" s="291" t="s">
        <v>4026</v>
      </c>
      <c r="C14" s="58" t="s">
        <v>4071</v>
      </c>
      <c r="D14" s="291" t="s">
        <v>4072</v>
      </c>
      <c r="E14" s="293" t="s">
        <v>4073</v>
      </c>
    </row>
    <row r="15">
      <c r="A15" s="291" t="s">
        <v>4074</v>
      </c>
      <c r="B15" s="291" t="s">
        <v>3326</v>
      </c>
      <c r="C15" s="58" t="s">
        <v>4075</v>
      </c>
      <c r="D15" s="291" t="s">
        <v>2043</v>
      </c>
      <c r="E15" s="295" t="s">
        <v>4076</v>
      </c>
    </row>
    <row r="16">
      <c r="A16" s="291" t="s">
        <v>4077</v>
      </c>
      <c r="B16" s="291" t="s">
        <v>4026</v>
      </c>
      <c r="C16" s="58" t="s">
        <v>4078</v>
      </c>
      <c r="D16" s="291" t="s">
        <v>1668</v>
      </c>
      <c r="E16" s="295" t="s">
        <v>4079</v>
      </c>
    </row>
    <row r="17">
      <c r="A17" s="291" t="s">
        <v>4080</v>
      </c>
      <c r="B17" s="291" t="s">
        <v>4026</v>
      </c>
      <c r="C17" s="58" t="s">
        <v>4081</v>
      </c>
      <c r="D17" s="291" t="s">
        <v>4082</v>
      </c>
      <c r="E17" s="293" t="s">
        <v>4083</v>
      </c>
    </row>
    <row r="18">
      <c r="A18" s="291" t="s">
        <v>4084</v>
      </c>
      <c r="B18" s="291" t="s">
        <v>4026</v>
      </c>
      <c r="C18" s="58" t="s">
        <v>4085</v>
      </c>
      <c r="D18" s="291" t="s">
        <v>2160</v>
      </c>
      <c r="E18" s="295" t="s">
        <v>4086</v>
      </c>
    </row>
    <row r="19">
      <c r="A19" s="291" t="s">
        <v>4087</v>
      </c>
      <c r="B19" s="291" t="s">
        <v>3326</v>
      </c>
      <c r="C19" s="58" t="s">
        <v>4088</v>
      </c>
      <c r="D19" s="291" t="s">
        <v>4089</v>
      </c>
      <c r="E19" s="292" t="s">
        <v>4090</v>
      </c>
    </row>
    <row r="20">
      <c r="A20" s="291" t="s">
        <v>4091</v>
      </c>
      <c r="B20" s="291" t="s">
        <v>4026</v>
      </c>
      <c r="C20" s="58" t="s">
        <v>4092</v>
      </c>
      <c r="D20" s="291" t="s">
        <v>1668</v>
      </c>
      <c r="E20" s="295" t="s">
        <v>4093</v>
      </c>
    </row>
    <row r="21">
      <c r="A21" s="291" t="s">
        <v>4094</v>
      </c>
      <c r="B21" s="291" t="s">
        <v>4026</v>
      </c>
      <c r="C21" s="58" t="s">
        <v>4095</v>
      </c>
      <c r="D21" s="291" t="s">
        <v>4096</v>
      </c>
      <c r="E21" s="295" t="s">
        <v>4097</v>
      </c>
    </row>
    <row r="22">
      <c r="A22" s="291" t="s">
        <v>4098</v>
      </c>
      <c r="B22" s="291" t="s">
        <v>4026</v>
      </c>
      <c r="C22" s="58" t="s">
        <v>4099</v>
      </c>
      <c r="D22" s="291" t="s">
        <v>4100</v>
      </c>
      <c r="E22" s="251" t="s">
        <v>4101</v>
      </c>
    </row>
    <row r="23">
      <c r="A23" s="291" t="s">
        <v>4102</v>
      </c>
      <c r="B23" s="291" t="s">
        <v>4026</v>
      </c>
      <c r="C23" s="58" t="s">
        <v>4103</v>
      </c>
      <c r="D23" s="291" t="s">
        <v>1686</v>
      </c>
      <c r="E23" s="251" t="s">
        <v>4104</v>
      </c>
    </row>
    <row r="24">
      <c r="A24" s="291" t="s">
        <v>4105</v>
      </c>
      <c r="B24" s="291" t="s">
        <v>4026</v>
      </c>
      <c r="C24" s="58" t="s">
        <v>4106</v>
      </c>
      <c r="D24" s="297" t="s">
        <v>4107</v>
      </c>
      <c r="E24" s="293" t="s">
        <v>4108</v>
      </c>
    </row>
    <row r="25">
      <c r="A25" s="291" t="s">
        <v>4109</v>
      </c>
      <c r="B25" s="291" t="s">
        <v>4026</v>
      </c>
      <c r="C25" s="58" t="s">
        <v>4110</v>
      </c>
      <c r="D25" s="291" t="s">
        <v>4111</v>
      </c>
      <c r="E25" s="295" t="s">
        <v>4112</v>
      </c>
    </row>
    <row r="26">
      <c r="A26" s="291" t="s">
        <v>4113</v>
      </c>
      <c r="B26" s="291" t="s">
        <v>4026</v>
      </c>
      <c r="C26" s="58" t="s">
        <v>4114</v>
      </c>
      <c r="D26" s="291" t="s">
        <v>4115</v>
      </c>
      <c r="E26" s="293" t="s">
        <v>4116</v>
      </c>
    </row>
    <row r="27">
      <c r="A27" s="291" t="s">
        <v>4117</v>
      </c>
      <c r="B27" s="291" t="s">
        <v>4026</v>
      </c>
      <c r="C27" s="58" t="s">
        <v>4118</v>
      </c>
      <c r="D27" s="291" t="s">
        <v>1668</v>
      </c>
      <c r="E27" s="293" t="s">
        <v>4119</v>
      </c>
    </row>
    <row r="28">
      <c r="A28" s="291" t="s">
        <v>4120</v>
      </c>
      <c r="B28" s="291" t="s">
        <v>4026</v>
      </c>
      <c r="C28" s="58" t="s">
        <v>4121</v>
      </c>
      <c r="D28" s="291" t="s">
        <v>4122</v>
      </c>
      <c r="E28" s="293" t="s">
        <v>4123</v>
      </c>
    </row>
    <row r="29">
      <c r="A29" s="291" t="s">
        <v>4124</v>
      </c>
      <c r="B29" s="291" t="s">
        <v>4026</v>
      </c>
      <c r="C29" s="58" t="s">
        <v>4125</v>
      </c>
      <c r="D29" s="291" t="s">
        <v>4126</v>
      </c>
      <c r="E29" s="293" t="s">
        <v>4127</v>
      </c>
    </row>
    <row r="30">
      <c r="A30" s="291" t="s">
        <v>4128</v>
      </c>
      <c r="B30" s="291" t="s">
        <v>4026</v>
      </c>
      <c r="C30" s="58" t="s">
        <v>4129</v>
      </c>
      <c r="D30" s="291" t="s">
        <v>2077</v>
      </c>
      <c r="E30" s="293" t="s">
        <v>4130</v>
      </c>
    </row>
    <row r="31">
      <c r="A31" s="291" t="s">
        <v>4131</v>
      </c>
      <c r="B31" s="291" t="s">
        <v>4026</v>
      </c>
      <c r="C31" s="58" t="s">
        <v>4132</v>
      </c>
      <c r="D31" s="291" t="s">
        <v>4133</v>
      </c>
      <c r="E31" s="293" t="s">
        <v>4134</v>
      </c>
    </row>
    <row r="32">
      <c r="A32" s="291" t="s">
        <v>4135</v>
      </c>
      <c r="B32" s="291" t="s">
        <v>4026</v>
      </c>
      <c r="C32" s="58" t="s">
        <v>105</v>
      </c>
      <c r="D32" s="291" t="s">
        <v>4136</v>
      </c>
      <c r="E32" s="58" t="s">
        <v>105</v>
      </c>
    </row>
    <row r="33">
      <c r="A33" s="291" t="s">
        <v>4137</v>
      </c>
      <c r="B33" s="291" t="s">
        <v>3326</v>
      </c>
      <c r="C33" s="58" t="s">
        <v>4138</v>
      </c>
      <c r="D33" s="291" t="s">
        <v>4139</v>
      </c>
      <c r="E33" s="293" t="s">
        <v>4140</v>
      </c>
    </row>
    <row r="34">
      <c r="A34" s="291" t="s">
        <v>4141</v>
      </c>
      <c r="B34" s="291" t="s">
        <v>4026</v>
      </c>
      <c r="C34" s="58" t="s">
        <v>4142</v>
      </c>
      <c r="D34" s="291" t="s">
        <v>4122</v>
      </c>
      <c r="E34" s="293" t="s">
        <v>4143</v>
      </c>
    </row>
    <row r="35">
      <c r="A35" s="291" t="s">
        <v>4144</v>
      </c>
      <c r="B35" s="291" t="s">
        <v>3326</v>
      </c>
      <c r="C35" s="58" t="s">
        <v>4145</v>
      </c>
      <c r="D35" s="291" t="s">
        <v>4037</v>
      </c>
      <c r="E35" s="293" t="s">
        <v>4146</v>
      </c>
    </row>
    <row r="36">
      <c r="A36" s="291" t="s">
        <v>4147</v>
      </c>
      <c r="B36" s="291" t="s">
        <v>4026</v>
      </c>
      <c r="C36" s="58" t="s">
        <v>4148</v>
      </c>
      <c r="D36" s="291" t="s">
        <v>4149</v>
      </c>
      <c r="E36" s="295" t="s">
        <v>4150</v>
      </c>
    </row>
    <row r="37">
      <c r="A37" s="291" t="s">
        <v>4151</v>
      </c>
      <c r="B37" s="291" t="s">
        <v>4026</v>
      </c>
      <c r="C37" s="58" t="s">
        <v>4152</v>
      </c>
      <c r="D37" s="291" t="s">
        <v>4153</v>
      </c>
      <c r="E37" s="292" t="s">
        <v>4154</v>
      </c>
    </row>
    <row r="38">
      <c r="A38" s="291" t="s">
        <v>4155</v>
      </c>
      <c r="B38" s="291" t="s">
        <v>4026</v>
      </c>
      <c r="C38" s="58" t="s">
        <v>4156</v>
      </c>
      <c r="D38" s="291" t="s">
        <v>2160</v>
      </c>
      <c r="E38" s="295" t="s">
        <v>4157</v>
      </c>
    </row>
    <row r="39">
      <c r="A39" s="291" t="s">
        <v>4158</v>
      </c>
      <c r="B39" s="291" t="s">
        <v>4026</v>
      </c>
      <c r="C39" s="58" t="s">
        <v>4159</v>
      </c>
      <c r="D39" s="298" t="s">
        <v>4160</v>
      </c>
      <c r="E39" s="293" t="s">
        <v>4161</v>
      </c>
    </row>
    <row r="40">
      <c r="A40" s="291" t="s">
        <v>4162</v>
      </c>
      <c r="B40" s="291" t="s">
        <v>4026</v>
      </c>
      <c r="C40" s="58" t="s">
        <v>4163</v>
      </c>
      <c r="D40" s="291" t="s">
        <v>4164</v>
      </c>
      <c r="E40" s="292" t="s">
        <v>4165</v>
      </c>
    </row>
    <row r="41">
      <c r="A41" s="291" t="s">
        <v>4166</v>
      </c>
      <c r="B41" s="291" t="s">
        <v>4026</v>
      </c>
      <c r="C41" s="58" t="s">
        <v>105</v>
      </c>
      <c r="D41" s="299" t="s">
        <v>4167</v>
      </c>
      <c r="E41" s="300" t="s">
        <v>4168</v>
      </c>
    </row>
    <row r="42">
      <c r="A42" s="291" t="s">
        <v>4169</v>
      </c>
      <c r="B42" s="291" t="s">
        <v>4026</v>
      </c>
      <c r="C42" s="58" t="s">
        <v>105</v>
      </c>
      <c r="D42" s="299" t="s">
        <v>4167</v>
      </c>
      <c r="E42" s="300" t="s">
        <v>4168</v>
      </c>
    </row>
    <row r="43">
      <c r="A43" s="291" t="s">
        <v>4170</v>
      </c>
      <c r="B43" s="291" t="s">
        <v>4026</v>
      </c>
      <c r="C43" s="58" t="s">
        <v>4171</v>
      </c>
      <c r="D43" s="299" t="s">
        <v>4167</v>
      </c>
      <c r="E43" s="293" t="s">
        <v>4172</v>
      </c>
    </row>
    <row r="44">
      <c r="A44" s="291" t="s">
        <v>4173</v>
      </c>
      <c r="B44" s="291" t="s">
        <v>4026</v>
      </c>
      <c r="C44" s="58" t="s">
        <v>4174</v>
      </c>
      <c r="D44" s="299" t="s">
        <v>4167</v>
      </c>
      <c r="E44" s="293" t="s">
        <v>4175</v>
      </c>
    </row>
    <row r="45">
      <c r="A45" s="291" t="s">
        <v>4176</v>
      </c>
      <c r="B45" s="291" t="s">
        <v>4026</v>
      </c>
      <c r="C45" s="58" t="s">
        <v>4177</v>
      </c>
      <c r="D45" s="291" t="s">
        <v>4164</v>
      </c>
      <c r="E45" s="301" t="s">
        <v>4178</v>
      </c>
    </row>
    <row r="46">
      <c r="A46" s="291" t="s">
        <v>4179</v>
      </c>
      <c r="B46" s="291" t="s">
        <v>4026</v>
      </c>
      <c r="C46" s="58" t="s">
        <v>4180</v>
      </c>
      <c r="D46" s="291" t="s">
        <v>4181</v>
      </c>
      <c r="E46" s="292" t="s">
        <v>4182</v>
      </c>
    </row>
    <row r="47">
      <c r="A47" s="291" t="s">
        <v>4183</v>
      </c>
      <c r="B47" s="291" t="s">
        <v>4026</v>
      </c>
      <c r="C47" s="58" t="s">
        <v>4184</v>
      </c>
      <c r="D47" s="291" t="s">
        <v>4164</v>
      </c>
      <c r="E47" s="301" t="s">
        <v>4185</v>
      </c>
    </row>
    <row r="48">
      <c r="A48" s="291" t="s">
        <v>4186</v>
      </c>
      <c r="B48" s="291" t="s">
        <v>4026</v>
      </c>
      <c r="C48" s="58"/>
      <c r="D48" s="291" t="s">
        <v>1889</v>
      </c>
      <c r="E48" s="302"/>
    </row>
    <row r="49">
      <c r="A49" s="291" t="s">
        <v>4187</v>
      </c>
      <c r="B49" s="291" t="s">
        <v>4026</v>
      </c>
      <c r="C49" s="58" t="s">
        <v>4188</v>
      </c>
      <c r="D49" s="291" t="s">
        <v>4189</v>
      </c>
      <c r="E49" s="293" t="s">
        <v>4190</v>
      </c>
    </row>
    <row r="50">
      <c r="A50" s="291" t="s">
        <v>4191</v>
      </c>
      <c r="B50" s="291" t="s">
        <v>4026</v>
      </c>
      <c r="C50" s="58" t="s">
        <v>4192</v>
      </c>
      <c r="D50" s="291" t="s">
        <v>4136</v>
      </c>
      <c r="E50" s="293" t="s">
        <v>4193</v>
      </c>
    </row>
    <row r="51">
      <c r="A51" s="291" t="s">
        <v>4194</v>
      </c>
      <c r="B51" s="291" t="s">
        <v>4026</v>
      </c>
      <c r="C51" s="58" t="s">
        <v>4195</v>
      </c>
      <c r="D51" s="291" t="s">
        <v>4196</v>
      </c>
      <c r="E51" s="301" t="s">
        <v>4197</v>
      </c>
    </row>
    <row r="52">
      <c r="A52" s="291" t="s">
        <v>4198</v>
      </c>
      <c r="B52" s="291" t="s">
        <v>4026</v>
      </c>
      <c r="C52" s="58" t="s">
        <v>105</v>
      </c>
      <c r="D52" s="299" t="s">
        <v>4167</v>
      </c>
      <c r="E52" s="300" t="s">
        <v>4168</v>
      </c>
    </row>
    <row r="53">
      <c r="A53" s="291" t="s">
        <v>4199</v>
      </c>
      <c r="B53" s="291" t="s">
        <v>4026</v>
      </c>
      <c r="C53" s="58" t="s">
        <v>4200</v>
      </c>
      <c r="D53" s="291" t="s">
        <v>4201</v>
      </c>
      <c r="E53" s="293" t="s">
        <v>4202</v>
      </c>
    </row>
    <row r="54">
      <c r="A54" s="291" t="s">
        <v>4203</v>
      </c>
      <c r="B54" s="291" t="s">
        <v>4026</v>
      </c>
      <c r="C54" s="58" t="s">
        <v>105</v>
      </c>
      <c r="D54" s="299" t="s">
        <v>4167</v>
      </c>
      <c r="E54" s="300" t="s">
        <v>4168</v>
      </c>
    </row>
    <row r="55">
      <c r="A55" s="291" t="s">
        <v>4204</v>
      </c>
      <c r="B55" s="291" t="s">
        <v>4026</v>
      </c>
      <c r="C55" s="58" t="s">
        <v>105</v>
      </c>
      <c r="D55" s="299" t="s">
        <v>4167</v>
      </c>
      <c r="E55" s="300" t="s">
        <v>4168</v>
      </c>
    </row>
    <row r="56">
      <c r="A56" s="291" t="s">
        <v>4205</v>
      </c>
      <c r="B56" s="291" t="s">
        <v>4031</v>
      </c>
      <c r="C56" s="58" t="s">
        <v>4206</v>
      </c>
      <c r="D56" s="291" t="s">
        <v>4207</v>
      </c>
      <c r="E56" s="293" t="s">
        <v>4208</v>
      </c>
    </row>
    <row r="57">
      <c r="A57" s="291" t="s">
        <v>4209</v>
      </c>
      <c r="B57" s="291" t="s">
        <v>4031</v>
      </c>
      <c r="C57" s="58" t="s">
        <v>4210</v>
      </c>
      <c r="D57" s="291" t="s">
        <v>4211</v>
      </c>
      <c r="E57" s="292" t="s">
        <v>4212</v>
      </c>
    </row>
    <row r="58">
      <c r="A58" s="303" t="s">
        <v>4213</v>
      </c>
      <c r="B58" s="291" t="s">
        <v>4031</v>
      </c>
      <c r="C58" s="303" t="s">
        <v>4214</v>
      </c>
      <c r="D58" s="298" t="s">
        <v>4160</v>
      </c>
      <c r="E58" s="293" t="s">
        <v>4215</v>
      </c>
    </row>
    <row r="59">
      <c r="A59" s="291" t="s">
        <v>4216</v>
      </c>
      <c r="B59" s="291" t="s">
        <v>4031</v>
      </c>
      <c r="C59" s="58" t="s">
        <v>4217</v>
      </c>
      <c r="D59" s="291" t="s">
        <v>4218</v>
      </c>
      <c r="E59" s="292" t="s">
        <v>4219</v>
      </c>
    </row>
    <row r="60">
      <c r="A60" s="291" t="s">
        <v>4220</v>
      </c>
      <c r="B60" s="291" t="s">
        <v>3326</v>
      </c>
      <c r="C60" s="58" t="s">
        <v>4221</v>
      </c>
      <c r="D60" s="304" t="s">
        <v>4222</v>
      </c>
      <c r="E60" s="293" t="s">
        <v>4223</v>
      </c>
    </row>
    <row r="61">
      <c r="A61" s="291" t="s">
        <v>4224</v>
      </c>
      <c r="B61" s="291" t="s">
        <v>4031</v>
      </c>
      <c r="C61" s="58" t="s">
        <v>4225</v>
      </c>
      <c r="D61" s="291" t="s">
        <v>4226</v>
      </c>
      <c r="E61" s="293" t="s">
        <v>4227</v>
      </c>
      <c r="F61" s="296" t="s">
        <v>4228</v>
      </c>
    </row>
    <row r="62">
      <c r="A62" s="291" t="s">
        <v>4229</v>
      </c>
      <c r="B62" s="291" t="s">
        <v>4026</v>
      </c>
      <c r="C62" s="58" t="s">
        <v>4230</v>
      </c>
      <c r="D62" s="291" t="s">
        <v>4231</v>
      </c>
      <c r="E62" s="293" t="s">
        <v>4232</v>
      </c>
    </row>
    <row r="63">
      <c r="A63" s="291" t="s">
        <v>4233</v>
      </c>
      <c r="B63" s="291" t="s">
        <v>4026</v>
      </c>
      <c r="C63" s="58" t="s">
        <v>4234</v>
      </c>
      <c r="D63" s="291" t="s">
        <v>4235</v>
      </c>
      <c r="E63" s="293" t="s">
        <v>4236</v>
      </c>
    </row>
    <row r="64">
      <c r="A64" s="291" t="s">
        <v>4237</v>
      </c>
      <c r="B64" s="291" t="s">
        <v>4031</v>
      </c>
      <c r="C64" s="58" t="s">
        <v>4238</v>
      </c>
      <c r="D64" s="291" t="s">
        <v>4239</v>
      </c>
      <c r="E64" s="292" t="s">
        <v>4240</v>
      </c>
      <c r="F64" s="296" t="s">
        <v>4241</v>
      </c>
    </row>
    <row r="65">
      <c r="A65" s="291" t="s">
        <v>4242</v>
      </c>
      <c r="B65" s="291" t="s">
        <v>4026</v>
      </c>
      <c r="C65" s="58" t="s">
        <v>4243</v>
      </c>
      <c r="D65" s="291" t="s">
        <v>4082</v>
      </c>
      <c r="E65" s="293" t="s">
        <v>4244</v>
      </c>
    </row>
    <row r="66" ht="15.75" customHeight="1">
      <c r="A66" s="291" t="s">
        <v>4245</v>
      </c>
      <c r="B66" s="291" t="s">
        <v>4031</v>
      </c>
      <c r="C66" s="58" t="s">
        <v>4246</v>
      </c>
      <c r="D66" s="291" t="s">
        <v>4111</v>
      </c>
      <c r="E66" s="295" t="s">
        <v>4247</v>
      </c>
    </row>
    <row r="67">
      <c r="A67" s="291" t="s">
        <v>4248</v>
      </c>
      <c r="B67" s="291" t="s">
        <v>4026</v>
      </c>
      <c r="C67" s="58" t="s">
        <v>4249</v>
      </c>
      <c r="D67" s="291" t="s">
        <v>2008</v>
      </c>
      <c r="E67" s="293" t="s">
        <v>4250</v>
      </c>
    </row>
    <row r="68">
      <c r="A68" s="291" t="s">
        <v>4251</v>
      </c>
      <c r="B68" s="291" t="s">
        <v>4031</v>
      </c>
      <c r="C68" s="58" t="s">
        <v>4252</v>
      </c>
      <c r="D68" s="304" t="s">
        <v>4222</v>
      </c>
      <c r="E68" s="293" t="s">
        <v>4253</v>
      </c>
    </row>
    <row r="69">
      <c r="A69" s="291" t="s">
        <v>4254</v>
      </c>
      <c r="B69" s="291" t="s">
        <v>3326</v>
      </c>
      <c r="C69" s="58" t="s">
        <v>4255</v>
      </c>
      <c r="D69" s="291" t="s">
        <v>4256</v>
      </c>
      <c r="E69" s="292" t="s">
        <v>4257</v>
      </c>
    </row>
    <row r="70">
      <c r="A70" s="291" t="s">
        <v>4258</v>
      </c>
      <c r="B70" s="291" t="s">
        <v>4031</v>
      </c>
      <c r="C70" s="58" t="s">
        <v>4259</v>
      </c>
      <c r="D70" s="291" t="s">
        <v>2098</v>
      </c>
      <c r="E70" s="293" t="s">
        <v>4260</v>
      </c>
    </row>
    <row r="71">
      <c r="A71" s="291" t="s">
        <v>4261</v>
      </c>
      <c r="B71" s="291" t="s">
        <v>4031</v>
      </c>
      <c r="C71" s="58" t="s">
        <v>4262</v>
      </c>
      <c r="D71" s="291" t="s">
        <v>4181</v>
      </c>
      <c r="E71" s="292" t="s">
        <v>4263</v>
      </c>
    </row>
    <row r="72">
      <c r="A72" s="291" t="s">
        <v>4264</v>
      </c>
      <c r="B72" s="291" t="s">
        <v>4031</v>
      </c>
      <c r="C72" s="58" t="s">
        <v>4265</v>
      </c>
      <c r="D72" s="291" t="s">
        <v>4266</v>
      </c>
      <c r="E72" s="295" t="s">
        <v>4267</v>
      </c>
    </row>
    <row r="73">
      <c r="A73" s="291" t="s">
        <v>4268</v>
      </c>
      <c r="B73" s="291" t="s">
        <v>4031</v>
      </c>
      <c r="C73" s="58" t="s">
        <v>4269</v>
      </c>
      <c r="D73" s="291" t="s">
        <v>4270</v>
      </c>
      <c r="E73" s="293" t="s">
        <v>4271</v>
      </c>
    </row>
    <row r="74">
      <c r="A74" s="291" t="s">
        <v>4272</v>
      </c>
      <c r="B74" s="291" t="s">
        <v>4031</v>
      </c>
      <c r="C74" s="58" t="s">
        <v>4273</v>
      </c>
      <c r="D74" s="291" t="s">
        <v>4274</v>
      </c>
      <c r="E74" s="292" t="s">
        <v>4275</v>
      </c>
    </row>
    <row r="75">
      <c r="A75" s="291" t="s">
        <v>4276</v>
      </c>
      <c r="B75" s="291" t="s">
        <v>4031</v>
      </c>
      <c r="C75" s="58" t="s">
        <v>4277</v>
      </c>
      <c r="D75" s="291" t="s">
        <v>4278</v>
      </c>
      <c r="E75" s="295" t="s">
        <v>4279</v>
      </c>
    </row>
    <row r="76">
      <c r="A76" s="291" t="s">
        <v>4280</v>
      </c>
      <c r="B76" s="291" t="s">
        <v>4026</v>
      </c>
      <c r="C76" s="58" t="s">
        <v>4281</v>
      </c>
      <c r="D76" s="291" t="s">
        <v>4282</v>
      </c>
      <c r="E76" s="293" t="s">
        <v>4283</v>
      </c>
    </row>
    <row r="77">
      <c r="A77" s="291" t="s">
        <v>4284</v>
      </c>
      <c r="B77" s="291" t="s">
        <v>4026</v>
      </c>
      <c r="C77" s="58" t="s">
        <v>4285</v>
      </c>
      <c r="D77" s="291" t="s">
        <v>4286</v>
      </c>
      <c r="E77" s="292" t="s">
        <v>4287</v>
      </c>
    </row>
    <row r="78">
      <c r="A78" s="291" t="s">
        <v>4288</v>
      </c>
      <c r="B78" s="291" t="s">
        <v>4026</v>
      </c>
      <c r="C78" s="58" t="s">
        <v>4289</v>
      </c>
      <c r="D78" s="291" t="s">
        <v>4290</v>
      </c>
      <c r="E78" s="295" t="s">
        <v>4291</v>
      </c>
    </row>
    <row r="79">
      <c r="A79" s="291" t="s">
        <v>4292</v>
      </c>
      <c r="B79" s="291" t="s">
        <v>4026</v>
      </c>
      <c r="C79" s="58" t="s">
        <v>4293</v>
      </c>
      <c r="D79" s="291" t="s">
        <v>4294</v>
      </c>
      <c r="E79" s="293" t="s">
        <v>4295</v>
      </c>
    </row>
    <row r="80">
      <c r="A80" s="291" t="s">
        <v>4296</v>
      </c>
      <c r="B80" s="291" t="s">
        <v>4026</v>
      </c>
      <c r="C80" s="58" t="s">
        <v>4297</v>
      </c>
      <c r="D80" s="291" t="s">
        <v>1686</v>
      </c>
      <c r="E80" s="293" t="s">
        <v>4298</v>
      </c>
    </row>
    <row r="81" ht="15.75" customHeight="1">
      <c r="A81" s="291" t="s">
        <v>4299</v>
      </c>
      <c r="B81" s="291" t="s">
        <v>4026</v>
      </c>
      <c r="C81" s="58" t="s">
        <v>4300</v>
      </c>
      <c r="D81" s="291" t="s">
        <v>4053</v>
      </c>
      <c r="E81" s="293" t="s">
        <v>4301</v>
      </c>
    </row>
    <row r="82">
      <c r="A82" s="291" t="s">
        <v>4302</v>
      </c>
      <c r="B82" s="291" t="s">
        <v>3326</v>
      </c>
      <c r="C82" s="58" t="s">
        <v>4303</v>
      </c>
      <c r="D82" s="304" t="s">
        <v>4304</v>
      </c>
      <c r="E82" s="293" t="s">
        <v>4305</v>
      </c>
    </row>
    <row r="83">
      <c r="A83" s="291" t="s">
        <v>4306</v>
      </c>
      <c r="B83" s="291" t="s">
        <v>4026</v>
      </c>
      <c r="C83" s="58" t="s">
        <v>4307</v>
      </c>
      <c r="D83" s="291" t="s">
        <v>4308</v>
      </c>
      <c r="E83" s="293" t="s">
        <v>4309</v>
      </c>
    </row>
    <row r="84">
      <c r="A84" s="291" t="s">
        <v>4310</v>
      </c>
      <c r="B84" s="291" t="s">
        <v>4026</v>
      </c>
      <c r="C84" s="58" t="s">
        <v>4311</v>
      </c>
      <c r="D84" s="291" t="s">
        <v>4312</v>
      </c>
      <c r="E84" s="293" t="s">
        <v>4313</v>
      </c>
    </row>
    <row r="85">
      <c r="A85" s="291" t="s">
        <v>4314</v>
      </c>
      <c r="B85" s="291" t="s">
        <v>4031</v>
      </c>
      <c r="C85" s="58" t="s">
        <v>4315</v>
      </c>
      <c r="D85" s="291" t="s">
        <v>4111</v>
      </c>
      <c r="E85" s="295" t="s">
        <v>4316</v>
      </c>
    </row>
    <row r="86">
      <c r="A86" s="291" t="s">
        <v>4317</v>
      </c>
      <c r="B86" s="291" t="s">
        <v>4031</v>
      </c>
      <c r="C86" s="58" t="s">
        <v>4318</v>
      </c>
      <c r="D86" s="291" t="s">
        <v>4136</v>
      </c>
      <c r="E86" s="293" t="s">
        <v>4319</v>
      </c>
    </row>
    <row r="87">
      <c r="A87" s="291" t="s">
        <v>4320</v>
      </c>
      <c r="B87" s="291" t="s">
        <v>4031</v>
      </c>
      <c r="C87" s="58" t="s">
        <v>4321</v>
      </c>
      <c r="D87" s="291" t="s">
        <v>4322</v>
      </c>
      <c r="E87" s="293" t="s">
        <v>4323</v>
      </c>
    </row>
    <row r="88">
      <c r="A88" s="291" t="s">
        <v>4324</v>
      </c>
      <c r="B88" s="291" t="s">
        <v>4026</v>
      </c>
      <c r="C88" s="58" t="s">
        <v>4325</v>
      </c>
      <c r="D88" s="291" t="s">
        <v>1686</v>
      </c>
      <c r="E88" s="251" t="s">
        <v>4326</v>
      </c>
    </row>
    <row r="89">
      <c r="A89" s="291" t="s">
        <v>4327</v>
      </c>
      <c r="B89" s="291" t="s">
        <v>4026</v>
      </c>
      <c r="C89" s="58" t="s">
        <v>4328</v>
      </c>
      <c r="D89" s="291" t="s">
        <v>1686</v>
      </c>
      <c r="E89" s="251" t="s">
        <v>4329</v>
      </c>
    </row>
    <row r="90">
      <c r="A90" s="291" t="s">
        <v>4330</v>
      </c>
      <c r="B90" s="291" t="s">
        <v>4026</v>
      </c>
      <c r="C90" s="58" t="s">
        <v>4331</v>
      </c>
      <c r="D90" s="291" t="s">
        <v>4332</v>
      </c>
      <c r="E90" s="293" t="s">
        <v>4333</v>
      </c>
    </row>
    <row r="91">
      <c r="A91" s="291" t="s">
        <v>4334</v>
      </c>
      <c r="B91" s="291" t="s">
        <v>4026</v>
      </c>
      <c r="C91" s="58" t="s">
        <v>4335</v>
      </c>
      <c r="D91" s="291" t="s">
        <v>4336</v>
      </c>
      <c r="E91" s="292" t="s">
        <v>4337</v>
      </c>
    </row>
    <row r="92">
      <c r="A92" s="291" t="s">
        <v>4338</v>
      </c>
      <c r="B92" s="291" t="s">
        <v>4026</v>
      </c>
      <c r="C92" s="58" t="s">
        <v>4339</v>
      </c>
      <c r="D92" s="291" t="s">
        <v>4231</v>
      </c>
      <c r="E92" s="293" t="s">
        <v>4340</v>
      </c>
    </row>
    <row r="93">
      <c r="A93" s="291" t="s">
        <v>4341</v>
      </c>
      <c r="B93" s="291" t="s">
        <v>4026</v>
      </c>
      <c r="C93" s="58" t="s">
        <v>4342</v>
      </c>
      <c r="D93" s="291" t="s">
        <v>4343</v>
      </c>
      <c r="E93" s="292" t="s">
        <v>4344</v>
      </c>
    </row>
    <row r="94">
      <c r="A94" s="291" t="s">
        <v>4345</v>
      </c>
      <c r="B94" s="291" t="s">
        <v>4026</v>
      </c>
      <c r="C94" s="58" t="s">
        <v>4346</v>
      </c>
      <c r="D94" s="291" t="s">
        <v>4111</v>
      </c>
      <c r="E94" s="293" t="s">
        <v>4347</v>
      </c>
    </row>
    <row r="95">
      <c r="A95" s="291" t="s">
        <v>4348</v>
      </c>
      <c r="B95" s="291" t="s">
        <v>4031</v>
      </c>
      <c r="C95" s="58" t="s">
        <v>4349</v>
      </c>
      <c r="D95" s="291" t="s">
        <v>4350</v>
      </c>
      <c r="E95" s="293" t="s">
        <v>4351</v>
      </c>
    </row>
    <row r="96">
      <c r="A96" s="291" t="s">
        <v>4352</v>
      </c>
      <c r="B96" s="291" t="s">
        <v>4026</v>
      </c>
      <c r="C96" s="58" t="s">
        <v>4353</v>
      </c>
      <c r="D96" s="291" t="s">
        <v>4028</v>
      </c>
      <c r="E96" s="293" t="s">
        <v>4354</v>
      </c>
    </row>
    <row r="97">
      <c r="A97" s="291" t="s">
        <v>4355</v>
      </c>
      <c r="B97" s="291" t="s">
        <v>4026</v>
      </c>
      <c r="C97" s="58" t="s">
        <v>4356</v>
      </c>
      <c r="D97" s="291" t="s">
        <v>4045</v>
      </c>
      <c r="E97" s="293" t="s">
        <v>4357</v>
      </c>
    </row>
    <row r="98">
      <c r="A98" s="291" t="s">
        <v>4358</v>
      </c>
      <c r="B98" s="291" t="s">
        <v>4031</v>
      </c>
      <c r="C98" s="58" t="s">
        <v>4359</v>
      </c>
      <c r="D98" s="291" t="s">
        <v>4028</v>
      </c>
      <c r="E98" s="293" t="s">
        <v>4360</v>
      </c>
    </row>
    <row r="99">
      <c r="A99" s="291" t="s">
        <v>4361</v>
      </c>
      <c r="B99" s="291" t="s">
        <v>4026</v>
      </c>
      <c r="C99" s="58" t="s">
        <v>4362</v>
      </c>
      <c r="D99" s="291" t="s">
        <v>4231</v>
      </c>
      <c r="E99" s="293" t="s">
        <v>4363</v>
      </c>
    </row>
    <row r="100">
      <c r="A100" s="291" t="s">
        <v>4364</v>
      </c>
      <c r="B100" s="291" t="s">
        <v>4026</v>
      </c>
      <c r="C100" s="58" t="s">
        <v>4365</v>
      </c>
      <c r="D100" s="291" t="s">
        <v>4231</v>
      </c>
      <c r="E100" s="293" t="s">
        <v>4366</v>
      </c>
    </row>
    <row r="101">
      <c r="A101" s="291" t="s">
        <v>4367</v>
      </c>
      <c r="B101" s="291" t="s">
        <v>4031</v>
      </c>
      <c r="C101" s="58" t="s">
        <v>4368</v>
      </c>
      <c r="D101" s="291" t="s">
        <v>4369</v>
      </c>
      <c r="E101" s="293" t="s">
        <v>4370</v>
      </c>
    </row>
    <row r="102">
      <c r="A102" s="291" t="s">
        <v>4371</v>
      </c>
      <c r="B102" s="291" t="s">
        <v>4026</v>
      </c>
      <c r="C102" s="58" t="s">
        <v>4372</v>
      </c>
      <c r="D102" s="291" t="s">
        <v>4373</v>
      </c>
      <c r="E102" s="293" t="s">
        <v>4374</v>
      </c>
    </row>
    <row r="103">
      <c r="A103" s="291" t="s">
        <v>4375</v>
      </c>
      <c r="B103" s="291" t="s">
        <v>4031</v>
      </c>
      <c r="C103" s="58" t="s">
        <v>4376</v>
      </c>
      <c r="D103" s="291" t="s">
        <v>4377</v>
      </c>
      <c r="E103" s="292" t="s">
        <v>4378</v>
      </c>
    </row>
    <row r="104">
      <c r="A104" s="291" t="s">
        <v>4379</v>
      </c>
      <c r="B104" s="291" t="s">
        <v>4031</v>
      </c>
      <c r="C104" s="58" t="s">
        <v>4380</v>
      </c>
      <c r="D104" s="291" t="s">
        <v>4381</v>
      </c>
      <c r="E104" s="292" t="s">
        <v>4382</v>
      </c>
    </row>
    <row r="105">
      <c r="A105" s="291" t="s">
        <v>4383</v>
      </c>
      <c r="B105" s="291" t="s">
        <v>4026</v>
      </c>
      <c r="C105" s="58" t="s">
        <v>4384</v>
      </c>
      <c r="D105" s="291" t="s">
        <v>4385</v>
      </c>
      <c r="E105" s="293" t="s">
        <v>4386</v>
      </c>
    </row>
    <row r="106">
      <c r="A106" s="291" t="s">
        <v>4387</v>
      </c>
      <c r="B106" s="291" t="s">
        <v>4026</v>
      </c>
      <c r="C106" s="58" t="s">
        <v>4388</v>
      </c>
      <c r="D106" s="291" t="s">
        <v>4389</v>
      </c>
      <c r="E106" s="293" t="s">
        <v>4390</v>
      </c>
    </row>
    <row r="107">
      <c r="A107" s="291" t="s">
        <v>4391</v>
      </c>
      <c r="B107" s="291" t="s">
        <v>4026</v>
      </c>
      <c r="C107" s="58" t="s">
        <v>4392</v>
      </c>
      <c r="D107" s="291" t="s">
        <v>4393</v>
      </c>
      <c r="E107" s="293" t="s">
        <v>4394</v>
      </c>
    </row>
    <row r="108">
      <c r="A108" s="291" t="s">
        <v>4395</v>
      </c>
      <c r="B108" s="291" t="s">
        <v>4026</v>
      </c>
      <c r="C108" s="58" t="s">
        <v>4396</v>
      </c>
      <c r="D108" s="291" t="s">
        <v>2098</v>
      </c>
      <c r="E108" s="251" t="s">
        <v>4397</v>
      </c>
    </row>
    <row r="109">
      <c r="A109" s="291" t="s">
        <v>4398</v>
      </c>
      <c r="B109" s="291" t="s">
        <v>4026</v>
      </c>
      <c r="C109" s="58" t="s">
        <v>4399</v>
      </c>
      <c r="D109" s="291" t="s">
        <v>4053</v>
      </c>
      <c r="E109" s="293" t="s">
        <v>4400</v>
      </c>
    </row>
    <row r="110">
      <c r="A110" s="291" t="s">
        <v>4401</v>
      </c>
      <c r="B110" s="291" t="s">
        <v>4031</v>
      </c>
      <c r="C110" s="58" t="s">
        <v>4402</v>
      </c>
      <c r="D110" s="291" t="s">
        <v>4403</v>
      </c>
      <c r="E110" s="293" t="s">
        <v>4404</v>
      </c>
    </row>
    <row r="111">
      <c r="A111" s="291" t="s">
        <v>4405</v>
      </c>
      <c r="B111" s="291" t="s">
        <v>4031</v>
      </c>
      <c r="C111" s="58" t="s">
        <v>4406</v>
      </c>
      <c r="D111" s="291" t="s">
        <v>4407</v>
      </c>
      <c r="E111" s="293" t="s">
        <v>4408</v>
      </c>
    </row>
    <row r="112">
      <c r="A112" s="291" t="s">
        <v>4409</v>
      </c>
      <c r="B112" s="291" t="s">
        <v>4031</v>
      </c>
      <c r="C112" s="58" t="s">
        <v>4410</v>
      </c>
      <c r="D112" s="291" t="s">
        <v>4111</v>
      </c>
      <c r="E112" s="293" t="s">
        <v>4411</v>
      </c>
    </row>
    <row r="113">
      <c r="A113" s="291" t="s">
        <v>4412</v>
      </c>
      <c r="B113" s="291" t="s">
        <v>4031</v>
      </c>
      <c r="C113" s="58" t="s">
        <v>4413</v>
      </c>
      <c r="D113" s="291" t="s">
        <v>2008</v>
      </c>
      <c r="E113" s="293" t="s">
        <v>4414</v>
      </c>
    </row>
    <row r="114">
      <c r="A114" s="291" t="s">
        <v>4415</v>
      </c>
      <c r="B114" s="291" t="s">
        <v>3326</v>
      </c>
      <c r="C114" s="58" t="s">
        <v>4416</v>
      </c>
      <c r="D114" s="291" t="s">
        <v>4417</v>
      </c>
      <c r="E114" s="293" t="s">
        <v>4418</v>
      </c>
    </row>
    <row r="115">
      <c r="A115" s="291" t="s">
        <v>4419</v>
      </c>
      <c r="B115" s="291" t="s">
        <v>3326</v>
      </c>
      <c r="C115" s="58" t="s">
        <v>4420</v>
      </c>
      <c r="D115" s="291" t="s">
        <v>4389</v>
      </c>
      <c r="E115" s="293" t="s">
        <v>4421</v>
      </c>
    </row>
    <row r="116">
      <c r="A116" s="291" t="s">
        <v>4422</v>
      </c>
      <c r="B116" s="291" t="s">
        <v>4026</v>
      </c>
      <c r="C116" s="58" t="s">
        <v>4423</v>
      </c>
      <c r="D116" s="291" t="s">
        <v>4424</v>
      </c>
      <c r="E116" s="292" t="s">
        <v>4425</v>
      </c>
    </row>
    <row r="117">
      <c r="A117" s="291" t="s">
        <v>4426</v>
      </c>
      <c r="B117" s="291" t="s">
        <v>4026</v>
      </c>
      <c r="C117" s="58" t="s">
        <v>4427</v>
      </c>
      <c r="D117" s="291" t="s">
        <v>4428</v>
      </c>
      <c r="E117" s="292" t="s">
        <v>4429</v>
      </c>
    </row>
    <row r="118">
      <c r="A118" s="291" t="s">
        <v>4430</v>
      </c>
      <c r="B118" s="291" t="s">
        <v>4026</v>
      </c>
      <c r="C118" s="58" t="s">
        <v>4431</v>
      </c>
      <c r="D118" s="291" t="s">
        <v>4149</v>
      </c>
      <c r="E118" s="295" t="s">
        <v>4432</v>
      </c>
    </row>
    <row r="119">
      <c r="A119" s="291" t="s">
        <v>4433</v>
      </c>
      <c r="B119" s="291" t="s">
        <v>4026</v>
      </c>
      <c r="C119" s="14" t="s">
        <v>4434</v>
      </c>
      <c r="D119" s="291" t="s">
        <v>2160</v>
      </c>
      <c r="E119" s="295" t="s">
        <v>4435</v>
      </c>
    </row>
    <row r="120">
      <c r="A120" s="291" t="s">
        <v>4436</v>
      </c>
      <c r="B120" s="291" t="s">
        <v>4026</v>
      </c>
      <c r="C120" s="58" t="s">
        <v>4437</v>
      </c>
      <c r="D120" s="291" t="s">
        <v>1686</v>
      </c>
      <c r="E120" s="293" t="s">
        <v>4438</v>
      </c>
    </row>
    <row r="121">
      <c r="A121" s="291" t="s">
        <v>4439</v>
      </c>
      <c r="B121" s="291" t="s">
        <v>3326</v>
      </c>
      <c r="C121" s="58" t="s">
        <v>4440</v>
      </c>
      <c r="D121" s="291" t="s">
        <v>4441</v>
      </c>
      <c r="E121" s="295" t="s">
        <v>4442</v>
      </c>
    </row>
    <row r="122">
      <c r="A122" s="291" t="s">
        <v>4443</v>
      </c>
      <c r="B122" s="291" t="s">
        <v>4026</v>
      </c>
      <c r="C122" s="58" t="s">
        <v>4444</v>
      </c>
      <c r="D122" s="291" t="s">
        <v>4189</v>
      </c>
      <c r="E122" s="293" t="s">
        <v>4445</v>
      </c>
    </row>
    <row r="123" ht="15.0" customHeight="1">
      <c r="A123" s="291" t="s">
        <v>4446</v>
      </c>
      <c r="B123" s="291" t="s">
        <v>3326</v>
      </c>
      <c r="C123" s="58" t="s">
        <v>4447</v>
      </c>
      <c r="D123" s="291" t="s">
        <v>4448</v>
      </c>
      <c r="E123" s="295" t="s">
        <v>4449</v>
      </c>
    </row>
    <row r="124">
      <c r="A124" s="291" t="s">
        <v>4450</v>
      </c>
      <c r="B124" s="291" t="s">
        <v>4026</v>
      </c>
      <c r="C124" s="58" t="s">
        <v>4451</v>
      </c>
      <c r="D124" s="305" t="s">
        <v>4452</v>
      </c>
      <c r="E124" s="293" t="s">
        <v>4453</v>
      </c>
    </row>
    <row r="125">
      <c r="A125" s="291" t="s">
        <v>4454</v>
      </c>
      <c r="B125" s="291" t="s">
        <v>4026</v>
      </c>
      <c r="C125" s="58" t="s">
        <v>4455</v>
      </c>
      <c r="D125" s="291" t="s">
        <v>4456</v>
      </c>
      <c r="E125" s="293" t="s">
        <v>4457</v>
      </c>
    </row>
    <row r="126">
      <c r="A126" s="291" t="s">
        <v>4458</v>
      </c>
      <c r="B126" s="291" t="s">
        <v>4031</v>
      </c>
      <c r="C126" s="58" t="s">
        <v>4459</v>
      </c>
      <c r="D126" s="291" t="s">
        <v>4460</v>
      </c>
      <c r="E126" s="293" t="s">
        <v>4461</v>
      </c>
    </row>
    <row r="127">
      <c r="A127" s="291" t="s">
        <v>4462</v>
      </c>
      <c r="B127" s="291" t="s">
        <v>4031</v>
      </c>
      <c r="C127" s="58" t="s">
        <v>4463</v>
      </c>
      <c r="D127" s="291" t="s">
        <v>4464</v>
      </c>
      <c r="E127" s="293" t="s">
        <v>4465</v>
      </c>
    </row>
    <row r="128">
      <c r="A128" s="291" t="s">
        <v>4466</v>
      </c>
      <c r="B128" s="291" t="s">
        <v>3326</v>
      </c>
      <c r="C128" s="58" t="s">
        <v>4467</v>
      </c>
      <c r="D128" s="291" t="s">
        <v>4468</v>
      </c>
      <c r="E128" s="293" t="s">
        <v>4469</v>
      </c>
    </row>
    <row r="129">
      <c r="A129" s="291" t="s">
        <v>4470</v>
      </c>
      <c r="B129" s="291" t="s">
        <v>4031</v>
      </c>
      <c r="C129" s="58" t="s">
        <v>4471</v>
      </c>
      <c r="D129" s="291" t="s">
        <v>4181</v>
      </c>
      <c r="E129" s="292" t="s">
        <v>4472</v>
      </c>
    </row>
    <row r="130" ht="15.75" customHeight="1">
      <c r="A130" s="291" t="s">
        <v>4473</v>
      </c>
      <c r="B130" s="291" t="s">
        <v>4031</v>
      </c>
      <c r="C130" s="58" t="s">
        <v>4474</v>
      </c>
      <c r="D130" s="291" t="s">
        <v>4475</v>
      </c>
      <c r="E130" s="292" t="s">
        <v>4476</v>
      </c>
    </row>
    <row r="131">
      <c r="A131" s="291" t="s">
        <v>4477</v>
      </c>
      <c r="B131" s="291" t="s">
        <v>4031</v>
      </c>
      <c r="C131" s="58" t="s">
        <v>4478</v>
      </c>
      <c r="D131" s="291" t="s">
        <v>4479</v>
      </c>
      <c r="E131" s="292" t="s">
        <v>4480</v>
      </c>
    </row>
    <row r="132">
      <c r="A132" s="291" t="s">
        <v>4481</v>
      </c>
      <c r="B132" s="291" t="s">
        <v>4031</v>
      </c>
      <c r="C132" s="58" t="s">
        <v>4482</v>
      </c>
      <c r="D132" s="291" t="s">
        <v>4149</v>
      </c>
      <c r="E132" s="295" t="s">
        <v>4483</v>
      </c>
    </row>
    <row r="133">
      <c r="A133" s="291" t="s">
        <v>4484</v>
      </c>
      <c r="B133" s="291" t="s">
        <v>4031</v>
      </c>
      <c r="C133" s="58" t="s">
        <v>4485</v>
      </c>
      <c r="D133" s="291" t="s">
        <v>4486</v>
      </c>
      <c r="E133" s="295" t="s">
        <v>4487</v>
      </c>
    </row>
    <row r="134">
      <c r="A134" s="291" t="s">
        <v>4488</v>
      </c>
      <c r="B134" s="291" t="s">
        <v>4031</v>
      </c>
      <c r="C134" s="58" t="s">
        <v>4489</v>
      </c>
      <c r="D134" s="291" t="s">
        <v>4028</v>
      </c>
      <c r="E134" s="293" t="s">
        <v>4490</v>
      </c>
    </row>
    <row r="135">
      <c r="A135" s="291" t="s">
        <v>4491</v>
      </c>
      <c r="B135" s="291" t="s">
        <v>4031</v>
      </c>
      <c r="C135" s="58" t="s">
        <v>4492</v>
      </c>
      <c r="D135" s="291" t="s">
        <v>4493</v>
      </c>
      <c r="E135" s="292" t="s">
        <v>4494</v>
      </c>
    </row>
    <row r="136">
      <c r="A136" s="291" t="s">
        <v>4495</v>
      </c>
      <c r="B136" s="291" t="s">
        <v>4031</v>
      </c>
      <c r="C136" s="58" t="s">
        <v>4496</v>
      </c>
      <c r="D136" s="291" t="s">
        <v>4497</v>
      </c>
      <c r="E136" s="292" t="s">
        <v>4498</v>
      </c>
    </row>
    <row r="137">
      <c r="A137" s="291" t="s">
        <v>4499</v>
      </c>
      <c r="B137" s="291" t="s">
        <v>4031</v>
      </c>
      <c r="C137" s="58" t="s">
        <v>4500</v>
      </c>
      <c r="D137" s="305" t="s">
        <v>4501</v>
      </c>
      <c r="E137" s="293" t="s">
        <v>4502</v>
      </c>
    </row>
    <row r="138">
      <c r="A138" s="291" t="s">
        <v>4503</v>
      </c>
      <c r="B138" s="291" t="s">
        <v>4031</v>
      </c>
      <c r="C138" s="58" t="s">
        <v>4504</v>
      </c>
      <c r="D138" s="298" t="s">
        <v>4505</v>
      </c>
      <c r="E138" s="293" t="s">
        <v>4506</v>
      </c>
    </row>
    <row r="139">
      <c r="A139" s="303" t="s">
        <v>4507</v>
      </c>
      <c r="B139" s="291" t="s">
        <v>4031</v>
      </c>
      <c r="C139" s="58" t="s">
        <v>4508</v>
      </c>
      <c r="D139" s="305" t="s">
        <v>4509</v>
      </c>
      <c r="E139" s="293" t="s">
        <v>4510</v>
      </c>
    </row>
    <row r="140">
      <c r="A140" s="291" t="s">
        <v>4511</v>
      </c>
      <c r="B140" s="291" t="s">
        <v>4031</v>
      </c>
      <c r="C140" s="58" t="s">
        <v>4512</v>
      </c>
      <c r="D140" s="291" t="s">
        <v>4513</v>
      </c>
      <c r="E140" s="293" t="s">
        <v>4514</v>
      </c>
    </row>
    <row r="141">
      <c r="A141" s="291" t="s">
        <v>4515</v>
      </c>
      <c r="B141" s="291" t="s">
        <v>4031</v>
      </c>
      <c r="C141" s="58" t="s">
        <v>4516</v>
      </c>
      <c r="D141" s="303" t="s">
        <v>4517</v>
      </c>
      <c r="E141" s="295" t="s">
        <v>4518</v>
      </c>
    </row>
    <row r="142">
      <c r="A142" s="291" t="s">
        <v>4519</v>
      </c>
      <c r="B142" s="291" t="s">
        <v>3326</v>
      </c>
      <c r="C142" s="58" t="s">
        <v>4520</v>
      </c>
      <c r="D142" s="291" t="s">
        <v>2098</v>
      </c>
      <c r="E142" s="293" t="s">
        <v>4521</v>
      </c>
    </row>
    <row r="143">
      <c r="A143" s="291" t="s">
        <v>4522</v>
      </c>
      <c r="B143" s="291" t="s">
        <v>4026</v>
      </c>
      <c r="C143" s="58" t="s">
        <v>4523</v>
      </c>
      <c r="D143" s="291" t="s">
        <v>4524</v>
      </c>
      <c r="E143" s="295" t="s">
        <v>4525</v>
      </c>
    </row>
    <row r="144">
      <c r="A144" s="291" t="s">
        <v>3626</v>
      </c>
      <c r="B144" s="291" t="s">
        <v>4026</v>
      </c>
      <c r="C144" s="58" t="s">
        <v>4526</v>
      </c>
      <c r="D144" s="291" t="s">
        <v>4527</v>
      </c>
      <c r="E144" s="292" t="s">
        <v>4528</v>
      </c>
    </row>
    <row r="145">
      <c r="A145" s="291" t="s">
        <v>4529</v>
      </c>
      <c r="B145" s="291" t="s">
        <v>4026</v>
      </c>
      <c r="C145" s="58" t="s">
        <v>4530</v>
      </c>
      <c r="D145" s="291" t="s">
        <v>4389</v>
      </c>
      <c r="E145" s="293" t="s">
        <v>4531</v>
      </c>
    </row>
    <row r="146">
      <c r="A146" s="291" t="s">
        <v>4532</v>
      </c>
      <c r="B146" s="291" t="s">
        <v>4026</v>
      </c>
      <c r="C146" s="58" t="s">
        <v>4533</v>
      </c>
      <c r="D146" s="291" t="s">
        <v>4534</v>
      </c>
      <c r="E146" s="292" t="s">
        <v>4535</v>
      </c>
    </row>
    <row r="147">
      <c r="A147" s="291" t="s">
        <v>4536</v>
      </c>
      <c r="B147" s="291" t="s">
        <v>4026</v>
      </c>
      <c r="C147" s="58" t="s">
        <v>4537</v>
      </c>
      <c r="D147" s="291" t="s">
        <v>4111</v>
      </c>
      <c r="E147" s="293" t="s">
        <v>4538</v>
      </c>
    </row>
    <row r="148">
      <c r="A148" s="291" t="s">
        <v>4539</v>
      </c>
      <c r="B148" s="291" t="s">
        <v>4026</v>
      </c>
      <c r="C148" s="58" t="s">
        <v>4540</v>
      </c>
      <c r="D148" s="291" t="s">
        <v>4541</v>
      </c>
      <c r="E148" s="301" t="s">
        <v>4542</v>
      </c>
    </row>
    <row r="149">
      <c r="A149" s="291" t="s">
        <v>4543</v>
      </c>
      <c r="B149" s="291" t="s">
        <v>4026</v>
      </c>
      <c r="C149" s="58" t="s">
        <v>4544</v>
      </c>
      <c r="D149" s="291" t="s">
        <v>4545</v>
      </c>
      <c r="E149" s="295" t="s">
        <v>4546</v>
      </c>
    </row>
    <row r="150">
      <c r="A150" s="291" t="s">
        <v>4547</v>
      </c>
      <c r="B150" s="291" t="s">
        <v>4031</v>
      </c>
      <c r="C150" s="58" t="s">
        <v>4548</v>
      </c>
      <c r="D150" s="291" t="s">
        <v>4549</v>
      </c>
      <c r="E150" s="293" t="s">
        <v>4550</v>
      </c>
    </row>
    <row r="151">
      <c r="A151" s="291" t="s">
        <v>4551</v>
      </c>
      <c r="B151" s="291" t="s">
        <v>4026</v>
      </c>
      <c r="C151" s="58" t="s">
        <v>4552</v>
      </c>
      <c r="D151" s="291" t="s">
        <v>4189</v>
      </c>
      <c r="E151" s="293" t="s">
        <v>4553</v>
      </c>
    </row>
    <row r="152">
      <c r="A152" s="291" t="s">
        <v>4554</v>
      </c>
      <c r="B152" s="291" t="s">
        <v>4031</v>
      </c>
      <c r="C152" s="58" t="s">
        <v>4555</v>
      </c>
      <c r="D152" s="291" t="s">
        <v>4556</v>
      </c>
      <c r="E152" s="293" t="s">
        <v>4557</v>
      </c>
    </row>
    <row r="153">
      <c r="A153" s="291" t="s">
        <v>4558</v>
      </c>
      <c r="B153" s="291" t="s">
        <v>4031</v>
      </c>
      <c r="C153" s="58" t="s">
        <v>4559</v>
      </c>
      <c r="D153" s="291" t="s">
        <v>4231</v>
      </c>
      <c r="E153" s="293" t="s">
        <v>4560</v>
      </c>
    </row>
    <row r="154">
      <c r="A154" s="291" t="s">
        <v>4561</v>
      </c>
      <c r="B154" s="291" t="s">
        <v>4031</v>
      </c>
      <c r="C154" s="58" t="s">
        <v>4562</v>
      </c>
      <c r="D154" s="305" t="s">
        <v>4563</v>
      </c>
      <c r="E154" s="293" t="s">
        <v>4564</v>
      </c>
    </row>
    <row r="155">
      <c r="A155" s="291" t="s">
        <v>4565</v>
      </c>
      <c r="B155" s="291" t="s">
        <v>4031</v>
      </c>
      <c r="C155" s="58" t="s">
        <v>4566</v>
      </c>
      <c r="D155" s="291" t="s">
        <v>4567</v>
      </c>
      <c r="E155" s="292" t="s">
        <v>4568</v>
      </c>
    </row>
    <row r="156">
      <c r="A156" s="291" t="s">
        <v>4569</v>
      </c>
      <c r="B156" s="291" t="s">
        <v>4026</v>
      </c>
      <c r="C156" s="306" t="s">
        <v>4570</v>
      </c>
      <c r="D156" s="291" t="s">
        <v>4571</v>
      </c>
      <c r="E156" s="295" t="s">
        <v>4572</v>
      </c>
    </row>
    <row r="157">
      <c r="A157" s="291" t="s">
        <v>4573</v>
      </c>
      <c r="B157" s="291" t="s">
        <v>4031</v>
      </c>
      <c r="C157" s="58" t="s">
        <v>4574</v>
      </c>
      <c r="D157" s="305" t="s">
        <v>4575</v>
      </c>
      <c r="E157" s="293" t="s">
        <v>4576</v>
      </c>
    </row>
    <row r="158">
      <c r="A158" s="291" t="s">
        <v>4577</v>
      </c>
      <c r="B158" s="291" t="s">
        <v>4031</v>
      </c>
      <c r="C158" s="58" t="s">
        <v>4578</v>
      </c>
      <c r="D158" s="291" t="s">
        <v>4579</v>
      </c>
      <c r="E158" s="293" t="s">
        <v>4580</v>
      </c>
    </row>
    <row r="159">
      <c r="A159" s="291" t="s">
        <v>4581</v>
      </c>
      <c r="B159" s="291" t="s">
        <v>4026</v>
      </c>
      <c r="C159" s="58" t="s">
        <v>4582</v>
      </c>
      <c r="D159" s="291" t="s">
        <v>4028</v>
      </c>
      <c r="E159" s="293" t="s">
        <v>4583</v>
      </c>
    </row>
    <row r="160">
      <c r="A160" s="291" t="s">
        <v>4584</v>
      </c>
      <c r="B160" s="291" t="s">
        <v>4026</v>
      </c>
      <c r="C160" s="58" t="s">
        <v>4585</v>
      </c>
      <c r="D160" s="291" t="s">
        <v>4586</v>
      </c>
      <c r="E160" s="292" t="s">
        <v>4587</v>
      </c>
    </row>
    <row r="161">
      <c r="A161" s="291" t="s">
        <v>4588</v>
      </c>
      <c r="B161" s="291" t="s">
        <v>3326</v>
      </c>
      <c r="C161" s="58" t="s">
        <v>4589</v>
      </c>
      <c r="D161" s="291" t="s">
        <v>4590</v>
      </c>
      <c r="E161" s="307"/>
      <c r="F161" s="308" t="s">
        <v>4591</v>
      </c>
    </row>
    <row r="162">
      <c r="A162" s="291" t="s">
        <v>4592</v>
      </c>
      <c r="B162" s="291" t="s">
        <v>4026</v>
      </c>
      <c r="C162" s="58" t="s">
        <v>4593</v>
      </c>
      <c r="D162" s="291" t="s">
        <v>4231</v>
      </c>
      <c r="E162" s="295" t="s">
        <v>4594</v>
      </c>
    </row>
    <row r="163">
      <c r="A163" s="291" t="s">
        <v>4595</v>
      </c>
      <c r="B163" s="291" t="s">
        <v>4026</v>
      </c>
      <c r="C163" s="58" t="s">
        <v>4596</v>
      </c>
      <c r="D163" s="291" t="s">
        <v>4597</v>
      </c>
      <c r="E163" s="292" t="s">
        <v>4598</v>
      </c>
    </row>
    <row r="164">
      <c r="A164" s="291" t="s">
        <v>4599</v>
      </c>
      <c r="B164" s="291" t="s">
        <v>4031</v>
      </c>
      <c r="C164" s="58" t="s">
        <v>4600</v>
      </c>
      <c r="D164" s="291" t="s">
        <v>4601</v>
      </c>
      <c r="E164" s="293" t="s">
        <v>4602</v>
      </c>
    </row>
    <row r="165">
      <c r="A165" s="291" t="s">
        <v>4603</v>
      </c>
      <c r="B165" s="291" t="s">
        <v>3326</v>
      </c>
      <c r="C165" s="58" t="s">
        <v>4604</v>
      </c>
      <c r="D165" s="291" t="s">
        <v>2098</v>
      </c>
      <c r="E165" s="251" t="s">
        <v>4605</v>
      </c>
    </row>
    <row r="166">
      <c r="A166" s="291" t="s">
        <v>4606</v>
      </c>
      <c r="B166" s="291" t="s">
        <v>4026</v>
      </c>
      <c r="C166" s="58" t="s">
        <v>4607</v>
      </c>
      <c r="D166" s="291" t="s">
        <v>1686</v>
      </c>
      <c r="E166" s="251" t="s">
        <v>4608</v>
      </c>
    </row>
    <row r="167">
      <c r="A167" s="291" t="s">
        <v>4609</v>
      </c>
      <c r="B167" s="291" t="s">
        <v>4026</v>
      </c>
      <c r="C167" s="58" t="s">
        <v>4610</v>
      </c>
      <c r="D167" s="291" t="s">
        <v>4611</v>
      </c>
      <c r="E167" s="292" t="s">
        <v>4612</v>
      </c>
    </row>
    <row r="168">
      <c r="A168" s="291" t="s">
        <v>4613</v>
      </c>
      <c r="B168" s="291" t="s">
        <v>4026</v>
      </c>
      <c r="C168" s="58" t="s">
        <v>4614</v>
      </c>
      <c r="D168" s="291" t="s">
        <v>4615</v>
      </c>
      <c r="E168" s="295" t="s">
        <v>4616</v>
      </c>
      <c r="F168" s="296" t="s">
        <v>4617</v>
      </c>
    </row>
    <row r="169">
      <c r="A169" s="291" t="s">
        <v>4618</v>
      </c>
      <c r="B169" s="291" t="s">
        <v>4031</v>
      </c>
      <c r="C169" s="58" t="s">
        <v>4619</v>
      </c>
      <c r="D169" s="291" t="s">
        <v>4620</v>
      </c>
      <c r="E169" s="293" t="s">
        <v>4621</v>
      </c>
    </row>
    <row r="170">
      <c r="A170" s="291" t="s">
        <v>4622</v>
      </c>
      <c r="B170" s="291" t="s">
        <v>4031</v>
      </c>
      <c r="C170" s="58" t="s">
        <v>4623</v>
      </c>
      <c r="D170" s="291" t="s">
        <v>4624</v>
      </c>
      <c r="E170" s="293" t="s">
        <v>4625</v>
      </c>
    </row>
    <row r="171">
      <c r="A171" s="291" t="s">
        <v>4626</v>
      </c>
      <c r="B171" s="291" t="s">
        <v>4026</v>
      </c>
      <c r="C171" s="58" t="s">
        <v>4627</v>
      </c>
      <c r="D171" s="291" t="s">
        <v>4628</v>
      </c>
      <c r="E171" s="292" t="s">
        <v>4629</v>
      </c>
    </row>
    <row r="172">
      <c r="A172" s="291" t="s">
        <v>4630</v>
      </c>
      <c r="B172" s="291" t="s">
        <v>4026</v>
      </c>
      <c r="C172" s="58" t="s">
        <v>4631</v>
      </c>
      <c r="D172" s="291" t="s">
        <v>4632</v>
      </c>
      <c r="E172" s="293" t="s">
        <v>4633</v>
      </c>
    </row>
    <row r="173">
      <c r="A173" s="291" t="s">
        <v>4634</v>
      </c>
      <c r="B173" s="291" t="s">
        <v>4026</v>
      </c>
      <c r="C173" s="58" t="s">
        <v>4635</v>
      </c>
      <c r="D173" s="291" t="s">
        <v>4636</v>
      </c>
      <c r="E173" s="293" t="s">
        <v>4637</v>
      </c>
    </row>
    <row r="174">
      <c r="A174" s="291" t="s">
        <v>4638</v>
      </c>
      <c r="B174" s="291" t="s">
        <v>4026</v>
      </c>
      <c r="C174" s="58" t="s">
        <v>4639</v>
      </c>
      <c r="D174" s="291" t="s">
        <v>4389</v>
      </c>
      <c r="E174" s="293" t="s">
        <v>4640</v>
      </c>
    </row>
    <row r="175">
      <c r="A175" s="291" t="s">
        <v>4641</v>
      </c>
      <c r="B175" s="291" t="s">
        <v>4026</v>
      </c>
      <c r="C175" s="58" t="s">
        <v>4642</v>
      </c>
      <c r="D175" s="291" t="s">
        <v>4643</v>
      </c>
      <c r="E175" s="293" t="s">
        <v>4644</v>
      </c>
    </row>
    <row r="176">
      <c r="A176" s="291" t="s">
        <v>4645</v>
      </c>
      <c r="B176" s="291" t="s">
        <v>4031</v>
      </c>
      <c r="C176" s="58" t="s">
        <v>4646</v>
      </c>
      <c r="D176" s="291" t="s">
        <v>4647</v>
      </c>
      <c r="E176" s="292" t="s">
        <v>4648</v>
      </c>
    </row>
    <row r="177">
      <c r="A177" s="291" t="s">
        <v>4649</v>
      </c>
      <c r="B177" s="291" t="s">
        <v>4026</v>
      </c>
      <c r="C177" s="58" t="s">
        <v>4650</v>
      </c>
      <c r="D177" s="291" t="s">
        <v>4231</v>
      </c>
      <c r="E177" s="293" t="s">
        <v>4651</v>
      </c>
    </row>
    <row r="178">
      <c r="A178" s="291" t="s">
        <v>4652</v>
      </c>
      <c r="B178" s="291" t="s">
        <v>4026</v>
      </c>
      <c r="C178" s="58" t="s">
        <v>4653</v>
      </c>
      <c r="D178" s="291" t="s">
        <v>4294</v>
      </c>
      <c r="E178" s="295" t="s">
        <v>4654</v>
      </c>
    </row>
    <row r="179">
      <c r="A179" s="291" t="s">
        <v>4655</v>
      </c>
      <c r="B179" s="291" t="s">
        <v>4026</v>
      </c>
      <c r="C179" s="58" t="s">
        <v>4656</v>
      </c>
      <c r="D179" s="291" t="s">
        <v>4028</v>
      </c>
      <c r="E179" s="293" t="s">
        <v>4657</v>
      </c>
    </row>
    <row r="180">
      <c r="A180" s="291" t="s">
        <v>4655</v>
      </c>
      <c r="B180" s="291" t="s">
        <v>4026</v>
      </c>
      <c r="C180" s="58" t="s">
        <v>4658</v>
      </c>
      <c r="D180" s="291" t="s">
        <v>1686</v>
      </c>
      <c r="E180" s="293" t="s">
        <v>4659</v>
      </c>
    </row>
    <row r="181">
      <c r="A181" s="291" t="s">
        <v>4660</v>
      </c>
      <c r="B181" s="291" t="s">
        <v>4031</v>
      </c>
      <c r="C181" s="58" t="s">
        <v>4661</v>
      </c>
      <c r="D181" s="291" t="s">
        <v>4662</v>
      </c>
      <c r="E181" s="292" t="s">
        <v>4663</v>
      </c>
    </row>
    <row r="182">
      <c r="A182" s="291" t="s">
        <v>4664</v>
      </c>
      <c r="B182" s="291" t="s">
        <v>4031</v>
      </c>
      <c r="C182" s="58" t="s">
        <v>4665</v>
      </c>
      <c r="D182" s="291" t="s">
        <v>4666</v>
      </c>
      <c r="E182" s="292" t="s">
        <v>4667</v>
      </c>
    </row>
    <row r="183">
      <c r="A183" s="291" t="s">
        <v>4668</v>
      </c>
      <c r="B183" s="291" t="s">
        <v>4031</v>
      </c>
      <c r="C183" s="58" t="s">
        <v>4669</v>
      </c>
      <c r="D183" s="291" t="s">
        <v>4670</v>
      </c>
      <c r="E183" s="292" t="s">
        <v>4671</v>
      </c>
    </row>
    <row r="184">
      <c r="A184" s="291" t="s">
        <v>4672</v>
      </c>
      <c r="B184" s="291" t="s">
        <v>4031</v>
      </c>
      <c r="C184" s="58" t="s">
        <v>4673</v>
      </c>
      <c r="D184" s="291" t="s">
        <v>4674</v>
      </c>
      <c r="E184" s="292" t="s">
        <v>4675</v>
      </c>
    </row>
    <row r="185">
      <c r="A185" s="291" t="s">
        <v>4676</v>
      </c>
      <c r="B185" s="291" t="s">
        <v>4031</v>
      </c>
      <c r="C185" s="58" t="s">
        <v>4677</v>
      </c>
      <c r="D185" s="291" t="s">
        <v>4678</v>
      </c>
      <c r="E185" s="292" t="s">
        <v>4679</v>
      </c>
    </row>
    <row r="186">
      <c r="A186" s="291" t="s">
        <v>4680</v>
      </c>
      <c r="B186" s="291" t="s">
        <v>4031</v>
      </c>
      <c r="C186" s="58" t="s">
        <v>4681</v>
      </c>
      <c r="D186" s="291" t="s">
        <v>4189</v>
      </c>
      <c r="E186" s="293" t="s">
        <v>4682</v>
      </c>
    </row>
    <row r="187">
      <c r="A187" s="291" t="s">
        <v>4683</v>
      </c>
      <c r="B187" s="291" t="s">
        <v>4026</v>
      </c>
      <c r="C187" s="58" t="s">
        <v>4684</v>
      </c>
      <c r="D187" s="291" t="s">
        <v>4060</v>
      </c>
      <c r="E187" s="293" t="s">
        <v>4685</v>
      </c>
    </row>
    <row r="188">
      <c r="A188" s="291" t="s">
        <v>4686</v>
      </c>
      <c r="B188" s="291" t="s">
        <v>4026</v>
      </c>
      <c r="C188" s="58" t="s">
        <v>4687</v>
      </c>
      <c r="D188" s="291" t="s">
        <v>4643</v>
      </c>
      <c r="E188" s="295" t="s">
        <v>4688</v>
      </c>
    </row>
    <row r="189">
      <c r="A189" s="291" t="s">
        <v>4689</v>
      </c>
      <c r="B189" s="291" t="s">
        <v>4026</v>
      </c>
      <c r="C189" s="58" t="s">
        <v>4690</v>
      </c>
      <c r="D189" s="291" t="s">
        <v>4691</v>
      </c>
      <c r="E189" s="293" t="s">
        <v>4692</v>
      </c>
    </row>
    <row r="190">
      <c r="A190" s="291" t="s">
        <v>4693</v>
      </c>
      <c r="B190" s="291" t="s">
        <v>4031</v>
      </c>
      <c r="C190" s="58" t="s">
        <v>4694</v>
      </c>
      <c r="D190" s="291" t="s">
        <v>4695</v>
      </c>
      <c r="E190" s="292" t="s">
        <v>4696</v>
      </c>
    </row>
    <row r="191">
      <c r="A191" s="291" t="s">
        <v>4697</v>
      </c>
      <c r="B191" s="291" t="s">
        <v>4031</v>
      </c>
      <c r="C191" s="58" t="s">
        <v>4698</v>
      </c>
      <c r="D191" s="291" t="s">
        <v>4699</v>
      </c>
      <c r="E191" s="292" t="s">
        <v>4700</v>
      </c>
    </row>
    <row r="192">
      <c r="A192" s="291" t="s">
        <v>3611</v>
      </c>
      <c r="B192" s="291" t="s">
        <v>4031</v>
      </c>
      <c r="C192" s="58" t="s">
        <v>4701</v>
      </c>
      <c r="D192" s="305" t="s">
        <v>4702</v>
      </c>
      <c r="E192" s="293" t="s">
        <v>4703</v>
      </c>
    </row>
    <row r="193">
      <c r="A193" s="291" t="s">
        <v>4704</v>
      </c>
      <c r="B193" s="291" t="s">
        <v>4031</v>
      </c>
      <c r="C193" s="58" t="s">
        <v>4705</v>
      </c>
      <c r="D193" s="291" t="s">
        <v>4706</v>
      </c>
      <c r="E193" s="292" t="s">
        <v>4707</v>
      </c>
    </row>
    <row r="194">
      <c r="A194" s="291" t="s">
        <v>4708</v>
      </c>
      <c r="B194" s="291" t="s">
        <v>4031</v>
      </c>
      <c r="C194" s="58" t="s">
        <v>4709</v>
      </c>
      <c r="D194" s="291" t="s">
        <v>4710</v>
      </c>
      <c r="E194" s="292" t="s">
        <v>4711</v>
      </c>
    </row>
    <row r="195">
      <c r="A195" s="291" t="s">
        <v>4712</v>
      </c>
      <c r="B195" s="291" t="s">
        <v>4031</v>
      </c>
      <c r="C195" s="58" t="s">
        <v>4713</v>
      </c>
      <c r="D195" s="291" t="s">
        <v>4714</v>
      </c>
      <c r="E195" s="293" t="s">
        <v>4715</v>
      </c>
      <c r="F195" s="296" t="s">
        <v>4716</v>
      </c>
    </row>
    <row r="196">
      <c r="A196" s="291" t="s">
        <v>4717</v>
      </c>
      <c r="B196" s="291" t="s">
        <v>4031</v>
      </c>
      <c r="C196" s="58" t="s">
        <v>4718</v>
      </c>
      <c r="D196" s="291" t="s">
        <v>4428</v>
      </c>
      <c r="E196" s="292" t="s">
        <v>4700</v>
      </c>
    </row>
    <row r="197">
      <c r="A197" s="291" t="s">
        <v>4719</v>
      </c>
      <c r="B197" s="291" t="s">
        <v>4031</v>
      </c>
      <c r="C197" s="58" t="s">
        <v>4720</v>
      </c>
      <c r="D197" s="291" t="s">
        <v>4082</v>
      </c>
      <c r="E197" s="292" t="s">
        <v>4700</v>
      </c>
    </row>
    <row r="198">
      <c r="A198" s="303" t="s">
        <v>4721</v>
      </c>
      <c r="B198" s="291" t="s">
        <v>4031</v>
      </c>
      <c r="C198" s="58" t="s">
        <v>4722</v>
      </c>
      <c r="D198" s="291" t="s">
        <v>4624</v>
      </c>
      <c r="E198" s="293" t="s">
        <v>4723</v>
      </c>
    </row>
    <row r="199">
      <c r="A199" s="291" t="s">
        <v>4724</v>
      </c>
      <c r="B199" s="291" t="s">
        <v>4026</v>
      </c>
      <c r="C199" s="58" t="s">
        <v>4725</v>
      </c>
      <c r="D199" s="291" t="s">
        <v>4726</v>
      </c>
      <c r="E199" s="293" t="s">
        <v>4727</v>
      </c>
    </row>
    <row r="200">
      <c r="A200" s="291" t="s">
        <v>4728</v>
      </c>
      <c r="B200" s="291" t="s">
        <v>4026</v>
      </c>
      <c r="C200" s="58" t="s">
        <v>4729</v>
      </c>
      <c r="D200" s="291" t="s">
        <v>1686</v>
      </c>
      <c r="E200" s="293" t="s">
        <v>4730</v>
      </c>
    </row>
    <row r="201">
      <c r="A201" s="291" t="s">
        <v>4731</v>
      </c>
      <c r="B201" s="291" t="s">
        <v>4026</v>
      </c>
      <c r="C201" s="58" t="s">
        <v>4732</v>
      </c>
      <c r="D201" s="291" t="s">
        <v>4181</v>
      </c>
      <c r="E201" s="293" t="s">
        <v>4733</v>
      </c>
    </row>
    <row r="202">
      <c r="A202" s="303" t="s">
        <v>4734</v>
      </c>
      <c r="B202" s="291" t="s">
        <v>4031</v>
      </c>
      <c r="C202" s="58" t="s">
        <v>4735</v>
      </c>
      <c r="D202" s="291" t="s">
        <v>4028</v>
      </c>
      <c r="E202" s="295" t="s">
        <v>4736</v>
      </c>
    </row>
    <row r="203">
      <c r="A203" s="291" t="s">
        <v>4737</v>
      </c>
      <c r="B203" s="291" t="s">
        <v>4026</v>
      </c>
      <c r="C203" s="58" t="s">
        <v>4738</v>
      </c>
      <c r="D203" s="291" t="s">
        <v>4739</v>
      </c>
      <c r="E203" s="293" t="s">
        <v>4740</v>
      </c>
    </row>
    <row r="204">
      <c r="A204" s="291" t="s">
        <v>4741</v>
      </c>
      <c r="B204" s="291" t="s">
        <v>3326</v>
      </c>
      <c r="C204" s="58" t="s">
        <v>4742</v>
      </c>
      <c r="D204" s="304" t="s">
        <v>4222</v>
      </c>
      <c r="E204" s="293" t="s">
        <v>4743</v>
      </c>
    </row>
    <row r="205">
      <c r="A205" s="291" t="s">
        <v>4744</v>
      </c>
      <c r="B205" s="291" t="s">
        <v>4031</v>
      </c>
      <c r="C205" s="58" t="s">
        <v>4745</v>
      </c>
      <c r="D205" s="291" t="s">
        <v>4746</v>
      </c>
      <c r="E205" s="293" t="s">
        <v>4747</v>
      </c>
    </row>
    <row r="206">
      <c r="A206" s="291" t="s">
        <v>4748</v>
      </c>
      <c r="B206" s="291" t="s">
        <v>4031</v>
      </c>
      <c r="C206" s="58" t="s">
        <v>4749</v>
      </c>
      <c r="D206" s="291" t="s">
        <v>4060</v>
      </c>
      <c r="E206" s="293" t="s">
        <v>4750</v>
      </c>
    </row>
    <row r="207">
      <c r="A207" s="291" t="s">
        <v>4751</v>
      </c>
      <c r="B207" s="291" t="s">
        <v>4031</v>
      </c>
      <c r="C207" s="58" t="s">
        <v>4752</v>
      </c>
      <c r="D207" s="305" t="s">
        <v>4753</v>
      </c>
      <c r="E207" s="293" t="s">
        <v>4754</v>
      </c>
    </row>
    <row r="208">
      <c r="A208" s="291" t="s">
        <v>4755</v>
      </c>
      <c r="B208" s="291" t="s">
        <v>4026</v>
      </c>
      <c r="C208" s="58" t="s">
        <v>4756</v>
      </c>
      <c r="D208" s="291" t="s">
        <v>4231</v>
      </c>
      <c r="E208" s="293" t="s">
        <v>4757</v>
      </c>
    </row>
    <row r="209">
      <c r="A209" s="291" t="s">
        <v>4758</v>
      </c>
      <c r="B209" s="291" t="s">
        <v>4026</v>
      </c>
      <c r="C209" s="58" t="s">
        <v>4759</v>
      </c>
      <c r="D209" s="291" t="s">
        <v>4231</v>
      </c>
      <c r="E209" s="293" t="s">
        <v>4760</v>
      </c>
    </row>
    <row r="210">
      <c r="A210" s="291" t="s">
        <v>4761</v>
      </c>
      <c r="B210" s="291" t="s">
        <v>4026</v>
      </c>
      <c r="C210" s="58" t="s">
        <v>4762</v>
      </c>
      <c r="D210" s="291" t="s">
        <v>4231</v>
      </c>
      <c r="E210" s="293" t="s">
        <v>4763</v>
      </c>
    </row>
    <row r="211">
      <c r="A211" s="291" t="s">
        <v>4764</v>
      </c>
      <c r="B211" s="291" t="s">
        <v>4026</v>
      </c>
      <c r="C211" s="58" t="s">
        <v>4765</v>
      </c>
      <c r="D211" s="291" t="s">
        <v>4373</v>
      </c>
      <c r="E211" s="293" t="s">
        <v>4766</v>
      </c>
    </row>
    <row r="212">
      <c r="A212" s="291" t="s">
        <v>4767</v>
      </c>
      <c r="B212" s="291" t="s">
        <v>4026</v>
      </c>
      <c r="C212" s="58" t="s">
        <v>4768</v>
      </c>
      <c r="D212" s="291" t="s">
        <v>4201</v>
      </c>
      <c r="E212" s="293" t="s">
        <v>4769</v>
      </c>
    </row>
    <row r="213">
      <c r="A213" s="291" t="s">
        <v>4770</v>
      </c>
      <c r="B213" s="291" t="s">
        <v>4026</v>
      </c>
      <c r="C213" s="58" t="s">
        <v>4771</v>
      </c>
      <c r="D213" s="291" t="s">
        <v>4270</v>
      </c>
      <c r="E213" s="293" t="s">
        <v>4772</v>
      </c>
    </row>
    <row r="214">
      <c r="A214" s="291" t="s">
        <v>4773</v>
      </c>
      <c r="B214" s="291" t="s">
        <v>4031</v>
      </c>
      <c r="C214" s="58" t="s">
        <v>4774</v>
      </c>
      <c r="D214" s="291" t="s">
        <v>4775</v>
      </c>
      <c r="E214" s="292" t="s">
        <v>4776</v>
      </c>
    </row>
    <row r="215">
      <c r="A215" s="291"/>
      <c r="B215" s="291"/>
      <c r="C215" s="58"/>
      <c r="D215" s="291"/>
      <c r="E215" s="302"/>
    </row>
    <row r="216">
      <c r="A216" s="291"/>
      <c r="B216" s="291"/>
      <c r="C216" s="58"/>
      <c r="D216" s="291"/>
      <c r="E216" s="302"/>
    </row>
    <row r="217">
      <c r="A217" s="291"/>
      <c r="B217" s="291"/>
      <c r="C217" s="58"/>
      <c r="D217" s="291"/>
      <c r="E217" s="302"/>
    </row>
    <row r="218">
      <c r="A218" s="291"/>
      <c r="B218" s="291"/>
      <c r="C218" s="58"/>
      <c r="D218" s="291"/>
      <c r="E218" s="302"/>
    </row>
    <row r="219">
      <c r="A219" s="291"/>
      <c r="B219" s="291"/>
      <c r="C219" s="58"/>
      <c r="D219" s="291"/>
      <c r="E219" s="302"/>
    </row>
    <row r="220">
      <c r="A220" s="291"/>
      <c r="B220" s="291"/>
      <c r="C220" s="58"/>
      <c r="D220" s="291"/>
      <c r="E220" s="302"/>
    </row>
    <row r="221">
      <c r="A221" s="291"/>
      <c r="B221" s="291"/>
      <c r="C221" s="58"/>
      <c r="D221" s="291"/>
      <c r="E221" s="302"/>
    </row>
    <row r="222">
      <c r="A222" s="291"/>
      <c r="B222" s="291"/>
      <c r="C222" s="58"/>
      <c r="D222" s="291"/>
      <c r="E222" s="302"/>
    </row>
    <row r="223">
      <c r="A223" s="291"/>
      <c r="B223" s="291"/>
      <c r="C223" s="58"/>
      <c r="D223" s="291"/>
      <c r="E223" s="302"/>
    </row>
    <row r="224">
      <c r="A224" s="291"/>
      <c r="C224" s="58"/>
      <c r="D224" s="291"/>
      <c r="E224" s="302"/>
    </row>
    <row r="225">
      <c r="A225" s="291"/>
      <c r="C225" s="58"/>
      <c r="D225" s="291"/>
      <c r="E225" s="302"/>
    </row>
    <row r="226">
      <c r="A226" s="291"/>
      <c r="C226" s="58"/>
      <c r="D226" s="291"/>
      <c r="E226" s="302"/>
    </row>
    <row r="227">
      <c r="A227" s="291"/>
      <c r="C227" s="58"/>
      <c r="D227" s="291"/>
      <c r="E227" s="302"/>
    </row>
    <row r="228">
      <c r="A228" s="291"/>
      <c r="C228" s="58"/>
      <c r="D228" s="291"/>
      <c r="E228" s="302"/>
    </row>
    <row r="229">
      <c r="A229" s="291"/>
      <c r="C229" s="58"/>
      <c r="D229" s="291"/>
      <c r="E229" s="302"/>
    </row>
    <row r="230">
      <c r="A230" s="291"/>
      <c r="C230" s="58"/>
      <c r="D230" s="291"/>
      <c r="E230" s="302"/>
    </row>
    <row r="231">
      <c r="A231" s="291"/>
      <c r="C231" s="58"/>
      <c r="D231" s="291"/>
      <c r="E231" s="302"/>
    </row>
    <row r="232">
      <c r="A232" s="291"/>
      <c r="C232" s="58"/>
      <c r="D232" s="291"/>
      <c r="E232" s="302"/>
    </row>
    <row r="233">
      <c r="A233" s="291"/>
      <c r="C233" s="58"/>
      <c r="D233" s="291"/>
      <c r="E233" s="302"/>
    </row>
    <row r="234">
      <c r="A234" s="291"/>
      <c r="C234" s="58"/>
      <c r="D234" s="291"/>
      <c r="E234" s="302"/>
    </row>
    <row r="235">
      <c r="A235" s="291"/>
      <c r="C235" s="58"/>
      <c r="D235" s="291"/>
      <c r="E235" s="302"/>
    </row>
    <row r="236">
      <c r="A236" s="291"/>
      <c r="C236" s="58"/>
      <c r="D236" s="291"/>
      <c r="E236" s="302"/>
    </row>
    <row r="237">
      <c r="A237" s="291"/>
      <c r="C237" s="58"/>
      <c r="D237" s="291"/>
      <c r="E237" s="302"/>
    </row>
    <row r="238">
      <c r="A238" s="291"/>
      <c r="C238" s="58"/>
      <c r="D238" s="291"/>
      <c r="E238" s="302"/>
    </row>
    <row r="239">
      <c r="A239" s="291"/>
      <c r="C239" s="58"/>
      <c r="D239" s="291"/>
      <c r="E239" s="302"/>
    </row>
    <row r="240">
      <c r="A240" s="291"/>
      <c r="C240" s="58"/>
      <c r="D240" s="291"/>
      <c r="E240" s="302"/>
    </row>
    <row r="241">
      <c r="A241" s="291"/>
      <c r="C241" s="58"/>
      <c r="D241" s="291"/>
      <c r="E241" s="302"/>
    </row>
    <row r="242">
      <c r="A242" s="291"/>
      <c r="C242" s="58"/>
      <c r="D242" s="291"/>
      <c r="E242" s="302"/>
    </row>
    <row r="243">
      <c r="A243" s="291"/>
      <c r="C243" s="58"/>
      <c r="D243" s="291"/>
      <c r="E243" s="302"/>
    </row>
    <row r="244">
      <c r="A244" s="291"/>
      <c r="C244" s="58"/>
      <c r="D244" s="291"/>
      <c r="E244" s="302"/>
    </row>
    <row r="245">
      <c r="A245" s="291"/>
      <c r="C245" s="58"/>
      <c r="D245" s="291"/>
      <c r="E245" s="302"/>
    </row>
    <row r="246">
      <c r="A246" s="291"/>
      <c r="C246" s="58"/>
      <c r="D246" s="291"/>
      <c r="E246" s="302"/>
    </row>
    <row r="247">
      <c r="A247" s="291"/>
      <c r="C247" s="58"/>
      <c r="D247" s="291"/>
      <c r="E247" s="302"/>
    </row>
    <row r="248">
      <c r="A248" s="291"/>
      <c r="C248" s="58"/>
      <c r="D248" s="291"/>
      <c r="E248" s="302"/>
    </row>
    <row r="249">
      <c r="A249" s="291"/>
      <c r="C249" s="58"/>
      <c r="D249" s="291"/>
      <c r="E249" s="302"/>
    </row>
    <row r="250">
      <c r="A250" s="291"/>
      <c r="C250" s="58"/>
      <c r="D250" s="291"/>
      <c r="E250" s="302"/>
    </row>
    <row r="251">
      <c r="A251" s="291"/>
      <c r="C251" s="58"/>
      <c r="D251" s="291"/>
      <c r="E251" s="302"/>
    </row>
    <row r="252">
      <c r="A252" s="291"/>
      <c r="C252" s="58"/>
      <c r="D252" s="291"/>
      <c r="E252" s="302"/>
    </row>
    <row r="253">
      <c r="A253" s="291"/>
      <c r="C253" s="58"/>
      <c r="D253" s="291"/>
      <c r="E253" s="302"/>
    </row>
    <row r="254">
      <c r="A254" s="291"/>
      <c r="C254" s="58"/>
      <c r="D254" s="291"/>
      <c r="E254" s="302"/>
    </row>
    <row r="255">
      <c r="A255" s="291"/>
      <c r="C255" s="58"/>
      <c r="D255" s="291"/>
      <c r="E255" s="302"/>
    </row>
    <row r="256">
      <c r="A256" s="291"/>
      <c r="C256" s="58"/>
      <c r="D256" s="291"/>
      <c r="E256" s="302"/>
    </row>
    <row r="257">
      <c r="A257" s="291"/>
      <c r="C257" s="58"/>
      <c r="D257" s="291"/>
      <c r="E257" s="302"/>
    </row>
    <row r="258">
      <c r="A258" s="291"/>
      <c r="C258" s="58"/>
      <c r="D258" s="291"/>
      <c r="E258" s="302"/>
    </row>
    <row r="259">
      <c r="A259" s="291"/>
      <c r="C259" s="58"/>
      <c r="D259" s="291"/>
      <c r="E259" s="302"/>
    </row>
    <row r="260">
      <c r="A260" s="291"/>
      <c r="C260" s="58"/>
      <c r="D260" s="291"/>
      <c r="E260" s="302"/>
    </row>
    <row r="261">
      <c r="A261" s="291"/>
      <c r="C261" s="58"/>
      <c r="D261" s="291"/>
      <c r="E261" s="302"/>
    </row>
    <row r="262">
      <c r="A262" s="291"/>
      <c r="C262" s="58"/>
      <c r="D262" s="291"/>
      <c r="E262" s="302"/>
    </row>
    <row r="263">
      <c r="A263" s="291"/>
      <c r="C263" s="58"/>
      <c r="D263" s="291"/>
      <c r="E263" s="302"/>
    </row>
    <row r="264">
      <c r="A264" s="291"/>
      <c r="C264" s="58"/>
      <c r="D264" s="291"/>
      <c r="E264" s="302"/>
    </row>
    <row r="265">
      <c r="A265" s="291"/>
      <c r="C265" s="58"/>
      <c r="D265" s="291"/>
      <c r="E265" s="302"/>
    </row>
    <row r="266">
      <c r="A266" s="291"/>
      <c r="C266" s="58"/>
      <c r="D266" s="291"/>
      <c r="E266" s="302"/>
    </row>
    <row r="267">
      <c r="A267" s="291"/>
      <c r="C267" s="58"/>
      <c r="D267" s="291"/>
      <c r="E267" s="302"/>
    </row>
    <row r="268">
      <c r="A268" s="291"/>
      <c r="C268" s="58"/>
      <c r="D268" s="291"/>
      <c r="E268" s="302"/>
    </row>
    <row r="269">
      <c r="A269" s="291"/>
      <c r="C269" s="58"/>
      <c r="D269" s="291"/>
      <c r="E269" s="302"/>
    </row>
    <row r="270">
      <c r="A270" s="291"/>
      <c r="C270" s="58"/>
      <c r="D270" s="291"/>
      <c r="E270" s="302"/>
    </row>
    <row r="271">
      <c r="A271" s="291"/>
      <c r="C271" s="58"/>
      <c r="D271" s="291"/>
      <c r="E271" s="302"/>
    </row>
    <row r="272">
      <c r="A272" s="291"/>
      <c r="C272" s="58"/>
      <c r="D272" s="291"/>
      <c r="E272" s="302"/>
    </row>
    <row r="273">
      <c r="A273" s="291"/>
      <c r="C273" s="58"/>
      <c r="D273" s="291"/>
      <c r="E273" s="302"/>
    </row>
    <row r="274">
      <c r="A274" s="291"/>
      <c r="C274" s="58"/>
      <c r="D274" s="291"/>
      <c r="E274" s="302"/>
    </row>
    <row r="275">
      <c r="A275" s="291"/>
      <c r="C275" s="58"/>
      <c r="D275" s="291"/>
      <c r="E275" s="302"/>
    </row>
    <row r="276">
      <c r="A276" s="291"/>
      <c r="C276" s="58"/>
      <c r="D276" s="291"/>
      <c r="E276" s="302"/>
    </row>
    <row r="277">
      <c r="A277" s="291"/>
      <c r="C277" s="58"/>
      <c r="D277" s="291"/>
      <c r="E277" s="302"/>
    </row>
    <row r="278">
      <c r="A278" s="291"/>
      <c r="C278" s="58"/>
      <c r="D278" s="291"/>
      <c r="E278" s="302"/>
    </row>
    <row r="279">
      <c r="A279" s="291"/>
      <c r="C279" s="58"/>
      <c r="D279" s="291"/>
      <c r="E279" s="302"/>
    </row>
    <row r="280">
      <c r="A280" s="291"/>
      <c r="C280" s="58"/>
      <c r="D280" s="291"/>
      <c r="E280" s="302"/>
    </row>
    <row r="281">
      <c r="A281" s="291"/>
      <c r="C281" s="58"/>
      <c r="D281" s="291"/>
      <c r="E281" s="302"/>
    </row>
    <row r="282">
      <c r="A282" s="291"/>
      <c r="C282" s="58"/>
      <c r="D282" s="291"/>
      <c r="E282" s="302"/>
    </row>
    <row r="283">
      <c r="A283" s="291"/>
      <c r="C283" s="58"/>
      <c r="D283" s="291"/>
      <c r="E283" s="302"/>
    </row>
    <row r="284">
      <c r="A284" s="291"/>
      <c r="C284" s="58"/>
      <c r="D284" s="291"/>
      <c r="E284" s="302"/>
    </row>
    <row r="285">
      <c r="A285" s="291"/>
      <c r="C285" s="58"/>
      <c r="D285" s="291"/>
      <c r="E285" s="302"/>
    </row>
    <row r="286">
      <c r="A286" s="291"/>
      <c r="C286" s="58"/>
      <c r="D286" s="291"/>
      <c r="E286" s="302"/>
    </row>
    <row r="287">
      <c r="A287" s="291"/>
      <c r="C287" s="58"/>
      <c r="D287" s="291"/>
      <c r="E287" s="302"/>
    </row>
    <row r="288">
      <c r="A288" s="291"/>
      <c r="C288" s="58"/>
      <c r="D288" s="291"/>
      <c r="E288" s="302"/>
    </row>
    <row r="289">
      <c r="A289" s="291"/>
      <c r="C289" s="58"/>
      <c r="D289" s="291"/>
      <c r="E289" s="302"/>
    </row>
    <row r="290">
      <c r="A290" s="291"/>
      <c r="C290" s="58"/>
      <c r="D290" s="291"/>
      <c r="E290" s="302"/>
    </row>
    <row r="291">
      <c r="A291" s="291"/>
      <c r="C291" s="58"/>
      <c r="D291" s="291"/>
      <c r="E291" s="302"/>
    </row>
    <row r="292">
      <c r="A292" s="291"/>
      <c r="C292" s="58"/>
      <c r="D292" s="291"/>
      <c r="E292" s="302"/>
    </row>
    <row r="293">
      <c r="A293" s="291"/>
      <c r="C293" s="58"/>
      <c r="D293" s="291"/>
      <c r="E293" s="302"/>
    </row>
    <row r="294">
      <c r="A294" s="291"/>
      <c r="C294" s="58"/>
      <c r="D294" s="291"/>
      <c r="E294" s="302"/>
    </row>
    <row r="295">
      <c r="A295" s="291"/>
      <c r="C295" s="58"/>
      <c r="D295" s="291"/>
      <c r="E295" s="302"/>
    </row>
    <row r="296">
      <c r="A296" s="291"/>
      <c r="C296" s="58"/>
      <c r="D296" s="291"/>
      <c r="E296" s="302"/>
    </row>
    <row r="297">
      <c r="A297" s="291"/>
      <c r="C297" s="58"/>
      <c r="D297" s="291"/>
      <c r="E297" s="302"/>
    </row>
    <row r="298">
      <c r="A298" s="291"/>
      <c r="C298" s="58"/>
      <c r="D298" s="291"/>
      <c r="E298" s="302"/>
    </row>
    <row r="299">
      <c r="A299" s="291"/>
      <c r="C299" s="58"/>
      <c r="D299" s="291"/>
      <c r="E299" s="302"/>
    </row>
    <row r="300">
      <c r="A300" s="291"/>
      <c r="C300" s="58"/>
      <c r="D300" s="291"/>
      <c r="E300" s="302"/>
    </row>
    <row r="301">
      <c r="A301" s="291"/>
      <c r="C301" s="58"/>
      <c r="D301" s="291"/>
      <c r="E301" s="302"/>
    </row>
    <row r="302">
      <c r="A302" s="291"/>
      <c r="C302" s="58"/>
      <c r="D302" s="291"/>
      <c r="E302" s="302"/>
    </row>
    <row r="303">
      <c r="A303" s="291"/>
      <c r="C303" s="58"/>
      <c r="D303" s="291"/>
      <c r="E303" s="302"/>
    </row>
    <row r="304">
      <c r="A304" s="291"/>
      <c r="C304" s="58"/>
      <c r="D304" s="291"/>
      <c r="E304" s="302"/>
    </row>
    <row r="305">
      <c r="A305" s="291"/>
      <c r="C305" s="58"/>
      <c r="D305" s="291"/>
      <c r="E305" s="302"/>
    </row>
    <row r="306">
      <c r="A306" s="291"/>
      <c r="C306" s="58"/>
      <c r="D306" s="291"/>
      <c r="E306" s="302"/>
    </row>
    <row r="307">
      <c r="A307" s="291"/>
      <c r="C307" s="58"/>
      <c r="D307" s="291"/>
      <c r="E307" s="302"/>
    </row>
    <row r="308">
      <c r="A308" s="291"/>
      <c r="C308" s="58"/>
      <c r="D308" s="291"/>
      <c r="E308" s="302"/>
    </row>
    <row r="309">
      <c r="A309" s="291"/>
      <c r="C309" s="58"/>
      <c r="D309" s="291"/>
      <c r="E309" s="302"/>
    </row>
    <row r="310">
      <c r="A310" s="291"/>
      <c r="C310" s="58"/>
      <c r="D310" s="291"/>
      <c r="E310" s="302"/>
    </row>
    <row r="311">
      <c r="A311" s="291"/>
      <c r="C311" s="58"/>
      <c r="D311" s="291"/>
      <c r="E311" s="302"/>
    </row>
    <row r="312">
      <c r="A312" s="291"/>
      <c r="C312" s="58"/>
      <c r="D312" s="291"/>
      <c r="E312" s="302"/>
    </row>
    <row r="313">
      <c r="A313" s="291"/>
      <c r="C313" s="58"/>
      <c r="D313" s="291"/>
      <c r="E313" s="302"/>
    </row>
    <row r="314">
      <c r="A314" s="291"/>
      <c r="C314" s="58"/>
      <c r="D314" s="291"/>
      <c r="E314" s="302"/>
    </row>
    <row r="315">
      <c r="A315" s="291"/>
      <c r="C315" s="58"/>
      <c r="D315" s="291"/>
      <c r="E315" s="302"/>
    </row>
    <row r="316">
      <c r="A316" s="291"/>
      <c r="C316" s="58"/>
      <c r="D316" s="291"/>
      <c r="E316" s="302"/>
    </row>
    <row r="317">
      <c r="A317" s="291"/>
      <c r="C317" s="58"/>
      <c r="D317" s="291"/>
      <c r="E317" s="302"/>
    </row>
    <row r="318">
      <c r="A318" s="291"/>
      <c r="C318" s="58"/>
      <c r="D318" s="291"/>
      <c r="E318" s="302"/>
    </row>
    <row r="319">
      <c r="A319" s="291"/>
      <c r="C319" s="58"/>
      <c r="D319" s="291"/>
      <c r="E319" s="302"/>
    </row>
    <row r="320">
      <c r="A320" s="291"/>
      <c r="C320" s="58"/>
      <c r="D320" s="291"/>
      <c r="E320" s="302"/>
    </row>
    <row r="321">
      <c r="A321" s="291"/>
      <c r="C321" s="58"/>
      <c r="D321" s="291"/>
      <c r="E321" s="302"/>
    </row>
    <row r="322">
      <c r="A322" s="291"/>
      <c r="C322" s="58"/>
      <c r="D322" s="291"/>
      <c r="E322" s="302"/>
    </row>
    <row r="323">
      <c r="A323" s="291"/>
      <c r="C323" s="58"/>
      <c r="D323" s="291"/>
      <c r="E323" s="302"/>
    </row>
    <row r="324">
      <c r="A324" s="291"/>
      <c r="C324" s="58"/>
      <c r="D324" s="291"/>
      <c r="E324" s="302"/>
    </row>
    <row r="325">
      <c r="A325" s="291"/>
      <c r="C325" s="58"/>
      <c r="D325" s="291"/>
      <c r="E325" s="302"/>
    </row>
    <row r="326">
      <c r="A326" s="291"/>
      <c r="C326" s="58"/>
      <c r="D326" s="291"/>
      <c r="E326" s="302"/>
    </row>
    <row r="327">
      <c r="A327" s="291"/>
      <c r="C327" s="58"/>
      <c r="D327" s="291"/>
      <c r="E327" s="302"/>
    </row>
    <row r="328">
      <c r="A328" s="291"/>
      <c r="C328" s="58"/>
      <c r="D328" s="291"/>
      <c r="E328" s="302"/>
    </row>
    <row r="329">
      <c r="A329" s="291"/>
      <c r="C329" s="58"/>
      <c r="D329" s="291"/>
      <c r="E329" s="302"/>
    </row>
    <row r="330">
      <c r="A330" s="291"/>
      <c r="C330" s="58"/>
      <c r="D330" s="291"/>
      <c r="E330" s="302"/>
    </row>
    <row r="331">
      <c r="A331" s="291"/>
      <c r="C331" s="58"/>
      <c r="D331" s="291"/>
      <c r="E331" s="302"/>
    </row>
    <row r="332">
      <c r="A332" s="291"/>
      <c r="C332" s="58"/>
      <c r="D332" s="291"/>
      <c r="E332" s="302"/>
    </row>
    <row r="333">
      <c r="A333" s="291"/>
      <c r="C333" s="58"/>
      <c r="D333" s="291"/>
      <c r="E333" s="302"/>
    </row>
    <row r="334">
      <c r="A334" s="291"/>
      <c r="C334" s="58"/>
      <c r="D334" s="291"/>
      <c r="E334" s="302"/>
    </row>
    <row r="335">
      <c r="A335" s="291"/>
      <c r="C335" s="58"/>
      <c r="D335" s="291"/>
      <c r="E335" s="302"/>
    </row>
    <row r="336">
      <c r="A336" s="291"/>
      <c r="C336" s="58"/>
      <c r="D336" s="291"/>
      <c r="E336" s="302"/>
    </row>
    <row r="337">
      <c r="A337" s="291"/>
      <c r="C337" s="58"/>
      <c r="D337" s="291"/>
      <c r="E337" s="302"/>
    </row>
    <row r="338">
      <c r="A338" s="291"/>
      <c r="C338" s="58"/>
      <c r="D338" s="291"/>
      <c r="E338" s="302"/>
    </row>
    <row r="339">
      <c r="A339" s="291"/>
      <c r="C339" s="58"/>
      <c r="D339" s="291"/>
      <c r="E339" s="302"/>
    </row>
    <row r="340">
      <c r="A340" s="291"/>
      <c r="C340" s="58"/>
      <c r="D340" s="291"/>
      <c r="E340" s="302"/>
    </row>
    <row r="341">
      <c r="A341" s="291"/>
      <c r="C341" s="58"/>
      <c r="D341" s="291"/>
      <c r="E341" s="302"/>
    </row>
    <row r="342">
      <c r="A342" s="291"/>
      <c r="C342" s="58"/>
      <c r="D342" s="291"/>
      <c r="E342" s="302"/>
    </row>
    <row r="343">
      <c r="A343" s="291"/>
      <c r="C343" s="58"/>
      <c r="D343" s="291"/>
      <c r="E343" s="302"/>
    </row>
    <row r="344">
      <c r="A344" s="291"/>
      <c r="C344" s="58"/>
      <c r="D344" s="291"/>
      <c r="E344" s="302"/>
    </row>
    <row r="345">
      <c r="A345" s="291"/>
      <c r="C345" s="58"/>
      <c r="D345" s="291"/>
      <c r="E345" s="302"/>
    </row>
    <row r="346">
      <c r="A346" s="291"/>
      <c r="C346" s="58"/>
      <c r="D346" s="291"/>
      <c r="E346" s="302"/>
    </row>
    <row r="347">
      <c r="A347" s="291"/>
      <c r="C347" s="58"/>
      <c r="D347" s="291"/>
      <c r="E347" s="302"/>
    </row>
    <row r="348">
      <c r="A348" s="291"/>
      <c r="C348" s="58"/>
      <c r="D348" s="291"/>
      <c r="E348" s="302"/>
    </row>
    <row r="349">
      <c r="A349" s="291"/>
      <c r="C349" s="58"/>
      <c r="D349" s="291"/>
      <c r="E349" s="302"/>
    </row>
    <row r="350">
      <c r="A350" s="291"/>
      <c r="C350" s="58"/>
      <c r="D350" s="291"/>
      <c r="E350" s="302"/>
    </row>
    <row r="351">
      <c r="A351" s="291"/>
      <c r="C351" s="58"/>
      <c r="D351" s="291"/>
      <c r="E351" s="302"/>
    </row>
    <row r="352">
      <c r="A352" s="291"/>
      <c r="C352" s="58"/>
      <c r="D352" s="291"/>
      <c r="E352" s="302"/>
    </row>
    <row r="353">
      <c r="A353" s="291"/>
      <c r="C353" s="58"/>
      <c r="D353" s="291"/>
      <c r="E353" s="302"/>
    </row>
    <row r="354">
      <c r="A354" s="291"/>
      <c r="C354" s="58"/>
      <c r="D354" s="291"/>
      <c r="E354" s="302"/>
    </row>
    <row r="355">
      <c r="A355" s="291"/>
      <c r="C355" s="58"/>
      <c r="D355" s="291"/>
      <c r="E355" s="302"/>
    </row>
    <row r="356">
      <c r="A356" s="291"/>
      <c r="C356" s="58"/>
      <c r="D356" s="291"/>
      <c r="E356" s="302"/>
    </row>
    <row r="357">
      <c r="A357" s="291"/>
      <c r="C357" s="58"/>
      <c r="D357" s="291"/>
      <c r="E357" s="302"/>
    </row>
    <row r="358">
      <c r="A358" s="291"/>
      <c r="C358" s="58"/>
      <c r="D358" s="291"/>
      <c r="E358" s="302"/>
    </row>
    <row r="359">
      <c r="A359" s="291"/>
      <c r="C359" s="58"/>
      <c r="D359" s="291"/>
      <c r="E359" s="302"/>
    </row>
    <row r="360">
      <c r="A360" s="291"/>
      <c r="C360" s="58"/>
      <c r="D360" s="291"/>
      <c r="E360" s="302"/>
    </row>
    <row r="361">
      <c r="A361" s="291"/>
      <c r="C361" s="58"/>
      <c r="D361" s="291"/>
      <c r="E361" s="302"/>
    </row>
    <row r="362">
      <c r="A362" s="291"/>
      <c r="C362" s="58"/>
      <c r="D362" s="291"/>
      <c r="E362" s="302"/>
    </row>
    <row r="363">
      <c r="A363" s="291"/>
      <c r="C363" s="58"/>
      <c r="D363" s="291"/>
      <c r="E363" s="302"/>
    </row>
    <row r="364">
      <c r="A364" s="291"/>
      <c r="C364" s="58"/>
      <c r="D364" s="291"/>
      <c r="E364" s="302"/>
    </row>
    <row r="365">
      <c r="A365" s="291"/>
      <c r="C365" s="58"/>
      <c r="D365" s="291"/>
      <c r="E365" s="302"/>
    </row>
    <row r="366">
      <c r="A366" s="291"/>
      <c r="C366" s="58"/>
      <c r="D366" s="291"/>
      <c r="E366" s="302"/>
    </row>
    <row r="367">
      <c r="A367" s="291"/>
      <c r="C367" s="58"/>
      <c r="D367" s="291"/>
      <c r="E367" s="302"/>
    </row>
    <row r="368">
      <c r="A368" s="291"/>
      <c r="C368" s="58"/>
      <c r="D368" s="291"/>
      <c r="E368" s="302"/>
    </row>
    <row r="369">
      <c r="A369" s="291"/>
      <c r="C369" s="58"/>
      <c r="D369" s="291"/>
      <c r="E369" s="302"/>
    </row>
    <row r="370">
      <c r="A370" s="291"/>
      <c r="C370" s="58"/>
      <c r="D370" s="291"/>
      <c r="E370" s="302"/>
    </row>
    <row r="371">
      <c r="A371" s="291"/>
      <c r="C371" s="58"/>
      <c r="D371" s="291"/>
      <c r="E371" s="302"/>
    </row>
    <row r="372">
      <c r="A372" s="291"/>
      <c r="C372" s="58"/>
      <c r="D372" s="291"/>
      <c r="E372" s="302"/>
    </row>
    <row r="373">
      <c r="A373" s="291"/>
      <c r="C373" s="58"/>
      <c r="D373" s="291"/>
      <c r="E373" s="302"/>
    </row>
    <row r="374">
      <c r="A374" s="291"/>
      <c r="C374" s="58"/>
      <c r="D374" s="291"/>
      <c r="E374" s="302"/>
    </row>
    <row r="375">
      <c r="A375" s="291"/>
      <c r="C375" s="58"/>
      <c r="D375" s="291"/>
      <c r="E375" s="302"/>
    </row>
    <row r="376">
      <c r="A376" s="291"/>
      <c r="C376" s="58"/>
      <c r="D376" s="291"/>
      <c r="E376" s="302"/>
    </row>
    <row r="377">
      <c r="A377" s="291"/>
      <c r="C377" s="58"/>
      <c r="D377" s="291"/>
      <c r="E377" s="302"/>
    </row>
    <row r="378">
      <c r="A378" s="291"/>
      <c r="C378" s="58"/>
      <c r="D378" s="291"/>
      <c r="E378" s="302"/>
    </row>
    <row r="379">
      <c r="A379" s="291"/>
      <c r="C379" s="58"/>
      <c r="D379" s="291"/>
      <c r="E379" s="302"/>
    </row>
    <row r="380">
      <c r="A380" s="291"/>
      <c r="C380" s="58"/>
      <c r="D380" s="291"/>
      <c r="E380" s="302"/>
    </row>
    <row r="381">
      <c r="A381" s="291"/>
      <c r="C381" s="58"/>
      <c r="D381" s="291"/>
      <c r="E381" s="302"/>
    </row>
    <row r="382">
      <c r="A382" s="291"/>
      <c r="C382" s="58"/>
      <c r="D382" s="291"/>
      <c r="E382" s="302"/>
    </row>
    <row r="383">
      <c r="A383" s="291"/>
      <c r="C383" s="58"/>
      <c r="D383" s="291"/>
      <c r="E383" s="302"/>
    </row>
    <row r="384">
      <c r="A384" s="291"/>
      <c r="C384" s="58"/>
      <c r="D384" s="291"/>
      <c r="E384" s="302"/>
    </row>
    <row r="385">
      <c r="A385" s="291"/>
      <c r="C385" s="58"/>
      <c r="D385" s="291"/>
      <c r="E385" s="302"/>
    </row>
    <row r="386">
      <c r="A386" s="291"/>
      <c r="C386" s="58"/>
      <c r="D386" s="291"/>
      <c r="E386" s="302"/>
    </row>
    <row r="387">
      <c r="A387" s="291"/>
      <c r="C387" s="58"/>
      <c r="D387" s="291"/>
      <c r="E387" s="302"/>
    </row>
    <row r="388">
      <c r="A388" s="291"/>
      <c r="C388" s="58"/>
      <c r="D388" s="291"/>
      <c r="E388" s="302"/>
    </row>
    <row r="389">
      <c r="A389" s="291"/>
      <c r="C389" s="58"/>
      <c r="D389" s="291"/>
      <c r="E389" s="302"/>
    </row>
    <row r="390">
      <c r="A390" s="291"/>
      <c r="C390" s="58"/>
      <c r="D390" s="291"/>
      <c r="E390" s="302"/>
    </row>
    <row r="391">
      <c r="A391" s="291"/>
      <c r="C391" s="58"/>
      <c r="D391" s="291"/>
      <c r="E391" s="302"/>
    </row>
    <row r="392">
      <c r="A392" s="291"/>
      <c r="C392" s="58"/>
      <c r="D392" s="291"/>
      <c r="E392" s="302"/>
    </row>
    <row r="393">
      <c r="A393" s="291"/>
      <c r="C393" s="58"/>
      <c r="D393" s="291"/>
      <c r="E393" s="302"/>
    </row>
    <row r="394">
      <c r="A394" s="291"/>
      <c r="C394" s="58"/>
      <c r="D394" s="291"/>
      <c r="E394" s="302"/>
    </row>
    <row r="395">
      <c r="A395" s="291"/>
      <c r="C395" s="58"/>
      <c r="D395" s="291"/>
      <c r="E395" s="302"/>
    </row>
    <row r="396">
      <c r="A396" s="291"/>
      <c r="C396" s="58"/>
      <c r="D396" s="291"/>
      <c r="E396" s="302"/>
    </row>
    <row r="397">
      <c r="A397" s="291"/>
      <c r="C397" s="58"/>
      <c r="D397" s="291"/>
      <c r="E397" s="302"/>
    </row>
    <row r="398">
      <c r="A398" s="291"/>
      <c r="C398" s="58"/>
      <c r="D398" s="291"/>
      <c r="E398" s="302"/>
    </row>
    <row r="399">
      <c r="A399" s="291"/>
      <c r="C399" s="58"/>
      <c r="D399" s="291"/>
      <c r="E399" s="302"/>
    </row>
    <row r="400">
      <c r="A400" s="291"/>
      <c r="C400" s="58"/>
      <c r="D400" s="291"/>
      <c r="E400" s="302"/>
    </row>
    <row r="401">
      <c r="A401" s="291"/>
      <c r="C401" s="58"/>
      <c r="D401" s="291"/>
      <c r="E401" s="302"/>
    </row>
    <row r="402">
      <c r="A402" s="291"/>
      <c r="C402" s="58"/>
      <c r="D402" s="291"/>
      <c r="E402" s="302"/>
    </row>
    <row r="403">
      <c r="A403" s="291"/>
      <c r="C403" s="58"/>
      <c r="D403" s="291"/>
      <c r="E403" s="302"/>
    </row>
    <row r="404">
      <c r="A404" s="291"/>
      <c r="C404" s="58"/>
      <c r="D404" s="291"/>
      <c r="E404" s="302"/>
    </row>
    <row r="405">
      <c r="A405" s="291"/>
      <c r="C405" s="58"/>
      <c r="D405" s="291"/>
      <c r="E405" s="302"/>
    </row>
    <row r="406">
      <c r="A406" s="291"/>
      <c r="C406" s="58"/>
      <c r="D406" s="291"/>
      <c r="E406" s="302"/>
    </row>
    <row r="407">
      <c r="A407" s="291"/>
      <c r="C407" s="58"/>
      <c r="D407" s="291"/>
      <c r="E407" s="302"/>
    </row>
    <row r="408">
      <c r="A408" s="291"/>
      <c r="C408" s="58"/>
      <c r="D408" s="291"/>
      <c r="E408" s="302"/>
    </row>
    <row r="409">
      <c r="A409" s="291"/>
      <c r="C409" s="58"/>
      <c r="D409" s="291"/>
      <c r="E409" s="302"/>
    </row>
    <row r="410">
      <c r="A410" s="291"/>
      <c r="C410" s="58"/>
      <c r="D410" s="291"/>
      <c r="E410" s="302"/>
    </row>
    <row r="411">
      <c r="A411" s="291"/>
      <c r="C411" s="58"/>
      <c r="D411" s="291"/>
      <c r="E411" s="302"/>
    </row>
    <row r="412">
      <c r="A412" s="291"/>
      <c r="C412" s="58"/>
      <c r="D412" s="291"/>
      <c r="E412" s="302"/>
    </row>
    <row r="413">
      <c r="A413" s="291"/>
      <c r="C413" s="58"/>
      <c r="D413" s="291"/>
      <c r="E413" s="302"/>
    </row>
    <row r="414">
      <c r="A414" s="291"/>
      <c r="C414" s="58"/>
      <c r="D414" s="291"/>
      <c r="E414" s="302"/>
    </row>
    <row r="415">
      <c r="A415" s="291"/>
      <c r="C415" s="58"/>
      <c r="D415" s="291"/>
      <c r="E415" s="302"/>
    </row>
    <row r="416">
      <c r="A416" s="291"/>
      <c r="C416" s="58"/>
      <c r="D416" s="291"/>
      <c r="E416" s="302"/>
    </row>
    <row r="417">
      <c r="A417" s="291"/>
      <c r="C417" s="58"/>
      <c r="D417" s="291"/>
      <c r="E417" s="302"/>
    </row>
    <row r="418">
      <c r="A418" s="291"/>
      <c r="C418" s="58"/>
      <c r="D418" s="291"/>
      <c r="E418" s="302"/>
    </row>
    <row r="419">
      <c r="A419" s="291"/>
      <c r="C419" s="58"/>
      <c r="D419" s="291"/>
      <c r="E419" s="302"/>
    </row>
    <row r="420">
      <c r="A420" s="291"/>
      <c r="C420" s="58"/>
      <c r="D420" s="291"/>
      <c r="E420" s="302"/>
    </row>
    <row r="421">
      <c r="A421" s="291"/>
      <c r="C421" s="58"/>
      <c r="D421" s="291"/>
      <c r="E421" s="302"/>
    </row>
    <row r="422">
      <c r="A422" s="291"/>
      <c r="C422" s="58"/>
      <c r="D422" s="291"/>
      <c r="E422" s="302"/>
    </row>
    <row r="423">
      <c r="A423" s="291"/>
      <c r="C423" s="58"/>
      <c r="D423" s="291"/>
      <c r="E423" s="302"/>
    </row>
    <row r="424">
      <c r="A424" s="291"/>
      <c r="C424" s="58"/>
      <c r="D424" s="291"/>
      <c r="E424" s="302"/>
    </row>
    <row r="425">
      <c r="A425" s="291"/>
      <c r="C425" s="58"/>
      <c r="D425" s="291"/>
      <c r="E425" s="302"/>
    </row>
    <row r="426">
      <c r="A426" s="291"/>
      <c r="C426" s="58"/>
      <c r="D426" s="291"/>
      <c r="E426" s="302"/>
    </row>
    <row r="427">
      <c r="A427" s="291"/>
      <c r="C427" s="58"/>
      <c r="D427" s="291"/>
      <c r="E427" s="302"/>
    </row>
    <row r="428">
      <c r="A428" s="291"/>
      <c r="C428" s="58"/>
      <c r="D428" s="291"/>
      <c r="E428" s="302"/>
    </row>
    <row r="429">
      <c r="A429" s="291"/>
      <c r="C429" s="58"/>
      <c r="D429" s="291"/>
      <c r="E429" s="302"/>
    </row>
    <row r="430">
      <c r="A430" s="291"/>
      <c r="C430" s="58"/>
      <c r="D430" s="291"/>
      <c r="E430" s="302"/>
    </row>
    <row r="431">
      <c r="A431" s="291"/>
      <c r="C431" s="58"/>
      <c r="D431" s="291"/>
      <c r="E431" s="302"/>
    </row>
    <row r="432">
      <c r="A432" s="291"/>
      <c r="C432" s="58"/>
      <c r="D432" s="291"/>
      <c r="E432" s="302"/>
    </row>
    <row r="433">
      <c r="A433" s="291"/>
      <c r="C433" s="58"/>
      <c r="D433" s="291"/>
      <c r="E433" s="302"/>
    </row>
    <row r="434">
      <c r="A434" s="291"/>
      <c r="C434" s="58"/>
      <c r="D434" s="291"/>
      <c r="E434" s="302"/>
    </row>
    <row r="435">
      <c r="A435" s="291"/>
      <c r="C435" s="58"/>
      <c r="D435" s="291"/>
      <c r="E435" s="302"/>
    </row>
    <row r="436">
      <c r="A436" s="291"/>
      <c r="C436" s="58"/>
      <c r="D436" s="291"/>
      <c r="E436" s="302"/>
    </row>
    <row r="437">
      <c r="A437" s="291"/>
      <c r="C437" s="58"/>
      <c r="D437" s="291"/>
      <c r="E437" s="302"/>
    </row>
    <row r="438">
      <c r="A438" s="291"/>
      <c r="C438" s="58"/>
      <c r="D438" s="291"/>
      <c r="E438" s="302"/>
    </row>
    <row r="439">
      <c r="A439" s="291"/>
      <c r="C439" s="58"/>
      <c r="D439" s="291"/>
      <c r="E439" s="302"/>
    </row>
    <row r="440">
      <c r="A440" s="291"/>
      <c r="C440" s="58"/>
      <c r="D440" s="291"/>
      <c r="E440" s="302"/>
    </row>
    <row r="441">
      <c r="A441" s="291"/>
      <c r="C441" s="58"/>
      <c r="D441" s="291"/>
      <c r="E441" s="302"/>
    </row>
    <row r="442">
      <c r="A442" s="291"/>
      <c r="C442" s="58"/>
      <c r="D442" s="291"/>
      <c r="E442" s="302"/>
    </row>
    <row r="443">
      <c r="A443" s="291"/>
      <c r="C443" s="58"/>
      <c r="D443" s="291"/>
      <c r="E443" s="302"/>
    </row>
    <row r="444">
      <c r="A444" s="291"/>
      <c r="C444" s="58"/>
      <c r="D444" s="291"/>
      <c r="E444" s="302"/>
    </row>
    <row r="445">
      <c r="A445" s="291"/>
      <c r="C445" s="58"/>
      <c r="D445" s="291"/>
      <c r="E445" s="302"/>
    </row>
    <row r="446">
      <c r="A446" s="291"/>
      <c r="C446" s="58"/>
      <c r="D446" s="291"/>
      <c r="E446" s="302"/>
    </row>
    <row r="447">
      <c r="A447" s="291"/>
      <c r="C447" s="58"/>
      <c r="D447" s="291"/>
      <c r="E447" s="302"/>
    </row>
    <row r="448">
      <c r="A448" s="291"/>
      <c r="C448" s="58"/>
      <c r="D448" s="291"/>
      <c r="E448" s="302"/>
    </row>
    <row r="449">
      <c r="A449" s="291"/>
      <c r="C449" s="58"/>
      <c r="D449" s="291"/>
      <c r="E449" s="302"/>
    </row>
    <row r="450">
      <c r="A450" s="291"/>
      <c r="C450" s="58"/>
      <c r="D450" s="291"/>
      <c r="E450" s="302"/>
    </row>
    <row r="451">
      <c r="A451" s="291"/>
      <c r="C451" s="58"/>
      <c r="D451" s="291"/>
      <c r="E451" s="302"/>
    </row>
    <row r="452">
      <c r="A452" s="291"/>
      <c r="C452" s="58"/>
      <c r="D452" s="291"/>
      <c r="E452" s="302"/>
    </row>
    <row r="453">
      <c r="A453" s="291"/>
      <c r="C453" s="58"/>
      <c r="D453" s="291"/>
      <c r="E453" s="302"/>
    </row>
    <row r="454">
      <c r="A454" s="291"/>
      <c r="C454" s="58"/>
      <c r="D454" s="291"/>
      <c r="E454" s="302"/>
    </row>
    <row r="455">
      <c r="A455" s="291"/>
      <c r="C455" s="58"/>
      <c r="D455" s="291"/>
      <c r="E455" s="302"/>
    </row>
    <row r="456">
      <c r="A456" s="291"/>
      <c r="C456" s="58"/>
      <c r="D456" s="291"/>
      <c r="E456" s="302"/>
    </row>
    <row r="457">
      <c r="A457" s="291"/>
      <c r="C457" s="58"/>
      <c r="D457" s="291"/>
      <c r="E457" s="302"/>
    </row>
    <row r="458">
      <c r="A458" s="291"/>
      <c r="C458" s="58"/>
      <c r="D458" s="291"/>
      <c r="E458" s="302"/>
    </row>
    <row r="459">
      <c r="A459" s="291"/>
      <c r="C459" s="58"/>
      <c r="D459" s="291"/>
      <c r="E459" s="302"/>
    </row>
    <row r="460">
      <c r="A460" s="291"/>
      <c r="C460" s="58"/>
      <c r="D460" s="291"/>
      <c r="E460" s="302"/>
    </row>
    <row r="461">
      <c r="A461" s="291"/>
      <c r="C461" s="58"/>
      <c r="D461" s="291"/>
      <c r="E461" s="302"/>
    </row>
    <row r="462">
      <c r="A462" s="291"/>
      <c r="C462" s="58"/>
      <c r="D462" s="291"/>
      <c r="E462" s="302"/>
    </row>
    <row r="463">
      <c r="A463" s="291"/>
      <c r="C463" s="58"/>
      <c r="D463" s="291"/>
      <c r="E463" s="302"/>
    </row>
    <row r="464">
      <c r="A464" s="291"/>
      <c r="C464" s="58"/>
      <c r="D464" s="291"/>
      <c r="E464" s="302"/>
    </row>
    <row r="465">
      <c r="A465" s="291"/>
      <c r="C465" s="58"/>
      <c r="D465" s="291"/>
      <c r="E465" s="302"/>
    </row>
    <row r="466">
      <c r="A466" s="291"/>
      <c r="C466" s="58"/>
      <c r="D466" s="291"/>
      <c r="E466" s="302"/>
    </row>
    <row r="467">
      <c r="A467" s="291"/>
      <c r="C467" s="58"/>
      <c r="D467" s="291"/>
      <c r="E467" s="302"/>
    </row>
    <row r="468">
      <c r="A468" s="291"/>
      <c r="C468" s="58"/>
      <c r="D468" s="291"/>
      <c r="E468" s="302"/>
    </row>
    <row r="469">
      <c r="A469" s="291"/>
      <c r="C469" s="58"/>
      <c r="D469" s="291"/>
      <c r="E469" s="302"/>
    </row>
    <row r="470">
      <c r="A470" s="291"/>
      <c r="C470" s="58"/>
      <c r="D470" s="291"/>
      <c r="E470" s="302"/>
    </row>
    <row r="471">
      <c r="A471" s="291"/>
      <c r="C471" s="58"/>
      <c r="D471" s="291"/>
      <c r="E471" s="302"/>
    </row>
    <row r="472">
      <c r="A472" s="291"/>
      <c r="C472" s="58"/>
      <c r="D472" s="291"/>
      <c r="E472" s="302"/>
    </row>
    <row r="473">
      <c r="A473" s="291"/>
      <c r="C473" s="58"/>
      <c r="D473" s="291"/>
      <c r="E473" s="302"/>
    </row>
    <row r="474">
      <c r="A474" s="291"/>
      <c r="C474" s="58"/>
      <c r="D474" s="291"/>
      <c r="E474" s="302"/>
    </row>
    <row r="475">
      <c r="A475" s="291"/>
      <c r="C475" s="58"/>
      <c r="D475" s="291"/>
      <c r="E475" s="302"/>
    </row>
    <row r="476">
      <c r="A476" s="291"/>
      <c r="C476" s="58"/>
      <c r="D476" s="291"/>
      <c r="E476" s="302"/>
    </row>
    <row r="477">
      <c r="A477" s="291"/>
      <c r="C477" s="58"/>
      <c r="D477" s="291"/>
      <c r="E477" s="302"/>
    </row>
    <row r="478">
      <c r="A478" s="291"/>
      <c r="C478" s="58"/>
      <c r="D478" s="291"/>
      <c r="E478" s="302"/>
    </row>
    <row r="479">
      <c r="A479" s="291"/>
      <c r="C479" s="58"/>
      <c r="D479" s="291"/>
      <c r="E479" s="302"/>
    </row>
    <row r="480">
      <c r="A480" s="291"/>
      <c r="C480" s="58"/>
      <c r="D480" s="291"/>
      <c r="E480" s="302"/>
    </row>
    <row r="481">
      <c r="A481" s="291"/>
      <c r="C481" s="58"/>
      <c r="D481" s="291"/>
      <c r="E481" s="302"/>
    </row>
    <row r="482">
      <c r="A482" s="291"/>
      <c r="C482" s="58"/>
      <c r="D482" s="291"/>
      <c r="E482" s="302"/>
    </row>
    <row r="483">
      <c r="A483" s="291"/>
      <c r="C483" s="58"/>
      <c r="D483" s="291"/>
      <c r="E483" s="302"/>
    </row>
    <row r="484">
      <c r="A484" s="291"/>
      <c r="C484" s="58"/>
      <c r="D484" s="291"/>
      <c r="E484" s="302"/>
    </row>
    <row r="485">
      <c r="A485" s="291"/>
      <c r="C485" s="58"/>
      <c r="D485" s="291"/>
      <c r="E485" s="302"/>
    </row>
    <row r="486">
      <c r="A486" s="291"/>
      <c r="C486" s="58"/>
      <c r="D486" s="291"/>
      <c r="E486" s="302"/>
    </row>
    <row r="487">
      <c r="A487" s="291"/>
      <c r="C487" s="58"/>
      <c r="D487" s="291"/>
      <c r="E487" s="302"/>
    </row>
    <row r="488">
      <c r="A488" s="291"/>
      <c r="C488" s="58"/>
      <c r="D488" s="291"/>
      <c r="E488" s="302"/>
    </row>
    <row r="489">
      <c r="A489" s="291"/>
      <c r="C489" s="58"/>
      <c r="D489" s="291"/>
      <c r="E489" s="302"/>
    </row>
    <row r="490">
      <c r="A490" s="291"/>
      <c r="C490" s="58"/>
      <c r="D490" s="291"/>
      <c r="E490" s="302"/>
    </row>
    <row r="491">
      <c r="A491" s="291"/>
      <c r="C491" s="58"/>
      <c r="D491" s="291"/>
      <c r="E491" s="302"/>
    </row>
    <row r="492">
      <c r="A492" s="291"/>
      <c r="C492" s="58"/>
      <c r="D492" s="291"/>
      <c r="E492" s="302"/>
    </row>
    <row r="493">
      <c r="A493" s="291"/>
      <c r="C493" s="58"/>
      <c r="D493" s="291"/>
      <c r="E493" s="302"/>
    </row>
    <row r="494">
      <c r="A494" s="291"/>
      <c r="C494" s="58"/>
      <c r="D494" s="291"/>
      <c r="E494" s="302"/>
    </row>
    <row r="495">
      <c r="A495" s="291"/>
      <c r="C495" s="58"/>
      <c r="D495" s="291"/>
      <c r="E495" s="302"/>
    </row>
    <row r="496">
      <c r="A496" s="291"/>
      <c r="C496" s="58"/>
      <c r="D496" s="291"/>
      <c r="E496" s="302"/>
    </row>
    <row r="497">
      <c r="A497" s="291"/>
      <c r="C497" s="58"/>
      <c r="D497" s="291"/>
      <c r="E497" s="302"/>
    </row>
    <row r="498">
      <c r="A498" s="291"/>
      <c r="C498" s="58"/>
      <c r="D498" s="291"/>
      <c r="E498" s="302"/>
    </row>
    <row r="499">
      <c r="A499" s="291"/>
      <c r="C499" s="58"/>
      <c r="D499" s="291"/>
      <c r="E499" s="302"/>
    </row>
    <row r="500">
      <c r="A500" s="291"/>
      <c r="C500" s="58"/>
      <c r="D500" s="291"/>
      <c r="E500" s="302"/>
    </row>
    <row r="501">
      <c r="A501" s="291"/>
      <c r="C501" s="58"/>
      <c r="D501" s="291"/>
      <c r="E501" s="302"/>
    </row>
    <row r="502">
      <c r="A502" s="291"/>
      <c r="C502" s="58"/>
      <c r="D502" s="291"/>
      <c r="E502" s="302"/>
    </row>
    <row r="503">
      <c r="A503" s="291"/>
      <c r="C503" s="58"/>
      <c r="D503" s="291"/>
      <c r="E503" s="302"/>
    </row>
    <row r="504">
      <c r="A504" s="291"/>
      <c r="C504" s="58"/>
      <c r="D504" s="291"/>
      <c r="E504" s="302"/>
    </row>
    <row r="505">
      <c r="A505" s="291"/>
      <c r="C505" s="58"/>
      <c r="D505" s="291"/>
      <c r="E505" s="302"/>
    </row>
    <row r="506">
      <c r="A506" s="291"/>
      <c r="C506" s="58"/>
      <c r="D506" s="291"/>
      <c r="E506" s="302"/>
    </row>
    <row r="507">
      <c r="A507" s="291"/>
      <c r="C507" s="58"/>
      <c r="D507" s="291"/>
      <c r="E507" s="302"/>
    </row>
    <row r="508">
      <c r="A508" s="291"/>
      <c r="C508" s="58"/>
      <c r="D508" s="291"/>
      <c r="E508" s="302"/>
    </row>
    <row r="509">
      <c r="A509" s="291"/>
      <c r="C509" s="58"/>
      <c r="D509" s="291"/>
      <c r="E509" s="302"/>
    </row>
    <row r="510">
      <c r="A510" s="291"/>
      <c r="C510" s="58"/>
      <c r="D510" s="291"/>
      <c r="E510" s="302"/>
    </row>
    <row r="511">
      <c r="A511" s="291"/>
      <c r="C511" s="58"/>
      <c r="D511" s="291"/>
      <c r="E511" s="302"/>
    </row>
    <row r="512">
      <c r="A512" s="291"/>
      <c r="C512" s="58"/>
      <c r="D512" s="291"/>
      <c r="E512" s="302"/>
    </row>
    <row r="513">
      <c r="A513" s="291"/>
      <c r="C513" s="58"/>
      <c r="D513" s="291"/>
      <c r="E513" s="302"/>
    </row>
    <row r="514">
      <c r="A514" s="291"/>
      <c r="C514" s="58"/>
      <c r="D514" s="291"/>
      <c r="E514" s="302"/>
    </row>
    <row r="515">
      <c r="A515" s="291"/>
      <c r="C515" s="58"/>
      <c r="D515" s="291"/>
      <c r="E515" s="302"/>
    </row>
    <row r="516">
      <c r="A516" s="291"/>
      <c r="C516" s="58"/>
      <c r="D516" s="291"/>
      <c r="E516" s="302"/>
    </row>
    <row r="517">
      <c r="A517" s="291"/>
      <c r="C517" s="58"/>
      <c r="D517" s="291"/>
      <c r="E517" s="302"/>
    </row>
    <row r="518">
      <c r="A518" s="291"/>
      <c r="C518" s="58"/>
      <c r="D518" s="291"/>
      <c r="E518" s="302"/>
    </row>
    <row r="519">
      <c r="A519" s="291"/>
      <c r="C519" s="58"/>
      <c r="D519" s="291"/>
      <c r="E519" s="302"/>
    </row>
    <row r="520">
      <c r="A520" s="291"/>
      <c r="C520" s="58"/>
      <c r="D520" s="291"/>
      <c r="E520" s="302"/>
    </row>
    <row r="521">
      <c r="A521" s="291"/>
      <c r="C521" s="58"/>
      <c r="D521" s="291"/>
      <c r="E521" s="302"/>
    </row>
    <row r="522">
      <c r="A522" s="291"/>
      <c r="C522" s="58"/>
      <c r="D522" s="291"/>
      <c r="E522" s="302"/>
    </row>
    <row r="523">
      <c r="A523" s="291"/>
      <c r="C523" s="58"/>
      <c r="D523" s="291"/>
      <c r="E523" s="302"/>
    </row>
    <row r="524">
      <c r="A524" s="291"/>
      <c r="C524" s="58"/>
      <c r="D524" s="291"/>
      <c r="E524" s="302"/>
    </row>
    <row r="525">
      <c r="A525" s="291"/>
      <c r="C525" s="58"/>
      <c r="D525" s="291"/>
      <c r="E525" s="302"/>
    </row>
    <row r="526">
      <c r="A526" s="291"/>
      <c r="C526" s="58"/>
      <c r="D526" s="291"/>
      <c r="E526" s="302"/>
    </row>
    <row r="527">
      <c r="A527" s="291"/>
      <c r="C527" s="58"/>
      <c r="D527" s="291"/>
      <c r="E527" s="302"/>
    </row>
    <row r="528">
      <c r="A528" s="291"/>
      <c r="C528" s="58"/>
      <c r="D528" s="291"/>
      <c r="E528" s="302"/>
    </row>
    <row r="529">
      <c r="A529" s="291"/>
      <c r="C529" s="58"/>
      <c r="D529" s="291"/>
      <c r="E529" s="302"/>
    </row>
    <row r="530">
      <c r="A530" s="291"/>
      <c r="C530" s="58"/>
      <c r="D530" s="291"/>
      <c r="E530" s="302"/>
    </row>
    <row r="531">
      <c r="A531" s="291"/>
      <c r="C531" s="58"/>
      <c r="D531" s="291"/>
      <c r="E531" s="302"/>
    </row>
    <row r="532">
      <c r="A532" s="291"/>
      <c r="C532" s="58"/>
      <c r="D532" s="291"/>
      <c r="E532" s="302"/>
    </row>
    <row r="533">
      <c r="A533" s="291"/>
      <c r="C533" s="58"/>
      <c r="D533" s="291"/>
      <c r="E533" s="302"/>
    </row>
    <row r="534">
      <c r="A534" s="291"/>
      <c r="C534" s="58"/>
      <c r="D534" s="291"/>
      <c r="E534" s="302"/>
    </row>
    <row r="535">
      <c r="A535" s="291"/>
      <c r="C535" s="58"/>
      <c r="D535" s="291"/>
      <c r="E535" s="302"/>
    </row>
    <row r="536">
      <c r="A536" s="291"/>
      <c r="C536" s="58"/>
      <c r="D536" s="291"/>
      <c r="E536" s="302"/>
    </row>
    <row r="537">
      <c r="A537" s="291"/>
      <c r="C537" s="58"/>
      <c r="D537" s="291"/>
      <c r="E537" s="302"/>
    </row>
    <row r="538">
      <c r="A538" s="291"/>
      <c r="C538" s="58"/>
      <c r="D538" s="291"/>
      <c r="E538" s="302"/>
    </row>
    <row r="539">
      <c r="A539" s="291"/>
      <c r="C539" s="58"/>
      <c r="D539" s="291"/>
      <c r="E539" s="302"/>
    </row>
    <row r="540">
      <c r="A540" s="291"/>
      <c r="C540" s="58"/>
      <c r="D540" s="291"/>
      <c r="E540" s="302"/>
    </row>
    <row r="541">
      <c r="A541" s="291"/>
      <c r="C541" s="58"/>
      <c r="D541" s="291"/>
      <c r="E541" s="302"/>
    </row>
    <row r="542">
      <c r="A542" s="291"/>
      <c r="C542" s="58"/>
      <c r="D542" s="291"/>
      <c r="E542" s="302"/>
    </row>
    <row r="543">
      <c r="A543" s="291"/>
      <c r="C543" s="58"/>
      <c r="D543" s="291"/>
      <c r="E543" s="302"/>
    </row>
    <row r="544">
      <c r="A544" s="291"/>
      <c r="C544" s="58"/>
      <c r="D544" s="291"/>
      <c r="E544" s="302"/>
    </row>
    <row r="545">
      <c r="A545" s="291"/>
      <c r="C545" s="58"/>
      <c r="D545" s="291"/>
      <c r="E545" s="302"/>
    </row>
    <row r="546">
      <c r="A546" s="291"/>
      <c r="C546" s="58"/>
      <c r="D546" s="291"/>
      <c r="E546" s="302"/>
    </row>
    <row r="547">
      <c r="A547" s="291"/>
      <c r="C547" s="58"/>
      <c r="D547" s="291"/>
      <c r="E547" s="302"/>
    </row>
    <row r="548">
      <c r="A548" s="291"/>
      <c r="C548" s="58"/>
      <c r="D548" s="291"/>
      <c r="E548" s="302"/>
    </row>
    <row r="549">
      <c r="A549" s="291"/>
      <c r="C549" s="58"/>
      <c r="D549" s="291"/>
      <c r="E549" s="302"/>
    </row>
    <row r="550">
      <c r="A550" s="291"/>
      <c r="C550" s="58"/>
      <c r="D550" s="291"/>
      <c r="E550" s="302"/>
    </row>
    <row r="551">
      <c r="A551" s="291"/>
      <c r="C551" s="58"/>
      <c r="D551" s="291"/>
      <c r="E551" s="302"/>
    </row>
    <row r="552">
      <c r="A552" s="291"/>
      <c r="C552" s="58"/>
      <c r="D552" s="291"/>
      <c r="E552" s="302"/>
    </row>
    <row r="553">
      <c r="A553" s="291"/>
      <c r="C553" s="58"/>
      <c r="D553" s="291"/>
      <c r="E553" s="302"/>
    </row>
    <row r="554">
      <c r="A554" s="291"/>
      <c r="C554" s="58"/>
      <c r="D554" s="291"/>
      <c r="E554" s="302"/>
    </row>
    <row r="555">
      <c r="A555" s="291"/>
      <c r="C555" s="58"/>
      <c r="D555" s="291"/>
      <c r="E555" s="302"/>
    </row>
    <row r="556">
      <c r="A556" s="291"/>
      <c r="C556" s="58"/>
      <c r="D556" s="291"/>
      <c r="E556" s="302"/>
    </row>
    <row r="557">
      <c r="A557" s="291"/>
      <c r="C557" s="58"/>
      <c r="D557" s="291"/>
      <c r="E557" s="302"/>
    </row>
    <row r="558">
      <c r="A558" s="291"/>
      <c r="C558" s="58"/>
      <c r="D558" s="291"/>
      <c r="E558" s="302"/>
    </row>
    <row r="559">
      <c r="A559" s="291"/>
      <c r="C559" s="58"/>
      <c r="D559" s="291"/>
      <c r="E559" s="302"/>
    </row>
    <row r="560">
      <c r="A560" s="291"/>
      <c r="C560" s="58"/>
      <c r="D560" s="291"/>
      <c r="E560" s="302"/>
    </row>
    <row r="561">
      <c r="A561" s="291"/>
      <c r="C561" s="58"/>
      <c r="D561" s="291"/>
      <c r="E561" s="302"/>
    </row>
    <row r="562">
      <c r="A562" s="291"/>
      <c r="C562" s="58"/>
      <c r="D562" s="291"/>
      <c r="E562" s="302"/>
    </row>
    <row r="563">
      <c r="A563" s="291"/>
      <c r="C563" s="58"/>
      <c r="D563" s="291"/>
      <c r="E563" s="302"/>
    </row>
    <row r="564">
      <c r="A564" s="291"/>
      <c r="C564" s="58"/>
      <c r="D564" s="291"/>
      <c r="E564" s="302"/>
    </row>
    <row r="565">
      <c r="A565" s="291"/>
      <c r="C565" s="58"/>
      <c r="D565" s="291"/>
      <c r="E565" s="302"/>
    </row>
    <row r="566">
      <c r="A566" s="291"/>
      <c r="C566" s="58"/>
      <c r="D566" s="291"/>
      <c r="E566" s="302"/>
    </row>
    <row r="567">
      <c r="A567" s="291"/>
      <c r="C567" s="58"/>
      <c r="D567" s="291"/>
      <c r="E567" s="302"/>
    </row>
    <row r="568">
      <c r="A568" s="291"/>
      <c r="C568" s="58"/>
      <c r="D568" s="291"/>
      <c r="E568" s="302"/>
    </row>
    <row r="569">
      <c r="A569" s="291"/>
      <c r="C569" s="58"/>
      <c r="D569" s="291"/>
      <c r="E569" s="302"/>
    </row>
    <row r="570">
      <c r="A570" s="291"/>
      <c r="C570" s="58"/>
      <c r="D570" s="291"/>
      <c r="E570" s="302"/>
    </row>
    <row r="571">
      <c r="A571" s="291"/>
      <c r="C571" s="58"/>
      <c r="D571" s="291"/>
      <c r="E571" s="302"/>
    </row>
    <row r="572">
      <c r="A572" s="291"/>
      <c r="C572" s="58"/>
      <c r="D572" s="291"/>
      <c r="E572" s="302"/>
    </row>
    <row r="573">
      <c r="A573" s="291"/>
      <c r="C573" s="58"/>
      <c r="D573" s="291"/>
      <c r="E573" s="302"/>
    </row>
    <row r="574">
      <c r="A574" s="291"/>
      <c r="C574" s="58"/>
      <c r="D574" s="291"/>
      <c r="E574" s="302"/>
    </row>
    <row r="575">
      <c r="A575" s="291"/>
      <c r="C575" s="58"/>
      <c r="D575" s="291"/>
      <c r="E575" s="302"/>
    </row>
    <row r="576">
      <c r="A576" s="291"/>
      <c r="C576" s="58"/>
      <c r="D576" s="291"/>
      <c r="E576" s="302"/>
    </row>
    <row r="577">
      <c r="A577" s="291"/>
      <c r="C577" s="58"/>
      <c r="D577" s="291"/>
      <c r="E577" s="302"/>
    </row>
    <row r="578">
      <c r="A578" s="291"/>
      <c r="C578" s="58"/>
      <c r="D578" s="291"/>
      <c r="E578" s="302"/>
    </row>
    <row r="579">
      <c r="A579" s="291"/>
      <c r="C579" s="58"/>
      <c r="D579" s="291"/>
      <c r="E579" s="302"/>
    </row>
    <row r="580">
      <c r="A580" s="291"/>
      <c r="C580" s="58"/>
      <c r="D580" s="291"/>
      <c r="E580" s="302"/>
    </row>
    <row r="581">
      <c r="A581" s="291"/>
      <c r="C581" s="58"/>
      <c r="D581" s="291"/>
      <c r="E581" s="302"/>
    </row>
    <row r="582">
      <c r="A582" s="291"/>
      <c r="C582" s="58"/>
      <c r="D582" s="291"/>
      <c r="E582" s="302"/>
    </row>
    <row r="583">
      <c r="A583" s="291"/>
      <c r="C583" s="58"/>
      <c r="D583" s="291"/>
      <c r="E583" s="302"/>
    </row>
    <row r="584">
      <c r="A584" s="291"/>
      <c r="C584" s="58"/>
      <c r="D584" s="291"/>
      <c r="E584" s="302"/>
    </row>
    <row r="585">
      <c r="A585" s="291"/>
      <c r="C585" s="58"/>
      <c r="D585" s="291"/>
      <c r="E585" s="302"/>
    </row>
    <row r="586">
      <c r="A586" s="291"/>
      <c r="C586" s="58"/>
      <c r="D586" s="291"/>
      <c r="E586" s="302"/>
    </row>
    <row r="587">
      <c r="A587" s="291"/>
      <c r="C587" s="58"/>
      <c r="D587" s="291"/>
      <c r="E587" s="302"/>
    </row>
    <row r="588">
      <c r="A588" s="291"/>
      <c r="C588" s="58"/>
      <c r="D588" s="291"/>
      <c r="E588" s="302"/>
    </row>
    <row r="589">
      <c r="A589" s="291"/>
      <c r="C589" s="58"/>
      <c r="D589" s="291"/>
      <c r="E589" s="302"/>
    </row>
    <row r="590">
      <c r="A590" s="291"/>
      <c r="C590" s="58"/>
      <c r="D590" s="291"/>
      <c r="E590" s="302"/>
    </row>
    <row r="591">
      <c r="A591" s="291"/>
      <c r="C591" s="58"/>
      <c r="D591" s="291"/>
      <c r="E591" s="302"/>
    </row>
    <row r="592">
      <c r="A592" s="291"/>
      <c r="C592" s="58"/>
      <c r="D592" s="291"/>
      <c r="E592" s="302"/>
    </row>
    <row r="593">
      <c r="A593" s="291"/>
      <c r="C593" s="58"/>
      <c r="D593" s="291"/>
      <c r="E593" s="302"/>
    </row>
    <row r="594">
      <c r="A594" s="291"/>
      <c r="C594" s="58"/>
      <c r="D594" s="291"/>
      <c r="E594" s="302"/>
    </row>
    <row r="595">
      <c r="A595" s="291"/>
      <c r="C595" s="58"/>
      <c r="D595" s="291"/>
      <c r="E595" s="302"/>
    </row>
    <row r="596">
      <c r="A596" s="291"/>
      <c r="C596" s="58"/>
      <c r="D596" s="291"/>
      <c r="E596" s="302"/>
    </row>
    <row r="597">
      <c r="A597" s="291"/>
      <c r="C597" s="58"/>
      <c r="D597" s="291"/>
      <c r="E597" s="302"/>
    </row>
    <row r="598">
      <c r="A598" s="291"/>
      <c r="C598" s="58"/>
      <c r="D598" s="291"/>
      <c r="E598" s="302"/>
    </row>
    <row r="599">
      <c r="A599" s="291"/>
      <c r="C599" s="58"/>
      <c r="D599" s="291"/>
      <c r="E599" s="302"/>
    </row>
    <row r="600">
      <c r="A600" s="291"/>
      <c r="C600" s="58"/>
      <c r="D600" s="291"/>
      <c r="E600" s="302"/>
    </row>
    <row r="601">
      <c r="A601" s="291"/>
      <c r="C601" s="58"/>
      <c r="D601" s="291"/>
      <c r="E601" s="302"/>
    </row>
    <row r="602">
      <c r="A602" s="291"/>
      <c r="C602" s="58"/>
      <c r="D602" s="291"/>
      <c r="E602" s="302"/>
    </row>
    <row r="603">
      <c r="A603" s="291"/>
      <c r="C603" s="58"/>
      <c r="D603" s="291"/>
      <c r="E603" s="302"/>
    </row>
    <row r="604">
      <c r="A604" s="291"/>
      <c r="C604" s="58"/>
      <c r="D604" s="291"/>
      <c r="E604" s="302"/>
    </row>
    <row r="605">
      <c r="A605" s="291"/>
      <c r="C605" s="58"/>
      <c r="D605" s="291"/>
      <c r="E605" s="302"/>
    </row>
    <row r="606">
      <c r="A606" s="291"/>
      <c r="C606" s="58"/>
      <c r="D606" s="291"/>
      <c r="E606" s="302"/>
    </row>
    <row r="607">
      <c r="A607" s="291"/>
      <c r="C607" s="58"/>
      <c r="D607" s="291"/>
      <c r="E607" s="302"/>
    </row>
    <row r="608">
      <c r="A608" s="291"/>
      <c r="C608" s="58"/>
      <c r="D608" s="291"/>
      <c r="E608" s="302"/>
    </row>
    <row r="609">
      <c r="A609" s="291"/>
      <c r="C609" s="58"/>
      <c r="D609" s="291"/>
      <c r="E609" s="302"/>
    </row>
    <row r="610">
      <c r="A610" s="291"/>
      <c r="C610" s="58"/>
      <c r="D610" s="291"/>
      <c r="E610" s="302"/>
    </row>
    <row r="611">
      <c r="A611" s="291"/>
      <c r="C611" s="58"/>
      <c r="D611" s="291"/>
      <c r="E611" s="302"/>
    </row>
    <row r="612">
      <c r="A612" s="291"/>
      <c r="C612" s="58"/>
      <c r="D612" s="291"/>
      <c r="E612" s="302"/>
    </row>
    <row r="613">
      <c r="A613" s="291"/>
      <c r="C613" s="58"/>
      <c r="D613" s="291"/>
      <c r="E613" s="302"/>
    </row>
    <row r="614">
      <c r="A614" s="291"/>
      <c r="C614" s="58"/>
      <c r="D614" s="291"/>
      <c r="E614" s="302"/>
    </row>
    <row r="615">
      <c r="A615" s="291"/>
      <c r="C615" s="58"/>
      <c r="D615" s="291"/>
      <c r="E615" s="302"/>
    </row>
    <row r="616">
      <c r="A616" s="291"/>
      <c r="C616" s="58"/>
      <c r="D616" s="291"/>
      <c r="E616" s="302"/>
    </row>
    <row r="617">
      <c r="A617" s="291"/>
      <c r="C617" s="58"/>
      <c r="D617" s="291"/>
      <c r="E617" s="302"/>
    </row>
    <row r="618">
      <c r="A618" s="291"/>
      <c r="C618" s="58"/>
      <c r="D618" s="291"/>
      <c r="E618" s="302"/>
    </row>
    <row r="619">
      <c r="A619" s="291"/>
      <c r="C619" s="58"/>
      <c r="D619" s="291"/>
      <c r="E619" s="302"/>
    </row>
    <row r="620">
      <c r="A620" s="291"/>
      <c r="C620" s="58"/>
      <c r="D620" s="291"/>
      <c r="E620" s="302"/>
    </row>
    <row r="621">
      <c r="A621" s="291"/>
      <c r="C621" s="58"/>
      <c r="D621" s="291"/>
      <c r="E621" s="302"/>
    </row>
    <row r="622">
      <c r="A622" s="291"/>
      <c r="C622" s="58"/>
      <c r="D622" s="291"/>
      <c r="E622" s="302"/>
    </row>
    <row r="623">
      <c r="A623" s="291"/>
      <c r="C623" s="58"/>
      <c r="D623" s="291"/>
      <c r="E623" s="302"/>
    </row>
    <row r="624">
      <c r="A624" s="291"/>
      <c r="C624" s="58"/>
      <c r="D624" s="291"/>
      <c r="E624" s="302"/>
    </row>
    <row r="625">
      <c r="A625" s="291"/>
      <c r="C625" s="58"/>
      <c r="D625" s="291"/>
      <c r="E625" s="302"/>
    </row>
    <row r="626">
      <c r="A626" s="291"/>
      <c r="C626" s="58"/>
      <c r="D626" s="291"/>
      <c r="E626" s="302"/>
    </row>
    <row r="627">
      <c r="A627" s="291"/>
      <c r="C627" s="58"/>
      <c r="D627" s="291"/>
      <c r="E627" s="302"/>
    </row>
    <row r="628">
      <c r="A628" s="291"/>
      <c r="C628" s="58"/>
      <c r="D628" s="291"/>
      <c r="E628" s="302"/>
    </row>
    <row r="629">
      <c r="A629" s="291"/>
      <c r="C629" s="58"/>
      <c r="D629" s="291"/>
      <c r="E629" s="302"/>
    </row>
    <row r="630">
      <c r="A630" s="291"/>
      <c r="C630" s="58"/>
      <c r="D630" s="291"/>
      <c r="E630" s="302"/>
    </row>
    <row r="631">
      <c r="A631" s="291"/>
      <c r="C631" s="58"/>
      <c r="D631" s="291"/>
      <c r="E631" s="302"/>
    </row>
    <row r="632">
      <c r="A632" s="291"/>
      <c r="C632" s="58"/>
      <c r="D632" s="291"/>
      <c r="E632" s="302"/>
    </row>
    <row r="633">
      <c r="A633" s="291"/>
      <c r="C633" s="58"/>
      <c r="D633" s="291"/>
      <c r="E633" s="302"/>
    </row>
    <row r="634">
      <c r="A634" s="291"/>
      <c r="C634" s="58"/>
      <c r="D634" s="291"/>
      <c r="E634" s="302"/>
    </row>
    <row r="635">
      <c r="A635" s="291"/>
      <c r="C635" s="58"/>
      <c r="D635" s="291"/>
      <c r="E635" s="302"/>
    </row>
    <row r="636">
      <c r="A636" s="291"/>
      <c r="C636" s="58"/>
      <c r="D636" s="291"/>
      <c r="E636" s="302"/>
    </row>
    <row r="637">
      <c r="A637" s="291"/>
      <c r="C637" s="58"/>
      <c r="D637" s="291"/>
      <c r="E637" s="302"/>
    </row>
    <row r="638">
      <c r="A638" s="291"/>
      <c r="C638" s="58"/>
      <c r="D638" s="291"/>
      <c r="E638" s="302"/>
    </row>
    <row r="639">
      <c r="A639" s="291"/>
      <c r="C639" s="58"/>
      <c r="D639" s="291"/>
      <c r="E639" s="302"/>
    </row>
    <row r="640">
      <c r="A640" s="291"/>
      <c r="C640" s="58"/>
      <c r="D640" s="291"/>
      <c r="E640" s="302"/>
    </row>
    <row r="641">
      <c r="A641" s="291"/>
      <c r="C641" s="58"/>
      <c r="D641" s="291"/>
      <c r="E641" s="302"/>
    </row>
    <row r="642">
      <c r="A642" s="291"/>
      <c r="C642" s="58"/>
      <c r="D642" s="291"/>
      <c r="E642" s="302"/>
    </row>
    <row r="643">
      <c r="A643" s="291"/>
      <c r="C643" s="58"/>
      <c r="D643" s="291"/>
      <c r="E643" s="302"/>
    </row>
    <row r="644">
      <c r="A644" s="291"/>
      <c r="C644" s="58"/>
      <c r="D644" s="291"/>
      <c r="E644" s="302"/>
    </row>
    <row r="645">
      <c r="A645" s="291"/>
      <c r="C645" s="58"/>
      <c r="D645" s="291"/>
      <c r="E645" s="302"/>
    </row>
    <row r="646">
      <c r="A646" s="291"/>
      <c r="C646" s="58"/>
      <c r="D646" s="291"/>
      <c r="E646" s="302"/>
    </row>
    <row r="647">
      <c r="A647" s="291"/>
      <c r="C647" s="58"/>
      <c r="D647" s="291"/>
      <c r="E647" s="302"/>
    </row>
    <row r="648">
      <c r="A648" s="291"/>
      <c r="C648" s="58"/>
      <c r="D648" s="291"/>
      <c r="E648" s="302"/>
    </row>
    <row r="649">
      <c r="A649" s="291"/>
      <c r="C649" s="58"/>
      <c r="D649" s="291"/>
      <c r="E649" s="302"/>
    </row>
    <row r="650">
      <c r="A650" s="291"/>
      <c r="C650" s="58"/>
      <c r="D650" s="291"/>
      <c r="E650" s="302"/>
    </row>
    <row r="651">
      <c r="A651" s="291"/>
      <c r="C651" s="58"/>
      <c r="D651" s="291"/>
      <c r="E651" s="302"/>
    </row>
    <row r="652">
      <c r="A652" s="291"/>
      <c r="C652" s="58"/>
      <c r="D652" s="291"/>
      <c r="E652" s="302"/>
    </row>
    <row r="653">
      <c r="A653" s="291"/>
      <c r="C653" s="58"/>
      <c r="D653" s="291"/>
      <c r="E653" s="302"/>
    </row>
    <row r="654">
      <c r="A654" s="291"/>
      <c r="C654" s="58"/>
      <c r="D654" s="291"/>
      <c r="E654" s="302"/>
    </row>
    <row r="655">
      <c r="A655" s="291"/>
      <c r="C655" s="58"/>
      <c r="D655" s="291"/>
      <c r="E655" s="302"/>
    </row>
    <row r="656">
      <c r="A656" s="291"/>
      <c r="C656" s="58"/>
      <c r="D656" s="291"/>
      <c r="E656" s="302"/>
    </row>
    <row r="657">
      <c r="A657" s="291"/>
      <c r="C657" s="58"/>
      <c r="D657" s="291"/>
      <c r="E657" s="302"/>
    </row>
    <row r="658">
      <c r="A658" s="291"/>
      <c r="C658" s="58"/>
      <c r="D658" s="291"/>
      <c r="E658" s="302"/>
    </row>
    <row r="659">
      <c r="A659" s="291"/>
      <c r="C659" s="58"/>
      <c r="D659" s="291"/>
      <c r="E659" s="302"/>
    </row>
    <row r="660">
      <c r="A660" s="291"/>
      <c r="C660" s="58"/>
      <c r="D660" s="291"/>
      <c r="E660" s="302"/>
    </row>
    <row r="661">
      <c r="A661" s="291"/>
      <c r="C661" s="58"/>
      <c r="D661" s="291"/>
      <c r="E661" s="302"/>
    </row>
    <row r="662">
      <c r="A662" s="291"/>
      <c r="C662" s="58"/>
      <c r="D662" s="291"/>
      <c r="E662" s="302"/>
    </row>
    <row r="663">
      <c r="A663" s="291"/>
      <c r="C663" s="58"/>
      <c r="D663" s="291"/>
      <c r="E663" s="302"/>
    </row>
    <row r="664">
      <c r="A664" s="291"/>
      <c r="C664" s="58"/>
      <c r="D664" s="291"/>
      <c r="E664" s="302"/>
    </row>
    <row r="665">
      <c r="A665" s="291"/>
      <c r="C665" s="58"/>
      <c r="D665" s="291"/>
      <c r="E665" s="302"/>
    </row>
    <row r="666">
      <c r="A666" s="291"/>
      <c r="C666" s="58"/>
      <c r="D666" s="291"/>
      <c r="E666" s="302"/>
    </row>
    <row r="667">
      <c r="A667" s="291"/>
      <c r="C667" s="58"/>
      <c r="D667" s="291"/>
      <c r="E667" s="302"/>
    </row>
    <row r="668">
      <c r="A668" s="291"/>
      <c r="C668" s="58"/>
      <c r="D668" s="291"/>
      <c r="E668" s="302"/>
    </row>
    <row r="669">
      <c r="A669" s="291"/>
      <c r="C669" s="58"/>
      <c r="D669" s="291"/>
      <c r="E669" s="302"/>
    </row>
    <row r="670">
      <c r="A670" s="291"/>
      <c r="C670" s="58"/>
      <c r="D670" s="291"/>
      <c r="E670" s="302"/>
    </row>
    <row r="671">
      <c r="A671" s="291"/>
      <c r="C671" s="58"/>
      <c r="D671" s="291"/>
      <c r="E671" s="302"/>
    </row>
    <row r="672">
      <c r="A672" s="291"/>
      <c r="C672" s="58"/>
      <c r="D672" s="291"/>
      <c r="E672" s="302"/>
    </row>
    <row r="673">
      <c r="A673" s="291"/>
      <c r="C673" s="58"/>
      <c r="D673" s="291"/>
      <c r="E673" s="302"/>
    </row>
    <row r="674">
      <c r="A674" s="291"/>
      <c r="C674" s="58"/>
      <c r="D674" s="291"/>
      <c r="E674" s="302"/>
    </row>
    <row r="675">
      <c r="A675" s="291"/>
      <c r="C675" s="58"/>
      <c r="D675" s="291"/>
      <c r="E675" s="302"/>
    </row>
    <row r="676">
      <c r="A676" s="291"/>
      <c r="C676" s="58"/>
      <c r="D676" s="291"/>
      <c r="E676" s="302"/>
    </row>
    <row r="677">
      <c r="A677" s="291"/>
      <c r="C677" s="58"/>
      <c r="D677" s="291"/>
      <c r="E677" s="302"/>
    </row>
    <row r="678">
      <c r="A678" s="291"/>
      <c r="C678" s="58"/>
      <c r="D678" s="291"/>
      <c r="E678" s="302"/>
    </row>
    <row r="679">
      <c r="A679" s="291"/>
      <c r="C679" s="58"/>
      <c r="D679" s="291"/>
      <c r="E679" s="302"/>
    </row>
    <row r="680">
      <c r="A680" s="291"/>
      <c r="C680" s="58"/>
      <c r="D680" s="291"/>
      <c r="E680" s="302"/>
    </row>
    <row r="681">
      <c r="A681" s="291"/>
      <c r="C681" s="58"/>
      <c r="D681" s="291"/>
      <c r="E681" s="302"/>
    </row>
    <row r="682">
      <c r="A682" s="291"/>
      <c r="C682" s="58"/>
      <c r="D682" s="291"/>
      <c r="E682" s="302"/>
    </row>
    <row r="683">
      <c r="A683" s="291"/>
      <c r="C683" s="58"/>
      <c r="D683" s="291"/>
      <c r="E683" s="302"/>
    </row>
    <row r="684">
      <c r="A684" s="291"/>
      <c r="C684" s="58"/>
      <c r="D684" s="291"/>
      <c r="E684" s="302"/>
    </row>
    <row r="685">
      <c r="A685" s="291"/>
      <c r="C685" s="58"/>
      <c r="D685" s="291"/>
      <c r="E685" s="302"/>
    </row>
    <row r="686">
      <c r="A686" s="291"/>
      <c r="C686" s="58"/>
      <c r="D686" s="291"/>
      <c r="E686" s="302"/>
    </row>
    <row r="687">
      <c r="A687" s="291"/>
      <c r="C687" s="58"/>
      <c r="D687" s="291"/>
      <c r="E687" s="302"/>
    </row>
    <row r="688">
      <c r="A688" s="291"/>
      <c r="C688" s="58"/>
      <c r="D688" s="291"/>
      <c r="E688" s="302"/>
    </row>
    <row r="689">
      <c r="A689" s="291"/>
      <c r="C689" s="58"/>
      <c r="D689" s="291"/>
      <c r="E689" s="302"/>
    </row>
    <row r="690">
      <c r="A690" s="291"/>
      <c r="C690" s="58"/>
      <c r="D690" s="291"/>
      <c r="E690" s="302"/>
    </row>
    <row r="691">
      <c r="A691" s="291"/>
      <c r="C691" s="58"/>
      <c r="D691" s="291"/>
      <c r="E691" s="302"/>
    </row>
    <row r="692">
      <c r="A692" s="291"/>
      <c r="C692" s="58"/>
      <c r="D692" s="291"/>
      <c r="E692" s="302"/>
    </row>
    <row r="693">
      <c r="A693" s="291"/>
      <c r="C693" s="58"/>
      <c r="D693" s="291"/>
      <c r="E693" s="302"/>
    </row>
    <row r="694">
      <c r="A694" s="291"/>
      <c r="C694" s="58"/>
      <c r="D694" s="291"/>
      <c r="E694" s="302"/>
    </row>
    <row r="695">
      <c r="A695" s="291"/>
      <c r="C695" s="58"/>
      <c r="D695" s="291"/>
      <c r="E695" s="302"/>
    </row>
    <row r="696">
      <c r="A696" s="291"/>
      <c r="C696" s="58"/>
      <c r="D696" s="291"/>
      <c r="E696" s="302"/>
    </row>
    <row r="697">
      <c r="A697" s="291"/>
      <c r="C697" s="58"/>
      <c r="D697" s="291"/>
      <c r="E697" s="302"/>
    </row>
    <row r="698">
      <c r="A698" s="291"/>
      <c r="C698" s="58"/>
      <c r="D698" s="291"/>
      <c r="E698" s="302"/>
    </row>
    <row r="699">
      <c r="A699" s="291"/>
      <c r="C699" s="58"/>
      <c r="D699" s="291"/>
      <c r="E699" s="302"/>
    </row>
    <row r="700">
      <c r="A700" s="291"/>
      <c r="C700" s="58"/>
      <c r="D700" s="291"/>
      <c r="E700" s="302"/>
    </row>
    <row r="701">
      <c r="A701" s="291"/>
      <c r="C701" s="58"/>
      <c r="D701" s="291"/>
      <c r="E701" s="302"/>
    </row>
    <row r="702">
      <c r="A702" s="291"/>
      <c r="C702" s="58"/>
      <c r="D702" s="291"/>
      <c r="E702" s="302"/>
    </row>
    <row r="703">
      <c r="A703" s="291"/>
      <c r="C703" s="58"/>
      <c r="D703" s="291"/>
      <c r="E703" s="302"/>
    </row>
    <row r="704">
      <c r="A704" s="291"/>
      <c r="C704" s="58"/>
      <c r="D704" s="291"/>
      <c r="E704" s="302"/>
    </row>
    <row r="705">
      <c r="A705" s="291"/>
      <c r="C705" s="58"/>
      <c r="D705" s="291"/>
      <c r="E705" s="302"/>
    </row>
    <row r="706">
      <c r="A706" s="291"/>
      <c r="C706" s="58"/>
      <c r="D706" s="291"/>
      <c r="E706" s="302"/>
    </row>
    <row r="707">
      <c r="A707" s="291"/>
      <c r="C707" s="58"/>
      <c r="D707" s="291"/>
      <c r="E707" s="302"/>
    </row>
    <row r="708">
      <c r="A708" s="291"/>
      <c r="C708" s="58"/>
      <c r="D708" s="291"/>
      <c r="E708" s="302"/>
    </row>
    <row r="709">
      <c r="A709" s="291"/>
      <c r="C709" s="58"/>
      <c r="D709" s="291"/>
      <c r="E709" s="302"/>
    </row>
    <row r="710">
      <c r="A710" s="291"/>
      <c r="C710" s="58"/>
      <c r="D710" s="291"/>
      <c r="E710" s="302"/>
    </row>
    <row r="711">
      <c r="A711" s="291"/>
      <c r="C711" s="58"/>
      <c r="D711" s="291"/>
      <c r="E711" s="302"/>
    </row>
    <row r="712">
      <c r="A712" s="291"/>
      <c r="C712" s="58"/>
      <c r="D712" s="291"/>
      <c r="E712" s="302"/>
    </row>
    <row r="713">
      <c r="A713" s="291"/>
      <c r="C713" s="58"/>
      <c r="D713" s="291"/>
      <c r="E713" s="302"/>
    </row>
    <row r="714">
      <c r="A714" s="291"/>
      <c r="C714" s="58"/>
      <c r="D714" s="291"/>
      <c r="E714" s="302"/>
    </row>
    <row r="715">
      <c r="A715" s="291"/>
      <c r="C715" s="58"/>
      <c r="D715" s="291"/>
      <c r="E715" s="302"/>
    </row>
    <row r="716">
      <c r="A716" s="291"/>
      <c r="C716" s="58"/>
      <c r="D716" s="291"/>
      <c r="E716" s="302"/>
    </row>
    <row r="717">
      <c r="A717" s="291"/>
      <c r="C717" s="58"/>
      <c r="D717" s="291"/>
      <c r="E717" s="302"/>
    </row>
    <row r="718">
      <c r="A718" s="291"/>
      <c r="C718" s="58"/>
      <c r="D718" s="291"/>
      <c r="E718" s="302"/>
    </row>
    <row r="719">
      <c r="A719" s="291"/>
      <c r="C719" s="58"/>
      <c r="D719" s="291"/>
      <c r="E719" s="302"/>
    </row>
    <row r="720">
      <c r="A720" s="291"/>
      <c r="C720" s="58"/>
      <c r="D720" s="291"/>
      <c r="E720" s="302"/>
    </row>
    <row r="721">
      <c r="A721" s="291"/>
      <c r="C721" s="58"/>
      <c r="D721" s="291"/>
      <c r="E721" s="302"/>
    </row>
    <row r="722">
      <c r="A722" s="291"/>
      <c r="C722" s="58"/>
      <c r="D722" s="291"/>
      <c r="E722" s="302"/>
    </row>
    <row r="723">
      <c r="A723" s="291"/>
      <c r="C723" s="58"/>
      <c r="D723" s="291"/>
      <c r="E723" s="302"/>
    </row>
    <row r="724">
      <c r="A724" s="291"/>
      <c r="C724" s="58"/>
      <c r="D724" s="291"/>
      <c r="E724" s="302"/>
    </row>
    <row r="725">
      <c r="A725" s="291"/>
      <c r="C725" s="58"/>
      <c r="D725" s="291"/>
      <c r="E725" s="302"/>
    </row>
    <row r="726">
      <c r="A726" s="291"/>
      <c r="C726" s="58"/>
      <c r="D726" s="291"/>
      <c r="E726" s="302"/>
    </row>
    <row r="727">
      <c r="A727" s="291"/>
      <c r="C727" s="58"/>
      <c r="D727" s="291"/>
      <c r="E727" s="302"/>
    </row>
    <row r="728">
      <c r="A728" s="291"/>
      <c r="C728" s="58"/>
      <c r="D728" s="291"/>
      <c r="E728" s="302"/>
    </row>
    <row r="729">
      <c r="A729" s="291"/>
      <c r="C729" s="58"/>
      <c r="D729" s="291"/>
      <c r="E729" s="302"/>
    </row>
    <row r="730">
      <c r="A730" s="291"/>
      <c r="C730" s="58"/>
      <c r="D730" s="291"/>
      <c r="E730" s="302"/>
    </row>
    <row r="731">
      <c r="A731" s="291"/>
      <c r="C731" s="58"/>
      <c r="D731" s="291"/>
      <c r="E731" s="302"/>
    </row>
    <row r="732">
      <c r="A732" s="291"/>
      <c r="C732" s="58"/>
      <c r="D732" s="291"/>
      <c r="E732" s="302"/>
    </row>
    <row r="733">
      <c r="A733" s="291"/>
      <c r="C733" s="58"/>
      <c r="D733" s="291"/>
      <c r="E733" s="302"/>
    </row>
    <row r="734">
      <c r="A734" s="291"/>
      <c r="C734" s="58"/>
      <c r="D734" s="291"/>
      <c r="E734" s="302"/>
    </row>
    <row r="735">
      <c r="A735" s="291"/>
      <c r="C735" s="58"/>
      <c r="D735" s="291"/>
      <c r="E735" s="302"/>
    </row>
    <row r="736">
      <c r="A736" s="291"/>
      <c r="C736" s="58"/>
      <c r="D736" s="291"/>
      <c r="E736" s="302"/>
    </row>
    <row r="737">
      <c r="A737" s="291"/>
      <c r="C737" s="58"/>
      <c r="D737" s="291"/>
      <c r="E737" s="302"/>
    </row>
    <row r="738">
      <c r="A738" s="291"/>
      <c r="C738" s="58"/>
      <c r="D738" s="291"/>
      <c r="E738" s="302"/>
    </row>
    <row r="739">
      <c r="A739" s="291"/>
      <c r="C739" s="58"/>
      <c r="D739" s="291"/>
      <c r="E739" s="302"/>
    </row>
    <row r="740">
      <c r="A740" s="291"/>
      <c r="C740" s="58"/>
      <c r="D740" s="291"/>
      <c r="E740" s="302"/>
    </row>
    <row r="741">
      <c r="A741" s="291"/>
      <c r="C741" s="58"/>
      <c r="D741" s="291"/>
      <c r="E741" s="302"/>
    </row>
    <row r="742">
      <c r="A742" s="291"/>
      <c r="C742" s="58"/>
      <c r="D742" s="291"/>
      <c r="E742" s="302"/>
    </row>
    <row r="743">
      <c r="A743" s="291"/>
      <c r="C743" s="58"/>
      <c r="D743" s="291"/>
      <c r="E743" s="302"/>
    </row>
    <row r="744">
      <c r="A744" s="291"/>
      <c r="C744" s="58"/>
      <c r="D744" s="291"/>
      <c r="E744" s="302"/>
    </row>
    <row r="745">
      <c r="A745" s="291"/>
      <c r="C745" s="58"/>
      <c r="D745" s="291"/>
      <c r="E745" s="302"/>
    </row>
    <row r="746">
      <c r="A746" s="291"/>
      <c r="C746" s="58"/>
      <c r="D746" s="291"/>
      <c r="E746" s="302"/>
    </row>
    <row r="747">
      <c r="A747" s="291"/>
      <c r="C747" s="58"/>
      <c r="D747" s="291"/>
      <c r="E747" s="302"/>
    </row>
    <row r="748">
      <c r="A748" s="291"/>
      <c r="C748" s="58"/>
      <c r="D748" s="291"/>
      <c r="E748" s="302"/>
    </row>
    <row r="749">
      <c r="A749" s="291"/>
      <c r="C749" s="58"/>
      <c r="D749" s="291"/>
      <c r="E749" s="302"/>
    </row>
    <row r="750">
      <c r="A750" s="291"/>
      <c r="C750" s="58"/>
      <c r="D750" s="291"/>
      <c r="E750" s="302"/>
    </row>
    <row r="751">
      <c r="A751" s="291"/>
      <c r="C751" s="58"/>
      <c r="D751" s="291"/>
      <c r="E751" s="302"/>
    </row>
    <row r="752">
      <c r="A752" s="291"/>
      <c r="C752" s="58"/>
      <c r="D752" s="291"/>
      <c r="E752" s="302"/>
    </row>
    <row r="753">
      <c r="A753" s="291"/>
      <c r="C753" s="58"/>
      <c r="D753" s="291"/>
      <c r="E753" s="302"/>
    </row>
    <row r="754">
      <c r="A754" s="291"/>
      <c r="C754" s="58"/>
      <c r="D754" s="291"/>
      <c r="E754" s="302"/>
    </row>
    <row r="755">
      <c r="A755" s="291"/>
      <c r="C755" s="58"/>
      <c r="D755" s="291"/>
      <c r="E755" s="302"/>
    </row>
    <row r="756">
      <c r="A756" s="291"/>
      <c r="C756" s="58"/>
      <c r="D756" s="291"/>
      <c r="E756" s="302"/>
    </row>
    <row r="757">
      <c r="A757" s="291"/>
      <c r="C757" s="58"/>
      <c r="D757" s="291"/>
      <c r="E757" s="302"/>
    </row>
    <row r="758">
      <c r="A758" s="291"/>
      <c r="C758" s="58"/>
      <c r="D758" s="291"/>
      <c r="E758" s="302"/>
    </row>
    <row r="759">
      <c r="A759" s="291"/>
      <c r="C759" s="58"/>
      <c r="D759" s="291"/>
      <c r="E759" s="302"/>
    </row>
    <row r="760">
      <c r="A760" s="291"/>
      <c r="C760" s="58"/>
      <c r="D760" s="291"/>
      <c r="E760" s="302"/>
    </row>
    <row r="761">
      <c r="A761" s="291"/>
      <c r="C761" s="58"/>
      <c r="D761" s="291"/>
      <c r="E761" s="302"/>
    </row>
    <row r="762">
      <c r="A762" s="291"/>
      <c r="C762" s="58"/>
      <c r="D762" s="291"/>
      <c r="E762" s="302"/>
    </row>
    <row r="763">
      <c r="A763" s="291"/>
      <c r="C763" s="58"/>
      <c r="D763" s="291"/>
      <c r="E763" s="302"/>
    </row>
    <row r="764">
      <c r="A764" s="291"/>
      <c r="C764" s="58"/>
      <c r="D764" s="291"/>
      <c r="E764" s="302"/>
    </row>
    <row r="765">
      <c r="A765" s="291"/>
      <c r="C765" s="58"/>
      <c r="D765" s="291"/>
      <c r="E765" s="302"/>
    </row>
    <row r="766">
      <c r="A766" s="291"/>
      <c r="C766" s="58"/>
      <c r="D766" s="291"/>
      <c r="E766" s="302"/>
    </row>
    <row r="767">
      <c r="A767" s="291"/>
      <c r="C767" s="58"/>
      <c r="D767" s="291"/>
      <c r="E767" s="302"/>
    </row>
    <row r="768">
      <c r="A768" s="291"/>
      <c r="C768" s="58"/>
      <c r="D768" s="291"/>
      <c r="E768" s="302"/>
    </row>
    <row r="769">
      <c r="A769" s="291"/>
      <c r="C769" s="58"/>
      <c r="D769" s="291"/>
      <c r="E769" s="302"/>
    </row>
    <row r="770">
      <c r="A770" s="291"/>
      <c r="C770" s="58"/>
      <c r="D770" s="291"/>
      <c r="E770" s="302"/>
    </row>
    <row r="771">
      <c r="A771" s="291"/>
      <c r="C771" s="58"/>
      <c r="D771" s="291"/>
      <c r="E771" s="302"/>
    </row>
    <row r="772">
      <c r="A772" s="291"/>
      <c r="C772" s="58"/>
      <c r="D772" s="291"/>
      <c r="E772" s="302"/>
    </row>
    <row r="773">
      <c r="A773" s="291"/>
      <c r="C773" s="58"/>
      <c r="D773" s="291"/>
      <c r="E773" s="302"/>
    </row>
    <row r="774">
      <c r="A774" s="291"/>
      <c r="C774" s="58"/>
      <c r="D774" s="291"/>
      <c r="E774" s="302"/>
    </row>
    <row r="775">
      <c r="A775" s="291"/>
      <c r="C775" s="58"/>
      <c r="D775" s="291"/>
      <c r="E775" s="302"/>
    </row>
    <row r="776">
      <c r="A776" s="291"/>
      <c r="C776" s="58"/>
      <c r="D776" s="291"/>
      <c r="E776" s="302"/>
    </row>
    <row r="777">
      <c r="A777" s="291"/>
      <c r="C777" s="58"/>
      <c r="D777" s="291"/>
      <c r="E777" s="302"/>
    </row>
    <row r="778">
      <c r="A778" s="291"/>
      <c r="C778" s="58"/>
      <c r="D778" s="291"/>
      <c r="E778" s="302"/>
    </row>
    <row r="779">
      <c r="A779" s="291"/>
      <c r="C779" s="58"/>
      <c r="D779" s="291"/>
      <c r="E779" s="302"/>
    </row>
    <row r="780">
      <c r="A780" s="291"/>
      <c r="C780" s="58"/>
      <c r="D780" s="291"/>
      <c r="E780" s="302"/>
    </row>
    <row r="781">
      <c r="A781" s="291"/>
      <c r="C781" s="58"/>
      <c r="D781" s="291"/>
      <c r="E781" s="302"/>
    </row>
    <row r="782">
      <c r="A782" s="291"/>
      <c r="C782" s="58"/>
      <c r="D782" s="291"/>
      <c r="E782" s="302"/>
    </row>
    <row r="783">
      <c r="A783" s="291"/>
      <c r="C783" s="58"/>
      <c r="D783" s="291"/>
      <c r="E783" s="302"/>
    </row>
    <row r="784">
      <c r="A784" s="291"/>
      <c r="C784" s="58"/>
      <c r="D784" s="291"/>
      <c r="E784" s="302"/>
    </row>
    <row r="785">
      <c r="A785" s="291"/>
      <c r="C785" s="58"/>
      <c r="D785" s="291"/>
      <c r="E785" s="302"/>
    </row>
    <row r="786">
      <c r="A786" s="291"/>
      <c r="C786" s="58"/>
      <c r="D786" s="291"/>
      <c r="E786" s="302"/>
    </row>
    <row r="787">
      <c r="A787" s="291"/>
      <c r="C787" s="58"/>
      <c r="D787" s="291"/>
      <c r="E787" s="302"/>
    </row>
    <row r="788">
      <c r="A788" s="291"/>
      <c r="C788" s="58"/>
      <c r="D788" s="291"/>
      <c r="E788" s="302"/>
    </row>
    <row r="789">
      <c r="A789" s="291"/>
      <c r="C789" s="58"/>
      <c r="D789" s="291"/>
      <c r="E789" s="302"/>
    </row>
    <row r="790">
      <c r="A790" s="291"/>
      <c r="C790" s="58"/>
      <c r="D790" s="291"/>
      <c r="E790" s="302"/>
    </row>
    <row r="791">
      <c r="A791" s="291"/>
      <c r="C791" s="58"/>
      <c r="D791" s="291"/>
      <c r="E791" s="302"/>
    </row>
    <row r="792">
      <c r="A792" s="291"/>
      <c r="C792" s="58"/>
      <c r="D792" s="291"/>
      <c r="E792" s="302"/>
    </row>
    <row r="793">
      <c r="A793" s="291"/>
      <c r="C793" s="58"/>
      <c r="D793" s="291"/>
      <c r="E793" s="302"/>
    </row>
    <row r="794">
      <c r="A794" s="291"/>
      <c r="C794" s="58"/>
      <c r="D794" s="291"/>
      <c r="E794" s="302"/>
    </row>
    <row r="795">
      <c r="A795" s="291"/>
      <c r="C795" s="58"/>
      <c r="D795" s="291"/>
      <c r="E795" s="302"/>
    </row>
    <row r="796">
      <c r="A796" s="291"/>
      <c r="C796" s="58"/>
      <c r="D796" s="291"/>
      <c r="E796" s="302"/>
    </row>
    <row r="797">
      <c r="A797" s="291"/>
      <c r="C797" s="58"/>
      <c r="D797" s="291"/>
      <c r="E797" s="302"/>
    </row>
    <row r="798">
      <c r="A798" s="291"/>
      <c r="C798" s="58"/>
      <c r="D798" s="291"/>
      <c r="E798" s="302"/>
    </row>
    <row r="799">
      <c r="A799" s="291"/>
      <c r="C799" s="58"/>
      <c r="D799" s="291"/>
      <c r="E799" s="302"/>
    </row>
    <row r="800">
      <c r="A800" s="291"/>
      <c r="C800" s="58"/>
      <c r="D800" s="291"/>
      <c r="E800" s="302"/>
    </row>
    <row r="801">
      <c r="A801" s="291"/>
      <c r="C801" s="58"/>
      <c r="D801" s="291"/>
      <c r="E801" s="302"/>
    </row>
    <row r="802">
      <c r="A802" s="291"/>
      <c r="C802" s="58"/>
      <c r="D802" s="291"/>
      <c r="E802" s="302"/>
    </row>
    <row r="803">
      <c r="A803" s="291"/>
      <c r="C803" s="58"/>
      <c r="D803" s="291"/>
      <c r="E803" s="302"/>
    </row>
    <row r="804">
      <c r="A804" s="291"/>
      <c r="C804" s="58"/>
      <c r="D804" s="291"/>
      <c r="E804" s="302"/>
    </row>
    <row r="805">
      <c r="A805" s="291"/>
      <c r="C805" s="58"/>
      <c r="D805" s="291"/>
      <c r="E805" s="302"/>
    </row>
    <row r="806">
      <c r="A806" s="291"/>
      <c r="C806" s="58"/>
      <c r="D806" s="291"/>
      <c r="E806" s="302"/>
    </row>
    <row r="807">
      <c r="A807" s="291"/>
      <c r="C807" s="58"/>
      <c r="D807" s="291"/>
      <c r="E807" s="302"/>
    </row>
    <row r="808">
      <c r="A808" s="291"/>
      <c r="C808" s="58"/>
      <c r="D808" s="291"/>
      <c r="E808" s="302"/>
    </row>
    <row r="809">
      <c r="A809" s="291"/>
      <c r="C809" s="58"/>
      <c r="D809" s="291"/>
      <c r="E809" s="302"/>
    </row>
    <row r="810">
      <c r="A810" s="291"/>
      <c r="C810" s="58"/>
      <c r="D810" s="291"/>
      <c r="E810" s="302"/>
    </row>
    <row r="811">
      <c r="A811" s="291"/>
      <c r="C811" s="58"/>
      <c r="D811" s="291"/>
      <c r="E811" s="302"/>
    </row>
    <row r="812">
      <c r="A812" s="291"/>
      <c r="C812" s="58"/>
      <c r="D812" s="291"/>
      <c r="E812" s="302"/>
    </row>
    <row r="813">
      <c r="A813" s="291"/>
      <c r="C813" s="58"/>
      <c r="D813" s="291"/>
      <c r="E813" s="302"/>
    </row>
    <row r="814">
      <c r="A814" s="291"/>
      <c r="C814" s="58"/>
      <c r="D814" s="291"/>
      <c r="E814" s="302"/>
    </row>
    <row r="815">
      <c r="A815" s="291"/>
      <c r="C815" s="58"/>
      <c r="D815" s="291"/>
      <c r="E815" s="302"/>
    </row>
    <row r="816">
      <c r="A816" s="291"/>
      <c r="C816" s="58"/>
      <c r="D816" s="291"/>
      <c r="E816" s="302"/>
    </row>
    <row r="817">
      <c r="A817" s="291"/>
      <c r="C817" s="58"/>
      <c r="D817" s="291"/>
      <c r="E817" s="302"/>
    </row>
    <row r="818">
      <c r="A818" s="291"/>
      <c r="C818" s="58"/>
      <c r="D818" s="291"/>
      <c r="E818" s="302"/>
    </row>
    <row r="819">
      <c r="A819" s="291"/>
      <c r="C819" s="58"/>
      <c r="D819" s="291"/>
      <c r="E819" s="302"/>
    </row>
    <row r="820">
      <c r="A820" s="291"/>
      <c r="C820" s="58"/>
      <c r="D820" s="291"/>
      <c r="E820" s="302"/>
    </row>
    <row r="821">
      <c r="A821" s="291"/>
      <c r="C821" s="58"/>
      <c r="D821" s="291"/>
      <c r="E821" s="302"/>
    </row>
    <row r="822">
      <c r="A822" s="291"/>
      <c r="C822" s="58"/>
      <c r="D822" s="291"/>
      <c r="E822" s="302"/>
    </row>
    <row r="823">
      <c r="A823" s="291"/>
      <c r="C823" s="58"/>
      <c r="D823" s="291"/>
      <c r="E823" s="302"/>
    </row>
    <row r="824">
      <c r="A824" s="291"/>
      <c r="C824" s="58"/>
      <c r="D824" s="291"/>
      <c r="E824" s="302"/>
    </row>
    <row r="825">
      <c r="A825" s="291"/>
      <c r="C825" s="58"/>
      <c r="D825" s="291"/>
      <c r="E825" s="302"/>
    </row>
    <row r="826">
      <c r="A826" s="291"/>
      <c r="C826" s="58"/>
      <c r="D826" s="291"/>
      <c r="E826" s="302"/>
    </row>
    <row r="827">
      <c r="A827" s="291"/>
      <c r="C827" s="58"/>
      <c r="D827" s="291"/>
      <c r="E827" s="302"/>
    </row>
    <row r="828">
      <c r="A828" s="291"/>
      <c r="C828" s="58"/>
      <c r="D828" s="291"/>
      <c r="E828" s="302"/>
    </row>
    <row r="829">
      <c r="A829" s="291"/>
      <c r="C829" s="58"/>
      <c r="D829" s="291"/>
      <c r="E829" s="302"/>
    </row>
    <row r="830">
      <c r="A830" s="291"/>
      <c r="C830" s="58"/>
      <c r="D830" s="291"/>
      <c r="E830" s="302"/>
    </row>
    <row r="831">
      <c r="A831" s="291"/>
      <c r="C831" s="58"/>
      <c r="D831" s="291"/>
      <c r="E831" s="302"/>
    </row>
    <row r="832">
      <c r="A832" s="291"/>
      <c r="C832" s="58"/>
      <c r="D832" s="291"/>
      <c r="E832" s="302"/>
    </row>
    <row r="833">
      <c r="A833" s="291"/>
      <c r="C833" s="58"/>
      <c r="D833" s="291"/>
      <c r="E833" s="302"/>
    </row>
    <row r="834">
      <c r="A834" s="291"/>
      <c r="C834" s="58"/>
      <c r="D834" s="291"/>
      <c r="E834" s="302"/>
    </row>
    <row r="835">
      <c r="A835" s="291"/>
      <c r="C835" s="58"/>
      <c r="D835" s="291"/>
      <c r="E835" s="302"/>
    </row>
    <row r="836">
      <c r="A836" s="291"/>
      <c r="C836" s="58"/>
      <c r="D836" s="291"/>
      <c r="E836" s="302"/>
    </row>
    <row r="837">
      <c r="A837" s="291"/>
      <c r="C837" s="58"/>
      <c r="D837" s="291"/>
      <c r="E837" s="302"/>
    </row>
    <row r="838">
      <c r="A838" s="291"/>
      <c r="C838" s="58"/>
      <c r="D838" s="291"/>
      <c r="E838" s="302"/>
    </row>
    <row r="839">
      <c r="A839" s="291"/>
      <c r="C839" s="58"/>
      <c r="D839" s="291"/>
      <c r="E839" s="302"/>
    </row>
    <row r="840">
      <c r="A840" s="291"/>
      <c r="C840" s="58"/>
      <c r="D840" s="291"/>
      <c r="E840" s="302"/>
    </row>
    <row r="841">
      <c r="A841" s="291"/>
      <c r="C841" s="58"/>
      <c r="D841" s="291"/>
      <c r="E841" s="302"/>
    </row>
    <row r="842">
      <c r="A842" s="291"/>
      <c r="C842" s="58"/>
      <c r="D842" s="291"/>
      <c r="E842" s="302"/>
    </row>
    <row r="843">
      <c r="A843" s="291"/>
      <c r="C843" s="58"/>
      <c r="D843" s="291"/>
      <c r="E843" s="302"/>
    </row>
    <row r="844">
      <c r="A844" s="291"/>
      <c r="C844" s="58"/>
      <c r="D844" s="291"/>
      <c r="E844" s="302"/>
    </row>
    <row r="845">
      <c r="A845" s="291"/>
      <c r="C845" s="58"/>
      <c r="D845" s="291"/>
      <c r="E845" s="302"/>
    </row>
    <row r="846">
      <c r="A846" s="291"/>
      <c r="C846" s="58"/>
      <c r="D846" s="291"/>
      <c r="E846" s="302"/>
    </row>
    <row r="847">
      <c r="A847" s="291"/>
      <c r="C847" s="58"/>
      <c r="D847" s="291"/>
      <c r="E847" s="302"/>
    </row>
    <row r="848">
      <c r="A848" s="291"/>
      <c r="C848" s="58"/>
      <c r="D848" s="291"/>
      <c r="E848" s="302"/>
    </row>
    <row r="849">
      <c r="A849" s="291"/>
      <c r="C849" s="58"/>
      <c r="D849" s="291"/>
      <c r="E849" s="302"/>
    </row>
    <row r="850">
      <c r="A850" s="291"/>
      <c r="C850" s="58"/>
      <c r="D850" s="291"/>
      <c r="E850" s="302"/>
    </row>
    <row r="851">
      <c r="A851" s="291"/>
      <c r="C851" s="58"/>
      <c r="D851" s="291"/>
      <c r="E851" s="302"/>
    </row>
    <row r="852">
      <c r="A852" s="291"/>
      <c r="C852" s="58"/>
      <c r="D852" s="291"/>
      <c r="E852" s="302"/>
    </row>
    <row r="853">
      <c r="A853" s="291"/>
      <c r="C853" s="58"/>
      <c r="D853" s="291"/>
      <c r="E853" s="302"/>
    </row>
    <row r="854">
      <c r="A854" s="291"/>
      <c r="C854" s="58"/>
      <c r="D854" s="291"/>
      <c r="E854" s="302"/>
    </row>
    <row r="855">
      <c r="A855" s="291"/>
      <c r="C855" s="58"/>
      <c r="D855" s="291"/>
      <c r="E855" s="302"/>
    </row>
    <row r="856">
      <c r="A856" s="291"/>
      <c r="C856" s="58"/>
      <c r="D856" s="291"/>
      <c r="E856" s="302"/>
    </row>
    <row r="857">
      <c r="A857" s="291"/>
      <c r="C857" s="58"/>
      <c r="D857" s="291"/>
      <c r="E857" s="302"/>
    </row>
    <row r="858">
      <c r="A858" s="291"/>
      <c r="C858" s="58"/>
      <c r="D858" s="291"/>
      <c r="E858" s="302"/>
    </row>
    <row r="859">
      <c r="A859" s="291"/>
      <c r="C859" s="58"/>
      <c r="D859" s="291"/>
      <c r="E859" s="302"/>
    </row>
    <row r="860">
      <c r="A860" s="291"/>
      <c r="C860" s="58"/>
      <c r="D860" s="291"/>
      <c r="E860" s="302"/>
    </row>
    <row r="861">
      <c r="A861" s="291"/>
      <c r="C861" s="58"/>
      <c r="D861" s="291"/>
      <c r="E861" s="302"/>
    </row>
    <row r="862">
      <c r="A862" s="291"/>
      <c r="C862" s="58"/>
      <c r="D862" s="291"/>
      <c r="E862" s="302"/>
    </row>
    <row r="863">
      <c r="A863" s="291"/>
      <c r="C863" s="58"/>
      <c r="D863" s="291"/>
      <c r="E863" s="302"/>
    </row>
    <row r="864">
      <c r="A864" s="291"/>
      <c r="C864" s="58"/>
      <c r="D864" s="291"/>
      <c r="E864" s="302"/>
    </row>
    <row r="865">
      <c r="A865" s="291"/>
      <c r="C865" s="58"/>
      <c r="D865" s="291"/>
      <c r="E865" s="302"/>
    </row>
    <row r="866">
      <c r="A866" s="291"/>
      <c r="C866" s="58"/>
      <c r="D866" s="291"/>
      <c r="E866" s="302"/>
    </row>
    <row r="867">
      <c r="A867" s="291"/>
      <c r="C867" s="58"/>
      <c r="D867" s="291"/>
      <c r="E867" s="302"/>
    </row>
    <row r="868">
      <c r="A868" s="291"/>
      <c r="C868" s="58"/>
      <c r="D868" s="291"/>
      <c r="E868" s="302"/>
    </row>
    <row r="869">
      <c r="A869" s="291"/>
      <c r="C869" s="58"/>
      <c r="D869" s="291"/>
      <c r="E869" s="302"/>
    </row>
    <row r="870">
      <c r="A870" s="291"/>
      <c r="C870" s="58"/>
      <c r="D870" s="291"/>
      <c r="E870" s="302"/>
    </row>
    <row r="871">
      <c r="A871" s="291"/>
      <c r="C871" s="58"/>
      <c r="D871" s="291"/>
      <c r="E871" s="302"/>
    </row>
    <row r="872">
      <c r="A872" s="291"/>
      <c r="C872" s="58"/>
      <c r="D872" s="291"/>
      <c r="E872" s="302"/>
    </row>
    <row r="873">
      <c r="A873" s="291"/>
      <c r="C873" s="58"/>
      <c r="D873" s="291"/>
      <c r="E873" s="302"/>
    </row>
    <row r="874">
      <c r="A874" s="291"/>
      <c r="C874" s="58"/>
      <c r="D874" s="291"/>
      <c r="E874" s="302"/>
    </row>
    <row r="875">
      <c r="A875" s="291"/>
      <c r="C875" s="58"/>
      <c r="D875" s="291"/>
      <c r="E875" s="302"/>
    </row>
    <row r="876">
      <c r="A876" s="291"/>
      <c r="C876" s="58"/>
      <c r="D876" s="291"/>
      <c r="E876" s="302"/>
    </row>
    <row r="877">
      <c r="A877" s="291"/>
      <c r="C877" s="58"/>
      <c r="D877" s="291"/>
      <c r="E877" s="302"/>
    </row>
    <row r="878">
      <c r="A878" s="291"/>
      <c r="C878" s="58"/>
      <c r="D878" s="291"/>
      <c r="E878" s="302"/>
    </row>
    <row r="879">
      <c r="A879" s="291"/>
      <c r="C879" s="58"/>
      <c r="D879" s="291"/>
      <c r="E879" s="302"/>
    </row>
    <row r="880">
      <c r="A880" s="291"/>
      <c r="C880" s="58"/>
      <c r="D880" s="291"/>
      <c r="E880" s="302"/>
    </row>
    <row r="881">
      <c r="A881" s="291"/>
      <c r="C881" s="58"/>
      <c r="D881" s="291"/>
      <c r="E881" s="302"/>
    </row>
    <row r="882">
      <c r="A882" s="291"/>
      <c r="C882" s="58"/>
      <c r="D882" s="291"/>
      <c r="E882" s="302"/>
    </row>
    <row r="883">
      <c r="A883" s="291"/>
      <c r="C883" s="58"/>
      <c r="D883" s="291"/>
      <c r="E883" s="302"/>
    </row>
    <row r="884">
      <c r="A884" s="291"/>
      <c r="C884" s="58"/>
      <c r="D884" s="291"/>
      <c r="E884" s="302"/>
    </row>
    <row r="885">
      <c r="A885" s="291"/>
      <c r="C885" s="58"/>
      <c r="D885" s="291"/>
      <c r="E885" s="302"/>
    </row>
    <row r="886">
      <c r="A886" s="291"/>
      <c r="C886" s="58"/>
      <c r="D886" s="291"/>
      <c r="E886" s="302"/>
    </row>
    <row r="887">
      <c r="A887" s="291"/>
      <c r="C887" s="58"/>
      <c r="D887" s="291"/>
      <c r="E887" s="302"/>
    </row>
    <row r="888">
      <c r="A888" s="291"/>
      <c r="C888" s="58"/>
      <c r="D888" s="291"/>
      <c r="E888" s="302"/>
    </row>
    <row r="889">
      <c r="A889" s="291"/>
      <c r="C889" s="58"/>
      <c r="D889" s="291"/>
      <c r="E889" s="302"/>
    </row>
    <row r="890">
      <c r="A890" s="291"/>
      <c r="C890" s="58"/>
      <c r="D890" s="291"/>
      <c r="E890" s="302"/>
    </row>
    <row r="891">
      <c r="A891" s="291"/>
      <c r="C891" s="58"/>
      <c r="D891" s="291"/>
      <c r="E891" s="302"/>
    </row>
    <row r="892">
      <c r="A892" s="291"/>
      <c r="C892" s="58"/>
      <c r="D892" s="291"/>
      <c r="E892" s="302"/>
    </row>
    <row r="893">
      <c r="A893" s="291"/>
      <c r="C893" s="58"/>
      <c r="D893" s="291"/>
      <c r="E893" s="302"/>
    </row>
    <row r="894">
      <c r="A894" s="291"/>
      <c r="C894" s="58"/>
      <c r="D894" s="291"/>
      <c r="E894" s="302"/>
    </row>
    <row r="895">
      <c r="A895" s="291"/>
      <c r="C895" s="58"/>
      <c r="D895" s="291"/>
      <c r="E895" s="302"/>
    </row>
    <row r="896">
      <c r="A896" s="291"/>
      <c r="C896" s="58"/>
      <c r="D896" s="291"/>
      <c r="E896" s="302"/>
    </row>
    <row r="897">
      <c r="A897" s="291"/>
      <c r="C897" s="58"/>
      <c r="D897" s="291"/>
      <c r="E897" s="302"/>
    </row>
    <row r="898">
      <c r="A898" s="291"/>
      <c r="C898" s="58"/>
      <c r="D898" s="291"/>
      <c r="E898" s="302"/>
    </row>
    <row r="899">
      <c r="A899" s="291"/>
      <c r="C899" s="58"/>
      <c r="D899" s="291"/>
      <c r="E899" s="302"/>
    </row>
    <row r="900">
      <c r="A900" s="291"/>
      <c r="C900" s="58"/>
      <c r="D900" s="291"/>
      <c r="E900" s="302"/>
    </row>
    <row r="901">
      <c r="A901" s="291"/>
      <c r="C901" s="58"/>
      <c r="D901" s="291"/>
      <c r="E901" s="302"/>
    </row>
    <row r="902">
      <c r="A902" s="291"/>
      <c r="C902" s="58"/>
      <c r="D902" s="291"/>
      <c r="E902" s="302"/>
    </row>
    <row r="903">
      <c r="A903" s="291"/>
      <c r="C903" s="58"/>
      <c r="D903" s="291"/>
      <c r="E903" s="302"/>
    </row>
    <row r="904">
      <c r="A904" s="291"/>
      <c r="C904" s="58"/>
      <c r="D904" s="291"/>
      <c r="E904" s="302"/>
    </row>
    <row r="905">
      <c r="A905" s="291"/>
      <c r="C905" s="58"/>
      <c r="D905" s="291"/>
      <c r="E905" s="302"/>
    </row>
    <row r="906">
      <c r="A906" s="291"/>
      <c r="C906" s="58"/>
      <c r="D906" s="291"/>
      <c r="E906" s="302"/>
    </row>
    <row r="907">
      <c r="A907" s="291"/>
      <c r="C907" s="58"/>
      <c r="D907" s="291"/>
      <c r="E907" s="302"/>
    </row>
    <row r="908">
      <c r="A908" s="291"/>
      <c r="C908" s="58"/>
      <c r="D908" s="291"/>
      <c r="E908" s="302"/>
    </row>
    <row r="909">
      <c r="A909" s="291"/>
      <c r="C909" s="58"/>
      <c r="D909" s="291"/>
      <c r="E909" s="302"/>
    </row>
    <row r="910">
      <c r="A910" s="291"/>
      <c r="C910" s="58"/>
      <c r="D910" s="291"/>
      <c r="E910" s="302"/>
    </row>
    <row r="911">
      <c r="A911" s="291"/>
      <c r="C911" s="58"/>
      <c r="D911" s="291"/>
      <c r="E911" s="302"/>
    </row>
    <row r="912">
      <c r="A912" s="291"/>
      <c r="C912" s="58"/>
      <c r="D912" s="291"/>
      <c r="E912" s="302"/>
    </row>
    <row r="913">
      <c r="A913" s="291"/>
      <c r="C913" s="58"/>
      <c r="D913" s="291"/>
      <c r="E913" s="302"/>
    </row>
    <row r="914">
      <c r="A914" s="291"/>
      <c r="C914" s="58"/>
      <c r="D914" s="291"/>
      <c r="E914" s="302"/>
    </row>
    <row r="915">
      <c r="A915" s="291"/>
      <c r="C915" s="58"/>
      <c r="D915" s="291"/>
      <c r="E915" s="302"/>
    </row>
    <row r="916">
      <c r="A916" s="291"/>
      <c r="C916" s="58"/>
      <c r="D916" s="291"/>
      <c r="E916" s="302"/>
    </row>
    <row r="917">
      <c r="A917" s="291"/>
      <c r="C917" s="58"/>
      <c r="D917" s="291"/>
      <c r="E917" s="302"/>
    </row>
    <row r="918">
      <c r="A918" s="291"/>
      <c r="C918" s="58"/>
      <c r="D918" s="291"/>
      <c r="E918" s="302"/>
    </row>
    <row r="919">
      <c r="A919" s="291"/>
      <c r="C919" s="58"/>
      <c r="D919" s="291"/>
      <c r="E919" s="302"/>
    </row>
    <row r="920">
      <c r="A920" s="291"/>
      <c r="C920" s="58"/>
      <c r="D920" s="291"/>
      <c r="E920" s="302"/>
    </row>
    <row r="921">
      <c r="A921" s="291"/>
      <c r="C921" s="58"/>
      <c r="D921" s="291"/>
      <c r="E921" s="302"/>
    </row>
    <row r="922">
      <c r="A922" s="291"/>
      <c r="C922" s="58"/>
      <c r="D922" s="291"/>
      <c r="E922" s="302"/>
    </row>
    <row r="923">
      <c r="A923" s="291"/>
      <c r="C923" s="58"/>
      <c r="D923" s="291"/>
      <c r="E923" s="302"/>
    </row>
    <row r="924">
      <c r="A924" s="291"/>
      <c r="C924" s="58"/>
      <c r="D924" s="291"/>
      <c r="E924" s="302"/>
    </row>
    <row r="925">
      <c r="A925" s="291"/>
      <c r="C925" s="58"/>
      <c r="D925" s="291"/>
      <c r="E925" s="302"/>
    </row>
    <row r="926">
      <c r="A926" s="291"/>
      <c r="C926" s="58"/>
      <c r="D926" s="291"/>
      <c r="E926" s="302"/>
    </row>
    <row r="927">
      <c r="A927" s="291"/>
      <c r="C927" s="58"/>
      <c r="D927" s="291"/>
      <c r="E927" s="302"/>
    </row>
    <row r="928">
      <c r="A928" s="291"/>
      <c r="C928" s="58"/>
      <c r="D928" s="291"/>
      <c r="E928" s="302"/>
    </row>
    <row r="929">
      <c r="A929" s="291"/>
      <c r="C929" s="58"/>
      <c r="D929" s="291"/>
      <c r="E929" s="302"/>
    </row>
    <row r="930">
      <c r="A930" s="291"/>
      <c r="C930" s="58"/>
      <c r="D930" s="291"/>
      <c r="E930" s="302"/>
    </row>
    <row r="931">
      <c r="A931" s="291"/>
      <c r="C931" s="58"/>
      <c r="D931" s="291"/>
      <c r="E931" s="302"/>
    </row>
    <row r="932">
      <c r="A932" s="291"/>
      <c r="C932" s="58"/>
      <c r="D932" s="291"/>
      <c r="E932" s="302"/>
    </row>
    <row r="933">
      <c r="A933" s="291"/>
      <c r="C933" s="58"/>
      <c r="D933" s="291"/>
      <c r="E933" s="302"/>
    </row>
    <row r="934">
      <c r="A934" s="291"/>
      <c r="C934" s="58"/>
      <c r="D934" s="291"/>
      <c r="E934" s="302"/>
    </row>
    <row r="935">
      <c r="A935" s="291"/>
      <c r="C935" s="58"/>
      <c r="D935" s="291"/>
      <c r="E935" s="302"/>
    </row>
    <row r="936">
      <c r="A936" s="291"/>
      <c r="C936" s="58"/>
      <c r="D936" s="291"/>
      <c r="E936" s="302"/>
    </row>
    <row r="937">
      <c r="A937" s="291"/>
      <c r="C937" s="58"/>
      <c r="D937" s="291"/>
      <c r="E937" s="302"/>
    </row>
    <row r="938">
      <c r="A938" s="291"/>
      <c r="C938" s="58"/>
      <c r="D938" s="291"/>
      <c r="E938" s="302"/>
    </row>
    <row r="939">
      <c r="A939" s="291"/>
      <c r="C939" s="58"/>
      <c r="D939" s="291"/>
      <c r="E939" s="302"/>
    </row>
    <row r="940">
      <c r="A940" s="291"/>
      <c r="C940" s="58"/>
      <c r="D940" s="291"/>
      <c r="E940" s="302"/>
    </row>
    <row r="941">
      <c r="A941" s="291"/>
      <c r="C941" s="58"/>
      <c r="D941" s="291"/>
      <c r="E941" s="302"/>
    </row>
    <row r="942">
      <c r="A942" s="291"/>
      <c r="C942" s="58"/>
      <c r="D942" s="291"/>
      <c r="E942" s="302"/>
    </row>
    <row r="943">
      <c r="A943" s="291"/>
      <c r="C943" s="58"/>
      <c r="D943" s="291"/>
      <c r="E943" s="302"/>
    </row>
    <row r="944">
      <c r="A944" s="291"/>
      <c r="C944" s="58"/>
      <c r="D944" s="291"/>
      <c r="E944" s="302"/>
    </row>
    <row r="945">
      <c r="A945" s="291"/>
      <c r="C945" s="58"/>
      <c r="D945" s="291"/>
      <c r="E945" s="302"/>
    </row>
    <row r="946">
      <c r="A946" s="291"/>
      <c r="C946" s="58"/>
      <c r="D946" s="291"/>
      <c r="E946" s="302"/>
    </row>
    <row r="947">
      <c r="A947" s="291"/>
      <c r="C947" s="58"/>
      <c r="D947" s="291"/>
      <c r="E947" s="302"/>
    </row>
    <row r="948">
      <c r="A948" s="291"/>
      <c r="C948" s="58"/>
      <c r="D948" s="291"/>
      <c r="E948" s="302"/>
    </row>
    <row r="949">
      <c r="A949" s="291"/>
      <c r="C949" s="58"/>
      <c r="D949" s="291"/>
      <c r="E949" s="302"/>
    </row>
    <row r="950">
      <c r="A950" s="291"/>
      <c r="C950" s="58"/>
      <c r="D950" s="291"/>
      <c r="E950" s="302"/>
    </row>
    <row r="951">
      <c r="A951" s="291"/>
      <c r="C951" s="58"/>
      <c r="D951" s="291"/>
      <c r="E951" s="302"/>
    </row>
    <row r="952">
      <c r="A952" s="291"/>
      <c r="C952" s="58"/>
      <c r="D952" s="291"/>
      <c r="E952" s="302"/>
    </row>
    <row r="953">
      <c r="A953" s="291"/>
      <c r="C953" s="58"/>
      <c r="D953" s="291"/>
      <c r="E953" s="302"/>
    </row>
    <row r="954">
      <c r="A954" s="291"/>
      <c r="C954" s="58"/>
      <c r="D954" s="291"/>
      <c r="E954" s="302"/>
    </row>
    <row r="955">
      <c r="A955" s="291"/>
      <c r="C955" s="58"/>
      <c r="D955" s="291"/>
      <c r="E955" s="302"/>
    </row>
    <row r="956">
      <c r="A956" s="291"/>
      <c r="C956" s="58"/>
      <c r="D956" s="291"/>
      <c r="E956" s="302"/>
    </row>
    <row r="957">
      <c r="A957" s="291"/>
      <c r="C957" s="58"/>
      <c r="D957" s="291"/>
      <c r="E957" s="302"/>
    </row>
    <row r="958">
      <c r="A958" s="291"/>
      <c r="C958" s="58"/>
      <c r="D958" s="291"/>
      <c r="E958" s="302"/>
    </row>
    <row r="959">
      <c r="A959" s="291"/>
      <c r="C959" s="58"/>
      <c r="D959" s="291"/>
      <c r="E959" s="302"/>
    </row>
    <row r="960">
      <c r="A960" s="291"/>
      <c r="C960" s="58"/>
      <c r="D960" s="291"/>
      <c r="E960" s="302"/>
    </row>
    <row r="961">
      <c r="A961" s="291"/>
      <c r="C961" s="58"/>
      <c r="D961" s="291"/>
      <c r="E961" s="302"/>
    </row>
    <row r="962">
      <c r="A962" s="291"/>
      <c r="C962" s="58"/>
      <c r="D962" s="291"/>
      <c r="E962" s="302"/>
    </row>
    <row r="963">
      <c r="A963" s="291"/>
      <c r="C963" s="58"/>
      <c r="D963" s="291"/>
      <c r="E963" s="302"/>
    </row>
    <row r="964">
      <c r="A964" s="291"/>
      <c r="C964" s="58"/>
      <c r="D964" s="291"/>
      <c r="E964" s="302"/>
    </row>
    <row r="965">
      <c r="A965" s="291"/>
      <c r="C965" s="58"/>
      <c r="D965" s="291"/>
      <c r="E965" s="302"/>
    </row>
    <row r="966">
      <c r="A966" s="291"/>
      <c r="C966" s="58"/>
      <c r="D966" s="291"/>
      <c r="E966" s="302"/>
    </row>
    <row r="967">
      <c r="A967" s="291"/>
      <c r="C967" s="58"/>
      <c r="D967" s="291"/>
      <c r="E967" s="302"/>
    </row>
    <row r="968">
      <c r="A968" s="291"/>
      <c r="C968" s="58"/>
      <c r="D968" s="291"/>
      <c r="E968" s="302"/>
    </row>
    <row r="969">
      <c r="A969" s="291"/>
      <c r="C969" s="58"/>
      <c r="D969" s="291"/>
      <c r="E969" s="302"/>
    </row>
    <row r="970">
      <c r="A970" s="291"/>
      <c r="C970" s="58"/>
      <c r="D970" s="291"/>
      <c r="E970" s="302"/>
    </row>
    <row r="971">
      <c r="A971" s="291"/>
      <c r="C971" s="58"/>
      <c r="D971" s="291"/>
      <c r="E971" s="302"/>
    </row>
    <row r="972">
      <c r="A972" s="291"/>
      <c r="C972" s="58"/>
      <c r="D972" s="291"/>
      <c r="E972" s="302"/>
    </row>
    <row r="973">
      <c r="A973" s="291"/>
      <c r="C973" s="58"/>
      <c r="D973" s="291"/>
      <c r="E973" s="302"/>
    </row>
    <row r="974">
      <c r="A974" s="291"/>
      <c r="C974" s="58"/>
      <c r="D974" s="291"/>
      <c r="E974" s="302"/>
    </row>
    <row r="975">
      <c r="A975" s="291"/>
      <c r="C975" s="58"/>
      <c r="D975" s="291"/>
      <c r="E975" s="302"/>
    </row>
    <row r="976">
      <c r="A976" s="291"/>
      <c r="C976" s="58"/>
      <c r="D976" s="291"/>
      <c r="E976" s="302"/>
    </row>
    <row r="977">
      <c r="A977" s="291"/>
      <c r="C977" s="58"/>
      <c r="D977" s="291"/>
      <c r="E977" s="302"/>
    </row>
    <row r="978">
      <c r="A978" s="291"/>
      <c r="C978" s="58"/>
      <c r="D978" s="291"/>
      <c r="E978" s="302"/>
    </row>
    <row r="979">
      <c r="A979" s="291"/>
      <c r="C979" s="58"/>
      <c r="D979" s="291"/>
      <c r="E979" s="302"/>
    </row>
    <row r="980">
      <c r="A980" s="291"/>
      <c r="C980" s="58"/>
      <c r="D980" s="291"/>
      <c r="E980" s="302"/>
    </row>
    <row r="981">
      <c r="A981" s="291"/>
      <c r="C981" s="58"/>
      <c r="D981" s="291"/>
      <c r="E981" s="302"/>
    </row>
    <row r="982">
      <c r="A982" s="291"/>
      <c r="C982" s="58"/>
      <c r="D982" s="291"/>
      <c r="E982" s="302"/>
    </row>
    <row r="983">
      <c r="A983" s="291"/>
      <c r="C983" s="58"/>
      <c r="D983" s="291"/>
      <c r="E983" s="302"/>
    </row>
    <row r="984">
      <c r="A984" s="291"/>
      <c r="C984" s="58"/>
      <c r="D984" s="291"/>
      <c r="E984" s="302"/>
    </row>
    <row r="985">
      <c r="A985" s="291"/>
      <c r="C985" s="58"/>
      <c r="D985" s="291"/>
      <c r="E985" s="302"/>
    </row>
    <row r="986">
      <c r="A986" s="291"/>
      <c r="C986" s="58"/>
      <c r="D986" s="291"/>
      <c r="E986" s="302"/>
    </row>
    <row r="987">
      <c r="A987" s="291"/>
      <c r="C987" s="58"/>
      <c r="D987" s="291"/>
      <c r="E987" s="302"/>
    </row>
    <row r="988">
      <c r="A988" s="291"/>
      <c r="C988" s="58"/>
      <c r="D988" s="291"/>
      <c r="E988" s="302"/>
    </row>
    <row r="989">
      <c r="A989" s="291"/>
      <c r="C989" s="58"/>
      <c r="D989" s="291"/>
      <c r="E989" s="302"/>
    </row>
    <row r="990">
      <c r="A990" s="291"/>
      <c r="C990" s="58"/>
      <c r="D990" s="291"/>
      <c r="E990" s="302"/>
    </row>
    <row r="991">
      <c r="A991" s="291"/>
      <c r="C991" s="58"/>
      <c r="D991" s="291"/>
      <c r="E991" s="302"/>
    </row>
    <row r="992">
      <c r="A992" s="291"/>
      <c r="C992" s="58"/>
      <c r="D992" s="291"/>
      <c r="E992" s="302"/>
    </row>
    <row r="993">
      <c r="A993" s="291"/>
      <c r="C993" s="58"/>
      <c r="D993" s="291"/>
      <c r="E993" s="302"/>
    </row>
    <row r="994">
      <c r="A994" s="291"/>
      <c r="C994" s="58"/>
      <c r="D994" s="291"/>
      <c r="E994" s="302"/>
    </row>
    <row r="995">
      <c r="A995" s="291"/>
      <c r="C995" s="58"/>
      <c r="D995" s="291"/>
      <c r="E995" s="302"/>
    </row>
    <row r="996">
      <c r="A996" s="291"/>
      <c r="C996" s="58"/>
      <c r="D996" s="291"/>
      <c r="E996" s="302"/>
    </row>
    <row r="997">
      <c r="A997" s="291"/>
      <c r="C997" s="58"/>
      <c r="D997" s="291"/>
      <c r="E997" s="302"/>
    </row>
    <row r="998">
      <c r="A998" s="291"/>
      <c r="C998" s="58"/>
      <c r="D998" s="291"/>
      <c r="E998" s="302"/>
    </row>
    <row r="999">
      <c r="A999" s="291"/>
      <c r="C999" s="58"/>
      <c r="D999" s="291"/>
      <c r="E999" s="302"/>
    </row>
    <row r="1000">
      <c r="A1000" s="291"/>
      <c r="C1000" s="58"/>
      <c r="D1000" s="291"/>
      <c r="E1000" s="302"/>
    </row>
    <row r="1001">
      <c r="A1001" s="291"/>
      <c r="C1001" s="58"/>
      <c r="D1001" s="291"/>
      <c r="E1001" s="302"/>
    </row>
  </sheetData>
  <autoFilter ref="$A$1:$E$214"/>
  <dataValidations>
    <dataValidation type="list" allowBlank="1" showErrorMessage="1" sqref="B2:B223">
      <formula1>"Associativo,Certificante,Ambos"</formula1>
    </dataValidation>
  </dataValidations>
  <hyperlinks>
    <hyperlink r:id="rId1" ref="E2"/>
    <hyperlink r:id="rId2" ref="E3"/>
    <hyperlink r:id="rId3" location=":~:text=A%20Certifica%C3%A7%C3%A3o%204C%20%C3%A9%20um,toda%20a%20cadeia%20de%20produ%C3%A7%C3%A3o." ref="E4"/>
    <hyperlink r:id="rId4" ref="E5"/>
    <hyperlink r:id="rId5" ref="E6"/>
    <hyperlink r:id="rId6" ref="E7"/>
    <hyperlink r:id="rId7" ref="E8"/>
    <hyperlink r:id="rId8" ref="E9"/>
    <hyperlink r:id="rId9" ref="E10"/>
    <hyperlink r:id="rId10" ref="E11"/>
    <hyperlink r:id="rId11" ref="F11"/>
    <hyperlink r:id="rId12" ref="E12"/>
    <hyperlink r:id="rId13" ref="E13"/>
    <hyperlink r:id="rId14" ref="E14"/>
    <hyperlink r:id="rId15" ref="E15"/>
    <hyperlink r:id="rId16" ref="E16"/>
    <hyperlink r:id="rId17" ref="E17"/>
    <hyperlink r:id="rId18" ref="E18"/>
    <hyperlink r:id="rId19" ref="E19"/>
    <hyperlink r:id="rId20" ref="E20"/>
    <hyperlink r:id="rId21" ref="E21"/>
    <hyperlink r:id="rId22" ref="E22"/>
    <hyperlink r:id="rId23" ref="E23"/>
    <hyperlink r:id="rId24" ref="E24"/>
    <hyperlink r:id="rId25" ref="E25"/>
    <hyperlink r:id="rId26" ref="E26"/>
    <hyperlink r:id="rId27" ref="E27"/>
    <hyperlink r:id="rId28" ref="E28"/>
    <hyperlink r:id="rId29" ref="E29"/>
    <hyperlink r:id="rId30" ref="E30"/>
    <hyperlink r:id="rId31" ref="E31"/>
    <hyperlink r:id="rId32" ref="E33"/>
    <hyperlink r:id="rId33" ref="E34"/>
    <hyperlink r:id="rId34" ref="E35"/>
    <hyperlink r:id="rId35" ref="E36"/>
    <hyperlink r:id="rId36" ref="E37"/>
    <hyperlink r:id="rId37" ref="E38"/>
    <hyperlink r:id="rId38" ref="E39"/>
    <hyperlink r:id="rId39" ref="E40"/>
    <hyperlink r:id="rId40" ref="E43"/>
    <hyperlink r:id="rId41" ref="E44"/>
    <hyperlink r:id="rId42" ref="E45"/>
    <hyperlink r:id="rId43" ref="E46"/>
    <hyperlink r:id="rId44" ref="E47"/>
    <hyperlink r:id="rId45" ref="E49"/>
    <hyperlink r:id="rId46" ref="E50"/>
    <hyperlink r:id="rId47" ref="E51"/>
    <hyperlink r:id="rId48" ref="E53"/>
    <hyperlink r:id="rId49" ref="E56"/>
    <hyperlink r:id="rId50" ref="E57"/>
    <hyperlink r:id="rId51" ref="E58"/>
    <hyperlink r:id="rId52" ref="E59"/>
    <hyperlink r:id="rId53" ref="E60"/>
    <hyperlink r:id="rId54" ref="E61"/>
    <hyperlink r:id="rId55" ref="F61"/>
    <hyperlink r:id="rId56" ref="E62"/>
    <hyperlink r:id="rId57" ref="E63"/>
    <hyperlink r:id="rId58" ref="E64"/>
    <hyperlink r:id="rId59" ref="F64"/>
    <hyperlink r:id="rId60" ref="E65"/>
    <hyperlink r:id="rId61" ref="E66"/>
    <hyperlink r:id="rId62" ref="E67"/>
    <hyperlink r:id="rId63" ref="E68"/>
    <hyperlink r:id="rId64" ref="E69"/>
    <hyperlink r:id="rId65" ref="E70"/>
    <hyperlink r:id="rId66" ref="E71"/>
    <hyperlink r:id="rId67" ref="E72"/>
    <hyperlink r:id="rId68" ref="E73"/>
    <hyperlink r:id="rId69" ref="E74"/>
    <hyperlink r:id="rId70" ref="E75"/>
    <hyperlink r:id="rId71" ref="E76"/>
    <hyperlink r:id="rId72" ref="E77"/>
    <hyperlink r:id="rId73" ref="E78"/>
    <hyperlink r:id="rId74" ref="E79"/>
    <hyperlink r:id="rId75" ref="E80"/>
    <hyperlink r:id="rId76" ref="E81"/>
    <hyperlink r:id="rId77" ref="E82"/>
    <hyperlink r:id="rId78" ref="E83"/>
    <hyperlink r:id="rId79" ref="E84"/>
    <hyperlink r:id="rId80" ref="E85"/>
    <hyperlink r:id="rId81" ref="E86"/>
    <hyperlink r:id="rId82" ref="E87"/>
    <hyperlink r:id="rId83" ref="E88"/>
    <hyperlink r:id="rId84" ref="E89"/>
    <hyperlink r:id="rId85" ref="E90"/>
    <hyperlink r:id="rId86" ref="E91"/>
    <hyperlink r:id="rId87" ref="E92"/>
    <hyperlink r:id="rId88" ref="E93"/>
    <hyperlink r:id="rId89" ref="E94"/>
    <hyperlink r:id="rId90" ref="E95"/>
    <hyperlink r:id="rId91" ref="E96"/>
    <hyperlink r:id="rId92" ref="E97"/>
    <hyperlink r:id="rId93" location=":~:text=GEEIS%20is%20an%20international%20standard,dialogue%20and%20the%20sharing%20of" ref="E98"/>
    <hyperlink r:id="rId94" ref="E99"/>
    <hyperlink r:id="rId95" ref="E100"/>
    <hyperlink r:id="rId96" ref="E101"/>
    <hyperlink r:id="rId97" ref="E102"/>
    <hyperlink r:id="rId98" ref="E103"/>
    <hyperlink r:id="rId99" ref="E104"/>
    <hyperlink r:id="rId100" ref="E105"/>
    <hyperlink r:id="rId101" ref="E106"/>
    <hyperlink r:id="rId102" ref="E107"/>
    <hyperlink r:id="rId103" ref="E108"/>
    <hyperlink r:id="rId104" ref="E109"/>
    <hyperlink r:id="rId105" location=":~:text=O%20Sistema%20APPCC%20" ref="E110"/>
    <hyperlink r:id="rId106" location="categorias" ref="E111"/>
    <hyperlink r:id="rId107" location=":~:text=The%20Global%20Standards%20Coalition%2C%20led,to%20those%20underage%20or%20intoxicated" ref="E112"/>
    <hyperlink r:id="rId108" ref="E113"/>
    <hyperlink r:id="rId109" ref="E114"/>
    <hyperlink r:id="rId110" ref="E115"/>
    <hyperlink r:id="rId111" ref="E116"/>
    <hyperlink r:id="rId112" ref="E117"/>
    <hyperlink r:id="rId113" ref="E118"/>
    <hyperlink r:id="rId114" ref="E119"/>
    <hyperlink r:id="rId115" ref="E120"/>
    <hyperlink r:id="rId116" ref="E121"/>
    <hyperlink r:id="rId117" ref="E122"/>
    <hyperlink r:id="rId118" ref="E123"/>
    <hyperlink r:id="rId119" ref="E124"/>
    <hyperlink r:id="rId120" ref="E125"/>
    <hyperlink r:id="rId121" location=":~:text=A%20Instru%C3%A7%C3%A3o%20Normativa%2029%2C%20de,prestadores%20de%20servi%C3%A7os%20de%20armazenagem." ref="E126"/>
    <hyperlink r:id="rId122" ref="E127"/>
    <hyperlink r:id="rId123" ref="E128"/>
    <hyperlink r:id="rId124" location=":~:text=A%20ABNT%20NBR%2016001%20estabelece,da%20cidadania%20e%20do%20desenvolvimento" ref="E129"/>
    <hyperlink r:id="rId125" ref="E130"/>
    <hyperlink r:id="rId126" ref="E131"/>
    <hyperlink r:id="rId127" ref="E132"/>
    <hyperlink r:id="rId128" ref="E133"/>
    <hyperlink r:id="rId129" ref="E134"/>
    <hyperlink r:id="rId130" ref="E135"/>
    <hyperlink r:id="rId131" ref="E136"/>
    <hyperlink r:id="rId132" location=":~:text=de%20alimentos%20%E2%80%93%20Omnia-,ABNT%20publica%20Emenda%20da%20NBR%20ISO%2022000%3A2019%20%E2%80%93%20Sistemas%20de,gest%C3%A3o%20de%20seguran%C3%A7a%20de%20alimentos&amp;text=Este%20documento%20especifica%20os%20requisitos,na%20cadeia%20produtiva%20de%20alimentos." ref="E137"/>
    <hyperlink r:id="rId133" ref="E138"/>
    <hyperlink r:id="rId134" location=":~:text=A%20ISO%2FTS%2022002%2D1%20estabelece%20os%20requisitos%20para%20a,complexidade%20dos%20produtos%20ou%20processos." ref="E139"/>
    <hyperlink r:id="rId135" ref="E140"/>
    <hyperlink r:id="rId136" ref="E141"/>
    <hyperlink r:id="rId137" ref="E142"/>
    <hyperlink r:id="rId138" ref="E143"/>
    <hyperlink r:id="rId139" location="the-agreement" ref="E144"/>
    <hyperlink r:id="rId140" ref="E145"/>
    <hyperlink r:id="rId141" ref="E146"/>
    <hyperlink r:id="rId142" location=":~:text=A%20Universidade%20Zumbi%20dos%20Palamares%20e%20a,preconceito%20e%20%C3%A0%20discrimina%C3%A7%C3%A3o%20racial%20contra%20negros." ref="E147"/>
    <hyperlink r:id="rId143" ref="E148"/>
    <hyperlink r:id="rId144" ref="E149"/>
    <hyperlink r:id="rId145" ref="E150"/>
    <hyperlink r:id="rId146" ref="E151"/>
    <hyperlink r:id="rId147" ref="E152"/>
    <hyperlink r:id="rId148" ref="E153"/>
    <hyperlink r:id="rId149" ref="E154"/>
    <hyperlink r:id="rId150" ref="E155"/>
    <hyperlink r:id="rId151" ref="E156"/>
    <hyperlink r:id="rId152" ref="E157"/>
    <hyperlink r:id="rId153" ref="E158"/>
    <hyperlink r:id="rId154" ref="E159"/>
    <hyperlink r:id="rId155" ref="E160"/>
    <hyperlink r:id="rId156" ref="F161"/>
    <hyperlink r:id="rId157" ref="E162"/>
    <hyperlink r:id="rId158" ref="E163"/>
    <hyperlink r:id="rId159" ref="E164"/>
    <hyperlink r:id="rId160" ref="E165"/>
    <hyperlink r:id="rId161" ref="E166"/>
    <hyperlink r:id="rId162" location=":~:text=Os%20Princ%C3%ADpios%20de%20Empoderamento%20das,a%20discrimina%C3%A7%C3%A3o%20contra%20as%20mulheres." ref="E167"/>
    <hyperlink r:id="rId163" ref="E168"/>
    <hyperlink r:id="rId164" ref="F168"/>
    <hyperlink r:id="rId165" ref="E169"/>
    <hyperlink r:id="rId166" ref="E170"/>
    <hyperlink r:id="rId167" ref="E171"/>
    <hyperlink r:id="rId168" ref="E172"/>
    <hyperlink r:id="rId169" ref="E173"/>
    <hyperlink r:id="rId170" ref="E174"/>
    <hyperlink r:id="rId171" ref="E175"/>
    <hyperlink r:id="rId172" ref="E176"/>
    <hyperlink r:id="rId173" ref="E177"/>
    <hyperlink r:id="rId174" ref="E178"/>
    <hyperlink r:id="rId175" location=":~:text=A%20Rede%20pela%20Circularidade%20do,material%2C%20com%20foco%20em%20embalagens." ref="E179"/>
    <hyperlink r:id="rId176" ref="E180"/>
    <hyperlink r:id="rId177" ref="E181"/>
    <hyperlink r:id="rId178" ref="E182"/>
    <hyperlink r:id="rId179" location="mision" ref="E183"/>
    <hyperlink r:id="rId180" ref="E184"/>
    <hyperlink r:id="rId181" ref="E185"/>
    <hyperlink r:id="rId182" ref="E186"/>
    <hyperlink r:id="rId183" ref="E187"/>
    <hyperlink r:id="rId184" ref="E188"/>
    <hyperlink r:id="rId185" ref="E189"/>
    <hyperlink r:id="rId186" ref="E190"/>
    <hyperlink r:id="rId187" ref="E191"/>
    <hyperlink r:id="rId188" ref="E192"/>
    <hyperlink r:id="rId189" ref="E193"/>
    <hyperlink r:id="rId190" ref="E194"/>
    <hyperlink r:id="rId191" ref="E195"/>
    <hyperlink r:id="rId192" ref="F195"/>
    <hyperlink r:id="rId193" ref="E196"/>
    <hyperlink r:id="rId194" ref="E197"/>
    <hyperlink r:id="rId195" location=":~:text=O%20Programa%20Selo%20Verde%20Brasil%20pode%20ser%20entendido%20como%20um,desburocratiza%C3%A7%C3%A3o%20e%20a%20redu%C3%A7%C3%A3o%20de" ref="E198"/>
    <hyperlink r:id="rId196" ref="E199"/>
    <hyperlink r:id="rId197" ref="E200"/>
    <hyperlink r:id="rId198" location=":~:text=SISBOV%20%C3%A9%20o%20sistema%20oficial,controles%20ou%20programas%20sanit%C3%A1rios%20oficiais." ref="E201"/>
    <hyperlink r:id="rId199" ref="E202"/>
    <hyperlink r:id="rId200" ref="E203"/>
    <hyperlink r:id="rId201" ref="E204"/>
    <hyperlink r:id="rId202" ref="E205"/>
    <hyperlink r:id="rId203" ref="E206"/>
    <hyperlink r:id="rId204" ref="E207"/>
    <hyperlink r:id="rId205" ref="E208"/>
    <hyperlink r:id="rId206" ref="E209"/>
    <hyperlink r:id="rId207" ref="E210"/>
    <hyperlink r:id="rId208" ref="E211"/>
    <hyperlink r:id="rId209" ref="E212"/>
    <hyperlink r:id="rId210" ref="E213"/>
    <hyperlink r:id="rId211" ref="E214"/>
  </hyperlinks>
  <drawing r:id="rId21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8.0"/>
    <col customWidth="1" min="3" max="3" width="38.25"/>
  </cols>
  <sheetData>
    <row r="1">
      <c r="A1" s="273" t="s">
        <v>4777</v>
      </c>
      <c r="B1" s="273" t="s">
        <v>3160</v>
      </c>
      <c r="C1" s="274" t="s">
        <v>3982</v>
      </c>
      <c r="D1" s="309"/>
      <c r="E1" s="279"/>
      <c r="F1" s="279"/>
      <c r="G1" s="279"/>
      <c r="H1" s="279"/>
      <c r="I1" s="279"/>
      <c r="J1" s="279"/>
      <c r="K1" s="279"/>
      <c r="L1" s="279"/>
      <c r="M1" s="279"/>
      <c r="N1" s="279"/>
      <c r="O1" s="279"/>
      <c r="P1" s="279"/>
      <c r="Q1" s="279"/>
      <c r="R1" s="279"/>
      <c r="S1" s="279"/>
      <c r="T1" s="279"/>
      <c r="U1" s="279"/>
      <c r="V1" s="279"/>
      <c r="W1" s="279"/>
      <c r="X1" s="279"/>
      <c r="Y1" s="279"/>
      <c r="Z1" s="279"/>
    </row>
    <row r="2">
      <c r="A2" s="310" t="s">
        <v>4016</v>
      </c>
      <c r="B2" s="310" t="s">
        <v>3164</v>
      </c>
      <c r="C2" s="311" t="s">
        <v>4778</v>
      </c>
      <c r="D2" s="309" t="s">
        <v>3164</v>
      </c>
      <c r="E2" s="279"/>
      <c r="F2" s="279"/>
      <c r="G2" s="279"/>
      <c r="H2" s="279"/>
      <c r="I2" s="279"/>
      <c r="J2" s="279"/>
      <c r="K2" s="279"/>
      <c r="L2" s="279"/>
      <c r="M2" s="279"/>
      <c r="N2" s="279"/>
      <c r="O2" s="279"/>
      <c r="P2" s="279"/>
      <c r="Q2" s="279"/>
      <c r="R2" s="279"/>
      <c r="S2" s="279"/>
      <c r="T2" s="279"/>
      <c r="U2" s="279"/>
      <c r="V2" s="279"/>
      <c r="W2" s="279"/>
      <c r="X2" s="279"/>
      <c r="Y2" s="279"/>
      <c r="Z2" s="279"/>
    </row>
    <row r="3">
      <c r="A3" s="312" t="s">
        <v>4779</v>
      </c>
      <c r="B3" s="312" t="s">
        <v>4026</v>
      </c>
      <c r="C3" s="312" t="s">
        <v>4780</v>
      </c>
      <c r="D3" s="309" t="s">
        <v>3164</v>
      </c>
      <c r="E3" s="279"/>
      <c r="F3" s="279"/>
      <c r="G3" s="279"/>
      <c r="H3" s="279"/>
      <c r="I3" s="279"/>
      <c r="J3" s="279"/>
      <c r="K3" s="279"/>
      <c r="L3" s="279"/>
      <c r="M3" s="279"/>
      <c r="N3" s="279"/>
      <c r="O3" s="279"/>
      <c r="P3" s="279"/>
      <c r="Q3" s="279"/>
      <c r="R3" s="279"/>
      <c r="S3" s="279"/>
      <c r="T3" s="279"/>
      <c r="U3" s="279"/>
      <c r="V3" s="279"/>
      <c r="W3" s="279"/>
      <c r="X3" s="279"/>
      <c r="Y3" s="279"/>
      <c r="Z3" s="279"/>
    </row>
    <row r="4">
      <c r="B4" s="312" t="s">
        <v>4031</v>
      </c>
      <c r="C4" s="312" t="s">
        <v>4781</v>
      </c>
      <c r="D4" s="309"/>
      <c r="E4" s="279"/>
      <c r="F4" s="279"/>
      <c r="G4" s="279"/>
      <c r="H4" s="279"/>
      <c r="I4" s="279"/>
      <c r="J4" s="279"/>
      <c r="K4" s="279"/>
      <c r="L4" s="279"/>
      <c r="M4" s="279"/>
      <c r="N4" s="279"/>
      <c r="O4" s="279"/>
      <c r="P4" s="279"/>
      <c r="Q4" s="279"/>
      <c r="R4" s="279"/>
      <c r="S4" s="279"/>
      <c r="T4" s="279"/>
      <c r="U4" s="279"/>
      <c r="V4" s="279"/>
      <c r="W4" s="279"/>
      <c r="X4" s="279"/>
      <c r="Y4" s="279"/>
      <c r="Z4" s="279"/>
    </row>
    <row r="5">
      <c r="B5" s="312" t="s">
        <v>3326</v>
      </c>
      <c r="C5" s="312" t="s">
        <v>4782</v>
      </c>
      <c r="D5" s="309" t="s">
        <v>3164</v>
      </c>
      <c r="E5" s="279"/>
      <c r="F5" s="279"/>
      <c r="G5" s="279"/>
      <c r="H5" s="279"/>
      <c r="I5" s="279"/>
      <c r="J5" s="279"/>
      <c r="K5" s="279"/>
      <c r="L5" s="279"/>
      <c r="M5" s="279"/>
      <c r="N5" s="279"/>
      <c r="O5" s="279"/>
      <c r="P5" s="279"/>
      <c r="Q5" s="279"/>
      <c r="R5" s="279"/>
      <c r="S5" s="279"/>
      <c r="T5" s="279"/>
      <c r="U5" s="279"/>
      <c r="V5" s="279"/>
      <c r="W5" s="279"/>
      <c r="X5" s="279"/>
      <c r="Y5" s="279"/>
      <c r="Z5" s="279"/>
    </row>
    <row r="6">
      <c r="A6" s="310" t="s">
        <v>4018</v>
      </c>
      <c r="B6" s="310" t="s">
        <v>3164</v>
      </c>
      <c r="C6" s="311" t="s">
        <v>4783</v>
      </c>
      <c r="D6" s="309" t="s">
        <v>3164</v>
      </c>
      <c r="E6" s="279"/>
      <c r="F6" s="279"/>
      <c r="G6" s="279"/>
      <c r="H6" s="279"/>
      <c r="I6" s="279"/>
      <c r="J6" s="279"/>
      <c r="K6" s="279"/>
      <c r="L6" s="279"/>
      <c r="M6" s="279"/>
      <c r="N6" s="279"/>
      <c r="O6" s="279"/>
      <c r="P6" s="279"/>
      <c r="Q6" s="279"/>
      <c r="R6" s="279"/>
      <c r="S6" s="279"/>
      <c r="T6" s="279"/>
      <c r="U6" s="279"/>
      <c r="V6" s="279"/>
      <c r="W6" s="279"/>
      <c r="X6" s="279"/>
      <c r="Y6" s="279"/>
      <c r="Z6" s="279"/>
    </row>
    <row r="7">
      <c r="A7" s="312" t="s">
        <v>4019</v>
      </c>
      <c r="B7" s="312" t="s">
        <v>3164</v>
      </c>
      <c r="C7" s="312" t="s">
        <v>4784</v>
      </c>
      <c r="D7" s="309" t="s">
        <v>3164</v>
      </c>
      <c r="E7" s="279"/>
      <c r="F7" s="279"/>
      <c r="G7" s="279"/>
      <c r="H7" s="279"/>
      <c r="I7" s="279"/>
      <c r="J7" s="279"/>
      <c r="K7" s="279"/>
      <c r="L7" s="279"/>
      <c r="M7" s="279"/>
      <c r="N7" s="279"/>
      <c r="O7" s="279"/>
      <c r="P7" s="279"/>
      <c r="Q7" s="279"/>
      <c r="R7" s="279"/>
      <c r="S7" s="279"/>
      <c r="T7" s="279"/>
      <c r="U7" s="279"/>
      <c r="V7" s="279"/>
      <c r="W7" s="279"/>
      <c r="X7" s="279"/>
      <c r="Y7" s="279"/>
      <c r="Z7" s="279"/>
    </row>
    <row r="8">
      <c r="A8" s="310" t="s">
        <v>4785</v>
      </c>
      <c r="B8" s="310" t="s">
        <v>3164</v>
      </c>
      <c r="C8" s="311" t="s">
        <v>4786</v>
      </c>
      <c r="D8" s="309" t="s">
        <v>3164</v>
      </c>
      <c r="E8" s="279"/>
      <c r="F8" s="279"/>
      <c r="G8" s="279"/>
      <c r="H8" s="279"/>
      <c r="I8" s="279"/>
      <c r="J8" s="279"/>
      <c r="K8" s="279"/>
      <c r="L8" s="279"/>
      <c r="M8" s="279"/>
      <c r="N8" s="279"/>
      <c r="O8" s="279"/>
      <c r="P8" s="279"/>
      <c r="Q8" s="279"/>
      <c r="R8" s="279"/>
      <c r="S8" s="279"/>
      <c r="T8" s="279"/>
      <c r="U8" s="279"/>
      <c r="V8" s="279"/>
      <c r="W8" s="279"/>
      <c r="X8" s="279"/>
      <c r="Y8" s="279"/>
      <c r="Z8" s="279"/>
    </row>
  </sheetData>
  <mergeCells count="1">
    <mergeCell ref="A3:A5"/>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B2" s="156" t="s">
        <v>4019</v>
      </c>
      <c r="C2" s="156" t="s">
        <v>3429</v>
      </c>
      <c r="D2" s="156" t="s">
        <v>3333</v>
      </c>
    </row>
    <row r="3">
      <c r="B3" s="112" t="s">
        <v>4787</v>
      </c>
      <c r="C3" s="112">
        <v>67.0</v>
      </c>
      <c r="D3" s="108">
        <f t="shared" ref="D3:D5" si="1">C3/$C$5</f>
        <v>0.6836734694</v>
      </c>
      <c r="E3" s="108">
        <f>SUM(D3:D4)</f>
        <v>1</v>
      </c>
    </row>
    <row r="4">
      <c r="B4" s="112" t="s">
        <v>4788</v>
      </c>
      <c r="C4" s="112">
        <v>31.0</v>
      </c>
      <c r="D4" s="108">
        <f t="shared" si="1"/>
        <v>0.3163265306</v>
      </c>
    </row>
    <row r="5">
      <c r="B5" s="112" t="s">
        <v>3257</v>
      </c>
      <c r="C5" s="112">
        <f>SUM(C3:C4)</f>
        <v>98</v>
      </c>
      <c r="D5" s="108">
        <f t="shared" si="1"/>
        <v>1</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6.5"/>
  </cols>
  <sheetData>
    <row r="2">
      <c r="B2" s="105" t="s">
        <v>3253</v>
      </c>
      <c r="C2" s="106" t="s">
        <v>3255</v>
      </c>
      <c r="D2" s="106" t="s">
        <v>3254</v>
      </c>
    </row>
    <row r="3">
      <c r="B3" s="106" t="s">
        <v>87</v>
      </c>
      <c r="C3" s="108">
        <f>$D$3/$D$6</f>
        <v>0.4285714286</v>
      </c>
      <c r="D3" s="107">
        <f>COUNTIF('Categorias empresas'!$D:$D,"Agronegócio")</f>
        <v>42</v>
      </c>
    </row>
    <row r="4">
      <c r="B4" s="106" t="s">
        <v>3256</v>
      </c>
      <c r="C4" s="108">
        <f>$D$4/$D$6</f>
        <v>0.2959183673</v>
      </c>
      <c r="D4" s="107">
        <f>COUNTIF('Categorias empresas'!$D:$D,"Alimentos e Bebidas")</f>
        <v>29</v>
      </c>
    </row>
    <row r="5">
      <c r="B5" s="109" t="s">
        <v>2490</v>
      </c>
      <c r="C5" s="108">
        <f>$D$5/$D$6</f>
        <v>0.2755102041</v>
      </c>
      <c r="D5" s="107">
        <f>COUNTIF('Categorias empresas'!$D:$D,"Comércio varejista")</f>
        <v>27</v>
      </c>
    </row>
    <row r="6">
      <c r="B6" s="109" t="s">
        <v>3257</v>
      </c>
      <c r="C6" s="108">
        <f t="shared" ref="C6:D6" si="1">SUM(C3:C5)</f>
        <v>1</v>
      </c>
      <c r="D6" s="107">
        <f t="shared" si="1"/>
        <v>98</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7.5"/>
    <col customWidth="1" min="2" max="2" width="25.88"/>
    <col customWidth="1" min="14" max="14" width="14.75"/>
    <col customWidth="1" min="18" max="18" width="16.38"/>
    <col customWidth="1" min="26" max="26" width="22.25"/>
  </cols>
  <sheetData>
    <row r="2">
      <c r="B2" s="2" t="s">
        <v>4789</v>
      </c>
      <c r="C2" s="126" t="s">
        <v>3255</v>
      </c>
      <c r="D2" s="126" t="s">
        <v>3254</v>
      </c>
      <c r="F2" s="313" t="s">
        <v>4790</v>
      </c>
      <c r="G2" s="126" t="s">
        <v>3254</v>
      </c>
      <c r="H2" s="126" t="s">
        <v>3255</v>
      </c>
      <c r="J2" s="313" t="s">
        <v>4791</v>
      </c>
      <c r="K2" s="126" t="s">
        <v>3254</v>
      </c>
      <c r="L2" s="126" t="s">
        <v>3255</v>
      </c>
      <c r="N2" s="313" t="s">
        <v>4792</v>
      </c>
      <c r="O2" s="126" t="s">
        <v>3254</v>
      </c>
      <c r="P2" s="126" t="s">
        <v>3255</v>
      </c>
      <c r="R2" s="313" t="s">
        <v>4793</v>
      </c>
      <c r="S2" s="126" t="s">
        <v>3254</v>
      </c>
      <c r="T2" s="126" t="s">
        <v>3255</v>
      </c>
      <c r="V2" s="313" t="s">
        <v>4794</v>
      </c>
      <c r="W2" s="126" t="s">
        <v>3254</v>
      </c>
      <c r="X2" s="126" t="s">
        <v>3255</v>
      </c>
      <c r="Z2" s="313" t="s">
        <v>4795</v>
      </c>
      <c r="AA2" s="126" t="s">
        <v>3254</v>
      </c>
      <c r="AB2" s="126" t="s">
        <v>3255</v>
      </c>
      <c r="AD2" s="313" t="s">
        <v>4796</v>
      </c>
      <c r="AE2" s="126" t="s">
        <v>3254</v>
      </c>
      <c r="AF2" s="126" t="s">
        <v>3255</v>
      </c>
    </row>
    <row r="3">
      <c r="B3" s="314" t="s">
        <v>4797</v>
      </c>
      <c r="C3" s="108">
        <f>$G$3/$G$5</f>
        <v>0.4183673469</v>
      </c>
      <c r="D3" s="107">
        <f>COUNTIF('Categorias empresas'!$P:$P,"Sim")</f>
        <v>41</v>
      </c>
      <c r="F3" s="95" t="s">
        <v>93</v>
      </c>
      <c r="G3" s="107">
        <f>COUNTIF('Categorias empresas'!$P:$P,"Sim")</f>
        <v>41</v>
      </c>
      <c r="H3" s="107">
        <f>$G$3/$G$5</f>
        <v>0.4183673469</v>
      </c>
      <c r="J3" s="95" t="s">
        <v>93</v>
      </c>
      <c r="K3" s="107">
        <f>COUNTIF('Categorias empresas'!$Q:$Q,"Sim")</f>
        <v>49</v>
      </c>
      <c r="L3" s="107">
        <f>$K$3/$K$5</f>
        <v>0.5</v>
      </c>
      <c r="N3" s="95" t="s">
        <v>93</v>
      </c>
      <c r="O3" s="107">
        <f>COUNTIF('Categorias empresas'!$R:$R,"Sim")</f>
        <v>60</v>
      </c>
      <c r="P3" s="107">
        <f>$O$3/$O$5</f>
        <v>0.612244898</v>
      </c>
      <c r="R3" s="95" t="s">
        <v>93</v>
      </c>
      <c r="S3" s="107">
        <f>COUNTIF('Categorias empresas'!$S:$S,"Sim")</f>
        <v>57</v>
      </c>
      <c r="T3" s="107">
        <f>$S$3/$S$5</f>
        <v>0.5816326531</v>
      </c>
      <c r="V3" s="95" t="s">
        <v>93</v>
      </c>
      <c r="W3" s="107">
        <f>COUNTIF('Categorias empresas'!$T:$T,"Sim")</f>
        <v>75</v>
      </c>
      <c r="X3" s="107">
        <f>$W$3/$W$5</f>
        <v>0.7653061224</v>
      </c>
      <c r="Z3" s="95" t="s">
        <v>93</v>
      </c>
      <c r="AA3" s="107">
        <f>COUNTIF('Categorias empresas'!$U:$U,"Sim")</f>
        <v>80</v>
      </c>
      <c r="AB3" s="107">
        <f>$AA$3/$AA$5</f>
        <v>0.8163265306</v>
      </c>
      <c r="AD3" s="95" t="s">
        <v>93</v>
      </c>
      <c r="AE3" s="107">
        <f>COUNTIF('Categorias empresas'!$V:$V,"Sim")</f>
        <v>46</v>
      </c>
      <c r="AF3" s="107">
        <f>$AE$3/$AE$5</f>
        <v>0.4693877551</v>
      </c>
    </row>
    <row r="4">
      <c r="B4" s="314" t="s">
        <v>3344</v>
      </c>
      <c r="C4" s="108">
        <f>$K$3/$K$5</f>
        <v>0.5</v>
      </c>
      <c r="D4" s="107">
        <f>COUNTIF('Categorias empresas'!$Q:$Q,"Sim")</f>
        <v>49</v>
      </c>
      <c r="F4" s="95" t="s">
        <v>92</v>
      </c>
      <c r="G4" s="107">
        <f>COUNTIF('Categorias empresas'!$P:$P,"Não")</f>
        <v>57</v>
      </c>
      <c r="H4" s="107">
        <f>$G$4/$G$5</f>
        <v>0.5816326531</v>
      </c>
      <c r="J4" s="95" t="s">
        <v>92</v>
      </c>
      <c r="K4" s="107">
        <f>COUNTIF('Categorias empresas'!$Q:$Q,"Não")</f>
        <v>49</v>
      </c>
      <c r="L4" s="107">
        <f>$K$4/$K$5</f>
        <v>0.5</v>
      </c>
      <c r="N4" s="95" t="s">
        <v>92</v>
      </c>
      <c r="O4" s="107">
        <f>COUNTIF('Categorias empresas'!$R:$R,"Não")</f>
        <v>38</v>
      </c>
      <c r="P4" s="107">
        <f>$O$4/$O$5</f>
        <v>0.387755102</v>
      </c>
      <c r="R4" s="95" t="s">
        <v>92</v>
      </c>
      <c r="S4" s="107">
        <f>COUNTIF('Categorias empresas'!$S:$S,"Não")</f>
        <v>41</v>
      </c>
      <c r="T4" s="107">
        <f>$S$4/$S$5</f>
        <v>0.4183673469</v>
      </c>
      <c r="V4" s="95" t="s">
        <v>92</v>
      </c>
      <c r="W4" s="107">
        <f>COUNTIF('Categorias empresas'!$T:$T,"Não")</f>
        <v>23</v>
      </c>
      <c r="X4" s="107">
        <f>$W$4/$W$5</f>
        <v>0.2346938776</v>
      </c>
      <c r="Z4" s="95" t="s">
        <v>92</v>
      </c>
      <c r="AA4" s="107">
        <f>COUNTIF('Categorias empresas'!$U:$U,"Não")</f>
        <v>18</v>
      </c>
      <c r="AB4" s="107">
        <f>$AA$4/$AA$5</f>
        <v>0.1836734694</v>
      </c>
      <c r="AD4" s="95" t="s">
        <v>92</v>
      </c>
      <c r="AE4" s="107">
        <f>COUNTIF('Categorias empresas'!$V:$V,"Não")</f>
        <v>52</v>
      </c>
      <c r="AF4" s="107">
        <f>$AE$4/$AE$5</f>
        <v>0.5306122449</v>
      </c>
    </row>
    <row r="5">
      <c r="B5" s="314" t="s">
        <v>3412</v>
      </c>
      <c r="C5" s="108">
        <f>$O$3/$O$5</f>
        <v>0.612244898</v>
      </c>
      <c r="D5" s="107">
        <f>COUNTIF('Categorias empresas'!$R:$R,"Sim")</f>
        <v>60</v>
      </c>
      <c r="F5" s="95" t="s">
        <v>3257</v>
      </c>
      <c r="G5" s="107">
        <f t="shared" ref="G5:H5" si="1">SUM(G3:G4)</f>
        <v>98</v>
      </c>
      <c r="H5" s="107">
        <f t="shared" si="1"/>
        <v>1</v>
      </c>
      <c r="J5" s="95" t="s">
        <v>3257</v>
      </c>
      <c r="K5" s="107">
        <f t="shared" ref="K5:L5" si="2">SUM(K3:K4)</f>
        <v>98</v>
      </c>
      <c r="L5" s="107">
        <f t="shared" si="2"/>
        <v>1</v>
      </c>
      <c r="N5" s="95" t="s">
        <v>3257</v>
      </c>
      <c r="O5" s="107">
        <f t="shared" ref="O5:P5" si="3">SUM(O3:O4)</f>
        <v>98</v>
      </c>
      <c r="P5" s="107">
        <f t="shared" si="3"/>
        <v>1</v>
      </c>
      <c r="R5" s="95" t="s">
        <v>3257</v>
      </c>
      <c r="S5" s="107">
        <f t="shared" ref="S5:T5" si="4">SUM(S3:S4)</f>
        <v>98</v>
      </c>
      <c r="T5" s="107">
        <f t="shared" si="4"/>
        <v>1</v>
      </c>
      <c r="V5" s="95" t="s">
        <v>3257</v>
      </c>
      <c r="W5" s="107">
        <f t="shared" ref="W5:X5" si="5">SUM(W3:W4)</f>
        <v>98</v>
      </c>
      <c r="X5" s="107">
        <f t="shared" si="5"/>
        <v>1</v>
      </c>
      <c r="Z5" s="95" t="s">
        <v>3257</v>
      </c>
      <c r="AA5" s="107">
        <f t="shared" ref="AA5:AB5" si="6">SUM(AA3:AA4)</f>
        <v>98</v>
      </c>
      <c r="AB5" s="107">
        <f t="shared" si="6"/>
        <v>1</v>
      </c>
      <c r="AD5" s="95" t="s">
        <v>3257</v>
      </c>
      <c r="AE5" s="107">
        <f t="shared" ref="AE5:AF5" si="7">SUM(AE3:AE4)</f>
        <v>98</v>
      </c>
      <c r="AF5" s="107">
        <f t="shared" si="7"/>
        <v>1</v>
      </c>
    </row>
    <row r="6">
      <c r="B6" s="314" t="s">
        <v>3414</v>
      </c>
      <c r="C6" s="108">
        <f>$S$3/$S$5</f>
        <v>0.5816326531</v>
      </c>
      <c r="D6" s="107">
        <f>COUNTIF('Categorias empresas'!$S:$S,"Sim")</f>
        <v>57</v>
      </c>
    </row>
    <row r="7">
      <c r="B7" s="314" t="s">
        <v>3411</v>
      </c>
      <c r="C7" s="108">
        <f>$W$3/$W$5</f>
        <v>0.7653061224</v>
      </c>
      <c r="D7" s="107">
        <f>COUNTIF('Categorias empresas'!$T:$T,"Sim")</f>
        <v>75</v>
      </c>
    </row>
    <row r="8">
      <c r="B8" s="314" t="s">
        <v>4798</v>
      </c>
      <c r="C8" s="108">
        <f>$AA$3/$AA$5</f>
        <v>0.8163265306</v>
      </c>
      <c r="D8" s="107">
        <f>COUNTIF('Categorias empresas'!$U:$U,"Sim")</f>
        <v>80</v>
      </c>
    </row>
    <row r="9">
      <c r="B9" s="314" t="s">
        <v>4799</v>
      </c>
      <c r="C9" s="108">
        <f>$AE$3/$AE$5</f>
        <v>0.4693877551</v>
      </c>
      <c r="D9" s="107">
        <f>COUNTIF('Categorias empresas'!$V:$V,"Sim")</f>
        <v>46</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13"/>
    <col customWidth="1" min="6" max="6" width="19.63"/>
  </cols>
  <sheetData>
    <row r="3">
      <c r="A3" s="315" t="s">
        <v>4800</v>
      </c>
      <c r="B3" s="126" t="s">
        <v>3254</v>
      </c>
      <c r="C3" s="126" t="s">
        <v>3255</v>
      </c>
      <c r="F3" s="316" t="s">
        <v>4801</v>
      </c>
      <c r="G3" s="126" t="s">
        <v>3254</v>
      </c>
      <c r="H3" s="126" t="s">
        <v>3255</v>
      </c>
    </row>
    <row r="4">
      <c r="A4" s="95" t="s">
        <v>93</v>
      </c>
      <c r="B4" s="107">
        <f>COUNTIF('Categorias empresas'!$N:$N,"Sim")</f>
        <v>36</v>
      </c>
      <c r="C4" s="108">
        <f>$B$4/$B$6</f>
        <v>0.3673469388</v>
      </c>
      <c r="F4" s="106" t="s">
        <v>87</v>
      </c>
      <c r="G4" s="107">
        <f>COUNTIFS('Categorias empresas'!$N:$N,"Sim",'Categorias empresas'!$D:$D,"Agronegócio")</f>
        <v>16</v>
      </c>
      <c r="H4" s="108">
        <f>$G$4/$G$7</f>
        <v>0.4444444444</v>
      </c>
    </row>
    <row r="5">
      <c r="A5" s="95" t="s">
        <v>92</v>
      </c>
      <c r="B5" s="107">
        <f>COUNTIF('Categorias empresas'!$N:$N,"Não")</f>
        <v>62</v>
      </c>
      <c r="C5" s="108">
        <f>$B$5/$B$6</f>
        <v>0.6326530612</v>
      </c>
      <c r="F5" s="106" t="s">
        <v>3256</v>
      </c>
      <c r="G5" s="107">
        <f>COUNTIFS('Categorias empresas'!$N:$N,"Sim",'Categorias empresas'!$D:$D,"Alimentos e Bebidas")</f>
        <v>10</v>
      </c>
      <c r="H5" s="108">
        <f>$G$5/$G$7</f>
        <v>0.2777777778</v>
      </c>
    </row>
    <row r="6">
      <c r="A6" s="95" t="s">
        <v>3257</v>
      </c>
      <c r="B6" s="107">
        <f t="shared" ref="B6:C6" si="1">SUM(B4:B5)</f>
        <v>98</v>
      </c>
      <c r="C6" s="108">
        <f t="shared" si="1"/>
        <v>1</v>
      </c>
      <c r="F6" s="106" t="s">
        <v>2490</v>
      </c>
      <c r="G6" s="107">
        <f>COUNTIFS('Categorias empresas'!$N:$N,"Sim",'Categorias empresas'!$D:$D,"Comércio varejista")</f>
        <v>10</v>
      </c>
      <c r="H6" s="108">
        <f>$G$6/$G$7</f>
        <v>0.2777777778</v>
      </c>
    </row>
    <row r="7">
      <c r="F7" s="109" t="s">
        <v>3257</v>
      </c>
      <c r="G7" s="107">
        <f t="shared" ref="G7:H7" si="2">SUM(G4:G6)</f>
        <v>36</v>
      </c>
      <c r="H7" s="108">
        <f t="shared" si="2"/>
        <v>1</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s>
  <sheetData>
    <row r="3">
      <c r="A3" s="315" t="s">
        <v>4800</v>
      </c>
      <c r="B3" s="126" t="s">
        <v>3254</v>
      </c>
      <c r="C3" s="126" t="s">
        <v>3255</v>
      </c>
    </row>
    <row r="4">
      <c r="A4" s="95" t="s">
        <v>93</v>
      </c>
      <c r="B4" s="107">
        <f>COUNTIF('Categorias empresas'!$N:$N,"Sim")</f>
        <v>36</v>
      </c>
      <c r="C4" s="107">
        <f>$B$4/$B$6</f>
        <v>0.3673469388</v>
      </c>
      <c r="E4" s="107" t="str">
        <f>COUNTIFS('Categorias empresas'!$N:$N,"Sim",'Ações'!AB:AB,"Sim",'Ações'!AC:AC,"Não",'Ações'!AD:AD,"Não")</f>
        <v>#VALUE!</v>
      </c>
    </row>
    <row r="5">
      <c r="A5" s="95" t="s">
        <v>92</v>
      </c>
      <c r="B5" s="107">
        <f>COUNTIF('Categorias empresas'!$N:$N,"Não")</f>
        <v>62</v>
      </c>
      <c r="C5" s="107">
        <f>$B$5/$B$6</f>
        <v>0.6326530612</v>
      </c>
    </row>
    <row r="6">
      <c r="A6" s="95" t="s">
        <v>3257</v>
      </c>
      <c r="B6" s="107">
        <f t="shared" ref="B6:C6" si="1">SUM(B4:B5)</f>
        <v>98</v>
      </c>
      <c r="C6" s="107">
        <f t="shared" si="1"/>
        <v>1</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13"/>
    <col customWidth="1" min="3" max="3" width="24.75"/>
  </cols>
  <sheetData>
    <row r="1">
      <c r="B1" s="175" t="s">
        <v>4802</v>
      </c>
      <c r="C1" s="175" t="s">
        <v>4803</v>
      </c>
      <c r="D1" s="175" t="s">
        <v>4804</v>
      </c>
      <c r="E1" s="175" t="s">
        <v>4805</v>
      </c>
      <c r="F1" s="175" t="s">
        <v>4806</v>
      </c>
      <c r="G1" s="175" t="s">
        <v>4807</v>
      </c>
      <c r="H1" s="317" t="s">
        <v>4808</v>
      </c>
      <c r="I1" s="317" t="s">
        <v>4809</v>
      </c>
      <c r="J1" s="317" t="s">
        <v>4810</v>
      </c>
      <c r="K1" s="317" t="s">
        <v>4811</v>
      </c>
      <c r="L1" s="317" t="s">
        <v>4812</v>
      </c>
      <c r="M1" s="318" t="s">
        <v>4813</v>
      </c>
      <c r="N1" s="318" t="s">
        <v>4814</v>
      </c>
      <c r="O1" s="318" t="s">
        <v>4815</v>
      </c>
      <c r="P1" s="318" t="s">
        <v>4816</v>
      </c>
      <c r="Q1" s="318" t="s">
        <v>4817</v>
      </c>
      <c r="R1" s="175" t="s">
        <v>4818</v>
      </c>
      <c r="S1" s="175" t="s">
        <v>4819</v>
      </c>
      <c r="T1" s="175" t="s">
        <v>4820</v>
      </c>
      <c r="U1" s="175" t="s">
        <v>4821</v>
      </c>
      <c r="V1" s="175" t="s">
        <v>4822</v>
      </c>
      <c r="W1" s="318" t="s">
        <v>4823</v>
      </c>
      <c r="X1" s="318" t="s">
        <v>4824</v>
      </c>
      <c r="Y1" s="318" t="s">
        <v>4825</v>
      </c>
      <c r="Z1" s="318" t="s">
        <v>4826</v>
      </c>
      <c r="AA1" s="318" t="s">
        <v>4827</v>
      </c>
      <c r="AB1" s="317" t="s">
        <v>4828</v>
      </c>
      <c r="AC1" s="317" t="s">
        <v>4829</v>
      </c>
      <c r="AD1" s="317" t="s">
        <v>4830</v>
      </c>
      <c r="AE1" s="317" t="s">
        <v>4831</v>
      </c>
      <c r="AF1" s="317" t="s">
        <v>4832</v>
      </c>
      <c r="AG1" s="318" t="s">
        <v>4833</v>
      </c>
      <c r="AH1" s="318" t="s">
        <v>4834</v>
      </c>
      <c r="AI1" s="318" t="s">
        <v>4835</v>
      </c>
      <c r="AJ1" s="318" t="s">
        <v>4836</v>
      </c>
      <c r="AK1" s="318" t="s">
        <v>4837</v>
      </c>
    </row>
    <row r="2">
      <c r="B2" s="319">
        <f>IF(AND('Ações'!AS2="sim", 'Ações'!BD2="sim"), 1, 0)
</f>
        <v>0</v>
      </c>
      <c r="C2" s="319">
        <f>IF(AND('Ações'!AT2="sim", 'Ações'!BE2="sim"), 1, 0)
</f>
        <v>0</v>
      </c>
      <c r="D2" s="319">
        <f>IF(AND('Ações'!AU2="sim", 'Ações'!BF2="sim"), 1, 0)
</f>
        <v>0</v>
      </c>
      <c r="E2" s="319">
        <f>IF(AND('Ações'!AV2="sim", 'Ações'!BG2="sim"), 1, 0)
</f>
        <v>0</v>
      </c>
      <c r="F2" s="319">
        <f>IF(AND('Ações'!AW2="sim", 'Ações'!BH2="sim"), 1, 0)
</f>
        <v>0</v>
      </c>
      <c r="G2" s="319">
        <f>IF(AND('Ações'!AX2="sim", 'Ações'!BI2="sim"), 1, 0)
</f>
        <v>0</v>
      </c>
      <c r="H2" s="319">
        <f>IF(AND('Ações'!AS2="sim", 'Ações'!BE2="sim"), 1, 0)
</f>
        <v>0</v>
      </c>
      <c r="I2" s="319">
        <f>IF(AND('Ações'!AS2="sim", 'Ações'!BF2="sim"), 1, 0)
</f>
        <v>0</v>
      </c>
      <c r="J2" s="319">
        <f>IF(AND('Ações'!AS2="sim", 'Ações'!BG2="sim"), 1, 0)
</f>
        <v>0</v>
      </c>
      <c r="K2" s="319">
        <f>IF(AND('Ações'!AS2="sim", 'Ações'!BH2="sim"), 1, 0)
</f>
        <v>0</v>
      </c>
      <c r="L2" s="319">
        <f>IF(AND('Ações'!AS2="sim", 'Ações'!BI2="sim"), 1, 0)
</f>
        <v>1</v>
      </c>
      <c r="M2" s="319">
        <f>IF(AND('Ações'!AT2="sim", 'Ações'!BD2="sim"), 1, 0)
</f>
        <v>0</v>
      </c>
      <c r="N2" s="319">
        <f>IF(AND('Ações'!AT2="sim", 'Ações'!BF2="sim"), 1, 0)
</f>
        <v>0</v>
      </c>
      <c r="O2" s="319">
        <f>IF(AND('Ações'!AT2="sim", 'Ações'!BG2="sim"), 1, 0)
</f>
        <v>0</v>
      </c>
      <c r="P2" s="319">
        <f>IF(AND('Ações'!AT2="sim", 'Ações'!BH2="sim"), 1, 0)
</f>
        <v>0</v>
      </c>
      <c r="Q2" s="319">
        <f>IF(AND('Ações'!AT2="sim", 'Ações'!BI2="sim"), 1, 0)
</f>
        <v>1</v>
      </c>
      <c r="R2" s="319">
        <f>IF(AND('Ações'!AU2="sim", 'Ações'!BD2="sim"), 1, 0)
</f>
        <v>0</v>
      </c>
      <c r="S2" s="319">
        <f>IF(AND('Ações'!AU2="sim", 'Ações'!BE2="sim"), 1, 0)
</f>
        <v>0</v>
      </c>
      <c r="T2" s="319">
        <f>IF(AND('Ações'!AU2="sim", 'Ações'!BG2="sim"), 1, 0)
</f>
        <v>0</v>
      </c>
      <c r="U2" s="319">
        <f>IF(AND('Ações'!AU2="sim", 'Ações'!BH2="sim"), 1, 0)
</f>
        <v>0</v>
      </c>
      <c r="V2" s="319">
        <f>IF(AND('Ações'!AU2="sim", 'Ações'!BI2="sim"), 1, 0)
</f>
        <v>0</v>
      </c>
      <c r="W2" s="319">
        <f>IF(AND('Ações'!AV2="sim", 'Ações'!BD2="sim"), 1, 0)
</f>
        <v>0</v>
      </c>
      <c r="X2" s="319">
        <f>IF(AND('Ações'!AV2="sim", 'Ações'!BE2="sim"), 1, 0)
</f>
        <v>0</v>
      </c>
      <c r="Y2" s="319">
        <f>IF(AND('Ações'!AV2="sim", 'Ações'!BF2="sim"), 1, 0)
</f>
        <v>0</v>
      </c>
      <c r="Z2" s="319">
        <f>IF(AND('Ações'!AV2="sim", 'Ações'!BH2="sim"), 1, 0)
</f>
        <v>0</v>
      </c>
      <c r="AA2" s="319">
        <f>IF(AND('Ações'!AV2="sim", 'Ações'!BI2="sim"), 1, 0)
</f>
        <v>1</v>
      </c>
      <c r="AB2" s="319">
        <f>IF(AND('Ações'!AW2="sim", 'Ações'!BD2="sim"), 1, 0)
</f>
        <v>0</v>
      </c>
      <c r="AC2" s="319">
        <f>IF(AND('Ações'!AW2="sim", 'Ações'!BE2="sim"), 1, 0)
</f>
        <v>0</v>
      </c>
      <c r="AD2" s="319">
        <f>IF(AND('Ações'!AW2="sim", 'Ações'!BF2="sim"), 1, 0)
</f>
        <v>0</v>
      </c>
      <c r="AE2" s="319">
        <f>IF(AND('Ações'!AW2="sim", 'Ações'!BG2="sim"), 1, 0)
</f>
        <v>0</v>
      </c>
      <c r="AF2" s="319">
        <f>IF(AND('Ações'!AW2="sim", 'Ações'!BI2="sim"), 1, 0)
</f>
        <v>0</v>
      </c>
      <c r="AG2" s="319">
        <f>IF(AND('Ações'!AX2="sim", 'Ações'!BD2="sim"), 1, 0)
</f>
        <v>0</v>
      </c>
      <c r="AH2" s="319">
        <f>IF(AND('Ações'!AX2="sim", 'Ações'!BE2="sim"), 1, 0)
</f>
        <v>0</v>
      </c>
      <c r="AI2" s="319">
        <f>IF(AND('Ações'!AX2="sim", 'Ações'!BF2="sim"), 1, 0)
</f>
        <v>0</v>
      </c>
      <c r="AJ2" s="319">
        <f>IF(AND('Ações'!AX2="sim", 'Ações'!BG2="sim"), 1, 0)
</f>
        <v>0</v>
      </c>
      <c r="AK2" s="319">
        <f>IF(AND('Ações'!AX2="sim", 'Ações'!BH2="sim"), 1, 0)
</f>
        <v>0</v>
      </c>
    </row>
    <row r="3">
      <c r="B3" s="319">
        <f>IF(AND('Ações'!AS3="sim", 'Ações'!BD3="sim"), 1, 0)
</f>
        <v>1</v>
      </c>
      <c r="C3" s="319">
        <f>IF(AND('Ações'!AT3="sim", 'Ações'!BE3="sim"), 1, 0)
</f>
        <v>1</v>
      </c>
      <c r="D3" s="319">
        <f>IF(AND('Ações'!AU3="sim", 'Ações'!BF3="sim"), 1, 0)
</f>
        <v>0</v>
      </c>
      <c r="E3" s="319">
        <f>IF(AND('Ações'!AV3="sim", 'Ações'!BG3="sim"), 1, 0)
</f>
        <v>0</v>
      </c>
      <c r="F3" s="319">
        <f>IF(AND('Ações'!AW3="sim", 'Ações'!BH3="sim"), 1, 0)
</f>
        <v>0</v>
      </c>
      <c r="G3" s="319">
        <f>IF(AND('Ações'!AX3="sim", 'Ações'!BI3="sim"), 1, 0)
</f>
        <v>0</v>
      </c>
      <c r="H3" s="319">
        <f>IF(AND('Ações'!AS3="sim", 'Ações'!BE3="sim"), 1, 0)
</f>
        <v>1</v>
      </c>
      <c r="I3" s="319">
        <f>IF(AND('Ações'!AS3="sim", 'Ações'!BF3="sim"), 1, 0)
</f>
        <v>0</v>
      </c>
      <c r="J3" s="319">
        <f>IF(AND('Ações'!AS3="sim", 'Ações'!BG3="sim"), 1, 0)
</f>
        <v>0</v>
      </c>
      <c r="K3" s="319">
        <f>IF(AND('Ações'!AS3="sim", 'Ações'!BH3="sim"), 1, 0)
</f>
        <v>0</v>
      </c>
      <c r="L3" s="319">
        <f>IF(AND('Ações'!AS3="sim", 'Ações'!BI3="sim"), 1, 0)
</f>
        <v>0</v>
      </c>
      <c r="M3" s="319">
        <f>IF(AND('Ações'!AT3="sim", 'Ações'!BD3="sim"), 1, 0)
</f>
        <v>1</v>
      </c>
      <c r="N3" s="319">
        <f>IF(AND('Ações'!AT3="sim", 'Ações'!BF3="sim"), 1, 0)
</f>
        <v>0</v>
      </c>
      <c r="O3" s="319">
        <f>IF(AND('Ações'!AT3="sim", 'Ações'!BG3="sim"), 1, 0)
</f>
        <v>0</v>
      </c>
      <c r="P3" s="319">
        <f>IF(AND('Ações'!AT3="sim", 'Ações'!BH3="sim"), 1, 0)
</f>
        <v>0</v>
      </c>
      <c r="Q3" s="319">
        <f>IF(AND('Ações'!AT3="sim", 'Ações'!BI3="sim"), 1, 0)
</f>
        <v>0</v>
      </c>
      <c r="R3" s="319">
        <f>IF(AND('Ações'!AU3="sim", 'Ações'!BD3="sim"), 1, 0)
</f>
        <v>0</v>
      </c>
      <c r="S3" s="319">
        <f>IF(AND('Ações'!AU3="sim", 'Ações'!BE3="sim"), 1, 0)
</f>
        <v>0</v>
      </c>
      <c r="T3" s="319">
        <f>IF(AND('Ações'!AU3="sim", 'Ações'!BG3="sim"), 1, 0)
</f>
        <v>0</v>
      </c>
      <c r="U3" s="319">
        <f>IF(AND('Ações'!AU3="sim", 'Ações'!BH3="sim"), 1, 0)
</f>
        <v>0</v>
      </c>
      <c r="V3" s="319">
        <f>IF(AND('Ações'!AU3="sim", 'Ações'!BI3="sim"), 1, 0)
</f>
        <v>0</v>
      </c>
      <c r="W3" s="319">
        <f>IF(AND('Ações'!AV3="sim", 'Ações'!BD3="sim"), 1, 0)
</f>
        <v>1</v>
      </c>
      <c r="X3" s="319">
        <f>IF(AND('Ações'!AV3="sim", 'Ações'!BE3="sim"), 1, 0)
</f>
        <v>1</v>
      </c>
      <c r="Y3" s="319">
        <f>IF(AND('Ações'!AV3="sim", 'Ações'!BF3="sim"), 1, 0)
</f>
        <v>0</v>
      </c>
      <c r="Z3" s="319">
        <f>IF(AND('Ações'!AV3="sim", 'Ações'!BH3="sim"), 1, 0)
</f>
        <v>0</v>
      </c>
      <c r="AA3" s="319">
        <f>IF(AND('Ações'!AV3="sim", 'Ações'!BI3="sim"), 1, 0)
</f>
        <v>0</v>
      </c>
      <c r="AB3" s="319">
        <f>IF(AND('Ações'!AW3="sim", 'Ações'!BD3="sim"), 1, 0)
</f>
        <v>0</v>
      </c>
      <c r="AC3" s="319">
        <f>IF(AND('Ações'!AW3="sim", 'Ações'!BE3="sim"), 1, 0)
</f>
        <v>0</v>
      </c>
      <c r="AD3" s="319">
        <f>IF(AND('Ações'!AW3="sim", 'Ações'!BF3="sim"), 1, 0)
</f>
        <v>0</v>
      </c>
      <c r="AE3" s="319">
        <f>IF(AND('Ações'!AW3="sim", 'Ações'!BG3="sim"), 1, 0)
</f>
        <v>0</v>
      </c>
      <c r="AF3" s="319">
        <f>IF(AND('Ações'!AW3="sim", 'Ações'!BI3="sim"), 1, 0)
</f>
        <v>0</v>
      </c>
      <c r="AG3" s="319">
        <f>IF(AND('Ações'!AX3="sim", 'Ações'!BD3="sim"), 1, 0)
</f>
        <v>0</v>
      </c>
      <c r="AH3" s="319">
        <f>IF(AND('Ações'!AX3="sim", 'Ações'!BE3="sim"), 1, 0)
</f>
        <v>0</v>
      </c>
      <c r="AI3" s="319">
        <f>IF(AND('Ações'!AX3="sim", 'Ações'!BF3="sim"), 1, 0)
</f>
        <v>0</v>
      </c>
      <c r="AJ3" s="319">
        <f>IF(AND('Ações'!AX3="sim", 'Ações'!BG3="sim"), 1, 0)
</f>
        <v>0</v>
      </c>
      <c r="AK3" s="319">
        <f>IF(AND('Ações'!AX3="sim", 'Ações'!BH3="sim"), 1, 0)
</f>
        <v>0</v>
      </c>
    </row>
    <row r="4">
      <c r="B4" s="319">
        <f>IF(AND('Ações'!AS4="sim", 'Ações'!BD4="sim"), 1, 0)
</f>
        <v>1</v>
      </c>
      <c r="C4" s="319">
        <f>IF(AND('Ações'!AT4="sim", 'Ações'!BE4="sim"), 1, 0)
</f>
        <v>0</v>
      </c>
      <c r="D4" s="319">
        <f>IF(AND('Ações'!AU4="sim", 'Ações'!BF4="sim"), 1, 0)
</f>
        <v>0</v>
      </c>
      <c r="E4" s="319">
        <f>IF(AND('Ações'!AV4="sim", 'Ações'!BG4="sim"), 1, 0)
</f>
        <v>0</v>
      </c>
      <c r="F4" s="319">
        <f>IF(AND('Ações'!AW4="sim", 'Ações'!BH4="sim"), 1, 0)
</f>
        <v>0</v>
      </c>
      <c r="G4" s="319">
        <f>IF(AND('Ações'!AX4="sim", 'Ações'!BI4="sim"), 1, 0)
</f>
        <v>0</v>
      </c>
      <c r="H4" s="319">
        <f>IF(AND('Ações'!AS4="sim", 'Ações'!BE4="sim"), 1, 0)
</f>
        <v>0</v>
      </c>
      <c r="I4" s="319">
        <f>IF(AND('Ações'!AS4="sim", 'Ações'!BF4="sim"), 1, 0)
</f>
        <v>0</v>
      </c>
      <c r="J4" s="319">
        <f>IF(AND('Ações'!AS4="sim", 'Ações'!BG4="sim"), 1, 0)
</f>
        <v>0</v>
      </c>
      <c r="K4" s="319">
        <f>IF(AND('Ações'!AS4="sim", 'Ações'!BH4="sim"), 1, 0)
</f>
        <v>0</v>
      </c>
      <c r="L4" s="319">
        <f>IF(AND('Ações'!AS4="sim", 'Ações'!BI4="sim"), 1, 0)
</f>
        <v>0</v>
      </c>
      <c r="M4" s="319">
        <f>IF(AND('Ações'!AT4="sim", 'Ações'!BD4="sim"), 1, 0)
</f>
        <v>1</v>
      </c>
      <c r="N4" s="319">
        <f>IF(AND('Ações'!AT4="sim", 'Ações'!BF4="sim"), 1, 0)
</f>
        <v>0</v>
      </c>
      <c r="O4" s="319">
        <f>IF(AND('Ações'!AT4="sim", 'Ações'!BG4="sim"), 1, 0)
</f>
        <v>0</v>
      </c>
      <c r="P4" s="319">
        <f>IF(AND('Ações'!AT4="sim", 'Ações'!BH4="sim"), 1, 0)
</f>
        <v>0</v>
      </c>
      <c r="Q4" s="319">
        <f>IF(AND('Ações'!AT4="sim", 'Ações'!BI4="sim"), 1, 0)
</f>
        <v>0</v>
      </c>
      <c r="R4" s="319">
        <f>IF(AND('Ações'!AU4="sim", 'Ações'!BD4="sim"), 1, 0)
</f>
        <v>0</v>
      </c>
      <c r="S4" s="319">
        <f>IF(AND('Ações'!AU4="sim", 'Ações'!BE4="sim"), 1, 0)
</f>
        <v>0</v>
      </c>
      <c r="T4" s="319">
        <f>IF(AND('Ações'!AU4="sim", 'Ações'!BG4="sim"), 1, 0)
</f>
        <v>0</v>
      </c>
      <c r="U4" s="319">
        <f>IF(AND('Ações'!AU4="sim", 'Ações'!BH4="sim"), 1, 0)
</f>
        <v>0</v>
      </c>
      <c r="V4" s="319">
        <f>IF(AND('Ações'!AU4="sim", 'Ações'!BI4="sim"), 1, 0)
</f>
        <v>0</v>
      </c>
      <c r="W4" s="319">
        <f>IF(AND('Ações'!AV4="sim", 'Ações'!BD4="sim"), 1, 0)
</f>
        <v>1</v>
      </c>
      <c r="X4" s="319">
        <f>IF(AND('Ações'!AV4="sim", 'Ações'!BE4="sim"), 1, 0)
</f>
        <v>0</v>
      </c>
      <c r="Y4" s="319">
        <f>IF(AND('Ações'!AV4="sim", 'Ações'!BF4="sim"), 1, 0)
</f>
        <v>0</v>
      </c>
      <c r="Z4" s="319">
        <f>IF(AND('Ações'!AV4="sim", 'Ações'!BH4="sim"), 1, 0)
</f>
        <v>0</v>
      </c>
      <c r="AA4" s="319">
        <f>IF(AND('Ações'!AV4="sim", 'Ações'!BI4="sim"), 1, 0)
</f>
        <v>0</v>
      </c>
      <c r="AB4" s="319">
        <f>IF(AND('Ações'!AW4="sim", 'Ações'!BD4="sim"), 1, 0)
</f>
        <v>0</v>
      </c>
      <c r="AC4" s="319">
        <f>IF(AND('Ações'!AW4="sim", 'Ações'!BE4="sim"), 1, 0)
</f>
        <v>0</v>
      </c>
      <c r="AD4" s="319">
        <f>IF(AND('Ações'!AW4="sim", 'Ações'!BF4="sim"), 1, 0)
</f>
        <v>0</v>
      </c>
      <c r="AE4" s="319">
        <f>IF(AND('Ações'!AW4="sim", 'Ações'!BG4="sim"), 1, 0)
</f>
        <v>0</v>
      </c>
      <c r="AF4" s="319">
        <f>IF(AND('Ações'!AW4="sim", 'Ações'!BI4="sim"), 1, 0)
</f>
        <v>0</v>
      </c>
      <c r="AG4" s="319">
        <f>IF(AND('Ações'!AX4="sim", 'Ações'!BD4="sim"), 1, 0)
</f>
        <v>0</v>
      </c>
      <c r="AH4" s="319">
        <f>IF(AND('Ações'!AX4="sim", 'Ações'!BE4="sim"), 1, 0)
</f>
        <v>0</v>
      </c>
      <c r="AI4" s="319">
        <f>IF(AND('Ações'!AX4="sim", 'Ações'!BF4="sim"), 1, 0)
</f>
        <v>0</v>
      </c>
      <c r="AJ4" s="319">
        <f>IF(AND('Ações'!AX4="sim", 'Ações'!BG4="sim"), 1, 0)
</f>
        <v>0</v>
      </c>
      <c r="AK4" s="319">
        <f>IF(AND('Ações'!AX4="sim", 'Ações'!BH4="sim"), 1, 0)
</f>
        <v>0</v>
      </c>
    </row>
    <row r="5">
      <c r="B5" s="319">
        <f>IF(AND('Ações'!AS5="sim", 'Ações'!BD5="sim"), 1, 0)
</f>
        <v>1</v>
      </c>
      <c r="C5" s="319">
        <f>IF(AND('Ações'!AT5="sim", 'Ações'!BE5="sim"), 1, 0)
</f>
        <v>0</v>
      </c>
      <c r="D5" s="319">
        <f>IF(AND('Ações'!AU5="sim", 'Ações'!BF5="sim"), 1, 0)
</f>
        <v>0</v>
      </c>
      <c r="E5" s="319">
        <f>IF(AND('Ações'!AV5="sim", 'Ações'!BG5="sim"), 1, 0)
</f>
        <v>0</v>
      </c>
      <c r="F5" s="319">
        <f>IF(AND('Ações'!AW5="sim", 'Ações'!BH5="sim"), 1, 0)
</f>
        <v>0</v>
      </c>
      <c r="G5" s="319">
        <f>IF(AND('Ações'!AX5="sim", 'Ações'!BI5="sim"), 1, 0)
</f>
        <v>0</v>
      </c>
      <c r="H5" s="319">
        <f>IF(AND('Ações'!AS5="sim", 'Ações'!BE5="sim"), 1, 0)
</f>
        <v>0</v>
      </c>
      <c r="I5" s="319">
        <f>IF(AND('Ações'!AS5="sim", 'Ações'!BF5="sim"), 1, 0)
</f>
        <v>0</v>
      </c>
      <c r="J5" s="319">
        <f>IF(AND('Ações'!AS5="sim", 'Ações'!BG5="sim"), 1, 0)
</f>
        <v>0</v>
      </c>
      <c r="K5" s="319">
        <f>IF(AND('Ações'!AS5="sim", 'Ações'!BH5="sim"), 1, 0)
</f>
        <v>0</v>
      </c>
      <c r="L5" s="319">
        <f>IF(AND('Ações'!AS5="sim", 'Ações'!BI5="sim"), 1, 0)
</f>
        <v>0</v>
      </c>
      <c r="M5" s="319">
        <f>IF(AND('Ações'!AT5="sim", 'Ações'!BD5="sim"), 1, 0)
</f>
        <v>1</v>
      </c>
      <c r="N5" s="319">
        <f>IF(AND('Ações'!AT5="sim", 'Ações'!BF5="sim"), 1, 0)
</f>
        <v>0</v>
      </c>
      <c r="O5" s="319">
        <f>IF(AND('Ações'!AT5="sim", 'Ações'!BG5="sim"), 1, 0)
</f>
        <v>0</v>
      </c>
      <c r="P5" s="319">
        <f>IF(AND('Ações'!AT5="sim", 'Ações'!BH5="sim"), 1, 0)
</f>
        <v>0</v>
      </c>
      <c r="Q5" s="319">
        <f>IF(AND('Ações'!AT5="sim", 'Ações'!BI5="sim"), 1, 0)
</f>
        <v>0</v>
      </c>
      <c r="R5" s="319">
        <f>IF(AND('Ações'!AU5="sim", 'Ações'!BD5="sim"), 1, 0)
</f>
        <v>0</v>
      </c>
      <c r="S5" s="319">
        <f>IF(AND('Ações'!AU5="sim", 'Ações'!BE5="sim"), 1, 0)
</f>
        <v>0</v>
      </c>
      <c r="T5" s="319">
        <f>IF(AND('Ações'!AU5="sim", 'Ações'!BG5="sim"), 1, 0)
</f>
        <v>0</v>
      </c>
      <c r="U5" s="319">
        <f>IF(AND('Ações'!AU5="sim", 'Ações'!BH5="sim"), 1, 0)
</f>
        <v>0</v>
      </c>
      <c r="V5" s="319">
        <f>IF(AND('Ações'!AU5="sim", 'Ações'!BI5="sim"), 1, 0)
</f>
        <v>0</v>
      </c>
      <c r="W5" s="319">
        <f>IF(AND('Ações'!AV5="sim", 'Ações'!BD5="sim"), 1, 0)
</f>
        <v>1</v>
      </c>
      <c r="X5" s="319">
        <f>IF(AND('Ações'!AV5="sim", 'Ações'!BE5="sim"), 1, 0)
</f>
        <v>0</v>
      </c>
      <c r="Y5" s="319">
        <f>IF(AND('Ações'!AV5="sim", 'Ações'!BF5="sim"), 1, 0)
</f>
        <v>0</v>
      </c>
      <c r="Z5" s="319">
        <f>IF(AND('Ações'!AV5="sim", 'Ações'!BH5="sim"), 1, 0)
</f>
        <v>0</v>
      </c>
      <c r="AA5" s="319">
        <f>IF(AND('Ações'!AV5="sim", 'Ações'!BI5="sim"), 1, 0)
</f>
        <v>0</v>
      </c>
      <c r="AB5" s="319">
        <f>IF(AND('Ações'!AW5="sim", 'Ações'!BD5="sim"), 1, 0)
</f>
        <v>0</v>
      </c>
      <c r="AC5" s="319">
        <f>IF(AND('Ações'!AW5="sim", 'Ações'!BE5="sim"), 1, 0)
</f>
        <v>0</v>
      </c>
      <c r="AD5" s="319">
        <f>IF(AND('Ações'!AW5="sim", 'Ações'!BF5="sim"), 1, 0)
</f>
        <v>0</v>
      </c>
      <c r="AE5" s="319">
        <f>IF(AND('Ações'!AW5="sim", 'Ações'!BG5="sim"), 1, 0)
</f>
        <v>0</v>
      </c>
      <c r="AF5" s="319">
        <f>IF(AND('Ações'!AW5="sim", 'Ações'!BI5="sim"), 1, 0)
</f>
        <v>0</v>
      </c>
      <c r="AG5" s="319">
        <f>IF(AND('Ações'!AX5="sim", 'Ações'!BD5="sim"), 1, 0)
</f>
        <v>0</v>
      </c>
      <c r="AH5" s="319">
        <f>IF(AND('Ações'!AX5="sim", 'Ações'!BE5="sim"), 1, 0)
</f>
        <v>0</v>
      </c>
      <c r="AI5" s="319">
        <f>IF(AND('Ações'!AX5="sim", 'Ações'!BF5="sim"), 1, 0)
</f>
        <v>0</v>
      </c>
      <c r="AJ5" s="319">
        <f>IF(AND('Ações'!AX5="sim", 'Ações'!BG5="sim"), 1, 0)
</f>
        <v>0</v>
      </c>
      <c r="AK5" s="319">
        <f>IF(AND('Ações'!AX5="sim", 'Ações'!BH5="sim"), 1, 0)
</f>
        <v>0</v>
      </c>
    </row>
    <row r="6">
      <c r="B6" s="319">
        <f>IF(AND('Ações'!AS6="sim", 'Ações'!BD6="sim"), 1, 0)
</f>
        <v>1</v>
      </c>
      <c r="C6" s="319">
        <f>IF(AND('Ações'!AT6="sim", 'Ações'!BE6="sim"), 1, 0)
</f>
        <v>0</v>
      </c>
      <c r="D6" s="319">
        <f>IF(AND('Ações'!AU6="sim", 'Ações'!BF6="sim"), 1, 0)
</f>
        <v>0</v>
      </c>
      <c r="E6" s="319">
        <f>IF(AND('Ações'!AV6="sim", 'Ações'!BG6="sim"), 1, 0)
</f>
        <v>0</v>
      </c>
      <c r="F6" s="319">
        <f>IF(AND('Ações'!AW6="sim", 'Ações'!BH6="sim"), 1, 0)
</f>
        <v>0</v>
      </c>
      <c r="G6" s="319">
        <f>IF(AND('Ações'!AX6="sim", 'Ações'!BI6="sim"), 1, 0)
</f>
        <v>0</v>
      </c>
      <c r="H6" s="319">
        <f>IF(AND('Ações'!AS6="sim", 'Ações'!BE6="sim"), 1, 0)
</f>
        <v>0</v>
      </c>
      <c r="I6" s="319">
        <f>IF(AND('Ações'!AS6="sim", 'Ações'!BF6="sim"), 1, 0)
</f>
        <v>0</v>
      </c>
      <c r="J6" s="319">
        <f>IF(AND('Ações'!AS6="sim", 'Ações'!BG6="sim"), 1, 0)
</f>
        <v>0</v>
      </c>
      <c r="K6" s="319">
        <f>IF(AND('Ações'!AS6="sim", 'Ações'!BH6="sim"), 1, 0)
</f>
        <v>0</v>
      </c>
      <c r="L6" s="319">
        <f>IF(AND('Ações'!AS6="sim", 'Ações'!BI6="sim"), 1, 0)
</f>
        <v>0</v>
      </c>
      <c r="M6" s="319">
        <f>IF(AND('Ações'!AT6="sim", 'Ações'!BD6="sim"), 1, 0)
</f>
        <v>1</v>
      </c>
      <c r="N6" s="319">
        <f>IF(AND('Ações'!AT6="sim", 'Ações'!BF6="sim"), 1, 0)
</f>
        <v>0</v>
      </c>
      <c r="O6" s="319">
        <f>IF(AND('Ações'!AT6="sim", 'Ações'!BG6="sim"), 1, 0)
</f>
        <v>0</v>
      </c>
      <c r="P6" s="319">
        <f>IF(AND('Ações'!AT6="sim", 'Ações'!BH6="sim"), 1, 0)
</f>
        <v>0</v>
      </c>
      <c r="Q6" s="319">
        <f>IF(AND('Ações'!AT6="sim", 'Ações'!BI6="sim"), 1, 0)
</f>
        <v>0</v>
      </c>
      <c r="R6" s="319">
        <f>IF(AND('Ações'!AU6="sim", 'Ações'!BD6="sim"), 1, 0)
</f>
        <v>0</v>
      </c>
      <c r="S6" s="319">
        <f>IF(AND('Ações'!AU6="sim", 'Ações'!BE6="sim"), 1, 0)
</f>
        <v>0</v>
      </c>
      <c r="T6" s="319">
        <f>IF(AND('Ações'!AU6="sim", 'Ações'!BG6="sim"), 1, 0)
</f>
        <v>0</v>
      </c>
      <c r="U6" s="319">
        <f>IF(AND('Ações'!AU6="sim", 'Ações'!BH6="sim"), 1, 0)
</f>
        <v>0</v>
      </c>
      <c r="V6" s="319">
        <f>IF(AND('Ações'!AU6="sim", 'Ações'!BI6="sim"), 1, 0)
</f>
        <v>0</v>
      </c>
      <c r="W6" s="319">
        <f>IF(AND('Ações'!AV6="sim", 'Ações'!BD6="sim"), 1, 0)
</f>
        <v>1</v>
      </c>
      <c r="X6" s="319">
        <f>IF(AND('Ações'!AV6="sim", 'Ações'!BE6="sim"), 1, 0)
</f>
        <v>0</v>
      </c>
      <c r="Y6" s="319">
        <f>IF(AND('Ações'!AV6="sim", 'Ações'!BF6="sim"), 1, 0)
</f>
        <v>0</v>
      </c>
      <c r="Z6" s="319">
        <f>IF(AND('Ações'!AV6="sim", 'Ações'!BH6="sim"), 1, 0)
</f>
        <v>0</v>
      </c>
      <c r="AA6" s="319">
        <f>IF(AND('Ações'!AV6="sim", 'Ações'!BI6="sim"), 1, 0)
</f>
        <v>0</v>
      </c>
      <c r="AB6" s="319">
        <f>IF(AND('Ações'!AW6="sim", 'Ações'!BD6="sim"), 1, 0)
</f>
        <v>0</v>
      </c>
      <c r="AC6" s="319">
        <f>IF(AND('Ações'!AW6="sim", 'Ações'!BE6="sim"), 1, 0)
</f>
        <v>0</v>
      </c>
      <c r="AD6" s="319">
        <f>IF(AND('Ações'!AW6="sim", 'Ações'!BF6="sim"), 1, 0)
</f>
        <v>0</v>
      </c>
      <c r="AE6" s="319">
        <f>IF(AND('Ações'!AW6="sim", 'Ações'!BG6="sim"), 1, 0)
</f>
        <v>0</v>
      </c>
      <c r="AF6" s="319">
        <f>IF(AND('Ações'!AW6="sim", 'Ações'!BI6="sim"), 1, 0)
</f>
        <v>0</v>
      </c>
      <c r="AG6" s="319">
        <f>IF(AND('Ações'!AX6="sim", 'Ações'!BD6="sim"), 1, 0)
</f>
        <v>0</v>
      </c>
      <c r="AH6" s="319">
        <f>IF(AND('Ações'!AX6="sim", 'Ações'!BE6="sim"), 1, 0)
</f>
        <v>0</v>
      </c>
      <c r="AI6" s="319">
        <f>IF(AND('Ações'!AX6="sim", 'Ações'!BF6="sim"), 1, 0)
</f>
        <v>0</v>
      </c>
      <c r="AJ6" s="319">
        <f>IF(AND('Ações'!AX6="sim", 'Ações'!BG6="sim"), 1, 0)
</f>
        <v>0</v>
      </c>
      <c r="AK6" s="319">
        <f>IF(AND('Ações'!AX6="sim", 'Ações'!BH6="sim"), 1, 0)
</f>
        <v>0</v>
      </c>
    </row>
    <row r="7">
      <c r="B7" s="319">
        <f>IF(AND('Ações'!AS7="sim", 'Ações'!BD7="sim"), 1, 0)
</f>
        <v>1</v>
      </c>
      <c r="C7" s="319">
        <f>IF(AND('Ações'!AT7="sim", 'Ações'!BE7="sim"), 1, 0)
</f>
        <v>0</v>
      </c>
      <c r="D7" s="319">
        <f>IF(AND('Ações'!AU7="sim", 'Ações'!BF7="sim"), 1, 0)
</f>
        <v>0</v>
      </c>
      <c r="E7" s="319">
        <f>IF(AND('Ações'!AV7="sim", 'Ações'!BG7="sim"), 1, 0)
</f>
        <v>0</v>
      </c>
      <c r="F7" s="319">
        <f>IF(AND('Ações'!AW7="sim", 'Ações'!BH7="sim"), 1, 0)
</f>
        <v>0</v>
      </c>
      <c r="G7" s="319">
        <f>IF(AND('Ações'!AX7="sim", 'Ações'!BI7="sim"), 1, 0)
</f>
        <v>0</v>
      </c>
      <c r="H7" s="319">
        <f>IF(AND('Ações'!AS7="sim", 'Ações'!BE7="sim"), 1, 0)
</f>
        <v>0</v>
      </c>
      <c r="I7" s="319">
        <f>IF(AND('Ações'!AS7="sim", 'Ações'!BF7="sim"), 1, 0)
</f>
        <v>0</v>
      </c>
      <c r="J7" s="319">
        <f>IF(AND('Ações'!AS7="sim", 'Ações'!BG7="sim"), 1, 0)
</f>
        <v>0</v>
      </c>
      <c r="K7" s="319">
        <f>IF(AND('Ações'!AS7="sim", 'Ações'!BH7="sim"), 1, 0)
</f>
        <v>0</v>
      </c>
      <c r="L7" s="319">
        <f>IF(AND('Ações'!AS7="sim", 'Ações'!BI7="sim"), 1, 0)
</f>
        <v>0</v>
      </c>
      <c r="M7" s="319">
        <f>IF(AND('Ações'!AT7="sim", 'Ações'!BD7="sim"), 1, 0)
</f>
        <v>1</v>
      </c>
      <c r="N7" s="319">
        <f>IF(AND('Ações'!AT7="sim", 'Ações'!BF7="sim"), 1, 0)
</f>
        <v>0</v>
      </c>
      <c r="O7" s="319">
        <f>IF(AND('Ações'!AT7="sim", 'Ações'!BG7="sim"), 1, 0)
</f>
        <v>0</v>
      </c>
      <c r="P7" s="319">
        <f>IF(AND('Ações'!AT7="sim", 'Ações'!BH7="sim"), 1, 0)
</f>
        <v>0</v>
      </c>
      <c r="Q7" s="319">
        <f>IF(AND('Ações'!AT7="sim", 'Ações'!BI7="sim"), 1, 0)
</f>
        <v>0</v>
      </c>
      <c r="R7" s="319">
        <f>IF(AND('Ações'!AU7="sim", 'Ações'!BD7="sim"), 1, 0)
</f>
        <v>0</v>
      </c>
      <c r="S7" s="319">
        <f>IF(AND('Ações'!AU7="sim", 'Ações'!BE7="sim"), 1, 0)
</f>
        <v>0</v>
      </c>
      <c r="T7" s="319">
        <f>IF(AND('Ações'!AU7="sim", 'Ações'!BG7="sim"), 1, 0)
</f>
        <v>0</v>
      </c>
      <c r="U7" s="319">
        <f>IF(AND('Ações'!AU7="sim", 'Ações'!BH7="sim"), 1, 0)
</f>
        <v>0</v>
      </c>
      <c r="V7" s="319">
        <f>IF(AND('Ações'!AU7="sim", 'Ações'!BI7="sim"), 1, 0)
</f>
        <v>0</v>
      </c>
      <c r="W7" s="319">
        <f>IF(AND('Ações'!AV7="sim", 'Ações'!BD7="sim"), 1, 0)
</f>
        <v>1</v>
      </c>
      <c r="X7" s="319">
        <f>IF(AND('Ações'!AV7="sim", 'Ações'!BE7="sim"), 1, 0)
</f>
        <v>0</v>
      </c>
      <c r="Y7" s="319">
        <f>IF(AND('Ações'!AV7="sim", 'Ações'!BF7="sim"), 1, 0)
</f>
        <v>0</v>
      </c>
      <c r="Z7" s="319">
        <f>IF(AND('Ações'!AV7="sim", 'Ações'!BH7="sim"), 1, 0)
</f>
        <v>0</v>
      </c>
      <c r="AA7" s="319">
        <f>IF(AND('Ações'!AV7="sim", 'Ações'!BI7="sim"), 1, 0)
</f>
        <v>0</v>
      </c>
      <c r="AB7" s="319">
        <f>IF(AND('Ações'!AW7="sim", 'Ações'!BD7="sim"), 1, 0)
</f>
        <v>0</v>
      </c>
      <c r="AC7" s="319">
        <f>IF(AND('Ações'!AW7="sim", 'Ações'!BE7="sim"), 1, 0)
</f>
        <v>0</v>
      </c>
      <c r="AD7" s="319">
        <f>IF(AND('Ações'!AW7="sim", 'Ações'!BF7="sim"), 1, 0)
</f>
        <v>0</v>
      </c>
      <c r="AE7" s="319">
        <f>IF(AND('Ações'!AW7="sim", 'Ações'!BG7="sim"), 1, 0)
</f>
        <v>0</v>
      </c>
      <c r="AF7" s="319">
        <f>IF(AND('Ações'!AW7="sim", 'Ações'!BI7="sim"), 1, 0)
</f>
        <v>0</v>
      </c>
      <c r="AG7" s="319">
        <f>IF(AND('Ações'!AX7="sim", 'Ações'!BD7="sim"), 1, 0)
</f>
        <v>0</v>
      </c>
      <c r="AH7" s="319">
        <f>IF(AND('Ações'!AX7="sim", 'Ações'!BE7="sim"), 1, 0)
</f>
        <v>0</v>
      </c>
      <c r="AI7" s="319">
        <f>IF(AND('Ações'!AX7="sim", 'Ações'!BF7="sim"), 1, 0)
</f>
        <v>0</v>
      </c>
      <c r="AJ7" s="319">
        <f>IF(AND('Ações'!AX7="sim", 'Ações'!BG7="sim"), 1, 0)
</f>
        <v>0</v>
      </c>
      <c r="AK7" s="319">
        <f>IF(AND('Ações'!AX7="sim", 'Ações'!BH7="sim"), 1, 0)
</f>
        <v>0</v>
      </c>
    </row>
    <row r="8">
      <c r="B8" s="319">
        <f>IF(AND('Ações'!AS8="sim", 'Ações'!BD8="sim"), 1, 0)
</f>
        <v>1</v>
      </c>
      <c r="C8" s="319">
        <f>IF(AND('Ações'!AT8="sim", 'Ações'!BE8="sim"), 1, 0)
</f>
        <v>0</v>
      </c>
      <c r="D8" s="319">
        <f>IF(AND('Ações'!AU8="sim", 'Ações'!BF8="sim"), 1, 0)
</f>
        <v>0</v>
      </c>
      <c r="E8" s="319">
        <f>IF(AND('Ações'!AV8="sim", 'Ações'!BG8="sim"), 1, 0)
</f>
        <v>0</v>
      </c>
      <c r="F8" s="319">
        <f>IF(AND('Ações'!AW8="sim", 'Ações'!BH8="sim"), 1, 0)
</f>
        <v>0</v>
      </c>
      <c r="G8" s="319">
        <f>IF(AND('Ações'!AX8="sim", 'Ações'!BI8="sim"), 1, 0)
</f>
        <v>0</v>
      </c>
      <c r="H8" s="319">
        <f>IF(AND('Ações'!AS8="sim", 'Ações'!BE8="sim"), 1, 0)
</f>
        <v>0</v>
      </c>
      <c r="I8" s="319">
        <f>IF(AND('Ações'!AS8="sim", 'Ações'!BF8="sim"), 1, 0)
</f>
        <v>0</v>
      </c>
      <c r="J8" s="319">
        <f>IF(AND('Ações'!AS8="sim", 'Ações'!BG8="sim"), 1, 0)
</f>
        <v>0</v>
      </c>
      <c r="K8" s="319">
        <f>IF(AND('Ações'!AS8="sim", 'Ações'!BH8="sim"), 1, 0)
</f>
        <v>0</v>
      </c>
      <c r="L8" s="319">
        <f>IF(AND('Ações'!AS8="sim", 'Ações'!BI8="sim"), 1, 0)
</f>
        <v>0</v>
      </c>
      <c r="M8" s="319">
        <f>IF(AND('Ações'!AT8="sim", 'Ações'!BD8="sim"), 1, 0)
</f>
        <v>1</v>
      </c>
      <c r="N8" s="319">
        <f>IF(AND('Ações'!AT8="sim", 'Ações'!BF8="sim"), 1, 0)
</f>
        <v>0</v>
      </c>
      <c r="O8" s="319">
        <f>IF(AND('Ações'!AT8="sim", 'Ações'!BG8="sim"), 1, 0)
</f>
        <v>0</v>
      </c>
      <c r="P8" s="319">
        <f>IF(AND('Ações'!AT8="sim", 'Ações'!BH8="sim"), 1, 0)
</f>
        <v>0</v>
      </c>
      <c r="Q8" s="319">
        <f>IF(AND('Ações'!AT8="sim", 'Ações'!BI8="sim"), 1, 0)
</f>
        <v>0</v>
      </c>
      <c r="R8" s="319">
        <f>IF(AND('Ações'!AU8="sim", 'Ações'!BD8="sim"), 1, 0)
</f>
        <v>0</v>
      </c>
      <c r="S8" s="319">
        <f>IF(AND('Ações'!AU8="sim", 'Ações'!BE8="sim"), 1, 0)
</f>
        <v>0</v>
      </c>
      <c r="T8" s="319">
        <f>IF(AND('Ações'!AU8="sim", 'Ações'!BG8="sim"), 1, 0)
</f>
        <v>0</v>
      </c>
      <c r="U8" s="319">
        <f>IF(AND('Ações'!AU8="sim", 'Ações'!BH8="sim"), 1, 0)
</f>
        <v>0</v>
      </c>
      <c r="V8" s="319">
        <f>IF(AND('Ações'!AU8="sim", 'Ações'!BI8="sim"), 1, 0)
</f>
        <v>0</v>
      </c>
      <c r="W8" s="319">
        <f>IF(AND('Ações'!AV8="sim", 'Ações'!BD8="sim"), 1, 0)
</f>
        <v>1</v>
      </c>
      <c r="X8" s="319">
        <f>IF(AND('Ações'!AV8="sim", 'Ações'!BE8="sim"), 1, 0)
</f>
        <v>0</v>
      </c>
      <c r="Y8" s="319">
        <f>IF(AND('Ações'!AV8="sim", 'Ações'!BF8="sim"), 1, 0)
</f>
        <v>0</v>
      </c>
      <c r="Z8" s="319">
        <f>IF(AND('Ações'!AV8="sim", 'Ações'!BH8="sim"), 1, 0)
</f>
        <v>0</v>
      </c>
      <c r="AA8" s="319">
        <f>IF(AND('Ações'!AV8="sim", 'Ações'!BI8="sim"), 1, 0)
</f>
        <v>0</v>
      </c>
      <c r="AB8" s="319">
        <f>IF(AND('Ações'!AW8="sim", 'Ações'!BD8="sim"), 1, 0)
</f>
        <v>0</v>
      </c>
      <c r="AC8" s="319">
        <f>IF(AND('Ações'!AW8="sim", 'Ações'!BE8="sim"), 1, 0)
</f>
        <v>0</v>
      </c>
      <c r="AD8" s="319">
        <f>IF(AND('Ações'!AW8="sim", 'Ações'!BF8="sim"), 1, 0)
</f>
        <v>0</v>
      </c>
      <c r="AE8" s="319">
        <f>IF(AND('Ações'!AW8="sim", 'Ações'!BG8="sim"), 1, 0)
</f>
        <v>0</v>
      </c>
      <c r="AF8" s="319">
        <f>IF(AND('Ações'!AW8="sim", 'Ações'!BI8="sim"), 1, 0)
</f>
        <v>0</v>
      </c>
      <c r="AG8" s="319">
        <f>IF(AND('Ações'!AX8="sim", 'Ações'!BD8="sim"), 1, 0)
</f>
        <v>0</v>
      </c>
      <c r="AH8" s="319">
        <f>IF(AND('Ações'!AX8="sim", 'Ações'!BE8="sim"), 1, 0)
</f>
        <v>0</v>
      </c>
      <c r="AI8" s="319">
        <f>IF(AND('Ações'!AX8="sim", 'Ações'!BF8="sim"), 1, 0)
</f>
        <v>0</v>
      </c>
      <c r="AJ8" s="319">
        <f>IF(AND('Ações'!AX8="sim", 'Ações'!BG8="sim"), 1, 0)
</f>
        <v>0</v>
      </c>
      <c r="AK8" s="319">
        <f>IF(AND('Ações'!AX8="sim", 'Ações'!BH8="sim"), 1, 0)
</f>
        <v>0</v>
      </c>
    </row>
    <row r="9">
      <c r="B9" s="319">
        <f>IF(AND('Ações'!AS9="sim", 'Ações'!BD9="sim"), 1, 0)
</f>
        <v>1</v>
      </c>
      <c r="C9" s="319">
        <f>IF(AND('Ações'!AT9="sim", 'Ações'!BE9="sim"), 1, 0)
</f>
        <v>0</v>
      </c>
      <c r="D9" s="319">
        <f>IF(AND('Ações'!AU9="sim", 'Ações'!BF9="sim"), 1, 0)
</f>
        <v>0</v>
      </c>
      <c r="E9" s="319">
        <f>IF(AND('Ações'!AV9="sim", 'Ações'!BG9="sim"), 1, 0)
</f>
        <v>0</v>
      </c>
      <c r="F9" s="319">
        <f>IF(AND('Ações'!AW9="sim", 'Ações'!BH9="sim"), 1, 0)
</f>
        <v>0</v>
      </c>
      <c r="G9" s="319">
        <f>IF(AND('Ações'!AX9="sim", 'Ações'!BI9="sim"), 1, 0)
</f>
        <v>0</v>
      </c>
      <c r="H9" s="319">
        <f>IF(AND('Ações'!AS9="sim", 'Ações'!BE9="sim"), 1, 0)
</f>
        <v>0</v>
      </c>
      <c r="I9" s="319">
        <f>IF(AND('Ações'!AS9="sim", 'Ações'!BF9="sim"), 1, 0)
</f>
        <v>0</v>
      </c>
      <c r="J9" s="319">
        <f>IF(AND('Ações'!AS9="sim", 'Ações'!BG9="sim"), 1, 0)
</f>
        <v>0</v>
      </c>
      <c r="K9" s="319">
        <f>IF(AND('Ações'!AS9="sim", 'Ações'!BH9="sim"), 1, 0)
</f>
        <v>0</v>
      </c>
      <c r="L9" s="319">
        <f>IF(AND('Ações'!AS9="sim", 'Ações'!BI9="sim"), 1, 0)
</f>
        <v>0</v>
      </c>
      <c r="M9" s="319">
        <f>IF(AND('Ações'!AT9="sim", 'Ações'!BD9="sim"), 1, 0)
</f>
        <v>1</v>
      </c>
      <c r="N9" s="319">
        <f>IF(AND('Ações'!AT9="sim", 'Ações'!BF9="sim"), 1, 0)
</f>
        <v>0</v>
      </c>
      <c r="O9" s="319">
        <f>IF(AND('Ações'!AT9="sim", 'Ações'!BG9="sim"), 1, 0)
</f>
        <v>0</v>
      </c>
      <c r="P9" s="319">
        <f>IF(AND('Ações'!AT9="sim", 'Ações'!BH9="sim"), 1, 0)
</f>
        <v>0</v>
      </c>
      <c r="Q9" s="319">
        <f>IF(AND('Ações'!AT9="sim", 'Ações'!BI9="sim"), 1, 0)
</f>
        <v>0</v>
      </c>
      <c r="R9" s="319">
        <f>IF(AND('Ações'!AU9="sim", 'Ações'!BD9="sim"), 1, 0)
</f>
        <v>0</v>
      </c>
      <c r="S9" s="319">
        <f>IF(AND('Ações'!AU9="sim", 'Ações'!BE9="sim"), 1, 0)
</f>
        <v>0</v>
      </c>
      <c r="T9" s="319">
        <f>IF(AND('Ações'!AU9="sim", 'Ações'!BG9="sim"), 1, 0)
</f>
        <v>0</v>
      </c>
      <c r="U9" s="319">
        <f>IF(AND('Ações'!AU9="sim", 'Ações'!BH9="sim"), 1, 0)
</f>
        <v>0</v>
      </c>
      <c r="V9" s="319">
        <f>IF(AND('Ações'!AU9="sim", 'Ações'!BI9="sim"), 1, 0)
</f>
        <v>0</v>
      </c>
      <c r="W9" s="319">
        <f>IF(AND('Ações'!AV9="sim", 'Ações'!BD9="sim"), 1, 0)
</f>
        <v>1</v>
      </c>
      <c r="X9" s="319">
        <f>IF(AND('Ações'!AV9="sim", 'Ações'!BE9="sim"), 1, 0)
</f>
        <v>0</v>
      </c>
      <c r="Y9" s="319">
        <f>IF(AND('Ações'!AV9="sim", 'Ações'!BF9="sim"), 1, 0)
</f>
        <v>0</v>
      </c>
      <c r="Z9" s="319">
        <f>IF(AND('Ações'!AV9="sim", 'Ações'!BH9="sim"), 1, 0)
</f>
        <v>0</v>
      </c>
      <c r="AA9" s="319">
        <f>IF(AND('Ações'!AV9="sim", 'Ações'!BI9="sim"), 1, 0)
</f>
        <v>0</v>
      </c>
      <c r="AB9" s="319">
        <f>IF(AND('Ações'!AW9="sim", 'Ações'!BD9="sim"), 1, 0)
</f>
        <v>0</v>
      </c>
      <c r="AC9" s="319">
        <f>IF(AND('Ações'!AW9="sim", 'Ações'!BE9="sim"), 1, 0)
</f>
        <v>0</v>
      </c>
      <c r="AD9" s="319">
        <f>IF(AND('Ações'!AW9="sim", 'Ações'!BF9="sim"), 1, 0)
</f>
        <v>0</v>
      </c>
      <c r="AE9" s="319">
        <f>IF(AND('Ações'!AW9="sim", 'Ações'!BG9="sim"), 1, 0)
</f>
        <v>0</v>
      </c>
      <c r="AF9" s="319">
        <f>IF(AND('Ações'!AW9="sim", 'Ações'!BI9="sim"), 1, 0)
</f>
        <v>0</v>
      </c>
      <c r="AG9" s="319">
        <f>IF(AND('Ações'!AX9="sim", 'Ações'!BD9="sim"), 1, 0)
</f>
        <v>0</v>
      </c>
      <c r="AH9" s="319">
        <f>IF(AND('Ações'!AX9="sim", 'Ações'!BE9="sim"), 1, 0)
</f>
        <v>0</v>
      </c>
      <c r="AI9" s="319">
        <f>IF(AND('Ações'!AX9="sim", 'Ações'!BF9="sim"), 1, 0)
</f>
        <v>0</v>
      </c>
      <c r="AJ9" s="319">
        <f>IF(AND('Ações'!AX9="sim", 'Ações'!BG9="sim"), 1, 0)
</f>
        <v>0</v>
      </c>
      <c r="AK9" s="319">
        <f>IF(AND('Ações'!AX9="sim", 'Ações'!BH9="sim"), 1, 0)
</f>
        <v>0</v>
      </c>
    </row>
    <row r="10">
      <c r="B10" s="319">
        <f>IF(AND('Ações'!AS10="sim", 'Ações'!BD10="sim"), 1, 0)
</f>
        <v>0</v>
      </c>
      <c r="C10" s="319">
        <f>IF(AND('Ações'!AT10="sim", 'Ações'!BE10="sim"), 1, 0)
</f>
        <v>0</v>
      </c>
      <c r="D10" s="319">
        <f>IF(AND('Ações'!AU10="sim", 'Ações'!BF10="sim"), 1, 0)
</f>
        <v>0</v>
      </c>
      <c r="E10" s="319">
        <f>IF(AND('Ações'!AV10="sim", 'Ações'!BG10="sim"), 1, 0)
</f>
        <v>0</v>
      </c>
      <c r="F10" s="319">
        <f>IF(AND('Ações'!AW10="sim", 'Ações'!BH10="sim"), 1, 0)
</f>
        <v>0</v>
      </c>
      <c r="G10" s="319">
        <f>IF(AND('Ações'!AX10="sim", 'Ações'!BI10="sim"), 1, 0)
</f>
        <v>0</v>
      </c>
      <c r="H10" s="319">
        <f>IF(AND('Ações'!AS10="sim", 'Ações'!BE10="sim"), 1, 0)
</f>
        <v>0</v>
      </c>
      <c r="I10" s="319">
        <f>IF(AND('Ações'!AS10="sim", 'Ações'!BF10="sim"), 1, 0)
</f>
        <v>0</v>
      </c>
      <c r="J10" s="319">
        <f>IF(AND('Ações'!AS10="sim", 'Ações'!BG10="sim"), 1, 0)
</f>
        <v>0</v>
      </c>
      <c r="K10" s="319">
        <f>IF(AND('Ações'!AS10="sim", 'Ações'!BH10="sim"), 1, 0)
</f>
        <v>0</v>
      </c>
      <c r="L10" s="319">
        <f>IF(AND('Ações'!AS10="sim", 'Ações'!BI10="sim"), 1, 0)
</f>
        <v>1</v>
      </c>
      <c r="M10" s="319">
        <f>IF(AND('Ações'!AT10="sim", 'Ações'!BD10="sim"), 1, 0)
</f>
        <v>0</v>
      </c>
      <c r="N10" s="319">
        <f>IF(AND('Ações'!AT10="sim", 'Ações'!BF10="sim"), 1, 0)
</f>
        <v>0</v>
      </c>
      <c r="O10" s="319">
        <f>IF(AND('Ações'!AT10="sim", 'Ações'!BG10="sim"), 1, 0)
</f>
        <v>0</v>
      </c>
      <c r="P10" s="319">
        <f>IF(AND('Ações'!AT10="sim", 'Ações'!BH10="sim"), 1, 0)
</f>
        <v>0</v>
      </c>
      <c r="Q10" s="319">
        <f>IF(AND('Ações'!AT10="sim", 'Ações'!BI10="sim"), 1, 0)
</f>
        <v>1</v>
      </c>
      <c r="R10" s="319">
        <f>IF(AND('Ações'!AU10="sim", 'Ações'!BD10="sim"), 1, 0)
</f>
        <v>0</v>
      </c>
      <c r="S10" s="319">
        <f>IF(AND('Ações'!AU10="sim", 'Ações'!BE10="sim"), 1, 0)
</f>
        <v>0</v>
      </c>
      <c r="T10" s="319">
        <f>IF(AND('Ações'!AU10="sim", 'Ações'!BG10="sim"), 1, 0)
</f>
        <v>0</v>
      </c>
      <c r="U10" s="319">
        <f>IF(AND('Ações'!AU10="sim", 'Ações'!BH10="sim"), 1, 0)
</f>
        <v>0</v>
      </c>
      <c r="V10" s="319">
        <f>IF(AND('Ações'!AU10="sim", 'Ações'!BI10="sim"), 1, 0)
</f>
        <v>0</v>
      </c>
      <c r="W10" s="319">
        <f>IF(AND('Ações'!AV10="sim", 'Ações'!BD10="sim"), 1, 0)
</f>
        <v>0</v>
      </c>
      <c r="X10" s="319">
        <f>IF(AND('Ações'!AV10="sim", 'Ações'!BE10="sim"), 1, 0)
</f>
        <v>0</v>
      </c>
      <c r="Y10" s="319">
        <f>IF(AND('Ações'!AV10="sim", 'Ações'!BF10="sim"), 1, 0)
</f>
        <v>0</v>
      </c>
      <c r="Z10" s="319">
        <f>IF(AND('Ações'!AV10="sim", 'Ações'!BH10="sim"), 1, 0)
</f>
        <v>0</v>
      </c>
      <c r="AA10" s="319">
        <f>IF(AND('Ações'!AV10="sim", 'Ações'!BI10="sim"), 1, 0)
</f>
        <v>1</v>
      </c>
      <c r="AB10" s="319">
        <f>IF(AND('Ações'!AW10="sim", 'Ações'!BD10="sim"), 1, 0)
</f>
        <v>0</v>
      </c>
      <c r="AC10" s="319">
        <f>IF(AND('Ações'!AW10="sim", 'Ações'!BE10="sim"), 1, 0)
</f>
        <v>0</v>
      </c>
      <c r="AD10" s="319">
        <f>IF(AND('Ações'!AW10="sim", 'Ações'!BF10="sim"), 1, 0)
</f>
        <v>0</v>
      </c>
      <c r="AE10" s="319">
        <f>IF(AND('Ações'!AW10="sim", 'Ações'!BG10="sim"), 1, 0)
</f>
        <v>0</v>
      </c>
      <c r="AF10" s="319">
        <f>IF(AND('Ações'!AW10="sim", 'Ações'!BI10="sim"), 1, 0)
</f>
        <v>0</v>
      </c>
      <c r="AG10" s="319">
        <f>IF(AND('Ações'!AX10="sim", 'Ações'!BD10="sim"), 1, 0)
</f>
        <v>0</v>
      </c>
      <c r="AH10" s="319">
        <f>IF(AND('Ações'!AX10="sim", 'Ações'!BE10="sim"), 1, 0)
</f>
        <v>0</v>
      </c>
      <c r="AI10" s="319">
        <f>IF(AND('Ações'!AX10="sim", 'Ações'!BF10="sim"), 1, 0)
</f>
        <v>0</v>
      </c>
      <c r="AJ10" s="319">
        <f>IF(AND('Ações'!AX10="sim", 'Ações'!BG10="sim"), 1, 0)
</f>
        <v>0</v>
      </c>
      <c r="AK10" s="319">
        <f>IF(AND('Ações'!AX10="sim", 'Ações'!BH10="sim"), 1, 0)
</f>
        <v>0</v>
      </c>
    </row>
    <row r="11">
      <c r="B11" s="319">
        <f>IF(AND('Ações'!AS11="sim", 'Ações'!BD11="sim"), 1, 0)
</f>
        <v>0</v>
      </c>
      <c r="C11" s="319">
        <f>IF(AND('Ações'!AT11="sim", 'Ações'!BE11="sim"), 1, 0)
</f>
        <v>0</v>
      </c>
      <c r="D11" s="319">
        <f>IF(AND('Ações'!AU11="sim", 'Ações'!BF11="sim"), 1, 0)
</f>
        <v>0</v>
      </c>
      <c r="E11" s="319">
        <f>IF(AND('Ações'!AV11="sim", 'Ações'!BG11="sim"), 1, 0)
</f>
        <v>0</v>
      </c>
      <c r="F11" s="319">
        <f>IF(AND('Ações'!AW11="sim", 'Ações'!BH11="sim"), 1, 0)
</f>
        <v>0</v>
      </c>
      <c r="G11" s="319">
        <f>IF(AND('Ações'!AX11="sim", 'Ações'!BI11="sim"), 1, 0)
</f>
        <v>0</v>
      </c>
      <c r="H11" s="319">
        <f>IF(AND('Ações'!AS11="sim", 'Ações'!BE11="sim"), 1, 0)
</f>
        <v>0</v>
      </c>
      <c r="I11" s="319">
        <f>IF(AND('Ações'!AS11="sim", 'Ações'!BF11="sim"), 1, 0)
</f>
        <v>0</v>
      </c>
      <c r="J11" s="319">
        <f>IF(AND('Ações'!AS11="sim", 'Ações'!BG11="sim"), 1, 0)
</f>
        <v>0</v>
      </c>
      <c r="K11" s="319">
        <f>IF(AND('Ações'!AS11="sim", 'Ações'!BH11="sim"), 1, 0)
</f>
        <v>0</v>
      </c>
      <c r="L11" s="319">
        <f>IF(AND('Ações'!AS11="sim", 'Ações'!BI11="sim"), 1, 0)
</f>
        <v>1</v>
      </c>
      <c r="M11" s="319">
        <f>IF(AND('Ações'!AT11="sim", 'Ações'!BD11="sim"), 1, 0)
</f>
        <v>0</v>
      </c>
      <c r="N11" s="319">
        <f>IF(AND('Ações'!AT11="sim", 'Ações'!BF11="sim"), 1, 0)
</f>
        <v>0</v>
      </c>
      <c r="O11" s="319">
        <f>IF(AND('Ações'!AT11="sim", 'Ações'!BG11="sim"), 1, 0)
</f>
        <v>0</v>
      </c>
      <c r="P11" s="319">
        <f>IF(AND('Ações'!AT11="sim", 'Ações'!BH11="sim"), 1, 0)
</f>
        <v>0</v>
      </c>
      <c r="Q11" s="319">
        <f>IF(AND('Ações'!AT11="sim", 'Ações'!BI11="sim"), 1, 0)
</f>
        <v>1</v>
      </c>
      <c r="R11" s="319">
        <f>IF(AND('Ações'!AU11="sim", 'Ações'!BD11="sim"), 1, 0)
</f>
        <v>0</v>
      </c>
      <c r="S11" s="319">
        <f>IF(AND('Ações'!AU11="sim", 'Ações'!BE11="sim"), 1, 0)
</f>
        <v>0</v>
      </c>
      <c r="T11" s="319">
        <f>IF(AND('Ações'!AU11="sim", 'Ações'!BG11="sim"), 1, 0)
</f>
        <v>0</v>
      </c>
      <c r="U11" s="319">
        <f>IF(AND('Ações'!AU11="sim", 'Ações'!BH11="sim"), 1, 0)
</f>
        <v>0</v>
      </c>
      <c r="V11" s="319">
        <f>IF(AND('Ações'!AU11="sim", 'Ações'!BI11="sim"), 1, 0)
</f>
        <v>0</v>
      </c>
      <c r="W11" s="319">
        <f>IF(AND('Ações'!AV11="sim", 'Ações'!BD11="sim"), 1, 0)
</f>
        <v>0</v>
      </c>
      <c r="X11" s="319">
        <f>IF(AND('Ações'!AV11="sim", 'Ações'!BE11="sim"), 1, 0)
</f>
        <v>0</v>
      </c>
      <c r="Y11" s="319">
        <f>IF(AND('Ações'!AV11="sim", 'Ações'!BF11="sim"), 1, 0)
</f>
        <v>0</v>
      </c>
      <c r="Z11" s="319">
        <f>IF(AND('Ações'!AV11="sim", 'Ações'!BH11="sim"), 1, 0)
</f>
        <v>0</v>
      </c>
      <c r="AA11" s="319">
        <f>IF(AND('Ações'!AV11="sim", 'Ações'!BI11="sim"), 1, 0)
</f>
        <v>1</v>
      </c>
      <c r="AB11" s="319">
        <f>IF(AND('Ações'!AW11="sim", 'Ações'!BD11="sim"), 1, 0)
</f>
        <v>0</v>
      </c>
      <c r="AC11" s="319">
        <f>IF(AND('Ações'!AW11="sim", 'Ações'!BE11="sim"), 1, 0)
</f>
        <v>0</v>
      </c>
      <c r="AD11" s="319">
        <f>IF(AND('Ações'!AW11="sim", 'Ações'!BF11="sim"), 1, 0)
</f>
        <v>0</v>
      </c>
      <c r="AE11" s="319">
        <f>IF(AND('Ações'!AW11="sim", 'Ações'!BG11="sim"), 1, 0)
</f>
        <v>0</v>
      </c>
      <c r="AF11" s="319">
        <f>IF(AND('Ações'!AW11="sim", 'Ações'!BI11="sim"), 1, 0)
</f>
        <v>0</v>
      </c>
      <c r="AG11" s="319">
        <f>IF(AND('Ações'!AX11="sim", 'Ações'!BD11="sim"), 1, 0)
</f>
        <v>0</v>
      </c>
      <c r="AH11" s="319">
        <f>IF(AND('Ações'!AX11="sim", 'Ações'!BE11="sim"), 1, 0)
</f>
        <v>0</v>
      </c>
      <c r="AI11" s="319">
        <f>IF(AND('Ações'!AX11="sim", 'Ações'!BF11="sim"), 1, 0)
</f>
        <v>0</v>
      </c>
      <c r="AJ11" s="319">
        <f>IF(AND('Ações'!AX11="sim", 'Ações'!BG11="sim"), 1, 0)
</f>
        <v>0</v>
      </c>
      <c r="AK11" s="319">
        <f>IF(AND('Ações'!AX11="sim", 'Ações'!BH11="sim"), 1, 0)
</f>
        <v>0</v>
      </c>
    </row>
    <row r="12">
      <c r="B12" s="319">
        <f>IF(AND('Ações'!AS12="sim", 'Ações'!BD12="sim"), 1, 0)
</f>
        <v>0</v>
      </c>
      <c r="C12" s="319">
        <f>IF(AND('Ações'!AT12="sim", 'Ações'!BE12="sim"), 1, 0)
</f>
        <v>0</v>
      </c>
      <c r="D12" s="319">
        <f>IF(AND('Ações'!AU12="sim", 'Ações'!BF12="sim"), 1, 0)
</f>
        <v>0</v>
      </c>
      <c r="E12" s="319">
        <f>IF(AND('Ações'!AV12="sim", 'Ações'!BG12="sim"), 1, 0)
</f>
        <v>0</v>
      </c>
      <c r="F12" s="319">
        <f>IF(AND('Ações'!AW12="sim", 'Ações'!BH12="sim"), 1, 0)
</f>
        <v>0</v>
      </c>
      <c r="G12" s="319">
        <f>IF(AND('Ações'!AX12="sim", 'Ações'!BI12="sim"), 1, 0)
</f>
        <v>0</v>
      </c>
      <c r="H12" s="319">
        <f>IF(AND('Ações'!AS12="sim", 'Ações'!BE12="sim"), 1, 0)
</f>
        <v>0</v>
      </c>
      <c r="I12" s="319">
        <f>IF(AND('Ações'!AS12="sim", 'Ações'!BF12="sim"), 1, 0)
</f>
        <v>0</v>
      </c>
      <c r="J12" s="319">
        <f>IF(AND('Ações'!AS12="sim", 'Ações'!BG12="sim"), 1, 0)
</f>
        <v>0</v>
      </c>
      <c r="K12" s="319">
        <f>IF(AND('Ações'!AS12="sim", 'Ações'!BH12="sim"), 1, 0)
</f>
        <v>0</v>
      </c>
      <c r="L12" s="319">
        <f>IF(AND('Ações'!AS12="sim", 'Ações'!BI12="sim"), 1, 0)
</f>
        <v>1</v>
      </c>
      <c r="M12" s="319">
        <f>IF(AND('Ações'!AT12="sim", 'Ações'!BD12="sim"), 1, 0)
</f>
        <v>0</v>
      </c>
      <c r="N12" s="319">
        <f>IF(AND('Ações'!AT12="sim", 'Ações'!BF12="sim"), 1, 0)
</f>
        <v>0</v>
      </c>
      <c r="O12" s="319">
        <f>IF(AND('Ações'!AT12="sim", 'Ações'!BG12="sim"), 1, 0)
</f>
        <v>0</v>
      </c>
      <c r="P12" s="319">
        <f>IF(AND('Ações'!AT12="sim", 'Ações'!BH12="sim"), 1, 0)
</f>
        <v>0</v>
      </c>
      <c r="Q12" s="319">
        <f>IF(AND('Ações'!AT12="sim", 'Ações'!BI12="sim"), 1, 0)
</f>
        <v>1</v>
      </c>
      <c r="R12" s="319">
        <f>IF(AND('Ações'!AU12="sim", 'Ações'!BD12="sim"), 1, 0)
</f>
        <v>0</v>
      </c>
      <c r="S12" s="319">
        <f>IF(AND('Ações'!AU12="sim", 'Ações'!BE12="sim"), 1, 0)
</f>
        <v>0</v>
      </c>
      <c r="T12" s="319">
        <f>IF(AND('Ações'!AU12="sim", 'Ações'!BG12="sim"), 1, 0)
</f>
        <v>0</v>
      </c>
      <c r="U12" s="319">
        <f>IF(AND('Ações'!AU12="sim", 'Ações'!BH12="sim"), 1, 0)
</f>
        <v>0</v>
      </c>
      <c r="V12" s="319">
        <f>IF(AND('Ações'!AU12="sim", 'Ações'!BI12="sim"), 1, 0)
</f>
        <v>1</v>
      </c>
      <c r="W12" s="319">
        <f>IF(AND('Ações'!AV12="sim", 'Ações'!BD12="sim"), 1, 0)
</f>
        <v>0</v>
      </c>
      <c r="X12" s="319">
        <f>IF(AND('Ações'!AV12="sim", 'Ações'!BE12="sim"), 1, 0)
</f>
        <v>0</v>
      </c>
      <c r="Y12" s="319">
        <f>IF(AND('Ações'!AV12="sim", 'Ações'!BF12="sim"), 1, 0)
</f>
        <v>0</v>
      </c>
      <c r="Z12" s="319">
        <f>IF(AND('Ações'!AV12="sim", 'Ações'!BH12="sim"), 1, 0)
</f>
        <v>0</v>
      </c>
      <c r="AA12" s="319">
        <f>IF(AND('Ações'!AV12="sim", 'Ações'!BI12="sim"), 1, 0)
</f>
        <v>1</v>
      </c>
      <c r="AB12" s="319">
        <f>IF(AND('Ações'!AW12="sim", 'Ações'!BD12="sim"), 1, 0)
</f>
        <v>0</v>
      </c>
      <c r="AC12" s="319">
        <f>IF(AND('Ações'!AW12="sim", 'Ações'!BE12="sim"), 1, 0)
</f>
        <v>0</v>
      </c>
      <c r="AD12" s="319">
        <f>IF(AND('Ações'!AW12="sim", 'Ações'!BF12="sim"), 1, 0)
</f>
        <v>0</v>
      </c>
      <c r="AE12" s="319">
        <f>IF(AND('Ações'!AW12="sim", 'Ações'!BG12="sim"), 1, 0)
</f>
        <v>0</v>
      </c>
      <c r="AF12" s="319">
        <f>IF(AND('Ações'!AW12="sim", 'Ações'!BI12="sim"), 1, 0)
</f>
        <v>1</v>
      </c>
      <c r="AG12" s="319">
        <f>IF(AND('Ações'!AX12="sim", 'Ações'!BD12="sim"), 1, 0)
</f>
        <v>0</v>
      </c>
      <c r="AH12" s="319">
        <f>IF(AND('Ações'!AX12="sim", 'Ações'!BE12="sim"), 1, 0)
</f>
        <v>0</v>
      </c>
      <c r="AI12" s="319">
        <f>IF(AND('Ações'!AX12="sim", 'Ações'!BF12="sim"), 1, 0)
</f>
        <v>0</v>
      </c>
      <c r="AJ12" s="319">
        <f>IF(AND('Ações'!AX12="sim", 'Ações'!BG12="sim"), 1, 0)
</f>
        <v>0</v>
      </c>
      <c r="AK12" s="319">
        <f>IF(AND('Ações'!AX12="sim", 'Ações'!BH12="sim"), 1, 0)
</f>
        <v>0</v>
      </c>
    </row>
    <row r="13">
      <c r="B13" s="319">
        <f>IF(AND('Ações'!AS13="sim", 'Ações'!BD13="sim"), 1, 0)
</f>
        <v>1</v>
      </c>
      <c r="C13" s="319">
        <f>IF(AND('Ações'!AT13="sim", 'Ações'!BE13="sim"), 1, 0)
</f>
        <v>0</v>
      </c>
      <c r="D13" s="319">
        <f>IF(AND('Ações'!AU13="sim", 'Ações'!BF13="sim"), 1, 0)
</f>
        <v>0</v>
      </c>
      <c r="E13" s="319">
        <f>IF(AND('Ações'!AV13="sim", 'Ações'!BG13="sim"), 1, 0)
</f>
        <v>0</v>
      </c>
      <c r="F13" s="319">
        <f>IF(AND('Ações'!AW13="sim", 'Ações'!BH13="sim"), 1, 0)
</f>
        <v>0</v>
      </c>
      <c r="G13" s="319">
        <f>IF(AND('Ações'!AX13="sim", 'Ações'!BI13="sim"), 1, 0)
</f>
        <v>0</v>
      </c>
      <c r="H13" s="319">
        <f>IF(AND('Ações'!AS13="sim", 'Ações'!BE13="sim"), 1, 0)
</f>
        <v>0</v>
      </c>
      <c r="I13" s="319">
        <f>IF(AND('Ações'!AS13="sim", 'Ações'!BF13="sim"), 1, 0)
</f>
        <v>0</v>
      </c>
      <c r="J13" s="319">
        <f>IF(AND('Ações'!AS13="sim", 'Ações'!BG13="sim"), 1, 0)
</f>
        <v>0</v>
      </c>
      <c r="K13" s="319">
        <f>IF(AND('Ações'!AS13="sim", 'Ações'!BH13="sim"), 1, 0)
</f>
        <v>0</v>
      </c>
      <c r="L13" s="319">
        <f>IF(AND('Ações'!AS13="sim", 'Ações'!BI13="sim"), 1, 0)
</f>
        <v>0</v>
      </c>
      <c r="M13" s="319">
        <f>IF(AND('Ações'!AT13="sim", 'Ações'!BD13="sim"), 1, 0)
</f>
        <v>1</v>
      </c>
      <c r="N13" s="319">
        <f>IF(AND('Ações'!AT13="sim", 'Ações'!BF13="sim"), 1, 0)
</f>
        <v>0</v>
      </c>
      <c r="O13" s="319">
        <f>IF(AND('Ações'!AT13="sim", 'Ações'!BG13="sim"), 1, 0)
</f>
        <v>0</v>
      </c>
      <c r="P13" s="319">
        <f>IF(AND('Ações'!AT13="sim", 'Ações'!BH13="sim"), 1, 0)
</f>
        <v>0</v>
      </c>
      <c r="Q13" s="319">
        <f>IF(AND('Ações'!AT13="sim", 'Ações'!BI13="sim"), 1, 0)
</f>
        <v>0</v>
      </c>
      <c r="R13" s="319">
        <f>IF(AND('Ações'!AU13="sim", 'Ações'!BD13="sim"), 1, 0)
</f>
        <v>1</v>
      </c>
      <c r="S13" s="319">
        <f>IF(AND('Ações'!AU13="sim", 'Ações'!BE13="sim"), 1, 0)
</f>
        <v>0</v>
      </c>
      <c r="T13" s="319">
        <f>IF(AND('Ações'!AU13="sim", 'Ações'!BG13="sim"), 1, 0)
</f>
        <v>0</v>
      </c>
      <c r="U13" s="319">
        <f>IF(AND('Ações'!AU13="sim", 'Ações'!BH13="sim"), 1, 0)
</f>
        <v>0</v>
      </c>
      <c r="V13" s="319">
        <f>IF(AND('Ações'!AU13="sim", 'Ações'!BI13="sim"), 1, 0)
</f>
        <v>0</v>
      </c>
      <c r="W13" s="319">
        <f>IF(AND('Ações'!AV13="sim", 'Ações'!BD13="sim"), 1, 0)
</f>
        <v>1</v>
      </c>
      <c r="X13" s="319">
        <f>IF(AND('Ações'!AV13="sim", 'Ações'!BE13="sim"), 1, 0)
</f>
        <v>0</v>
      </c>
      <c r="Y13" s="319">
        <f>IF(AND('Ações'!AV13="sim", 'Ações'!BF13="sim"), 1, 0)
</f>
        <v>0</v>
      </c>
      <c r="Z13" s="319">
        <f>IF(AND('Ações'!AV13="sim", 'Ações'!BH13="sim"), 1, 0)
</f>
        <v>0</v>
      </c>
      <c r="AA13" s="319">
        <f>IF(AND('Ações'!AV13="sim", 'Ações'!BI13="sim"), 1, 0)
</f>
        <v>0</v>
      </c>
      <c r="AB13" s="319">
        <f>IF(AND('Ações'!AW13="sim", 'Ações'!BD13="sim"), 1, 0)
</f>
        <v>1</v>
      </c>
      <c r="AC13" s="319">
        <f>IF(AND('Ações'!AW13="sim", 'Ações'!BE13="sim"), 1, 0)
</f>
        <v>0</v>
      </c>
      <c r="AD13" s="319">
        <f>IF(AND('Ações'!AW13="sim", 'Ações'!BF13="sim"), 1, 0)
</f>
        <v>0</v>
      </c>
      <c r="AE13" s="319">
        <f>IF(AND('Ações'!AW13="sim", 'Ações'!BG13="sim"), 1, 0)
</f>
        <v>0</v>
      </c>
      <c r="AF13" s="319">
        <f>IF(AND('Ações'!AW13="sim", 'Ações'!BI13="sim"), 1, 0)
</f>
        <v>0</v>
      </c>
      <c r="AG13" s="319">
        <f>IF(AND('Ações'!AX13="sim", 'Ações'!BD13="sim"), 1, 0)
</f>
        <v>0</v>
      </c>
      <c r="AH13" s="319">
        <f>IF(AND('Ações'!AX13="sim", 'Ações'!BE13="sim"), 1, 0)
</f>
        <v>0</v>
      </c>
      <c r="AI13" s="319">
        <f>IF(AND('Ações'!AX13="sim", 'Ações'!BF13="sim"), 1, 0)
</f>
        <v>0</v>
      </c>
      <c r="AJ13" s="319">
        <f>IF(AND('Ações'!AX13="sim", 'Ações'!BG13="sim"), 1, 0)
</f>
        <v>0</v>
      </c>
      <c r="AK13" s="319">
        <f>IF(AND('Ações'!AX13="sim", 'Ações'!BH13="sim"), 1, 0)
</f>
        <v>0</v>
      </c>
    </row>
    <row r="14">
      <c r="B14" s="319">
        <f>IF(AND('Ações'!AS14="sim", 'Ações'!BD14="sim"), 1, 0)
</f>
        <v>0</v>
      </c>
      <c r="C14" s="319">
        <f>IF(AND('Ações'!AT14="sim", 'Ações'!BE14="sim"), 1, 0)
</f>
        <v>0</v>
      </c>
      <c r="D14" s="319">
        <f>IF(AND('Ações'!AU14="sim", 'Ações'!BF14="sim"), 1, 0)
</f>
        <v>0</v>
      </c>
      <c r="E14" s="319">
        <f>IF(AND('Ações'!AV14="sim", 'Ações'!BG14="sim"), 1, 0)
</f>
        <v>0</v>
      </c>
      <c r="F14" s="319">
        <f>IF(AND('Ações'!AW14="sim", 'Ações'!BH14="sim"), 1, 0)
</f>
        <v>0</v>
      </c>
      <c r="G14" s="319">
        <f>IF(AND('Ações'!AX14="sim", 'Ações'!BI14="sim"), 1, 0)
</f>
        <v>0</v>
      </c>
      <c r="H14" s="319">
        <f>IF(AND('Ações'!AS14="sim", 'Ações'!BE14="sim"), 1, 0)
</f>
        <v>0</v>
      </c>
      <c r="I14" s="319">
        <f>IF(AND('Ações'!AS14="sim", 'Ações'!BF14="sim"), 1, 0)
</f>
        <v>0</v>
      </c>
      <c r="J14" s="319">
        <f>IF(AND('Ações'!AS14="sim", 'Ações'!BG14="sim"), 1, 0)
</f>
        <v>0</v>
      </c>
      <c r="K14" s="319">
        <f>IF(AND('Ações'!AS14="sim", 'Ações'!BH14="sim"), 1, 0)
</f>
        <v>0</v>
      </c>
      <c r="L14" s="319">
        <f>IF(AND('Ações'!AS14="sim", 'Ações'!BI14="sim"), 1, 0)
</f>
        <v>1</v>
      </c>
      <c r="M14" s="319">
        <f>IF(AND('Ações'!AT14="sim", 'Ações'!BD14="sim"), 1, 0)
</f>
        <v>0</v>
      </c>
      <c r="N14" s="319">
        <f>IF(AND('Ações'!AT14="sim", 'Ações'!BF14="sim"), 1, 0)
</f>
        <v>0</v>
      </c>
      <c r="O14" s="319">
        <f>IF(AND('Ações'!AT14="sim", 'Ações'!BG14="sim"), 1, 0)
</f>
        <v>0</v>
      </c>
      <c r="P14" s="319">
        <f>IF(AND('Ações'!AT14="sim", 'Ações'!BH14="sim"), 1, 0)
</f>
        <v>0</v>
      </c>
      <c r="Q14" s="319">
        <f>IF(AND('Ações'!AT14="sim", 'Ações'!BI14="sim"), 1, 0)
</f>
        <v>1</v>
      </c>
      <c r="R14" s="319">
        <f>IF(AND('Ações'!AU14="sim", 'Ações'!BD14="sim"), 1, 0)
</f>
        <v>0</v>
      </c>
      <c r="S14" s="319">
        <f>IF(AND('Ações'!AU14="sim", 'Ações'!BE14="sim"), 1, 0)
</f>
        <v>0</v>
      </c>
      <c r="T14" s="319">
        <f>IF(AND('Ações'!AU14="sim", 'Ações'!BG14="sim"), 1, 0)
</f>
        <v>0</v>
      </c>
      <c r="U14" s="319">
        <f>IF(AND('Ações'!AU14="sim", 'Ações'!BH14="sim"), 1, 0)
</f>
        <v>0</v>
      </c>
      <c r="V14" s="319">
        <f>IF(AND('Ações'!AU14="sim", 'Ações'!BI14="sim"), 1, 0)
</f>
        <v>1</v>
      </c>
      <c r="W14" s="319">
        <f>IF(AND('Ações'!AV14="sim", 'Ações'!BD14="sim"), 1, 0)
</f>
        <v>0</v>
      </c>
      <c r="X14" s="319">
        <f>IF(AND('Ações'!AV14="sim", 'Ações'!BE14="sim"), 1, 0)
</f>
        <v>0</v>
      </c>
      <c r="Y14" s="319">
        <f>IF(AND('Ações'!AV14="sim", 'Ações'!BF14="sim"), 1, 0)
</f>
        <v>0</v>
      </c>
      <c r="Z14" s="319">
        <f>IF(AND('Ações'!AV14="sim", 'Ações'!BH14="sim"), 1, 0)
</f>
        <v>0</v>
      </c>
      <c r="AA14" s="319">
        <f>IF(AND('Ações'!AV14="sim", 'Ações'!BI14="sim"), 1, 0)
</f>
        <v>1</v>
      </c>
      <c r="AB14" s="319">
        <f>IF(AND('Ações'!AW14="sim", 'Ações'!BD14="sim"), 1, 0)
</f>
        <v>0</v>
      </c>
      <c r="AC14" s="319">
        <f>IF(AND('Ações'!AW14="sim", 'Ações'!BE14="sim"), 1, 0)
</f>
        <v>0</v>
      </c>
      <c r="AD14" s="319">
        <f>IF(AND('Ações'!AW14="sim", 'Ações'!BF14="sim"), 1, 0)
</f>
        <v>0</v>
      </c>
      <c r="AE14" s="319">
        <f>IF(AND('Ações'!AW14="sim", 'Ações'!BG14="sim"), 1, 0)
</f>
        <v>0</v>
      </c>
      <c r="AF14" s="319">
        <f>IF(AND('Ações'!AW14="sim", 'Ações'!BI14="sim"), 1, 0)
</f>
        <v>1</v>
      </c>
      <c r="AG14" s="319">
        <f>IF(AND('Ações'!AX14="sim", 'Ações'!BD14="sim"), 1, 0)
</f>
        <v>0</v>
      </c>
      <c r="AH14" s="319">
        <f>IF(AND('Ações'!AX14="sim", 'Ações'!BE14="sim"), 1, 0)
</f>
        <v>0</v>
      </c>
      <c r="AI14" s="319">
        <f>IF(AND('Ações'!AX14="sim", 'Ações'!BF14="sim"), 1, 0)
</f>
        <v>0</v>
      </c>
      <c r="AJ14" s="319">
        <f>IF(AND('Ações'!AX14="sim", 'Ações'!BG14="sim"), 1, 0)
</f>
        <v>0</v>
      </c>
      <c r="AK14" s="319">
        <f>IF(AND('Ações'!AX14="sim", 'Ações'!BH14="sim"), 1, 0)
</f>
        <v>0</v>
      </c>
    </row>
    <row r="15">
      <c r="B15" s="319">
        <f>IF(AND('Ações'!AS15="sim", 'Ações'!BD15="sim"), 1, 0)
</f>
        <v>1</v>
      </c>
      <c r="C15" s="319">
        <f>IF(AND('Ações'!AT15="sim", 'Ações'!BE15="sim"), 1, 0)
</f>
        <v>0</v>
      </c>
      <c r="D15" s="319">
        <f>IF(AND('Ações'!AU15="sim", 'Ações'!BF15="sim"), 1, 0)
</f>
        <v>0</v>
      </c>
      <c r="E15" s="319">
        <f>IF(AND('Ações'!AV15="sim", 'Ações'!BG15="sim"), 1, 0)
</f>
        <v>0</v>
      </c>
      <c r="F15" s="319">
        <f>IF(AND('Ações'!AW15="sim", 'Ações'!BH15="sim"), 1, 0)
</f>
        <v>0</v>
      </c>
      <c r="G15" s="319">
        <f>IF(AND('Ações'!AX15="sim", 'Ações'!BI15="sim"), 1, 0)
</f>
        <v>0</v>
      </c>
      <c r="H15" s="319">
        <f>IF(AND('Ações'!AS15="sim", 'Ações'!BE15="sim"), 1, 0)
</f>
        <v>0</v>
      </c>
      <c r="I15" s="319">
        <f>IF(AND('Ações'!AS15="sim", 'Ações'!BF15="sim"), 1, 0)
</f>
        <v>0</v>
      </c>
      <c r="J15" s="319">
        <f>IF(AND('Ações'!AS15="sim", 'Ações'!BG15="sim"), 1, 0)
</f>
        <v>0</v>
      </c>
      <c r="K15" s="319">
        <f>IF(AND('Ações'!AS15="sim", 'Ações'!BH15="sim"), 1, 0)
</f>
        <v>0</v>
      </c>
      <c r="L15" s="319">
        <f>IF(AND('Ações'!AS15="sim", 'Ações'!BI15="sim"), 1, 0)
</f>
        <v>0</v>
      </c>
      <c r="M15" s="319">
        <f>IF(AND('Ações'!AT15="sim", 'Ações'!BD15="sim"), 1, 0)
</f>
        <v>1</v>
      </c>
      <c r="N15" s="319">
        <f>IF(AND('Ações'!AT15="sim", 'Ações'!BF15="sim"), 1, 0)
</f>
        <v>0</v>
      </c>
      <c r="O15" s="319">
        <f>IF(AND('Ações'!AT15="sim", 'Ações'!BG15="sim"), 1, 0)
</f>
        <v>0</v>
      </c>
      <c r="P15" s="319">
        <f>IF(AND('Ações'!AT15="sim", 'Ações'!BH15="sim"), 1, 0)
</f>
        <v>0</v>
      </c>
      <c r="Q15" s="319">
        <f>IF(AND('Ações'!AT15="sim", 'Ações'!BI15="sim"), 1, 0)
</f>
        <v>0</v>
      </c>
      <c r="R15" s="319">
        <f>IF(AND('Ações'!AU15="sim", 'Ações'!BD15="sim"), 1, 0)
</f>
        <v>1</v>
      </c>
      <c r="S15" s="319">
        <f>IF(AND('Ações'!AU15="sim", 'Ações'!BE15="sim"), 1, 0)
</f>
        <v>0</v>
      </c>
      <c r="T15" s="319">
        <f>IF(AND('Ações'!AU15="sim", 'Ações'!BG15="sim"), 1, 0)
</f>
        <v>0</v>
      </c>
      <c r="U15" s="319">
        <f>IF(AND('Ações'!AU15="sim", 'Ações'!BH15="sim"), 1, 0)
</f>
        <v>0</v>
      </c>
      <c r="V15" s="319">
        <f>IF(AND('Ações'!AU15="sim", 'Ações'!BI15="sim"), 1, 0)
</f>
        <v>0</v>
      </c>
      <c r="W15" s="319">
        <f>IF(AND('Ações'!AV15="sim", 'Ações'!BD15="sim"), 1, 0)
</f>
        <v>1</v>
      </c>
      <c r="X15" s="319">
        <f>IF(AND('Ações'!AV15="sim", 'Ações'!BE15="sim"), 1, 0)
</f>
        <v>0</v>
      </c>
      <c r="Y15" s="319">
        <f>IF(AND('Ações'!AV15="sim", 'Ações'!BF15="sim"), 1, 0)
</f>
        <v>0</v>
      </c>
      <c r="Z15" s="319">
        <f>IF(AND('Ações'!AV15="sim", 'Ações'!BH15="sim"), 1, 0)
</f>
        <v>0</v>
      </c>
      <c r="AA15" s="319">
        <f>IF(AND('Ações'!AV15="sim", 'Ações'!BI15="sim"), 1, 0)
</f>
        <v>0</v>
      </c>
      <c r="AB15" s="319">
        <f>IF(AND('Ações'!AW15="sim", 'Ações'!BD15="sim"), 1, 0)
</f>
        <v>1</v>
      </c>
      <c r="AC15" s="319">
        <f>IF(AND('Ações'!AW15="sim", 'Ações'!BE15="sim"), 1, 0)
</f>
        <v>0</v>
      </c>
      <c r="AD15" s="319">
        <f>IF(AND('Ações'!AW15="sim", 'Ações'!BF15="sim"), 1, 0)
</f>
        <v>0</v>
      </c>
      <c r="AE15" s="319">
        <f>IF(AND('Ações'!AW15="sim", 'Ações'!BG15="sim"), 1, 0)
</f>
        <v>0</v>
      </c>
      <c r="AF15" s="319">
        <f>IF(AND('Ações'!AW15="sim", 'Ações'!BI15="sim"), 1, 0)
</f>
        <v>0</v>
      </c>
      <c r="AG15" s="319">
        <f>IF(AND('Ações'!AX15="sim", 'Ações'!BD15="sim"), 1, 0)
</f>
        <v>0</v>
      </c>
      <c r="AH15" s="319">
        <f>IF(AND('Ações'!AX15="sim", 'Ações'!BE15="sim"), 1, 0)
</f>
        <v>0</v>
      </c>
      <c r="AI15" s="319">
        <f>IF(AND('Ações'!AX15="sim", 'Ações'!BF15="sim"), 1, 0)
</f>
        <v>0</v>
      </c>
      <c r="AJ15" s="319">
        <f>IF(AND('Ações'!AX15="sim", 'Ações'!BG15="sim"), 1, 0)
</f>
        <v>0</v>
      </c>
      <c r="AK15" s="319">
        <f>IF(AND('Ações'!AX15="sim", 'Ações'!BH15="sim"), 1, 0)
</f>
        <v>0</v>
      </c>
    </row>
    <row r="16">
      <c r="B16" s="319">
        <f>IF(AND('Ações'!AS16="sim", 'Ações'!BD16="sim"), 1, 0)
</f>
        <v>0</v>
      </c>
      <c r="C16" s="319">
        <f>IF(AND('Ações'!AT16="sim", 'Ações'!BE16="sim"), 1, 0)
</f>
        <v>0</v>
      </c>
      <c r="D16" s="319">
        <f>IF(AND('Ações'!AU16="sim", 'Ações'!BF16="sim"), 1, 0)
</f>
        <v>0</v>
      </c>
      <c r="E16" s="319">
        <f>IF(AND('Ações'!AV16="sim", 'Ações'!BG16="sim"), 1, 0)
</f>
        <v>0</v>
      </c>
      <c r="F16" s="319">
        <f>IF(AND('Ações'!AW16="sim", 'Ações'!BH16="sim"), 1, 0)
</f>
        <v>0</v>
      </c>
      <c r="G16" s="319">
        <f>IF(AND('Ações'!AX16="sim", 'Ações'!BI16="sim"), 1, 0)
</f>
        <v>0</v>
      </c>
      <c r="H16" s="319">
        <f>IF(AND('Ações'!AS16="sim", 'Ações'!BE16="sim"), 1, 0)
</f>
        <v>0</v>
      </c>
      <c r="I16" s="319">
        <f>IF(AND('Ações'!AS16="sim", 'Ações'!BF16="sim"), 1, 0)
</f>
        <v>0</v>
      </c>
      <c r="J16" s="319">
        <f>IF(AND('Ações'!AS16="sim", 'Ações'!BG16="sim"), 1, 0)
</f>
        <v>0</v>
      </c>
      <c r="K16" s="319">
        <f>IF(AND('Ações'!AS16="sim", 'Ações'!BH16="sim"), 1, 0)
</f>
        <v>0</v>
      </c>
      <c r="L16" s="319">
        <f>IF(AND('Ações'!AS16="sim", 'Ações'!BI16="sim"), 1, 0)
</f>
        <v>0</v>
      </c>
      <c r="M16" s="319">
        <f>IF(AND('Ações'!AT16="sim", 'Ações'!BD16="sim"), 1, 0)
</f>
        <v>0</v>
      </c>
      <c r="N16" s="319">
        <f>IF(AND('Ações'!AT16="sim", 'Ações'!BF16="sim"), 1, 0)
</f>
        <v>0</v>
      </c>
      <c r="O16" s="319">
        <f>IF(AND('Ações'!AT16="sim", 'Ações'!BG16="sim"), 1, 0)
</f>
        <v>0</v>
      </c>
      <c r="P16" s="319">
        <f>IF(AND('Ações'!AT16="sim", 'Ações'!BH16="sim"), 1, 0)
</f>
        <v>0</v>
      </c>
      <c r="Q16" s="319">
        <f>IF(AND('Ações'!AT16="sim", 'Ações'!BI16="sim"), 1, 0)
</f>
        <v>0</v>
      </c>
      <c r="R16" s="319">
        <f>IF(AND('Ações'!AU16="sim", 'Ações'!BD16="sim"), 1, 0)
</f>
        <v>0</v>
      </c>
      <c r="S16" s="319">
        <f>IF(AND('Ações'!AU16="sim", 'Ações'!BE16="sim"), 1, 0)
</f>
        <v>0</v>
      </c>
      <c r="T16" s="319">
        <f>IF(AND('Ações'!AU16="sim", 'Ações'!BG16="sim"), 1, 0)
</f>
        <v>0</v>
      </c>
      <c r="U16" s="319">
        <f>IF(AND('Ações'!AU16="sim", 'Ações'!BH16="sim"), 1, 0)
</f>
        <v>0</v>
      </c>
      <c r="V16" s="319">
        <f>IF(AND('Ações'!AU16="sim", 'Ações'!BI16="sim"), 1, 0)
</f>
        <v>0</v>
      </c>
      <c r="W16" s="319">
        <f>IF(AND('Ações'!AV16="sim", 'Ações'!BD16="sim"), 1, 0)
</f>
        <v>0</v>
      </c>
      <c r="X16" s="319">
        <f>IF(AND('Ações'!AV16="sim", 'Ações'!BE16="sim"), 1, 0)
</f>
        <v>0</v>
      </c>
      <c r="Y16" s="319">
        <f>IF(AND('Ações'!AV16="sim", 'Ações'!BF16="sim"), 1, 0)
</f>
        <v>0</v>
      </c>
      <c r="Z16" s="319">
        <f>IF(AND('Ações'!AV16="sim", 'Ações'!BH16="sim"), 1, 0)
</f>
        <v>0</v>
      </c>
      <c r="AA16" s="319">
        <f>IF(AND('Ações'!AV16="sim", 'Ações'!BI16="sim"), 1, 0)
</f>
        <v>0</v>
      </c>
      <c r="AB16" s="319">
        <f>IF(AND('Ações'!AW16="sim", 'Ações'!BD16="sim"), 1, 0)
</f>
        <v>0</v>
      </c>
      <c r="AC16" s="319">
        <f>IF(AND('Ações'!AW16="sim", 'Ações'!BE16="sim"), 1, 0)
</f>
        <v>0</v>
      </c>
      <c r="AD16" s="319">
        <f>IF(AND('Ações'!AW16="sim", 'Ações'!BF16="sim"), 1, 0)
</f>
        <v>0</v>
      </c>
      <c r="AE16" s="319">
        <f>IF(AND('Ações'!AW16="sim", 'Ações'!BG16="sim"), 1, 0)
</f>
        <v>0</v>
      </c>
      <c r="AF16" s="319">
        <f>IF(AND('Ações'!AW16="sim", 'Ações'!BI16="sim"), 1, 0)
</f>
        <v>0</v>
      </c>
      <c r="AG16" s="319">
        <f>IF(AND('Ações'!AX16="sim", 'Ações'!BD16="sim"), 1, 0)
</f>
        <v>0</v>
      </c>
      <c r="AH16" s="319">
        <f>IF(AND('Ações'!AX16="sim", 'Ações'!BE16="sim"), 1, 0)
</f>
        <v>0</v>
      </c>
      <c r="AI16" s="319">
        <f>IF(AND('Ações'!AX16="sim", 'Ações'!BF16="sim"), 1, 0)
</f>
        <v>0</v>
      </c>
      <c r="AJ16" s="319">
        <f>IF(AND('Ações'!AX16="sim", 'Ações'!BG16="sim"), 1, 0)
</f>
        <v>0</v>
      </c>
      <c r="AK16" s="319">
        <f>IF(AND('Ações'!AX16="sim", 'Ações'!BH16="sim"), 1, 0)
</f>
        <v>0</v>
      </c>
    </row>
    <row r="17">
      <c r="B17" s="319">
        <f>IF(AND('Ações'!AS17="sim", 'Ações'!BD17="sim"), 1, 0)
</f>
        <v>0</v>
      </c>
      <c r="C17" s="319">
        <f>IF(AND('Ações'!AT17="sim", 'Ações'!BE17="sim"), 1, 0)
</f>
        <v>0</v>
      </c>
      <c r="D17" s="319">
        <f>IF(AND('Ações'!AU17="sim", 'Ações'!BF17="sim"), 1, 0)
</f>
        <v>0</v>
      </c>
      <c r="E17" s="319">
        <f>IF(AND('Ações'!AV17="sim", 'Ações'!BG17="sim"), 1, 0)
</f>
        <v>0</v>
      </c>
      <c r="F17" s="319">
        <f>IF(AND('Ações'!AW17="sim", 'Ações'!BH17="sim"), 1, 0)
</f>
        <v>0</v>
      </c>
      <c r="G17" s="319">
        <f>IF(AND('Ações'!AX17="sim", 'Ações'!BI17="sim"), 1, 0)
</f>
        <v>0</v>
      </c>
      <c r="H17" s="319">
        <f>IF(AND('Ações'!AS17="sim", 'Ações'!BE17="sim"), 1, 0)
</f>
        <v>0</v>
      </c>
      <c r="I17" s="319">
        <f>IF(AND('Ações'!AS17="sim", 'Ações'!BF17="sim"), 1, 0)
</f>
        <v>0</v>
      </c>
      <c r="J17" s="319">
        <f>IF(AND('Ações'!AS17="sim", 'Ações'!BG17="sim"), 1, 0)
</f>
        <v>0</v>
      </c>
      <c r="K17" s="319">
        <f>IF(AND('Ações'!AS17="sim", 'Ações'!BH17="sim"), 1, 0)
</f>
        <v>0</v>
      </c>
      <c r="L17" s="319">
        <f>IF(AND('Ações'!AS17="sim", 'Ações'!BI17="sim"), 1, 0)
</f>
        <v>1</v>
      </c>
      <c r="M17" s="319">
        <f>IF(AND('Ações'!AT17="sim", 'Ações'!BD17="sim"), 1, 0)
</f>
        <v>0</v>
      </c>
      <c r="N17" s="319">
        <f>IF(AND('Ações'!AT17="sim", 'Ações'!BF17="sim"), 1, 0)
</f>
        <v>0</v>
      </c>
      <c r="O17" s="319">
        <f>IF(AND('Ações'!AT17="sim", 'Ações'!BG17="sim"), 1, 0)
</f>
        <v>0</v>
      </c>
      <c r="P17" s="319">
        <f>IF(AND('Ações'!AT17="sim", 'Ações'!BH17="sim"), 1, 0)
</f>
        <v>0</v>
      </c>
      <c r="Q17" s="319">
        <f>IF(AND('Ações'!AT17="sim", 'Ações'!BI17="sim"), 1, 0)
</f>
        <v>1</v>
      </c>
      <c r="R17" s="319">
        <f>IF(AND('Ações'!AU17="sim", 'Ações'!BD17="sim"), 1, 0)
</f>
        <v>0</v>
      </c>
      <c r="S17" s="319">
        <f>IF(AND('Ações'!AU17="sim", 'Ações'!BE17="sim"), 1, 0)
</f>
        <v>0</v>
      </c>
      <c r="T17" s="319">
        <f>IF(AND('Ações'!AU17="sim", 'Ações'!BG17="sim"), 1, 0)
</f>
        <v>0</v>
      </c>
      <c r="U17" s="319">
        <f>IF(AND('Ações'!AU17="sim", 'Ações'!BH17="sim"), 1, 0)
</f>
        <v>0</v>
      </c>
      <c r="V17" s="319">
        <f>IF(AND('Ações'!AU17="sim", 'Ações'!BI17="sim"), 1, 0)
</f>
        <v>1</v>
      </c>
      <c r="W17" s="319">
        <f>IF(AND('Ações'!AV17="sim", 'Ações'!BD17="sim"), 1, 0)
</f>
        <v>0</v>
      </c>
      <c r="X17" s="319">
        <f>IF(AND('Ações'!AV17="sim", 'Ações'!BE17="sim"), 1, 0)
</f>
        <v>0</v>
      </c>
      <c r="Y17" s="319">
        <f>IF(AND('Ações'!AV17="sim", 'Ações'!BF17="sim"), 1, 0)
</f>
        <v>0</v>
      </c>
      <c r="Z17" s="319">
        <f>IF(AND('Ações'!AV17="sim", 'Ações'!BH17="sim"), 1, 0)
</f>
        <v>0</v>
      </c>
      <c r="AA17" s="319">
        <f>IF(AND('Ações'!AV17="sim", 'Ações'!BI17="sim"), 1, 0)
</f>
        <v>1</v>
      </c>
      <c r="AB17" s="319">
        <f>IF(AND('Ações'!AW17="sim", 'Ações'!BD17="sim"), 1, 0)
</f>
        <v>0</v>
      </c>
      <c r="AC17" s="319">
        <f>IF(AND('Ações'!AW17="sim", 'Ações'!BE17="sim"), 1, 0)
</f>
        <v>0</v>
      </c>
      <c r="AD17" s="319">
        <f>IF(AND('Ações'!AW17="sim", 'Ações'!BF17="sim"), 1, 0)
</f>
        <v>0</v>
      </c>
      <c r="AE17" s="319">
        <f>IF(AND('Ações'!AW17="sim", 'Ações'!BG17="sim"), 1, 0)
</f>
        <v>0</v>
      </c>
      <c r="AF17" s="319">
        <f>IF(AND('Ações'!AW17="sim", 'Ações'!BI17="sim"), 1, 0)
</f>
        <v>1</v>
      </c>
      <c r="AG17" s="319">
        <f>IF(AND('Ações'!AX17="sim", 'Ações'!BD17="sim"), 1, 0)
</f>
        <v>0</v>
      </c>
      <c r="AH17" s="319">
        <f>IF(AND('Ações'!AX17="sim", 'Ações'!BE17="sim"), 1, 0)
</f>
        <v>0</v>
      </c>
      <c r="AI17" s="319">
        <f>IF(AND('Ações'!AX17="sim", 'Ações'!BF17="sim"), 1, 0)
</f>
        <v>0</v>
      </c>
      <c r="AJ17" s="319">
        <f>IF(AND('Ações'!AX17="sim", 'Ações'!BG17="sim"), 1, 0)
</f>
        <v>0</v>
      </c>
      <c r="AK17" s="319">
        <f>IF(AND('Ações'!AX17="sim", 'Ações'!BH17="sim"), 1, 0)
</f>
        <v>0</v>
      </c>
    </row>
    <row r="18">
      <c r="B18" s="319">
        <f>IF(AND('Ações'!AS18="sim", 'Ações'!BD18="sim"), 1, 0)
</f>
        <v>0</v>
      </c>
      <c r="C18" s="319">
        <f>IF(AND('Ações'!AT18="sim", 'Ações'!BE18="sim"), 1, 0)
</f>
        <v>0</v>
      </c>
      <c r="D18" s="319">
        <f>IF(AND('Ações'!AU18="sim", 'Ações'!BF18="sim"), 1, 0)
</f>
        <v>0</v>
      </c>
      <c r="E18" s="319">
        <f>IF(AND('Ações'!AV18="sim", 'Ações'!BG18="sim"), 1, 0)
</f>
        <v>0</v>
      </c>
      <c r="F18" s="319">
        <f>IF(AND('Ações'!AW18="sim", 'Ações'!BH18="sim"), 1, 0)
</f>
        <v>0</v>
      </c>
      <c r="G18" s="319">
        <f>IF(AND('Ações'!AX18="sim", 'Ações'!BI18="sim"), 1, 0)
</f>
        <v>0</v>
      </c>
      <c r="H18" s="319">
        <f>IF(AND('Ações'!AS18="sim", 'Ações'!BE18="sim"), 1, 0)
</f>
        <v>0</v>
      </c>
      <c r="I18" s="319">
        <f>IF(AND('Ações'!AS18="sim", 'Ações'!BF18="sim"), 1, 0)
</f>
        <v>0</v>
      </c>
      <c r="J18" s="319">
        <f>IF(AND('Ações'!AS18="sim", 'Ações'!BG18="sim"), 1, 0)
</f>
        <v>0</v>
      </c>
      <c r="K18" s="319">
        <f>IF(AND('Ações'!AS18="sim", 'Ações'!BH18="sim"), 1, 0)
</f>
        <v>0</v>
      </c>
      <c r="L18" s="319">
        <f>IF(AND('Ações'!AS18="sim", 'Ações'!BI18="sim"), 1, 0)
</f>
        <v>1</v>
      </c>
      <c r="M18" s="319">
        <f>IF(AND('Ações'!AT18="sim", 'Ações'!BD18="sim"), 1, 0)
</f>
        <v>0</v>
      </c>
      <c r="N18" s="319">
        <f>IF(AND('Ações'!AT18="sim", 'Ações'!BF18="sim"), 1, 0)
</f>
        <v>0</v>
      </c>
      <c r="O18" s="319">
        <f>IF(AND('Ações'!AT18="sim", 'Ações'!BG18="sim"), 1, 0)
</f>
        <v>0</v>
      </c>
      <c r="P18" s="319">
        <f>IF(AND('Ações'!AT18="sim", 'Ações'!BH18="sim"), 1, 0)
</f>
        <v>0</v>
      </c>
      <c r="Q18" s="319">
        <f>IF(AND('Ações'!AT18="sim", 'Ações'!BI18="sim"), 1, 0)
</f>
        <v>1</v>
      </c>
      <c r="R18" s="319">
        <f>IF(AND('Ações'!AU18="sim", 'Ações'!BD18="sim"), 1, 0)
</f>
        <v>0</v>
      </c>
      <c r="S18" s="319">
        <f>IF(AND('Ações'!AU18="sim", 'Ações'!BE18="sim"), 1, 0)
</f>
        <v>0</v>
      </c>
      <c r="T18" s="319">
        <f>IF(AND('Ações'!AU18="sim", 'Ações'!BG18="sim"), 1, 0)
</f>
        <v>0</v>
      </c>
      <c r="U18" s="319">
        <f>IF(AND('Ações'!AU18="sim", 'Ações'!BH18="sim"), 1, 0)
</f>
        <v>0</v>
      </c>
      <c r="V18" s="319">
        <f>IF(AND('Ações'!AU18="sim", 'Ações'!BI18="sim"), 1, 0)
</f>
        <v>1</v>
      </c>
      <c r="W18" s="319">
        <f>IF(AND('Ações'!AV18="sim", 'Ações'!BD18="sim"), 1, 0)
</f>
        <v>0</v>
      </c>
      <c r="X18" s="319">
        <f>IF(AND('Ações'!AV18="sim", 'Ações'!BE18="sim"), 1, 0)
</f>
        <v>0</v>
      </c>
      <c r="Y18" s="319">
        <f>IF(AND('Ações'!AV18="sim", 'Ações'!BF18="sim"), 1, 0)
</f>
        <v>0</v>
      </c>
      <c r="Z18" s="319">
        <f>IF(AND('Ações'!AV18="sim", 'Ações'!BH18="sim"), 1, 0)
</f>
        <v>0</v>
      </c>
      <c r="AA18" s="319">
        <f>IF(AND('Ações'!AV18="sim", 'Ações'!BI18="sim"), 1, 0)
</f>
        <v>1</v>
      </c>
      <c r="AB18" s="319">
        <f>IF(AND('Ações'!AW18="sim", 'Ações'!BD18="sim"), 1, 0)
</f>
        <v>0</v>
      </c>
      <c r="AC18" s="319">
        <f>IF(AND('Ações'!AW18="sim", 'Ações'!BE18="sim"), 1, 0)
</f>
        <v>0</v>
      </c>
      <c r="AD18" s="319">
        <f>IF(AND('Ações'!AW18="sim", 'Ações'!BF18="sim"), 1, 0)
</f>
        <v>0</v>
      </c>
      <c r="AE18" s="319">
        <f>IF(AND('Ações'!AW18="sim", 'Ações'!BG18="sim"), 1, 0)
</f>
        <v>0</v>
      </c>
      <c r="AF18" s="319">
        <f>IF(AND('Ações'!AW18="sim", 'Ações'!BI18="sim"), 1, 0)
</f>
        <v>1</v>
      </c>
      <c r="AG18" s="319">
        <f>IF(AND('Ações'!AX18="sim", 'Ações'!BD18="sim"), 1, 0)
</f>
        <v>0</v>
      </c>
      <c r="AH18" s="319">
        <f>IF(AND('Ações'!AX18="sim", 'Ações'!BE18="sim"), 1, 0)
</f>
        <v>0</v>
      </c>
      <c r="AI18" s="319">
        <f>IF(AND('Ações'!AX18="sim", 'Ações'!BF18="sim"), 1, 0)
</f>
        <v>0</v>
      </c>
      <c r="AJ18" s="319">
        <f>IF(AND('Ações'!AX18="sim", 'Ações'!BG18="sim"), 1, 0)
</f>
        <v>0</v>
      </c>
      <c r="AK18" s="319">
        <f>IF(AND('Ações'!AX18="sim", 'Ações'!BH18="sim"), 1, 0)
</f>
        <v>0</v>
      </c>
    </row>
    <row r="19">
      <c r="B19" s="319">
        <f>IF(AND('Ações'!AS19="sim", 'Ações'!BD19="sim"), 1, 0)
</f>
        <v>0</v>
      </c>
      <c r="C19" s="319">
        <f>IF(AND('Ações'!AT19="sim", 'Ações'!BE19="sim"), 1, 0)
</f>
        <v>0</v>
      </c>
      <c r="D19" s="319">
        <f>IF(AND('Ações'!AU19="sim", 'Ações'!BF19="sim"), 1, 0)
</f>
        <v>0</v>
      </c>
      <c r="E19" s="319">
        <f>IF(AND('Ações'!AV19="sim", 'Ações'!BG19="sim"), 1, 0)
</f>
        <v>0</v>
      </c>
      <c r="F19" s="319">
        <f>IF(AND('Ações'!AW19="sim", 'Ações'!BH19="sim"), 1, 0)
</f>
        <v>0</v>
      </c>
      <c r="G19" s="319">
        <f>IF(AND('Ações'!AX19="sim", 'Ações'!BI19="sim"), 1, 0)
</f>
        <v>0</v>
      </c>
      <c r="H19" s="319">
        <f>IF(AND('Ações'!AS19="sim", 'Ações'!BE19="sim"), 1, 0)
</f>
        <v>0</v>
      </c>
      <c r="I19" s="319">
        <f>IF(AND('Ações'!AS19="sim", 'Ações'!BF19="sim"), 1, 0)
</f>
        <v>0</v>
      </c>
      <c r="J19" s="319">
        <f>IF(AND('Ações'!AS19="sim", 'Ações'!BG19="sim"), 1, 0)
</f>
        <v>0</v>
      </c>
      <c r="K19" s="319">
        <f>IF(AND('Ações'!AS19="sim", 'Ações'!BH19="sim"), 1, 0)
</f>
        <v>0</v>
      </c>
      <c r="L19" s="319">
        <f>IF(AND('Ações'!AS19="sim", 'Ações'!BI19="sim"), 1, 0)
</f>
        <v>1</v>
      </c>
      <c r="M19" s="319">
        <f>IF(AND('Ações'!AT19="sim", 'Ações'!BD19="sim"), 1, 0)
</f>
        <v>0</v>
      </c>
      <c r="N19" s="319">
        <f>IF(AND('Ações'!AT19="sim", 'Ações'!BF19="sim"), 1, 0)
</f>
        <v>0</v>
      </c>
      <c r="O19" s="319">
        <f>IF(AND('Ações'!AT19="sim", 'Ações'!BG19="sim"), 1, 0)
</f>
        <v>0</v>
      </c>
      <c r="P19" s="319">
        <f>IF(AND('Ações'!AT19="sim", 'Ações'!BH19="sim"), 1, 0)
</f>
        <v>0</v>
      </c>
      <c r="Q19" s="319">
        <f>IF(AND('Ações'!AT19="sim", 'Ações'!BI19="sim"), 1, 0)
</f>
        <v>1</v>
      </c>
      <c r="R19" s="319">
        <f>IF(AND('Ações'!AU19="sim", 'Ações'!BD19="sim"), 1, 0)
</f>
        <v>0</v>
      </c>
      <c r="S19" s="319">
        <f>IF(AND('Ações'!AU19="sim", 'Ações'!BE19="sim"), 1, 0)
</f>
        <v>0</v>
      </c>
      <c r="T19" s="319">
        <f>IF(AND('Ações'!AU19="sim", 'Ações'!BG19="sim"), 1, 0)
</f>
        <v>0</v>
      </c>
      <c r="U19" s="319">
        <f>IF(AND('Ações'!AU19="sim", 'Ações'!BH19="sim"), 1, 0)
</f>
        <v>0</v>
      </c>
      <c r="V19" s="319">
        <f>IF(AND('Ações'!AU19="sim", 'Ações'!BI19="sim"), 1, 0)
</f>
        <v>1</v>
      </c>
      <c r="W19" s="319">
        <f>IF(AND('Ações'!AV19="sim", 'Ações'!BD19="sim"), 1, 0)
</f>
        <v>0</v>
      </c>
      <c r="X19" s="319">
        <f>IF(AND('Ações'!AV19="sim", 'Ações'!BE19="sim"), 1, 0)
</f>
        <v>0</v>
      </c>
      <c r="Y19" s="319">
        <f>IF(AND('Ações'!AV19="sim", 'Ações'!BF19="sim"), 1, 0)
</f>
        <v>0</v>
      </c>
      <c r="Z19" s="319">
        <f>IF(AND('Ações'!AV19="sim", 'Ações'!BH19="sim"), 1, 0)
</f>
        <v>0</v>
      </c>
      <c r="AA19" s="319">
        <f>IF(AND('Ações'!AV19="sim", 'Ações'!BI19="sim"), 1, 0)
</f>
        <v>1</v>
      </c>
      <c r="AB19" s="319">
        <f>IF(AND('Ações'!AW19="sim", 'Ações'!BD19="sim"), 1, 0)
</f>
        <v>0</v>
      </c>
      <c r="AC19" s="319">
        <f>IF(AND('Ações'!AW19="sim", 'Ações'!BE19="sim"), 1, 0)
</f>
        <v>0</v>
      </c>
      <c r="AD19" s="319">
        <f>IF(AND('Ações'!AW19="sim", 'Ações'!BF19="sim"), 1, 0)
</f>
        <v>0</v>
      </c>
      <c r="AE19" s="319">
        <f>IF(AND('Ações'!AW19="sim", 'Ações'!BG19="sim"), 1, 0)
</f>
        <v>0</v>
      </c>
      <c r="AF19" s="319">
        <f>IF(AND('Ações'!AW19="sim", 'Ações'!BI19="sim"), 1, 0)
</f>
        <v>1</v>
      </c>
      <c r="AG19" s="319">
        <f>IF(AND('Ações'!AX19="sim", 'Ações'!BD19="sim"), 1, 0)
</f>
        <v>0</v>
      </c>
      <c r="AH19" s="319">
        <f>IF(AND('Ações'!AX19="sim", 'Ações'!BE19="sim"), 1, 0)
</f>
        <v>0</v>
      </c>
      <c r="AI19" s="319">
        <f>IF(AND('Ações'!AX19="sim", 'Ações'!BF19="sim"), 1, 0)
</f>
        <v>0</v>
      </c>
      <c r="AJ19" s="319">
        <f>IF(AND('Ações'!AX19="sim", 'Ações'!BG19="sim"), 1, 0)
</f>
        <v>0</v>
      </c>
      <c r="AK19" s="319">
        <f>IF(AND('Ações'!AX19="sim", 'Ações'!BH19="sim"), 1, 0)
</f>
        <v>0</v>
      </c>
    </row>
    <row r="20">
      <c r="B20" s="319">
        <f>IF(AND('Ações'!AS20="sim", 'Ações'!BD20="sim"), 1, 0)
</f>
        <v>1</v>
      </c>
      <c r="C20" s="319">
        <f>IF(AND('Ações'!AT20="sim", 'Ações'!BE20="sim"), 1, 0)
</f>
        <v>0</v>
      </c>
      <c r="D20" s="319">
        <f>IF(AND('Ações'!AU20="sim", 'Ações'!BF20="sim"), 1, 0)
</f>
        <v>0</v>
      </c>
      <c r="E20" s="319">
        <f>IF(AND('Ações'!AV20="sim", 'Ações'!BG20="sim"), 1, 0)
</f>
        <v>0</v>
      </c>
      <c r="F20" s="319">
        <f>IF(AND('Ações'!AW20="sim", 'Ações'!BH20="sim"), 1, 0)
</f>
        <v>0</v>
      </c>
      <c r="G20" s="319">
        <f>IF(AND('Ações'!AX20="sim", 'Ações'!BI20="sim"), 1, 0)
</f>
        <v>0</v>
      </c>
      <c r="H20" s="319">
        <f>IF(AND('Ações'!AS20="sim", 'Ações'!BE20="sim"), 1, 0)
</f>
        <v>0</v>
      </c>
      <c r="I20" s="319">
        <f>IF(AND('Ações'!AS20="sim", 'Ações'!BF20="sim"), 1, 0)
</f>
        <v>0</v>
      </c>
      <c r="J20" s="319">
        <f>IF(AND('Ações'!AS20="sim", 'Ações'!BG20="sim"), 1, 0)
</f>
        <v>0</v>
      </c>
      <c r="K20" s="319">
        <f>IF(AND('Ações'!AS20="sim", 'Ações'!BH20="sim"), 1, 0)
</f>
        <v>0</v>
      </c>
      <c r="L20" s="319">
        <f>IF(AND('Ações'!AS20="sim", 'Ações'!BI20="sim"), 1, 0)
</f>
        <v>0</v>
      </c>
      <c r="M20" s="319">
        <f>IF(AND('Ações'!AT20="sim", 'Ações'!BD20="sim"), 1, 0)
</f>
        <v>1</v>
      </c>
      <c r="N20" s="319">
        <f>IF(AND('Ações'!AT20="sim", 'Ações'!BF20="sim"), 1, 0)
</f>
        <v>0</v>
      </c>
      <c r="O20" s="319">
        <f>IF(AND('Ações'!AT20="sim", 'Ações'!BG20="sim"), 1, 0)
</f>
        <v>0</v>
      </c>
      <c r="P20" s="319">
        <f>IF(AND('Ações'!AT20="sim", 'Ações'!BH20="sim"), 1, 0)
</f>
        <v>0</v>
      </c>
      <c r="Q20" s="319">
        <f>IF(AND('Ações'!AT20="sim", 'Ações'!BI20="sim"), 1, 0)
</f>
        <v>0</v>
      </c>
      <c r="R20" s="319">
        <f>IF(AND('Ações'!AU20="sim", 'Ações'!BD20="sim"), 1, 0)
</f>
        <v>1</v>
      </c>
      <c r="S20" s="319">
        <f>IF(AND('Ações'!AU20="sim", 'Ações'!BE20="sim"), 1, 0)
</f>
        <v>0</v>
      </c>
      <c r="T20" s="319">
        <f>IF(AND('Ações'!AU20="sim", 'Ações'!BG20="sim"), 1, 0)
</f>
        <v>0</v>
      </c>
      <c r="U20" s="319">
        <f>IF(AND('Ações'!AU20="sim", 'Ações'!BH20="sim"), 1, 0)
</f>
        <v>0</v>
      </c>
      <c r="V20" s="319">
        <f>IF(AND('Ações'!AU20="sim", 'Ações'!BI20="sim"), 1, 0)
</f>
        <v>0</v>
      </c>
      <c r="W20" s="319">
        <f>IF(AND('Ações'!AV20="sim", 'Ações'!BD20="sim"), 1, 0)
</f>
        <v>1</v>
      </c>
      <c r="X20" s="319">
        <f>IF(AND('Ações'!AV20="sim", 'Ações'!BE20="sim"), 1, 0)
</f>
        <v>0</v>
      </c>
      <c r="Y20" s="319">
        <f>IF(AND('Ações'!AV20="sim", 'Ações'!BF20="sim"), 1, 0)
</f>
        <v>0</v>
      </c>
      <c r="Z20" s="319">
        <f>IF(AND('Ações'!AV20="sim", 'Ações'!BH20="sim"), 1, 0)
</f>
        <v>0</v>
      </c>
      <c r="AA20" s="319">
        <f>IF(AND('Ações'!AV20="sim", 'Ações'!BI20="sim"), 1, 0)
</f>
        <v>0</v>
      </c>
      <c r="AB20" s="319">
        <f>IF(AND('Ações'!AW20="sim", 'Ações'!BD20="sim"), 1, 0)
</f>
        <v>1</v>
      </c>
      <c r="AC20" s="319">
        <f>IF(AND('Ações'!AW20="sim", 'Ações'!BE20="sim"), 1, 0)
</f>
        <v>0</v>
      </c>
      <c r="AD20" s="319">
        <f>IF(AND('Ações'!AW20="sim", 'Ações'!BF20="sim"), 1, 0)
</f>
        <v>0</v>
      </c>
      <c r="AE20" s="319">
        <f>IF(AND('Ações'!AW20="sim", 'Ações'!BG20="sim"), 1, 0)
</f>
        <v>0</v>
      </c>
      <c r="AF20" s="319">
        <f>IF(AND('Ações'!AW20="sim", 'Ações'!BI20="sim"), 1, 0)
</f>
        <v>0</v>
      </c>
      <c r="AG20" s="319">
        <f>IF(AND('Ações'!AX20="sim", 'Ações'!BD20="sim"), 1, 0)
</f>
        <v>0</v>
      </c>
      <c r="AH20" s="319">
        <f>IF(AND('Ações'!AX20="sim", 'Ações'!BE20="sim"), 1, 0)
</f>
        <v>0</v>
      </c>
      <c r="AI20" s="319">
        <f>IF(AND('Ações'!AX20="sim", 'Ações'!BF20="sim"), 1, 0)
</f>
        <v>0</v>
      </c>
      <c r="AJ20" s="319">
        <f>IF(AND('Ações'!AX20="sim", 'Ações'!BG20="sim"), 1, 0)
</f>
        <v>0</v>
      </c>
      <c r="AK20" s="319">
        <f>IF(AND('Ações'!AX20="sim", 'Ações'!BH20="sim"), 1, 0)
</f>
        <v>0</v>
      </c>
    </row>
    <row r="21">
      <c r="B21" s="319">
        <f>IF(AND('Ações'!AS21="sim", 'Ações'!BD21="sim"), 1, 0)
</f>
        <v>1</v>
      </c>
      <c r="C21" s="319">
        <f>IF(AND('Ações'!AT21="sim", 'Ações'!BE21="sim"), 1, 0)
</f>
        <v>0</v>
      </c>
      <c r="D21" s="319">
        <f>IF(AND('Ações'!AU21="sim", 'Ações'!BF21="sim"), 1, 0)
</f>
        <v>0</v>
      </c>
      <c r="E21" s="319">
        <f>IF(AND('Ações'!AV21="sim", 'Ações'!BG21="sim"), 1, 0)
</f>
        <v>0</v>
      </c>
      <c r="F21" s="319">
        <f>IF(AND('Ações'!AW21="sim", 'Ações'!BH21="sim"), 1, 0)
</f>
        <v>0</v>
      </c>
      <c r="G21" s="319">
        <f>IF(AND('Ações'!AX21="sim", 'Ações'!BI21="sim"), 1, 0)
</f>
        <v>0</v>
      </c>
      <c r="H21" s="319">
        <f>IF(AND('Ações'!AS21="sim", 'Ações'!BE21="sim"), 1, 0)
</f>
        <v>0</v>
      </c>
      <c r="I21" s="319">
        <f>IF(AND('Ações'!AS21="sim", 'Ações'!BF21="sim"), 1, 0)
</f>
        <v>0</v>
      </c>
      <c r="J21" s="319">
        <f>IF(AND('Ações'!AS21="sim", 'Ações'!BG21="sim"), 1, 0)
</f>
        <v>0</v>
      </c>
      <c r="K21" s="319">
        <f>IF(AND('Ações'!AS21="sim", 'Ações'!BH21="sim"), 1, 0)
</f>
        <v>0</v>
      </c>
      <c r="L21" s="319">
        <f>IF(AND('Ações'!AS21="sim", 'Ações'!BI21="sim"), 1, 0)
</f>
        <v>0</v>
      </c>
      <c r="M21" s="319">
        <f>IF(AND('Ações'!AT21="sim", 'Ações'!BD21="sim"), 1, 0)
</f>
        <v>1</v>
      </c>
      <c r="N21" s="319">
        <f>IF(AND('Ações'!AT21="sim", 'Ações'!BF21="sim"), 1, 0)
</f>
        <v>0</v>
      </c>
      <c r="O21" s="319">
        <f>IF(AND('Ações'!AT21="sim", 'Ações'!BG21="sim"), 1, 0)
</f>
        <v>0</v>
      </c>
      <c r="P21" s="319">
        <f>IF(AND('Ações'!AT21="sim", 'Ações'!BH21="sim"), 1, 0)
</f>
        <v>0</v>
      </c>
      <c r="Q21" s="319">
        <f>IF(AND('Ações'!AT21="sim", 'Ações'!BI21="sim"), 1, 0)
</f>
        <v>0</v>
      </c>
      <c r="R21" s="319">
        <f>IF(AND('Ações'!AU21="sim", 'Ações'!BD21="sim"), 1, 0)
</f>
        <v>1</v>
      </c>
      <c r="S21" s="319">
        <f>IF(AND('Ações'!AU21="sim", 'Ações'!BE21="sim"), 1, 0)
</f>
        <v>0</v>
      </c>
      <c r="T21" s="319">
        <f>IF(AND('Ações'!AU21="sim", 'Ações'!BG21="sim"), 1, 0)
</f>
        <v>0</v>
      </c>
      <c r="U21" s="319">
        <f>IF(AND('Ações'!AU21="sim", 'Ações'!BH21="sim"), 1, 0)
</f>
        <v>0</v>
      </c>
      <c r="V21" s="319">
        <f>IF(AND('Ações'!AU21="sim", 'Ações'!BI21="sim"), 1, 0)
</f>
        <v>0</v>
      </c>
      <c r="W21" s="319">
        <f>IF(AND('Ações'!AV21="sim", 'Ações'!BD21="sim"), 1, 0)
</f>
        <v>1</v>
      </c>
      <c r="X21" s="319">
        <f>IF(AND('Ações'!AV21="sim", 'Ações'!BE21="sim"), 1, 0)
</f>
        <v>0</v>
      </c>
      <c r="Y21" s="319">
        <f>IF(AND('Ações'!AV21="sim", 'Ações'!BF21="sim"), 1, 0)
</f>
        <v>0</v>
      </c>
      <c r="Z21" s="319">
        <f>IF(AND('Ações'!AV21="sim", 'Ações'!BH21="sim"), 1, 0)
</f>
        <v>0</v>
      </c>
      <c r="AA21" s="319">
        <f>IF(AND('Ações'!AV21="sim", 'Ações'!BI21="sim"), 1, 0)
</f>
        <v>0</v>
      </c>
      <c r="AB21" s="319">
        <f>IF(AND('Ações'!AW21="sim", 'Ações'!BD21="sim"), 1, 0)
</f>
        <v>1</v>
      </c>
      <c r="AC21" s="319">
        <f>IF(AND('Ações'!AW21="sim", 'Ações'!BE21="sim"), 1, 0)
</f>
        <v>0</v>
      </c>
      <c r="AD21" s="319">
        <f>IF(AND('Ações'!AW21="sim", 'Ações'!BF21="sim"), 1, 0)
</f>
        <v>0</v>
      </c>
      <c r="AE21" s="319">
        <f>IF(AND('Ações'!AW21="sim", 'Ações'!BG21="sim"), 1, 0)
</f>
        <v>0</v>
      </c>
      <c r="AF21" s="319">
        <f>IF(AND('Ações'!AW21="sim", 'Ações'!BI21="sim"), 1, 0)
</f>
        <v>0</v>
      </c>
      <c r="AG21" s="319">
        <f>IF(AND('Ações'!AX21="sim", 'Ações'!BD21="sim"), 1, 0)
</f>
        <v>0</v>
      </c>
      <c r="AH21" s="319">
        <f>IF(AND('Ações'!AX21="sim", 'Ações'!BE21="sim"), 1, 0)
</f>
        <v>0</v>
      </c>
      <c r="AI21" s="319">
        <f>IF(AND('Ações'!AX21="sim", 'Ações'!BF21="sim"), 1, 0)
</f>
        <v>0</v>
      </c>
      <c r="AJ21" s="319">
        <f>IF(AND('Ações'!AX21="sim", 'Ações'!BG21="sim"), 1, 0)
</f>
        <v>0</v>
      </c>
      <c r="AK21" s="319">
        <f>IF(AND('Ações'!AX21="sim", 'Ações'!BH21="sim"), 1, 0)
</f>
        <v>0</v>
      </c>
    </row>
    <row r="22">
      <c r="B22" s="319">
        <f>IF(AND('Ações'!AS22="sim", 'Ações'!BD22="sim"), 1, 0)
</f>
        <v>1</v>
      </c>
      <c r="C22" s="319">
        <f>IF(AND('Ações'!AT22="sim", 'Ações'!BE22="sim"), 1, 0)
</f>
        <v>0</v>
      </c>
      <c r="D22" s="319">
        <f>IF(AND('Ações'!AU22="sim", 'Ações'!BF22="sim"), 1, 0)
</f>
        <v>0</v>
      </c>
      <c r="E22" s="319">
        <f>IF(AND('Ações'!AV22="sim", 'Ações'!BG22="sim"), 1, 0)
</f>
        <v>0</v>
      </c>
      <c r="F22" s="319">
        <f>IF(AND('Ações'!AW22="sim", 'Ações'!BH22="sim"), 1, 0)
</f>
        <v>0</v>
      </c>
      <c r="G22" s="319">
        <f>IF(AND('Ações'!AX22="sim", 'Ações'!BI22="sim"), 1, 0)
</f>
        <v>0</v>
      </c>
      <c r="H22" s="319">
        <f>IF(AND('Ações'!AS22="sim", 'Ações'!BE22="sim"), 1, 0)
</f>
        <v>0</v>
      </c>
      <c r="I22" s="319">
        <f>IF(AND('Ações'!AS22="sim", 'Ações'!BF22="sim"), 1, 0)
</f>
        <v>0</v>
      </c>
      <c r="J22" s="319">
        <f>IF(AND('Ações'!AS22="sim", 'Ações'!BG22="sim"), 1, 0)
</f>
        <v>0</v>
      </c>
      <c r="K22" s="319">
        <f>IF(AND('Ações'!AS22="sim", 'Ações'!BH22="sim"), 1, 0)
</f>
        <v>0</v>
      </c>
      <c r="L22" s="319">
        <f>IF(AND('Ações'!AS22="sim", 'Ações'!BI22="sim"), 1, 0)
</f>
        <v>0</v>
      </c>
      <c r="M22" s="319">
        <f>IF(AND('Ações'!AT22="sim", 'Ações'!BD22="sim"), 1, 0)
</f>
        <v>1</v>
      </c>
      <c r="N22" s="319">
        <f>IF(AND('Ações'!AT22="sim", 'Ações'!BF22="sim"), 1, 0)
</f>
        <v>0</v>
      </c>
      <c r="O22" s="319">
        <f>IF(AND('Ações'!AT22="sim", 'Ações'!BG22="sim"), 1, 0)
</f>
        <v>0</v>
      </c>
      <c r="P22" s="319">
        <f>IF(AND('Ações'!AT22="sim", 'Ações'!BH22="sim"), 1, 0)
</f>
        <v>0</v>
      </c>
      <c r="Q22" s="319">
        <f>IF(AND('Ações'!AT22="sim", 'Ações'!BI22="sim"), 1, 0)
</f>
        <v>0</v>
      </c>
      <c r="R22" s="319">
        <f>IF(AND('Ações'!AU22="sim", 'Ações'!BD22="sim"), 1, 0)
</f>
        <v>1</v>
      </c>
      <c r="S22" s="319">
        <f>IF(AND('Ações'!AU22="sim", 'Ações'!BE22="sim"), 1, 0)
</f>
        <v>0</v>
      </c>
      <c r="T22" s="319">
        <f>IF(AND('Ações'!AU22="sim", 'Ações'!BG22="sim"), 1, 0)
</f>
        <v>0</v>
      </c>
      <c r="U22" s="319">
        <f>IF(AND('Ações'!AU22="sim", 'Ações'!BH22="sim"), 1, 0)
</f>
        <v>0</v>
      </c>
      <c r="V22" s="319">
        <f>IF(AND('Ações'!AU22="sim", 'Ações'!BI22="sim"), 1, 0)
</f>
        <v>0</v>
      </c>
      <c r="W22" s="319">
        <f>IF(AND('Ações'!AV22="sim", 'Ações'!BD22="sim"), 1, 0)
</f>
        <v>1</v>
      </c>
      <c r="X22" s="319">
        <f>IF(AND('Ações'!AV22="sim", 'Ações'!BE22="sim"), 1, 0)
</f>
        <v>0</v>
      </c>
      <c r="Y22" s="319">
        <f>IF(AND('Ações'!AV22="sim", 'Ações'!BF22="sim"), 1, 0)
</f>
        <v>0</v>
      </c>
      <c r="Z22" s="319">
        <f>IF(AND('Ações'!AV22="sim", 'Ações'!BH22="sim"), 1, 0)
</f>
        <v>0</v>
      </c>
      <c r="AA22" s="319">
        <f>IF(AND('Ações'!AV22="sim", 'Ações'!BI22="sim"), 1, 0)
</f>
        <v>0</v>
      </c>
      <c r="AB22" s="319">
        <f>IF(AND('Ações'!AW22="sim", 'Ações'!BD22="sim"), 1, 0)
</f>
        <v>1</v>
      </c>
      <c r="AC22" s="319">
        <f>IF(AND('Ações'!AW22="sim", 'Ações'!BE22="sim"), 1, 0)
</f>
        <v>0</v>
      </c>
      <c r="AD22" s="319">
        <f>IF(AND('Ações'!AW22="sim", 'Ações'!BF22="sim"), 1, 0)
</f>
        <v>0</v>
      </c>
      <c r="AE22" s="319">
        <f>IF(AND('Ações'!AW22="sim", 'Ações'!BG22="sim"), 1, 0)
</f>
        <v>0</v>
      </c>
      <c r="AF22" s="319">
        <f>IF(AND('Ações'!AW22="sim", 'Ações'!BI22="sim"), 1, 0)
</f>
        <v>0</v>
      </c>
      <c r="AG22" s="319">
        <f>IF(AND('Ações'!AX22="sim", 'Ações'!BD22="sim"), 1, 0)
</f>
        <v>0</v>
      </c>
      <c r="AH22" s="319">
        <f>IF(AND('Ações'!AX22="sim", 'Ações'!BE22="sim"), 1, 0)
</f>
        <v>0</v>
      </c>
      <c r="AI22" s="319">
        <f>IF(AND('Ações'!AX22="sim", 'Ações'!BF22="sim"), 1, 0)
</f>
        <v>0</v>
      </c>
      <c r="AJ22" s="319">
        <f>IF(AND('Ações'!AX22="sim", 'Ações'!BG22="sim"), 1, 0)
</f>
        <v>0</v>
      </c>
      <c r="AK22" s="319">
        <f>IF(AND('Ações'!AX22="sim", 'Ações'!BH22="sim"), 1, 0)
</f>
        <v>0</v>
      </c>
    </row>
    <row r="23">
      <c r="B23" s="319">
        <f>IF(AND('Ações'!AS23="sim", 'Ações'!BD23="sim"), 1, 0)
</f>
        <v>0</v>
      </c>
      <c r="C23" s="319">
        <f>IF(AND('Ações'!AT23="sim", 'Ações'!BE23="sim"), 1, 0)
</f>
        <v>0</v>
      </c>
      <c r="D23" s="319">
        <f>IF(AND('Ações'!AU23="sim", 'Ações'!BF23="sim"), 1, 0)
</f>
        <v>0</v>
      </c>
      <c r="E23" s="319">
        <f>IF(AND('Ações'!AV23="sim", 'Ações'!BG23="sim"), 1, 0)
</f>
        <v>0</v>
      </c>
      <c r="F23" s="319">
        <f>IF(AND('Ações'!AW23="sim", 'Ações'!BH23="sim"), 1, 0)
</f>
        <v>0</v>
      </c>
      <c r="G23" s="319">
        <f>IF(AND('Ações'!AX23="sim", 'Ações'!BI23="sim"), 1, 0)
</f>
        <v>0</v>
      </c>
      <c r="H23" s="319">
        <f>IF(AND('Ações'!AS23="sim", 'Ações'!BE23="sim"), 1, 0)
</f>
        <v>0</v>
      </c>
      <c r="I23" s="319">
        <f>IF(AND('Ações'!AS23="sim", 'Ações'!BF23="sim"), 1, 0)
</f>
        <v>0</v>
      </c>
      <c r="J23" s="319">
        <f>IF(AND('Ações'!AS23="sim", 'Ações'!BG23="sim"), 1, 0)
</f>
        <v>0</v>
      </c>
      <c r="K23" s="319">
        <f>IF(AND('Ações'!AS23="sim", 'Ações'!BH23="sim"), 1, 0)
</f>
        <v>0</v>
      </c>
      <c r="L23" s="319">
        <f>IF(AND('Ações'!AS23="sim", 'Ações'!BI23="sim"), 1, 0)
</f>
        <v>1</v>
      </c>
      <c r="M23" s="319">
        <f>IF(AND('Ações'!AT23="sim", 'Ações'!BD23="sim"), 1, 0)
</f>
        <v>0</v>
      </c>
      <c r="N23" s="319">
        <f>IF(AND('Ações'!AT23="sim", 'Ações'!BF23="sim"), 1, 0)
</f>
        <v>0</v>
      </c>
      <c r="O23" s="319">
        <f>IF(AND('Ações'!AT23="sim", 'Ações'!BG23="sim"), 1, 0)
</f>
        <v>0</v>
      </c>
      <c r="P23" s="319">
        <f>IF(AND('Ações'!AT23="sim", 'Ações'!BH23="sim"), 1, 0)
</f>
        <v>0</v>
      </c>
      <c r="Q23" s="319">
        <f>IF(AND('Ações'!AT23="sim", 'Ações'!BI23="sim"), 1, 0)
</f>
        <v>1</v>
      </c>
      <c r="R23" s="319">
        <f>IF(AND('Ações'!AU23="sim", 'Ações'!BD23="sim"), 1, 0)
</f>
        <v>0</v>
      </c>
      <c r="S23" s="319">
        <f>IF(AND('Ações'!AU23="sim", 'Ações'!BE23="sim"), 1, 0)
</f>
        <v>0</v>
      </c>
      <c r="T23" s="319">
        <f>IF(AND('Ações'!AU23="sim", 'Ações'!BG23="sim"), 1, 0)
</f>
        <v>0</v>
      </c>
      <c r="U23" s="319">
        <f>IF(AND('Ações'!AU23="sim", 'Ações'!BH23="sim"), 1, 0)
</f>
        <v>0</v>
      </c>
      <c r="V23" s="319">
        <f>IF(AND('Ações'!AU23="sim", 'Ações'!BI23="sim"), 1, 0)
</f>
        <v>0</v>
      </c>
      <c r="W23" s="319">
        <f>IF(AND('Ações'!AV23="sim", 'Ações'!BD23="sim"), 1, 0)
</f>
        <v>0</v>
      </c>
      <c r="X23" s="319">
        <f>IF(AND('Ações'!AV23="sim", 'Ações'!BE23="sim"), 1, 0)
</f>
        <v>0</v>
      </c>
      <c r="Y23" s="319">
        <f>IF(AND('Ações'!AV23="sim", 'Ações'!BF23="sim"), 1, 0)
</f>
        <v>0</v>
      </c>
      <c r="Z23" s="319">
        <f>IF(AND('Ações'!AV23="sim", 'Ações'!BH23="sim"), 1, 0)
</f>
        <v>0</v>
      </c>
      <c r="AA23" s="319">
        <f>IF(AND('Ações'!AV23="sim", 'Ações'!BI23="sim"), 1, 0)
</f>
        <v>0</v>
      </c>
      <c r="AB23" s="319">
        <f>IF(AND('Ações'!AW23="sim", 'Ações'!BD23="sim"), 1, 0)
</f>
        <v>0</v>
      </c>
      <c r="AC23" s="319">
        <f>IF(AND('Ações'!AW23="sim", 'Ações'!BE23="sim"), 1, 0)
</f>
        <v>0</v>
      </c>
      <c r="AD23" s="319">
        <f>IF(AND('Ações'!AW23="sim", 'Ações'!BF23="sim"), 1, 0)
</f>
        <v>0</v>
      </c>
      <c r="AE23" s="319">
        <f>IF(AND('Ações'!AW23="sim", 'Ações'!BG23="sim"), 1, 0)
</f>
        <v>0</v>
      </c>
      <c r="AF23" s="319">
        <f>IF(AND('Ações'!AW23="sim", 'Ações'!BI23="sim"), 1, 0)
</f>
        <v>0</v>
      </c>
      <c r="AG23" s="319">
        <f>IF(AND('Ações'!AX23="sim", 'Ações'!BD23="sim"), 1, 0)
</f>
        <v>0</v>
      </c>
      <c r="AH23" s="319">
        <f>IF(AND('Ações'!AX23="sim", 'Ações'!BE23="sim"), 1, 0)
</f>
        <v>0</v>
      </c>
      <c r="AI23" s="319">
        <f>IF(AND('Ações'!AX23="sim", 'Ações'!BF23="sim"), 1, 0)
</f>
        <v>0</v>
      </c>
      <c r="AJ23" s="319">
        <f>IF(AND('Ações'!AX23="sim", 'Ações'!BG23="sim"), 1, 0)
</f>
        <v>0</v>
      </c>
      <c r="AK23" s="319">
        <f>IF(AND('Ações'!AX23="sim", 'Ações'!BH23="sim"), 1, 0)
</f>
        <v>0</v>
      </c>
    </row>
    <row r="24">
      <c r="B24" s="319">
        <f>IF(AND('Ações'!AS24="sim", 'Ações'!BD24="sim"), 1, 0)
</f>
        <v>1</v>
      </c>
      <c r="C24" s="319">
        <f>IF(AND('Ações'!AT24="sim", 'Ações'!BE24="sim"), 1, 0)
</f>
        <v>0</v>
      </c>
      <c r="D24" s="319">
        <f>IF(AND('Ações'!AU24="sim", 'Ações'!BF24="sim"), 1, 0)
</f>
        <v>0</v>
      </c>
      <c r="E24" s="319">
        <f>IF(AND('Ações'!AV24="sim", 'Ações'!BG24="sim"), 1, 0)
</f>
        <v>0</v>
      </c>
      <c r="F24" s="319">
        <f>IF(AND('Ações'!AW24="sim", 'Ações'!BH24="sim"), 1, 0)
</f>
        <v>0</v>
      </c>
      <c r="G24" s="319">
        <f>IF(AND('Ações'!AX24="sim", 'Ações'!BI24="sim"), 1, 0)
</f>
        <v>0</v>
      </c>
      <c r="H24" s="319">
        <f>IF(AND('Ações'!AS24="sim", 'Ações'!BE24="sim"), 1, 0)
</f>
        <v>0</v>
      </c>
      <c r="I24" s="319">
        <f>IF(AND('Ações'!AS24="sim", 'Ações'!BF24="sim"), 1, 0)
</f>
        <v>0</v>
      </c>
      <c r="J24" s="319">
        <f>IF(AND('Ações'!AS24="sim", 'Ações'!BG24="sim"), 1, 0)
</f>
        <v>0</v>
      </c>
      <c r="K24" s="319">
        <f>IF(AND('Ações'!AS24="sim", 'Ações'!BH24="sim"), 1, 0)
</f>
        <v>0</v>
      </c>
      <c r="L24" s="319">
        <f>IF(AND('Ações'!AS24="sim", 'Ações'!BI24="sim"), 1, 0)
</f>
        <v>0</v>
      </c>
      <c r="M24" s="319">
        <f>IF(AND('Ações'!AT24="sim", 'Ações'!BD24="sim"), 1, 0)
</f>
        <v>1</v>
      </c>
      <c r="N24" s="319">
        <f>IF(AND('Ações'!AT24="sim", 'Ações'!BF24="sim"), 1, 0)
</f>
        <v>0</v>
      </c>
      <c r="O24" s="319">
        <f>IF(AND('Ações'!AT24="sim", 'Ações'!BG24="sim"), 1, 0)
</f>
        <v>0</v>
      </c>
      <c r="P24" s="319">
        <f>IF(AND('Ações'!AT24="sim", 'Ações'!BH24="sim"), 1, 0)
</f>
        <v>0</v>
      </c>
      <c r="Q24" s="319">
        <f>IF(AND('Ações'!AT24="sim", 'Ações'!BI24="sim"), 1, 0)
</f>
        <v>0</v>
      </c>
      <c r="R24" s="319">
        <f>IF(AND('Ações'!AU24="sim", 'Ações'!BD24="sim"), 1, 0)
</f>
        <v>0</v>
      </c>
      <c r="S24" s="319">
        <f>IF(AND('Ações'!AU24="sim", 'Ações'!BE24="sim"), 1, 0)
</f>
        <v>0</v>
      </c>
      <c r="T24" s="319">
        <f>IF(AND('Ações'!AU24="sim", 'Ações'!BG24="sim"), 1, 0)
</f>
        <v>0</v>
      </c>
      <c r="U24" s="319">
        <f>IF(AND('Ações'!AU24="sim", 'Ações'!BH24="sim"), 1, 0)
</f>
        <v>0</v>
      </c>
      <c r="V24" s="319">
        <f>IF(AND('Ações'!AU24="sim", 'Ações'!BI24="sim"), 1, 0)
</f>
        <v>0</v>
      </c>
      <c r="W24" s="319">
        <f>IF(AND('Ações'!AV24="sim", 'Ações'!BD24="sim"), 1, 0)
</f>
        <v>0</v>
      </c>
      <c r="X24" s="319">
        <f>IF(AND('Ações'!AV24="sim", 'Ações'!BE24="sim"), 1, 0)
</f>
        <v>0</v>
      </c>
      <c r="Y24" s="319">
        <f>IF(AND('Ações'!AV24="sim", 'Ações'!BF24="sim"), 1, 0)
</f>
        <v>0</v>
      </c>
      <c r="Z24" s="319">
        <f>IF(AND('Ações'!AV24="sim", 'Ações'!BH24="sim"), 1, 0)
</f>
        <v>0</v>
      </c>
      <c r="AA24" s="319">
        <f>IF(AND('Ações'!AV24="sim", 'Ações'!BI24="sim"), 1, 0)
</f>
        <v>0</v>
      </c>
      <c r="AB24" s="319">
        <f>IF(AND('Ações'!AW24="sim", 'Ações'!BD24="sim"), 1, 0)
</f>
        <v>0</v>
      </c>
      <c r="AC24" s="319">
        <f>IF(AND('Ações'!AW24="sim", 'Ações'!BE24="sim"), 1, 0)
</f>
        <v>0</v>
      </c>
      <c r="AD24" s="319">
        <f>IF(AND('Ações'!AW24="sim", 'Ações'!BF24="sim"), 1, 0)
</f>
        <v>0</v>
      </c>
      <c r="AE24" s="319">
        <f>IF(AND('Ações'!AW24="sim", 'Ações'!BG24="sim"), 1, 0)
</f>
        <v>0</v>
      </c>
      <c r="AF24" s="319">
        <f>IF(AND('Ações'!AW24="sim", 'Ações'!BI24="sim"), 1, 0)
</f>
        <v>0</v>
      </c>
      <c r="AG24" s="319">
        <f>IF(AND('Ações'!AX24="sim", 'Ações'!BD24="sim"), 1, 0)
</f>
        <v>0</v>
      </c>
      <c r="AH24" s="319">
        <f>IF(AND('Ações'!AX24="sim", 'Ações'!BE24="sim"), 1, 0)
</f>
        <v>0</v>
      </c>
      <c r="AI24" s="319">
        <f>IF(AND('Ações'!AX24="sim", 'Ações'!BF24="sim"), 1, 0)
</f>
        <v>0</v>
      </c>
      <c r="AJ24" s="319">
        <f>IF(AND('Ações'!AX24="sim", 'Ações'!BG24="sim"), 1, 0)
</f>
        <v>0</v>
      </c>
      <c r="AK24" s="319">
        <f>IF(AND('Ações'!AX24="sim", 'Ações'!BH24="sim"), 1, 0)
</f>
        <v>0</v>
      </c>
    </row>
    <row r="25">
      <c r="B25" s="319">
        <f>IF(AND('Ações'!AS25="sim", 'Ações'!BD25="sim"), 1, 0)
</f>
        <v>1</v>
      </c>
      <c r="C25" s="319">
        <f>IF(AND('Ações'!AT25="sim", 'Ações'!BE25="sim"), 1, 0)
</f>
        <v>0</v>
      </c>
      <c r="D25" s="319">
        <f>IF(AND('Ações'!AU25="sim", 'Ações'!BF25="sim"), 1, 0)
</f>
        <v>0</v>
      </c>
      <c r="E25" s="319">
        <f>IF(AND('Ações'!AV25="sim", 'Ações'!BG25="sim"), 1, 0)
</f>
        <v>0</v>
      </c>
      <c r="F25" s="319">
        <f>IF(AND('Ações'!AW25="sim", 'Ações'!BH25="sim"), 1, 0)
</f>
        <v>0</v>
      </c>
      <c r="G25" s="319">
        <f>IF(AND('Ações'!AX25="sim", 'Ações'!BI25="sim"), 1, 0)
</f>
        <v>0</v>
      </c>
      <c r="H25" s="319">
        <f>IF(AND('Ações'!AS25="sim", 'Ações'!BE25="sim"), 1, 0)
</f>
        <v>0</v>
      </c>
      <c r="I25" s="319">
        <f>IF(AND('Ações'!AS25="sim", 'Ações'!BF25="sim"), 1, 0)
</f>
        <v>0</v>
      </c>
      <c r="J25" s="319">
        <f>IF(AND('Ações'!AS25="sim", 'Ações'!BG25="sim"), 1, 0)
</f>
        <v>0</v>
      </c>
      <c r="K25" s="319">
        <f>IF(AND('Ações'!AS25="sim", 'Ações'!BH25="sim"), 1, 0)
</f>
        <v>0</v>
      </c>
      <c r="L25" s="319">
        <f>IF(AND('Ações'!AS25="sim", 'Ações'!BI25="sim"), 1, 0)
</f>
        <v>0</v>
      </c>
      <c r="M25" s="319">
        <f>IF(AND('Ações'!AT25="sim", 'Ações'!BD25="sim"), 1, 0)
</f>
        <v>1</v>
      </c>
      <c r="N25" s="319">
        <f>IF(AND('Ações'!AT25="sim", 'Ações'!BF25="sim"), 1, 0)
</f>
        <v>0</v>
      </c>
      <c r="O25" s="319">
        <f>IF(AND('Ações'!AT25="sim", 'Ações'!BG25="sim"), 1, 0)
</f>
        <v>0</v>
      </c>
      <c r="P25" s="319">
        <f>IF(AND('Ações'!AT25="sim", 'Ações'!BH25="sim"), 1, 0)
</f>
        <v>0</v>
      </c>
      <c r="Q25" s="319">
        <f>IF(AND('Ações'!AT25="sim", 'Ações'!BI25="sim"), 1, 0)
</f>
        <v>0</v>
      </c>
      <c r="R25" s="319">
        <f>IF(AND('Ações'!AU25="sim", 'Ações'!BD25="sim"), 1, 0)
</f>
        <v>0</v>
      </c>
      <c r="S25" s="319">
        <f>IF(AND('Ações'!AU25="sim", 'Ações'!BE25="sim"), 1, 0)
</f>
        <v>0</v>
      </c>
      <c r="T25" s="319">
        <f>IF(AND('Ações'!AU25="sim", 'Ações'!BG25="sim"), 1, 0)
</f>
        <v>0</v>
      </c>
      <c r="U25" s="319">
        <f>IF(AND('Ações'!AU25="sim", 'Ações'!BH25="sim"), 1, 0)
</f>
        <v>0</v>
      </c>
      <c r="V25" s="319">
        <f>IF(AND('Ações'!AU25="sim", 'Ações'!BI25="sim"), 1, 0)
</f>
        <v>0</v>
      </c>
      <c r="W25" s="319">
        <f>IF(AND('Ações'!AV25="sim", 'Ações'!BD25="sim"), 1, 0)
</f>
        <v>0</v>
      </c>
      <c r="X25" s="319">
        <f>IF(AND('Ações'!AV25="sim", 'Ações'!BE25="sim"), 1, 0)
</f>
        <v>0</v>
      </c>
      <c r="Y25" s="319">
        <f>IF(AND('Ações'!AV25="sim", 'Ações'!BF25="sim"), 1, 0)
</f>
        <v>0</v>
      </c>
      <c r="Z25" s="319">
        <f>IF(AND('Ações'!AV25="sim", 'Ações'!BH25="sim"), 1, 0)
</f>
        <v>0</v>
      </c>
      <c r="AA25" s="319">
        <f>IF(AND('Ações'!AV25="sim", 'Ações'!BI25="sim"), 1, 0)
</f>
        <v>0</v>
      </c>
      <c r="AB25" s="319">
        <f>IF(AND('Ações'!AW25="sim", 'Ações'!BD25="sim"), 1, 0)
</f>
        <v>0</v>
      </c>
      <c r="AC25" s="319">
        <f>IF(AND('Ações'!AW25="sim", 'Ações'!BE25="sim"), 1, 0)
</f>
        <v>0</v>
      </c>
      <c r="AD25" s="319">
        <f>IF(AND('Ações'!AW25="sim", 'Ações'!BF25="sim"), 1, 0)
</f>
        <v>0</v>
      </c>
      <c r="AE25" s="319">
        <f>IF(AND('Ações'!AW25="sim", 'Ações'!BG25="sim"), 1, 0)
</f>
        <v>0</v>
      </c>
      <c r="AF25" s="319">
        <f>IF(AND('Ações'!AW25="sim", 'Ações'!BI25="sim"), 1, 0)
</f>
        <v>0</v>
      </c>
      <c r="AG25" s="319">
        <f>IF(AND('Ações'!AX25="sim", 'Ações'!BD25="sim"), 1, 0)
</f>
        <v>0</v>
      </c>
      <c r="AH25" s="319">
        <f>IF(AND('Ações'!AX25="sim", 'Ações'!BE25="sim"), 1, 0)
</f>
        <v>0</v>
      </c>
      <c r="AI25" s="319">
        <f>IF(AND('Ações'!AX25="sim", 'Ações'!BF25="sim"), 1, 0)
</f>
        <v>0</v>
      </c>
      <c r="AJ25" s="319">
        <f>IF(AND('Ações'!AX25="sim", 'Ações'!BG25="sim"), 1, 0)
</f>
        <v>0</v>
      </c>
      <c r="AK25" s="319">
        <f>IF(AND('Ações'!AX25="sim", 'Ações'!BH25="sim"), 1, 0)
</f>
        <v>0</v>
      </c>
    </row>
    <row r="26">
      <c r="B26" s="319">
        <f>IF(AND('Ações'!AS26="sim", 'Ações'!BD26="sim"), 1, 0)
</f>
        <v>1</v>
      </c>
      <c r="C26" s="319">
        <f>IF(AND('Ações'!AT26="sim", 'Ações'!BE26="sim"), 1, 0)
</f>
        <v>0</v>
      </c>
      <c r="D26" s="319">
        <f>IF(AND('Ações'!AU26="sim", 'Ações'!BF26="sim"), 1, 0)
</f>
        <v>0</v>
      </c>
      <c r="E26" s="319">
        <f>IF(AND('Ações'!AV26="sim", 'Ações'!BG26="sim"), 1, 0)
</f>
        <v>0</v>
      </c>
      <c r="F26" s="319">
        <f>IF(AND('Ações'!AW26="sim", 'Ações'!BH26="sim"), 1, 0)
</f>
        <v>0</v>
      </c>
      <c r="G26" s="319">
        <f>IF(AND('Ações'!AX26="sim", 'Ações'!BI26="sim"), 1, 0)
</f>
        <v>0</v>
      </c>
      <c r="H26" s="319">
        <f>IF(AND('Ações'!AS26="sim", 'Ações'!BE26="sim"), 1, 0)
</f>
        <v>0</v>
      </c>
      <c r="I26" s="319">
        <f>IF(AND('Ações'!AS26="sim", 'Ações'!BF26="sim"), 1, 0)
</f>
        <v>0</v>
      </c>
      <c r="J26" s="319">
        <f>IF(AND('Ações'!AS26="sim", 'Ações'!BG26="sim"), 1, 0)
</f>
        <v>0</v>
      </c>
      <c r="K26" s="319">
        <f>IF(AND('Ações'!AS26="sim", 'Ações'!BH26="sim"), 1, 0)
</f>
        <v>0</v>
      </c>
      <c r="L26" s="319">
        <f>IF(AND('Ações'!AS26="sim", 'Ações'!BI26="sim"), 1, 0)
</f>
        <v>0</v>
      </c>
      <c r="M26" s="319">
        <f>IF(AND('Ações'!AT26="sim", 'Ações'!BD26="sim"), 1, 0)
</f>
        <v>1</v>
      </c>
      <c r="N26" s="319">
        <f>IF(AND('Ações'!AT26="sim", 'Ações'!BF26="sim"), 1, 0)
</f>
        <v>0</v>
      </c>
      <c r="O26" s="319">
        <f>IF(AND('Ações'!AT26="sim", 'Ações'!BG26="sim"), 1, 0)
</f>
        <v>0</v>
      </c>
      <c r="P26" s="319">
        <f>IF(AND('Ações'!AT26="sim", 'Ações'!BH26="sim"), 1, 0)
</f>
        <v>0</v>
      </c>
      <c r="Q26" s="319">
        <f>IF(AND('Ações'!AT26="sim", 'Ações'!BI26="sim"), 1, 0)
</f>
        <v>0</v>
      </c>
      <c r="R26" s="319">
        <f>IF(AND('Ações'!AU26="sim", 'Ações'!BD26="sim"), 1, 0)
</f>
        <v>0</v>
      </c>
      <c r="S26" s="319">
        <f>IF(AND('Ações'!AU26="sim", 'Ações'!BE26="sim"), 1, 0)
</f>
        <v>0</v>
      </c>
      <c r="T26" s="319">
        <f>IF(AND('Ações'!AU26="sim", 'Ações'!BG26="sim"), 1, 0)
</f>
        <v>0</v>
      </c>
      <c r="U26" s="319">
        <f>IF(AND('Ações'!AU26="sim", 'Ações'!BH26="sim"), 1, 0)
</f>
        <v>0</v>
      </c>
      <c r="V26" s="319">
        <f>IF(AND('Ações'!AU26="sim", 'Ações'!BI26="sim"), 1, 0)
</f>
        <v>0</v>
      </c>
      <c r="W26" s="319">
        <f>IF(AND('Ações'!AV26="sim", 'Ações'!BD26="sim"), 1, 0)
</f>
        <v>0</v>
      </c>
      <c r="X26" s="319">
        <f>IF(AND('Ações'!AV26="sim", 'Ações'!BE26="sim"), 1, 0)
</f>
        <v>0</v>
      </c>
      <c r="Y26" s="319">
        <f>IF(AND('Ações'!AV26="sim", 'Ações'!BF26="sim"), 1, 0)
</f>
        <v>0</v>
      </c>
      <c r="Z26" s="319">
        <f>IF(AND('Ações'!AV26="sim", 'Ações'!BH26="sim"), 1, 0)
</f>
        <v>0</v>
      </c>
      <c r="AA26" s="319">
        <f>IF(AND('Ações'!AV26="sim", 'Ações'!BI26="sim"), 1, 0)
</f>
        <v>0</v>
      </c>
      <c r="AB26" s="319">
        <f>IF(AND('Ações'!AW26="sim", 'Ações'!BD26="sim"), 1, 0)
</f>
        <v>0</v>
      </c>
      <c r="AC26" s="319">
        <f>IF(AND('Ações'!AW26="sim", 'Ações'!BE26="sim"), 1, 0)
</f>
        <v>0</v>
      </c>
      <c r="AD26" s="319">
        <f>IF(AND('Ações'!AW26="sim", 'Ações'!BF26="sim"), 1, 0)
</f>
        <v>0</v>
      </c>
      <c r="AE26" s="319">
        <f>IF(AND('Ações'!AW26="sim", 'Ações'!BG26="sim"), 1, 0)
</f>
        <v>0</v>
      </c>
      <c r="AF26" s="319">
        <f>IF(AND('Ações'!AW26="sim", 'Ações'!BI26="sim"), 1, 0)
</f>
        <v>0</v>
      </c>
      <c r="AG26" s="319">
        <f>IF(AND('Ações'!AX26="sim", 'Ações'!BD26="sim"), 1, 0)
</f>
        <v>0</v>
      </c>
      <c r="AH26" s="319">
        <f>IF(AND('Ações'!AX26="sim", 'Ações'!BE26="sim"), 1, 0)
</f>
        <v>0</v>
      </c>
      <c r="AI26" s="319">
        <f>IF(AND('Ações'!AX26="sim", 'Ações'!BF26="sim"), 1, 0)
</f>
        <v>0</v>
      </c>
      <c r="AJ26" s="319">
        <f>IF(AND('Ações'!AX26="sim", 'Ações'!BG26="sim"), 1, 0)
</f>
        <v>0</v>
      </c>
      <c r="AK26" s="319">
        <f>IF(AND('Ações'!AX26="sim", 'Ações'!BH26="sim"), 1, 0)
</f>
        <v>0</v>
      </c>
    </row>
    <row r="27">
      <c r="B27" s="319">
        <f>IF(AND('Ações'!AS27="sim", 'Ações'!BD27="sim"), 1, 0)
</f>
        <v>1</v>
      </c>
      <c r="C27" s="319">
        <f>IF(AND('Ações'!AT27="sim", 'Ações'!BE27="sim"), 1, 0)
</f>
        <v>0</v>
      </c>
      <c r="D27" s="319">
        <f>IF(AND('Ações'!AU27="sim", 'Ações'!BF27="sim"), 1, 0)
</f>
        <v>0</v>
      </c>
      <c r="E27" s="319">
        <f>IF(AND('Ações'!AV27="sim", 'Ações'!BG27="sim"), 1, 0)
</f>
        <v>0</v>
      </c>
      <c r="F27" s="319">
        <f>IF(AND('Ações'!AW27="sim", 'Ações'!BH27="sim"), 1, 0)
</f>
        <v>0</v>
      </c>
      <c r="G27" s="319">
        <f>IF(AND('Ações'!AX27="sim", 'Ações'!BI27="sim"), 1, 0)
</f>
        <v>0</v>
      </c>
      <c r="H27" s="319">
        <f>IF(AND('Ações'!AS27="sim", 'Ações'!BE27="sim"), 1, 0)
</f>
        <v>0</v>
      </c>
      <c r="I27" s="319">
        <f>IF(AND('Ações'!AS27="sim", 'Ações'!BF27="sim"), 1, 0)
</f>
        <v>0</v>
      </c>
      <c r="J27" s="319">
        <f>IF(AND('Ações'!AS27="sim", 'Ações'!BG27="sim"), 1, 0)
</f>
        <v>0</v>
      </c>
      <c r="K27" s="319">
        <f>IF(AND('Ações'!AS27="sim", 'Ações'!BH27="sim"), 1, 0)
</f>
        <v>0</v>
      </c>
      <c r="L27" s="319">
        <f>IF(AND('Ações'!AS27="sim", 'Ações'!BI27="sim"), 1, 0)
</f>
        <v>0</v>
      </c>
      <c r="M27" s="319">
        <f>IF(AND('Ações'!AT27="sim", 'Ações'!BD27="sim"), 1, 0)
</f>
        <v>1</v>
      </c>
      <c r="N27" s="319">
        <f>IF(AND('Ações'!AT27="sim", 'Ações'!BF27="sim"), 1, 0)
</f>
        <v>0</v>
      </c>
      <c r="O27" s="319">
        <f>IF(AND('Ações'!AT27="sim", 'Ações'!BG27="sim"), 1, 0)
</f>
        <v>0</v>
      </c>
      <c r="P27" s="319">
        <f>IF(AND('Ações'!AT27="sim", 'Ações'!BH27="sim"), 1, 0)
</f>
        <v>0</v>
      </c>
      <c r="Q27" s="319">
        <f>IF(AND('Ações'!AT27="sim", 'Ações'!BI27="sim"), 1, 0)
</f>
        <v>0</v>
      </c>
      <c r="R27" s="319">
        <f>IF(AND('Ações'!AU27="sim", 'Ações'!BD27="sim"), 1, 0)
</f>
        <v>0</v>
      </c>
      <c r="S27" s="319">
        <f>IF(AND('Ações'!AU27="sim", 'Ações'!BE27="sim"), 1, 0)
</f>
        <v>0</v>
      </c>
      <c r="T27" s="319">
        <f>IF(AND('Ações'!AU27="sim", 'Ações'!BG27="sim"), 1, 0)
</f>
        <v>0</v>
      </c>
      <c r="U27" s="319">
        <f>IF(AND('Ações'!AU27="sim", 'Ações'!BH27="sim"), 1, 0)
</f>
        <v>0</v>
      </c>
      <c r="V27" s="319">
        <f>IF(AND('Ações'!AU27="sim", 'Ações'!BI27="sim"), 1, 0)
</f>
        <v>0</v>
      </c>
      <c r="W27" s="319">
        <f>IF(AND('Ações'!AV27="sim", 'Ações'!BD27="sim"), 1, 0)
</f>
        <v>0</v>
      </c>
      <c r="X27" s="319">
        <f>IF(AND('Ações'!AV27="sim", 'Ações'!BE27="sim"), 1, 0)
</f>
        <v>0</v>
      </c>
      <c r="Y27" s="319">
        <f>IF(AND('Ações'!AV27="sim", 'Ações'!BF27="sim"), 1, 0)
</f>
        <v>0</v>
      </c>
      <c r="Z27" s="319">
        <f>IF(AND('Ações'!AV27="sim", 'Ações'!BH27="sim"), 1, 0)
</f>
        <v>0</v>
      </c>
      <c r="AA27" s="319">
        <f>IF(AND('Ações'!AV27="sim", 'Ações'!BI27="sim"), 1, 0)
</f>
        <v>0</v>
      </c>
      <c r="AB27" s="319">
        <f>IF(AND('Ações'!AW27="sim", 'Ações'!BD27="sim"), 1, 0)
</f>
        <v>0</v>
      </c>
      <c r="AC27" s="319">
        <f>IF(AND('Ações'!AW27="sim", 'Ações'!BE27="sim"), 1, 0)
</f>
        <v>0</v>
      </c>
      <c r="AD27" s="319">
        <f>IF(AND('Ações'!AW27="sim", 'Ações'!BF27="sim"), 1, 0)
</f>
        <v>0</v>
      </c>
      <c r="AE27" s="319">
        <f>IF(AND('Ações'!AW27="sim", 'Ações'!BG27="sim"), 1, 0)
</f>
        <v>0</v>
      </c>
      <c r="AF27" s="319">
        <f>IF(AND('Ações'!AW27="sim", 'Ações'!BI27="sim"), 1, 0)
</f>
        <v>0</v>
      </c>
      <c r="AG27" s="319">
        <f>IF(AND('Ações'!AX27="sim", 'Ações'!BD27="sim"), 1, 0)
</f>
        <v>0</v>
      </c>
      <c r="AH27" s="319">
        <f>IF(AND('Ações'!AX27="sim", 'Ações'!BE27="sim"), 1, 0)
</f>
        <v>0</v>
      </c>
      <c r="AI27" s="319">
        <f>IF(AND('Ações'!AX27="sim", 'Ações'!BF27="sim"), 1, 0)
</f>
        <v>0</v>
      </c>
      <c r="AJ27" s="319">
        <f>IF(AND('Ações'!AX27="sim", 'Ações'!BG27="sim"), 1, 0)
</f>
        <v>0</v>
      </c>
      <c r="AK27" s="319">
        <f>IF(AND('Ações'!AX27="sim", 'Ações'!BH27="sim"), 1, 0)
</f>
        <v>0</v>
      </c>
    </row>
    <row r="28">
      <c r="B28" s="319">
        <f>IF(AND('Ações'!AS28="sim", 'Ações'!BD28="sim"), 1, 0)
</f>
        <v>1</v>
      </c>
      <c r="C28" s="319">
        <f>IF(AND('Ações'!AT28="sim", 'Ações'!BE28="sim"), 1, 0)
</f>
        <v>0</v>
      </c>
      <c r="D28" s="319">
        <f>IF(AND('Ações'!AU28="sim", 'Ações'!BF28="sim"), 1, 0)
</f>
        <v>0</v>
      </c>
      <c r="E28" s="319">
        <f>IF(AND('Ações'!AV28="sim", 'Ações'!BG28="sim"), 1, 0)
</f>
        <v>0</v>
      </c>
      <c r="F28" s="319">
        <f>IF(AND('Ações'!AW28="sim", 'Ações'!BH28="sim"), 1, 0)
</f>
        <v>0</v>
      </c>
      <c r="G28" s="319">
        <f>IF(AND('Ações'!AX28="sim", 'Ações'!BI28="sim"), 1, 0)
</f>
        <v>0</v>
      </c>
      <c r="H28" s="319">
        <f>IF(AND('Ações'!AS28="sim", 'Ações'!BE28="sim"), 1, 0)
</f>
        <v>0</v>
      </c>
      <c r="I28" s="319">
        <f>IF(AND('Ações'!AS28="sim", 'Ações'!BF28="sim"), 1, 0)
</f>
        <v>0</v>
      </c>
      <c r="J28" s="319">
        <f>IF(AND('Ações'!AS28="sim", 'Ações'!BG28="sim"), 1, 0)
</f>
        <v>0</v>
      </c>
      <c r="K28" s="319">
        <f>IF(AND('Ações'!AS28="sim", 'Ações'!BH28="sim"), 1, 0)
</f>
        <v>0</v>
      </c>
      <c r="L28" s="319">
        <f>IF(AND('Ações'!AS28="sim", 'Ações'!BI28="sim"), 1, 0)
</f>
        <v>0</v>
      </c>
      <c r="M28" s="319">
        <f>IF(AND('Ações'!AT28="sim", 'Ações'!BD28="sim"), 1, 0)
</f>
        <v>1</v>
      </c>
      <c r="N28" s="319">
        <f>IF(AND('Ações'!AT28="sim", 'Ações'!BF28="sim"), 1, 0)
</f>
        <v>0</v>
      </c>
      <c r="O28" s="319">
        <f>IF(AND('Ações'!AT28="sim", 'Ações'!BG28="sim"), 1, 0)
</f>
        <v>0</v>
      </c>
      <c r="P28" s="319">
        <f>IF(AND('Ações'!AT28="sim", 'Ações'!BH28="sim"), 1, 0)
</f>
        <v>0</v>
      </c>
      <c r="Q28" s="319">
        <f>IF(AND('Ações'!AT28="sim", 'Ações'!BI28="sim"), 1, 0)
</f>
        <v>0</v>
      </c>
      <c r="R28" s="319">
        <f>IF(AND('Ações'!AU28="sim", 'Ações'!BD28="sim"), 1, 0)
</f>
        <v>0</v>
      </c>
      <c r="S28" s="319">
        <f>IF(AND('Ações'!AU28="sim", 'Ações'!BE28="sim"), 1, 0)
</f>
        <v>0</v>
      </c>
      <c r="T28" s="319">
        <f>IF(AND('Ações'!AU28="sim", 'Ações'!BG28="sim"), 1, 0)
</f>
        <v>0</v>
      </c>
      <c r="U28" s="319">
        <f>IF(AND('Ações'!AU28="sim", 'Ações'!BH28="sim"), 1, 0)
</f>
        <v>0</v>
      </c>
      <c r="V28" s="319">
        <f>IF(AND('Ações'!AU28="sim", 'Ações'!BI28="sim"), 1, 0)
</f>
        <v>0</v>
      </c>
      <c r="W28" s="319">
        <f>IF(AND('Ações'!AV28="sim", 'Ações'!BD28="sim"), 1, 0)
</f>
        <v>0</v>
      </c>
      <c r="X28" s="319">
        <f>IF(AND('Ações'!AV28="sim", 'Ações'!BE28="sim"), 1, 0)
</f>
        <v>0</v>
      </c>
      <c r="Y28" s="319">
        <f>IF(AND('Ações'!AV28="sim", 'Ações'!BF28="sim"), 1, 0)
</f>
        <v>0</v>
      </c>
      <c r="Z28" s="319">
        <f>IF(AND('Ações'!AV28="sim", 'Ações'!BH28="sim"), 1, 0)
</f>
        <v>0</v>
      </c>
      <c r="AA28" s="319">
        <f>IF(AND('Ações'!AV28="sim", 'Ações'!BI28="sim"), 1, 0)
</f>
        <v>0</v>
      </c>
      <c r="AB28" s="319">
        <f>IF(AND('Ações'!AW28="sim", 'Ações'!BD28="sim"), 1, 0)
</f>
        <v>0</v>
      </c>
      <c r="AC28" s="319">
        <f>IF(AND('Ações'!AW28="sim", 'Ações'!BE28="sim"), 1, 0)
</f>
        <v>0</v>
      </c>
      <c r="AD28" s="319">
        <f>IF(AND('Ações'!AW28="sim", 'Ações'!BF28="sim"), 1, 0)
</f>
        <v>0</v>
      </c>
      <c r="AE28" s="319">
        <f>IF(AND('Ações'!AW28="sim", 'Ações'!BG28="sim"), 1, 0)
</f>
        <v>0</v>
      </c>
      <c r="AF28" s="319">
        <f>IF(AND('Ações'!AW28="sim", 'Ações'!BI28="sim"), 1, 0)
</f>
        <v>0</v>
      </c>
      <c r="AG28" s="319">
        <f>IF(AND('Ações'!AX28="sim", 'Ações'!BD28="sim"), 1, 0)
</f>
        <v>0</v>
      </c>
      <c r="AH28" s="319">
        <f>IF(AND('Ações'!AX28="sim", 'Ações'!BE28="sim"), 1, 0)
</f>
        <v>0</v>
      </c>
      <c r="AI28" s="319">
        <f>IF(AND('Ações'!AX28="sim", 'Ações'!BF28="sim"), 1, 0)
</f>
        <v>0</v>
      </c>
      <c r="AJ28" s="319">
        <f>IF(AND('Ações'!AX28="sim", 'Ações'!BG28="sim"), 1, 0)
</f>
        <v>0</v>
      </c>
      <c r="AK28" s="319">
        <f>IF(AND('Ações'!AX28="sim", 'Ações'!BH28="sim"), 1, 0)
</f>
        <v>0</v>
      </c>
    </row>
    <row r="29">
      <c r="B29" s="319">
        <f>IF(AND('Ações'!AS29="sim", 'Ações'!BD29="sim"), 1, 0)
</f>
        <v>1</v>
      </c>
      <c r="C29" s="319">
        <f>IF(AND('Ações'!AT29="sim", 'Ações'!BE29="sim"), 1, 0)
</f>
        <v>0</v>
      </c>
      <c r="D29" s="319">
        <f>IF(AND('Ações'!AU29="sim", 'Ações'!BF29="sim"), 1, 0)
</f>
        <v>0</v>
      </c>
      <c r="E29" s="319">
        <f>IF(AND('Ações'!AV29="sim", 'Ações'!BG29="sim"), 1, 0)
</f>
        <v>0</v>
      </c>
      <c r="F29" s="319">
        <f>IF(AND('Ações'!AW29="sim", 'Ações'!BH29="sim"), 1, 0)
</f>
        <v>0</v>
      </c>
      <c r="G29" s="319">
        <f>IF(AND('Ações'!AX29="sim", 'Ações'!BI29="sim"), 1, 0)
</f>
        <v>0</v>
      </c>
      <c r="H29" s="319">
        <f>IF(AND('Ações'!AS29="sim", 'Ações'!BE29="sim"), 1, 0)
</f>
        <v>0</v>
      </c>
      <c r="I29" s="319">
        <f>IF(AND('Ações'!AS29="sim", 'Ações'!BF29="sim"), 1, 0)
</f>
        <v>0</v>
      </c>
      <c r="J29" s="319">
        <f>IF(AND('Ações'!AS29="sim", 'Ações'!BG29="sim"), 1, 0)
</f>
        <v>0</v>
      </c>
      <c r="K29" s="319">
        <f>IF(AND('Ações'!AS29="sim", 'Ações'!BH29="sim"), 1, 0)
</f>
        <v>0</v>
      </c>
      <c r="L29" s="319">
        <f>IF(AND('Ações'!AS29="sim", 'Ações'!BI29="sim"), 1, 0)
</f>
        <v>0</v>
      </c>
      <c r="M29" s="319">
        <f>IF(AND('Ações'!AT29="sim", 'Ações'!BD29="sim"), 1, 0)
</f>
        <v>1</v>
      </c>
      <c r="N29" s="319">
        <f>IF(AND('Ações'!AT29="sim", 'Ações'!BF29="sim"), 1, 0)
</f>
        <v>0</v>
      </c>
      <c r="O29" s="319">
        <f>IF(AND('Ações'!AT29="sim", 'Ações'!BG29="sim"), 1, 0)
</f>
        <v>0</v>
      </c>
      <c r="P29" s="319">
        <f>IF(AND('Ações'!AT29="sim", 'Ações'!BH29="sim"), 1, 0)
</f>
        <v>0</v>
      </c>
      <c r="Q29" s="319">
        <f>IF(AND('Ações'!AT29="sim", 'Ações'!BI29="sim"), 1, 0)
</f>
        <v>0</v>
      </c>
      <c r="R29" s="319">
        <f>IF(AND('Ações'!AU29="sim", 'Ações'!BD29="sim"), 1, 0)
</f>
        <v>0</v>
      </c>
      <c r="S29" s="319">
        <f>IF(AND('Ações'!AU29="sim", 'Ações'!BE29="sim"), 1, 0)
</f>
        <v>0</v>
      </c>
      <c r="T29" s="319">
        <f>IF(AND('Ações'!AU29="sim", 'Ações'!BG29="sim"), 1, 0)
</f>
        <v>0</v>
      </c>
      <c r="U29" s="319">
        <f>IF(AND('Ações'!AU29="sim", 'Ações'!BH29="sim"), 1, 0)
</f>
        <v>0</v>
      </c>
      <c r="V29" s="319">
        <f>IF(AND('Ações'!AU29="sim", 'Ações'!BI29="sim"), 1, 0)
</f>
        <v>0</v>
      </c>
      <c r="W29" s="319">
        <f>IF(AND('Ações'!AV29="sim", 'Ações'!BD29="sim"), 1, 0)
</f>
        <v>0</v>
      </c>
      <c r="X29" s="319">
        <f>IF(AND('Ações'!AV29="sim", 'Ações'!BE29="sim"), 1, 0)
</f>
        <v>0</v>
      </c>
      <c r="Y29" s="319">
        <f>IF(AND('Ações'!AV29="sim", 'Ações'!BF29="sim"), 1, 0)
</f>
        <v>0</v>
      </c>
      <c r="Z29" s="319">
        <f>IF(AND('Ações'!AV29="sim", 'Ações'!BH29="sim"), 1, 0)
</f>
        <v>0</v>
      </c>
      <c r="AA29" s="319">
        <f>IF(AND('Ações'!AV29="sim", 'Ações'!BI29="sim"), 1, 0)
</f>
        <v>0</v>
      </c>
      <c r="AB29" s="319">
        <f>IF(AND('Ações'!AW29="sim", 'Ações'!BD29="sim"), 1, 0)
</f>
        <v>0</v>
      </c>
      <c r="AC29" s="319">
        <f>IF(AND('Ações'!AW29="sim", 'Ações'!BE29="sim"), 1, 0)
</f>
        <v>0</v>
      </c>
      <c r="AD29" s="319">
        <f>IF(AND('Ações'!AW29="sim", 'Ações'!BF29="sim"), 1, 0)
</f>
        <v>0</v>
      </c>
      <c r="AE29" s="319">
        <f>IF(AND('Ações'!AW29="sim", 'Ações'!BG29="sim"), 1, 0)
</f>
        <v>0</v>
      </c>
      <c r="AF29" s="319">
        <f>IF(AND('Ações'!AW29="sim", 'Ações'!BI29="sim"), 1, 0)
</f>
        <v>0</v>
      </c>
      <c r="AG29" s="319">
        <f>IF(AND('Ações'!AX29="sim", 'Ações'!BD29="sim"), 1, 0)
</f>
        <v>0</v>
      </c>
      <c r="AH29" s="319">
        <f>IF(AND('Ações'!AX29="sim", 'Ações'!BE29="sim"), 1, 0)
</f>
        <v>0</v>
      </c>
      <c r="AI29" s="319">
        <f>IF(AND('Ações'!AX29="sim", 'Ações'!BF29="sim"), 1, 0)
</f>
        <v>0</v>
      </c>
      <c r="AJ29" s="319">
        <f>IF(AND('Ações'!AX29="sim", 'Ações'!BG29="sim"), 1, 0)
</f>
        <v>0</v>
      </c>
      <c r="AK29" s="319">
        <f>IF(AND('Ações'!AX29="sim", 'Ações'!BH29="sim"), 1, 0)
</f>
        <v>0</v>
      </c>
    </row>
    <row r="30">
      <c r="B30" s="319">
        <f>IF(AND('Ações'!AS30="sim", 'Ações'!BD30="sim"), 1, 0)
</f>
        <v>0</v>
      </c>
      <c r="C30" s="319">
        <f>IF(AND('Ações'!AT30="sim", 'Ações'!BE30="sim"), 1, 0)
</f>
        <v>0</v>
      </c>
      <c r="D30" s="319">
        <f>IF(AND('Ações'!AU30="sim", 'Ações'!BF30="sim"), 1, 0)
</f>
        <v>0</v>
      </c>
      <c r="E30" s="319">
        <f>IF(AND('Ações'!AV30="sim", 'Ações'!BG30="sim"), 1, 0)
</f>
        <v>0</v>
      </c>
      <c r="F30" s="319">
        <f>IF(AND('Ações'!AW30="sim", 'Ações'!BH30="sim"), 1, 0)
</f>
        <v>0</v>
      </c>
      <c r="G30" s="319">
        <f>IF(AND('Ações'!AX30="sim", 'Ações'!BI30="sim"), 1, 0)
</f>
        <v>0</v>
      </c>
      <c r="H30" s="319">
        <f>IF(AND('Ações'!AS30="sim", 'Ações'!BE30="sim"), 1, 0)
</f>
        <v>0</v>
      </c>
      <c r="I30" s="319">
        <f>IF(AND('Ações'!AS30="sim", 'Ações'!BF30="sim"), 1, 0)
</f>
        <v>0</v>
      </c>
      <c r="J30" s="319">
        <f>IF(AND('Ações'!AS30="sim", 'Ações'!BG30="sim"), 1, 0)
</f>
        <v>0</v>
      </c>
      <c r="K30" s="319">
        <f>IF(AND('Ações'!AS30="sim", 'Ações'!BH30="sim"), 1, 0)
</f>
        <v>0</v>
      </c>
      <c r="L30" s="319">
        <f>IF(AND('Ações'!AS30="sim", 'Ações'!BI30="sim"), 1, 0)
</f>
        <v>1</v>
      </c>
      <c r="M30" s="319">
        <f>IF(AND('Ações'!AT30="sim", 'Ações'!BD30="sim"), 1, 0)
</f>
        <v>0</v>
      </c>
      <c r="N30" s="319">
        <f>IF(AND('Ações'!AT30="sim", 'Ações'!BF30="sim"), 1, 0)
</f>
        <v>0</v>
      </c>
      <c r="O30" s="319">
        <f>IF(AND('Ações'!AT30="sim", 'Ações'!BG30="sim"), 1, 0)
</f>
        <v>0</v>
      </c>
      <c r="P30" s="319">
        <f>IF(AND('Ações'!AT30="sim", 'Ações'!BH30="sim"), 1, 0)
</f>
        <v>0</v>
      </c>
      <c r="Q30" s="319">
        <f>IF(AND('Ações'!AT30="sim", 'Ações'!BI30="sim"), 1, 0)
</f>
        <v>1</v>
      </c>
      <c r="R30" s="319">
        <f>IF(AND('Ações'!AU30="sim", 'Ações'!BD30="sim"), 1, 0)
</f>
        <v>0</v>
      </c>
      <c r="S30" s="319">
        <f>IF(AND('Ações'!AU30="sim", 'Ações'!BE30="sim"), 1, 0)
</f>
        <v>0</v>
      </c>
      <c r="T30" s="319">
        <f>IF(AND('Ações'!AU30="sim", 'Ações'!BG30="sim"), 1, 0)
</f>
        <v>0</v>
      </c>
      <c r="U30" s="319">
        <f>IF(AND('Ações'!AU30="sim", 'Ações'!BH30="sim"), 1, 0)
</f>
        <v>0</v>
      </c>
      <c r="V30" s="319">
        <f>IF(AND('Ações'!AU30="sim", 'Ações'!BI30="sim"), 1, 0)
</f>
        <v>1</v>
      </c>
      <c r="W30" s="319">
        <f>IF(AND('Ações'!AV30="sim", 'Ações'!BD30="sim"), 1, 0)
</f>
        <v>0</v>
      </c>
      <c r="X30" s="319">
        <f>IF(AND('Ações'!AV30="sim", 'Ações'!BE30="sim"), 1, 0)
</f>
        <v>0</v>
      </c>
      <c r="Y30" s="319">
        <f>IF(AND('Ações'!AV30="sim", 'Ações'!BF30="sim"), 1, 0)
</f>
        <v>0</v>
      </c>
      <c r="Z30" s="319">
        <f>IF(AND('Ações'!AV30="sim", 'Ações'!BH30="sim"), 1, 0)
</f>
        <v>0</v>
      </c>
      <c r="AA30" s="319">
        <f>IF(AND('Ações'!AV30="sim", 'Ações'!BI30="sim"), 1, 0)
</f>
        <v>1</v>
      </c>
      <c r="AB30" s="319">
        <f>IF(AND('Ações'!AW30="sim", 'Ações'!BD30="sim"), 1, 0)
</f>
        <v>0</v>
      </c>
      <c r="AC30" s="319">
        <f>IF(AND('Ações'!AW30="sim", 'Ações'!BE30="sim"), 1, 0)
</f>
        <v>0</v>
      </c>
      <c r="AD30" s="319">
        <f>IF(AND('Ações'!AW30="sim", 'Ações'!BF30="sim"), 1, 0)
</f>
        <v>0</v>
      </c>
      <c r="AE30" s="319">
        <f>IF(AND('Ações'!AW30="sim", 'Ações'!BG30="sim"), 1, 0)
</f>
        <v>0</v>
      </c>
      <c r="AF30" s="319">
        <f>IF(AND('Ações'!AW30="sim", 'Ações'!BI30="sim"), 1, 0)
</f>
        <v>0</v>
      </c>
      <c r="AG30" s="319">
        <f>IF(AND('Ações'!AX30="sim", 'Ações'!BD30="sim"), 1, 0)
</f>
        <v>0</v>
      </c>
      <c r="AH30" s="319">
        <f>IF(AND('Ações'!AX30="sim", 'Ações'!BE30="sim"), 1, 0)
</f>
        <v>0</v>
      </c>
      <c r="AI30" s="319">
        <f>IF(AND('Ações'!AX30="sim", 'Ações'!BF30="sim"), 1, 0)
</f>
        <v>0</v>
      </c>
      <c r="AJ30" s="319">
        <f>IF(AND('Ações'!AX30="sim", 'Ações'!BG30="sim"), 1, 0)
</f>
        <v>0</v>
      </c>
      <c r="AK30" s="319">
        <f>IF(AND('Ações'!AX30="sim", 'Ações'!BH30="sim"), 1, 0)
</f>
        <v>0</v>
      </c>
    </row>
    <row r="31">
      <c r="B31" s="319">
        <f>IF(AND('Ações'!AS31="sim", 'Ações'!BD31="sim"), 1, 0)
</f>
        <v>1</v>
      </c>
      <c r="C31" s="319">
        <f>IF(AND('Ações'!AT31="sim", 'Ações'!BE31="sim"), 1, 0)
</f>
        <v>0</v>
      </c>
      <c r="D31" s="319">
        <f>IF(AND('Ações'!AU31="sim", 'Ações'!BF31="sim"), 1, 0)
</f>
        <v>0</v>
      </c>
      <c r="E31" s="319">
        <f>IF(AND('Ações'!AV31="sim", 'Ações'!BG31="sim"), 1, 0)
</f>
        <v>0</v>
      </c>
      <c r="F31" s="319">
        <f>IF(AND('Ações'!AW31="sim", 'Ações'!BH31="sim"), 1, 0)
</f>
        <v>0</v>
      </c>
      <c r="G31" s="319">
        <f>IF(AND('Ações'!AX31="sim", 'Ações'!BI31="sim"), 1, 0)
</f>
        <v>0</v>
      </c>
      <c r="H31" s="319">
        <f>IF(AND('Ações'!AS31="sim", 'Ações'!BE31="sim"), 1, 0)
</f>
        <v>0</v>
      </c>
      <c r="I31" s="319">
        <f>IF(AND('Ações'!AS31="sim", 'Ações'!BF31="sim"), 1, 0)
</f>
        <v>0</v>
      </c>
      <c r="J31" s="319">
        <f>IF(AND('Ações'!AS31="sim", 'Ações'!BG31="sim"), 1, 0)
</f>
        <v>0</v>
      </c>
      <c r="K31" s="319">
        <f>IF(AND('Ações'!AS31="sim", 'Ações'!BH31="sim"), 1, 0)
</f>
        <v>0</v>
      </c>
      <c r="L31" s="319">
        <f>IF(AND('Ações'!AS31="sim", 'Ações'!BI31="sim"), 1, 0)
</f>
        <v>0</v>
      </c>
      <c r="M31" s="319">
        <f>IF(AND('Ações'!AT31="sim", 'Ações'!BD31="sim"), 1, 0)
</f>
        <v>1</v>
      </c>
      <c r="N31" s="319">
        <f>IF(AND('Ações'!AT31="sim", 'Ações'!BF31="sim"), 1, 0)
</f>
        <v>0</v>
      </c>
      <c r="O31" s="319">
        <f>IF(AND('Ações'!AT31="sim", 'Ações'!BG31="sim"), 1, 0)
</f>
        <v>0</v>
      </c>
      <c r="P31" s="319">
        <f>IF(AND('Ações'!AT31="sim", 'Ações'!BH31="sim"), 1, 0)
</f>
        <v>0</v>
      </c>
      <c r="Q31" s="319">
        <f>IF(AND('Ações'!AT31="sim", 'Ações'!BI31="sim"), 1, 0)
</f>
        <v>0</v>
      </c>
      <c r="R31" s="319">
        <f>IF(AND('Ações'!AU31="sim", 'Ações'!BD31="sim"), 1, 0)
</f>
        <v>1</v>
      </c>
      <c r="S31" s="319">
        <f>IF(AND('Ações'!AU31="sim", 'Ações'!BE31="sim"), 1, 0)
</f>
        <v>0</v>
      </c>
      <c r="T31" s="319">
        <f>IF(AND('Ações'!AU31="sim", 'Ações'!BG31="sim"), 1, 0)
</f>
        <v>0</v>
      </c>
      <c r="U31" s="319">
        <f>IF(AND('Ações'!AU31="sim", 'Ações'!BH31="sim"), 1, 0)
</f>
        <v>0</v>
      </c>
      <c r="V31" s="319">
        <f>IF(AND('Ações'!AU31="sim", 'Ações'!BI31="sim"), 1, 0)
</f>
        <v>0</v>
      </c>
      <c r="W31" s="319">
        <f>IF(AND('Ações'!AV31="sim", 'Ações'!BD31="sim"), 1, 0)
</f>
        <v>1</v>
      </c>
      <c r="X31" s="319">
        <f>IF(AND('Ações'!AV31="sim", 'Ações'!BE31="sim"), 1, 0)
</f>
        <v>0</v>
      </c>
      <c r="Y31" s="319">
        <f>IF(AND('Ações'!AV31="sim", 'Ações'!BF31="sim"), 1, 0)
</f>
        <v>0</v>
      </c>
      <c r="Z31" s="319">
        <f>IF(AND('Ações'!AV31="sim", 'Ações'!BH31="sim"), 1, 0)
</f>
        <v>0</v>
      </c>
      <c r="AA31" s="319">
        <f>IF(AND('Ações'!AV31="sim", 'Ações'!BI31="sim"), 1, 0)
</f>
        <v>0</v>
      </c>
      <c r="AB31" s="319">
        <f>IF(AND('Ações'!AW31="sim", 'Ações'!BD31="sim"), 1, 0)
</f>
        <v>0</v>
      </c>
      <c r="AC31" s="319">
        <f>IF(AND('Ações'!AW31="sim", 'Ações'!BE31="sim"), 1, 0)
</f>
        <v>0</v>
      </c>
      <c r="AD31" s="319">
        <f>IF(AND('Ações'!AW31="sim", 'Ações'!BF31="sim"), 1, 0)
</f>
        <v>0</v>
      </c>
      <c r="AE31" s="319">
        <f>IF(AND('Ações'!AW31="sim", 'Ações'!BG31="sim"), 1, 0)
</f>
        <v>0</v>
      </c>
      <c r="AF31" s="319">
        <f>IF(AND('Ações'!AW31="sim", 'Ações'!BI31="sim"), 1, 0)
</f>
        <v>0</v>
      </c>
      <c r="AG31" s="319">
        <f>IF(AND('Ações'!AX31="sim", 'Ações'!BD31="sim"), 1, 0)
</f>
        <v>0</v>
      </c>
      <c r="AH31" s="319">
        <f>IF(AND('Ações'!AX31="sim", 'Ações'!BE31="sim"), 1, 0)
</f>
        <v>0</v>
      </c>
      <c r="AI31" s="319">
        <f>IF(AND('Ações'!AX31="sim", 'Ações'!BF31="sim"), 1, 0)
</f>
        <v>0</v>
      </c>
      <c r="AJ31" s="319">
        <f>IF(AND('Ações'!AX31="sim", 'Ações'!BG31="sim"), 1, 0)
</f>
        <v>0</v>
      </c>
      <c r="AK31" s="319">
        <f>IF(AND('Ações'!AX31="sim", 'Ações'!BH31="sim"), 1, 0)
</f>
        <v>0</v>
      </c>
    </row>
    <row r="32">
      <c r="B32" s="319">
        <f>IF(AND('Ações'!AS32="sim", 'Ações'!BD32="sim"), 1, 0)
</f>
        <v>0</v>
      </c>
      <c r="C32" s="319">
        <f>IF(AND('Ações'!AT32="sim", 'Ações'!BE32="sim"), 1, 0)
</f>
        <v>0</v>
      </c>
      <c r="D32" s="319">
        <f>IF(AND('Ações'!AU32="sim", 'Ações'!BF32="sim"), 1, 0)
</f>
        <v>0</v>
      </c>
      <c r="E32" s="319">
        <f>IF(AND('Ações'!AV32="sim", 'Ações'!BG32="sim"), 1, 0)
</f>
        <v>0</v>
      </c>
      <c r="F32" s="319">
        <f>IF(AND('Ações'!AW32="sim", 'Ações'!BH32="sim"), 1, 0)
</f>
        <v>0</v>
      </c>
      <c r="G32" s="319">
        <f>IF(AND('Ações'!AX32="sim", 'Ações'!BI32="sim"), 1, 0)
</f>
        <v>0</v>
      </c>
      <c r="H32" s="319">
        <f>IF(AND('Ações'!AS32="sim", 'Ações'!BE32="sim"), 1, 0)
</f>
        <v>0</v>
      </c>
      <c r="I32" s="319">
        <f>IF(AND('Ações'!AS32="sim", 'Ações'!BF32="sim"), 1, 0)
</f>
        <v>0</v>
      </c>
      <c r="J32" s="319">
        <f>IF(AND('Ações'!AS32="sim", 'Ações'!BG32="sim"), 1, 0)
</f>
        <v>0</v>
      </c>
      <c r="K32" s="319">
        <f>IF(AND('Ações'!AS32="sim", 'Ações'!BH32="sim"), 1, 0)
</f>
        <v>0</v>
      </c>
      <c r="L32" s="319">
        <f>IF(AND('Ações'!AS32="sim", 'Ações'!BI32="sim"), 1, 0)
</f>
        <v>0</v>
      </c>
      <c r="M32" s="319">
        <f>IF(AND('Ações'!AT32="sim", 'Ações'!BD32="sim"), 1, 0)
</f>
        <v>0</v>
      </c>
      <c r="N32" s="319">
        <f>IF(AND('Ações'!AT32="sim", 'Ações'!BF32="sim"), 1, 0)
</f>
        <v>0</v>
      </c>
      <c r="O32" s="319">
        <f>IF(AND('Ações'!AT32="sim", 'Ações'!BG32="sim"), 1, 0)
</f>
        <v>0</v>
      </c>
      <c r="P32" s="319">
        <f>IF(AND('Ações'!AT32="sim", 'Ações'!BH32="sim"), 1, 0)
</f>
        <v>0</v>
      </c>
      <c r="Q32" s="319">
        <f>IF(AND('Ações'!AT32="sim", 'Ações'!BI32="sim"), 1, 0)
</f>
        <v>0</v>
      </c>
      <c r="R32" s="319">
        <f>IF(AND('Ações'!AU32="sim", 'Ações'!BD32="sim"), 1, 0)
</f>
        <v>0</v>
      </c>
      <c r="S32" s="319">
        <f>IF(AND('Ações'!AU32="sim", 'Ações'!BE32="sim"), 1, 0)
</f>
        <v>0</v>
      </c>
      <c r="T32" s="319">
        <f>IF(AND('Ações'!AU32="sim", 'Ações'!BG32="sim"), 1, 0)
</f>
        <v>0</v>
      </c>
      <c r="U32" s="319">
        <f>IF(AND('Ações'!AU32="sim", 'Ações'!BH32="sim"), 1, 0)
</f>
        <v>0</v>
      </c>
      <c r="V32" s="319">
        <f>IF(AND('Ações'!AU32="sim", 'Ações'!BI32="sim"), 1, 0)
</f>
        <v>0</v>
      </c>
      <c r="W32" s="319">
        <f>IF(AND('Ações'!AV32="sim", 'Ações'!BD32="sim"), 1, 0)
</f>
        <v>0</v>
      </c>
      <c r="X32" s="319">
        <f>IF(AND('Ações'!AV32="sim", 'Ações'!BE32="sim"), 1, 0)
</f>
        <v>0</v>
      </c>
      <c r="Y32" s="319">
        <f>IF(AND('Ações'!AV32="sim", 'Ações'!BF32="sim"), 1, 0)
</f>
        <v>0</v>
      </c>
      <c r="Z32" s="319">
        <f>IF(AND('Ações'!AV32="sim", 'Ações'!BH32="sim"), 1, 0)
</f>
        <v>0</v>
      </c>
      <c r="AA32" s="319">
        <f>IF(AND('Ações'!AV32="sim", 'Ações'!BI32="sim"), 1, 0)
</f>
        <v>0</v>
      </c>
      <c r="AB32" s="319">
        <f>IF(AND('Ações'!AW32="sim", 'Ações'!BD32="sim"), 1, 0)
</f>
        <v>0</v>
      </c>
      <c r="AC32" s="319">
        <f>IF(AND('Ações'!AW32="sim", 'Ações'!BE32="sim"), 1, 0)
</f>
        <v>0</v>
      </c>
      <c r="AD32" s="319">
        <f>IF(AND('Ações'!AW32="sim", 'Ações'!BF32="sim"), 1, 0)
</f>
        <v>0</v>
      </c>
      <c r="AE32" s="319">
        <f>IF(AND('Ações'!AW32="sim", 'Ações'!BG32="sim"), 1, 0)
</f>
        <v>0</v>
      </c>
      <c r="AF32" s="319">
        <f>IF(AND('Ações'!AW32="sim", 'Ações'!BI32="sim"), 1, 0)
</f>
        <v>0</v>
      </c>
      <c r="AG32" s="319">
        <f>IF(AND('Ações'!AX32="sim", 'Ações'!BD32="sim"), 1, 0)
</f>
        <v>0</v>
      </c>
      <c r="AH32" s="319">
        <f>IF(AND('Ações'!AX32="sim", 'Ações'!BE32="sim"), 1, 0)
</f>
        <v>0</v>
      </c>
      <c r="AI32" s="319">
        <f>IF(AND('Ações'!AX32="sim", 'Ações'!BF32="sim"), 1, 0)
</f>
        <v>0</v>
      </c>
      <c r="AJ32" s="319">
        <f>IF(AND('Ações'!AX32="sim", 'Ações'!BG32="sim"), 1, 0)
</f>
        <v>0</v>
      </c>
      <c r="AK32" s="319">
        <f>IF(AND('Ações'!AX32="sim", 'Ações'!BH32="sim"), 1, 0)
</f>
        <v>0</v>
      </c>
    </row>
    <row r="33">
      <c r="B33" s="319">
        <f>IF(AND('Ações'!AS33="sim", 'Ações'!BD33="sim"), 1, 0)
</f>
        <v>0</v>
      </c>
      <c r="C33" s="319">
        <f>IF(AND('Ações'!AT33="sim", 'Ações'!BE33="sim"), 1, 0)
</f>
        <v>0</v>
      </c>
      <c r="D33" s="319">
        <f>IF(AND('Ações'!AU33="sim", 'Ações'!BF33="sim"), 1, 0)
</f>
        <v>0</v>
      </c>
      <c r="E33" s="319">
        <f>IF(AND('Ações'!AV33="sim", 'Ações'!BG33="sim"), 1, 0)
</f>
        <v>0</v>
      </c>
      <c r="F33" s="319">
        <f>IF(AND('Ações'!AW33="sim", 'Ações'!BH33="sim"), 1, 0)
</f>
        <v>0</v>
      </c>
      <c r="G33" s="319">
        <f>IF(AND('Ações'!AX33="sim", 'Ações'!BI33="sim"), 1, 0)
</f>
        <v>0</v>
      </c>
      <c r="H33" s="319">
        <f>IF(AND('Ações'!AS33="sim", 'Ações'!BE33="sim"), 1, 0)
</f>
        <v>0</v>
      </c>
      <c r="I33" s="319">
        <f>IF(AND('Ações'!AS33="sim", 'Ações'!BF33="sim"), 1, 0)
</f>
        <v>0</v>
      </c>
      <c r="J33" s="319">
        <f>IF(AND('Ações'!AS33="sim", 'Ações'!BG33="sim"), 1, 0)
</f>
        <v>0</v>
      </c>
      <c r="K33" s="319">
        <f>IF(AND('Ações'!AS33="sim", 'Ações'!BH33="sim"), 1, 0)
</f>
        <v>0</v>
      </c>
      <c r="L33" s="319">
        <f>IF(AND('Ações'!AS33="sim", 'Ações'!BI33="sim"), 1, 0)
</f>
        <v>1</v>
      </c>
      <c r="M33" s="319">
        <f>IF(AND('Ações'!AT33="sim", 'Ações'!BD33="sim"), 1, 0)
</f>
        <v>0</v>
      </c>
      <c r="N33" s="319">
        <f>IF(AND('Ações'!AT33="sim", 'Ações'!BF33="sim"), 1, 0)
</f>
        <v>0</v>
      </c>
      <c r="O33" s="319">
        <f>IF(AND('Ações'!AT33="sim", 'Ações'!BG33="sim"), 1, 0)
</f>
        <v>0</v>
      </c>
      <c r="P33" s="319">
        <f>IF(AND('Ações'!AT33="sim", 'Ações'!BH33="sim"), 1, 0)
</f>
        <v>0</v>
      </c>
      <c r="Q33" s="319">
        <f>IF(AND('Ações'!AT33="sim", 'Ações'!BI33="sim"), 1, 0)
</f>
        <v>1</v>
      </c>
      <c r="R33" s="319">
        <f>IF(AND('Ações'!AU33="sim", 'Ações'!BD33="sim"), 1, 0)
</f>
        <v>0</v>
      </c>
      <c r="S33" s="319">
        <f>IF(AND('Ações'!AU33="sim", 'Ações'!BE33="sim"), 1, 0)
</f>
        <v>0</v>
      </c>
      <c r="T33" s="319">
        <f>IF(AND('Ações'!AU33="sim", 'Ações'!BG33="sim"), 1, 0)
</f>
        <v>0</v>
      </c>
      <c r="U33" s="319">
        <f>IF(AND('Ações'!AU33="sim", 'Ações'!BH33="sim"), 1, 0)
</f>
        <v>0</v>
      </c>
      <c r="V33" s="319">
        <f>IF(AND('Ações'!AU33="sim", 'Ações'!BI33="sim"), 1, 0)
</f>
        <v>1</v>
      </c>
      <c r="W33" s="319">
        <f>IF(AND('Ações'!AV33="sim", 'Ações'!BD33="sim"), 1, 0)
</f>
        <v>0</v>
      </c>
      <c r="X33" s="319">
        <f>IF(AND('Ações'!AV33="sim", 'Ações'!BE33="sim"), 1, 0)
</f>
        <v>0</v>
      </c>
      <c r="Y33" s="319">
        <f>IF(AND('Ações'!AV33="sim", 'Ações'!BF33="sim"), 1, 0)
</f>
        <v>0</v>
      </c>
      <c r="Z33" s="319">
        <f>IF(AND('Ações'!AV33="sim", 'Ações'!BH33="sim"), 1, 0)
</f>
        <v>0</v>
      </c>
      <c r="AA33" s="319">
        <f>IF(AND('Ações'!AV33="sim", 'Ações'!BI33="sim"), 1, 0)
</f>
        <v>1</v>
      </c>
      <c r="AB33" s="319">
        <f>IF(AND('Ações'!AW33="sim", 'Ações'!BD33="sim"), 1, 0)
</f>
        <v>0</v>
      </c>
      <c r="AC33" s="319">
        <f>IF(AND('Ações'!AW33="sim", 'Ações'!BE33="sim"), 1, 0)
</f>
        <v>0</v>
      </c>
      <c r="AD33" s="319">
        <f>IF(AND('Ações'!AW33="sim", 'Ações'!BF33="sim"), 1, 0)
</f>
        <v>0</v>
      </c>
      <c r="AE33" s="319">
        <f>IF(AND('Ações'!AW33="sim", 'Ações'!BG33="sim"), 1, 0)
</f>
        <v>0</v>
      </c>
      <c r="AF33" s="319">
        <f>IF(AND('Ações'!AW33="sim", 'Ações'!BI33="sim"), 1, 0)
</f>
        <v>0</v>
      </c>
      <c r="AG33" s="319">
        <f>IF(AND('Ações'!AX33="sim", 'Ações'!BD33="sim"), 1, 0)
</f>
        <v>0</v>
      </c>
      <c r="AH33" s="319">
        <f>IF(AND('Ações'!AX33="sim", 'Ações'!BE33="sim"), 1, 0)
</f>
        <v>0</v>
      </c>
      <c r="AI33" s="319">
        <f>IF(AND('Ações'!AX33="sim", 'Ações'!BF33="sim"), 1, 0)
</f>
        <v>0</v>
      </c>
      <c r="AJ33" s="319">
        <f>IF(AND('Ações'!AX33="sim", 'Ações'!BG33="sim"), 1, 0)
</f>
        <v>0</v>
      </c>
      <c r="AK33" s="319">
        <f>IF(AND('Ações'!AX33="sim", 'Ações'!BH33="sim"), 1, 0)
</f>
        <v>0</v>
      </c>
    </row>
    <row r="34">
      <c r="B34" s="319">
        <f>IF(AND('Ações'!AS34="sim", 'Ações'!BD34="sim"), 1, 0)
</f>
        <v>1</v>
      </c>
      <c r="C34" s="319">
        <f>IF(AND('Ações'!AT34="sim", 'Ações'!BE34="sim"), 1, 0)
</f>
        <v>0</v>
      </c>
      <c r="D34" s="319">
        <f>IF(AND('Ações'!AU34="sim", 'Ações'!BF34="sim"), 1, 0)
</f>
        <v>0</v>
      </c>
      <c r="E34" s="319">
        <f>IF(AND('Ações'!AV34="sim", 'Ações'!BG34="sim"), 1, 0)
</f>
        <v>0</v>
      </c>
      <c r="F34" s="319">
        <f>IF(AND('Ações'!AW34="sim", 'Ações'!BH34="sim"), 1, 0)
</f>
        <v>0</v>
      </c>
      <c r="G34" s="319">
        <f>IF(AND('Ações'!AX34="sim", 'Ações'!BI34="sim"), 1, 0)
</f>
        <v>0</v>
      </c>
      <c r="H34" s="319">
        <f>IF(AND('Ações'!AS34="sim", 'Ações'!BE34="sim"), 1, 0)
</f>
        <v>0</v>
      </c>
      <c r="I34" s="319">
        <f>IF(AND('Ações'!AS34="sim", 'Ações'!BF34="sim"), 1, 0)
</f>
        <v>0</v>
      </c>
      <c r="J34" s="319">
        <f>IF(AND('Ações'!AS34="sim", 'Ações'!BG34="sim"), 1, 0)
</f>
        <v>0</v>
      </c>
      <c r="K34" s="319">
        <f>IF(AND('Ações'!AS34="sim", 'Ações'!BH34="sim"), 1, 0)
</f>
        <v>0</v>
      </c>
      <c r="L34" s="319">
        <f>IF(AND('Ações'!AS34="sim", 'Ações'!BI34="sim"), 1, 0)
</f>
        <v>0</v>
      </c>
      <c r="M34" s="319">
        <f>IF(AND('Ações'!AT34="sim", 'Ações'!BD34="sim"), 1, 0)
</f>
        <v>1</v>
      </c>
      <c r="N34" s="319">
        <f>IF(AND('Ações'!AT34="sim", 'Ações'!BF34="sim"), 1, 0)
</f>
        <v>0</v>
      </c>
      <c r="O34" s="319">
        <f>IF(AND('Ações'!AT34="sim", 'Ações'!BG34="sim"), 1, 0)
</f>
        <v>0</v>
      </c>
      <c r="P34" s="319">
        <f>IF(AND('Ações'!AT34="sim", 'Ações'!BH34="sim"), 1, 0)
</f>
        <v>0</v>
      </c>
      <c r="Q34" s="319">
        <f>IF(AND('Ações'!AT34="sim", 'Ações'!BI34="sim"), 1, 0)
</f>
        <v>0</v>
      </c>
      <c r="R34" s="319">
        <f>IF(AND('Ações'!AU34="sim", 'Ações'!BD34="sim"), 1, 0)
</f>
        <v>1</v>
      </c>
      <c r="S34" s="319">
        <f>IF(AND('Ações'!AU34="sim", 'Ações'!BE34="sim"), 1, 0)
</f>
        <v>0</v>
      </c>
      <c r="T34" s="319">
        <f>IF(AND('Ações'!AU34="sim", 'Ações'!BG34="sim"), 1, 0)
</f>
        <v>0</v>
      </c>
      <c r="U34" s="319">
        <f>IF(AND('Ações'!AU34="sim", 'Ações'!BH34="sim"), 1, 0)
</f>
        <v>0</v>
      </c>
      <c r="V34" s="319">
        <f>IF(AND('Ações'!AU34="sim", 'Ações'!BI34="sim"), 1, 0)
</f>
        <v>0</v>
      </c>
      <c r="W34" s="319">
        <f>IF(AND('Ações'!AV34="sim", 'Ações'!BD34="sim"), 1, 0)
</f>
        <v>1</v>
      </c>
      <c r="X34" s="319">
        <f>IF(AND('Ações'!AV34="sim", 'Ações'!BE34="sim"), 1, 0)
</f>
        <v>0</v>
      </c>
      <c r="Y34" s="319">
        <f>IF(AND('Ações'!AV34="sim", 'Ações'!BF34="sim"), 1, 0)
</f>
        <v>0</v>
      </c>
      <c r="Z34" s="319">
        <f>IF(AND('Ações'!AV34="sim", 'Ações'!BH34="sim"), 1, 0)
</f>
        <v>0</v>
      </c>
      <c r="AA34" s="319">
        <f>IF(AND('Ações'!AV34="sim", 'Ações'!BI34="sim"), 1, 0)
</f>
        <v>0</v>
      </c>
      <c r="AB34" s="319">
        <f>IF(AND('Ações'!AW34="sim", 'Ações'!BD34="sim"), 1, 0)
</f>
        <v>0</v>
      </c>
      <c r="AC34" s="319">
        <f>IF(AND('Ações'!AW34="sim", 'Ações'!BE34="sim"), 1, 0)
</f>
        <v>0</v>
      </c>
      <c r="AD34" s="319">
        <f>IF(AND('Ações'!AW34="sim", 'Ações'!BF34="sim"), 1, 0)
</f>
        <v>0</v>
      </c>
      <c r="AE34" s="319">
        <f>IF(AND('Ações'!AW34="sim", 'Ações'!BG34="sim"), 1, 0)
</f>
        <v>0</v>
      </c>
      <c r="AF34" s="319">
        <f>IF(AND('Ações'!AW34="sim", 'Ações'!BI34="sim"), 1, 0)
</f>
        <v>0</v>
      </c>
      <c r="AG34" s="319">
        <f>IF(AND('Ações'!AX34="sim", 'Ações'!BD34="sim"), 1, 0)
</f>
        <v>0</v>
      </c>
      <c r="AH34" s="319">
        <f>IF(AND('Ações'!AX34="sim", 'Ações'!BE34="sim"), 1, 0)
</f>
        <v>0</v>
      </c>
      <c r="AI34" s="319">
        <f>IF(AND('Ações'!AX34="sim", 'Ações'!BF34="sim"), 1, 0)
</f>
        <v>0</v>
      </c>
      <c r="AJ34" s="319">
        <f>IF(AND('Ações'!AX34="sim", 'Ações'!BG34="sim"), 1, 0)
</f>
        <v>0</v>
      </c>
      <c r="AK34" s="319">
        <f>IF(AND('Ações'!AX34="sim", 'Ações'!BH34="sim"), 1, 0)
</f>
        <v>0</v>
      </c>
    </row>
    <row r="35">
      <c r="B35" s="319">
        <f>IF(AND('Ações'!AS35="sim", 'Ações'!BD35="sim"), 1, 0)
</f>
        <v>1</v>
      </c>
      <c r="C35" s="319">
        <f>IF(AND('Ações'!AT35="sim", 'Ações'!BE35="sim"), 1, 0)
</f>
        <v>0</v>
      </c>
      <c r="D35" s="319">
        <f>IF(AND('Ações'!AU35="sim", 'Ações'!BF35="sim"), 1, 0)
</f>
        <v>0</v>
      </c>
      <c r="E35" s="319">
        <f>IF(AND('Ações'!AV35="sim", 'Ações'!BG35="sim"), 1, 0)
</f>
        <v>0</v>
      </c>
      <c r="F35" s="319">
        <f>IF(AND('Ações'!AW35="sim", 'Ações'!BH35="sim"), 1, 0)
</f>
        <v>0</v>
      </c>
      <c r="G35" s="319">
        <f>IF(AND('Ações'!AX35="sim", 'Ações'!BI35="sim"), 1, 0)
</f>
        <v>0</v>
      </c>
      <c r="H35" s="319">
        <f>IF(AND('Ações'!AS35="sim", 'Ações'!BE35="sim"), 1, 0)
</f>
        <v>0</v>
      </c>
      <c r="I35" s="319">
        <f>IF(AND('Ações'!AS35="sim", 'Ações'!BF35="sim"), 1, 0)
</f>
        <v>0</v>
      </c>
      <c r="J35" s="319">
        <f>IF(AND('Ações'!AS35="sim", 'Ações'!BG35="sim"), 1, 0)
</f>
        <v>0</v>
      </c>
      <c r="K35" s="319">
        <f>IF(AND('Ações'!AS35="sim", 'Ações'!BH35="sim"), 1, 0)
</f>
        <v>0</v>
      </c>
      <c r="L35" s="319">
        <f>IF(AND('Ações'!AS35="sim", 'Ações'!BI35="sim"), 1, 0)
</f>
        <v>0</v>
      </c>
      <c r="M35" s="319">
        <f>IF(AND('Ações'!AT35="sim", 'Ações'!BD35="sim"), 1, 0)
</f>
        <v>1</v>
      </c>
      <c r="N35" s="319">
        <f>IF(AND('Ações'!AT35="sim", 'Ações'!BF35="sim"), 1, 0)
</f>
        <v>0</v>
      </c>
      <c r="O35" s="319">
        <f>IF(AND('Ações'!AT35="sim", 'Ações'!BG35="sim"), 1, 0)
</f>
        <v>0</v>
      </c>
      <c r="P35" s="319">
        <f>IF(AND('Ações'!AT35="sim", 'Ações'!BH35="sim"), 1, 0)
</f>
        <v>0</v>
      </c>
      <c r="Q35" s="319">
        <f>IF(AND('Ações'!AT35="sim", 'Ações'!BI35="sim"), 1, 0)
</f>
        <v>0</v>
      </c>
      <c r="R35" s="319">
        <f>IF(AND('Ações'!AU35="sim", 'Ações'!BD35="sim"), 1, 0)
</f>
        <v>1</v>
      </c>
      <c r="S35" s="319">
        <f>IF(AND('Ações'!AU35="sim", 'Ações'!BE35="sim"), 1, 0)
</f>
        <v>0</v>
      </c>
      <c r="T35" s="319">
        <f>IF(AND('Ações'!AU35="sim", 'Ações'!BG35="sim"), 1, 0)
</f>
        <v>0</v>
      </c>
      <c r="U35" s="319">
        <f>IF(AND('Ações'!AU35="sim", 'Ações'!BH35="sim"), 1, 0)
</f>
        <v>0</v>
      </c>
      <c r="V35" s="319">
        <f>IF(AND('Ações'!AU35="sim", 'Ações'!BI35="sim"), 1, 0)
</f>
        <v>0</v>
      </c>
      <c r="W35" s="319">
        <f>IF(AND('Ações'!AV35="sim", 'Ações'!BD35="sim"), 1, 0)
</f>
        <v>1</v>
      </c>
      <c r="X35" s="319">
        <f>IF(AND('Ações'!AV35="sim", 'Ações'!BE35="sim"), 1, 0)
</f>
        <v>0</v>
      </c>
      <c r="Y35" s="319">
        <f>IF(AND('Ações'!AV35="sim", 'Ações'!BF35="sim"), 1, 0)
</f>
        <v>0</v>
      </c>
      <c r="Z35" s="319">
        <f>IF(AND('Ações'!AV35="sim", 'Ações'!BH35="sim"), 1, 0)
</f>
        <v>0</v>
      </c>
      <c r="AA35" s="319">
        <f>IF(AND('Ações'!AV35="sim", 'Ações'!BI35="sim"), 1, 0)
</f>
        <v>0</v>
      </c>
      <c r="AB35" s="319">
        <f>IF(AND('Ações'!AW35="sim", 'Ações'!BD35="sim"), 1, 0)
</f>
        <v>0</v>
      </c>
      <c r="AC35" s="319">
        <f>IF(AND('Ações'!AW35="sim", 'Ações'!BE35="sim"), 1, 0)
</f>
        <v>0</v>
      </c>
      <c r="AD35" s="319">
        <f>IF(AND('Ações'!AW35="sim", 'Ações'!BF35="sim"), 1, 0)
</f>
        <v>0</v>
      </c>
      <c r="AE35" s="319">
        <f>IF(AND('Ações'!AW35="sim", 'Ações'!BG35="sim"), 1, 0)
</f>
        <v>0</v>
      </c>
      <c r="AF35" s="319">
        <f>IF(AND('Ações'!AW35="sim", 'Ações'!BI35="sim"), 1, 0)
</f>
        <v>0</v>
      </c>
      <c r="AG35" s="319">
        <f>IF(AND('Ações'!AX35="sim", 'Ações'!BD35="sim"), 1, 0)
</f>
        <v>0</v>
      </c>
      <c r="AH35" s="319">
        <f>IF(AND('Ações'!AX35="sim", 'Ações'!BE35="sim"), 1, 0)
</f>
        <v>0</v>
      </c>
      <c r="AI35" s="319">
        <f>IF(AND('Ações'!AX35="sim", 'Ações'!BF35="sim"), 1, 0)
</f>
        <v>0</v>
      </c>
      <c r="AJ35" s="319">
        <f>IF(AND('Ações'!AX35="sim", 'Ações'!BG35="sim"), 1, 0)
</f>
        <v>0</v>
      </c>
      <c r="AK35" s="319">
        <f>IF(AND('Ações'!AX35="sim", 'Ações'!BH35="sim"), 1, 0)
</f>
        <v>0</v>
      </c>
    </row>
    <row r="36">
      <c r="B36" s="319">
        <f>IF(AND('Ações'!AS36="sim", 'Ações'!BD36="sim"), 1, 0)
</f>
        <v>1</v>
      </c>
      <c r="C36" s="319">
        <f>IF(AND('Ações'!AT36="sim", 'Ações'!BE36="sim"), 1, 0)
</f>
        <v>0</v>
      </c>
      <c r="D36" s="319">
        <f>IF(AND('Ações'!AU36="sim", 'Ações'!BF36="sim"), 1, 0)
</f>
        <v>0</v>
      </c>
      <c r="E36" s="319">
        <f>IF(AND('Ações'!AV36="sim", 'Ações'!BG36="sim"), 1, 0)
</f>
        <v>0</v>
      </c>
      <c r="F36" s="319">
        <f>IF(AND('Ações'!AW36="sim", 'Ações'!BH36="sim"), 1, 0)
</f>
        <v>0</v>
      </c>
      <c r="G36" s="319">
        <f>IF(AND('Ações'!AX36="sim", 'Ações'!BI36="sim"), 1, 0)
</f>
        <v>0</v>
      </c>
      <c r="H36" s="319">
        <f>IF(AND('Ações'!AS36="sim", 'Ações'!BE36="sim"), 1, 0)
</f>
        <v>0</v>
      </c>
      <c r="I36" s="319">
        <f>IF(AND('Ações'!AS36="sim", 'Ações'!BF36="sim"), 1, 0)
</f>
        <v>0</v>
      </c>
      <c r="J36" s="319">
        <f>IF(AND('Ações'!AS36="sim", 'Ações'!BG36="sim"), 1, 0)
</f>
        <v>0</v>
      </c>
      <c r="K36" s="319">
        <f>IF(AND('Ações'!AS36="sim", 'Ações'!BH36="sim"), 1, 0)
</f>
        <v>0</v>
      </c>
      <c r="L36" s="319">
        <f>IF(AND('Ações'!AS36="sim", 'Ações'!BI36="sim"), 1, 0)
</f>
        <v>0</v>
      </c>
      <c r="M36" s="319">
        <f>IF(AND('Ações'!AT36="sim", 'Ações'!BD36="sim"), 1, 0)
</f>
        <v>1</v>
      </c>
      <c r="N36" s="319">
        <f>IF(AND('Ações'!AT36="sim", 'Ações'!BF36="sim"), 1, 0)
</f>
        <v>0</v>
      </c>
      <c r="O36" s="319">
        <f>IF(AND('Ações'!AT36="sim", 'Ações'!BG36="sim"), 1, 0)
</f>
        <v>0</v>
      </c>
      <c r="P36" s="319">
        <f>IF(AND('Ações'!AT36="sim", 'Ações'!BH36="sim"), 1, 0)
</f>
        <v>0</v>
      </c>
      <c r="Q36" s="319">
        <f>IF(AND('Ações'!AT36="sim", 'Ações'!BI36="sim"), 1, 0)
</f>
        <v>0</v>
      </c>
      <c r="R36" s="319">
        <f>IF(AND('Ações'!AU36="sim", 'Ações'!BD36="sim"), 1, 0)
</f>
        <v>1</v>
      </c>
      <c r="S36" s="319">
        <f>IF(AND('Ações'!AU36="sim", 'Ações'!BE36="sim"), 1, 0)
</f>
        <v>0</v>
      </c>
      <c r="T36" s="319">
        <f>IF(AND('Ações'!AU36="sim", 'Ações'!BG36="sim"), 1, 0)
</f>
        <v>0</v>
      </c>
      <c r="U36" s="319">
        <f>IF(AND('Ações'!AU36="sim", 'Ações'!BH36="sim"), 1, 0)
</f>
        <v>0</v>
      </c>
      <c r="V36" s="319">
        <f>IF(AND('Ações'!AU36="sim", 'Ações'!BI36="sim"), 1, 0)
</f>
        <v>0</v>
      </c>
      <c r="W36" s="319">
        <f>IF(AND('Ações'!AV36="sim", 'Ações'!BD36="sim"), 1, 0)
</f>
        <v>1</v>
      </c>
      <c r="X36" s="319">
        <f>IF(AND('Ações'!AV36="sim", 'Ações'!BE36="sim"), 1, 0)
</f>
        <v>0</v>
      </c>
      <c r="Y36" s="319">
        <f>IF(AND('Ações'!AV36="sim", 'Ações'!BF36="sim"), 1, 0)
</f>
        <v>0</v>
      </c>
      <c r="Z36" s="319">
        <f>IF(AND('Ações'!AV36="sim", 'Ações'!BH36="sim"), 1, 0)
</f>
        <v>0</v>
      </c>
      <c r="AA36" s="319">
        <f>IF(AND('Ações'!AV36="sim", 'Ações'!BI36="sim"), 1, 0)
</f>
        <v>0</v>
      </c>
      <c r="AB36" s="319">
        <f>IF(AND('Ações'!AW36="sim", 'Ações'!BD36="sim"), 1, 0)
</f>
        <v>0</v>
      </c>
      <c r="AC36" s="319">
        <f>IF(AND('Ações'!AW36="sim", 'Ações'!BE36="sim"), 1, 0)
</f>
        <v>0</v>
      </c>
      <c r="AD36" s="319">
        <f>IF(AND('Ações'!AW36="sim", 'Ações'!BF36="sim"), 1, 0)
</f>
        <v>0</v>
      </c>
      <c r="AE36" s="319">
        <f>IF(AND('Ações'!AW36="sim", 'Ações'!BG36="sim"), 1, 0)
</f>
        <v>0</v>
      </c>
      <c r="AF36" s="319">
        <f>IF(AND('Ações'!AW36="sim", 'Ações'!BI36="sim"), 1, 0)
</f>
        <v>0</v>
      </c>
      <c r="AG36" s="319">
        <f>IF(AND('Ações'!AX36="sim", 'Ações'!BD36="sim"), 1, 0)
</f>
        <v>0</v>
      </c>
      <c r="AH36" s="319">
        <f>IF(AND('Ações'!AX36="sim", 'Ações'!BE36="sim"), 1, 0)
</f>
        <v>0</v>
      </c>
      <c r="AI36" s="319">
        <f>IF(AND('Ações'!AX36="sim", 'Ações'!BF36="sim"), 1, 0)
</f>
        <v>0</v>
      </c>
      <c r="AJ36" s="319">
        <f>IF(AND('Ações'!AX36="sim", 'Ações'!BG36="sim"), 1, 0)
</f>
        <v>0</v>
      </c>
      <c r="AK36" s="319">
        <f>IF(AND('Ações'!AX36="sim", 'Ações'!BH36="sim"), 1, 0)
</f>
        <v>0</v>
      </c>
    </row>
    <row r="37">
      <c r="B37" s="319">
        <f>IF(AND('Ações'!AS37="sim", 'Ações'!BD37="sim"), 1, 0)
</f>
        <v>1</v>
      </c>
      <c r="C37" s="319">
        <f>IF(AND('Ações'!AT37="sim", 'Ações'!BE37="sim"), 1, 0)
</f>
        <v>0</v>
      </c>
      <c r="D37" s="319">
        <f>IF(AND('Ações'!AU37="sim", 'Ações'!BF37="sim"), 1, 0)
</f>
        <v>0</v>
      </c>
      <c r="E37" s="319">
        <f>IF(AND('Ações'!AV37="sim", 'Ações'!BG37="sim"), 1, 0)
</f>
        <v>0</v>
      </c>
      <c r="F37" s="319">
        <f>IF(AND('Ações'!AW37="sim", 'Ações'!BH37="sim"), 1, 0)
</f>
        <v>0</v>
      </c>
      <c r="G37" s="319">
        <f>IF(AND('Ações'!AX37="sim", 'Ações'!BI37="sim"), 1, 0)
</f>
        <v>0</v>
      </c>
      <c r="H37" s="319">
        <f>IF(AND('Ações'!AS37="sim", 'Ações'!BE37="sim"), 1, 0)
</f>
        <v>0</v>
      </c>
      <c r="I37" s="319">
        <f>IF(AND('Ações'!AS37="sim", 'Ações'!BF37="sim"), 1, 0)
</f>
        <v>0</v>
      </c>
      <c r="J37" s="319">
        <f>IF(AND('Ações'!AS37="sim", 'Ações'!BG37="sim"), 1, 0)
</f>
        <v>0</v>
      </c>
      <c r="K37" s="319">
        <f>IF(AND('Ações'!AS37="sim", 'Ações'!BH37="sim"), 1, 0)
</f>
        <v>0</v>
      </c>
      <c r="L37" s="319">
        <f>IF(AND('Ações'!AS37="sim", 'Ações'!BI37="sim"), 1, 0)
</f>
        <v>0</v>
      </c>
      <c r="M37" s="319">
        <f>IF(AND('Ações'!AT37="sim", 'Ações'!BD37="sim"), 1, 0)
</f>
        <v>1</v>
      </c>
      <c r="N37" s="319">
        <f>IF(AND('Ações'!AT37="sim", 'Ações'!BF37="sim"), 1, 0)
</f>
        <v>0</v>
      </c>
      <c r="O37" s="319">
        <f>IF(AND('Ações'!AT37="sim", 'Ações'!BG37="sim"), 1, 0)
</f>
        <v>0</v>
      </c>
      <c r="P37" s="319">
        <f>IF(AND('Ações'!AT37="sim", 'Ações'!BH37="sim"), 1, 0)
</f>
        <v>0</v>
      </c>
      <c r="Q37" s="319">
        <f>IF(AND('Ações'!AT37="sim", 'Ações'!BI37="sim"), 1, 0)
</f>
        <v>0</v>
      </c>
      <c r="R37" s="319">
        <f>IF(AND('Ações'!AU37="sim", 'Ações'!BD37="sim"), 1, 0)
</f>
        <v>1</v>
      </c>
      <c r="S37" s="319">
        <f>IF(AND('Ações'!AU37="sim", 'Ações'!BE37="sim"), 1, 0)
</f>
        <v>0</v>
      </c>
      <c r="T37" s="319">
        <f>IF(AND('Ações'!AU37="sim", 'Ações'!BG37="sim"), 1, 0)
</f>
        <v>0</v>
      </c>
      <c r="U37" s="319">
        <f>IF(AND('Ações'!AU37="sim", 'Ações'!BH37="sim"), 1, 0)
</f>
        <v>0</v>
      </c>
      <c r="V37" s="319">
        <f>IF(AND('Ações'!AU37="sim", 'Ações'!BI37="sim"), 1, 0)
</f>
        <v>0</v>
      </c>
      <c r="W37" s="319">
        <f>IF(AND('Ações'!AV37="sim", 'Ações'!BD37="sim"), 1, 0)
</f>
        <v>1</v>
      </c>
      <c r="X37" s="319">
        <f>IF(AND('Ações'!AV37="sim", 'Ações'!BE37="sim"), 1, 0)
</f>
        <v>0</v>
      </c>
      <c r="Y37" s="319">
        <f>IF(AND('Ações'!AV37="sim", 'Ações'!BF37="sim"), 1, 0)
</f>
        <v>0</v>
      </c>
      <c r="Z37" s="319">
        <f>IF(AND('Ações'!AV37="sim", 'Ações'!BH37="sim"), 1, 0)
</f>
        <v>0</v>
      </c>
      <c r="AA37" s="319">
        <f>IF(AND('Ações'!AV37="sim", 'Ações'!BI37="sim"), 1, 0)
</f>
        <v>0</v>
      </c>
      <c r="AB37" s="319">
        <f>IF(AND('Ações'!AW37="sim", 'Ações'!BD37="sim"), 1, 0)
</f>
        <v>0</v>
      </c>
      <c r="AC37" s="319">
        <f>IF(AND('Ações'!AW37="sim", 'Ações'!BE37="sim"), 1, 0)
</f>
        <v>0</v>
      </c>
      <c r="AD37" s="319">
        <f>IF(AND('Ações'!AW37="sim", 'Ações'!BF37="sim"), 1, 0)
</f>
        <v>0</v>
      </c>
      <c r="AE37" s="319">
        <f>IF(AND('Ações'!AW37="sim", 'Ações'!BG37="sim"), 1, 0)
</f>
        <v>0</v>
      </c>
      <c r="AF37" s="319">
        <f>IF(AND('Ações'!AW37="sim", 'Ações'!BI37="sim"), 1, 0)
</f>
        <v>0</v>
      </c>
      <c r="AG37" s="319">
        <f>IF(AND('Ações'!AX37="sim", 'Ações'!BD37="sim"), 1, 0)
</f>
        <v>0</v>
      </c>
      <c r="AH37" s="319">
        <f>IF(AND('Ações'!AX37="sim", 'Ações'!BE37="sim"), 1, 0)
</f>
        <v>0</v>
      </c>
      <c r="AI37" s="319">
        <f>IF(AND('Ações'!AX37="sim", 'Ações'!BF37="sim"), 1, 0)
</f>
        <v>0</v>
      </c>
      <c r="AJ37" s="319">
        <f>IF(AND('Ações'!AX37="sim", 'Ações'!BG37="sim"), 1, 0)
</f>
        <v>0</v>
      </c>
      <c r="AK37" s="319">
        <f>IF(AND('Ações'!AX37="sim", 'Ações'!BH37="sim"), 1, 0)
</f>
        <v>0</v>
      </c>
    </row>
    <row r="38">
      <c r="B38" s="319">
        <f>IF(AND('Ações'!AS38="sim", 'Ações'!BD38="sim"), 1, 0)
</f>
        <v>1</v>
      </c>
      <c r="C38" s="319">
        <f>IF(AND('Ações'!AT38="sim", 'Ações'!BE38="sim"), 1, 0)
</f>
        <v>0</v>
      </c>
      <c r="D38" s="319">
        <f>IF(AND('Ações'!AU38="sim", 'Ações'!BF38="sim"), 1, 0)
</f>
        <v>0</v>
      </c>
      <c r="E38" s="319">
        <f>IF(AND('Ações'!AV38="sim", 'Ações'!BG38="sim"), 1, 0)
</f>
        <v>0</v>
      </c>
      <c r="F38" s="319">
        <f>IF(AND('Ações'!AW38="sim", 'Ações'!BH38="sim"), 1, 0)
</f>
        <v>0</v>
      </c>
      <c r="G38" s="319">
        <f>IF(AND('Ações'!AX38="sim", 'Ações'!BI38="sim"), 1, 0)
</f>
        <v>0</v>
      </c>
      <c r="H38" s="319">
        <f>IF(AND('Ações'!AS38="sim", 'Ações'!BE38="sim"), 1, 0)
</f>
        <v>0</v>
      </c>
      <c r="I38" s="319">
        <f>IF(AND('Ações'!AS38="sim", 'Ações'!BF38="sim"), 1, 0)
</f>
        <v>0</v>
      </c>
      <c r="J38" s="319">
        <f>IF(AND('Ações'!AS38="sim", 'Ações'!BG38="sim"), 1, 0)
</f>
        <v>0</v>
      </c>
      <c r="K38" s="319">
        <f>IF(AND('Ações'!AS38="sim", 'Ações'!BH38="sim"), 1, 0)
</f>
        <v>0</v>
      </c>
      <c r="L38" s="319">
        <f>IF(AND('Ações'!AS38="sim", 'Ações'!BI38="sim"), 1, 0)
</f>
        <v>0</v>
      </c>
      <c r="M38" s="319">
        <f>IF(AND('Ações'!AT38="sim", 'Ações'!BD38="sim"), 1, 0)
</f>
        <v>1</v>
      </c>
      <c r="N38" s="319">
        <f>IF(AND('Ações'!AT38="sim", 'Ações'!BF38="sim"), 1, 0)
</f>
        <v>0</v>
      </c>
      <c r="O38" s="319">
        <f>IF(AND('Ações'!AT38="sim", 'Ações'!BG38="sim"), 1, 0)
</f>
        <v>0</v>
      </c>
      <c r="P38" s="319">
        <f>IF(AND('Ações'!AT38="sim", 'Ações'!BH38="sim"), 1, 0)
</f>
        <v>0</v>
      </c>
      <c r="Q38" s="319">
        <f>IF(AND('Ações'!AT38="sim", 'Ações'!BI38="sim"), 1, 0)
</f>
        <v>0</v>
      </c>
      <c r="R38" s="319">
        <f>IF(AND('Ações'!AU38="sim", 'Ações'!BD38="sim"), 1, 0)
</f>
        <v>1</v>
      </c>
      <c r="S38" s="319">
        <f>IF(AND('Ações'!AU38="sim", 'Ações'!BE38="sim"), 1, 0)
</f>
        <v>0</v>
      </c>
      <c r="T38" s="319">
        <f>IF(AND('Ações'!AU38="sim", 'Ações'!BG38="sim"), 1, 0)
</f>
        <v>0</v>
      </c>
      <c r="U38" s="319">
        <f>IF(AND('Ações'!AU38="sim", 'Ações'!BH38="sim"), 1, 0)
</f>
        <v>0</v>
      </c>
      <c r="V38" s="319">
        <f>IF(AND('Ações'!AU38="sim", 'Ações'!BI38="sim"), 1, 0)
</f>
        <v>0</v>
      </c>
      <c r="W38" s="319">
        <f>IF(AND('Ações'!AV38="sim", 'Ações'!BD38="sim"), 1, 0)
</f>
        <v>1</v>
      </c>
      <c r="X38" s="319">
        <f>IF(AND('Ações'!AV38="sim", 'Ações'!BE38="sim"), 1, 0)
</f>
        <v>0</v>
      </c>
      <c r="Y38" s="319">
        <f>IF(AND('Ações'!AV38="sim", 'Ações'!BF38="sim"), 1, 0)
</f>
        <v>0</v>
      </c>
      <c r="Z38" s="319">
        <f>IF(AND('Ações'!AV38="sim", 'Ações'!BH38="sim"), 1, 0)
</f>
        <v>0</v>
      </c>
      <c r="AA38" s="319">
        <f>IF(AND('Ações'!AV38="sim", 'Ações'!BI38="sim"), 1, 0)
</f>
        <v>0</v>
      </c>
      <c r="AB38" s="319">
        <f>IF(AND('Ações'!AW38="sim", 'Ações'!BD38="sim"), 1, 0)
</f>
        <v>0</v>
      </c>
      <c r="AC38" s="319">
        <f>IF(AND('Ações'!AW38="sim", 'Ações'!BE38="sim"), 1, 0)
</f>
        <v>0</v>
      </c>
      <c r="AD38" s="319">
        <f>IF(AND('Ações'!AW38="sim", 'Ações'!BF38="sim"), 1, 0)
</f>
        <v>0</v>
      </c>
      <c r="AE38" s="319">
        <f>IF(AND('Ações'!AW38="sim", 'Ações'!BG38="sim"), 1, 0)
</f>
        <v>0</v>
      </c>
      <c r="AF38" s="319">
        <f>IF(AND('Ações'!AW38="sim", 'Ações'!BI38="sim"), 1, 0)
</f>
        <v>0</v>
      </c>
      <c r="AG38" s="319">
        <f>IF(AND('Ações'!AX38="sim", 'Ações'!BD38="sim"), 1, 0)
</f>
        <v>0</v>
      </c>
      <c r="AH38" s="319">
        <f>IF(AND('Ações'!AX38="sim", 'Ações'!BE38="sim"), 1, 0)
</f>
        <v>0</v>
      </c>
      <c r="AI38" s="319">
        <f>IF(AND('Ações'!AX38="sim", 'Ações'!BF38="sim"), 1, 0)
</f>
        <v>0</v>
      </c>
      <c r="AJ38" s="319">
        <f>IF(AND('Ações'!AX38="sim", 'Ações'!BG38="sim"), 1, 0)
</f>
        <v>0</v>
      </c>
      <c r="AK38" s="319">
        <f>IF(AND('Ações'!AX38="sim", 'Ações'!BH38="sim"), 1, 0)
</f>
        <v>0</v>
      </c>
    </row>
    <row r="39">
      <c r="B39" s="319">
        <f>IF(AND('Ações'!AS39="sim", 'Ações'!BD39="sim"), 1, 0)
</f>
        <v>1</v>
      </c>
      <c r="C39" s="319">
        <f>IF(AND('Ações'!AT39="sim", 'Ações'!BE39="sim"), 1, 0)
</f>
        <v>0</v>
      </c>
      <c r="D39" s="319">
        <f>IF(AND('Ações'!AU39="sim", 'Ações'!BF39="sim"), 1, 0)
</f>
        <v>0</v>
      </c>
      <c r="E39" s="319">
        <f>IF(AND('Ações'!AV39="sim", 'Ações'!BG39="sim"), 1, 0)
</f>
        <v>0</v>
      </c>
      <c r="F39" s="319">
        <f>IF(AND('Ações'!AW39="sim", 'Ações'!BH39="sim"), 1, 0)
</f>
        <v>0</v>
      </c>
      <c r="G39" s="319">
        <f>IF(AND('Ações'!AX39="sim", 'Ações'!BI39="sim"), 1, 0)
</f>
        <v>0</v>
      </c>
      <c r="H39" s="319">
        <f>IF(AND('Ações'!AS39="sim", 'Ações'!BE39="sim"), 1, 0)
</f>
        <v>0</v>
      </c>
      <c r="I39" s="319">
        <f>IF(AND('Ações'!AS39="sim", 'Ações'!BF39="sim"), 1, 0)
</f>
        <v>0</v>
      </c>
      <c r="J39" s="319">
        <f>IF(AND('Ações'!AS39="sim", 'Ações'!BG39="sim"), 1, 0)
</f>
        <v>0</v>
      </c>
      <c r="K39" s="319">
        <f>IF(AND('Ações'!AS39="sim", 'Ações'!BH39="sim"), 1, 0)
</f>
        <v>0</v>
      </c>
      <c r="L39" s="319">
        <f>IF(AND('Ações'!AS39="sim", 'Ações'!BI39="sim"), 1, 0)
</f>
        <v>0</v>
      </c>
      <c r="M39" s="319">
        <f>IF(AND('Ações'!AT39="sim", 'Ações'!BD39="sim"), 1, 0)
</f>
        <v>1</v>
      </c>
      <c r="N39" s="319">
        <f>IF(AND('Ações'!AT39="sim", 'Ações'!BF39="sim"), 1, 0)
</f>
        <v>0</v>
      </c>
      <c r="O39" s="319">
        <f>IF(AND('Ações'!AT39="sim", 'Ações'!BG39="sim"), 1, 0)
</f>
        <v>0</v>
      </c>
      <c r="P39" s="319">
        <f>IF(AND('Ações'!AT39="sim", 'Ações'!BH39="sim"), 1, 0)
</f>
        <v>0</v>
      </c>
      <c r="Q39" s="319">
        <f>IF(AND('Ações'!AT39="sim", 'Ações'!BI39="sim"), 1, 0)
</f>
        <v>0</v>
      </c>
      <c r="R39" s="319">
        <f>IF(AND('Ações'!AU39="sim", 'Ações'!BD39="sim"), 1, 0)
</f>
        <v>1</v>
      </c>
      <c r="S39" s="319">
        <f>IF(AND('Ações'!AU39="sim", 'Ações'!BE39="sim"), 1, 0)
</f>
        <v>0</v>
      </c>
      <c r="T39" s="319">
        <f>IF(AND('Ações'!AU39="sim", 'Ações'!BG39="sim"), 1, 0)
</f>
        <v>0</v>
      </c>
      <c r="U39" s="319">
        <f>IF(AND('Ações'!AU39="sim", 'Ações'!BH39="sim"), 1, 0)
</f>
        <v>0</v>
      </c>
      <c r="V39" s="319">
        <f>IF(AND('Ações'!AU39="sim", 'Ações'!BI39="sim"), 1, 0)
</f>
        <v>0</v>
      </c>
      <c r="W39" s="319">
        <f>IF(AND('Ações'!AV39="sim", 'Ações'!BD39="sim"), 1, 0)
</f>
        <v>1</v>
      </c>
      <c r="X39" s="319">
        <f>IF(AND('Ações'!AV39="sim", 'Ações'!BE39="sim"), 1, 0)
</f>
        <v>0</v>
      </c>
      <c r="Y39" s="319">
        <f>IF(AND('Ações'!AV39="sim", 'Ações'!BF39="sim"), 1, 0)
</f>
        <v>0</v>
      </c>
      <c r="Z39" s="319">
        <f>IF(AND('Ações'!AV39="sim", 'Ações'!BH39="sim"), 1, 0)
</f>
        <v>0</v>
      </c>
      <c r="AA39" s="319">
        <f>IF(AND('Ações'!AV39="sim", 'Ações'!BI39="sim"), 1, 0)
</f>
        <v>0</v>
      </c>
      <c r="AB39" s="319">
        <f>IF(AND('Ações'!AW39="sim", 'Ações'!BD39="sim"), 1, 0)
</f>
        <v>0</v>
      </c>
      <c r="AC39" s="319">
        <f>IF(AND('Ações'!AW39="sim", 'Ações'!BE39="sim"), 1, 0)
</f>
        <v>0</v>
      </c>
      <c r="AD39" s="319">
        <f>IF(AND('Ações'!AW39="sim", 'Ações'!BF39="sim"), 1, 0)
</f>
        <v>0</v>
      </c>
      <c r="AE39" s="319">
        <f>IF(AND('Ações'!AW39="sim", 'Ações'!BG39="sim"), 1, 0)
</f>
        <v>0</v>
      </c>
      <c r="AF39" s="319">
        <f>IF(AND('Ações'!AW39="sim", 'Ações'!BI39="sim"), 1, 0)
</f>
        <v>0</v>
      </c>
      <c r="AG39" s="319">
        <f>IF(AND('Ações'!AX39="sim", 'Ações'!BD39="sim"), 1, 0)
</f>
        <v>0</v>
      </c>
      <c r="AH39" s="319">
        <f>IF(AND('Ações'!AX39="sim", 'Ações'!BE39="sim"), 1, 0)
</f>
        <v>0</v>
      </c>
      <c r="AI39" s="319">
        <f>IF(AND('Ações'!AX39="sim", 'Ações'!BF39="sim"), 1, 0)
</f>
        <v>0</v>
      </c>
      <c r="AJ39" s="319">
        <f>IF(AND('Ações'!AX39="sim", 'Ações'!BG39="sim"), 1, 0)
</f>
        <v>0</v>
      </c>
      <c r="AK39" s="319">
        <f>IF(AND('Ações'!AX39="sim", 'Ações'!BH39="sim"), 1, 0)
</f>
        <v>0</v>
      </c>
    </row>
    <row r="40">
      <c r="B40" s="319">
        <f>IF(AND('Ações'!AS40="sim", 'Ações'!BD40="sim"), 1, 0)
</f>
        <v>1</v>
      </c>
      <c r="C40" s="319">
        <f>IF(AND('Ações'!AT40="sim", 'Ações'!BE40="sim"), 1, 0)
</f>
        <v>0</v>
      </c>
      <c r="D40" s="319">
        <f>IF(AND('Ações'!AU40="sim", 'Ações'!BF40="sim"), 1, 0)
</f>
        <v>0</v>
      </c>
      <c r="E40" s="319">
        <f>IF(AND('Ações'!AV40="sim", 'Ações'!BG40="sim"), 1, 0)
</f>
        <v>0</v>
      </c>
      <c r="F40" s="319">
        <f>IF(AND('Ações'!AW40="sim", 'Ações'!BH40="sim"), 1, 0)
</f>
        <v>0</v>
      </c>
      <c r="G40" s="319">
        <f>IF(AND('Ações'!AX40="sim", 'Ações'!BI40="sim"), 1, 0)
</f>
        <v>0</v>
      </c>
      <c r="H40" s="319">
        <f>IF(AND('Ações'!AS40="sim", 'Ações'!BE40="sim"), 1, 0)
</f>
        <v>0</v>
      </c>
      <c r="I40" s="319">
        <f>IF(AND('Ações'!AS40="sim", 'Ações'!BF40="sim"), 1, 0)
</f>
        <v>0</v>
      </c>
      <c r="J40" s="319">
        <f>IF(AND('Ações'!AS40="sim", 'Ações'!BG40="sim"), 1, 0)
</f>
        <v>0</v>
      </c>
      <c r="K40" s="319">
        <f>IF(AND('Ações'!AS40="sim", 'Ações'!BH40="sim"), 1, 0)
</f>
        <v>0</v>
      </c>
      <c r="L40" s="319">
        <f>IF(AND('Ações'!AS40="sim", 'Ações'!BI40="sim"), 1, 0)
</f>
        <v>0</v>
      </c>
      <c r="M40" s="319">
        <f>IF(AND('Ações'!AT40="sim", 'Ações'!BD40="sim"), 1, 0)
</f>
        <v>1</v>
      </c>
      <c r="N40" s="319">
        <f>IF(AND('Ações'!AT40="sim", 'Ações'!BF40="sim"), 1, 0)
</f>
        <v>0</v>
      </c>
      <c r="O40" s="319">
        <f>IF(AND('Ações'!AT40="sim", 'Ações'!BG40="sim"), 1, 0)
</f>
        <v>0</v>
      </c>
      <c r="P40" s="319">
        <f>IF(AND('Ações'!AT40="sim", 'Ações'!BH40="sim"), 1, 0)
</f>
        <v>0</v>
      </c>
      <c r="Q40" s="319">
        <f>IF(AND('Ações'!AT40="sim", 'Ações'!BI40="sim"), 1, 0)
</f>
        <v>0</v>
      </c>
      <c r="R40" s="319">
        <f>IF(AND('Ações'!AU40="sim", 'Ações'!BD40="sim"), 1, 0)
</f>
        <v>1</v>
      </c>
      <c r="S40" s="319">
        <f>IF(AND('Ações'!AU40="sim", 'Ações'!BE40="sim"), 1, 0)
</f>
        <v>0</v>
      </c>
      <c r="T40" s="319">
        <f>IF(AND('Ações'!AU40="sim", 'Ações'!BG40="sim"), 1, 0)
</f>
        <v>0</v>
      </c>
      <c r="U40" s="319">
        <f>IF(AND('Ações'!AU40="sim", 'Ações'!BH40="sim"), 1, 0)
</f>
        <v>0</v>
      </c>
      <c r="V40" s="319">
        <f>IF(AND('Ações'!AU40="sim", 'Ações'!BI40="sim"), 1, 0)
</f>
        <v>0</v>
      </c>
      <c r="W40" s="319">
        <f>IF(AND('Ações'!AV40="sim", 'Ações'!BD40="sim"), 1, 0)
</f>
        <v>1</v>
      </c>
      <c r="X40" s="319">
        <f>IF(AND('Ações'!AV40="sim", 'Ações'!BE40="sim"), 1, 0)
</f>
        <v>0</v>
      </c>
      <c r="Y40" s="319">
        <f>IF(AND('Ações'!AV40="sim", 'Ações'!BF40="sim"), 1, 0)
</f>
        <v>0</v>
      </c>
      <c r="Z40" s="319">
        <f>IF(AND('Ações'!AV40="sim", 'Ações'!BH40="sim"), 1, 0)
</f>
        <v>0</v>
      </c>
      <c r="AA40" s="319">
        <f>IF(AND('Ações'!AV40="sim", 'Ações'!BI40="sim"), 1, 0)
</f>
        <v>0</v>
      </c>
      <c r="AB40" s="319">
        <f>IF(AND('Ações'!AW40="sim", 'Ações'!BD40="sim"), 1, 0)
</f>
        <v>0</v>
      </c>
      <c r="AC40" s="319">
        <f>IF(AND('Ações'!AW40="sim", 'Ações'!BE40="sim"), 1, 0)
</f>
        <v>0</v>
      </c>
      <c r="AD40" s="319">
        <f>IF(AND('Ações'!AW40="sim", 'Ações'!BF40="sim"), 1, 0)
</f>
        <v>0</v>
      </c>
      <c r="AE40" s="319">
        <f>IF(AND('Ações'!AW40="sim", 'Ações'!BG40="sim"), 1, 0)
</f>
        <v>0</v>
      </c>
      <c r="AF40" s="319">
        <f>IF(AND('Ações'!AW40="sim", 'Ações'!BI40="sim"), 1, 0)
</f>
        <v>0</v>
      </c>
      <c r="AG40" s="319">
        <f>IF(AND('Ações'!AX40="sim", 'Ações'!BD40="sim"), 1, 0)
</f>
        <v>0</v>
      </c>
      <c r="AH40" s="319">
        <f>IF(AND('Ações'!AX40="sim", 'Ações'!BE40="sim"), 1, 0)
</f>
        <v>0</v>
      </c>
      <c r="AI40" s="319">
        <f>IF(AND('Ações'!AX40="sim", 'Ações'!BF40="sim"), 1, 0)
</f>
        <v>0</v>
      </c>
      <c r="AJ40" s="319">
        <f>IF(AND('Ações'!AX40="sim", 'Ações'!BG40="sim"), 1, 0)
</f>
        <v>0</v>
      </c>
      <c r="AK40" s="319">
        <f>IF(AND('Ações'!AX40="sim", 'Ações'!BH40="sim"), 1, 0)
</f>
        <v>0</v>
      </c>
    </row>
    <row r="41">
      <c r="B41" s="319">
        <f>IF(AND('Ações'!AS41="sim", 'Ações'!BD41="sim"), 1, 0)
</f>
        <v>1</v>
      </c>
      <c r="C41" s="319">
        <f>IF(AND('Ações'!AT41="sim", 'Ações'!BE41="sim"), 1, 0)
</f>
        <v>0</v>
      </c>
      <c r="D41" s="319">
        <f>IF(AND('Ações'!AU41="sim", 'Ações'!BF41="sim"), 1, 0)
</f>
        <v>0</v>
      </c>
      <c r="E41" s="319">
        <f>IF(AND('Ações'!AV41="sim", 'Ações'!BG41="sim"), 1, 0)
</f>
        <v>0</v>
      </c>
      <c r="F41" s="319">
        <f>IF(AND('Ações'!AW41="sim", 'Ações'!BH41="sim"), 1, 0)
</f>
        <v>0</v>
      </c>
      <c r="G41" s="319">
        <f>IF(AND('Ações'!AX41="sim", 'Ações'!BI41="sim"), 1, 0)
</f>
        <v>0</v>
      </c>
      <c r="H41" s="319">
        <f>IF(AND('Ações'!AS41="sim", 'Ações'!BE41="sim"), 1, 0)
</f>
        <v>0</v>
      </c>
      <c r="I41" s="319">
        <f>IF(AND('Ações'!AS41="sim", 'Ações'!BF41="sim"), 1, 0)
</f>
        <v>0</v>
      </c>
      <c r="J41" s="319">
        <f>IF(AND('Ações'!AS41="sim", 'Ações'!BG41="sim"), 1, 0)
</f>
        <v>0</v>
      </c>
      <c r="K41" s="319">
        <f>IF(AND('Ações'!AS41="sim", 'Ações'!BH41="sim"), 1, 0)
</f>
        <v>0</v>
      </c>
      <c r="L41" s="319">
        <f>IF(AND('Ações'!AS41="sim", 'Ações'!BI41="sim"), 1, 0)
</f>
        <v>0</v>
      </c>
      <c r="M41" s="319">
        <f>IF(AND('Ações'!AT41="sim", 'Ações'!BD41="sim"), 1, 0)
</f>
        <v>1</v>
      </c>
      <c r="N41" s="319">
        <f>IF(AND('Ações'!AT41="sim", 'Ações'!BF41="sim"), 1, 0)
</f>
        <v>0</v>
      </c>
      <c r="O41" s="319">
        <f>IF(AND('Ações'!AT41="sim", 'Ações'!BG41="sim"), 1, 0)
</f>
        <v>0</v>
      </c>
      <c r="P41" s="319">
        <f>IF(AND('Ações'!AT41="sim", 'Ações'!BH41="sim"), 1, 0)
</f>
        <v>0</v>
      </c>
      <c r="Q41" s="319">
        <f>IF(AND('Ações'!AT41="sim", 'Ações'!BI41="sim"), 1, 0)
</f>
        <v>0</v>
      </c>
      <c r="R41" s="319">
        <f>IF(AND('Ações'!AU41="sim", 'Ações'!BD41="sim"), 1, 0)
</f>
        <v>1</v>
      </c>
      <c r="S41" s="319">
        <f>IF(AND('Ações'!AU41="sim", 'Ações'!BE41="sim"), 1, 0)
</f>
        <v>0</v>
      </c>
      <c r="T41" s="319">
        <f>IF(AND('Ações'!AU41="sim", 'Ações'!BG41="sim"), 1, 0)
</f>
        <v>0</v>
      </c>
      <c r="U41" s="319">
        <f>IF(AND('Ações'!AU41="sim", 'Ações'!BH41="sim"), 1, 0)
</f>
        <v>0</v>
      </c>
      <c r="V41" s="319">
        <f>IF(AND('Ações'!AU41="sim", 'Ações'!BI41="sim"), 1, 0)
</f>
        <v>0</v>
      </c>
      <c r="W41" s="319">
        <f>IF(AND('Ações'!AV41="sim", 'Ações'!BD41="sim"), 1, 0)
</f>
        <v>1</v>
      </c>
      <c r="X41" s="319">
        <f>IF(AND('Ações'!AV41="sim", 'Ações'!BE41="sim"), 1, 0)
</f>
        <v>0</v>
      </c>
      <c r="Y41" s="319">
        <f>IF(AND('Ações'!AV41="sim", 'Ações'!BF41="sim"), 1, 0)
</f>
        <v>0</v>
      </c>
      <c r="Z41" s="319">
        <f>IF(AND('Ações'!AV41="sim", 'Ações'!BH41="sim"), 1, 0)
</f>
        <v>0</v>
      </c>
      <c r="AA41" s="319">
        <f>IF(AND('Ações'!AV41="sim", 'Ações'!BI41="sim"), 1, 0)
</f>
        <v>0</v>
      </c>
      <c r="AB41" s="319">
        <f>IF(AND('Ações'!AW41="sim", 'Ações'!BD41="sim"), 1, 0)
</f>
        <v>0</v>
      </c>
      <c r="AC41" s="319">
        <f>IF(AND('Ações'!AW41="sim", 'Ações'!BE41="sim"), 1, 0)
</f>
        <v>0</v>
      </c>
      <c r="AD41" s="319">
        <f>IF(AND('Ações'!AW41="sim", 'Ações'!BF41="sim"), 1, 0)
</f>
        <v>0</v>
      </c>
      <c r="AE41" s="319">
        <f>IF(AND('Ações'!AW41="sim", 'Ações'!BG41="sim"), 1, 0)
</f>
        <v>0</v>
      </c>
      <c r="AF41" s="319">
        <f>IF(AND('Ações'!AW41="sim", 'Ações'!BI41="sim"), 1, 0)
</f>
        <v>0</v>
      </c>
      <c r="AG41" s="319">
        <f>IF(AND('Ações'!AX41="sim", 'Ações'!BD41="sim"), 1, 0)
</f>
        <v>0</v>
      </c>
      <c r="AH41" s="319">
        <f>IF(AND('Ações'!AX41="sim", 'Ações'!BE41="sim"), 1, 0)
</f>
        <v>0</v>
      </c>
      <c r="AI41" s="319">
        <f>IF(AND('Ações'!AX41="sim", 'Ações'!BF41="sim"), 1, 0)
</f>
        <v>0</v>
      </c>
      <c r="AJ41" s="319">
        <f>IF(AND('Ações'!AX41="sim", 'Ações'!BG41="sim"), 1, 0)
</f>
        <v>0</v>
      </c>
      <c r="AK41" s="319">
        <f>IF(AND('Ações'!AX41="sim", 'Ações'!BH41="sim"), 1, 0)
</f>
        <v>0</v>
      </c>
    </row>
    <row r="42">
      <c r="B42" s="319">
        <f>IF(AND('Ações'!AS42="sim", 'Ações'!BD42="sim"), 1, 0)
</f>
        <v>1</v>
      </c>
      <c r="C42" s="319">
        <f>IF(AND('Ações'!AT42="sim", 'Ações'!BE42="sim"), 1, 0)
</f>
        <v>1</v>
      </c>
      <c r="D42" s="319">
        <f>IF(AND('Ações'!AU42="sim", 'Ações'!BF42="sim"), 1, 0)
</f>
        <v>0</v>
      </c>
      <c r="E42" s="319">
        <f>IF(AND('Ações'!AV42="sim", 'Ações'!BG42="sim"), 1, 0)
</f>
        <v>0</v>
      </c>
      <c r="F42" s="319">
        <f>IF(AND('Ações'!AW42="sim", 'Ações'!BH42="sim"), 1, 0)
</f>
        <v>0</v>
      </c>
      <c r="G42" s="319">
        <f>IF(AND('Ações'!AX42="sim", 'Ações'!BI42="sim"), 1, 0)
</f>
        <v>0</v>
      </c>
      <c r="H42" s="319">
        <f>IF(AND('Ações'!AS42="sim", 'Ações'!BE42="sim"), 1, 0)
</f>
        <v>1</v>
      </c>
      <c r="I42" s="319">
        <f>IF(AND('Ações'!AS42="sim", 'Ações'!BF42="sim"), 1, 0)
</f>
        <v>0</v>
      </c>
      <c r="J42" s="319">
        <f>IF(AND('Ações'!AS42="sim", 'Ações'!BG42="sim"), 1, 0)
</f>
        <v>0</v>
      </c>
      <c r="K42" s="319">
        <f>IF(AND('Ações'!AS42="sim", 'Ações'!BH42="sim"), 1, 0)
</f>
        <v>0</v>
      </c>
      <c r="L42" s="319">
        <f>IF(AND('Ações'!AS42="sim", 'Ações'!BI42="sim"), 1, 0)
</f>
        <v>0</v>
      </c>
      <c r="M42" s="319">
        <f>IF(AND('Ações'!AT42="sim", 'Ações'!BD42="sim"), 1, 0)
</f>
        <v>1</v>
      </c>
      <c r="N42" s="319">
        <f>IF(AND('Ações'!AT42="sim", 'Ações'!BF42="sim"), 1, 0)
</f>
        <v>0</v>
      </c>
      <c r="O42" s="319">
        <f>IF(AND('Ações'!AT42="sim", 'Ações'!BG42="sim"), 1, 0)
</f>
        <v>0</v>
      </c>
      <c r="P42" s="319">
        <f>IF(AND('Ações'!AT42="sim", 'Ações'!BH42="sim"), 1, 0)
</f>
        <v>0</v>
      </c>
      <c r="Q42" s="319">
        <f>IF(AND('Ações'!AT42="sim", 'Ações'!BI42="sim"), 1, 0)
</f>
        <v>0</v>
      </c>
      <c r="R42" s="319">
        <f>IF(AND('Ações'!AU42="sim", 'Ações'!BD42="sim"), 1, 0)
</f>
        <v>1</v>
      </c>
      <c r="S42" s="319">
        <f>IF(AND('Ações'!AU42="sim", 'Ações'!BE42="sim"), 1, 0)
</f>
        <v>1</v>
      </c>
      <c r="T42" s="319">
        <f>IF(AND('Ações'!AU42="sim", 'Ações'!BG42="sim"), 1, 0)
</f>
        <v>0</v>
      </c>
      <c r="U42" s="319">
        <f>IF(AND('Ações'!AU42="sim", 'Ações'!BH42="sim"), 1, 0)
</f>
        <v>0</v>
      </c>
      <c r="V42" s="319">
        <f>IF(AND('Ações'!AU42="sim", 'Ações'!BI42="sim"), 1, 0)
</f>
        <v>0</v>
      </c>
      <c r="W42" s="319">
        <f>IF(AND('Ações'!AV42="sim", 'Ações'!BD42="sim"), 1, 0)
</f>
        <v>1</v>
      </c>
      <c r="X42" s="319">
        <f>IF(AND('Ações'!AV42="sim", 'Ações'!BE42="sim"), 1, 0)
</f>
        <v>1</v>
      </c>
      <c r="Y42" s="319">
        <f>IF(AND('Ações'!AV42="sim", 'Ações'!BF42="sim"), 1, 0)
</f>
        <v>0</v>
      </c>
      <c r="Z42" s="319">
        <f>IF(AND('Ações'!AV42="sim", 'Ações'!BH42="sim"), 1, 0)
</f>
        <v>0</v>
      </c>
      <c r="AA42" s="319">
        <f>IF(AND('Ações'!AV42="sim", 'Ações'!BI42="sim"), 1, 0)
</f>
        <v>0</v>
      </c>
      <c r="AB42" s="319">
        <f>IF(AND('Ações'!AW42="sim", 'Ações'!BD42="sim"), 1, 0)
</f>
        <v>0</v>
      </c>
      <c r="AC42" s="319">
        <f>IF(AND('Ações'!AW42="sim", 'Ações'!BE42="sim"), 1, 0)
</f>
        <v>0</v>
      </c>
      <c r="AD42" s="319">
        <f>IF(AND('Ações'!AW42="sim", 'Ações'!BF42="sim"), 1, 0)
</f>
        <v>0</v>
      </c>
      <c r="AE42" s="319">
        <f>IF(AND('Ações'!AW42="sim", 'Ações'!BG42="sim"), 1, 0)
</f>
        <v>0</v>
      </c>
      <c r="AF42" s="319">
        <f>IF(AND('Ações'!AW42="sim", 'Ações'!BI42="sim"), 1, 0)
</f>
        <v>0</v>
      </c>
      <c r="AG42" s="319">
        <f>IF(AND('Ações'!AX42="sim", 'Ações'!BD42="sim"), 1, 0)
</f>
        <v>0</v>
      </c>
      <c r="AH42" s="319">
        <f>IF(AND('Ações'!AX42="sim", 'Ações'!BE42="sim"), 1, 0)
</f>
        <v>0</v>
      </c>
      <c r="AI42" s="319">
        <f>IF(AND('Ações'!AX42="sim", 'Ações'!BF42="sim"), 1, 0)
</f>
        <v>0</v>
      </c>
      <c r="AJ42" s="319">
        <f>IF(AND('Ações'!AX42="sim", 'Ações'!BG42="sim"), 1, 0)
</f>
        <v>0</v>
      </c>
      <c r="AK42" s="319">
        <f>IF(AND('Ações'!AX42="sim", 'Ações'!BH42="sim"), 1, 0)
</f>
        <v>0</v>
      </c>
    </row>
    <row r="43">
      <c r="B43" s="319">
        <f>IF(AND('Ações'!AS43="sim", 'Ações'!BD43="sim"), 1, 0)
</f>
        <v>1</v>
      </c>
      <c r="C43" s="319">
        <f>IF(AND('Ações'!AT43="sim", 'Ações'!BE43="sim"), 1, 0)
</f>
        <v>0</v>
      </c>
      <c r="D43" s="319">
        <f>IF(AND('Ações'!AU43="sim", 'Ações'!BF43="sim"), 1, 0)
</f>
        <v>0</v>
      </c>
      <c r="E43" s="319">
        <f>IF(AND('Ações'!AV43="sim", 'Ações'!BG43="sim"), 1, 0)
</f>
        <v>0</v>
      </c>
      <c r="F43" s="319">
        <f>IF(AND('Ações'!AW43="sim", 'Ações'!BH43="sim"), 1, 0)
</f>
        <v>0</v>
      </c>
      <c r="G43" s="319">
        <f>IF(AND('Ações'!AX43="sim", 'Ações'!BI43="sim"), 1, 0)
</f>
        <v>0</v>
      </c>
      <c r="H43" s="319">
        <f>IF(AND('Ações'!AS43="sim", 'Ações'!BE43="sim"), 1, 0)
</f>
        <v>0</v>
      </c>
      <c r="I43" s="319">
        <f>IF(AND('Ações'!AS43="sim", 'Ações'!BF43="sim"), 1, 0)
</f>
        <v>0</v>
      </c>
      <c r="J43" s="319">
        <f>IF(AND('Ações'!AS43="sim", 'Ações'!BG43="sim"), 1, 0)
</f>
        <v>0</v>
      </c>
      <c r="K43" s="319">
        <f>IF(AND('Ações'!AS43="sim", 'Ações'!BH43="sim"), 1, 0)
</f>
        <v>0</v>
      </c>
      <c r="L43" s="319">
        <f>IF(AND('Ações'!AS43="sim", 'Ações'!BI43="sim"), 1, 0)
</f>
        <v>0</v>
      </c>
      <c r="M43" s="319">
        <f>IF(AND('Ações'!AT43="sim", 'Ações'!BD43="sim"), 1, 0)
</f>
        <v>1</v>
      </c>
      <c r="N43" s="319">
        <f>IF(AND('Ações'!AT43="sim", 'Ações'!BF43="sim"), 1, 0)
</f>
        <v>0</v>
      </c>
      <c r="O43" s="319">
        <f>IF(AND('Ações'!AT43="sim", 'Ações'!BG43="sim"), 1, 0)
</f>
        <v>0</v>
      </c>
      <c r="P43" s="319">
        <f>IF(AND('Ações'!AT43="sim", 'Ações'!BH43="sim"), 1, 0)
</f>
        <v>0</v>
      </c>
      <c r="Q43" s="319">
        <f>IF(AND('Ações'!AT43="sim", 'Ações'!BI43="sim"), 1, 0)
</f>
        <v>0</v>
      </c>
      <c r="R43" s="319">
        <f>IF(AND('Ações'!AU43="sim", 'Ações'!BD43="sim"), 1, 0)
</f>
        <v>1</v>
      </c>
      <c r="S43" s="319">
        <f>IF(AND('Ações'!AU43="sim", 'Ações'!BE43="sim"), 1, 0)
</f>
        <v>0</v>
      </c>
      <c r="T43" s="319">
        <f>IF(AND('Ações'!AU43="sim", 'Ações'!BG43="sim"), 1, 0)
</f>
        <v>0</v>
      </c>
      <c r="U43" s="319">
        <f>IF(AND('Ações'!AU43="sim", 'Ações'!BH43="sim"), 1, 0)
</f>
        <v>0</v>
      </c>
      <c r="V43" s="319">
        <f>IF(AND('Ações'!AU43="sim", 'Ações'!BI43="sim"), 1, 0)
</f>
        <v>0</v>
      </c>
      <c r="W43" s="319">
        <f>IF(AND('Ações'!AV43="sim", 'Ações'!BD43="sim"), 1, 0)
</f>
        <v>1</v>
      </c>
      <c r="X43" s="319">
        <f>IF(AND('Ações'!AV43="sim", 'Ações'!BE43="sim"), 1, 0)
</f>
        <v>0</v>
      </c>
      <c r="Y43" s="319">
        <f>IF(AND('Ações'!AV43="sim", 'Ações'!BF43="sim"), 1, 0)
</f>
        <v>0</v>
      </c>
      <c r="Z43" s="319">
        <f>IF(AND('Ações'!AV43="sim", 'Ações'!BH43="sim"), 1, 0)
</f>
        <v>0</v>
      </c>
      <c r="AA43" s="319">
        <f>IF(AND('Ações'!AV43="sim", 'Ações'!BI43="sim"), 1, 0)
</f>
        <v>0</v>
      </c>
      <c r="AB43" s="319">
        <f>IF(AND('Ações'!AW43="sim", 'Ações'!BD43="sim"), 1, 0)
</f>
        <v>0</v>
      </c>
      <c r="AC43" s="319">
        <f>IF(AND('Ações'!AW43="sim", 'Ações'!BE43="sim"), 1, 0)
</f>
        <v>0</v>
      </c>
      <c r="AD43" s="319">
        <f>IF(AND('Ações'!AW43="sim", 'Ações'!BF43="sim"), 1, 0)
</f>
        <v>0</v>
      </c>
      <c r="AE43" s="319">
        <f>IF(AND('Ações'!AW43="sim", 'Ações'!BG43="sim"), 1, 0)
</f>
        <v>0</v>
      </c>
      <c r="AF43" s="319">
        <f>IF(AND('Ações'!AW43="sim", 'Ações'!BI43="sim"), 1, 0)
</f>
        <v>0</v>
      </c>
      <c r="AG43" s="319">
        <f>IF(AND('Ações'!AX43="sim", 'Ações'!BD43="sim"), 1, 0)
</f>
        <v>0</v>
      </c>
      <c r="AH43" s="319">
        <f>IF(AND('Ações'!AX43="sim", 'Ações'!BE43="sim"), 1, 0)
</f>
        <v>0</v>
      </c>
      <c r="AI43" s="319">
        <f>IF(AND('Ações'!AX43="sim", 'Ações'!BF43="sim"), 1, 0)
</f>
        <v>0</v>
      </c>
      <c r="AJ43" s="319">
        <f>IF(AND('Ações'!AX43="sim", 'Ações'!BG43="sim"), 1, 0)
</f>
        <v>0</v>
      </c>
      <c r="AK43" s="319">
        <f>IF(AND('Ações'!AX43="sim", 'Ações'!BH43="sim"), 1, 0)
</f>
        <v>0</v>
      </c>
    </row>
    <row r="44">
      <c r="B44" s="319">
        <f>IF(AND('Ações'!AS44="sim", 'Ações'!BD44="sim"), 1, 0)
</f>
        <v>1</v>
      </c>
      <c r="C44" s="319">
        <f>IF(AND('Ações'!AT44="sim", 'Ações'!BE44="sim"), 1, 0)
</f>
        <v>0</v>
      </c>
      <c r="D44" s="319">
        <f>IF(AND('Ações'!AU44="sim", 'Ações'!BF44="sim"), 1, 0)
</f>
        <v>0</v>
      </c>
      <c r="E44" s="319">
        <f>IF(AND('Ações'!AV44="sim", 'Ações'!BG44="sim"), 1, 0)
</f>
        <v>0</v>
      </c>
      <c r="F44" s="319">
        <f>IF(AND('Ações'!AW44="sim", 'Ações'!BH44="sim"), 1, 0)
</f>
        <v>0</v>
      </c>
      <c r="G44" s="319">
        <f>IF(AND('Ações'!AX44="sim", 'Ações'!BI44="sim"), 1, 0)
</f>
        <v>0</v>
      </c>
      <c r="H44" s="319">
        <f>IF(AND('Ações'!AS44="sim", 'Ações'!BE44="sim"), 1, 0)
</f>
        <v>0</v>
      </c>
      <c r="I44" s="319">
        <f>IF(AND('Ações'!AS44="sim", 'Ações'!BF44="sim"), 1, 0)
</f>
        <v>0</v>
      </c>
      <c r="J44" s="319">
        <f>IF(AND('Ações'!AS44="sim", 'Ações'!BG44="sim"), 1, 0)
</f>
        <v>0</v>
      </c>
      <c r="K44" s="319">
        <f>IF(AND('Ações'!AS44="sim", 'Ações'!BH44="sim"), 1, 0)
</f>
        <v>0</v>
      </c>
      <c r="L44" s="319">
        <f>IF(AND('Ações'!AS44="sim", 'Ações'!BI44="sim"), 1, 0)
</f>
        <v>0</v>
      </c>
      <c r="M44" s="319">
        <f>IF(AND('Ações'!AT44="sim", 'Ações'!BD44="sim"), 1, 0)
</f>
        <v>1</v>
      </c>
      <c r="N44" s="319">
        <f>IF(AND('Ações'!AT44="sim", 'Ações'!BF44="sim"), 1, 0)
</f>
        <v>0</v>
      </c>
      <c r="O44" s="319">
        <f>IF(AND('Ações'!AT44="sim", 'Ações'!BG44="sim"), 1, 0)
</f>
        <v>0</v>
      </c>
      <c r="P44" s="319">
        <f>IF(AND('Ações'!AT44="sim", 'Ações'!BH44="sim"), 1, 0)
</f>
        <v>0</v>
      </c>
      <c r="Q44" s="319">
        <f>IF(AND('Ações'!AT44="sim", 'Ações'!BI44="sim"), 1, 0)
</f>
        <v>0</v>
      </c>
      <c r="R44" s="319">
        <f>IF(AND('Ações'!AU44="sim", 'Ações'!BD44="sim"), 1, 0)
</f>
        <v>1</v>
      </c>
      <c r="S44" s="319">
        <f>IF(AND('Ações'!AU44="sim", 'Ações'!BE44="sim"), 1, 0)
</f>
        <v>0</v>
      </c>
      <c r="T44" s="319">
        <f>IF(AND('Ações'!AU44="sim", 'Ações'!BG44="sim"), 1, 0)
</f>
        <v>0</v>
      </c>
      <c r="U44" s="319">
        <f>IF(AND('Ações'!AU44="sim", 'Ações'!BH44="sim"), 1, 0)
</f>
        <v>0</v>
      </c>
      <c r="V44" s="319">
        <f>IF(AND('Ações'!AU44="sim", 'Ações'!BI44="sim"), 1, 0)
</f>
        <v>0</v>
      </c>
      <c r="W44" s="319">
        <f>IF(AND('Ações'!AV44="sim", 'Ações'!BD44="sim"), 1, 0)
</f>
        <v>1</v>
      </c>
      <c r="X44" s="319">
        <f>IF(AND('Ações'!AV44="sim", 'Ações'!BE44="sim"), 1, 0)
</f>
        <v>0</v>
      </c>
      <c r="Y44" s="319">
        <f>IF(AND('Ações'!AV44="sim", 'Ações'!BF44="sim"), 1, 0)
</f>
        <v>0</v>
      </c>
      <c r="Z44" s="319">
        <f>IF(AND('Ações'!AV44="sim", 'Ações'!BH44="sim"), 1, 0)
</f>
        <v>0</v>
      </c>
      <c r="AA44" s="319">
        <f>IF(AND('Ações'!AV44="sim", 'Ações'!BI44="sim"), 1, 0)
</f>
        <v>0</v>
      </c>
      <c r="AB44" s="319">
        <f>IF(AND('Ações'!AW44="sim", 'Ações'!BD44="sim"), 1, 0)
</f>
        <v>0</v>
      </c>
      <c r="AC44" s="319">
        <f>IF(AND('Ações'!AW44="sim", 'Ações'!BE44="sim"), 1, 0)
</f>
        <v>0</v>
      </c>
      <c r="AD44" s="319">
        <f>IF(AND('Ações'!AW44="sim", 'Ações'!BF44="sim"), 1, 0)
</f>
        <v>0</v>
      </c>
      <c r="AE44" s="319">
        <f>IF(AND('Ações'!AW44="sim", 'Ações'!BG44="sim"), 1, 0)
</f>
        <v>0</v>
      </c>
      <c r="AF44" s="319">
        <f>IF(AND('Ações'!AW44="sim", 'Ações'!BI44="sim"), 1, 0)
</f>
        <v>0</v>
      </c>
      <c r="AG44" s="319">
        <f>IF(AND('Ações'!AX44="sim", 'Ações'!BD44="sim"), 1, 0)
</f>
        <v>0</v>
      </c>
      <c r="AH44" s="319">
        <f>IF(AND('Ações'!AX44="sim", 'Ações'!BE44="sim"), 1, 0)
</f>
        <v>0</v>
      </c>
      <c r="AI44" s="319">
        <f>IF(AND('Ações'!AX44="sim", 'Ações'!BF44="sim"), 1, 0)
</f>
        <v>0</v>
      </c>
      <c r="AJ44" s="319">
        <f>IF(AND('Ações'!AX44="sim", 'Ações'!BG44="sim"), 1, 0)
</f>
        <v>0</v>
      </c>
      <c r="AK44" s="319">
        <f>IF(AND('Ações'!AX44="sim", 'Ações'!BH44="sim"), 1, 0)
</f>
        <v>0</v>
      </c>
    </row>
    <row r="45">
      <c r="B45" s="319">
        <f>IF(AND('Ações'!AS45="sim", 'Ações'!BD45="sim"), 1, 0)
</f>
        <v>0</v>
      </c>
      <c r="C45" s="319">
        <f>IF(AND('Ações'!AT45="sim", 'Ações'!BE45="sim"), 1, 0)
</f>
        <v>0</v>
      </c>
      <c r="D45" s="319">
        <f>IF(AND('Ações'!AU45="sim", 'Ações'!BF45="sim"), 1, 0)
</f>
        <v>0</v>
      </c>
      <c r="E45" s="319">
        <f>IF(AND('Ações'!AV45="sim", 'Ações'!BG45="sim"), 1, 0)
</f>
        <v>0</v>
      </c>
      <c r="F45" s="319">
        <f>IF(AND('Ações'!AW45="sim", 'Ações'!BH45="sim"), 1, 0)
</f>
        <v>0</v>
      </c>
      <c r="G45" s="319">
        <f>IF(AND('Ações'!AX45="sim", 'Ações'!BI45="sim"), 1, 0)
</f>
        <v>0</v>
      </c>
      <c r="H45" s="319">
        <f>IF(AND('Ações'!AS45="sim", 'Ações'!BE45="sim"), 1, 0)
</f>
        <v>0</v>
      </c>
      <c r="I45" s="319">
        <f>IF(AND('Ações'!AS45="sim", 'Ações'!BF45="sim"), 1, 0)
</f>
        <v>0</v>
      </c>
      <c r="J45" s="319">
        <f>IF(AND('Ações'!AS45="sim", 'Ações'!BG45="sim"), 1, 0)
</f>
        <v>0</v>
      </c>
      <c r="K45" s="319">
        <f>IF(AND('Ações'!AS45="sim", 'Ações'!BH45="sim"), 1, 0)
</f>
        <v>0</v>
      </c>
      <c r="L45" s="319">
        <f>IF(AND('Ações'!AS45="sim", 'Ações'!BI45="sim"), 1, 0)
</f>
        <v>0</v>
      </c>
      <c r="M45" s="319">
        <f>IF(AND('Ações'!AT45="sim", 'Ações'!BD45="sim"), 1, 0)
</f>
        <v>0</v>
      </c>
      <c r="N45" s="319">
        <f>IF(AND('Ações'!AT45="sim", 'Ações'!BF45="sim"), 1, 0)
</f>
        <v>0</v>
      </c>
      <c r="O45" s="319">
        <f>IF(AND('Ações'!AT45="sim", 'Ações'!BG45="sim"), 1, 0)
</f>
        <v>0</v>
      </c>
      <c r="P45" s="319">
        <f>IF(AND('Ações'!AT45="sim", 'Ações'!BH45="sim"), 1, 0)
</f>
        <v>0</v>
      </c>
      <c r="Q45" s="319">
        <f>IF(AND('Ações'!AT45="sim", 'Ações'!BI45="sim"), 1, 0)
</f>
        <v>1</v>
      </c>
      <c r="R45" s="319">
        <f>IF(AND('Ações'!AU45="sim", 'Ações'!BD45="sim"), 1, 0)
</f>
        <v>0</v>
      </c>
      <c r="S45" s="319">
        <f>IF(AND('Ações'!AU45="sim", 'Ações'!BE45="sim"), 1, 0)
</f>
        <v>0</v>
      </c>
      <c r="T45" s="319">
        <f>IF(AND('Ações'!AU45="sim", 'Ações'!BG45="sim"), 1, 0)
</f>
        <v>0</v>
      </c>
      <c r="U45" s="319">
        <f>IF(AND('Ações'!AU45="sim", 'Ações'!BH45="sim"), 1, 0)
</f>
        <v>0</v>
      </c>
      <c r="V45" s="319">
        <f>IF(AND('Ações'!AU45="sim", 'Ações'!BI45="sim"), 1, 0)
</f>
        <v>0</v>
      </c>
      <c r="W45" s="319">
        <f>IF(AND('Ações'!AV45="sim", 'Ações'!BD45="sim"), 1, 0)
</f>
        <v>0</v>
      </c>
      <c r="X45" s="319">
        <f>IF(AND('Ações'!AV45="sim", 'Ações'!BE45="sim"), 1, 0)
</f>
        <v>0</v>
      </c>
      <c r="Y45" s="319">
        <f>IF(AND('Ações'!AV45="sim", 'Ações'!BF45="sim"), 1, 0)
</f>
        <v>0</v>
      </c>
      <c r="Z45" s="319">
        <f>IF(AND('Ações'!AV45="sim", 'Ações'!BH45="sim"), 1, 0)
</f>
        <v>0</v>
      </c>
      <c r="AA45" s="319">
        <f>IF(AND('Ações'!AV45="sim", 'Ações'!BI45="sim"), 1, 0)
</f>
        <v>0</v>
      </c>
      <c r="AB45" s="319">
        <f>IF(AND('Ações'!AW45="sim", 'Ações'!BD45="sim"), 1, 0)
</f>
        <v>0</v>
      </c>
      <c r="AC45" s="319">
        <f>IF(AND('Ações'!AW45="sim", 'Ações'!BE45="sim"), 1, 0)
</f>
        <v>0</v>
      </c>
      <c r="AD45" s="319">
        <f>IF(AND('Ações'!AW45="sim", 'Ações'!BF45="sim"), 1, 0)
</f>
        <v>0</v>
      </c>
      <c r="AE45" s="319">
        <f>IF(AND('Ações'!AW45="sim", 'Ações'!BG45="sim"), 1, 0)
</f>
        <v>0</v>
      </c>
      <c r="AF45" s="319">
        <f>IF(AND('Ações'!AW45="sim", 'Ações'!BI45="sim"), 1, 0)
</f>
        <v>0</v>
      </c>
      <c r="AG45" s="319">
        <f>IF(AND('Ações'!AX45="sim", 'Ações'!BD45="sim"), 1, 0)
</f>
        <v>0</v>
      </c>
      <c r="AH45" s="319">
        <f>IF(AND('Ações'!AX45="sim", 'Ações'!BE45="sim"), 1, 0)
</f>
        <v>0</v>
      </c>
      <c r="AI45" s="319">
        <f>IF(AND('Ações'!AX45="sim", 'Ações'!BF45="sim"), 1, 0)
</f>
        <v>0</v>
      </c>
      <c r="AJ45" s="319">
        <f>IF(AND('Ações'!AX45="sim", 'Ações'!BG45="sim"), 1, 0)
</f>
        <v>0</v>
      </c>
      <c r="AK45" s="319">
        <f>IF(AND('Ações'!AX45="sim", 'Ações'!BH45="sim"), 1, 0)
</f>
        <v>0</v>
      </c>
    </row>
    <row r="46">
      <c r="B46" s="319">
        <f>IF(AND('Ações'!AS46="sim", 'Ações'!BD46="sim"), 1, 0)
</f>
        <v>0</v>
      </c>
      <c r="C46" s="319">
        <f>IF(AND('Ações'!AT46="sim", 'Ações'!BE46="sim"), 1, 0)
</f>
        <v>0</v>
      </c>
      <c r="D46" s="319">
        <f>IF(AND('Ações'!AU46="sim", 'Ações'!BF46="sim"), 1, 0)
</f>
        <v>0</v>
      </c>
      <c r="E46" s="319">
        <f>IF(AND('Ações'!AV46="sim", 'Ações'!BG46="sim"), 1, 0)
</f>
        <v>0</v>
      </c>
      <c r="F46" s="319">
        <f>IF(AND('Ações'!AW46="sim", 'Ações'!BH46="sim"), 1, 0)
</f>
        <v>0</v>
      </c>
      <c r="G46" s="319">
        <f>IF(AND('Ações'!AX46="sim", 'Ações'!BI46="sim"), 1, 0)
</f>
        <v>0</v>
      </c>
      <c r="H46" s="319">
        <f>IF(AND('Ações'!AS46="sim", 'Ações'!BE46="sim"), 1, 0)
</f>
        <v>0</v>
      </c>
      <c r="I46" s="319">
        <f>IF(AND('Ações'!AS46="sim", 'Ações'!BF46="sim"), 1, 0)
</f>
        <v>0</v>
      </c>
      <c r="J46" s="319">
        <f>IF(AND('Ações'!AS46="sim", 'Ações'!BG46="sim"), 1, 0)
</f>
        <v>0</v>
      </c>
      <c r="K46" s="319">
        <f>IF(AND('Ações'!AS46="sim", 'Ações'!BH46="sim"), 1, 0)
</f>
        <v>0</v>
      </c>
      <c r="L46" s="319">
        <f>IF(AND('Ações'!AS46="sim", 'Ações'!BI46="sim"), 1, 0)
</f>
        <v>0</v>
      </c>
      <c r="M46" s="319">
        <f>IF(AND('Ações'!AT46="sim", 'Ações'!BD46="sim"), 1, 0)
</f>
        <v>0</v>
      </c>
      <c r="N46" s="319">
        <f>IF(AND('Ações'!AT46="sim", 'Ações'!BF46="sim"), 1, 0)
</f>
        <v>0</v>
      </c>
      <c r="O46" s="319">
        <f>IF(AND('Ações'!AT46="sim", 'Ações'!BG46="sim"), 1, 0)
</f>
        <v>0</v>
      </c>
      <c r="P46" s="319">
        <f>IF(AND('Ações'!AT46="sim", 'Ações'!BH46="sim"), 1, 0)
</f>
        <v>0</v>
      </c>
      <c r="Q46" s="319">
        <f>IF(AND('Ações'!AT46="sim", 'Ações'!BI46="sim"), 1, 0)
</f>
        <v>1</v>
      </c>
      <c r="R46" s="319">
        <f>IF(AND('Ações'!AU46="sim", 'Ações'!BD46="sim"), 1, 0)
</f>
        <v>0</v>
      </c>
      <c r="S46" s="319">
        <f>IF(AND('Ações'!AU46="sim", 'Ações'!BE46="sim"), 1, 0)
</f>
        <v>0</v>
      </c>
      <c r="T46" s="319">
        <f>IF(AND('Ações'!AU46="sim", 'Ações'!BG46="sim"), 1, 0)
</f>
        <v>0</v>
      </c>
      <c r="U46" s="319">
        <f>IF(AND('Ações'!AU46="sim", 'Ações'!BH46="sim"), 1, 0)
</f>
        <v>0</v>
      </c>
      <c r="V46" s="319">
        <f>IF(AND('Ações'!AU46="sim", 'Ações'!BI46="sim"), 1, 0)
</f>
        <v>0</v>
      </c>
      <c r="W46" s="319">
        <f>IF(AND('Ações'!AV46="sim", 'Ações'!BD46="sim"), 1, 0)
</f>
        <v>0</v>
      </c>
      <c r="X46" s="319">
        <f>IF(AND('Ações'!AV46="sim", 'Ações'!BE46="sim"), 1, 0)
</f>
        <v>0</v>
      </c>
      <c r="Y46" s="319">
        <f>IF(AND('Ações'!AV46="sim", 'Ações'!BF46="sim"), 1, 0)
</f>
        <v>0</v>
      </c>
      <c r="Z46" s="319">
        <f>IF(AND('Ações'!AV46="sim", 'Ações'!BH46="sim"), 1, 0)
</f>
        <v>0</v>
      </c>
      <c r="AA46" s="319">
        <f>IF(AND('Ações'!AV46="sim", 'Ações'!BI46="sim"), 1, 0)
</f>
        <v>0</v>
      </c>
      <c r="AB46" s="319">
        <f>IF(AND('Ações'!AW46="sim", 'Ações'!BD46="sim"), 1, 0)
</f>
        <v>0</v>
      </c>
      <c r="AC46" s="319">
        <f>IF(AND('Ações'!AW46="sim", 'Ações'!BE46="sim"), 1, 0)
</f>
        <v>0</v>
      </c>
      <c r="AD46" s="319">
        <f>IF(AND('Ações'!AW46="sim", 'Ações'!BF46="sim"), 1, 0)
</f>
        <v>0</v>
      </c>
      <c r="AE46" s="319">
        <f>IF(AND('Ações'!AW46="sim", 'Ações'!BG46="sim"), 1, 0)
</f>
        <v>0</v>
      </c>
      <c r="AF46" s="319">
        <f>IF(AND('Ações'!AW46="sim", 'Ações'!BI46="sim"), 1, 0)
</f>
        <v>0</v>
      </c>
      <c r="AG46" s="319">
        <f>IF(AND('Ações'!AX46="sim", 'Ações'!BD46="sim"), 1, 0)
</f>
        <v>0</v>
      </c>
      <c r="AH46" s="319">
        <f>IF(AND('Ações'!AX46="sim", 'Ações'!BE46="sim"), 1, 0)
</f>
        <v>0</v>
      </c>
      <c r="AI46" s="319">
        <f>IF(AND('Ações'!AX46="sim", 'Ações'!BF46="sim"), 1, 0)
</f>
        <v>0</v>
      </c>
      <c r="AJ46" s="319">
        <f>IF(AND('Ações'!AX46="sim", 'Ações'!BG46="sim"), 1, 0)
</f>
        <v>0</v>
      </c>
      <c r="AK46" s="319">
        <f>IF(AND('Ações'!AX46="sim", 'Ações'!BH46="sim"), 1, 0)
</f>
        <v>0</v>
      </c>
    </row>
    <row r="47">
      <c r="B47" s="319">
        <f>IF(AND('Ações'!AS48="sim", 'Ações'!BD48="sim"), 1, 0)
</f>
        <v>0</v>
      </c>
      <c r="C47" s="319">
        <f>IF(AND('Ações'!AT48="sim", 'Ações'!BE48="sim"), 1, 0)
</f>
        <v>1</v>
      </c>
      <c r="D47" s="319">
        <f>IF(AND('Ações'!AU48="sim", 'Ações'!BF48="sim"), 1, 0)
</f>
        <v>0</v>
      </c>
      <c r="E47" s="319">
        <f>IF(AND('Ações'!AV48="sim", 'Ações'!BG48="sim"), 1, 0)
</f>
        <v>0</v>
      </c>
      <c r="F47" s="319">
        <f>IF(AND('Ações'!AW48="sim", 'Ações'!BH48="sim"), 1, 0)
</f>
        <v>0</v>
      </c>
      <c r="G47" s="319">
        <f>IF(AND('Ações'!AX48="sim", 'Ações'!BI48="sim"), 1, 0)
</f>
        <v>0</v>
      </c>
      <c r="H47" s="319">
        <f>IF(AND('Ações'!AS48="sim", 'Ações'!BE48="sim"), 1, 0)
</f>
        <v>0</v>
      </c>
      <c r="I47" s="319">
        <f>IF(AND('Ações'!AS48="sim", 'Ações'!BF48="sim"), 1, 0)
</f>
        <v>0</v>
      </c>
      <c r="J47" s="319">
        <f>IF(AND('Ações'!AS48="sim", 'Ações'!BG48="sim"), 1, 0)
</f>
        <v>0</v>
      </c>
      <c r="K47" s="319">
        <f>IF(AND('Ações'!AS48="sim", 'Ações'!BH48="sim"), 1, 0)
</f>
        <v>0</v>
      </c>
      <c r="L47" s="319">
        <f>IF(AND('Ações'!AS48="sim", 'Ações'!BI48="sim"), 1, 0)
</f>
        <v>0</v>
      </c>
      <c r="M47" s="319">
        <f>IF(AND('Ações'!AT48="sim", 'Ações'!BD48="sim"), 1, 0)
</f>
        <v>0</v>
      </c>
      <c r="N47" s="319">
        <f>IF(AND('Ações'!AT48="sim", 'Ações'!BF48="sim"), 1, 0)
</f>
        <v>0</v>
      </c>
      <c r="O47" s="319">
        <f>IF(AND('Ações'!AT48="sim", 'Ações'!BG48="sim"), 1, 0)
</f>
        <v>0</v>
      </c>
      <c r="P47" s="319">
        <f>IF(AND('Ações'!AT48="sim", 'Ações'!BH48="sim"), 1, 0)
</f>
        <v>0</v>
      </c>
      <c r="Q47" s="319">
        <f>IF(AND('Ações'!AT48="sim", 'Ações'!BI48="sim"), 1, 0)
</f>
        <v>0</v>
      </c>
      <c r="R47" s="319">
        <f>IF(AND('Ações'!AU48="sim", 'Ações'!BD48="sim"), 1, 0)
</f>
        <v>0</v>
      </c>
      <c r="S47" s="319">
        <f>IF(AND('Ações'!AU48="sim", 'Ações'!BE48="sim"), 1, 0)
</f>
        <v>0</v>
      </c>
      <c r="T47" s="319">
        <f>IF(AND('Ações'!AU48="sim", 'Ações'!BG48="sim"), 1, 0)
</f>
        <v>0</v>
      </c>
      <c r="U47" s="319">
        <f>IF(AND('Ações'!AU48="sim", 'Ações'!BH48="sim"), 1, 0)
</f>
        <v>0</v>
      </c>
      <c r="V47" s="319">
        <f>IF(AND('Ações'!AU48="sim", 'Ações'!BI48="sim"), 1, 0)
</f>
        <v>0</v>
      </c>
      <c r="W47" s="319">
        <f>IF(AND('Ações'!AV48="sim", 'Ações'!BD48="sim"), 1, 0)
</f>
        <v>0</v>
      </c>
      <c r="X47" s="319">
        <f>IF(AND('Ações'!AV48="sim", 'Ações'!BE48="sim"), 1, 0)
</f>
        <v>0</v>
      </c>
      <c r="Y47" s="319">
        <f>IF(AND('Ações'!AV48="sim", 'Ações'!BF48="sim"), 1, 0)
</f>
        <v>0</v>
      </c>
      <c r="Z47" s="319">
        <f>IF(AND('Ações'!AV48="sim", 'Ações'!BH48="sim"), 1, 0)
</f>
        <v>0</v>
      </c>
      <c r="AA47" s="319">
        <f>IF(AND('Ações'!AV48="sim", 'Ações'!BI48="sim"), 1, 0)
</f>
        <v>0</v>
      </c>
      <c r="AB47" s="319">
        <f>IF(AND('Ações'!AW48="sim", 'Ações'!BD48="sim"), 1, 0)
</f>
        <v>0</v>
      </c>
      <c r="AC47" s="319">
        <f>IF(AND('Ações'!AW48="sim", 'Ações'!BE48="sim"), 1, 0)
</f>
        <v>0</v>
      </c>
      <c r="AD47" s="319">
        <f>IF(AND('Ações'!AW48="sim", 'Ações'!BF48="sim"), 1, 0)
</f>
        <v>0</v>
      </c>
      <c r="AE47" s="319">
        <f>IF(AND('Ações'!AW48="sim", 'Ações'!BG48="sim"), 1, 0)
</f>
        <v>0</v>
      </c>
      <c r="AF47" s="319">
        <f>IF(AND('Ações'!AW48="sim", 'Ações'!BI48="sim"), 1, 0)
</f>
        <v>0</v>
      </c>
      <c r="AG47" s="319">
        <f>IF(AND('Ações'!AX48="sim", 'Ações'!BD48="sim"), 1, 0)
</f>
        <v>0</v>
      </c>
      <c r="AH47" s="319">
        <f>IF(AND('Ações'!AX48="sim", 'Ações'!BE48="sim"), 1, 0)
</f>
        <v>0</v>
      </c>
      <c r="AI47" s="319">
        <f>IF(AND('Ações'!AX48="sim", 'Ações'!BF48="sim"), 1, 0)
</f>
        <v>0</v>
      </c>
      <c r="AJ47" s="319">
        <f>IF(AND('Ações'!AX48="sim", 'Ações'!BG48="sim"), 1, 0)
</f>
        <v>0</v>
      </c>
      <c r="AK47" s="319">
        <f>IF(AND('Ações'!AX48="sim", 'Ações'!BH48="sim"), 1, 0)
</f>
        <v>0</v>
      </c>
    </row>
    <row r="48">
      <c r="B48" s="319">
        <f>IF(AND('Ações'!AS49="sim", 'Ações'!BD49="sim"), 1, 0)
</f>
        <v>1</v>
      </c>
      <c r="C48" s="319">
        <f>IF(AND('Ações'!AT49="sim", 'Ações'!BE49="sim"), 1, 0)
</f>
        <v>0</v>
      </c>
      <c r="D48" s="319">
        <f>IF(AND('Ações'!AU49="sim", 'Ações'!BF49="sim"), 1, 0)
</f>
        <v>0</v>
      </c>
      <c r="E48" s="319">
        <f>IF(AND('Ações'!AV49="sim", 'Ações'!BG49="sim"), 1, 0)
</f>
        <v>0</v>
      </c>
      <c r="F48" s="319">
        <f>IF(AND('Ações'!AW49="sim", 'Ações'!BH49="sim"), 1, 0)
</f>
        <v>0</v>
      </c>
      <c r="G48" s="319">
        <f>IF(AND('Ações'!AX49="sim", 'Ações'!BI49="sim"), 1, 0)
</f>
        <v>0</v>
      </c>
      <c r="H48" s="319">
        <f>IF(AND('Ações'!AS49="sim", 'Ações'!BE49="sim"), 1, 0)
</f>
        <v>0</v>
      </c>
      <c r="I48" s="319">
        <f>IF(AND('Ações'!AS49="sim", 'Ações'!BF49="sim"), 1, 0)
</f>
        <v>0</v>
      </c>
      <c r="J48" s="319">
        <f>IF(AND('Ações'!AS49="sim", 'Ações'!BG49="sim"), 1, 0)
</f>
        <v>0</v>
      </c>
      <c r="K48" s="319">
        <f>IF(AND('Ações'!AS49="sim", 'Ações'!BH49="sim"), 1, 0)
</f>
        <v>0</v>
      </c>
      <c r="L48" s="319">
        <f>IF(AND('Ações'!AS49="sim", 'Ações'!BI49="sim"), 1, 0)
</f>
        <v>0</v>
      </c>
      <c r="M48" s="319">
        <f>IF(AND('Ações'!AT49="sim", 'Ações'!BD49="sim"), 1, 0)
</f>
        <v>0</v>
      </c>
      <c r="N48" s="319">
        <f>IF(AND('Ações'!AT49="sim", 'Ações'!BF49="sim"), 1, 0)
</f>
        <v>0</v>
      </c>
      <c r="O48" s="319">
        <f>IF(AND('Ações'!AT49="sim", 'Ações'!BG49="sim"), 1, 0)
</f>
        <v>0</v>
      </c>
      <c r="P48" s="319">
        <f>IF(AND('Ações'!AT49="sim", 'Ações'!BH49="sim"), 1, 0)
</f>
        <v>0</v>
      </c>
      <c r="Q48" s="319">
        <f>IF(AND('Ações'!AT49="sim", 'Ações'!BI49="sim"), 1, 0)
</f>
        <v>0</v>
      </c>
      <c r="R48" s="319">
        <f>IF(AND('Ações'!AU49="sim", 'Ações'!BD49="sim"), 1, 0)
</f>
        <v>0</v>
      </c>
      <c r="S48" s="319">
        <f>IF(AND('Ações'!AU49="sim", 'Ações'!BE49="sim"), 1, 0)
</f>
        <v>0</v>
      </c>
      <c r="T48" s="319">
        <f>IF(AND('Ações'!AU49="sim", 'Ações'!BG49="sim"), 1, 0)
</f>
        <v>0</v>
      </c>
      <c r="U48" s="319">
        <f>IF(AND('Ações'!AU49="sim", 'Ações'!BH49="sim"), 1, 0)
</f>
        <v>0</v>
      </c>
      <c r="V48" s="319">
        <f>IF(AND('Ações'!AU49="sim", 'Ações'!BI49="sim"), 1, 0)
</f>
        <v>0</v>
      </c>
      <c r="W48" s="319">
        <f>IF(AND('Ações'!AV49="sim", 'Ações'!BD49="sim"), 1, 0)
</f>
        <v>0</v>
      </c>
      <c r="X48" s="319">
        <f>IF(AND('Ações'!AV49="sim", 'Ações'!BE49="sim"), 1, 0)
</f>
        <v>0</v>
      </c>
      <c r="Y48" s="319">
        <f>IF(AND('Ações'!AV49="sim", 'Ações'!BF49="sim"), 1, 0)
</f>
        <v>0</v>
      </c>
      <c r="Z48" s="319">
        <f>IF(AND('Ações'!AV49="sim", 'Ações'!BH49="sim"), 1, 0)
</f>
        <v>0</v>
      </c>
      <c r="AA48" s="319">
        <f>IF(AND('Ações'!AV49="sim", 'Ações'!BI49="sim"), 1, 0)
</f>
        <v>0</v>
      </c>
      <c r="AB48" s="319">
        <f>IF(AND('Ações'!AW49="sim", 'Ações'!BD49="sim"), 1, 0)
</f>
        <v>0</v>
      </c>
      <c r="AC48" s="319">
        <f>IF(AND('Ações'!AW49="sim", 'Ações'!BE49="sim"), 1, 0)
</f>
        <v>0</v>
      </c>
      <c r="AD48" s="319">
        <f>IF(AND('Ações'!AW49="sim", 'Ações'!BF49="sim"), 1, 0)
</f>
        <v>0</v>
      </c>
      <c r="AE48" s="319">
        <f>IF(AND('Ações'!AW49="sim", 'Ações'!BG49="sim"), 1, 0)
</f>
        <v>0</v>
      </c>
      <c r="AF48" s="319">
        <f>IF(AND('Ações'!AW49="sim", 'Ações'!BI49="sim"), 1, 0)
</f>
        <v>0</v>
      </c>
      <c r="AG48" s="319">
        <f>IF(AND('Ações'!AX49="sim", 'Ações'!BD49="sim"), 1, 0)
</f>
        <v>0</v>
      </c>
      <c r="AH48" s="319">
        <f>IF(AND('Ações'!AX49="sim", 'Ações'!BE49="sim"), 1, 0)
</f>
        <v>0</v>
      </c>
      <c r="AI48" s="319">
        <f>IF(AND('Ações'!AX49="sim", 'Ações'!BF49="sim"), 1, 0)
</f>
        <v>0</v>
      </c>
      <c r="AJ48" s="319">
        <f>IF(AND('Ações'!AX49="sim", 'Ações'!BG49="sim"), 1, 0)
</f>
        <v>0</v>
      </c>
      <c r="AK48" s="319">
        <f>IF(AND('Ações'!AX49="sim", 'Ações'!BH49="sim"), 1, 0)
</f>
        <v>0</v>
      </c>
    </row>
    <row r="49">
      <c r="B49" s="319">
        <f>IF(AND('Ações'!AS50="sim", 'Ações'!BD50="sim"), 1, 0)
</f>
        <v>1</v>
      </c>
      <c r="C49" s="319">
        <f>IF(AND('Ações'!AT50="sim", 'Ações'!BE50="sim"), 1, 0)
</f>
        <v>0</v>
      </c>
      <c r="D49" s="319">
        <f>IF(AND('Ações'!AU50="sim", 'Ações'!BF50="sim"), 1, 0)
</f>
        <v>0</v>
      </c>
      <c r="E49" s="319">
        <f>IF(AND('Ações'!AV50="sim", 'Ações'!BG50="sim"), 1, 0)
</f>
        <v>0</v>
      </c>
      <c r="F49" s="319">
        <f>IF(AND('Ações'!AW50="sim", 'Ações'!BH50="sim"), 1, 0)
</f>
        <v>0</v>
      </c>
      <c r="G49" s="319">
        <f>IF(AND('Ações'!AX50="sim", 'Ações'!BI50="sim"), 1, 0)
</f>
        <v>0</v>
      </c>
      <c r="H49" s="319">
        <f>IF(AND('Ações'!AS50="sim", 'Ações'!BE50="sim"), 1, 0)
</f>
        <v>0</v>
      </c>
      <c r="I49" s="319">
        <f>IF(AND('Ações'!AS50="sim", 'Ações'!BF50="sim"), 1, 0)
</f>
        <v>0</v>
      </c>
      <c r="J49" s="319">
        <f>IF(AND('Ações'!AS50="sim", 'Ações'!BG50="sim"), 1, 0)
</f>
        <v>0</v>
      </c>
      <c r="K49" s="319">
        <f>IF(AND('Ações'!AS50="sim", 'Ações'!BH50="sim"), 1, 0)
</f>
        <v>0</v>
      </c>
      <c r="L49" s="319">
        <f>IF(AND('Ações'!AS50="sim", 'Ações'!BI50="sim"), 1, 0)
</f>
        <v>0</v>
      </c>
      <c r="M49" s="319">
        <f>IF(AND('Ações'!AT50="sim", 'Ações'!BD50="sim"), 1, 0)
</f>
        <v>0</v>
      </c>
      <c r="N49" s="319">
        <f>IF(AND('Ações'!AT50="sim", 'Ações'!BF50="sim"), 1, 0)
</f>
        <v>0</v>
      </c>
      <c r="O49" s="319">
        <f>IF(AND('Ações'!AT50="sim", 'Ações'!BG50="sim"), 1, 0)
</f>
        <v>0</v>
      </c>
      <c r="P49" s="319">
        <f>IF(AND('Ações'!AT50="sim", 'Ações'!BH50="sim"), 1, 0)
</f>
        <v>0</v>
      </c>
      <c r="Q49" s="319">
        <f>IF(AND('Ações'!AT50="sim", 'Ações'!BI50="sim"), 1, 0)
</f>
        <v>0</v>
      </c>
      <c r="R49" s="319">
        <f>IF(AND('Ações'!AU50="sim", 'Ações'!BD50="sim"), 1, 0)
</f>
        <v>0</v>
      </c>
      <c r="S49" s="319">
        <f>IF(AND('Ações'!AU50="sim", 'Ações'!BE50="sim"), 1, 0)
</f>
        <v>0</v>
      </c>
      <c r="T49" s="319">
        <f>IF(AND('Ações'!AU50="sim", 'Ações'!BG50="sim"), 1, 0)
</f>
        <v>0</v>
      </c>
      <c r="U49" s="319">
        <f>IF(AND('Ações'!AU50="sim", 'Ações'!BH50="sim"), 1, 0)
</f>
        <v>0</v>
      </c>
      <c r="V49" s="319">
        <f>IF(AND('Ações'!AU50="sim", 'Ações'!BI50="sim"), 1, 0)
</f>
        <v>0</v>
      </c>
      <c r="W49" s="319">
        <f>IF(AND('Ações'!AV50="sim", 'Ações'!BD50="sim"), 1, 0)
</f>
        <v>0</v>
      </c>
      <c r="X49" s="319">
        <f>IF(AND('Ações'!AV50="sim", 'Ações'!BE50="sim"), 1, 0)
</f>
        <v>0</v>
      </c>
      <c r="Y49" s="319">
        <f>IF(AND('Ações'!AV50="sim", 'Ações'!BF50="sim"), 1, 0)
</f>
        <v>0</v>
      </c>
      <c r="Z49" s="319">
        <f>IF(AND('Ações'!AV50="sim", 'Ações'!BH50="sim"), 1, 0)
</f>
        <v>0</v>
      </c>
      <c r="AA49" s="319">
        <f>IF(AND('Ações'!AV50="sim", 'Ações'!BI50="sim"), 1, 0)
</f>
        <v>0</v>
      </c>
      <c r="AB49" s="319">
        <f>IF(AND('Ações'!AW50="sim", 'Ações'!BD50="sim"), 1, 0)
</f>
        <v>0</v>
      </c>
      <c r="AC49" s="319">
        <f>IF(AND('Ações'!AW50="sim", 'Ações'!BE50="sim"), 1, 0)
</f>
        <v>0</v>
      </c>
      <c r="AD49" s="319">
        <f>IF(AND('Ações'!AW50="sim", 'Ações'!BF50="sim"), 1, 0)
</f>
        <v>0</v>
      </c>
      <c r="AE49" s="319">
        <f>IF(AND('Ações'!AW50="sim", 'Ações'!BG50="sim"), 1, 0)
</f>
        <v>0</v>
      </c>
      <c r="AF49" s="319">
        <f>IF(AND('Ações'!AW50="sim", 'Ações'!BI50="sim"), 1, 0)
</f>
        <v>0</v>
      </c>
      <c r="AG49" s="319">
        <f>IF(AND('Ações'!AX50="sim", 'Ações'!BD50="sim"), 1, 0)
</f>
        <v>0</v>
      </c>
      <c r="AH49" s="319">
        <f>IF(AND('Ações'!AX50="sim", 'Ações'!BE50="sim"), 1, 0)
</f>
        <v>0</v>
      </c>
      <c r="AI49" s="319">
        <f>IF(AND('Ações'!AX50="sim", 'Ações'!BF50="sim"), 1, 0)
</f>
        <v>0</v>
      </c>
      <c r="AJ49" s="319">
        <f>IF(AND('Ações'!AX50="sim", 'Ações'!BG50="sim"), 1, 0)
</f>
        <v>0</v>
      </c>
      <c r="AK49" s="319">
        <f>IF(AND('Ações'!AX50="sim", 'Ações'!BH50="sim"), 1, 0)
</f>
        <v>0</v>
      </c>
    </row>
    <row r="50">
      <c r="B50" s="319">
        <f>IF(AND('Ações'!AS51="sim", 'Ações'!BD51="sim"), 1, 0)
</f>
        <v>1</v>
      </c>
      <c r="C50" s="319">
        <f>IF(AND('Ações'!AT51="sim", 'Ações'!BE51="sim"), 1, 0)
</f>
        <v>0</v>
      </c>
      <c r="D50" s="319">
        <f>IF(AND('Ações'!AU51="sim", 'Ações'!BF51="sim"), 1, 0)
</f>
        <v>0</v>
      </c>
      <c r="E50" s="319">
        <f>IF(AND('Ações'!AV51="sim", 'Ações'!BG51="sim"), 1, 0)
</f>
        <v>0</v>
      </c>
      <c r="F50" s="319">
        <f>IF(AND('Ações'!AW51="sim", 'Ações'!BH51="sim"), 1, 0)
</f>
        <v>0</v>
      </c>
      <c r="G50" s="319">
        <f>IF(AND('Ações'!AX51="sim", 'Ações'!BI51="sim"), 1, 0)
</f>
        <v>0</v>
      </c>
      <c r="H50" s="319">
        <f>IF(AND('Ações'!AS51="sim", 'Ações'!BE51="sim"), 1, 0)
</f>
        <v>0</v>
      </c>
      <c r="I50" s="319">
        <f>IF(AND('Ações'!AS51="sim", 'Ações'!BF51="sim"), 1, 0)
</f>
        <v>0</v>
      </c>
      <c r="J50" s="319">
        <f>IF(AND('Ações'!AS51="sim", 'Ações'!BG51="sim"), 1, 0)
</f>
        <v>0</v>
      </c>
      <c r="K50" s="319">
        <f>IF(AND('Ações'!AS51="sim", 'Ações'!BH51="sim"), 1, 0)
</f>
        <v>0</v>
      </c>
      <c r="L50" s="319">
        <f>IF(AND('Ações'!AS51="sim", 'Ações'!BI51="sim"), 1, 0)
</f>
        <v>0</v>
      </c>
      <c r="M50" s="319">
        <f>IF(AND('Ações'!AT51="sim", 'Ações'!BD51="sim"), 1, 0)
</f>
        <v>0</v>
      </c>
      <c r="N50" s="319">
        <f>IF(AND('Ações'!AT51="sim", 'Ações'!BF51="sim"), 1, 0)
</f>
        <v>0</v>
      </c>
      <c r="O50" s="319">
        <f>IF(AND('Ações'!AT51="sim", 'Ações'!BG51="sim"), 1, 0)
</f>
        <v>0</v>
      </c>
      <c r="P50" s="319">
        <f>IF(AND('Ações'!AT51="sim", 'Ações'!BH51="sim"), 1, 0)
</f>
        <v>0</v>
      </c>
      <c r="Q50" s="319">
        <f>IF(AND('Ações'!AT51="sim", 'Ações'!BI51="sim"), 1, 0)
</f>
        <v>0</v>
      </c>
      <c r="R50" s="319">
        <f>IF(AND('Ações'!AU51="sim", 'Ações'!BD51="sim"), 1, 0)
</f>
        <v>0</v>
      </c>
      <c r="S50" s="319">
        <f>IF(AND('Ações'!AU51="sim", 'Ações'!BE51="sim"), 1, 0)
</f>
        <v>0</v>
      </c>
      <c r="T50" s="319">
        <f>IF(AND('Ações'!AU51="sim", 'Ações'!BG51="sim"), 1, 0)
</f>
        <v>0</v>
      </c>
      <c r="U50" s="319">
        <f>IF(AND('Ações'!AU51="sim", 'Ações'!BH51="sim"), 1, 0)
</f>
        <v>0</v>
      </c>
      <c r="V50" s="319">
        <f>IF(AND('Ações'!AU51="sim", 'Ações'!BI51="sim"), 1, 0)
</f>
        <v>0</v>
      </c>
      <c r="W50" s="319">
        <f>IF(AND('Ações'!AV51="sim", 'Ações'!BD51="sim"), 1, 0)
</f>
        <v>0</v>
      </c>
      <c r="X50" s="319">
        <f>IF(AND('Ações'!AV51="sim", 'Ações'!BE51="sim"), 1, 0)
</f>
        <v>0</v>
      </c>
      <c r="Y50" s="319">
        <f>IF(AND('Ações'!AV51="sim", 'Ações'!BF51="sim"), 1, 0)
</f>
        <v>0</v>
      </c>
      <c r="Z50" s="319">
        <f>IF(AND('Ações'!AV51="sim", 'Ações'!BH51="sim"), 1, 0)
</f>
        <v>0</v>
      </c>
      <c r="AA50" s="319">
        <f>IF(AND('Ações'!AV51="sim", 'Ações'!BI51="sim"), 1, 0)
</f>
        <v>0</v>
      </c>
      <c r="AB50" s="319">
        <f>IF(AND('Ações'!AW51="sim", 'Ações'!BD51="sim"), 1, 0)
</f>
        <v>0</v>
      </c>
      <c r="AC50" s="319">
        <f>IF(AND('Ações'!AW51="sim", 'Ações'!BE51="sim"), 1, 0)
</f>
        <v>0</v>
      </c>
      <c r="AD50" s="319">
        <f>IF(AND('Ações'!AW51="sim", 'Ações'!BF51="sim"), 1, 0)
</f>
        <v>0</v>
      </c>
      <c r="AE50" s="319">
        <f>IF(AND('Ações'!AW51="sim", 'Ações'!BG51="sim"), 1, 0)
</f>
        <v>0</v>
      </c>
      <c r="AF50" s="319">
        <f>IF(AND('Ações'!AW51="sim", 'Ações'!BI51="sim"), 1, 0)
</f>
        <v>0</v>
      </c>
      <c r="AG50" s="319">
        <f>IF(AND('Ações'!AX51="sim", 'Ações'!BD51="sim"), 1, 0)
</f>
        <v>0</v>
      </c>
      <c r="AH50" s="319">
        <f>IF(AND('Ações'!AX51="sim", 'Ações'!BE51="sim"), 1, 0)
</f>
        <v>0</v>
      </c>
      <c r="AI50" s="319">
        <f>IF(AND('Ações'!AX51="sim", 'Ações'!BF51="sim"), 1, 0)
</f>
        <v>0</v>
      </c>
      <c r="AJ50" s="319">
        <f>IF(AND('Ações'!AX51="sim", 'Ações'!BG51="sim"), 1, 0)
</f>
        <v>0</v>
      </c>
      <c r="AK50" s="319">
        <f>IF(AND('Ações'!AX51="sim", 'Ações'!BH51="sim"), 1, 0)
</f>
        <v>0</v>
      </c>
    </row>
    <row r="51">
      <c r="B51" s="319">
        <f>IF(AND('Ações'!AS52="sim", 'Ações'!BD52="sim"), 1, 0)
</f>
        <v>0</v>
      </c>
      <c r="C51" s="319">
        <f>IF(AND('Ações'!AT52="sim", 'Ações'!BE52="sim"), 1, 0)
</f>
        <v>0</v>
      </c>
      <c r="D51" s="319">
        <f>IF(AND('Ações'!AU52="sim", 'Ações'!BF52="sim"), 1, 0)
</f>
        <v>0</v>
      </c>
      <c r="E51" s="319">
        <f>IF(AND('Ações'!AV52="sim", 'Ações'!BG52="sim"), 1, 0)
</f>
        <v>0</v>
      </c>
      <c r="F51" s="319">
        <f>IF(AND('Ações'!AW52="sim", 'Ações'!BH52="sim"), 1, 0)
</f>
        <v>0</v>
      </c>
      <c r="G51" s="319">
        <f>IF(AND('Ações'!AX52="sim", 'Ações'!BI52="sim"), 1, 0)
</f>
        <v>0</v>
      </c>
      <c r="H51" s="319">
        <f>IF(AND('Ações'!AS52="sim", 'Ações'!BE52="sim"), 1, 0)
</f>
        <v>0</v>
      </c>
      <c r="I51" s="319">
        <f>IF(AND('Ações'!AS52="sim", 'Ações'!BF52="sim"), 1, 0)
</f>
        <v>0</v>
      </c>
      <c r="J51" s="319">
        <f>IF(AND('Ações'!AS52="sim", 'Ações'!BG52="sim"), 1, 0)
</f>
        <v>0</v>
      </c>
      <c r="K51" s="319">
        <f>IF(AND('Ações'!AS52="sim", 'Ações'!BH52="sim"), 1, 0)
</f>
        <v>0</v>
      </c>
      <c r="L51" s="319">
        <f>IF(AND('Ações'!AS52="sim", 'Ações'!BI52="sim"), 1, 0)
</f>
        <v>1</v>
      </c>
      <c r="M51" s="319">
        <f>IF(AND('Ações'!AT52="sim", 'Ações'!BD52="sim"), 1, 0)
</f>
        <v>0</v>
      </c>
      <c r="N51" s="319">
        <f>IF(AND('Ações'!AT52="sim", 'Ações'!BF52="sim"), 1, 0)
</f>
        <v>0</v>
      </c>
      <c r="O51" s="319">
        <f>IF(AND('Ações'!AT52="sim", 'Ações'!BG52="sim"), 1, 0)
</f>
        <v>0</v>
      </c>
      <c r="P51" s="319">
        <f>IF(AND('Ações'!AT52="sim", 'Ações'!BH52="sim"), 1, 0)
</f>
        <v>0</v>
      </c>
      <c r="Q51" s="319">
        <f>IF(AND('Ações'!AT52="sim", 'Ações'!BI52="sim"), 1, 0)
</f>
        <v>0</v>
      </c>
      <c r="R51" s="319">
        <f>IF(AND('Ações'!AU52="sim", 'Ações'!BD52="sim"), 1, 0)
</f>
        <v>0</v>
      </c>
      <c r="S51" s="319">
        <f>IF(AND('Ações'!AU52="sim", 'Ações'!BE52="sim"), 1, 0)
</f>
        <v>0</v>
      </c>
      <c r="T51" s="319">
        <f>IF(AND('Ações'!AU52="sim", 'Ações'!BG52="sim"), 1, 0)
</f>
        <v>0</v>
      </c>
      <c r="U51" s="319">
        <f>IF(AND('Ações'!AU52="sim", 'Ações'!BH52="sim"), 1, 0)
</f>
        <v>0</v>
      </c>
      <c r="V51" s="319">
        <f>IF(AND('Ações'!AU52="sim", 'Ações'!BI52="sim"), 1, 0)
</f>
        <v>0</v>
      </c>
      <c r="W51" s="319">
        <f>IF(AND('Ações'!AV52="sim", 'Ações'!BD52="sim"), 1, 0)
</f>
        <v>0</v>
      </c>
      <c r="X51" s="319">
        <f>IF(AND('Ações'!AV52="sim", 'Ações'!BE52="sim"), 1, 0)
</f>
        <v>0</v>
      </c>
      <c r="Y51" s="319">
        <f>IF(AND('Ações'!AV52="sim", 'Ações'!BF52="sim"), 1, 0)
</f>
        <v>0</v>
      </c>
      <c r="Z51" s="319">
        <f>IF(AND('Ações'!AV52="sim", 'Ações'!BH52="sim"), 1, 0)
</f>
        <v>0</v>
      </c>
      <c r="AA51" s="319">
        <f>IF(AND('Ações'!AV52="sim", 'Ações'!BI52="sim"), 1, 0)
</f>
        <v>0</v>
      </c>
      <c r="AB51" s="319">
        <f>IF(AND('Ações'!AW52="sim", 'Ações'!BD52="sim"), 1, 0)
</f>
        <v>0</v>
      </c>
      <c r="AC51" s="319">
        <f>IF(AND('Ações'!AW52="sim", 'Ações'!BE52="sim"), 1, 0)
</f>
        <v>0</v>
      </c>
      <c r="AD51" s="319">
        <f>IF(AND('Ações'!AW52="sim", 'Ações'!BF52="sim"), 1, 0)
</f>
        <v>0</v>
      </c>
      <c r="AE51" s="319">
        <f>IF(AND('Ações'!AW52="sim", 'Ações'!BG52="sim"), 1, 0)
</f>
        <v>0</v>
      </c>
      <c r="AF51" s="319">
        <f>IF(AND('Ações'!AW52="sim", 'Ações'!BI52="sim"), 1, 0)
</f>
        <v>0</v>
      </c>
      <c r="AG51" s="319">
        <f>IF(AND('Ações'!AX52="sim", 'Ações'!BD52="sim"), 1, 0)
</f>
        <v>0</v>
      </c>
      <c r="AH51" s="319">
        <f>IF(AND('Ações'!AX52="sim", 'Ações'!BE52="sim"), 1, 0)
</f>
        <v>0</v>
      </c>
      <c r="AI51" s="319">
        <f>IF(AND('Ações'!AX52="sim", 'Ações'!BF52="sim"), 1, 0)
</f>
        <v>0</v>
      </c>
      <c r="AJ51" s="319">
        <f>IF(AND('Ações'!AX52="sim", 'Ações'!BG52="sim"), 1, 0)
</f>
        <v>0</v>
      </c>
      <c r="AK51" s="319">
        <f>IF(AND('Ações'!AX52="sim", 'Ações'!BH52="sim"), 1, 0)
</f>
        <v>0</v>
      </c>
    </row>
    <row r="52">
      <c r="B52" s="319">
        <f>IF(AND('Ações'!AS53="sim", 'Ações'!BD53="sim"), 1, 0)
</f>
        <v>0</v>
      </c>
      <c r="C52" s="319">
        <f>IF(AND('Ações'!AT53="sim", 'Ações'!BE53="sim"), 1, 0)
</f>
        <v>0</v>
      </c>
      <c r="D52" s="319">
        <f>IF(AND('Ações'!AU53="sim", 'Ações'!BF53="sim"), 1, 0)
</f>
        <v>0</v>
      </c>
      <c r="E52" s="319">
        <f>IF(AND('Ações'!AV53="sim", 'Ações'!BG53="sim"), 1, 0)
</f>
        <v>0</v>
      </c>
      <c r="F52" s="319">
        <f>IF(AND('Ações'!AW53="sim", 'Ações'!BH53="sim"), 1, 0)
</f>
        <v>0</v>
      </c>
      <c r="G52" s="319">
        <f>IF(AND('Ações'!AX53="sim", 'Ações'!BI53="sim"), 1, 0)
</f>
        <v>0</v>
      </c>
      <c r="H52" s="319">
        <f>IF(AND('Ações'!AS53="sim", 'Ações'!BE53="sim"), 1, 0)
</f>
        <v>0</v>
      </c>
      <c r="I52" s="319">
        <f>IF(AND('Ações'!AS53="sim", 'Ações'!BF53="sim"), 1, 0)
</f>
        <v>0</v>
      </c>
      <c r="J52" s="319">
        <f>IF(AND('Ações'!AS53="sim", 'Ações'!BG53="sim"), 1, 0)
</f>
        <v>0</v>
      </c>
      <c r="K52" s="319">
        <f>IF(AND('Ações'!AS53="sim", 'Ações'!BH53="sim"), 1, 0)
</f>
        <v>0</v>
      </c>
      <c r="L52" s="319">
        <f>IF(AND('Ações'!AS53="sim", 'Ações'!BI53="sim"), 1, 0)
</f>
        <v>1</v>
      </c>
      <c r="M52" s="319">
        <f>IF(AND('Ações'!AT53="sim", 'Ações'!BD53="sim"), 1, 0)
</f>
        <v>0</v>
      </c>
      <c r="N52" s="319">
        <f>IF(AND('Ações'!AT53="sim", 'Ações'!BF53="sim"), 1, 0)
</f>
        <v>0</v>
      </c>
      <c r="O52" s="319">
        <f>IF(AND('Ações'!AT53="sim", 'Ações'!BG53="sim"), 1, 0)
</f>
        <v>0</v>
      </c>
      <c r="P52" s="319">
        <f>IF(AND('Ações'!AT53="sim", 'Ações'!BH53="sim"), 1, 0)
</f>
        <v>0</v>
      </c>
      <c r="Q52" s="319">
        <f>IF(AND('Ações'!AT53="sim", 'Ações'!BI53="sim"), 1, 0)
</f>
        <v>0</v>
      </c>
      <c r="R52" s="319">
        <f>IF(AND('Ações'!AU53="sim", 'Ações'!BD53="sim"), 1, 0)
</f>
        <v>0</v>
      </c>
      <c r="S52" s="319">
        <f>IF(AND('Ações'!AU53="sim", 'Ações'!BE53="sim"), 1, 0)
</f>
        <v>0</v>
      </c>
      <c r="T52" s="319">
        <f>IF(AND('Ações'!AU53="sim", 'Ações'!BG53="sim"), 1, 0)
</f>
        <v>0</v>
      </c>
      <c r="U52" s="319">
        <f>IF(AND('Ações'!AU53="sim", 'Ações'!BH53="sim"), 1, 0)
</f>
        <v>0</v>
      </c>
      <c r="V52" s="319">
        <f>IF(AND('Ações'!AU53="sim", 'Ações'!BI53="sim"), 1, 0)
</f>
        <v>0</v>
      </c>
      <c r="W52" s="319">
        <f>IF(AND('Ações'!AV53="sim", 'Ações'!BD53="sim"), 1, 0)
</f>
        <v>0</v>
      </c>
      <c r="X52" s="319">
        <f>IF(AND('Ações'!AV53="sim", 'Ações'!BE53="sim"), 1, 0)
</f>
        <v>0</v>
      </c>
      <c r="Y52" s="319">
        <f>IF(AND('Ações'!AV53="sim", 'Ações'!BF53="sim"), 1, 0)
</f>
        <v>0</v>
      </c>
      <c r="Z52" s="319">
        <f>IF(AND('Ações'!AV53="sim", 'Ações'!BH53="sim"), 1, 0)
</f>
        <v>0</v>
      </c>
      <c r="AA52" s="319">
        <f>IF(AND('Ações'!AV53="sim", 'Ações'!BI53="sim"), 1, 0)
</f>
        <v>0</v>
      </c>
      <c r="AB52" s="319">
        <f>IF(AND('Ações'!AW53="sim", 'Ações'!BD53="sim"), 1, 0)
</f>
        <v>0</v>
      </c>
      <c r="AC52" s="319">
        <f>IF(AND('Ações'!AW53="sim", 'Ações'!BE53="sim"), 1, 0)
</f>
        <v>0</v>
      </c>
      <c r="AD52" s="319">
        <f>IF(AND('Ações'!AW53="sim", 'Ações'!BF53="sim"), 1, 0)
</f>
        <v>0</v>
      </c>
      <c r="AE52" s="319">
        <f>IF(AND('Ações'!AW53="sim", 'Ações'!BG53="sim"), 1, 0)
</f>
        <v>0</v>
      </c>
      <c r="AF52" s="319">
        <f>IF(AND('Ações'!AW53="sim", 'Ações'!BI53="sim"), 1, 0)
</f>
        <v>0</v>
      </c>
      <c r="AG52" s="319">
        <f>IF(AND('Ações'!AX53="sim", 'Ações'!BD53="sim"), 1, 0)
</f>
        <v>0</v>
      </c>
      <c r="AH52" s="319">
        <f>IF(AND('Ações'!AX53="sim", 'Ações'!BE53="sim"), 1, 0)
</f>
        <v>0</v>
      </c>
      <c r="AI52" s="319">
        <f>IF(AND('Ações'!AX53="sim", 'Ações'!BF53="sim"), 1, 0)
</f>
        <v>0</v>
      </c>
      <c r="AJ52" s="319">
        <f>IF(AND('Ações'!AX53="sim", 'Ações'!BG53="sim"), 1, 0)
</f>
        <v>0</v>
      </c>
      <c r="AK52" s="319">
        <f>IF(AND('Ações'!AX53="sim", 'Ações'!BH53="sim"), 1, 0)
</f>
        <v>0</v>
      </c>
    </row>
    <row r="53">
      <c r="B53" s="319">
        <f>IF(AND('Ações'!AS54="sim", 'Ações'!BD54="sim"), 1, 0)
</f>
        <v>1</v>
      </c>
      <c r="C53" s="319">
        <f>IF(AND('Ações'!AT54="sim", 'Ações'!BE54="sim"), 1, 0)
</f>
        <v>0</v>
      </c>
      <c r="D53" s="319">
        <f>IF(AND('Ações'!AU54="sim", 'Ações'!BF54="sim"), 1, 0)
</f>
        <v>0</v>
      </c>
      <c r="E53" s="319">
        <f>IF(AND('Ações'!AV54="sim", 'Ações'!BG54="sim"), 1, 0)
</f>
        <v>0</v>
      </c>
      <c r="F53" s="319">
        <f>IF(AND('Ações'!AW54="sim", 'Ações'!BH54="sim"), 1, 0)
</f>
        <v>0</v>
      </c>
      <c r="G53" s="319">
        <f>IF(AND('Ações'!AX54="sim", 'Ações'!BI54="sim"), 1, 0)
</f>
        <v>0</v>
      </c>
      <c r="H53" s="319">
        <f>IF(AND('Ações'!AS54="sim", 'Ações'!BE54="sim"), 1, 0)
</f>
        <v>0</v>
      </c>
      <c r="I53" s="319">
        <f>IF(AND('Ações'!AS54="sim", 'Ações'!BF54="sim"), 1, 0)
</f>
        <v>0</v>
      </c>
      <c r="J53" s="319">
        <f>IF(AND('Ações'!AS54="sim", 'Ações'!BG54="sim"), 1, 0)
</f>
        <v>0</v>
      </c>
      <c r="K53" s="319">
        <f>IF(AND('Ações'!AS54="sim", 'Ações'!BH54="sim"), 1, 0)
</f>
        <v>0</v>
      </c>
      <c r="L53" s="319">
        <f>IF(AND('Ações'!AS54="sim", 'Ações'!BI54="sim"), 1, 0)
</f>
        <v>1</v>
      </c>
      <c r="M53" s="319">
        <f>IF(AND('Ações'!AT54="sim", 'Ações'!BD54="sim"), 1, 0)
</f>
        <v>0</v>
      </c>
      <c r="N53" s="319">
        <f>IF(AND('Ações'!AT54="sim", 'Ações'!BF54="sim"), 1, 0)
</f>
        <v>0</v>
      </c>
      <c r="O53" s="319">
        <f>IF(AND('Ações'!AT54="sim", 'Ações'!BG54="sim"), 1, 0)
</f>
        <v>0</v>
      </c>
      <c r="P53" s="319">
        <f>IF(AND('Ações'!AT54="sim", 'Ações'!BH54="sim"), 1, 0)
</f>
        <v>0</v>
      </c>
      <c r="Q53" s="319">
        <f>IF(AND('Ações'!AT54="sim", 'Ações'!BI54="sim"), 1, 0)
</f>
        <v>0</v>
      </c>
      <c r="R53" s="319">
        <f>IF(AND('Ações'!AU54="sim", 'Ações'!BD54="sim"), 1, 0)
</f>
        <v>0</v>
      </c>
      <c r="S53" s="319">
        <f>IF(AND('Ações'!AU54="sim", 'Ações'!BE54="sim"), 1, 0)
</f>
        <v>0</v>
      </c>
      <c r="T53" s="319">
        <f>IF(AND('Ações'!AU54="sim", 'Ações'!BG54="sim"), 1, 0)
</f>
        <v>0</v>
      </c>
      <c r="U53" s="319">
        <f>IF(AND('Ações'!AU54="sim", 'Ações'!BH54="sim"), 1, 0)
</f>
        <v>0</v>
      </c>
      <c r="V53" s="319">
        <f>IF(AND('Ações'!AU54="sim", 'Ações'!BI54="sim"), 1, 0)
</f>
        <v>0</v>
      </c>
      <c r="W53" s="319">
        <f>IF(AND('Ações'!AV54="sim", 'Ações'!BD54="sim"), 1, 0)
</f>
        <v>0</v>
      </c>
      <c r="X53" s="319">
        <f>IF(AND('Ações'!AV54="sim", 'Ações'!BE54="sim"), 1, 0)
</f>
        <v>0</v>
      </c>
      <c r="Y53" s="319">
        <f>IF(AND('Ações'!AV54="sim", 'Ações'!BF54="sim"), 1, 0)
</f>
        <v>0</v>
      </c>
      <c r="Z53" s="319">
        <f>IF(AND('Ações'!AV54="sim", 'Ações'!BH54="sim"), 1, 0)
</f>
        <v>0</v>
      </c>
      <c r="AA53" s="319">
        <f>IF(AND('Ações'!AV54="sim", 'Ações'!BI54="sim"), 1, 0)
</f>
        <v>0</v>
      </c>
      <c r="AB53" s="319">
        <f>IF(AND('Ações'!AW54="sim", 'Ações'!BD54="sim"), 1, 0)
</f>
        <v>0</v>
      </c>
      <c r="AC53" s="319">
        <f>IF(AND('Ações'!AW54="sim", 'Ações'!BE54="sim"), 1, 0)
</f>
        <v>0</v>
      </c>
      <c r="AD53" s="319">
        <f>IF(AND('Ações'!AW54="sim", 'Ações'!BF54="sim"), 1, 0)
</f>
        <v>0</v>
      </c>
      <c r="AE53" s="319">
        <f>IF(AND('Ações'!AW54="sim", 'Ações'!BG54="sim"), 1, 0)
</f>
        <v>0</v>
      </c>
      <c r="AF53" s="319">
        <f>IF(AND('Ações'!AW54="sim", 'Ações'!BI54="sim"), 1, 0)
</f>
        <v>0</v>
      </c>
      <c r="AG53" s="319">
        <f>IF(AND('Ações'!AX54="sim", 'Ações'!BD54="sim"), 1, 0)
</f>
        <v>0</v>
      </c>
      <c r="AH53" s="319">
        <f>IF(AND('Ações'!AX54="sim", 'Ações'!BE54="sim"), 1, 0)
</f>
        <v>0</v>
      </c>
      <c r="AI53" s="319">
        <f>IF(AND('Ações'!AX54="sim", 'Ações'!BF54="sim"), 1, 0)
</f>
        <v>0</v>
      </c>
      <c r="AJ53" s="319">
        <f>IF(AND('Ações'!AX54="sim", 'Ações'!BG54="sim"), 1, 0)
</f>
        <v>0</v>
      </c>
      <c r="AK53" s="319">
        <f>IF(AND('Ações'!AX54="sim", 'Ações'!BH54="sim"), 1, 0)
</f>
        <v>0</v>
      </c>
    </row>
    <row r="54">
      <c r="B54" s="319">
        <f>IF(AND('Ações'!AS55="sim", 'Ações'!BD55="sim"), 1, 0)
</f>
        <v>1</v>
      </c>
      <c r="C54" s="319">
        <f>IF(AND('Ações'!AT55="sim", 'Ações'!BE55="sim"), 1, 0)
</f>
        <v>0</v>
      </c>
      <c r="D54" s="319">
        <f>IF(AND('Ações'!AU55="sim", 'Ações'!BF55="sim"), 1, 0)
</f>
        <v>0</v>
      </c>
      <c r="E54" s="319">
        <f>IF(AND('Ações'!AV55="sim", 'Ações'!BG55="sim"), 1, 0)
</f>
        <v>0</v>
      </c>
      <c r="F54" s="319">
        <f>IF(AND('Ações'!AW55="sim", 'Ações'!BH55="sim"), 1, 0)
</f>
        <v>0</v>
      </c>
      <c r="G54" s="319">
        <f>IF(AND('Ações'!AX55="sim", 'Ações'!BI55="sim"), 1, 0)
</f>
        <v>0</v>
      </c>
      <c r="H54" s="319">
        <f>IF(AND('Ações'!AS55="sim", 'Ações'!BE55="sim"), 1, 0)
</f>
        <v>0</v>
      </c>
      <c r="I54" s="319">
        <f>IF(AND('Ações'!AS55="sim", 'Ações'!BF55="sim"), 1, 0)
</f>
        <v>0</v>
      </c>
      <c r="J54" s="319">
        <f>IF(AND('Ações'!AS55="sim", 'Ações'!BG55="sim"), 1, 0)
</f>
        <v>0</v>
      </c>
      <c r="K54" s="319">
        <f>IF(AND('Ações'!AS55="sim", 'Ações'!BH55="sim"), 1, 0)
</f>
        <v>0</v>
      </c>
      <c r="L54" s="319">
        <f>IF(AND('Ações'!AS55="sim", 'Ações'!BI55="sim"), 1, 0)
</f>
        <v>0</v>
      </c>
      <c r="M54" s="319">
        <f>IF(AND('Ações'!AT55="sim", 'Ações'!BD55="sim"), 1, 0)
</f>
        <v>0</v>
      </c>
      <c r="N54" s="319">
        <f>IF(AND('Ações'!AT55="sim", 'Ações'!BF55="sim"), 1, 0)
</f>
        <v>0</v>
      </c>
      <c r="O54" s="319">
        <f>IF(AND('Ações'!AT55="sim", 'Ações'!BG55="sim"), 1, 0)
</f>
        <v>0</v>
      </c>
      <c r="P54" s="319">
        <f>IF(AND('Ações'!AT55="sim", 'Ações'!BH55="sim"), 1, 0)
</f>
        <v>0</v>
      </c>
      <c r="Q54" s="319">
        <f>IF(AND('Ações'!AT55="sim", 'Ações'!BI55="sim"), 1, 0)
</f>
        <v>0</v>
      </c>
      <c r="R54" s="319">
        <f>IF(AND('Ações'!AU55="sim", 'Ações'!BD55="sim"), 1, 0)
</f>
        <v>0</v>
      </c>
      <c r="S54" s="319">
        <f>IF(AND('Ações'!AU55="sim", 'Ações'!BE55="sim"), 1, 0)
</f>
        <v>0</v>
      </c>
      <c r="T54" s="319">
        <f>IF(AND('Ações'!AU55="sim", 'Ações'!BG55="sim"), 1, 0)
</f>
        <v>0</v>
      </c>
      <c r="U54" s="319">
        <f>IF(AND('Ações'!AU55="sim", 'Ações'!BH55="sim"), 1, 0)
</f>
        <v>0</v>
      </c>
      <c r="V54" s="319">
        <f>IF(AND('Ações'!AU55="sim", 'Ações'!BI55="sim"), 1, 0)
</f>
        <v>0</v>
      </c>
      <c r="W54" s="319">
        <f>IF(AND('Ações'!AV55="sim", 'Ações'!BD55="sim"), 1, 0)
</f>
        <v>0</v>
      </c>
      <c r="X54" s="319">
        <f>IF(AND('Ações'!AV55="sim", 'Ações'!BE55="sim"), 1, 0)
</f>
        <v>0</v>
      </c>
      <c r="Y54" s="319">
        <f>IF(AND('Ações'!AV55="sim", 'Ações'!BF55="sim"), 1, 0)
</f>
        <v>0</v>
      </c>
      <c r="Z54" s="319">
        <f>IF(AND('Ações'!AV55="sim", 'Ações'!BH55="sim"), 1, 0)
</f>
        <v>0</v>
      </c>
      <c r="AA54" s="319">
        <f>IF(AND('Ações'!AV55="sim", 'Ações'!BI55="sim"), 1, 0)
</f>
        <v>0</v>
      </c>
      <c r="AB54" s="319">
        <f>IF(AND('Ações'!AW55="sim", 'Ações'!BD55="sim"), 1, 0)
</f>
        <v>0</v>
      </c>
      <c r="AC54" s="319">
        <f>IF(AND('Ações'!AW55="sim", 'Ações'!BE55="sim"), 1, 0)
</f>
        <v>0</v>
      </c>
      <c r="AD54" s="319">
        <f>IF(AND('Ações'!AW55="sim", 'Ações'!BF55="sim"), 1, 0)
</f>
        <v>0</v>
      </c>
      <c r="AE54" s="319">
        <f>IF(AND('Ações'!AW55="sim", 'Ações'!BG55="sim"), 1, 0)
</f>
        <v>0</v>
      </c>
      <c r="AF54" s="319">
        <f>IF(AND('Ações'!AW55="sim", 'Ações'!BI55="sim"), 1, 0)
</f>
        <v>0</v>
      </c>
      <c r="AG54" s="319">
        <f>IF(AND('Ações'!AX55="sim", 'Ações'!BD55="sim"), 1, 0)
</f>
        <v>0</v>
      </c>
      <c r="AH54" s="319">
        <f>IF(AND('Ações'!AX55="sim", 'Ações'!BE55="sim"), 1, 0)
</f>
        <v>0</v>
      </c>
      <c r="AI54" s="319">
        <f>IF(AND('Ações'!AX55="sim", 'Ações'!BF55="sim"), 1, 0)
</f>
        <v>0</v>
      </c>
      <c r="AJ54" s="319">
        <f>IF(AND('Ações'!AX55="sim", 'Ações'!BG55="sim"), 1, 0)
</f>
        <v>0</v>
      </c>
      <c r="AK54" s="319">
        <f>IF(AND('Ações'!AX55="sim", 'Ações'!BH55="sim"), 1, 0)
</f>
        <v>0</v>
      </c>
    </row>
    <row r="55">
      <c r="B55" s="319">
        <f>IF(AND('Ações'!AS56="sim", 'Ações'!BD56="sim"), 1, 0)
</f>
        <v>0</v>
      </c>
      <c r="C55" s="319">
        <f>IF(AND('Ações'!AT56="sim", 'Ações'!BE56="sim"), 1, 0)
</f>
        <v>0</v>
      </c>
      <c r="D55" s="319">
        <f>IF(AND('Ações'!AU56="sim", 'Ações'!BF56="sim"), 1, 0)
</f>
        <v>0</v>
      </c>
      <c r="E55" s="319">
        <f>IF(AND('Ações'!AV56="sim", 'Ações'!BG56="sim"), 1, 0)
</f>
        <v>0</v>
      </c>
      <c r="F55" s="319">
        <f>IF(AND('Ações'!AW56="sim", 'Ações'!BH56="sim"), 1, 0)
</f>
        <v>0</v>
      </c>
      <c r="G55" s="319">
        <f>IF(AND('Ações'!AX56="sim", 'Ações'!BI56="sim"), 1, 0)
</f>
        <v>0</v>
      </c>
      <c r="H55" s="319">
        <f>IF(AND('Ações'!AS56="sim", 'Ações'!BE56="sim"), 1, 0)
</f>
        <v>0</v>
      </c>
      <c r="I55" s="319">
        <f>IF(AND('Ações'!AS56="sim", 'Ações'!BF56="sim"), 1, 0)
</f>
        <v>0</v>
      </c>
      <c r="J55" s="319">
        <f>IF(AND('Ações'!AS56="sim", 'Ações'!BG56="sim"), 1, 0)
</f>
        <v>0</v>
      </c>
      <c r="K55" s="319">
        <f>IF(AND('Ações'!AS56="sim", 'Ações'!BH56="sim"), 1, 0)
</f>
        <v>0</v>
      </c>
      <c r="L55" s="319">
        <f>IF(AND('Ações'!AS56="sim", 'Ações'!BI56="sim"), 1, 0)
</f>
        <v>1</v>
      </c>
      <c r="M55" s="319">
        <f>IF(AND('Ações'!AT56="sim", 'Ações'!BD56="sim"), 1, 0)
</f>
        <v>0</v>
      </c>
      <c r="N55" s="319">
        <f>IF(AND('Ações'!AT56="sim", 'Ações'!BF56="sim"), 1, 0)
</f>
        <v>0</v>
      </c>
      <c r="O55" s="319">
        <f>IF(AND('Ações'!AT56="sim", 'Ações'!BG56="sim"), 1, 0)
</f>
        <v>0</v>
      </c>
      <c r="P55" s="319">
        <f>IF(AND('Ações'!AT56="sim", 'Ações'!BH56="sim"), 1, 0)
</f>
        <v>0</v>
      </c>
      <c r="Q55" s="319">
        <f>IF(AND('Ações'!AT56="sim", 'Ações'!BI56="sim"), 1, 0)
</f>
        <v>0</v>
      </c>
      <c r="R55" s="319">
        <f>IF(AND('Ações'!AU56="sim", 'Ações'!BD56="sim"), 1, 0)
</f>
        <v>0</v>
      </c>
      <c r="S55" s="319">
        <f>IF(AND('Ações'!AU56="sim", 'Ações'!BE56="sim"), 1, 0)
</f>
        <v>0</v>
      </c>
      <c r="T55" s="319">
        <f>IF(AND('Ações'!AU56="sim", 'Ações'!BG56="sim"), 1, 0)
</f>
        <v>0</v>
      </c>
      <c r="U55" s="319">
        <f>IF(AND('Ações'!AU56="sim", 'Ações'!BH56="sim"), 1, 0)
</f>
        <v>0</v>
      </c>
      <c r="V55" s="319">
        <f>IF(AND('Ações'!AU56="sim", 'Ações'!BI56="sim"), 1, 0)
</f>
        <v>0</v>
      </c>
      <c r="W55" s="319">
        <f>IF(AND('Ações'!AV56="sim", 'Ações'!BD56="sim"), 1, 0)
</f>
        <v>0</v>
      </c>
      <c r="X55" s="319">
        <f>IF(AND('Ações'!AV56="sim", 'Ações'!BE56="sim"), 1, 0)
</f>
        <v>0</v>
      </c>
      <c r="Y55" s="319">
        <f>IF(AND('Ações'!AV56="sim", 'Ações'!BF56="sim"), 1, 0)
</f>
        <v>0</v>
      </c>
      <c r="Z55" s="319">
        <f>IF(AND('Ações'!AV56="sim", 'Ações'!BH56="sim"), 1, 0)
</f>
        <v>0</v>
      </c>
      <c r="AA55" s="319">
        <f>IF(AND('Ações'!AV56="sim", 'Ações'!BI56="sim"), 1, 0)
</f>
        <v>0</v>
      </c>
      <c r="AB55" s="319">
        <f>IF(AND('Ações'!AW56="sim", 'Ações'!BD56="sim"), 1, 0)
</f>
        <v>0</v>
      </c>
      <c r="AC55" s="319">
        <f>IF(AND('Ações'!AW56="sim", 'Ações'!BE56="sim"), 1, 0)
</f>
        <v>0</v>
      </c>
      <c r="AD55" s="319">
        <f>IF(AND('Ações'!AW56="sim", 'Ações'!BF56="sim"), 1, 0)
</f>
        <v>0</v>
      </c>
      <c r="AE55" s="319">
        <f>IF(AND('Ações'!AW56="sim", 'Ações'!BG56="sim"), 1, 0)
</f>
        <v>0</v>
      </c>
      <c r="AF55" s="319">
        <f>IF(AND('Ações'!AW56="sim", 'Ações'!BI56="sim"), 1, 0)
</f>
        <v>0</v>
      </c>
      <c r="AG55" s="319">
        <f>IF(AND('Ações'!AX56="sim", 'Ações'!BD56="sim"), 1, 0)
</f>
        <v>0</v>
      </c>
      <c r="AH55" s="319">
        <f>IF(AND('Ações'!AX56="sim", 'Ações'!BE56="sim"), 1, 0)
</f>
        <v>0</v>
      </c>
      <c r="AI55" s="319">
        <f>IF(AND('Ações'!AX56="sim", 'Ações'!BF56="sim"), 1, 0)
</f>
        <v>0</v>
      </c>
      <c r="AJ55" s="319">
        <f>IF(AND('Ações'!AX56="sim", 'Ações'!BG56="sim"), 1, 0)
</f>
        <v>0</v>
      </c>
      <c r="AK55" s="319">
        <f>IF(AND('Ações'!AX56="sim", 'Ações'!BH56="sim"), 1, 0)
</f>
        <v>0</v>
      </c>
    </row>
    <row r="56">
      <c r="B56" s="319">
        <f>IF(AND('Ações'!AS57="sim", 'Ações'!BD57="sim"), 1, 0)
</f>
        <v>0</v>
      </c>
      <c r="C56" s="319">
        <f>IF(AND('Ações'!AT57="sim", 'Ações'!BE57="sim"), 1, 0)
</f>
        <v>0</v>
      </c>
      <c r="D56" s="319">
        <f>IF(AND('Ações'!AU57="sim", 'Ações'!BF57="sim"), 1, 0)
</f>
        <v>0</v>
      </c>
      <c r="E56" s="319">
        <f>IF(AND('Ações'!AV57="sim", 'Ações'!BG57="sim"), 1, 0)
</f>
        <v>0</v>
      </c>
      <c r="F56" s="319">
        <f>IF(AND('Ações'!AW57="sim", 'Ações'!BH57="sim"), 1, 0)
</f>
        <v>0</v>
      </c>
      <c r="G56" s="319">
        <f>IF(AND('Ações'!AX57="sim", 'Ações'!BI57="sim"), 1, 0)
</f>
        <v>0</v>
      </c>
      <c r="H56" s="319">
        <f>IF(AND('Ações'!AS57="sim", 'Ações'!BE57="sim"), 1, 0)
</f>
        <v>0</v>
      </c>
      <c r="I56" s="319">
        <f>IF(AND('Ações'!AS57="sim", 'Ações'!BF57="sim"), 1, 0)
</f>
        <v>0</v>
      </c>
      <c r="J56" s="319">
        <f>IF(AND('Ações'!AS57="sim", 'Ações'!BG57="sim"), 1, 0)
</f>
        <v>0</v>
      </c>
      <c r="K56" s="319">
        <f>IF(AND('Ações'!AS57="sim", 'Ações'!BH57="sim"), 1, 0)
</f>
        <v>0</v>
      </c>
      <c r="L56" s="319">
        <f>IF(AND('Ações'!AS57="sim", 'Ações'!BI57="sim"), 1, 0)
</f>
        <v>1</v>
      </c>
      <c r="M56" s="319">
        <f>IF(AND('Ações'!AT57="sim", 'Ações'!BD57="sim"), 1, 0)
</f>
        <v>0</v>
      </c>
      <c r="N56" s="319">
        <f>IF(AND('Ações'!AT57="sim", 'Ações'!BF57="sim"), 1, 0)
</f>
        <v>0</v>
      </c>
      <c r="O56" s="319">
        <f>IF(AND('Ações'!AT57="sim", 'Ações'!BG57="sim"), 1, 0)
</f>
        <v>0</v>
      </c>
      <c r="P56" s="319">
        <f>IF(AND('Ações'!AT57="sim", 'Ações'!BH57="sim"), 1, 0)
</f>
        <v>0</v>
      </c>
      <c r="Q56" s="319">
        <f>IF(AND('Ações'!AT57="sim", 'Ações'!BI57="sim"), 1, 0)
</f>
        <v>1</v>
      </c>
      <c r="R56" s="319">
        <f>IF(AND('Ações'!AU57="sim", 'Ações'!BD57="sim"), 1, 0)
</f>
        <v>0</v>
      </c>
      <c r="S56" s="319">
        <f>IF(AND('Ações'!AU57="sim", 'Ações'!BE57="sim"), 1, 0)
</f>
        <v>0</v>
      </c>
      <c r="T56" s="319">
        <f>IF(AND('Ações'!AU57="sim", 'Ações'!BG57="sim"), 1, 0)
</f>
        <v>0</v>
      </c>
      <c r="U56" s="319">
        <f>IF(AND('Ações'!AU57="sim", 'Ações'!BH57="sim"), 1, 0)
</f>
        <v>0</v>
      </c>
      <c r="V56" s="319">
        <f>IF(AND('Ações'!AU57="sim", 'Ações'!BI57="sim"), 1, 0)
</f>
        <v>1</v>
      </c>
      <c r="W56" s="319">
        <f>IF(AND('Ações'!AV57="sim", 'Ações'!BD57="sim"), 1, 0)
</f>
        <v>0</v>
      </c>
      <c r="X56" s="319">
        <f>IF(AND('Ações'!AV57="sim", 'Ações'!BE57="sim"), 1, 0)
</f>
        <v>0</v>
      </c>
      <c r="Y56" s="319">
        <f>IF(AND('Ações'!AV57="sim", 'Ações'!BF57="sim"), 1, 0)
</f>
        <v>0</v>
      </c>
      <c r="Z56" s="319">
        <f>IF(AND('Ações'!AV57="sim", 'Ações'!BH57="sim"), 1, 0)
</f>
        <v>0</v>
      </c>
      <c r="AA56" s="319">
        <f>IF(AND('Ações'!AV57="sim", 'Ações'!BI57="sim"), 1, 0)
</f>
        <v>1</v>
      </c>
      <c r="AB56" s="319">
        <f>IF(AND('Ações'!AW57="sim", 'Ações'!BD57="sim"), 1, 0)
</f>
        <v>0</v>
      </c>
      <c r="AC56" s="319">
        <f>IF(AND('Ações'!AW57="sim", 'Ações'!BE57="sim"), 1, 0)
</f>
        <v>0</v>
      </c>
      <c r="AD56" s="319">
        <f>IF(AND('Ações'!AW57="sim", 'Ações'!BF57="sim"), 1, 0)
</f>
        <v>0</v>
      </c>
      <c r="AE56" s="319">
        <f>IF(AND('Ações'!AW57="sim", 'Ações'!BG57="sim"), 1, 0)
</f>
        <v>0</v>
      </c>
      <c r="AF56" s="319">
        <f>IF(AND('Ações'!AW57="sim", 'Ações'!BI57="sim"), 1, 0)
</f>
        <v>1</v>
      </c>
      <c r="AG56" s="319">
        <f>IF(AND('Ações'!AX57="sim", 'Ações'!BD57="sim"), 1, 0)
</f>
        <v>0</v>
      </c>
      <c r="AH56" s="319">
        <f>IF(AND('Ações'!AX57="sim", 'Ações'!BE57="sim"), 1, 0)
</f>
        <v>0</v>
      </c>
      <c r="AI56" s="319">
        <f>IF(AND('Ações'!AX57="sim", 'Ações'!BF57="sim"), 1, 0)
</f>
        <v>0</v>
      </c>
      <c r="AJ56" s="319">
        <f>IF(AND('Ações'!AX57="sim", 'Ações'!BG57="sim"), 1, 0)
</f>
        <v>0</v>
      </c>
      <c r="AK56" s="319">
        <f>IF(AND('Ações'!AX57="sim", 'Ações'!BH57="sim"), 1, 0)
</f>
        <v>0</v>
      </c>
    </row>
    <row r="57">
      <c r="B57" s="319">
        <f>IF(AND('Ações'!AS58="sim", 'Ações'!BD58="sim"), 1, 0)
</f>
        <v>1</v>
      </c>
      <c r="C57" s="319">
        <f>IF(AND('Ações'!AT58="sim", 'Ações'!BE58="sim"), 1, 0)
</f>
        <v>0</v>
      </c>
      <c r="D57" s="319">
        <f>IF(AND('Ações'!AU58="sim", 'Ações'!BF58="sim"), 1, 0)
</f>
        <v>0</v>
      </c>
      <c r="E57" s="319">
        <f>IF(AND('Ações'!AV58="sim", 'Ações'!BG58="sim"), 1, 0)
</f>
        <v>0</v>
      </c>
      <c r="F57" s="319">
        <f>IF(AND('Ações'!AW58="sim", 'Ações'!BH58="sim"), 1, 0)
</f>
        <v>0</v>
      </c>
      <c r="G57" s="319">
        <f>IF(AND('Ações'!AX58="sim", 'Ações'!BI58="sim"), 1, 0)
</f>
        <v>0</v>
      </c>
      <c r="H57" s="319">
        <f>IF(AND('Ações'!AS58="sim", 'Ações'!BE58="sim"), 1, 0)
</f>
        <v>0</v>
      </c>
      <c r="I57" s="319">
        <f>IF(AND('Ações'!AS58="sim", 'Ações'!BF58="sim"), 1, 0)
</f>
        <v>0</v>
      </c>
      <c r="J57" s="319">
        <f>IF(AND('Ações'!AS58="sim", 'Ações'!BG58="sim"), 1, 0)
</f>
        <v>0</v>
      </c>
      <c r="K57" s="319">
        <f>IF(AND('Ações'!AS58="sim", 'Ações'!BH58="sim"), 1, 0)
</f>
        <v>0</v>
      </c>
      <c r="L57" s="319">
        <f>IF(AND('Ações'!AS58="sim", 'Ações'!BI58="sim"), 1, 0)
</f>
        <v>0</v>
      </c>
      <c r="M57" s="319">
        <f>IF(AND('Ações'!AT58="sim", 'Ações'!BD58="sim"), 1, 0)
</f>
        <v>1</v>
      </c>
      <c r="N57" s="319">
        <f>IF(AND('Ações'!AT58="sim", 'Ações'!BF58="sim"), 1, 0)
</f>
        <v>0</v>
      </c>
      <c r="O57" s="319">
        <f>IF(AND('Ações'!AT58="sim", 'Ações'!BG58="sim"), 1, 0)
</f>
        <v>0</v>
      </c>
      <c r="P57" s="319">
        <f>IF(AND('Ações'!AT58="sim", 'Ações'!BH58="sim"), 1, 0)
</f>
        <v>0</v>
      </c>
      <c r="Q57" s="319">
        <f>IF(AND('Ações'!AT58="sim", 'Ações'!BI58="sim"), 1, 0)
</f>
        <v>0</v>
      </c>
      <c r="R57" s="319">
        <f>IF(AND('Ações'!AU58="sim", 'Ações'!BD58="sim"), 1, 0)
</f>
        <v>1</v>
      </c>
      <c r="S57" s="319">
        <f>IF(AND('Ações'!AU58="sim", 'Ações'!BE58="sim"), 1, 0)
</f>
        <v>0</v>
      </c>
      <c r="T57" s="319">
        <f>IF(AND('Ações'!AU58="sim", 'Ações'!BG58="sim"), 1, 0)
</f>
        <v>0</v>
      </c>
      <c r="U57" s="319">
        <f>IF(AND('Ações'!AU58="sim", 'Ações'!BH58="sim"), 1, 0)
</f>
        <v>0</v>
      </c>
      <c r="V57" s="319">
        <f>IF(AND('Ações'!AU58="sim", 'Ações'!BI58="sim"), 1, 0)
</f>
        <v>0</v>
      </c>
      <c r="W57" s="319">
        <f>IF(AND('Ações'!AV58="sim", 'Ações'!BD58="sim"), 1, 0)
</f>
        <v>1</v>
      </c>
      <c r="X57" s="319">
        <f>IF(AND('Ações'!AV58="sim", 'Ações'!BE58="sim"), 1, 0)
</f>
        <v>0</v>
      </c>
      <c r="Y57" s="319">
        <f>IF(AND('Ações'!AV58="sim", 'Ações'!BF58="sim"), 1, 0)
</f>
        <v>0</v>
      </c>
      <c r="Z57" s="319">
        <f>IF(AND('Ações'!AV58="sim", 'Ações'!BH58="sim"), 1, 0)
</f>
        <v>0</v>
      </c>
      <c r="AA57" s="319">
        <f>IF(AND('Ações'!AV58="sim", 'Ações'!BI58="sim"), 1, 0)
</f>
        <v>0</v>
      </c>
      <c r="AB57" s="319">
        <f>IF(AND('Ações'!AW58="sim", 'Ações'!BD58="sim"), 1, 0)
</f>
        <v>1</v>
      </c>
      <c r="AC57" s="319">
        <f>IF(AND('Ações'!AW58="sim", 'Ações'!BE58="sim"), 1, 0)
</f>
        <v>0</v>
      </c>
      <c r="AD57" s="319">
        <f>IF(AND('Ações'!AW58="sim", 'Ações'!BF58="sim"), 1, 0)
</f>
        <v>0</v>
      </c>
      <c r="AE57" s="319">
        <f>IF(AND('Ações'!AW58="sim", 'Ações'!BG58="sim"), 1, 0)
</f>
        <v>0</v>
      </c>
      <c r="AF57" s="319">
        <f>IF(AND('Ações'!AW58="sim", 'Ações'!BI58="sim"), 1, 0)
</f>
        <v>0</v>
      </c>
      <c r="AG57" s="319">
        <f>IF(AND('Ações'!AX58="sim", 'Ações'!BD58="sim"), 1, 0)
</f>
        <v>0</v>
      </c>
      <c r="AH57" s="319">
        <f>IF(AND('Ações'!AX58="sim", 'Ações'!BE58="sim"), 1, 0)
</f>
        <v>0</v>
      </c>
      <c r="AI57" s="319">
        <f>IF(AND('Ações'!AX58="sim", 'Ações'!BF58="sim"), 1, 0)
</f>
        <v>0</v>
      </c>
      <c r="AJ57" s="319">
        <f>IF(AND('Ações'!AX58="sim", 'Ações'!BG58="sim"), 1, 0)
</f>
        <v>0</v>
      </c>
      <c r="AK57" s="319">
        <f>IF(AND('Ações'!AX58="sim", 'Ações'!BH58="sim"), 1, 0)
</f>
        <v>0</v>
      </c>
    </row>
    <row r="58">
      <c r="B58" s="319">
        <f>IF(AND('Ações'!AS59="sim", 'Ações'!BD59="sim"), 1, 0)
</f>
        <v>1</v>
      </c>
      <c r="C58" s="319">
        <f>IF(AND('Ações'!AT59="sim", 'Ações'!BE59="sim"), 1, 0)
</f>
        <v>0</v>
      </c>
      <c r="D58" s="319">
        <f>IF(AND('Ações'!AU59="sim", 'Ações'!BF59="sim"), 1, 0)
</f>
        <v>0</v>
      </c>
      <c r="E58" s="319">
        <f>IF(AND('Ações'!AV59="sim", 'Ações'!BG59="sim"), 1, 0)
</f>
        <v>0</v>
      </c>
      <c r="F58" s="319">
        <f>IF(AND('Ações'!AW59="sim", 'Ações'!BH59="sim"), 1, 0)
</f>
        <v>0</v>
      </c>
      <c r="G58" s="319">
        <f>IF(AND('Ações'!AX59="sim", 'Ações'!BI59="sim"), 1, 0)
</f>
        <v>0</v>
      </c>
      <c r="H58" s="319">
        <f>IF(AND('Ações'!AS59="sim", 'Ações'!BE59="sim"), 1, 0)
</f>
        <v>0</v>
      </c>
      <c r="I58" s="319">
        <f>IF(AND('Ações'!AS59="sim", 'Ações'!BF59="sim"), 1, 0)
</f>
        <v>0</v>
      </c>
      <c r="J58" s="319">
        <f>IF(AND('Ações'!AS59="sim", 'Ações'!BG59="sim"), 1, 0)
</f>
        <v>0</v>
      </c>
      <c r="K58" s="319">
        <f>IF(AND('Ações'!AS59="sim", 'Ações'!BH59="sim"), 1, 0)
</f>
        <v>0</v>
      </c>
      <c r="L58" s="319">
        <f>IF(AND('Ações'!AS59="sim", 'Ações'!BI59="sim"), 1, 0)
</f>
        <v>0</v>
      </c>
      <c r="M58" s="319">
        <f>IF(AND('Ações'!AT59="sim", 'Ações'!BD59="sim"), 1, 0)
</f>
        <v>1</v>
      </c>
      <c r="N58" s="319">
        <f>IF(AND('Ações'!AT59="sim", 'Ações'!BF59="sim"), 1, 0)
</f>
        <v>0</v>
      </c>
      <c r="O58" s="319">
        <f>IF(AND('Ações'!AT59="sim", 'Ações'!BG59="sim"), 1, 0)
</f>
        <v>0</v>
      </c>
      <c r="P58" s="319">
        <f>IF(AND('Ações'!AT59="sim", 'Ações'!BH59="sim"), 1, 0)
</f>
        <v>0</v>
      </c>
      <c r="Q58" s="319">
        <f>IF(AND('Ações'!AT59="sim", 'Ações'!BI59="sim"), 1, 0)
</f>
        <v>0</v>
      </c>
      <c r="R58" s="319">
        <f>IF(AND('Ações'!AU59="sim", 'Ações'!BD59="sim"), 1, 0)
</f>
        <v>1</v>
      </c>
      <c r="S58" s="319">
        <f>IF(AND('Ações'!AU59="sim", 'Ações'!BE59="sim"), 1, 0)
</f>
        <v>0</v>
      </c>
      <c r="T58" s="319">
        <f>IF(AND('Ações'!AU59="sim", 'Ações'!BG59="sim"), 1, 0)
</f>
        <v>0</v>
      </c>
      <c r="U58" s="319">
        <f>IF(AND('Ações'!AU59="sim", 'Ações'!BH59="sim"), 1, 0)
</f>
        <v>0</v>
      </c>
      <c r="V58" s="319">
        <f>IF(AND('Ações'!AU59="sim", 'Ações'!BI59="sim"), 1, 0)
</f>
        <v>0</v>
      </c>
      <c r="W58" s="319">
        <f>IF(AND('Ações'!AV59="sim", 'Ações'!BD59="sim"), 1, 0)
</f>
        <v>1</v>
      </c>
      <c r="X58" s="319">
        <f>IF(AND('Ações'!AV59="sim", 'Ações'!BE59="sim"), 1, 0)
</f>
        <v>0</v>
      </c>
      <c r="Y58" s="319">
        <f>IF(AND('Ações'!AV59="sim", 'Ações'!BF59="sim"), 1, 0)
</f>
        <v>0</v>
      </c>
      <c r="Z58" s="319">
        <f>IF(AND('Ações'!AV59="sim", 'Ações'!BH59="sim"), 1, 0)
</f>
        <v>0</v>
      </c>
      <c r="AA58" s="319">
        <f>IF(AND('Ações'!AV59="sim", 'Ações'!BI59="sim"), 1, 0)
</f>
        <v>0</v>
      </c>
      <c r="AB58" s="319">
        <f>IF(AND('Ações'!AW59="sim", 'Ações'!BD59="sim"), 1, 0)
</f>
        <v>1</v>
      </c>
      <c r="AC58" s="319">
        <f>IF(AND('Ações'!AW59="sim", 'Ações'!BE59="sim"), 1, 0)
</f>
        <v>0</v>
      </c>
      <c r="AD58" s="319">
        <f>IF(AND('Ações'!AW59="sim", 'Ações'!BF59="sim"), 1, 0)
</f>
        <v>0</v>
      </c>
      <c r="AE58" s="319">
        <f>IF(AND('Ações'!AW59="sim", 'Ações'!BG59="sim"), 1, 0)
</f>
        <v>0</v>
      </c>
      <c r="AF58" s="319">
        <f>IF(AND('Ações'!AW59="sim", 'Ações'!BI59="sim"), 1, 0)
</f>
        <v>0</v>
      </c>
      <c r="AG58" s="319">
        <f>IF(AND('Ações'!AX59="sim", 'Ações'!BD59="sim"), 1, 0)
</f>
        <v>0</v>
      </c>
      <c r="AH58" s="319">
        <f>IF(AND('Ações'!AX59="sim", 'Ações'!BE59="sim"), 1, 0)
</f>
        <v>0</v>
      </c>
      <c r="AI58" s="319">
        <f>IF(AND('Ações'!AX59="sim", 'Ações'!BF59="sim"), 1, 0)
</f>
        <v>0</v>
      </c>
      <c r="AJ58" s="319">
        <f>IF(AND('Ações'!AX59="sim", 'Ações'!BG59="sim"), 1, 0)
</f>
        <v>0</v>
      </c>
      <c r="AK58" s="319">
        <f>IF(AND('Ações'!AX59="sim", 'Ações'!BH59="sim"), 1, 0)
</f>
        <v>0</v>
      </c>
    </row>
    <row r="59">
      <c r="B59" s="319">
        <f>IF(AND('Ações'!AS60="sim", 'Ações'!BD60="sim"), 1, 0)
</f>
        <v>1</v>
      </c>
      <c r="C59" s="319">
        <f>IF(AND('Ações'!AT60="sim", 'Ações'!BE60="sim"), 1, 0)
</f>
        <v>0</v>
      </c>
      <c r="D59" s="319">
        <f>IF(AND('Ações'!AU60="sim", 'Ações'!BF60="sim"), 1, 0)
</f>
        <v>0</v>
      </c>
      <c r="E59" s="319">
        <f>IF(AND('Ações'!AV60="sim", 'Ações'!BG60="sim"), 1, 0)
</f>
        <v>0</v>
      </c>
      <c r="F59" s="319">
        <f>IF(AND('Ações'!AW60="sim", 'Ações'!BH60="sim"), 1, 0)
</f>
        <v>0</v>
      </c>
      <c r="G59" s="319">
        <f>IF(AND('Ações'!AX60="sim", 'Ações'!BI60="sim"), 1, 0)
</f>
        <v>0</v>
      </c>
      <c r="H59" s="319">
        <f>IF(AND('Ações'!AS60="sim", 'Ações'!BE60="sim"), 1, 0)
</f>
        <v>0</v>
      </c>
      <c r="I59" s="319">
        <f>IF(AND('Ações'!AS60="sim", 'Ações'!BF60="sim"), 1, 0)
</f>
        <v>0</v>
      </c>
      <c r="J59" s="319">
        <f>IF(AND('Ações'!AS60="sim", 'Ações'!BG60="sim"), 1, 0)
</f>
        <v>0</v>
      </c>
      <c r="K59" s="319">
        <f>IF(AND('Ações'!AS60="sim", 'Ações'!BH60="sim"), 1, 0)
</f>
        <v>0</v>
      </c>
      <c r="L59" s="319">
        <f>IF(AND('Ações'!AS60="sim", 'Ações'!BI60="sim"), 1, 0)
</f>
        <v>0</v>
      </c>
      <c r="M59" s="319">
        <f>IF(AND('Ações'!AT60="sim", 'Ações'!BD60="sim"), 1, 0)
</f>
        <v>1</v>
      </c>
      <c r="N59" s="319">
        <f>IF(AND('Ações'!AT60="sim", 'Ações'!BF60="sim"), 1, 0)
</f>
        <v>0</v>
      </c>
      <c r="O59" s="319">
        <f>IF(AND('Ações'!AT60="sim", 'Ações'!BG60="sim"), 1, 0)
</f>
        <v>0</v>
      </c>
      <c r="P59" s="319">
        <f>IF(AND('Ações'!AT60="sim", 'Ações'!BH60="sim"), 1, 0)
</f>
        <v>0</v>
      </c>
      <c r="Q59" s="319">
        <f>IF(AND('Ações'!AT60="sim", 'Ações'!BI60="sim"), 1, 0)
</f>
        <v>0</v>
      </c>
      <c r="R59" s="319">
        <f>IF(AND('Ações'!AU60="sim", 'Ações'!BD60="sim"), 1, 0)
</f>
        <v>1</v>
      </c>
      <c r="S59" s="319">
        <f>IF(AND('Ações'!AU60="sim", 'Ações'!BE60="sim"), 1, 0)
</f>
        <v>0</v>
      </c>
      <c r="T59" s="319">
        <f>IF(AND('Ações'!AU60="sim", 'Ações'!BG60="sim"), 1, 0)
</f>
        <v>0</v>
      </c>
      <c r="U59" s="319">
        <f>IF(AND('Ações'!AU60="sim", 'Ações'!BH60="sim"), 1, 0)
</f>
        <v>0</v>
      </c>
      <c r="V59" s="319">
        <f>IF(AND('Ações'!AU60="sim", 'Ações'!BI60="sim"), 1, 0)
</f>
        <v>0</v>
      </c>
      <c r="W59" s="319">
        <f>IF(AND('Ações'!AV60="sim", 'Ações'!BD60="sim"), 1, 0)
</f>
        <v>1</v>
      </c>
      <c r="X59" s="319">
        <f>IF(AND('Ações'!AV60="sim", 'Ações'!BE60="sim"), 1, 0)
</f>
        <v>0</v>
      </c>
      <c r="Y59" s="319">
        <f>IF(AND('Ações'!AV60="sim", 'Ações'!BF60="sim"), 1, 0)
</f>
        <v>0</v>
      </c>
      <c r="Z59" s="319">
        <f>IF(AND('Ações'!AV60="sim", 'Ações'!BH60="sim"), 1, 0)
</f>
        <v>0</v>
      </c>
      <c r="AA59" s="319">
        <f>IF(AND('Ações'!AV60="sim", 'Ações'!BI60="sim"), 1, 0)
</f>
        <v>0</v>
      </c>
      <c r="AB59" s="319">
        <f>IF(AND('Ações'!AW60="sim", 'Ações'!BD60="sim"), 1, 0)
</f>
        <v>1</v>
      </c>
      <c r="AC59" s="319">
        <f>IF(AND('Ações'!AW60="sim", 'Ações'!BE60="sim"), 1, 0)
</f>
        <v>0</v>
      </c>
      <c r="AD59" s="319">
        <f>IF(AND('Ações'!AW60="sim", 'Ações'!BF60="sim"), 1, 0)
</f>
        <v>0</v>
      </c>
      <c r="AE59" s="319">
        <f>IF(AND('Ações'!AW60="sim", 'Ações'!BG60="sim"), 1, 0)
</f>
        <v>0</v>
      </c>
      <c r="AF59" s="319">
        <f>IF(AND('Ações'!AW60="sim", 'Ações'!BI60="sim"), 1, 0)
</f>
        <v>0</v>
      </c>
      <c r="AG59" s="319">
        <f>IF(AND('Ações'!AX60="sim", 'Ações'!BD60="sim"), 1, 0)
</f>
        <v>0</v>
      </c>
      <c r="AH59" s="319">
        <f>IF(AND('Ações'!AX60="sim", 'Ações'!BE60="sim"), 1, 0)
</f>
        <v>0</v>
      </c>
      <c r="AI59" s="319">
        <f>IF(AND('Ações'!AX60="sim", 'Ações'!BF60="sim"), 1, 0)
</f>
        <v>0</v>
      </c>
      <c r="AJ59" s="319">
        <f>IF(AND('Ações'!AX60="sim", 'Ações'!BG60="sim"), 1, 0)
</f>
        <v>0</v>
      </c>
      <c r="AK59" s="319">
        <f>IF(AND('Ações'!AX60="sim", 'Ações'!BH60="sim"), 1, 0)
</f>
        <v>0</v>
      </c>
    </row>
    <row r="60">
      <c r="B60" s="319">
        <f>IF(AND('Ações'!AS61="sim", 'Ações'!BD61="sim"), 1, 0)
</f>
        <v>1</v>
      </c>
      <c r="C60" s="319">
        <f>IF(AND('Ações'!AT61="sim", 'Ações'!BE61="sim"), 1, 0)
</f>
        <v>0</v>
      </c>
      <c r="D60" s="319">
        <f>IF(AND('Ações'!AU61="sim", 'Ações'!BF61="sim"), 1, 0)
</f>
        <v>0</v>
      </c>
      <c r="E60" s="319">
        <f>IF(AND('Ações'!AV61="sim", 'Ações'!BG61="sim"), 1, 0)
</f>
        <v>0</v>
      </c>
      <c r="F60" s="319">
        <f>IF(AND('Ações'!AW61="sim", 'Ações'!BH61="sim"), 1, 0)
</f>
        <v>0</v>
      </c>
      <c r="G60" s="319">
        <f>IF(AND('Ações'!AX61="sim", 'Ações'!BI61="sim"), 1, 0)
</f>
        <v>0</v>
      </c>
      <c r="H60" s="319">
        <f>IF(AND('Ações'!AS61="sim", 'Ações'!BE61="sim"), 1, 0)
</f>
        <v>0</v>
      </c>
      <c r="I60" s="319">
        <f>IF(AND('Ações'!AS61="sim", 'Ações'!BF61="sim"), 1, 0)
</f>
        <v>0</v>
      </c>
      <c r="J60" s="319">
        <f>IF(AND('Ações'!AS61="sim", 'Ações'!BG61="sim"), 1, 0)
</f>
        <v>0</v>
      </c>
      <c r="K60" s="319">
        <f>IF(AND('Ações'!AS61="sim", 'Ações'!BH61="sim"), 1, 0)
</f>
        <v>0</v>
      </c>
      <c r="L60" s="319">
        <f>IF(AND('Ações'!AS61="sim", 'Ações'!BI61="sim"), 1, 0)
</f>
        <v>0</v>
      </c>
      <c r="M60" s="319">
        <f>IF(AND('Ações'!AT61="sim", 'Ações'!BD61="sim"), 1, 0)
</f>
        <v>1</v>
      </c>
      <c r="N60" s="319">
        <f>IF(AND('Ações'!AT61="sim", 'Ações'!BF61="sim"), 1, 0)
</f>
        <v>0</v>
      </c>
      <c r="O60" s="319">
        <f>IF(AND('Ações'!AT61="sim", 'Ações'!BG61="sim"), 1, 0)
</f>
        <v>0</v>
      </c>
      <c r="P60" s="319">
        <f>IF(AND('Ações'!AT61="sim", 'Ações'!BH61="sim"), 1, 0)
</f>
        <v>0</v>
      </c>
      <c r="Q60" s="319">
        <f>IF(AND('Ações'!AT61="sim", 'Ações'!BI61="sim"), 1, 0)
</f>
        <v>0</v>
      </c>
      <c r="R60" s="319">
        <f>IF(AND('Ações'!AU61="sim", 'Ações'!BD61="sim"), 1, 0)
</f>
        <v>1</v>
      </c>
      <c r="S60" s="319">
        <f>IF(AND('Ações'!AU61="sim", 'Ações'!BE61="sim"), 1, 0)
</f>
        <v>0</v>
      </c>
      <c r="T60" s="319">
        <f>IF(AND('Ações'!AU61="sim", 'Ações'!BG61="sim"), 1, 0)
</f>
        <v>0</v>
      </c>
      <c r="U60" s="319">
        <f>IF(AND('Ações'!AU61="sim", 'Ações'!BH61="sim"), 1, 0)
</f>
        <v>0</v>
      </c>
      <c r="V60" s="319">
        <f>IF(AND('Ações'!AU61="sim", 'Ações'!BI61="sim"), 1, 0)
</f>
        <v>0</v>
      </c>
      <c r="W60" s="319">
        <f>IF(AND('Ações'!AV61="sim", 'Ações'!BD61="sim"), 1, 0)
</f>
        <v>1</v>
      </c>
      <c r="X60" s="319">
        <f>IF(AND('Ações'!AV61="sim", 'Ações'!BE61="sim"), 1, 0)
</f>
        <v>0</v>
      </c>
      <c r="Y60" s="319">
        <f>IF(AND('Ações'!AV61="sim", 'Ações'!BF61="sim"), 1, 0)
</f>
        <v>0</v>
      </c>
      <c r="Z60" s="319">
        <f>IF(AND('Ações'!AV61="sim", 'Ações'!BH61="sim"), 1, 0)
</f>
        <v>0</v>
      </c>
      <c r="AA60" s="319">
        <f>IF(AND('Ações'!AV61="sim", 'Ações'!BI61="sim"), 1, 0)
</f>
        <v>0</v>
      </c>
      <c r="AB60" s="319">
        <f>IF(AND('Ações'!AW61="sim", 'Ações'!BD61="sim"), 1, 0)
</f>
        <v>1</v>
      </c>
      <c r="AC60" s="319">
        <f>IF(AND('Ações'!AW61="sim", 'Ações'!BE61="sim"), 1, 0)
</f>
        <v>0</v>
      </c>
      <c r="AD60" s="319">
        <f>IF(AND('Ações'!AW61="sim", 'Ações'!BF61="sim"), 1, 0)
</f>
        <v>0</v>
      </c>
      <c r="AE60" s="319">
        <f>IF(AND('Ações'!AW61="sim", 'Ações'!BG61="sim"), 1, 0)
</f>
        <v>0</v>
      </c>
      <c r="AF60" s="319">
        <f>IF(AND('Ações'!AW61="sim", 'Ações'!BI61="sim"), 1, 0)
</f>
        <v>0</v>
      </c>
      <c r="AG60" s="319">
        <f>IF(AND('Ações'!AX61="sim", 'Ações'!BD61="sim"), 1, 0)
</f>
        <v>0</v>
      </c>
      <c r="AH60" s="319">
        <f>IF(AND('Ações'!AX61="sim", 'Ações'!BE61="sim"), 1, 0)
</f>
        <v>0</v>
      </c>
      <c r="AI60" s="319">
        <f>IF(AND('Ações'!AX61="sim", 'Ações'!BF61="sim"), 1, 0)
</f>
        <v>0</v>
      </c>
      <c r="AJ60" s="319">
        <f>IF(AND('Ações'!AX61="sim", 'Ações'!BG61="sim"), 1, 0)
</f>
        <v>0</v>
      </c>
      <c r="AK60" s="319">
        <f>IF(AND('Ações'!AX61="sim", 'Ações'!BH61="sim"), 1, 0)
</f>
        <v>0</v>
      </c>
    </row>
    <row r="61">
      <c r="B61" s="319">
        <f>IF(AND('Ações'!AS62="sim", 'Ações'!BD62="sim"), 1, 0)
</f>
        <v>1</v>
      </c>
      <c r="C61" s="319">
        <f>IF(AND('Ações'!AT62="sim", 'Ações'!BE62="sim"), 1, 0)
</f>
        <v>0</v>
      </c>
      <c r="D61" s="319">
        <f>IF(AND('Ações'!AU62="sim", 'Ações'!BF62="sim"), 1, 0)
</f>
        <v>0</v>
      </c>
      <c r="E61" s="319">
        <f>IF(AND('Ações'!AV62="sim", 'Ações'!BG62="sim"), 1, 0)
</f>
        <v>0</v>
      </c>
      <c r="F61" s="319">
        <f>IF(AND('Ações'!AW62="sim", 'Ações'!BH62="sim"), 1, 0)
</f>
        <v>0</v>
      </c>
      <c r="G61" s="319">
        <f>IF(AND('Ações'!AX62="sim", 'Ações'!BI62="sim"), 1, 0)
</f>
        <v>0</v>
      </c>
      <c r="H61" s="319">
        <f>IF(AND('Ações'!AS62="sim", 'Ações'!BE62="sim"), 1, 0)
</f>
        <v>0</v>
      </c>
      <c r="I61" s="319">
        <f>IF(AND('Ações'!AS62="sim", 'Ações'!BF62="sim"), 1, 0)
</f>
        <v>0</v>
      </c>
      <c r="J61" s="319">
        <f>IF(AND('Ações'!AS62="sim", 'Ações'!BG62="sim"), 1, 0)
</f>
        <v>0</v>
      </c>
      <c r="K61" s="319">
        <f>IF(AND('Ações'!AS62="sim", 'Ações'!BH62="sim"), 1, 0)
</f>
        <v>0</v>
      </c>
      <c r="L61" s="319">
        <f>IF(AND('Ações'!AS62="sim", 'Ações'!BI62="sim"), 1, 0)
</f>
        <v>0</v>
      </c>
      <c r="M61" s="319">
        <f>IF(AND('Ações'!AT62="sim", 'Ações'!BD62="sim"), 1, 0)
</f>
        <v>1</v>
      </c>
      <c r="N61" s="319">
        <f>IF(AND('Ações'!AT62="sim", 'Ações'!BF62="sim"), 1, 0)
</f>
        <v>0</v>
      </c>
      <c r="O61" s="319">
        <f>IF(AND('Ações'!AT62="sim", 'Ações'!BG62="sim"), 1, 0)
</f>
        <v>0</v>
      </c>
      <c r="P61" s="319">
        <f>IF(AND('Ações'!AT62="sim", 'Ações'!BH62="sim"), 1, 0)
</f>
        <v>0</v>
      </c>
      <c r="Q61" s="319">
        <f>IF(AND('Ações'!AT62="sim", 'Ações'!BI62="sim"), 1, 0)
</f>
        <v>0</v>
      </c>
      <c r="R61" s="319">
        <f>IF(AND('Ações'!AU62="sim", 'Ações'!BD62="sim"), 1, 0)
</f>
        <v>1</v>
      </c>
      <c r="S61" s="319">
        <f>IF(AND('Ações'!AU62="sim", 'Ações'!BE62="sim"), 1, 0)
</f>
        <v>0</v>
      </c>
      <c r="T61" s="319">
        <f>IF(AND('Ações'!AU62="sim", 'Ações'!BG62="sim"), 1, 0)
</f>
        <v>0</v>
      </c>
      <c r="U61" s="319">
        <f>IF(AND('Ações'!AU62="sim", 'Ações'!BH62="sim"), 1, 0)
</f>
        <v>0</v>
      </c>
      <c r="V61" s="319">
        <f>IF(AND('Ações'!AU62="sim", 'Ações'!BI62="sim"), 1, 0)
</f>
        <v>0</v>
      </c>
      <c r="W61" s="319">
        <f>IF(AND('Ações'!AV62="sim", 'Ações'!BD62="sim"), 1, 0)
</f>
        <v>1</v>
      </c>
      <c r="X61" s="319">
        <f>IF(AND('Ações'!AV62="sim", 'Ações'!BE62="sim"), 1, 0)
</f>
        <v>0</v>
      </c>
      <c r="Y61" s="319">
        <f>IF(AND('Ações'!AV62="sim", 'Ações'!BF62="sim"), 1, 0)
</f>
        <v>0</v>
      </c>
      <c r="Z61" s="319">
        <f>IF(AND('Ações'!AV62="sim", 'Ações'!BH62="sim"), 1, 0)
</f>
        <v>0</v>
      </c>
      <c r="AA61" s="319">
        <f>IF(AND('Ações'!AV62="sim", 'Ações'!BI62="sim"), 1, 0)
</f>
        <v>0</v>
      </c>
      <c r="AB61" s="319">
        <f>IF(AND('Ações'!AW62="sim", 'Ações'!BD62="sim"), 1, 0)
</f>
        <v>1</v>
      </c>
      <c r="AC61" s="319">
        <f>IF(AND('Ações'!AW62="sim", 'Ações'!BE62="sim"), 1, 0)
</f>
        <v>0</v>
      </c>
      <c r="AD61" s="319">
        <f>IF(AND('Ações'!AW62="sim", 'Ações'!BF62="sim"), 1, 0)
</f>
        <v>0</v>
      </c>
      <c r="AE61" s="319">
        <f>IF(AND('Ações'!AW62="sim", 'Ações'!BG62="sim"), 1, 0)
</f>
        <v>0</v>
      </c>
      <c r="AF61" s="319">
        <f>IF(AND('Ações'!AW62="sim", 'Ações'!BI62="sim"), 1, 0)
</f>
        <v>0</v>
      </c>
      <c r="AG61" s="319">
        <f>IF(AND('Ações'!AX62="sim", 'Ações'!BD62="sim"), 1, 0)
</f>
        <v>0</v>
      </c>
      <c r="AH61" s="319">
        <f>IF(AND('Ações'!AX62="sim", 'Ações'!BE62="sim"), 1, 0)
</f>
        <v>0</v>
      </c>
      <c r="AI61" s="319">
        <f>IF(AND('Ações'!AX62="sim", 'Ações'!BF62="sim"), 1, 0)
</f>
        <v>0</v>
      </c>
      <c r="AJ61" s="319">
        <f>IF(AND('Ações'!AX62="sim", 'Ações'!BG62="sim"), 1, 0)
</f>
        <v>0</v>
      </c>
      <c r="AK61" s="319">
        <f>IF(AND('Ações'!AX62="sim", 'Ações'!BH62="sim"), 1, 0)
</f>
        <v>0</v>
      </c>
    </row>
    <row r="62">
      <c r="B62" s="319">
        <f>IF(AND('Ações'!AS63="sim", 'Ações'!BD63="sim"), 1, 0)
</f>
        <v>1</v>
      </c>
      <c r="C62" s="319">
        <f>IF(AND('Ações'!AT63="sim", 'Ações'!BE63="sim"), 1, 0)
</f>
        <v>1</v>
      </c>
      <c r="D62" s="319">
        <f>IF(AND('Ações'!AU63="sim", 'Ações'!BF63="sim"), 1, 0)
</f>
        <v>0</v>
      </c>
      <c r="E62" s="319">
        <f>IF(AND('Ações'!AV63="sim", 'Ações'!BG63="sim"), 1, 0)
</f>
        <v>0</v>
      </c>
      <c r="F62" s="319">
        <f>IF(AND('Ações'!AW63="sim", 'Ações'!BH63="sim"), 1, 0)
</f>
        <v>0</v>
      </c>
      <c r="G62" s="319">
        <f>IF(AND('Ações'!AX63="sim", 'Ações'!BI63="sim"), 1, 0)
</f>
        <v>0</v>
      </c>
      <c r="H62" s="319">
        <f>IF(AND('Ações'!AS63="sim", 'Ações'!BE63="sim"), 1, 0)
</f>
        <v>1</v>
      </c>
      <c r="I62" s="319">
        <f>IF(AND('Ações'!AS63="sim", 'Ações'!BF63="sim"), 1, 0)
</f>
        <v>0</v>
      </c>
      <c r="J62" s="319">
        <f>IF(AND('Ações'!AS63="sim", 'Ações'!BG63="sim"), 1, 0)
</f>
        <v>0</v>
      </c>
      <c r="K62" s="319">
        <f>IF(AND('Ações'!AS63="sim", 'Ações'!BH63="sim"), 1, 0)
</f>
        <v>0</v>
      </c>
      <c r="L62" s="319">
        <f>IF(AND('Ações'!AS63="sim", 'Ações'!BI63="sim"), 1, 0)
</f>
        <v>0</v>
      </c>
      <c r="M62" s="319">
        <f>IF(AND('Ações'!AT63="sim", 'Ações'!BD63="sim"), 1, 0)
</f>
        <v>1</v>
      </c>
      <c r="N62" s="319">
        <f>IF(AND('Ações'!AT63="sim", 'Ações'!BF63="sim"), 1, 0)
</f>
        <v>0</v>
      </c>
      <c r="O62" s="319">
        <f>IF(AND('Ações'!AT63="sim", 'Ações'!BG63="sim"), 1, 0)
</f>
        <v>0</v>
      </c>
      <c r="P62" s="319">
        <f>IF(AND('Ações'!AT63="sim", 'Ações'!BH63="sim"), 1, 0)
</f>
        <v>0</v>
      </c>
      <c r="Q62" s="319">
        <f>IF(AND('Ações'!AT63="sim", 'Ações'!BI63="sim"), 1, 0)
</f>
        <v>0</v>
      </c>
      <c r="R62" s="319">
        <f>IF(AND('Ações'!AU63="sim", 'Ações'!BD63="sim"), 1, 0)
</f>
        <v>1</v>
      </c>
      <c r="S62" s="319">
        <f>IF(AND('Ações'!AU63="sim", 'Ações'!BE63="sim"), 1, 0)
</f>
        <v>1</v>
      </c>
      <c r="T62" s="319">
        <f>IF(AND('Ações'!AU63="sim", 'Ações'!BG63="sim"), 1, 0)
</f>
        <v>0</v>
      </c>
      <c r="U62" s="319">
        <f>IF(AND('Ações'!AU63="sim", 'Ações'!BH63="sim"), 1, 0)
</f>
        <v>0</v>
      </c>
      <c r="V62" s="319">
        <f>IF(AND('Ações'!AU63="sim", 'Ações'!BI63="sim"), 1, 0)
</f>
        <v>0</v>
      </c>
      <c r="W62" s="319">
        <f>IF(AND('Ações'!AV63="sim", 'Ações'!BD63="sim"), 1, 0)
</f>
        <v>1</v>
      </c>
      <c r="X62" s="319">
        <f>IF(AND('Ações'!AV63="sim", 'Ações'!BE63="sim"), 1, 0)
</f>
        <v>1</v>
      </c>
      <c r="Y62" s="319">
        <f>IF(AND('Ações'!AV63="sim", 'Ações'!BF63="sim"), 1, 0)
</f>
        <v>0</v>
      </c>
      <c r="Z62" s="319">
        <f>IF(AND('Ações'!AV63="sim", 'Ações'!BH63="sim"), 1, 0)
</f>
        <v>0</v>
      </c>
      <c r="AA62" s="319">
        <f>IF(AND('Ações'!AV63="sim", 'Ações'!BI63="sim"), 1, 0)
</f>
        <v>0</v>
      </c>
      <c r="AB62" s="319">
        <f>IF(AND('Ações'!AW63="sim", 'Ações'!BD63="sim"), 1, 0)
</f>
        <v>1</v>
      </c>
      <c r="AC62" s="319">
        <f>IF(AND('Ações'!AW63="sim", 'Ações'!BE63="sim"), 1, 0)
</f>
        <v>1</v>
      </c>
      <c r="AD62" s="319">
        <f>IF(AND('Ações'!AW63="sim", 'Ações'!BF63="sim"), 1, 0)
</f>
        <v>0</v>
      </c>
      <c r="AE62" s="319">
        <f>IF(AND('Ações'!AW63="sim", 'Ações'!BG63="sim"), 1, 0)
</f>
        <v>0</v>
      </c>
      <c r="AF62" s="319">
        <f>IF(AND('Ações'!AW63="sim", 'Ações'!BI63="sim"), 1, 0)
</f>
        <v>0</v>
      </c>
      <c r="AG62" s="319">
        <f>IF(AND('Ações'!AX63="sim", 'Ações'!BD63="sim"), 1, 0)
</f>
        <v>0</v>
      </c>
      <c r="AH62" s="319">
        <f>IF(AND('Ações'!AX63="sim", 'Ações'!BE63="sim"), 1, 0)
</f>
        <v>0</v>
      </c>
      <c r="AI62" s="319">
        <f>IF(AND('Ações'!AX63="sim", 'Ações'!BF63="sim"), 1, 0)
</f>
        <v>0</v>
      </c>
      <c r="AJ62" s="319">
        <f>IF(AND('Ações'!AX63="sim", 'Ações'!BG63="sim"), 1, 0)
</f>
        <v>0</v>
      </c>
      <c r="AK62" s="319">
        <f>IF(AND('Ações'!AX63="sim", 'Ações'!BH63="sim"), 1, 0)
</f>
        <v>0</v>
      </c>
    </row>
    <row r="63">
      <c r="B63" s="319">
        <f>IF(AND('Ações'!AS65="sim", 'Ações'!BD65="sim"), 1, 0)
</f>
        <v>1</v>
      </c>
      <c r="C63" s="319">
        <f>IF(AND('Ações'!AT65="sim", 'Ações'!BE65="sim"), 1, 0)
</f>
        <v>0</v>
      </c>
      <c r="D63" s="319">
        <f>IF(AND('Ações'!AU65="sim", 'Ações'!BF65="sim"), 1, 0)
</f>
        <v>0</v>
      </c>
      <c r="E63" s="319">
        <f>IF(AND('Ações'!AV65="sim", 'Ações'!BG65="sim"), 1, 0)
</f>
        <v>0</v>
      </c>
      <c r="F63" s="319">
        <f>IF(AND('Ações'!AW65="sim", 'Ações'!BH65="sim"), 1, 0)
</f>
        <v>0</v>
      </c>
      <c r="G63" s="319">
        <f>IF(AND('Ações'!AX65="sim", 'Ações'!BI65="sim"), 1, 0)
</f>
        <v>0</v>
      </c>
      <c r="H63" s="319">
        <f>IF(AND('Ações'!AS65="sim", 'Ações'!BE65="sim"), 1, 0)
</f>
        <v>0</v>
      </c>
      <c r="I63" s="319">
        <f>IF(AND('Ações'!AS65="sim", 'Ações'!BF65="sim"), 1, 0)
</f>
        <v>0</v>
      </c>
      <c r="J63" s="319">
        <f>IF(AND('Ações'!AS65="sim", 'Ações'!BG65="sim"), 1, 0)
</f>
        <v>0</v>
      </c>
      <c r="K63" s="319">
        <f>IF(AND('Ações'!AS65="sim", 'Ações'!BH65="sim"), 1, 0)
</f>
        <v>0</v>
      </c>
      <c r="L63" s="319">
        <f>IF(AND('Ações'!AS65="sim", 'Ações'!BI65="sim"), 1, 0)
</f>
        <v>0</v>
      </c>
      <c r="M63" s="319">
        <f>IF(AND('Ações'!AT65="sim", 'Ações'!BD65="sim"), 1, 0)
</f>
        <v>1</v>
      </c>
      <c r="N63" s="319">
        <f>IF(AND('Ações'!AT65="sim", 'Ações'!BF65="sim"), 1, 0)
</f>
        <v>0</v>
      </c>
      <c r="O63" s="319">
        <f>IF(AND('Ações'!AT65="sim", 'Ações'!BG65="sim"), 1, 0)
</f>
        <v>0</v>
      </c>
      <c r="P63" s="319">
        <f>IF(AND('Ações'!AT65="sim", 'Ações'!BH65="sim"), 1, 0)
</f>
        <v>0</v>
      </c>
      <c r="Q63" s="319">
        <f>IF(AND('Ações'!AT65="sim", 'Ações'!BI65="sim"), 1, 0)
</f>
        <v>0</v>
      </c>
      <c r="R63" s="319">
        <f>IF(AND('Ações'!AU65="sim", 'Ações'!BD65="sim"), 1, 0)
</f>
        <v>1</v>
      </c>
      <c r="S63" s="319">
        <f>IF(AND('Ações'!AU65="sim", 'Ações'!BE65="sim"), 1, 0)
</f>
        <v>0</v>
      </c>
      <c r="T63" s="319">
        <f>IF(AND('Ações'!AU65="sim", 'Ações'!BG65="sim"), 1, 0)
</f>
        <v>0</v>
      </c>
      <c r="U63" s="319">
        <f>IF(AND('Ações'!AU65="sim", 'Ações'!BH65="sim"), 1, 0)
</f>
        <v>0</v>
      </c>
      <c r="V63" s="319">
        <f>IF(AND('Ações'!AU65="sim", 'Ações'!BI65="sim"), 1, 0)
</f>
        <v>0</v>
      </c>
      <c r="W63" s="319">
        <f>IF(AND('Ações'!AV65="sim", 'Ações'!BD65="sim"), 1, 0)
</f>
        <v>1</v>
      </c>
      <c r="X63" s="319">
        <f>IF(AND('Ações'!AV65="sim", 'Ações'!BE65="sim"), 1, 0)
</f>
        <v>0</v>
      </c>
      <c r="Y63" s="319">
        <f>IF(AND('Ações'!AV65="sim", 'Ações'!BF65="sim"), 1, 0)
</f>
        <v>0</v>
      </c>
      <c r="Z63" s="319">
        <f>IF(AND('Ações'!AV65="sim", 'Ações'!BH65="sim"), 1, 0)
</f>
        <v>0</v>
      </c>
      <c r="AA63" s="319">
        <f>IF(AND('Ações'!AV65="sim", 'Ações'!BI65="sim"), 1, 0)
</f>
        <v>0</v>
      </c>
      <c r="AB63" s="319">
        <f>IF(AND('Ações'!AW65="sim", 'Ações'!BD65="sim"), 1, 0)
</f>
        <v>1</v>
      </c>
      <c r="AC63" s="319">
        <f>IF(AND('Ações'!AW65="sim", 'Ações'!BE65="sim"), 1, 0)
</f>
        <v>0</v>
      </c>
      <c r="AD63" s="319">
        <f>IF(AND('Ações'!AW65="sim", 'Ações'!BF65="sim"), 1, 0)
</f>
        <v>0</v>
      </c>
      <c r="AE63" s="319">
        <f>IF(AND('Ações'!AW65="sim", 'Ações'!BG65="sim"), 1, 0)
</f>
        <v>0</v>
      </c>
      <c r="AF63" s="319">
        <f>IF(AND('Ações'!AW65="sim", 'Ações'!BI65="sim"), 1, 0)
</f>
        <v>0</v>
      </c>
      <c r="AG63" s="319">
        <f>IF(AND('Ações'!AX65="sim", 'Ações'!BD65="sim"), 1, 0)
</f>
        <v>0</v>
      </c>
      <c r="AH63" s="319">
        <f>IF(AND('Ações'!AX65="sim", 'Ações'!BE65="sim"), 1, 0)
</f>
        <v>0</v>
      </c>
      <c r="AI63" s="319">
        <f>IF(AND('Ações'!AX65="sim", 'Ações'!BF65="sim"), 1, 0)
</f>
        <v>0</v>
      </c>
      <c r="AJ63" s="319">
        <f>IF(AND('Ações'!AX65="sim", 'Ações'!BG65="sim"), 1, 0)
</f>
        <v>0</v>
      </c>
      <c r="AK63" s="319">
        <f>IF(AND('Ações'!AX65="sim", 'Ações'!BH65="sim"), 1, 0)
</f>
        <v>0</v>
      </c>
    </row>
    <row r="64">
      <c r="B64" s="319">
        <f>IF(AND('Ações'!AS66="sim", 'Ações'!BD66="sim"), 1, 0)
</f>
        <v>1</v>
      </c>
      <c r="C64" s="319">
        <f>IF(AND('Ações'!AT66="sim", 'Ações'!BE66="sim"), 1, 0)
</f>
        <v>0</v>
      </c>
      <c r="D64" s="319">
        <f>IF(AND('Ações'!AU66="sim", 'Ações'!BF66="sim"), 1, 0)
</f>
        <v>0</v>
      </c>
      <c r="E64" s="319">
        <f>IF(AND('Ações'!AV66="sim", 'Ações'!BG66="sim"), 1, 0)
</f>
        <v>0</v>
      </c>
      <c r="F64" s="319">
        <f>IF(AND('Ações'!AW66="sim", 'Ações'!BH66="sim"), 1, 0)
</f>
        <v>0</v>
      </c>
      <c r="G64" s="319">
        <f>IF(AND('Ações'!AX66="sim", 'Ações'!BI66="sim"), 1, 0)
</f>
        <v>0</v>
      </c>
      <c r="H64" s="319">
        <f>IF(AND('Ações'!AS66="sim", 'Ações'!BE66="sim"), 1, 0)
</f>
        <v>0</v>
      </c>
      <c r="I64" s="319">
        <f>IF(AND('Ações'!AS66="sim", 'Ações'!BF66="sim"), 1, 0)
</f>
        <v>0</v>
      </c>
      <c r="J64" s="319">
        <f>IF(AND('Ações'!AS66="sim", 'Ações'!BG66="sim"), 1, 0)
</f>
        <v>0</v>
      </c>
      <c r="K64" s="319">
        <f>IF(AND('Ações'!AS66="sim", 'Ações'!BH66="sim"), 1, 0)
</f>
        <v>0</v>
      </c>
      <c r="L64" s="319">
        <f>IF(AND('Ações'!AS66="sim", 'Ações'!BI66="sim"), 1, 0)
</f>
        <v>0</v>
      </c>
      <c r="M64" s="319">
        <f>IF(AND('Ações'!AT66="sim", 'Ações'!BD66="sim"), 1, 0)
</f>
        <v>1</v>
      </c>
      <c r="N64" s="319">
        <f>IF(AND('Ações'!AT66="sim", 'Ações'!BF66="sim"), 1, 0)
</f>
        <v>0</v>
      </c>
      <c r="O64" s="319">
        <f>IF(AND('Ações'!AT66="sim", 'Ações'!BG66="sim"), 1, 0)
</f>
        <v>0</v>
      </c>
      <c r="P64" s="319">
        <f>IF(AND('Ações'!AT66="sim", 'Ações'!BH66="sim"), 1, 0)
</f>
        <v>0</v>
      </c>
      <c r="Q64" s="319">
        <f>IF(AND('Ações'!AT66="sim", 'Ações'!BI66="sim"), 1, 0)
</f>
        <v>0</v>
      </c>
      <c r="R64" s="319">
        <f>IF(AND('Ações'!AU66="sim", 'Ações'!BD66="sim"), 1, 0)
</f>
        <v>1</v>
      </c>
      <c r="S64" s="319">
        <f>IF(AND('Ações'!AU66="sim", 'Ações'!BE66="sim"), 1, 0)
</f>
        <v>0</v>
      </c>
      <c r="T64" s="319">
        <f>IF(AND('Ações'!AU66="sim", 'Ações'!BG66="sim"), 1, 0)
</f>
        <v>0</v>
      </c>
      <c r="U64" s="319">
        <f>IF(AND('Ações'!AU66="sim", 'Ações'!BH66="sim"), 1, 0)
</f>
        <v>0</v>
      </c>
      <c r="V64" s="319">
        <f>IF(AND('Ações'!AU66="sim", 'Ações'!BI66="sim"), 1, 0)
</f>
        <v>0</v>
      </c>
      <c r="W64" s="319">
        <f>IF(AND('Ações'!AV66="sim", 'Ações'!BD66="sim"), 1, 0)
</f>
        <v>1</v>
      </c>
      <c r="X64" s="319">
        <f>IF(AND('Ações'!AV66="sim", 'Ações'!BE66="sim"), 1, 0)
</f>
        <v>0</v>
      </c>
      <c r="Y64" s="319">
        <f>IF(AND('Ações'!AV66="sim", 'Ações'!BF66="sim"), 1, 0)
</f>
        <v>0</v>
      </c>
      <c r="Z64" s="319">
        <f>IF(AND('Ações'!AV66="sim", 'Ações'!BH66="sim"), 1, 0)
</f>
        <v>0</v>
      </c>
      <c r="AA64" s="319">
        <f>IF(AND('Ações'!AV66="sim", 'Ações'!BI66="sim"), 1, 0)
</f>
        <v>0</v>
      </c>
      <c r="AB64" s="319">
        <f>IF(AND('Ações'!AW66="sim", 'Ações'!BD66="sim"), 1, 0)
</f>
        <v>1</v>
      </c>
      <c r="AC64" s="319">
        <f>IF(AND('Ações'!AW66="sim", 'Ações'!BE66="sim"), 1, 0)
</f>
        <v>0</v>
      </c>
      <c r="AD64" s="319">
        <f>IF(AND('Ações'!AW66="sim", 'Ações'!BF66="sim"), 1, 0)
</f>
        <v>0</v>
      </c>
      <c r="AE64" s="319">
        <f>IF(AND('Ações'!AW66="sim", 'Ações'!BG66="sim"), 1, 0)
</f>
        <v>0</v>
      </c>
      <c r="AF64" s="319">
        <f>IF(AND('Ações'!AW66="sim", 'Ações'!BI66="sim"), 1, 0)
</f>
        <v>0</v>
      </c>
      <c r="AG64" s="319">
        <f>IF(AND('Ações'!AX66="sim", 'Ações'!BD66="sim"), 1, 0)
</f>
        <v>0</v>
      </c>
      <c r="AH64" s="319">
        <f>IF(AND('Ações'!AX66="sim", 'Ações'!BE66="sim"), 1, 0)
</f>
        <v>0</v>
      </c>
      <c r="AI64" s="319">
        <f>IF(AND('Ações'!AX66="sim", 'Ações'!BF66="sim"), 1, 0)
</f>
        <v>0</v>
      </c>
      <c r="AJ64" s="319">
        <f>IF(AND('Ações'!AX66="sim", 'Ações'!BG66="sim"), 1, 0)
</f>
        <v>0</v>
      </c>
      <c r="AK64" s="319">
        <f>IF(AND('Ações'!AX66="sim", 'Ações'!BH66="sim"), 1, 0)
</f>
        <v>0</v>
      </c>
    </row>
    <row r="65">
      <c r="B65" s="319">
        <f>IF(AND('Ações'!AS67="sim", 'Ações'!BD67="sim"), 1, 0)
</f>
        <v>1</v>
      </c>
      <c r="C65" s="319">
        <f>IF(AND('Ações'!AT67="sim", 'Ações'!BE67="sim"), 1, 0)
</f>
        <v>0</v>
      </c>
      <c r="D65" s="319">
        <f>IF(AND('Ações'!AU67="sim", 'Ações'!BF67="sim"), 1, 0)
</f>
        <v>0</v>
      </c>
      <c r="E65" s="319">
        <f>IF(AND('Ações'!AV67="sim", 'Ações'!BG67="sim"), 1, 0)
</f>
        <v>0</v>
      </c>
      <c r="F65" s="319">
        <f>IF(AND('Ações'!AW67="sim", 'Ações'!BH67="sim"), 1, 0)
</f>
        <v>0</v>
      </c>
      <c r="G65" s="319">
        <f>IF(AND('Ações'!AX67="sim", 'Ações'!BI67="sim"), 1, 0)
</f>
        <v>0</v>
      </c>
      <c r="H65" s="319">
        <f>IF(AND('Ações'!AS67="sim", 'Ações'!BE67="sim"), 1, 0)
</f>
        <v>0</v>
      </c>
      <c r="I65" s="319">
        <f>IF(AND('Ações'!AS67="sim", 'Ações'!BF67="sim"), 1, 0)
</f>
        <v>0</v>
      </c>
      <c r="J65" s="319">
        <f>IF(AND('Ações'!AS67="sim", 'Ações'!BG67="sim"), 1, 0)
</f>
        <v>0</v>
      </c>
      <c r="K65" s="319">
        <f>IF(AND('Ações'!AS67="sim", 'Ações'!BH67="sim"), 1, 0)
</f>
        <v>0</v>
      </c>
      <c r="L65" s="319">
        <f>IF(AND('Ações'!AS67="sim", 'Ações'!BI67="sim"), 1, 0)
</f>
        <v>0</v>
      </c>
      <c r="M65" s="319">
        <f>IF(AND('Ações'!AT67="sim", 'Ações'!BD67="sim"), 1, 0)
</f>
        <v>1</v>
      </c>
      <c r="N65" s="319">
        <f>IF(AND('Ações'!AT67="sim", 'Ações'!BF67="sim"), 1, 0)
</f>
        <v>0</v>
      </c>
      <c r="O65" s="319">
        <f>IF(AND('Ações'!AT67="sim", 'Ações'!BG67="sim"), 1, 0)
</f>
        <v>0</v>
      </c>
      <c r="P65" s="319">
        <f>IF(AND('Ações'!AT67="sim", 'Ações'!BH67="sim"), 1, 0)
</f>
        <v>0</v>
      </c>
      <c r="Q65" s="319">
        <f>IF(AND('Ações'!AT67="sim", 'Ações'!BI67="sim"), 1, 0)
</f>
        <v>0</v>
      </c>
      <c r="R65" s="319">
        <f>IF(AND('Ações'!AU67="sim", 'Ações'!BD67="sim"), 1, 0)
</f>
        <v>1</v>
      </c>
      <c r="S65" s="319">
        <f>IF(AND('Ações'!AU67="sim", 'Ações'!BE67="sim"), 1, 0)
</f>
        <v>0</v>
      </c>
      <c r="T65" s="319">
        <f>IF(AND('Ações'!AU67="sim", 'Ações'!BG67="sim"), 1, 0)
</f>
        <v>0</v>
      </c>
      <c r="U65" s="319">
        <f>IF(AND('Ações'!AU67="sim", 'Ações'!BH67="sim"), 1, 0)
</f>
        <v>0</v>
      </c>
      <c r="V65" s="319">
        <f>IF(AND('Ações'!AU67="sim", 'Ações'!BI67="sim"), 1, 0)
</f>
        <v>0</v>
      </c>
      <c r="W65" s="319">
        <f>IF(AND('Ações'!AV67="sim", 'Ações'!BD67="sim"), 1, 0)
</f>
        <v>1</v>
      </c>
      <c r="X65" s="319">
        <f>IF(AND('Ações'!AV67="sim", 'Ações'!BE67="sim"), 1, 0)
</f>
        <v>0</v>
      </c>
      <c r="Y65" s="319">
        <f>IF(AND('Ações'!AV67="sim", 'Ações'!BF67="sim"), 1, 0)
</f>
        <v>0</v>
      </c>
      <c r="Z65" s="319">
        <f>IF(AND('Ações'!AV67="sim", 'Ações'!BH67="sim"), 1, 0)
</f>
        <v>0</v>
      </c>
      <c r="AA65" s="319">
        <f>IF(AND('Ações'!AV67="sim", 'Ações'!BI67="sim"), 1, 0)
</f>
        <v>0</v>
      </c>
      <c r="AB65" s="319">
        <f>IF(AND('Ações'!AW67="sim", 'Ações'!BD67="sim"), 1, 0)
</f>
        <v>1</v>
      </c>
      <c r="AC65" s="319">
        <f>IF(AND('Ações'!AW67="sim", 'Ações'!BE67="sim"), 1, 0)
</f>
        <v>0</v>
      </c>
      <c r="AD65" s="319">
        <f>IF(AND('Ações'!AW67="sim", 'Ações'!BF67="sim"), 1, 0)
</f>
        <v>0</v>
      </c>
      <c r="AE65" s="319">
        <f>IF(AND('Ações'!AW67="sim", 'Ações'!BG67="sim"), 1, 0)
</f>
        <v>0</v>
      </c>
      <c r="AF65" s="319">
        <f>IF(AND('Ações'!AW67="sim", 'Ações'!BI67="sim"), 1, 0)
</f>
        <v>0</v>
      </c>
      <c r="AG65" s="319">
        <f>IF(AND('Ações'!AX67="sim", 'Ações'!BD67="sim"), 1, 0)
</f>
        <v>0</v>
      </c>
      <c r="AH65" s="319">
        <f>IF(AND('Ações'!AX67="sim", 'Ações'!BE67="sim"), 1, 0)
</f>
        <v>0</v>
      </c>
      <c r="AI65" s="319">
        <f>IF(AND('Ações'!AX67="sim", 'Ações'!BF67="sim"), 1, 0)
</f>
        <v>0</v>
      </c>
      <c r="AJ65" s="319">
        <f>IF(AND('Ações'!AX67="sim", 'Ações'!BG67="sim"), 1, 0)
</f>
        <v>0</v>
      </c>
      <c r="AK65" s="319">
        <f>IF(AND('Ações'!AX67="sim", 'Ações'!BH67="sim"), 1, 0)
</f>
        <v>0</v>
      </c>
    </row>
    <row r="66">
      <c r="B66" s="319">
        <f>IF(AND('Ações'!AS68="sim", 'Ações'!BD68="sim"), 1, 0)
</f>
        <v>1</v>
      </c>
      <c r="C66" s="319">
        <f>IF(AND('Ações'!AT68="sim", 'Ações'!BE68="sim"), 1, 0)
</f>
        <v>0</v>
      </c>
      <c r="D66" s="319">
        <f>IF(AND('Ações'!AU68="sim", 'Ações'!BF68="sim"), 1, 0)
</f>
        <v>0</v>
      </c>
      <c r="E66" s="319">
        <f>IF(AND('Ações'!AV68="sim", 'Ações'!BG68="sim"), 1, 0)
</f>
        <v>0</v>
      </c>
      <c r="F66" s="319">
        <f>IF(AND('Ações'!AW68="sim", 'Ações'!BH68="sim"), 1, 0)
</f>
        <v>0</v>
      </c>
      <c r="G66" s="319">
        <f>IF(AND('Ações'!AX68="sim", 'Ações'!BI68="sim"), 1, 0)
</f>
        <v>0</v>
      </c>
      <c r="H66" s="319">
        <f>IF(AND('Ações'!AS68="sim", 'Ações'!BE68="sim"), 1, 0)
</f>
        <v>0</v>
      </c>
      <c r="I66" s="319">
        <f>IF(AND('Ações'!AS68="sim", 'Ações'!BF68="sim"), 1, 0)
</f>
        <v>0</v>
      </c>
      <c r="J66" s="319">
        <f>IF(AND('Ações'!AS68="sim", 'Ações'!BG68="sim"), 1, 0)
</f>
        <v>0</v>
      </c>
      <c r="K66" s="319">
        <f>IF(AND('Ações'!AS68="sim", 'Ações'!BH68="sim"), 1, 0)
</f>
        <v>0</v>
      </c>
      <c r="L66" s="319">
        <f>IF(AND('Ações'!AS68="sim", 'Ações'!BI68="sim"), 1, 0)
</f>
        <v>0</v>
      </c>
      <c r="M66" s="319">
        <f>IF(AND('Ações'!AT68="sim", 'Ações'!BD68="sim"), 1, 0)
</f>
        <v>1</v>
      </c>
      <c r="N66" s="319">
        <f>IF(AND('Ações'!AT68="sim", 'Ações'!BF68="sim"), 1, 0)
</f>
        <v>0</v>
      </c>
      <c r="O66" s="319">
        <f>IF(AND('Ações'!AT68="sim", 'Ações'!BG68="sim"), 1, 0)
</f>
        <v>0</v>
      </c>
      <c r="P66" s="319">
        <f>IF(AND('Ações'!AT68="sim", 'Ações'!BH68="sim"), 1, 0)
</f>
        <v>0</v>
      </c>
      <c r="Q66" s="319">
        <f>IF(AND('Ações'!AT68="sim", 'Ações'!BI68="sim"), 1, 0)
</f>
        <v>0</v>
      </c>
      <c r="R66" s="319">
        <f>IF(AND('Ações'!AU68="sim", 'Ações'!BD68="sim"), 1, 0)
</f>
        <v>1</v>
      </c>
      <c r="S66" s="319">
        <f>IF(AND('Ações'!AU68="sim", 'Ações'!BE68="sim"), 1, 0)
</f>
        <v>0</v>
      </c>
      <c r="T66" s="319">
        <f>IF(AND('Ações'!AU68="sim", 'Ações'!BG68="sim"), 1, 0)
</f>
        <v>0</v>
      </c>
      <c r="U66" s="319">
        <f>IF(AND('Ações'!AU68="sim", 'Ações'!BH68="sim"), 1, 0)
</f>
        <v>0</v>
      </c>
      <c r="V66" s="319">
        <f>IF(AND('Ações'!AU68="sim", 'Ações'!BI68="sim"), 1, 0)
</f>
        <v>0</v>
      </c>
      <c r="W66" s="319">
        <f>IF(AND('Ações'!AV68="sim", 'Ações'!BD68="sim"), 1, 0)
</f>
        <v>1</v>
      </c>
      <c r="X66" s="319">
        <f>IF(AND('Ações'!AV68="sim", 'Ações'!BE68="sim"), 1, 0)
</f>
        <v>0</v>
      </c>
      <c r="Y66" s="319">
        <f>IF(AND('Ações'!AV68="sim", 'Ações'!BF68="sim"), 1, 0)
</f>
        <v>0</v>
      </c>
      <c r="Z66" s="319">
        <f>IF(AND('Ações'!AV68="sim", 'Ações'!BH68="sim"), 1, 0)
</f>
        <v>0</v>
      </c>
      <c r="AA66" s="319">
        <f>IF(AND('Ações'!AV68="sim", 'Ações'!BI68="sim"), 1, 0)
</f>
        <v>0</v>
      </c>
      <c r="AB66" s="319">
        <f>IF(AND('Ações'!AW68="sim", 'Ações'!BD68="sim"), 1, 0)
</f>
        <v>1</v>
      </c>
      <c r="AC66" s="319">
        <f>IF(AND('Ações'!AW68="sim", 'Ações'!BE68="sim"), 1, 0)
</f>
        <v>0</v>
      </c>
      <c r="AD66" s="319">
        <f>IF(AND('Ações'!AW68="sim", 'Ações'!BF68="sim"), 1, 0)
</f>
        <v>0</v>
      </c>
      <c r="AE66" s="319">
        <f>IF(AND('Ações'!AW68="sim", 'Ações'!BG68="sim"), 1, 0)
</f>
        <v>0</v>
      </c>
      <c r="AF66" s="319">
        <f>IF(AND('Ações'!AW68="sim", 'Ações'!BI68="sim"), 1, 0)
</f>
        <v>0</v>
      </c>
      <c r="AG66" s="319">
        <f>IF(AND('Ações'!AX68="sim", 'Ações'!BD68="sim"), 1, 0)
</f>
        <v>0</v>
      </c>
      <c r="AH66" s="319">
        <f>IF(AND('Ações'!AX68="sim", 'Ações'!BE68="sim"), 1, 0)
</f>
        <v>0</v>
      </c>
      <c r="AI66" s="319">
        <f>IF(AND('Ações'!AX68="sim", 'Ações'!BF68="sim"), 1, 0)
</f>
        <v>0</v>
      </c>
      <c r="AJ66" s="319">
        <f>IF(AND('Ações'!AX68="sim", 'Ações'!BG68="sim"), 1, 0)
</f>
        <v>0</v>
      </c>
      <c r="AK66" s="319">
        <f>IF(AND('Ações'!AX68="sim", 'Ações'!BH68="sim"), 1, 0)
</f>
        <v>0</v>
      </c>
    </row>
    <row r="67">
      <c r="B67" s="319">
        <f>IF(AND('Ações'!AS69="sim", 'Ações'!BD69="sim"), 1, 0)
</f>
        <v>0</v>
      </c>
      <c r="C67" s="319">
        <f>IF(AND('Ações'!AT69="sim", 'Ações'!BE69="sim"), 1, 0)
</f>
        <v>1</v>
      </c>
      <c r="D67" s="319">
        <f>IF(AND('Ações'!AU69="sim", 'Ações'!BF69="sim"), 1, 0)
</f>
        <v>0</v>
      </c>
      <c r="E67" s="319">
        <f>IF(AND('Ações'!AV69="sim", 'Ações'!BG69="sim"), 1, 0)
</f>
        <v>1</v>
      </c>
      <c r="F67" s="319">
        <f>IF(AND('Ações'!AW69="sim", 'Ações'!BH69="sim"), 1, 0)
</f>
        <v>0</v>
      </c>
      <c r="G67" s="319">
        <f>IF(AND('Ações'!AX69="sim", 'Ações'!BI69="sim"), 1, 0)
</f>
        <v>0</v>
      </c>
      <c r="H67" s="319">
        <f>IF(AND('Ações'!AS69="sim", 'Ações'!BE69="sim"), 1, 0)
</f>
        <v>1</v>
      </c>
      <c r="I67" s="319">
        <f>IF(AND('Ações'!AS69="sim", 'Ações'!BF69="sim"), 1, 0)
</f>
        <v>0</v>
      </c>
      <c r="J67" s="319">
        <f>IF(AND('Ações'!AS69="sim", 'Ações'!BG69="sim"), 1, 0)
</f>
        <v>1</v>
      </c>
      <c r="K67" s="319">
        <f>IF(AND('Ações'!AS69="sim", 'Ações'!BH69="sim"), 1, 0)
</f>
        <v>0</v>
      </c>
      <c r="L67" s="319">
        <f>IF(AND('Ações'!AS69="sim", 'Ações'!BI69="sim"), 1, 0)
</f>
        <v>0</v>
      </c>
      <c r="M67" s="319">
        <f>IF(AND('Ações'!AT69="sim", 'Ações'!BD69="sim"), 1, 0)
</f>
        <v>0</v>
      </c>
      <c r="N67" s="319">
        <f>IF(AND('Ações'!AT69="sim", 'Ações'!BF69="sim"), 1, 0)
</f>
        <v>0</v>
      </c>
      <c r="O67" s="319">
        <f>IF(AND('Ações'!AT69="sim", 'Ações'!BG69="sim"), 1, 0)
</f>
        <v>1</v>
      </c>
      <c r="P67" s="319">
        <f>IF(AND('Ações'!AT69="sim", 'Ações'!BH69="sim"), 1, 0)
</f>
        <v>0</v>
      </c>
      <c r="Q67" s="319">
        <f>IF(AND('Ações'!AT69="sim", 'Ações'!BI69="sim"), 1, 0)
</f>
        <v>0</v>
      </c>
      <c r="R67" s="319">
        <f>IF(AND('Ações'!AU69="sim", 'Ações'!BD69="sim"), 1, 0)
</f>
        <v>0</v>
      </c>
      <c r="S67" s="319">
        <f>IF(AND('Ações'!AU69="sim", 'Ações'!BE69="sim"), 1, 0)
</f>
        <v>1</v>
      </c>
      <c r="T67" s="319">
        <f>IF(AND('Ações'!AU69="sim", 'Ações'!BG69="sim"), 1, 0)
</f>
        <v>1</v>
      </c>
      <c r="U67" s="319">
        <f>IF(AND('Ações'!AU69="sim", 'Ações'!BH69="sim"), 1, 0)
</f>
        <v>0</v>
      </c>
      <c r="V67" s="319">
        <f>IF(AND('Ações'!AU69="sim", 'Ações'!BI69="sim"), 1, 0)
</f>
        <v>0</v>
      </c>
      <c r="W67" s="319">
        <f>IF(AND('Ações'!AV69="sim", 'Ações'!BD69="sim"), 1, 0)
</f>
        <v>0</v>
      </c>
      <c r="X67" s="319">
        <f>IF(AND('Ações'!AV69="sim", 'Ações'!BE69="sim"), 1, 0)
</f>
        <v>1</v>
      </c>
      <c r="Y67" s="319">
        <f>IF(AND('Ações'!AV69="sim", 'Ações'!BF69="sim"), 1, 0)
</f>
        <v>0</v>
      </c>
      <c r="Z67" s="319">
        <f>IF(AND('Ações'!AV69="sim", 'Ações'!BH69="sim"), 1, 0)
</f>
        <v>0</v>
      </c>
      <c r="AA67" s="319">
        <f>IF(AND('Ações'!AV69="sim", 'Ações'!BI69="sim"), 1, 0)
</f>
        <v>0</v>
      </c>
      <c r="AB67" s="319">
        <f>IF(AND('Ações'!AW69="sim", 'Ações'!BD69="sim"), 1, 0)
</f>
        <v>0</v>
      </c>
      <c r="AC67" s="319">
        <f>IF(AND('Ações'!AW69="sim", 'Ações'!BE69="sim"), 1, 0)
</f>
        <v>1</v>
      </c>
      <c r="AD67" s="319">
        <f>IF(AND('Ações'!AW69="sim", 'Ações'!BF69="sim"), 1, 0)
</f>
        <v>0</v>
      </c>
      <c r="AE67" s="319">
        <f>IF(AND('Ações'!AW69="sim", 'Ações'!BG69="sim"), 1, 0)
</f>
        <v>1</v>
      </c>
      <c r="AF67" s="319">
        <f>IF(AND('Ações'!AW69="sim", 'Ações'!BI69="sim"), 1, 0)
</f>
        <v>0</v>
      </c>
      <c r="AG67" s="319">
        <f>IF(AND('Ações'!AX69="sim", 'Ações'!BD69="sim"), 1, 0)
</f>
        <v>0</v>
      </c>
      <c r="AH67" s="319">
        <f>IF(AND('Ações'!AX69="sim", 'Ações'!BE69="sim"), 1, 0)
</f>
        <v>0</v>
      </c>
      <c r="AI67" s="319">
        <f>IF(AND('Ações'!AX69="sim", 'Ações'!BF69="sim"), 1, 0)
</f>
        <v>0</v>
      </c>
      <c r="AJ67" s="319">
        <f>IF(AND('Ações'!AX69="sim", 'Ações'!BG69="sim"), 1, 0)
</f>
        <v>0</v>
      </c>
      <c r="AK67" s="319">
        <f>IF(AND('Ações'!AX69="sim", 'Ações'!BH69="sim"), 1, 0)
</f>
        <v>0</v>
      </c>
    </row>
    <row r="68">
      <c r="B68" s="319">
        <f>IF(AND('Ações'!AS70="sim", 'Ações'!BD70="sim"), 1, 0)
</f>
        <v>0</v>
      </c>
      <c r="C68" s="319">
        <f>IF(AND('Ações'!AT70="sim", 'Ações'!BE70="sim"), 1, 0)
</f>
        <v>0</v>
      </c>
      <c r="D68" s="319">
        <f>IF(AND('Ações'!AU70="sim", 'Ações'!BF70="sim"), 1, 0)
</f>
        <v>0</v>
      </c>
      <c r="E68" s="319">
        <f>IF(AND('Ações'!AV70="sim", 'Ações'!BG70="sim"), 1, 0)
</f>
        <v>0</v>
      </c>
      <c r="F68" s="319">
        <f>IF(AND('Ações'!AW70="sim", 'Ações'!BH70="sim"), 1, 0)
</f>
        <v>0</v>
      </c>
      <c r="G68" s="319">
        <f>IF(AND('Ações'!AX70="sim", 'Ações'!BI70="sim"), 1, 0)
</f>
        <v>0</v>
      </c>
      <c r="H68" s="319">
        <f>IF(AND('Ações'!AS70="sim", 'Ações'!BE70="sim"), 1, 0)
</f>
        <v>0</v>
      </c>
      <c r="I68" s="319">
        <f>IF(AND('Ações'!AS70="sim", 'Ações'!BF70="sim"), 1, 0)
</f>
        <v>0</v>
      </c>
      <c r="J68" s="319">
        <f>IF(AND('Ações'!AS70="sim", 'Ações'!BG70="sim"), 1, 0)
</f>
        <v>0</v>
      </c>
      <c r="K68" s="319">
        <f>IF(AND('Ações'!AS70="sim", 'Ações'!BH70="sim"), 1, 0)
</f>
        <v>0</v>
      </c>
      <c r="L68" s="319">
        <f>IF(AND('Ações'!AS70="sim", 'Ações'!BI70="sim"), 1, 0)
</f>
        <v>0</v>
      </c>
      <c r="M68" s="319">
        <f>IF(AND('Ações'!AT70="sim", 'Ações'!BD70="sim"), 1, 0)
</f>
        <v>1</v>
      </c>
      <c r="N68" s="319">
        <f>IF(AND('Ações'!AT70="sim", 'Ações'!BF70="sim"), 1, 0)
</f>
        <v>0</v>
      </c>
      <c r="O68" s="319">
        <f>IF(AND('Ações'!AT70="sim", 'Ações'!BG70="sim"), 1, 0)
</f>
        <v>0</v>
      </c>
      <c r="P68" s="319">
        <f>IF(AND('Ações'!AT70="sim", 'Ações'!BH70="sim"), 1, 0)
</f>
        <v>0</v>
      </c>
      <c r="Q68" s="319">
        <f>IF(AND('Ações'!AT70="sim", 'Ações'!BI70="sim"), 1, 0)
</f>
        <v>0</v>
      </c>
      <c r="R68" s="319">
        <f>IF(AND('Ações'!AU70="sim", 'Ações'!BD70="sim"), 1, 0)
</f>
        <v>1</v>
      </c>
      <c r="S68" s="319">
        <f>IF(AND('Ações'!AU70="sim", 'Ações'!BE70="sim"), 1, 0)
</f>
        <v>0</v>
      </c>
      <c r="T68" s="319">
        <f>IF(AND('Ações'!AU70="sim", 'Ações'!BG70="sim"), 1, 0)
</f>
        <v>0</v>
      </c>
      <c r="U68" s="319">
        <f>IF(AND('Ações'!AU70="sim", 'Ações'!BH70="sim"), 1, 0)
</f>
        <v>0</v>
      </c>
      <c r="V68" s="319">
        <f>IF(AND('Ações'!AU70="sim", 'Ações'!BI70="sim"), 1, 0)
</f>
        <v>0</v>
      </c>
      <c r="W68" s="319">
        <f>IF(AND('Ações'!AV70="sim", 'Ações'!BD70="sim"), 1, 0)
</f>
        <v>1</v>
      </c>
      <c r="X68" s="319">
        <f>IF(AND('Ações'!AV70="sim", 'Ações'!BE70="sim"), 1, 0)
</f>
        <v>0</v>
      </c>
      <c r="Y68" s="319">
        <f>IF(AND('Ações'!AV70="sim", 'Ações'!BF70="sim"), 1, 0)
</f>
        <v>0</v>
      </c>
      <c r="Z68" s="319">
        <f>IF(AND('Ações'!AV70="sim", 'Ações'!BH70="sim"), 1, 0)
</f>
        <v>0</v>
      </c>
      <c r="AA68" s="319">
        <f>IF(AND('Ações'!AV70="sim", 'Ações'!BI70="sim"), 1, 0)
</f>
        <v>0</v>
      </c>
      <c r="AB68" s="319">
        <f>IF(AND('Ações'!AW70="sim", 'Ações'!BD70="sim"), 1, 0)
</f>
        <v>1</v>
      </c>
      <c r="AC68" s="319">
        <f>IF(AND('Ações'!AW70="sim", 'Ações'!BE70="sim"), 1, 0)
</f>
        <v>0</v>
      </c>
      <c r="AD68" s="319">
        <f>IF(AND('Ações'!AW70="sim", 'Ações'!BF70="sim"), 1, 0)
</f>
        <v>0</v>
      </c>
      <c r="AE68" s="319">
        <f>IF(AND('Ações'!AW70="sim", 'Ações'!BG70="sim"), 1, 0)
</f>
        <v>0</v>
      </c>
      <c r="AF68" s="319">
        <f>IF(AND('Ações'!AW70="sim", 'Ações'!BI70="sim"), 1, 0)
</f>
        <v>0</v>
      </c>
      <c r="AG68" s="319">
        <f>IF(AND('Ações'!AX70="sim", 'Ações'!BD70="sim"), 1, 0)
</f>
        <v>0</v>
      </c>
      <c r="AH68" s="319">
        <f>IF(AND('Ações'!AX70="sim", 'Ações'!BE70="sim"), 1, 0)
</f>
        <v>0</v>
      </c>
      <c r="AI68" s="319">
        <f>IF(AND('Ações'!AX70="sim", 'Ações'!BF70="sim"), 1, 0)
</f>
        <v>0</v>
      </c>
      <c r="AJ68" s="319">
        <f>IF(AND('Ações'!AX70="sim", 'Ações'!BG70="sim"), 1, 0)
</f>
        <v>0</v>
      </c>
      <c r="AK68" s="319">
        <f>IF(AND('Ações'!AX70="sim", 'Ações'!BH70="sim"), 1, 0)
</f>
        <v>0</v>
      </c>
    </row>
    <row r="69">
      <c r="B69" s="319">
        <f>IF(AND('Ações'!AS71="sim", 'Ações'!BD71="sim"), 1, 0)
</f>
        <v>0</v>
      </c>
      <c r="C69" s="319">
        <f>IF(AND('Ações'!AT71="sim", 'Ações'!BE71="sim"), 1, 0)
</f>
        <v>0</v>
      </c>
      <c r="D69" s="319">
        <f>IF(AND('Ações'!AU71="sim", 'Ações'!BF71="sim"), 1, 0)
</f>
        <v>0</v>
      </c>
      <c r="E69" s="319">
        <f>IF(AND('Ações'!AV71="sim", 'Ações'!BG71="sim"), 1, 0)
</f>
        <v>0</v>
      </c>
      <c r="F69" s="319">
        <f>IF(AND('Ações'!AW71="sim", 'Ações'!BH71="sim"), 1, 0)
</f>
        <v>0</v>
      </c>
      <c r="G69" s="319">
        <f>IF(AND('Ações'!AX71="sim", 'Ações'!BI71="sim"), 1, 0)
</f>
        <v>0</v>
      </c>
      <c r="H69" s="319">
        <f>IF(AND('Ações'!AS71="sim", 'Ações'!BE71="sim"), 1, 0)
</f>
        <v>0</v>
      </c>
      <c r="I69" s="319">
        <f>IF(AND('Ações'!AS71="sim", 'Ações'!BF71="sim"), 1, 0)
</f>
        <v>0</v>
      </c>
      <c r="J69" s="319">
        <f>IF(AND('Ações'!AS71="sim", 'Ações'!BG71="sim"), 1, 0)
</f>
        <v>0</v>
      </c>
      <c r="K69" s="319">
        <f>IF(AND('Ações'!AS71="sim", 'Ações'!BH71="sim"), 1, 0)
</f>
        <v>0</v>
      </c>
      <c r="L69" s="319">
        <f>IF(AND('Ações'!AS71="sim", 'Ações'!BI71="sim"), 1, 0)
</f>
        <v>0</v>
      </c>
      <c r="M69" s="319">
        <f>IF(AND('Ações'!AT71="sim", 'Ações'!BD71="sim"), 1, 0)
</f>
        <v>1</v>
      </c>
      <c r="N69" s="319">
        <f>IF(AND('Ações'!AT71="sim", 'Ações'!BF71="sim"), 1, 0)
</f>
        <v>0</v>
      </c>
      <c r="O69" s="319">
        <f>IF(AND('Ações'!AT71="sim", 'Ações'!BG71="sim"), 1, 0)
</f>
        <v>0</v>
      </c>
      <c r="P69" s="319">
        <f>IF(AND('Ações'!AT71="sim", 'Ações'!BH71="sim"), 1, 0)
</f>
        <v>0</v>
      </c>
      <c r="Q69" s="319">
        <f>IF(AND('Ações'!AT71="sim", 'Ações'!BI71="sim"), 1, 0)
</f>
        <v>1</v>
      </c>
      <c r="R69" s="319">
        <f>IF(AND('Ações'!AU71="sim", 'Ações'!BD71="sim"), 1, 0)
</f>
        <v>1</v>
      </c>
      <c r="S69" s="319">
        <f>IF(AND('Ações'!AU71="sim", 'Ações'!BE71="sim"), 1, 0)
</f>
        <v>0</v>
      </c>
      <c r="T69" s="319">
        <f>IF(AND('Ações'!AU71="sim", 'Ações'!BG71="sim"), 1, 0)
</f>
        <v>0</v>
      </c>
      <c r="U69" s="319">
        <f>IF(AND('Ações'!AU71="sim", 'Ações'!BH71="sim"), 1, 0)
</f>
        <v>0</v>
      </c>
      <c r="V69" s="319">
        <f>IF(AND('Ações'!AU71="sim", 'Ações'!BI71="sim"), 1, 0)
</f>
        <v>1</v>
      </c>
      <c r="W69" s="319">
        <f>IF(AND('Ações'!AV71="sim", 'Ações'!BD71="sim"), 1, 0)
</f>
        <v>1</v>
      </c>
      <c r="X69" s="319">
        <f>IF(AND('Ações'!AV71="sim", 'Ações'!BE71="sim"), 1, 0)
</f>
        <v>0</v>
      </c>
      <c r="Y69" s="319">
        <f>IF(AND('Ações'!AV71="sim", 'Ações'!BF71="sim"), 1, 0)
</f>
        <v>0</v>
      </c>
      <c r="Z69" s="319">
        <f>IF(AND('Ações'!AV71="sim", 'Ações'!BH71="sim"), 1, 0)
</f>
        <v>0</v>
      </c>
      <c r="AA69" s="319">
        <f>IF(AND('Ações'!AV71="sim", 'Ações'!BI71="sim"), 1, 0)
</f>
        <v>1</v>
      </c>
      <c r="AB69" s="319">
        <f>IF(AND('Ações'!AW71="sim", 'Ações'!BD71="sim"), 1, 0)
</f>
        <v>1</v>
      </c>
      <c r="AC69" s="319">
        <f>IF(AND('Ações'!AW71="sim", 'Ações'!BE71="sim"), 1, 0)
</f>
        <v>0</v>
      </c>
      <c r="AD69" s="319">
        <f>IF(AND('Ações'!AW71="sim", 'Ações'!BF71="sim"), 1, 0)
</f>
        <v>0</v>
      </c>
      <c r="AE69" s="319">
        <f>IF(AND('Ações'!AW71="sim", 'Ações'!BG71="sim"), 1, 0)
</f>
        <v>0</v>
      </c>
      <c r="AF69" s="319">
        <f>IF(AND('Ações'!AW71="sim", 'Ações'!BI71="sim"), 1, 0)
</f>
        <v>1</v>
      </c>
      <c r="AG69" s="319">
        <f>IF(AND('Ações'!AX71="sim", 'Ações'!BD71="sim"), 1, 0)
</f>
        <v>0</v>
      </c>
      <c r="AH69" s="319">
        <f>IF(AND('Ações'!AX71="sim", 'Ações'!BE71="sim"), 1, 0)
</f>
        <v>0</v>
      </c>
      <c r="AI69" s="319">
        <f>IF(AND('Ações'!AX71="sim", 'Ações'!BF71="sim"), 1, 0)
</f>
        <v>0</v>
      </c>
      <c r="AJ69" s="319">
        <f>IF(AND('Ações'!AX71="sim", 'Ações'!BG71="sim"), 1, 0)
</f>
        <v>0</v>
      </c>
      <c r="AK69" s="319">
        <f>IF(AND('Ações'!AX71="sim", 'Ações'!BH71="sim"), 1, 0)
</f>
        <v>0</v>
      </c>
    </row>
    <row r="70">
      <c r="B70" s="319">
        <f>IF(AND('Ações'!AS72="sim", 'Ações'!BD72="sim"), 1, 0)
</f>
        <v>0</v>
      </c>
      <c r="C70" s="319">
        <f>IF(AND('Ações'!AT72="sim", 'Ações'!BE72="sim"), 1, 0)
</f>
        <v>0</v>
      </c>
      <c r="D70" s="319">
        <f>IF(AND('Ações'!AU72="sim", 'Ações'!BF72="sim"), 1, 0)
</f>
        <v>0</v>
      </c>
      <c r="E70" s="319">
        <f>IF(AND('Ações'!AV72="sim", 'Ações'!BG72="sim"), 1, 0)
</f>
        <v>0</v>
      </c>
      <c r="F70" s="319">
        <f>IF(AND('Ações'!AW72="sim", 'Ações'!BH72="sim"), 1, 0)
</f>
        <v>0</v>
      </c>
      <c r="G70" s="319">
        <f>IF(AND('Ações'!AX72="sim", 'Ações'!BI72="sim"), 1, 0)
</f>
        <v>0</v>
      </c>
      <c r="H70" s="319">
        <f>IF(AND('Ações'!AS72="sim", 'Ações'!BE72="sim"), 1, 0)
</f>
        <v>0</v>
      </c>
      <c r="I70" s="319">
        <f>IF(AND('Ações'!AS72="sim", 'Ações'!BF72="sim"), 1, 0)
</f>
        <v>0</v>
      </c>
      <c r="J70" s="319">
        <f>IF(AND('Ações'!AS72="sim", 'Ações'!BG72="sim"), 1, 0)
</f>
        <v>0</v>
      </c>
      <c r="K70" s="319">
        <f>IF(AND('Ações'!AS72="sim", 'Ações'!BH72="sim"), 1, 0)
</f>
        <v>0</v>
      </c>
      <c r="L70" s="319">
        <f>IF(AND('Ações'!AS72="sim", 'Ações'!BI72="sim"), 1, 0)
</f>
        <v>0</v>
      </c>
      <c r="M70" s="319">
        <f>IF(AND('Ações'!AT72="sim", 'Ações'!BD72="sim"), 1, 0)
</f>
        <v>0</v>
      </c>
      <c r="N70" s="319">
        <f>IF(AND('Ações'!AT72="sim", 'Ações'!BF72="sim"), 1, 0)
</f>
        <v>0</v>
      </c>
      <c r="O70" s="319">
        <f>IF(AND('Ações'!AT72="sim", 'Ações'!BG72="sim"), 1, 0)
</f>
        <v>0</v>
      </c>
      <c r="P70" s="319">
        <f>IF(AND('Ações'!AT72="sim", 'Ações'!BH72="sim"), 1, 0)
</f>
        <v>0</v>
      </c>
      <c r="Q70" s="319">
        <f>IF(AND('Ações'!AT72="sim", 'Ações'!BI72="sim"), 1, 0)
</f>
        <v>1</v>
      </c>
      <c r="R70" s="319">
        <f>IF(AND('Ações'!AU72="sim", 'Ações'!BD72="sim"), 1, 0)
</f>
        <v>0</v>
      </c>
      <c r="S70" s="319">
        <f>IF(AND('Ações'!AU72="sim", 'Ações'!BE72="sim"), 1, 0)
</f>
        <v>0</v>
      </c>
      <c r="T70" s="319">
        <f>IF(AND('Ações'!AU72="sim", 'Ações'!BG72="sim"), 1, 0)
</f>
        <v>0</v>
      </c>
      <c r="U70" s="319">
        <f>IF(AND('Ações'!AU72="sim", 'Ações'!BH72="sim"), 1, 0)
</f>
        <v>0</v>
      </c>
      <c r="V70" s="319">
        <f>IF(AND('Ações'!AU72="sim", 'Ações'!BI72="sim"), 1, 0)
</f>
        <v>1</v>
      </c>
      <c r="W70" s="319">
        <f>IF(AND('Ações'!AV72="sim", 'Ações'!BD72="sim"), 1, 0)
</f>
        <v>0</v>
      </c>
      <c r="X70" s="319">
        <f>IF(AND('Ações'!AV72="sim", 'Ações'!BE72="sim"), 1, 0)
</f>
        <v>0</v>
      </c>
      <c r="Y70" s="319">
        <f>IF(AND('Ações'!AV72="sim", 'Ações'!BF72="sim"), 1, 0)
</f>
        <v>0</v>
      </c>
      <c r="Z70" s="319">
        <f>IF(AND('Ações'!AV72="sim", 'Ações'!BH72="sim"), 1, 0)
</f>
        <v>0</v>
      </c>
      <c r="AA70" s="319">
        <f>IF(AND('Ações'!AV72="sim", 'Ações'!BI72="sim"), 1, 0)
</f>
        <v>1</v>
      </c>
      <c r="AB70" s="319">
        <f>IF(AND('Ações'!AW72="sim", 'Ações'!BD72="sim"), 1, 0)
</f>
        <v>0</v>
      </c>
      <c r="AC70" s="319">
        <f>IF(AND('Ações'!AW72="sim", 'Ações'!BE72="sim"), 1, 0)
</f>
        <v>0</v>
      </c>
      <c r="AD70" s="319">
        <f>IF(AND('Ações'!AW72="sim", 'Ações'!BF72="sim"), 1, 0)
</f>
        <v>0</v>
      </c>
      <c r="AE70" s="319">
        <f>IF(AND('Ações'!AW72="sim", 'Ações'!BG72="sim"), 1, 0)
</f>
        <v>0</v>
      </c>
      <c r="AF70" s="319">
        <f>IF(AND('Ações'!AW72="sim", 'Ações'!BI72="sim"), 1, 0)
</f>
        <v>1</v>
      </c>
      <c r="AG70" s="319">
        <f>IF(AND('Ações'!AX72="sim", 'Ações'!BD72="sim"), 1, 0)
</f>
        <v>0</v>
      </c>
      <c r="AH70" s="319">
        <f>IF(AND('Ações'!AX72="sim", 'Ações'!BE72="sim"), 1, 0)
</f>
        <v>0</v>
      </c>
      <c r="AI70" s="319">
        <f>IF(AND('Ações'!AX72="sim", 'Ações'!BF72="sim"), 1, 0)
</f>
        <v>0</v>
      </c>
      <c r="AJ70" s="319">
        <f>IF(AND('Ações'!AX72="sim", 'Ações'!BG72="sim"), 1, 0)
</f>
        <v>0</v>
      </c>
      <c r="AK70" s="319">
        <f>IF(AND('Ações'!AX72="sim", 'Ações'!BH72="sim"), 1, 0)
</f>
        <v>0</v>
      </c>
    </row>
    <row r="71">
      <c r="B71" s="319">
        <f>IF(AND('Ações'!AS73="sim", 'Ações'!BD73="sim"), 1, 0)
</f>
        <v>0</v>
      </c>
      <c r="C71" s="319">
        <f>IF(AND('Ações'!AT73="sim", 'Ações'!BE73="sim"), 1, 0)
</f>
        <v>0</v>
      </c>
      <c r="D71" s="319">
        <f>IF(AND('Ações'!AU73="sim", 'Ações'!BF73="sim"), 1, 0)
</f>
        <v>0</v>
      </c>
      <c r="E71" s="319">
        <f>IF(AND('Ações'!AV73="sim", 'Ações'!BG73="sim"), 1, 0)
</f>
        <v>0</v>
      </c>
      <c r="F71" s="319">
        <f>IF(AND('Ações'!AW73="sim", 'Ações'!BH73="sim"), 1, 0)
</f>
        <v>0</v>
      </c>
      <c r="G71" s="319">
        <f>IF(AND('Ações'!AX73="sim", 'Ações'!BI73="sim"), 1, 0)
</f>
        <v>0</v>
      </c>
      <c r="H71" s="319">
        <f>IF(AND('Ações'!AS73="sim", 'Ações'!BE73="sim"), 1, 0)
</f>
        <v>0</v>
      </c>
      <c r="I71" s="319">
        <f>IF(AND('Ações'!AS73="sim", 'Ações'!BF73="sim"), 1, 0)
</f>
        <v>0</v>
      </c>
      <c r="J71" s="319">
        <f>IF(AND('Ações'!AS73="sim", 'Ações'!BG73="sim"), 1, 0)
</f>
        <v>0</v>
      </c>
      <c r="K71" s="319">
        <f>IF(AND('Ações'!AS73="sim", 'Ações'!BH73="sim"), 1, 0)
</f>
        <v>0</v>
      </c>
      <c r="L71" s="319">
        <f>IF(AND('Ações'!AS73="sim", 'Ações'!BI73="sim"), 1, 0)
</f>
        <v>0</v>
      </c>
      <c r="M71" s="319">
        <f>IF(AND('Ações'!AT73="sim", 'Ações'!BD73="sim"), 1, 0)
</f>
        <v>0</v>
      </c>
      <c r="N71" s="319">
        <f>IF(AND('Ações'!AT73="sim", 'Ações'!BF73="sim"), 1, 0)
</f>
        <v>0</v>
      </c>
      <c r="O71" s="319">
        <f>IF(AND('Ações'!AT73="sim", 'Ações'!BG73="sim"), 1, 0)
</f>
        <v>0</v>
      </c>
      <c r="P71" s="319">
        <f>IF(AND('Ações'!AT73="sim", 'Ações'!BH73="sim"), 1, 0)
</f>
        <v>0</v>
      </c>
      <c r="Q71" s="319">
        <f>IF(AND('Ações'!AT73="sim", 'Ações'!BI73="sim"), 1, 0)
</f>
        <v>1</v>
      </c>
      <c r="R71" s="319">
        <f>IF(AND('Ações'!AU73="sim", 'Ações'!BD73="sim"), 1, 0)
</f>
        <v>0</v>
      </c>
      <c r="S71" s="319">
        <f>IF(AND('Ações'!AU73="sim", 'Ações'!BE73="sim"), 1, 0)
</f>
        <v>0</v>
      </c>
      <c r="T71" s="319">
        <f>IF(AND('Ações'!AU73="sim", 'Ações'!BG73="sim"), 1, 0)
</f>
        <v>0</v>
      </c>
      <c r="U71" s="319">
        <f>IF(AND('Ações'!AU73="sim", 'Ações'!BH73="sim"), 1, 0)
</f>
        <v>0</v>
      </c>
      <c r="V71" s="319">
        <f>IF(AND('Ações'!AU73="sim", 'Ações'!BI73="sim"), 1, 0)
</f>
        <v>1</v>
      </c>
      <c r="W71" s="319">
        <f>IF(AND('Ações'!AV73="sim", 'Ações'!BD73="sim"), 1, 0)
</f>
        <v>0</v>
      </c>
      <c r="X71" s="319">
        <f>IF(AND('Ações'!AV73="sim", 'Ações'!BE73="sim"), 1, 0)
</f>
        <v>0</v>
      </c>
      <c r="Y71" s="319">
        <f>IF(AND('Ações'!AV73="sim", 'Ações'!BF73="sim"), 1, 0)
</f>
        <v>0</v>
      </c>
      <c r="Z71" s="319">
        <f>IF(AND('Ações'!AV73="sim", 'Ações'!BH73="sim"), 1, 0)
</f>
        <v>0</v>
      </c>
      <c r="AA71" s="319">
        <f>IF(AND('Ações'!AV73="sim", 'Ações'!BI73="sim"), 1, 0)
</f>
        <v>1</v>
      </c>
      <c r="AB71" s="319">
        <f>IF(AND('Ações'!AW73="sim", 'Ações'!BD73="sim"), 1, 0)
</f>
        <v>0</v>
      </c>
      <c r="AC71" s="319">
        <f>IF(AND('Ações'!AW73="sim", 'Ações'!BE73="sim"), 1, 0)
</f>
        <v>0</v>
      </c>
      <c r="AD71" s="319">
        <f>IF(AND('Ações'!AW73="sim", 'Ações'!BF73="sim"), 1, 0)
</f>
        <v>0</v>
      </c>
      <c r="AE71" s="319">
        <f>IF(AND('Ações'!AW73="sim", 'Ações'!BG73="sim"), 1, 0)
</f>
        <v>0</v>
      </c>
      <c r="AF71" s="319">
        <f>IF(AND('Ações'!AW73="sim", 'Ações'!BI73="sim"), 1, 0)
</f>
        <v>1</v>
      </c>
      <c r="AG71" s="319">
        <f>IF(AND('Ações'!AX73="sim", 'Ações'!BD73="sim"), 1, 0)
</f>
        <v>0</v>
      </c>
      <c r="AH71" s="319">
        <f>IF(AND('Ações'!AX73="sim", 'Ações'!BE73="sim"), 1, 0)
</f>
        <v>0</v>
      </c>
      <c r="AI71" s="319">
        <f>IF(AND('Ações'!AX73="sim", 'Ações'!BF73="sim"), 1, 0)
</f>
        <v>0</v>
      </c>
      <c r="AJ71" s="319">
        <f>IF(AND('Ações'!AX73="sim", 'Ações'!BG73="sim"), 1, 0)
</f>
        <v>0</v>
      </c>
      <c r="AK71" s="319">
        <f>IF(AND('Ações'!AX73="sim", 'Ações'!BH73="sim"), 1, 0)
</f>
        <v>0</v>
      </c>
    </row>
    <row r="72">
      <c r="B72" s="319">
        <f>IF(AND('Ações'!AS74="sim", 'Ações'!BD74="sim"), 1, 0)
</f>
        <v>0</v>
      </c>
      <c r="C72" s="319">
        <f>IF(AND('Ações'!AT74="sim", 'Ações'!BE74="sim"), 1, 0)
</f>
        <v>0</v>
      </c>
      <c r="D72" s="319">
        <f>IF(AND('Ações'!AU74="sim", 'Ações'!BF74="sim"), 1, 0)
</f>
        <v>0</v>
      </c>
      <c r="E72" s="319">
        <f>IF(AND('Ações'!AV74="sim", 'Ações'!BG74="sim"), 1, 0)
</f>
        <v>0</v>
      </c>
      <c r="F72" s="319">
        <f>IF(AND('Ações'!AW74="sim", 'Ações'!BH74="sim"), 1, 0)
</f>
        <v>0</v>
      </c>
      <c r="G72" s="319">
        <f>IF(AND('Ações'!AX74="sim", 'Ações'!BI74="sim"), 1, 0)
</f>
        <v>0</v>
      </c>
      <c r="H72" s="319">
        <f>IF(AND('Ações'!AS74="sim", 'Ações'!BE74="sim"), 1, 0)
</f>
        <v>0</v>
      </c>
      <c r="I72" s="319">
        <f>IF(AND('Ações'!AS74="sim", 'Ações'!BF74="sim"), 1, 0)
</f>
        <v>0</v>
      </c>
      <c r="J72" s="319">
        <f>IF(AND('Ações'!AS74="sim", 'Ações'!BG74="sim"), 1, 0)
</f>
        <v>0</v>
      </c>
      <c r="K72" s="319">
        <f>IF(AND('Ações'!AS74="sim", 'Ações'!BH74="sim"), 1, 0)
</f>
        <v>0</v>
      </c>
      <c r="L72" s="319">
        <f>IF(AND('Ações'!AS74="sim", 'Ações'!BI74="sim"), 1, 0)
</f>
        <v>0</v>
      </c>
      <c r="M72" s="319">
        <f>IF(AND('Ações'!AT74="sim", 'Ações'!BD74="sim"), 1, 0)
</f>
        <v>1</v>
      </c>
      <c r="N72" s="319">
        <f>IF(AND('Ações'!AT74="sim", 'Ações'!BF74="sim"), 1, 0)
</f>
        <v>0</v>
      </c>
      <c r="O72" s="319">
        <f>IF(AND('Ações'!AT74="sim", 'Ações'!BG74="sim"), 1, 0)
</f>
        <v>0</v>
      </c>
      <c r="P72" s="319">
        <f>IF(AND('Ações'!AT74="sim", 'Ações'!BH74="sim"), 1, 0)
</f>
        <v>0</v>
      </c>
      <c r="Q72" s="319">
        <f>IF(AND('Ações'!AT74="sim", 'Ações'!BI74="sim"), 1, 0)
</f>
        <v>1</v>
      </c>
      <c r="R72" s="319">
        <f>IF(AND('Ações'!AU74="sim", 'Ações'!BD74="sim"), 1, 0)
</f>
        <v>1</v>
      </c>
      <c r="S72" s="319">
        <f>IF(AND('Ações'!AU74="sim", 'Ações'!BE74="sim"), 1, 0)
</f>
        <v>0</v>
      </c>
      <c r="T72" s="319">
        <f>IF(AND('Ações'!AU74="sim", 'Ações'!BG74="sim"), 1, 0)
</f>
        <v>0</v>
      </c>
      <c r="U72" s="319">
        <f>IF(AND('Ações'!AU74="sim", 'Ações'!BH74="sim"), 1, 0)
</f>
        <v>0</v>
      </c>
      <c r="V72" s="319">
        <f>IF(AND('Ações'!AU74="sim", 'Ações'!BI74="sim"), 1, 0)
</f>
        <v>1</v>
      </c>
      <c r="W72" s="319">
        <f>IF(AND('Ações'!AV74="sim", 'Ações'!BD74="sim"), 1, 0)
</f>
        <v>1</v>
      </c>
      <c r="X72" s="319">
        <f>IF(AND('Ações'!AV74="sim", 'Ações'!BE74="sim"), 1, 0)
</f>
        <v>0</v>
      </c>
      <c r="Y72" s="319">
        <f>IF(AND('Ações'!AV74="sim", 'Ações'!BF74="sim"), 1, 0)
</f>
        <v>0</v>
      </c>
      <c r="Z72" s="319">
        <f>IF(AND('Ações'!AV74="sim", 'Ações'!BH74="sim"), 1, 0)
</f>
        <v>0</v>
      </c>
      <c r="AA72" s="319">
        <f>IF(AND('Ações'!AV74="sim", 'Ações'!BI74="sim"), 1, 0)
</f>
        <v>1</v>
      </c>
      <c r="AB72" s="319">
        <f>IF(AND('Ações'!AW74="sim", 'Ações'!BD74="sim"), 1, 0)
</f>
        <v>1</v>
      </c>
      <c r="AC72" s="319">
        <f>IF(AND('Ações'!AW74="sim", 'Ações'!BE74="sim"), 1, 0)
</f>
        <v>0</v>
      </c>
      <c r="AD72" s="319">
        <f>IF(AND('Ações'!AW74="sim", 'Ações'!BF74="sim"), 1, 0)
</f>
        <v>0</v>
      </c>
      <c r="AE72" s="319">
        <f>IF(AND('Ações'!AW74="sim", 'Ações'!BG74="sim"), 1, 0)
</f>
        <v>0</v>
      </c>
      <c r="AF72" s="319">
        <f>IF(AND('Ações'!AW74="sim", 'Ações'!BI74="sim"), 1, 0)
</f>
        <v>1</v>
      </c>
      <c r="AG72" s="319">
        <f>IF(AND('Ações'!AX74="sim", 'Ações'!BD74="sim"), 1, 0)
</f>
        <v>0</v>
      </c>
      <c r="AH72" s="319">
        <f>IF(AND('Ações'!AX74="sim", 'Ações'!BE74="sim"), 1, 0)
</f>
        <v>0</v>
      </c>
      <c r="AI72" s="319">
        <f>IF(AND('Ações'!AX74="sim", 'Ações'!BF74="sim"), 1, 0)
</f>
        <v>0</v>
      </c>
      <c r="AJ72" s="319">
        <f>IF(AND('Ações'!AX74="sim", 'Ações'!BG74="sim"), 1, 0)
</f>
        <v>0</v>
      </c>
      <c r="AK72" s="319">
        <f>IF(AND('Ações'!AX74="sim", 'Ações'!BH74="sim"), 1, 0)
</f>
        <v>0</v>
      </c>
    </row>
    <row r="73">
      <c r="B73" s="319">
        <f>IF(AND('Ações'!AS75="sim", 'Ações'!BD75="sim"), 1, 0)
</f>
        <v>0</v>
      </c>
      <c r="C73" s="319">
        <f>IF(AND('Ações'!AT75="sim", 'Ações'!BE75="sim"), 1, 0)
</f>
        <v>0</v>
      </c>
      <c r="D73" s="319">
        <f>IF(AND('Ações'!AU75="sim", 'Ações'!BF75="sim"), 1, 0)
</f>
        <v>0</v>
      </c>
      <c r="E73" s="319">
        <f>IF(AND('Ações'!AV75="sim", 'Ações'!BG75="sim"), 1, 0)
</f>
        <v>0</v>
      </c>
      <c r="F73" s="319">
        <f>IF(AND('Ações'!AW75="sim", 'Ações'!BH75="sim"), 1, 0)
</f>
        <v>0</v>
      </c>
      <c r="G73" s="319">
        <f>IF(AND('Ações'!AX75="sim", 'Ações'!BI75="sim"), 1, 0)
</f>
        <v>0</v>
      </c>
      <c r="H73" s="319">
        <f>IF(AND('Ações'!AS75="sim", 'Ações'!BE75="sim"), 1, 0)
</f>
        <v>0</v>
      </c>
      <c r="I73" s="319">
        <f>IF(AND('Ações'!AS75="sim", 'Ações'!BF75="sim"), 1, 0)
</f>
        <v>0</v>
      </c>
      <c r="J73" s="319">
        <f>IF(AND('Ações'!AS75="sim", 'Ações'!BG75="sim"), 1, 0)
</f>
        <v>0</v>
      </c>
      <c r="K73" s="319">
        <f>IF(AND('Ações'!AS75="sim", 'Ações'!BH75="sim"), 1, 0)
</f>
        <v>0</v>
      </c>
      <c r="L73" s="319">
        <f>IF(AND('Ações'!AS75="sim", 'Ações'!BI75="sim"), 1, 0)
</f>
        <v>0</v>
      </c>
      <c r="M73" s="319">
        <f>IF(AND('Ações'!AT75="sim", 'Ações'!BD75="sim"), 1, 0)
</f>
        <v>1</v>
      </c>
      <c r="N73" s="319">
        <f>IF(AND('Ações'!AT75="sim", 'Ações'!BF75="sim"), 1, 0)
</f>
        <v>0</v>
      </c>
      <c r="O73" s="319">
        <f>IF(AND('Ações'!AT75="sim", 'Ações'!BG75="sim"), 1, 0)
</f>
        <v>0</v>
      </c>
      <c r="P73" s="319">
        <f>IF(AND('Ações'!AT75="sim", 'Ações'!BH75="sim"), 1, 0)
</f>
        <v>0</v>
      </c>
      <c r="Q73" s="319">
        <f>IF(AND('Ações'!AT75="sim", 'Ações'!BI75="sim"), 1, 0)
</f>
        <v>0</v>
      </c>
      <c r="R73" s="319">
        <f>IF(AND('Ações'!AU75="sim", 'Ações'!BD75="sim"), 1, 0)
</f>
        <v>1</v>
      </c>
      <c r="S73" s="319">
        <f>IF(AND('Ações'!AU75="sim", 'Ações'!BE75="sim"), 1, 0)
</f>
        <v>0</v>
      </c>
      <c r="T73" s="319">
        <f>IF(AND('Ações'!AU75="sim", 'Ações'!BG75="sim"), 1, 0)
</f>
        <v>0</v>
      </c>
      <c r="U73" s="319">
        <f>IF(AND('Ações'!AU75="sim", 'Ações'!BH75="sim"), 1, 0)
</f>
        <v>0</v>
      </c>
      <c r="V73" s="319">
        <f>IF(AND('Ações'!AU75="sim", 'Ações'!BI75="sim"), 1, 0)
</f>
        <v>0</v>
      </c>
      <c r="W73" s="319">
        <f>IF(AND('Ações'!AV75="sim", 'Ações'!BD75="sim"), 1, 0)
</f>
        <v>1</v>
      </c>
      <c r="X73" s="319">
        <f>IF(AND('Ações'!AV75="sim", 'Ações'!BE75="sim"), 1, 0)
</f>
        <v>0</v>
      </c>
      <c r="Y73" s="319">
        <f>IF(AND('Ações'!AV75="sim", 'Ações'!BF75="sim"), 1, 0)
</f>
        <v>0</v>
      </c>
      <c r="Z73" s="319">
        <f>IF(AND('Ações'!AV75="sim", 'Ações'!BH75="sim"), 1, 0)
</f>
        <v>0</v>
      </c>
      <c r="AA73" s="319">
        <f>IF(AND('Ações'!AV75="sim", 'Ações'!BI75="sim"), 1, 0)
</f>
        <v>0</v>
      </c>
      <c r="AB73" s="319">
        <f>IF(AND('Ações'!AW75="sim", 'Ações'!BD75="sim"), 1, 0)
</f>
        <v>1</v>
      </c>
      <c r="AC73" s="319">
        <f>IF(AND('Ações'!AW75="sim", 'Ações'!BE75="sim"), 1, 0)
</f>
        <v>0</v>
      </c>
      <c r="AD73" s="319">
        <f>IF(AND('Ações'!AW75="sim", 'Ações'!BF75="sim"), 1, 0)
</f>
        <v>0</v>
      </c>
      <c r="AE73" s="319">
        <f>IF(AND('Ações'!AW75="sim", 'Ações'!BG75="sim"), 1, 0)
</f>
        <v>0</v>
      </c>
      <c r="AF73" s="319">
        <f>IF(AND('Ações'!AW75="sim", 'Ações'!BI75="sim"), 1, 0)
</f>
        <v>0</v>
      </c>
      <c r="AG73" s="319">
        <f>IF(AND('Ações'!AX75="sim", 'Ações'!BD75="sim"), 1, 0)
</f>
        <v>0</v>
      </c>
      <c r="AH73" s="319">
        <f>IF(AND('Ações'!AX75="sim", 'Ações'!BE75="sim"), 1, 0)
</f>
        <v>0</v>
      </c>
      <c r="AI73" s="319">
        <f>IF(AND('Ações'!AX75="sim", 'Ações'!BF75="sim"), 1, 0)
</f>
        <v>0</v>
      </c>
      <c r="AJ73" s="319">
        <f>IF(AND('Ações'!AX75="sim", 'Ações'!BG75="sim"), 1, 0)
</f>
        <v>0</v>
      </c>
      <c r="AK73" s="319">
        <f>IF(AND('Ações'!AX75="sim", 'Ações'!BH75="sim"), 1, 0)
</f>
        <v>0</v>
      </c>
    </row>
    <row r="74">
      <c r="B74" s="319">
        <f>IF(AND('Ações'!AS76="sim", 'Ações'!BD76="sim"), 1, 0)
</f>
        <v>0</v>
      </c>
      <c r="C74" s="319">
        <f>IF(AND('Ações'!AT76="sim", 'Ações'!BE76="sim"), 1, 0)
</f>
        <v>0</v>
      </c>
      <c r="D74" s="319">
        <f>IF(AND('Ações'!AU76="sim", 'Ações'!BF76="sim"), 1, 0)
</f>
        <v>0</v>
      </c>
      <c r="E74" s="319">
        <f>IF(AND('Ações'!AV76="sim", 'Ações'!BG76="sim"), 1, 0)
</f>
        <v>0</v>
      </c>
      <c r="F74" s="319">
        <f>IF(AND('Ações'!AW76="sim", 'Ações'!BH76="sim"), 1, 0)
</f>
        <v>0</v>
      </c>
      <c r="G74" s="319">
        <f>IF(AND('Ações'!AX76="sim", 'Ações'!BI76="sim"), 1, 0)
</f>
        <v>0</v>
      </c>
      <c r="H74" s="319">
        <f>IF(AND('Ações'!AS76="sim", 'Ações'!BE76="sim"), 1, 0)
</f>
        <v>0</v>
      </c>
      <c r="I74" s="319">
        <f>IF(AND('Ações'!AS76="sim", 'Ações'!BF76="sim"), 1, 0)
</f>
        <v>0</v>
      </c>
      <c r="J74" s="319">
        <f>IF(AND('Ações'!AS76="sim", 'Ações'!BG76="sim"), 1, 0)
</f>
        <v>0</v>
      </c>
      <c r="K74" s="319">
        <f>IF(AND('Ações'!AS76="sim", 'Ações'!BH76="sim"), 1, 0)
</f>
        <v>0</v>
      </c>
      <c r="L74" s="319">
        <f>IF(AND('Ações'!AS76="sim", 'Ações'!BI76="sim"), 1, 0)
</f>
        <v>0</v>
      </c>
      <c r="M74" s="319">
        <f>IF(AND('Ações'!AT76="sim", 'Ações'!BD76="sim"), 1, 0)
</f>
        <v>0</v>
      </c>
      <c r="N74" s="319">
        <f>IF(AND('Ações'!AT76="sim", 'Ações'!BF76="sim"), 1, 0)
</f>
        <v>0</v>
      </c>
      <c r="O74" s="319">
        <f>IF(AND('Ações'!AT76="sim", 'Ações'!BG76="sim"), 1, 0)
</f>
        <v>0</v>
      </c>
      <c r="P74" s="319">
        <f>IF(AND('Ações'!AT76="sim", 'Ações'!BH76="sim"), 1, 0)
</f>
        <v>0</v>
      </c>
      <c r="Q74" s="319">
        <f>IF(AND('Ações'!AT76="sim", 'Ações'!BI76="sim"), 1, 0)
</f>
        <v>1</v>
      </c>
      <c r="R74" s="319">
        <f>IF(AND('Ações'!AU76="sim", 'Ações'!BD76="sim"), 1, 0)
</f>
        <v>0</v>
      </c>
      <c r="S74" s="319">
        <f>IF(AND('Ações'!AU76="sim", 'Ações'!BE76="sim"), 1, 0)
</f>
        <v>0</v>
      </c>
      <c r="T74" s="319">
        <f>IF(AND('Ações'!AU76="sim", 'Ações'!BG76="sim"), 1, 0)
</f>
        <v>0</v>
      </c>
      <c r="U74" s="319">
        <f>IF(AND('Ações'!AU76="sim", 'Ações'!BH76="sim"), 1, 0)
</f>
        <v>0</v>
      </c>
      <c r="V74" s="319">
        <f>IF(AND('Ações'!AU76="sim", 'Ações'!BI76="sim"), 1, 0)
</f>
        <v>1</v>
      </c>
      <c r="W74" s="319">
        <f>IF(AND('Ações'!AV76="sim", 'Ações'!BD76="sim"), 1, 0)
</f>
        <v>0</v>
      </c>
      <c r="X74" s="319">
        <f>IF(AND('Ações'!AV76="sim", 'Ações'!BE76="sim"), 1, 0)
</f>
        <v>0</v>
      </c>
      <c r="Y74" s="319">
        <f>IF(AND('Ações'!AV76="sim", 'Ações'!BF76="sim"), 1, 0)
</f>
        <v>0</v>
      </c>
      <c r="Z74" s="319">
        <f>IF(AND('Ações'!AV76="sim", 'Ações'!BH76="sim"), 1, 0)
</f>
        <v>0</v>
      </c>
      <c r="AA74" s="319">
        <f>IF(AND('Ações'!AV76="sim", 'Ações'!BI76="sim"), 1, 0)
</f>
        <v>1</v>
      </c>
      <c r="AB74" s="319">
        <f>IF(AND('Ações'!AW76="sim", 'Ações'!BD76="sim"), 1, 0)
</f>
        <v>0</v>
      </c>
      <c r="AC74" s="319">
        <f>IF(AND('Ações'!AW76="sim", 'Ações'!BE76="sim"), 1, 0)
</f>
        <v>0</v>
      </c>
      <c r="AD74" s="319">
        <f>IF(AND('Ações'!AW76="sim", 'Ações'!BF76="sim"), 1, 0)
</f>
        <v>0</v>
      </c>
      <c r="AE74" s="319">
        <f>IF(AND('Ações'!AW76="sim", 'Ações'!BG76="sim"), 1, 0)
</f>
        <v>0</v>
      </c>
      <c r="AF74" s="319">
        <f>IF(AND('Ações'!AW76="sim", 'Ações'!BI76="sim"), 1, 0)
</f>
        <v>1</v>
      </c>
      <c r="AG74" s="319">
        <f>IF(AND('Ações'!AX76="sim", 'Ações'!BD76="sim"), 1, 0)
</f>
        <v>0</v>
      </c>
      <c r="AH74" s="319">
        <f>IF(AND('Ações'!AX76="sim", 'Ações'!BE76="sim"), 1, 0)
</f>
        <v>0</v>
      </c>
      <c r="AI74" s="319">
        <f>IF(AND('Ações'!AX76="sim", 'Ações'!BF76="sim"), 1, 0)
</f>
        <v>0</v>
      </c>
      <c r="AJ74" s="319">
        <f>IF(AND('Ações'!AX76="sim", 'Ações'!BG76="sim"), 1, 0)
</f>
        <v>0</v>
      </c>
      <c r="AK74" s="319">
        <f>IF(AND('Ações'!AX76="sim", 'Ações'!BH76="sim"), 1, 0)
</f>
        <v>0</v>
      </c>
    </row>
    <row r="75">
      <c r="B75" s="319">
        <f>IF(AND('Ações'!AS77="sim", 'Ações'!BD77="sim"), 1, 0)
</f>
        <v>0</v>
      </c>
      <c r="C75" s="319">
        <f>IF(AND('Ações'!AT77="sim", 'Ações'!BE77="sim"), 1, 0)
</f>
        <v>0</v>
      </c>
      <c r="D75" s="319">
        <f>IF(AND('Ações'!AU77="sim", 'Ações'!BF77="sim"), 1, 0)
</f>
        <v>0</v>
      </c>
      <c r="E75" s="319">
        <f>IF(AND('Ações'!AV77="sim", 'Ações'!BG77="sim"), 1, 0)
</f>
        <v>0</v>
      </c>
      <c r="F75" s="319">
        <f>IF(AND('Ações'!AW77="sim", 'Ações'!BH77="sim"), 1, 0)
</f>
        <v>0</v>
      </c>
      <c r="G75" s="319">
        <f>IF(AND('Ações'!AX77="sim", 'Ações'!BI77="sim"), 1, 0)
</f>
        <v>0</v>
      </c>
      <c r="H75" s="319">
        <f>IF(AND('Ações'!AS77="sim", 'Ações'!BE77="sim"), 1, 0)
</f>
        <v>0</v>
      </c>
      <c r="I75" s="319">
        <f>IF(AND('Ações'!AS77="sim", 'Ações'!BF77="sim"), 1, 0)
</f>
        <v>0</v>
      </c>
      <c r="J75" s="319">
        <f>IF(AND('Ações'!AS77="sim", 'Ações'!BG77="sim"), 1, 0)
</f>
        <v>0</v>
      </c>
      <c r="K75" s="319">
        <f>IF(AND('Ações'!AS77="sim", 'Ações'!BH77="sim"), 1, 0)
</f>
        <v>0</v>
      </c>
      <c r="L75" s="319">
        <f>IF(AND('Ações'!AS77="sim", 'Ações'!BI77="sim"), 1, 0)
</f>
        <v>0</v>
      </c>
      <c r="M75" s="319">
        <f>IF(AND('Ações'!AT77="sim", 'Ações'!BD77="sim"), 1, 0)
</f>
        <v>0</v>
      </c>
      <c r="N75" s="319">
        <f>IF(AND('Ações'!AT77="sim", 'Ações'!BF77="sim"), 1, 0)
</f>
        <v>0</v>
      </c>
      <c r="O75" s="319">
        <f>IF(AND('Ações'!AT77="sim", 'Ações'!BG77="sim"), 1, 0)
</f>
        <v>0</v>
      </c>
      <c r="P75" s="319">
        <f>IF(AND('Ações'!AT77="sim", 'Ações'!BH77="sim"), 1, 0)
</f>
        <v>0</v>
      </c>
      <c r="Q75" s="319">
        <f>IF(AND('Ações'!AT77="sim", 'Ações'!BI77="sim"), 1, 0)
</f>
        <v>1</v>
      </c>
      <c r="R75" s="319">
        <f>IF(AND('Ações'!AU77="sim", 'Ações'!BD77="sim"), 1, 0)
</f>
        <v>0</v>
      </c>
      <c r="S75" s="319">
        <f>IF(AND('Ações'!AU77="sim", 'Ações'!BE77="sim"), 1, 0)
</f>
        <v>0</v>
      </c>
      <c r="T75" s="319">
        <f>IF(AND('Ações'!AU77="sim", 'Ações'!BG77="sim"), 1, 0)
</f>
        <v>0</v>
      </c>
      <c r="U75" s="319">
        <f>IF(AND('Ações'!AU77="sim", 'Ações'!BH77="sim"), 1, 0)
</f>
        <v>0</v>
      </c>
      <c r="V75" s="319">
        <f>IF(AND('Ações'!AU77="sim", 'Ações'!BI77="sim"), 1, 0)
</f>
        <v>1</v>
      </c>
      <c r="W75" s="319">
        <f>IF(AND('Ações'!AV77="sim", 'Ações'!BD77="sim"), 1, 0)
</f>
        <v>0</v>
      </c>
      <c r="X75" s="319">
        <f>IF(AND('Ações'!AV77="sim", 'Ações'!BE77="sim"), 1, 0)
</f>
        <v>0</v>
      </c>
      <c r="Y75" s="319">
        <f>IF(AND('Ações'!AV77="sim", 'Ações'!BF77="sim"), 1, 0)
</f>
        <v>0</v>
      </c>
      <c r="Z75" s="319">
        <f>IF(AND('Ações'!AV77="sim", 'Ações'!BH77="sim"), 1, 0)
</f>
        <v>0</v>
      </c>
      <c r="AA75" s="319">
        <f>IF(AND('Ações'!AV77="sim", 'Ações'!BI77="sim"), 1, 0)
</f>
        <v>1</v>
      </c>
      <c r="AB75" s="319">
        <f>IF(AND('Ações'!AW77="sim", 'Ações'!BD77="sim"), 1, 0)
</f>
        <v>0</v>
      </c>
      <c r="AC75" s="319">
        <f>IF(AND('Ações'!AW77="sim", 'Ações'!BE77="sim"), 1, 0)
</f>
        <v>0</v>
      </c>
      <c r="AD75" s="319">
        <f>IF(AND('Ações'!AW77="sim", 'Ações'!BF77="sim"), 1, 0)
</f>
        <v>0</v>
      </c>
      <c r="AE75" s="319">
        <f>IF(AND('Ações'!AW77="sim", 'Ações'!BG77="sim"), 1, 0)
</f>
        <v>0</v>
      </c>
      <c r="AF75" s="319">
        <f>IF(AND('Ações'!AW77="sim", 'Ações'!BI77="sim"), 1, 0)
</f>
        <v>1</v>
      </c>
      <c r="AG75" s="319">
        <f>IF(AND('Ações'!AX77="sim", 'Ações'!BD77="sim"), 1, 0)
</f>
        <v>0</v>
      </c>
      <c r="AH75" s="319">
        <f>IF(AND('Ações'!AX77="sim", 'Ações'!BE77="sim"), 1, 0)
</f>
        <v>0</v>
      </c>
      <c r="AI75" s="319">
        <f>IF(AND('Ações'!AX77="sim", 'Ações'!BF77="sim"), 1, 0)
</f>
        <v>0</v>
      </c>
      <c r="AJ75" s="319">
        <f>IF(AND('Ações'!AX77="sim", 'Ações'!BG77="sim"), 1, 0)
</f>
        <v>0</v>
      </c>
      <c r="AK75" s="319">
        <f>IF(AND('Ações'!AX77="sim", 'Ações'!BH77="sim"), 1, 0)
</f>
        <v>0</v>
      </c>
    </row>
    <row r="76">
      <c r="B76" s="319">
        <f>IF(AND('Ações'!AS78="sim", 'Ações'!BD78="sim"), 1, 0)
</f>
        <v>0</v>
      </c>
      <c r="C76" s="319">
        <f>IF(AND('Ações'!AT78="sim", 'Ações'!BE78="sim"), 1, 0)
</f>
        <v>0</v>
      </c>
      <c r="D76" s="319">
        <f>IF(AND('Ações'!AU78="sim", 'Ações'!BF78="sim"), 1, 0)
</f>
        <v>0</v>
      </c>
      <c r="E76" s="319">
        <f>IF(AND('Ações'!AV78="sim", 'Ações'!BG78="sim"), 1, 0)
</f>
        <v>0</v>
      </c>
      <c r="F76" s="319">
        <f>IF(AND('Ações'!AW78="sim", 'Ações'!BH78="sim"), 1, 0)
</f>
        <v>0</v>
      </c>
      <c r="G76" s="319">
        <f>IF(AND('Ações'!AX78="sim", 'Ações'!BI78="sim"), 1, 0)
</f>
        <v>0</v>
      </c>
      <c r="H76" s="319">
        <f>IF(AND('Ações'!AS78="sim", 'Ações'!BE78="sim"), 1, 0)
</f>
        <v>0</v>
      </c>
      <c r="I76" s="319">
        <f>IF(AND('Ações'!AS78="sim", 'Ações'!BF78="sim"), 1, 0)
</f>
        <v>0</v>
      </c>
      <c r="J76" s="319">
        <f>IF(AND('Ações'!AS78="sim", 'Ações'!BG78="sim"), 1, 0)
</f>
        <v>0</v>
      </c>
      <c r="K76" s="319">
        <f>IF(AND('Ações'!AS78="sim", 'Ações'!BH78="sim"), 1, 0)
</f>
        <v>0</v>
      </c>
      <c r="L76" s="319">
        <f>IF(AND('Ações'!AS78="sim", 'Ações'!BI78="sim"), 1, 0)
</f>
        <v>0</v>
      </c>
      <c r="M76" s="319">
        <f>IF(AND('Ações'!AT78="sim", 'Ações'!BD78="sim"), 1, 0)
</f>
        <v>0</v>
      </c>
      <c r="N76" s="319">
        <f>IF(AND('Ações'!AT78="sim", 'Ações'!BF78="sim"), 1, 0)
</f>
        <v>0</v>
      </c>
      <c r="O76" s="319">
        <f>IF(AND('Ações'!AT78="sim", 'Ações'!BG78="sim"), 1, 0)
</f>
        <v>0</v>
      </c>
      <c r="P76" s="319">
        <f>IF(AND('Ações'!AT78="sim", 'Ações'!BH78="sim"), 1, 0)
</f>
        <v>0</v>
      </c>
      <c r="Q76" s="319">
        <f>IF(AND('Ações'!AT78="sim", 'Ações'!BI78="sim"), 1, 0)
</f>
        <v>1</v>
      </c>
      <c r="R76" s="319">
        <f>IF(AND('Ações'!AU78="sim", 'Ações'!BD78="sim"), 1, 0)
</f>
        <v>0</v>
      </c>
      <c r="S76" s="319">
        <f>IF(AND('Ações'!AU78="sim", 'Ações'!BE78="sim"), 1, 0)
</f>
        <v>0</v>
      </c>
      <c r="T76" s="319">
        <f>IF(AND('Ações'!AU78="sim", 'Ações'!BG78="sim"), 1, 0)
</f>
        <v>0</v>
      </c>
      <c r="U76" s="319">
        <f>IF(AND('Ações'!AU78="sim", 'Ações'!BH78="sim"), 1, 0)
</f>
        <v>0</v>
      </c>
      <c r="V76" s="319">
        <f>IF(AND('Ações'!AU78="sim", 'Ações'!BI78="sim"), 1, 0)
</f>
        <v>1</v>
      </c>
      <c r="W76" s="319">
        <f>IF(AND('Ações'!AV78="sim", 'Ações'!BD78="sim"), 1, 0)
</f>
        <v>0</v>
      </c>
      <c r="X76" s="319">
        <f>IF(AND('Ações'!AV78="sim", 'Ações'!BE78="sim"), 1, 0)
</f>
        <v>0</v>
      </c>
      <c r="Y76" s="319">
        <f>IF(AND('Ações'!AV78="sim", 'Ações'!BF78="sim"), 1, 0)
</f>
        <v>0</v>
      </c>
      <c r="Z76" s="319">
        <f>IF(AND('Ações'!AV78="sim", 'Ações'!BH78="sim"), 1, 0)
</f>
        <v>0</v>
      </c>
      <c r="AA76" s="319">
        <f>IF(AND('Ações'!AV78="sim", 'Ações'!BI78="sim"), 1, 0)
</f>
        <v>1</v>
      </c>
      <c r="AB76" s="319">
        <f>IF(AND('Ações'!AW78="sim", 'Ações'!BD78="sim"), 1, 0)
</f>
        <v>0</v>
      </c>
      <c r="AC76" s="319">
        <f>IF(AND('Ações'!AW78="sim", 'Ações'!BE78="sim"), 1, 0)
</f>
        <v>0</v>
      </c>
      <c r="AD76" s="319">
        <f>IF(AND('Ações'!AW78="sim", 'Ações'!BF78="sim"), 1, 0)
</f>
        <v>0</v>
      </c>
      <c r="AE76" s="319">
        <f>IF(AND('Ações'!AW78="sim", 'Ações'!BG78="sim"), 1, 0)
</f>
        <v>0</v>
      </c>
      <c r="AF76" s="319">
        <f>IF(AND('Ações'!AW78="sim", 'Ações'!BI78="sim"), 1, 0)
</f>
        <v>1</v>
      </c>
      <c r="AG76" s="319">
        <f>IF(AND('Ações'!AX78="sim", 'Ações'!BD78="sim"), 1, 0)
</f>
        <v>0</v>
      </c>
      <c r="AH76" s="319">
        <f>IF(AND('Ações'!AX78="sim", 'Ações'!BE78="sim"), 1, 0)
</f>
        <v>0</v>
      </c>
      <c r="AI76" s="319">
        <f>IF(AND('Ações'!AX78="sim", 'Ações'!BF78="sim"), 1, 0)
</f>
        <v>0</v>
      </c>
      <c r="AJ76" s="319">
        <f>IF(AND('Ações'!AX78="sim", 'Ações'!BG78="sim"), 1, 0)
</f>
        <v>0</v>
      </c>
      <c r="AK76" s="319">
        <f>IF(AND('Ações'!AX78="sim", 'Ações'!BH78="sim"), 1, 0)
</f>
        <v>0</v>
      </c>
    </row>
    <row r="77">
      <c r="B77" s="319">
        <f>IF(AND('Ações'!AS79="sim", 'Ações'!BD79="sim"), 1, 0)
</f>
        <v>0</v>
      </c>
      <c r="C77" s="319">
        <f>IF(AND('Ações'!AT79="sim", 'Ações'!BE79="sim"), 1, 0)
</f>
        <v>0</v>
      </c>
      <c r="D77" s="319">
        <f>IF(AND('Ações'!AU79="sim", 'Ações'!BF79="sim"), 1, 0)
</f>
        <v>0</v>
      </c>
      <c r="E77" s="319">
        <f>IF(AND('Ações'!AV79="sim", 'Ações'!BG79="sim"), 1, 0)
</f>
        <v>1</v>
      </c>
      <c r="F77" s="319">
        <f>IF(AND('Ações'!AW79="sim", 'Ações'!BH79="sim"), 1, 0)
</f>
        <v>0</v>
      </c>
      <c r="G77" s="319">
        <f>IF(AND('Ações'!AX79="sim", 'Ações'!BI79="sim"), 1, 0)
</f>
        <v>0</v>
      </c>
      <c r="H77" s="319">
        <f>IF(AND('Ações'!AS79="sim", 'Ações'!BE79="sim"), 1, 0)
</f>
        <v>0</v>
      </c>
      <c r="I77" s="319">
        <f>IF(AND('Ações'!AS79="sim", 'Ações'!BF79="sim"), 1, 0)
</f>
        <v>0</v>
      </c>
      <c r="J77" s="319">
        <f>IF(AND('Ações'!AS79="sim", 'Ações'!BG79="sim"), 1, 0)
</f>
        <v>0</v>
      </c>
      <c r="K77" s="319">
        <f>IF(AND('Ações'!AS79="sim", 'Ações'!BH79="sim"), 1, 0)
</f>
        <v>0</v>
      </c>
      <c r="L77" s="319">
        <f>IF(AND('Ações'!AS79="sim", 'Ações'!BI79="sim"), 1, 0)
</f>
        <v>0</v>
      </c>
      <c r="M77" s="319">
        <f>IF(AND('Ações'!AT79="sim", 'Ações'!BD79="sim"), 1, 0)
</f>
        <v>0</v>
      </c>
      <c r="N77" s="319">
        <f>IF(AND('Ações'!AT79="sim", 'Ações'!BF79="sim"), 1, 0)
</f>
        <v>0</v>
      </c>
      <c r="O77" s="319">
        <f>IF(AND('Ações'!AT79="sim", 'Ações'!BG79="sim"), 1, 0)
</f>
        <v>1</v>
      </c>
      <c r="P77" s="319">
        <f>IF(AND('Ações'!AT79="sim", 'Ações'!BH79="sim"), 1, 0)
</f>
        <v>0</v>
      </c>
      <c r="Q77" s="319">
        <f>IF(AND('Ações'!AT79="sim", 'Ações'!BI79="sim"), 1, 0)
</f>
        <v>0</v>
      </c>
      <c r="R77" s="319">
        <f>IF(AND('Ações'!AU79="sim", 'Ações'!BD79="sim"), 1, 0)
</f>
        <v>0</v>
      </c>
      <c r="S77" s="319">
        <f>IF(AND('Ações'!AU79="sim", 'Ações'!BE79="sim"), 1, 0)
</f>
        <v>0</v>
      </c>
      <c r="T77" s="319">
        <f>IF(AND('Ações'!AU79="sim", 'Ações'!BG79="sim"), 1, 0)
</f>
        <v>1</v>
      </c>
      <c r="U77" s="319">
        <f>IF(AND('Ações'!AU79="sim", 'Ações'!BH79="sim"), 1, 0)
</f>
        <v>0</v>
      </c>
      <c r="V77" s="319">
        <f>IF(AND('Ações'!AU79="sim", 'Ações'!BI79="sim"), 1, 0)
</f>
        <v>0</v>
      </c>
      <c r="W77" s="319">
        <f>IF(AND('Ações'!AV79="sim", 'Ações'!BD79="sim"), 1, 0)
</f>
        <v>0</v>
      </c>
      <c r="X77" s="319">
        <f>IF(AND('Ações'!AV79="sim", 'Ações'!BE79="sim"), 1, 0)
</f>
        <v>0</v>
      </c>
      <c r="Y77" s="319">
        <f>IF(AND('Ações'!AV79="sim", 'Ações'!BF79="sim"), 1, 0)
</f>
        <v>0</v>
      </c>
      <c r="Z77" s="319">
        <f>IF(AND('Ações'!AV79="sim", 'Ações'!BH79="sim"), 1, 0)
</f>
        <v>0</v>
      </c>
      <c r="AA77" s="319">
        <f>IF(AND('Ações'!AV79="sim", 'Ações'!BI79="sim"), 1, 0)
</f>
        <v>0</v>
      </c>
      <c r="AB77" s="319">
        <f>IF(AND('Ações'!AW79="sim", 'Ações'!BD79="sim"), 1, 0)
</f>
        <v>0</v>
      </c>
      <c r="AC77" s="319">
        <f>IF(AND('Ações'!AW79="sim", 'Ações'!BE79="sim"), 1, 0)
</f>
        <v>0</v>
      </c>
      <c r="AD77" s="319">
        <f>IF(AND('Ações'!AW79="sim", 'Ações'!BF79="sim"), 1, 0)
</f>
        <v>0</v>
      </c>
      <c r="AE77" s="319">
        <f>IF(AND('Ações'!AW79="sim", 'Ações'!BG79="sim"), 1, 0)
</f>
        <v>1</v>
      </c>
      <c r="AF77" s="319">
        <f>IF(AND('Ações'!AW79="sim", 'Ações'!BI79="sim"), 1, 0)
</f>
        <v>0</v>
      </c>
      <c r="AG77" s="319">
        <f>IF(AND('Ações'!AX79="sim", 'Ações'!BD79="sim"), 1, 0)
</f>
        <v>0</v>
      </c>
      <c r="AH77" s="319">
        <f>IF(AND('Ações'!AX79="sim", 'Ações'!BE79="sim"), 1, 0)
</f>
        <v>0</v>
      </c>
      <c r="AI77" s="319">
        <f>IF(AND('Ações'!AX79="sim", 'Ações'!BF79="sim"), 1, 0)
</f>
        <v>0</v>
      </c>
      <c r="AJ77" s="319">
        <f>IF(AND('Ações'!AX79="sim", 'Ações'!BG79="sim"), 1, 0)
</f>
        <v>0</v>
      </c>
      <c r="AK77" s="319">
        <f>IF(AND('Ações'!AX79="sim", 'Ações'!BH79="sim"), 1, 0)
</f>
        <v>0</v>
      </c>
    </row>
    <row r="78">
      <c r="B78" s="319">
        <f>IF(AND('Ações'!AS80="sim", 'Ações'!BD80="sim"), 1, 0)
</f>
        <v>0</v>
      </c>
      <c r="C78" s="319">
        <f>IF(AND('Ações'!AT80="sim", 'Ações'!BE80="sim"), 1, 0)
</f>
        <v>0</v>
      </c>
      <c r="D78" s="319">
        <f>IF(AND('Ações'!AU80="sim", 'Ações'!BF80="sim"), 1, 0)
</f>
        <v>0</v>
      </c>
      <c r="E78" s="319">
        <f>IF(AND('Ações'!AV80="sim", 'Ações'!BG80="sim"), 1, 0)
</f>
        <v>0</v>
      </c>
      <c r="F78" s="319">
        <f>IF(AND('Ações'!AW80="sim", 'Ações'!BH80="sim"), 1, 0)
</f>
        <v>0</v>
      </c>
      <c r="G78" s="319">
        <f>IF(AND('Ações'!AX80="sim", 'Ações'!BI80="sim"), 1, 0)
</f>
        <v>0</v>
      </c>
      <c r="H78" s="319">
        <f>IF(AND('Ações'!AS80="sim", 'Ações'!BE80="sim"), 1, 0)
</f>
        <v>0</v>
      </c>
      <c r="I78" s="319">
        <f>IF(AND('Ações'!AS80="sim", 'Ações'!BF80="sim"), 1, 0)
</f>
        <v>0</v>
      </c>
      <c r="J78" s="319">
        <f>IF(AND('Ações'!AS80="sim", 'Ações'!BG80="sim"), 1, 0)
</f>
        <v>0</v>
      </c>
      <c r="K78" s="319">
        <f>IF(AND('Ações'!AS80="sim", 'Ações'!BH80="sim"), 1, 0)
</f>
        <v>0</v>
      </c>
      <c r="L78" s="319">
        <f>IF(AND('Ações'!AS80="sim", 'Ações'!BI80="sim"), 1, 0)
</f>
        <v>0</v>
      </c>
      <c r="M78" s="319">
        <f>IF(AND('Ações'!AT80="sim", 'Ações'!BD80="sim"), 1, 0)
</f>
        <v>0</v>
      </c>
      <c r="N78" s="319">
        <f>IF(AND('Ações'!AT80="sim", 'Ações'!BF80="sim"), 1, 0)
</f>
        <v>0</v>
      </c>
      <c r="O78" s="319">
        <f>IF(AND('Ações'!AT80="sim", 'Ações'!BG80="sim"), 1, 0)
</f>
        <v>0</v>
      </c>
      <c r="P78" s="319">
        <f>IF(AND('Ações'!AT80="sim", 'Ações'!BH80="sim"), 1, 0)
</f>
        <v>0</v>
      </c>
      <c r="Q78" s="319">
        <f>IF(AND('Ações'!AT80="sim", 'Ações'!BI80="sim"), 1, 0)
</f>
        <v>1</v>
      </c>
      <c r="R78" s="319">
        <f>IF(AND('Ações'!AU80="sim", 'Ações'!BD80="sim"), 1, 0)
</f>
        <v>0</v>
      </c>
      <c r="S78" s="319">
        <f>IF(AND('Ações'!AU80="sim", 'Ações'!BE80="sim"), 1, 0)
</f>
        <v>0</v>
      </c>
      <c r="T78" s="319">
        <f>IF(AND('Ações'!AU80="sim", 'Ações'!BG80="sim"), 1, 0)
</f>
        <v>0</v>
      </c>
      <c r="U78" s="319">
        <f>IF(AND('Ações'!AU80="sim", 'Ações'!BH80="sim"), 1, 0)
</f>
        <v>0</v>
      </c>
      <c r="V78" s="319">
        <f>IF(AND('Ações'!AU80="sim", 'Ações'!BI80="sim"), 1, 0)
</f>
        <v>1</v>
      </c>
      <c r="W78" s="319">
        <f>IF(AND('Ações'!AV80="sim", 'Ações'!BD80="sim"), 1, 0)
</f>
        <v>0</v>
      </c>
      <c r="X78" s="319">
        <f>IF(AND('Ações'!AV80="sim", 'Ações'!BE80="sim"), 1, 0)
</f>
        <v>0</v>
      </c>
      <c r="Y78" s="319">
        <f>IF(AND('Ações'!AV80="sim", 'Ações'!BF80="sim"), 1, 0)
</f>
        <v>0</v>
      </c>
      <c r="Z78" s="319">
        <f>IF(AND('Ações'!AV80="sim", 'Ações'!BH80="sim"), 1, 0)
</f>
        <v>0</v>
      </c>
      <c r="AA78" s="319">
        <f>IF(AND('Ações'!AV80="sim", 'Ações'!BI80="sim"), 1, 0)
</f>
        <v>1</v>
      </c>
      <c r="AB78" s="319">
        <f>IF(AND('Ações'!AW80="sim", 'Ações'!BD80="sim"), 1, 0)
</f>
        <v>0</v>
      </c>
      <c r="AC78" s="319">
        <f>IF(AND('Ações'!AW80="sim", 'Ações'!BE80="sim"), 1, 0)
</f>
        <v>0</v>
      </c>
      <c r="AD78" s="319">
        <f>IF(AND('Ações'!AW80="sim", 'Ações'!BF80="sim"), 1, 0)
</f>
        <v>0</v>
      </c>
      <c r="AE78" s="319">
        <f>IF(AND('Ações'!AW80="sim", 'Ações'!BG80="sim"), 1, 0)
</f>
        <v>0</v>
      </c>
      <c r="AF78" s="319">
        <f>IF(AND('Ações'!AW80="sim", 'Ações'!BI80="sim"), 1, 0)
</f>
        <v>1</v>
      </c>
      <c r="AG78" s="319">
        <f>IF(AND('Ações'!AX80="sim", 'Ações'!BD80="sim"), 1, 0)
</f>
        <v>0</v>
      </c>
      <c r="AH78" s="319">
        <f>IF(AND('Ações'!AX80="sim", 'Ações'!BE80="sim"), 1, 0)
</f>
        <v>0</v>
      </c>
      <c r="AI78" s="319">
        <f>IF(AND('Ações'!AX80="sim", 'Ações'!BF80="sim"), 1, 0)
</f>
        <v>0</v>
      </c>
      <c r="AJ78" s="319">
        <f>IF(AND('Ações'!AX80="sim", 'Ações'!BG80="sim"), 1, 0)
</f>
        <v>0</v>
      </c>
      <c r="AK78" s="319">
        <f>IF(AND('Ações'!AX80="sim", 'Ações'!BH80="sim"), 1, 0)
</f>
        <v>0</v>
      </c>
    </row>
    <row r="79">
      <c r="B79" s="319">
        <f>IF(AND('Ações'!AS82="sim", 'Ações'!BD82="sim"), 1, 0)
</f>
        <v>0</v>
      </c>
      <c r="C79" s="319">
        <f>IF(AND('Ações'!AT82="sim", 'Ações'!BE82="sim"), 1, 0)
</f>
        <v>0</v>
      </c>
      <c r="D79" s="319">
        <f>IF(AND('Ações'!AU82="sim", 'Ações'!BF82="sim"), 1, 0)
</f>
        <v>0</v>
      </c>
      <c r="E79" s="319">
        <f>IF(AND('Ações'!AV82="sim", 'Ações'!BG82="sim"), 1, 0)
</f>
        <v>1</v>
      </c>
      <c r="F79" s="319">
        <f>IF(AND('Ações'!AW82="sim", 'Ações'!BH82="sim"), 1, 0)
</f>
        <v>0</v>
      </c>
      <c r="G79" s="319">
        <f>IF(AND('Ações'!AX82="sim", 'Ações'!BI82="sim"), 1, 0)
</f>
        <v>0</v>
      </c>
      <c r="H79" s="319">
        <f>IF(AND('Ações'!AS82="sim", 'Ações'!BE82="sim"), 1, 0)
</f>
        <v>0</v>
      </c>
      <c r="I79" s="319">
        <f>IF(AND('Ações'!AS82="sim", 'Ações'!BF82="sim"), 1, 0)
</f>
        <v>0</v>
      </c>
      <c r="J79" s="319">
        <f>IF(AND('Ações'!AS82="sim", 'Ações'!BG82="sim"), 1, 0)
</f>
        <v>0</v>
      </c>
      <c r="K79" s="319">
        <f>IF(AND('Ações'!AS82="sim", 'Ações'!BH82="sim"), 1, 0)
</f>
        <v>0</v>
      </c>
      <c r="L79" s="319">
        <f>IF(AND('Ações'!AS82="sim", 'Ações'!BI82="sim"), 1, 0)
</f>
        <v>0</v>
      </c>
      <c r="M79" s="319">
        <f>IF(AND('Ações'!AT82="sim", 'Ações'!BD82="sim"), 1, 0)
</f>
        <v>1</v>
      </c>
      <c r="N79" s="319">
        <f>IF(AND('Ações'!AT82="sim", 'Ações'!BF82="sim"), 1, 0)
</f>
        <v>0</v>
      </c>
      <c r="O79" s="319">
        <f>IF(AND('Ações'!AT82="sim", 'Ações'!BG82="sim"), 1, 0)
</f>
        <v>1</v>
      </c>
      <c r="P79" s="319">
        <f>IF(AND('Ações'!AT82="sim", 'Ações'!BH82="sim"), 1, 0)
</f>
        <v>0</v>
      </c>
      <c r="Q79" s="319">
        <f>IF(AND('Ações'!AT82="sim", 'Ações'!BI82="sim"), 1, 0)
</f>
        <v>0</v>
      </c>
      <c r="R79" s="319">
        <f>IF(AND('Ações'!AU82="sim", 'Ações'!BD82="sim"), 1, 0)
</f>
        <v>1</v>
      </c>
      <c r="S79" s="319">
        <f>IF(AND('Ações'!AU82="sim", 'Ações'!BE82="sim"), 1, 0)
</f>
        <v>0</v>
      </c>
      <c r="T79" s="319">
        <f>IF(AND('Ações'!AU82="sim", 'Ações'!BG82="sim"), 1, 0)
</f>
        <v>1</v>
      </c>
      <c r="U79" s="319">
        <f>IF(AND('Ações'!AU82="sim", 'Ações'!BH82="sim"), 1, 0)
</f>
        <v>0</v>
      </c>
      <c r="V79" s="319">
        <f>IF(AND('Ações'!AU82="sim", 'Ações'!BI82="sim"), 1, 0)
</f>
        <v>0</v>
      </c>
      <c r="W79" s="319">
        <f>IF(AND('Ações'!AV82="sim", 'Ações'!BD82="sim"), 1, 0)
</f>
        <v>1</v>
      </c>
      <c r="X79" s="319">
        <f>IF(AND('Ações'!AV82="sim", 'Ações'!BE82="sim"), 1, 0)
</f>
        <v>0</v>
      </c>
      <c r="Y79" s="319">
        <f>IF(AND('Ações'!AV82="sim", 'Ações'!BF82="sim"), 1, 0)
</f>
        <v>0</v>
      </c>
      <c r="Z79" s="319">
        <f>IF(AND('Ações'!AV82="sim", 'Ações'!BH82="sim"), 1, 0)
</f>
        <v>0</v>
      </c>
      <c r="AA79" s="319">
        <f>IF(AND('Ações'!AV82="sim", 'Ações'!BI82="sim"), 1, 0)
</f>
        <v>0</v>
      </c>
      <c r="AB79" s="319">
        <f>IF(AND('Ações'!AW82="sim", 'Ações'!BD82="sim"), 1, 0)
</f>
        <v>1</v>
      </c>
      <c r="AC79" s="319">
        <f>IF(AND('Ações'!AW82="sim", 'Ações'!BE82="sim"), 1, 0)
</f>
        <v>0</v>
      </c>
      <c r="AD79" s="319">
        <f>IF(AND('Ações'!AW82="sim", 'Ações'!BF82="sim"), 1, 0)
</f>
        <v>0</v>
      </c>
      <c r="AE79" s="319">
        <f>IF(AND('Ações'!AW82="sim", 'Ações'!BG82="sim"), 1, 0)
</f>
        <v>1</v>
      </c>
      <c r="AF79" s="319">
        <f>IF(AND('Ações'!AW82="sim", 'Ações'!BI82="sim"), 1, 0)
</f>
        <v>0</v>
      </c>
      <c r="AG79" s="319">
        <f>IF(AND('Ações'!AX82="sim", 'Ações'!BD82="sim"), 1, 0)
</f>
        <v>0</v>
      </c>
      <c r="AH79" s="319">
        <f>IF(AND('Ações'!AX82="sim", 'Ações'!BE82="sim"), 1, 0)
</f>
        <v>0</v>
      </c>
      <c r="AI79" s="319">
        <f>IF(AND('Ações'!AX82="sim", 'Ações'!BF82="sim"), 1, 0)
</f>
        <v>0</v>
      </c>
      <c r="AJ79" s="319">
        <f>IF(AND('Ações'!AX82="sim", 'Ações'!BG82="sim"), 1, 0)
</f>
        <v>0</v>
      </c>
      <c r="AK79" s="319">
        <f>IF(AND('Ações'!AX82="sim", 'Ações'!BH82="sim"), 1, 0)
</f>
        <v>0</v>
      </c>
    </row>
    <row r="80">
      <c r="B80" s="319">
        <f>IF(AND('Ações'!AS83="sim", 'Ações'!BD83="sim"), 1, 0)
</f>
        <v>0</v>
      </c>
      <c r="C80" s="319">
        <f>IF(AND('Ações'!AT83="sim", 'Ações'!BE83="sim"), 1, 0)
</f>
        <v>0</v>
      </c>
      <c r="D80" s="319">
        <f>IF(AND('Ações'!AU83="sim", 'Ações'!BF83="sim"), 1, 0)
</f>
        <v>0</v>
      </c>
      <c r="E80" s="319">
        <f>IF(AND('Ações'!AV83="sim", 'Ações'!BG83="sim"), 1, 0)
</f>
        <v>0</v>
      </c>
      <c r="F80" s="319">
        <f>IF(AND('Ações'!AW83="sim", 'Ações'!BH83="sim"), 1, 0)
</f>
        <v>0</v>
      </c>
      <c r="G80" s="319">
        <f>IF(AND('Ações'!AX83="sim", 'Ações'!BI83="sim"), 1, 0)
</f>
        <v>0</v>
      </c>
      <c r="H80" s="319">
        <f>IF(AND('Ações'!AS83="sim", 'Ações'!BE83="sim"), 1, 0)
</f>
        <v>0</v>
      </c>
      <c r="I80" s="319">
        <f>IF(AND('Ações'!AS83="sim", 'Ações'!BF83="sim"), 1, 0)
</f>
        <v>0</v>
      </c>
      <c r="J80" s="319">
        <f>IF(AND('Ações'!AS83="sim", 'Ações'!BG83="sim"), 1, 0)
</f>
        <v>0</v>
      </c>
      <c r="K80" s="319">
        <f>IF(AND('Ações'!AS83="sim", 'Ações'!BH83="sim"), 1, 0)
</f>
        <v>0</v>
      </c>
      <c r="L80" s="319">
        <f>IF(AND('Ações'!AS83="sim", 'Ações'!BI83="sim"), 1, 0)
</f>
        <v>0</v>
      </c>
      <c r="M80" s="319">
        <f>IF(AND('Ações'!AT83="sim", 'Ações'!BD83="sim"), 1, 0)
</f>
        <v>0</v>
      </c>
      <c r="N80" s="319">
        <f>IF(AND('Ações'!AT83="sim", 'Ações'!BF83="sim"), 1, 0)
</f>
        <v>0</v>
      </c>
      <c r="O80" s="319">
        <f>IF(AND('Ações'!AT83="sim", 'Ações'!BG83="sim"), 1, 0)
</f>
        <v>0</v>
      </c>
      <c r="P80" s="319">
        <f>IF(AND('Ações'!AT83="sim", 'Ações'!BH83="sim"), 1, 0)
</f>
        <v>0</v>
      </c>
      <c r="Q80" s="319">
        <f>IF(AND('Ações'!AT83="sim", 'Ações'!BI83="sim"), 1, 0)
</f>
        <v>1</v>
      </c>
      <c r="R80" s="319">
        <f>IF(AND('Ações'!AU83="sim", 'Ações'!BD83="sim"), 1, 0)
</f>
        <v>0</v>
      </c>
      <c r="S80" s="319">
        <f>IF(AND('Ações'!AU83="sim", 'Ações'!BE83="sim"), 1, 0)
</f>
        <v>0</v>
      </c>
      <c r="T80" s="319">
        <f>IF(AND('Ações'!AU83="sim", 'Ações'!BG83="sim"), 1, 0)
</f>
        <v>0</v>
      </c>
      <c r="U80" s="319">
        <f>IF(AND('Ações'!AU83="sim", 'Ações'!BH83="sim"), 1, 0)
</f>
        <v>0</v>
      </c>
      <c r="V80" s="319">
        <f>IF(AND('Ações'!AU83="sim", 'Ações'!BI83="sim"), 1, 0)
</f>
        <v>1</v>
      </c>
      <c r="W80" s="319">
        <f>IF(AND('Ações'!AV83="sim", 'Ações'!BD83="sim"), 1, 0)
</f>
        <v>0</v>
      </c>
      <c r="X80" s="319">
        <f>IF(AND('Ações'!AV83="sim", 'Ações'!BE83="sim"), 1, 0)
</f>
        <v>0</v>
      </c>
      <c r="Y80" s="319">
        <f>IF(AND('Ações'!AV83="sim", 'Ações'!BF83="sim"), 1, 0)
</f>
        <v>0</v>
      </c>
      <c r="Z80" s="319">
        <f>IF(AND('Ações'!AV83="sim", 'Ações'!BH83="sim"), 1, 0)
</f>
        <v>0</v>
      </c>
      <c r="AA80" s="319">
        <f>IF(AND('Ações'!AV83="sim", 'Ações'!BI83="sim"), 1, 0)
</f>
        <v>1</v>
      </c>
      <c r="AB80" s="319">
        <f>IF(AND('Ações'!AW83="sim", 'Ações'!BD83="sim"), 1, 0)
</f>
        <v>0</v>
      </c>
      <c r="AC80" s="319">
        <f>IF(AND('Ações'!AW83="sim", 'Ações'!BE83="sim"), 1, 0)
</f>
        <v>0</v>
      </c>
      <c r="AD80" s="319">
        <f>IF(AND('Ações'!AW83="sim", 'Ações'!BF83="sim"), 1, 0)
</f>
        <v>0</v>
      </c>
      <c r="AE80" s="319">
        <f>IF(AND('Ações'!AW83="sim", 'Ações'!BG83="sim"), 1, 0)
</f>
        <v>0</v>
      </c>
      <c r="AF80" s="319">
        <f>IF(AND('Ações'!AW83="sim", 'Ações'!BI83="sim"), 1, 0)
</f>
        <v>1</v>
      </c>
      <c r="AG80" s="319">
        <f>IF(AND('Ações'!AX83="sim", 'Ações'!BD83="sim"), 1, 0)
</f>
        <v>0</v>
      </c>
      <c r="AH80" s="319">
        <f>IF(AND('Ações'!AX83="sim", 'Ações'!BE83="sim"), 1, 0)
</f>
        <v>0</v>
      </c>
      <c r="AI80" s="319">
        <f>IF(AND('Ações'!AX83="sim", 'Ações'!BF83="sim"), 1, 0)
</f>
        <v>0</v>
      </c>
      <c r="AJ80" s="319">
        <f>IF(AND('Ações'!AX83="sim", 'Ações'!BG83="sim"), 1, 0)
</f>
        <v>0</v>
      </c>
      <c r="AK80" s="319">
        <f>IF(AND('Ações'!AX83="sim", 'Ações'!BH83="sim"), 1, 0)
</f>
        <v>0</v>
      </c>
    </row>
    <row r="81">
      <c r="B81" s="319">
        <f>IF(AND('Ações'!AS84="sim", 'Ações'!BD84="sim"), 1, 0)
</f>
        <v>0</v>
      </c>
      <c r="C81" s="319">
        <f>IF(AND('Ações'!AT84="sim", 'Ações'!BE84="sim"), 1, 0)
</f>
        <v>0</v>
      </c>
      <c r="D81" s="319">
        <f>IF(AND('Ações'!AU84="sim", 'Ações'!BF84="sim"), 1, 0)
</f>
        <v>0</v>
      </c>
      <c r="E81" s="319">
        <f>IF(AND('Ações'!AV84="sim", 'Ações'!BG84="sim"), 1, 0)
</f>
        <v>1</v>
      </c>
      <c r="F81" s="319">
        <f>IF(AND('Ações'!AW84="sim", 'Ações'!BH84="sim"), 1, 0)
</f>
        <v>0</v>
      </c>
      <c r="G81" s="319">
        <f>IF(AND('Ações'!AX84="sim", 'Ações'!BI84="sim"), 1, 0)
</f>
        <v>0</v>
      </c>
      <c r="H81" s="319">
        <f>IF(AND('Ações'!AS84="sim", 'Ações'!BE84="sim"), 1, 0)
</f>
        <v>0</v>
      </c>
      <c r="I81" s="319">
        <f>IF(AND('Ações'!AS84="sim", 'Ações'!BF84="sim"), 1, 0)
</f>
        <v>0</v>
      </c>
      <c r="J81" s="319">
        <f>IF(AND('Ações'!AS84="sim", 'Ações'!BG84="sim"), 1, 0)
</f>
        <v>0</v>
      </c>
      <c r="K81" s="319">
        <f>IF(AND('Ações'!AS84="sim", 'Ações'!BH84="sim"), 1, 0)
</f>
        <v>0</v>
      </c>
      <c r="L81" s="319">
        <f>IF(AND('Ações'!AS84="sim", 'Ações'!BI84="sim"), 1, 0)
</f>
        <v>0</v>
      </c>
      <c r="M81" s="319">
        <f>IF(AND('Ações'!AT84="sim", 'Ações'!BD84="sim"), 1, 0)
</f>
        <v>1</v>
      </c>
      <c r="N81" s="319">
        <f>IF(AND('Ações'!AT84="sim", 'Ações'!BF84="sim"), 1, 0)
</f>
        <v>0</v>
      </c>
      <c r="O81" s="319">
        <f>IF(AND('Ações'!AT84="sim", 'Ações'!BG84="sim"), 1, 0)
</f>
        <v>1</v>
      </c>
      <c r="P81" s="319">
        <f>IF(AND('Ações'!AT84="sim", 'Ações'!BH84="sim"), 1, 0)
</f>
        <v>0</v>
      </c>
      <c r="Q81" s="319">
        <f>IF(AND('Ações'!AT84="sim", 'Ações'!BI84="sim"), 1, 0)
</f>
        <v>0</v>
      </c>
      <c r="R81" s="319">
        <f>IF(AND('Ações'!AU84="sim", 'Ações'!BD84="sim"), 1, 0)
</f>
        <v>1</v>
      </c>
      <c r="S81" s="319">
        <f>IF(AND('Ações'!AU84="sim", 'Ações'!BE84="sim"), 1, 0)
</f>
        <v>0</v>
      </c>
      <c r="T81" s="319">
        <f>IF(AND('Ações'!AU84="sim", 'Ações'!BG84="sim"), 1, 0)
</f>
        <v>1</v>
      </c>
      <c r="U81" s="319">
        <f>IF(AND('Ações'!AU84="sim", 'Ações'!BH84="sim"), 1, 0)
</f>
        <v>0</v>
      </c>
      <c r="V81" s="319">
        <f>IF(AND('Ações'!AU84="sim", 'Ações'!BI84="sim"), 1, 0)
</f>
        <v>0</v>
      </c>
      <c r="W81" s="319">
        <f>IF(AND('Ações'!AV84="sim", 'Ações'!BD84="sim"), 1, 0)
</f>
        <v>1</v>
      </c>
      <c r="X81" s="319">
        <f>IF(AND('Ações'!AV84="sim", 'Ações'!BE84="sim"), 1, 0)
</f>
        <v>0</v>
      </c>
      <c r="Y81" s="319">
        <f>IF(AND('Ações'!AV84="sim", 'Ações'!BF84="sim"), 1, 0)
</f>
        <v>0</v>
      </c>
      <c r="Z81" s="319">
        <f>IF(AND('Ações'!AV84="sim", 'Ações'!BH84="sim"), 1, 0)
</f>
        <v>0</v>
      </c>
      <c r="AA81" s="319">
        <f>IF(AND('Ações'!AV84="sim", 'Ações'!BI84="sim"), 1, 0)
</f>
        <v>0</v>
      </c>
      <c r="AB81" s="319">
        <f>IF(AND('Ações'!AW84="sim", 'Ações'!BD84="sim"), 1, 0)
</f>
        <v>1</v>
      </c>
      <c r="AC81" s="319">
        <f>IF(AND('Ações'!AW84="sim", 'Ações'!BE84="sim"), 1, 0)
</f>
        <v>0</v>
      </c>
      <c r="AD81" s="319">
        <f>IF(AND('Ações'!AW84="sim", 'Ações'!BF84="sim"), 1, 0)
</f>
        <v>0</v>
      </c>
      <c r="AE81" s="319">
        <f>IF(AND('Ações'!AW84="sim", 'Ações'!BG84="sim"), 1, 0)
</f>
        <v>1</v>
      </c>
      <c r="AF81" s="319">
        <f>IF(AND('Ações'!AW84="sim", 'Ações'!BI84="sim"), 1, 0)
</f>
        <v>0</v>
      </c>
      <c r="AG81" s="319">
        <f>IF(AND('Ações'!AX84="sim", 'Ações'!BD84="sim"), 1, 0)
</f>
        <v>0</v>
      </c>
      <c r="AH81" s="319">
        <f>IF(AND('Ações'!AX84="sim", 'Ações'!BE84="sim"), 1, 0)
</f>
        <v>0</v>
      </c>
      <c r="AI81" s="319">
        <f>IF(AND('Ações'!AX84="sim", 'Ações'!BF84="sim"), 1, 0)
</f>
        <v>0</v>
      </c>
      <c r="AJ81" s="319">
        <f>IF(AND('Ações'!AX84="sim", 'Ações'!BG84="sim"), 1, 0)
</f>
        <v>0</v>
      </c>
      <c r="AK81" s="319">
        <f>IF(AND('Ações'!AX84="sim", 'Ações'!BH84="sim"), 1, 0)
</f>
        <v>0</v>
      </c>
    </row>
    <row r="82">
      <c r="B82" s="319">
        <f>IF(AND('Ações'!AS85="sim", 'Ações'!BD85="sim"), 1, 0)
</f>
        <v>0</v>
      </c>
      <c r="C82" s="319">
        <f>IF(AND('Ações'!AT85="sim", 'Ações'!BE85="sim"), 1, 0)
</f>
        <v>0</v>
      </c>
      <c r="D82" s="319">
        <f>IF(AND('Ações'!AU85="sim", 'Ações'!BF85="sim"), 1, 0)
</f>
        <v>0</v>
      </c>
      <c r="E82" s="319">
        <f>IF(AND('Ações'!AV85="sim", 'Ações'!BG85="sim"), 1, 0)
</f>
        <v>0</v>
      </c>
      <c r="F82" s="319">
        <f>IF(AND('Ações'!AW85="sim", 'Ações'!BH85="sim"), 1, 0)
</f>
        <v>0</v>
      </c>
      <c r="G82" s="319">
        <f>IF(AND('Ações'!AX85="sim", 'Ações'!BI85="sim"), 1, 0)
</f>
        <v>0</v>
      </c>
      <c r="H82" s="319">
        <f>IF(AND('Ações'!AS85="sim", 'Ações'!BE85="sim"), 1, 0)
</f>
        <v>0</v>
      </c>
      <c r="I82" s="319">
        <f>IF(AND('Ações'!AS85="sim", 'Ações'!BF85="sim"), 1, 0)
</f>
        <v>0</v>
      </c>
      <c r="J82" s="319">
        <f>IF(AND('Ações'!AS85="sim", 'Ações'!BG85="sim"), 1, 0)
</f>
        <v>0</v>
      </c>
      <c r="K82" s="319">
        <f>IF(AND('Ações'!AS85="sim", 'Ações'!BH85="sim"), 1, 0)
</f>
        <v>0</v>
      </c>
      <c r="L82" s="319">
        <f>IF(AND('Ações'!AS85="sim", 'Ações'!BI85="sim"), 1, 0)
</f>
        <v>0</v>
      </c>
      <c r="M82" s="319">
        <f>IF(AND('Ações'!AT85="sim", 'Ações'!BD85="sim"), 1, 0)
</f>
        <v>0</v>
      </c>
      <c r="N82" s="319">
        <f>IF(AND('Ações'!AT85="sim", 'Ações'!BF85="sim"), 1, 0)
</f>
        <v>0</v>
      </c>
      <c r="O82" s="319">
        <f>IF(AND('Ações'!AT85="sim", 'Ações'!BG85="sim"), 1, 0)
</f>
        <v>0</v>
      </c>
      <c r="P82" s="319">
        <f>IF(AND('Ações'!AT85="sim", 'Ações'!BH85="sim"), 1, 0)
</f>
        <v>0</v>
      </c>
      <c r="Q82" s="319">
        <f>IF(AND('Ações'!AT85="sim", 'Ações'!BI85="sim"), 1, 0)
</f>
        <v>1</v>
      </c>
      <c r="R82" s="319">
        <f>IF(AND('Ações'!AU85="sim", 'Ações'!BD85="sim"), 1, 0)
</f>
        <v>0</v>
      </c>
      <c r="S82" s="319">
        <f>IF(AND('Ações'!AU85="sim", 'Ações'!BE85="sim"), 1, 0)
</f>
        <v>0</v>
      </c>
      <c r="T82" s="319">
        <f>IF(AND('Ações'!AU85="sim", 'Ações'!BG85="sim"), 1, 0)
</f>
        <v>0</v>
      </c>
      <c r="U82" s="319">
        <f>IF(AND('Ações'!AU85="sim", 'Ações'!BH85="sim"), 1, 0)
</f>
        <v>0</v>
      </c>
      <c r="V82" s="319">
        <f>IF(AND('Ações'!AU85="sim", 'Ações'!BI85="sim"), 1, 0)
</f>
        <v>1</v>
      </c>
      <c r="W82" s="319">
        <f>IF(AND('Ações'!AV85="sim", 'Ações'!BD85="sim"), 1, 0)
</f>
        <v>0</v>
      </c>
      <c r="X82" s="319">
        <f>IF(AND('Ações'!AV85="sim", 'Ações'!BE85="sim"), 1, 0)
</f>
        <v>0</v>
      </c>
      <c r="Y82" s="319">
        <f>IF(AND('Ações'!AV85="sim", 'Ações'!BF85="sim"), 1, 0)
</f>
        <v>0</v>
      </c>
      <c r="Z82" s="319">
        <f>IF(AND('Ações'!AV85="sim", 'Ações'!BH85="sim"), 1, 0)
</f>
        <v>0</v>
      </c>
      <c r="AA82" s="319">
        <f>IF(AND('Ações'!AV85="sim", 'Ações'!BI85="sim"), 1, 0)
</f>
        <v>1</v>
      </c>
      <c r="AB82" s="319">
        <f>IF(AND('Ações'!AW85="sim", 'Ações'!BD85="sim"), 1, 0)
</f>
        <v>0</v>
      </c>
      <c r="AC82" s="319">
        <f>IF(AND('Ações'!AW85="sim", 'Ações'!BE85="sim"), 1, 0)
</f>
        <v>0</v>
      </c>
      <c r="AD82" s="319">
        <f>IF(AND('Ações'!AW85="sim", 'Ações'!BF85="sim"), 1, 0)
</f>
        <v>0</v>
      </c>
      <c r="AE82" s="319">
        <f>IF(AND('Ações'!AW85="sim", 'Ações'!BG85="sim"), 1, 0)
</f>
        <v>0</v>
      </c>
      <c r="AF82" s="319">
        <f>IF(AND('Ações'!AW85="sim", 'Ações'!BI85="sim"), 1, 0)
</f>
        <v>1</v>
      </c>
      <c r="AG82" s="319">
        <f>IF(AND('Ações'!AX85="sim", 'Ações'!BD85="sim"), 1, 0)
</f>
        <v>0</v>
      </c>
      <c r="AH82" s="319">
        <f>IF(AND('Ações'!AX85="sim", 'Ações'!BE85="sim"), 1, 0)
</f>
        <v>0</v>
      </c>
      <c r="AI82" s="319">
        <f>IF(AND('Ações'!AX85="sim", 'Ações'!BF85="sim"), 1, 0)
</f>
        <v>0</v>
      </c>
      <c r="AJ82" s="319">
        <f>IF(AND('Ações'!AX85="sim", 'Ações'!BG85="sim"), 1, 0)
</f>
        <v>0</v>
      </c>
      <c r="AK82" s="319">
        <f>IF(AND('Ações'!AX85="sim", 'Ações'!BH85="sim"), 1, 0)
</f>
        <v>0</v>
      </c>
    </row>
    <row r="83">
      <c r="B83" s="319">
        <f>IF(AND('Ações'!AS86="sim", 'Ações'!BD86="sim"), 1, 0)
</f>
        <v>0</v>
      </c>
      <c r="C83" s="319">
        <f>IF(AND('Ações'!AT86="sim", 'Ações'!BE86="sim"), 1, 0)
</f>
        <v>0</v>
      </c>
      <c r="D83" s="319">
        <f>IF(AND('Ações'!AU86="sim", 'Ações'!BF86="sim"), 1, 0)
</f>
        <v>0</v>
      </c>
      <c r="E83" s="319">
        <f>IF(AND('Ações'!AV86="sim", 'Ações'!BG86="sim"), 1, 0)
</f>
        <v>0</v>
      </c>
      <c r="F83" s="319">
        <f>IF(AND('Ações'!AW86="sim", 'Ações'!BH86="sim"), 1, 0)
</f>
        <v>0</v>
      </c>
      <c r="G83" s="319">
        <f>IF(AND('Ações'!AX86="sim", 'Ações'!BI86="sim"), 1, 0)
</f>
        <v>0</v>
      </c>
      <c r="H83" s="319">
        <f>IF(AND('Ações'!AS86="sim", 'Ações'!BE86="sim"), 1, 0)
</f>
        <v>0</v>
      </c>
      <c r="I83" s="319">
        <f>IF(AND('Ações'!AS86="sim", 'Ações'!BF86="sim"), 1, 0)
</f>
        <v>0</v>
      </c>
      <c r="J83" s="319">
        <f>IF(AND('Ações'!AS86="sim", 'Ações'!BG86="sim"), 1, 0)
</f>
        <v>0</v>
      </c>
      <c r="K83" s="319">
        <f>IF(AND('Ações'!AS86="sim", 'Ações'!BH86="sim"), 1, 0)
</f>
        <v>0</v>
      </c>
      <c r="L83" s="319">
        <f>IF(AND('Ações'!AS86="sim", 'Ações'!BI86="sim"), 1, 0)
</f>
        <v>0</v>
      </c>
      <c r="M83" s="319">
        <f>IF(AND('Ações'!AT86="sim", 'Ações'!BD86="sim"), 1, 0)
</f>
        <v>0</v>
      </c>
      <c r="N83" s="319">
        <f>IF(AND('Ações'!AT86="sim", 'Ações'!BF86="sim"), 1, 0)
</f>
        <v>0</v>
      </c>
      <c r="O83" s="319">
        <f>IF(AND('Ações'!AT86="sim", 'Ações'!BG86="sim"), 1, 0)
</f>
        <v>0</v>
      </c>
      <c r="P83" s="319">
        <f>IF(AND('Ações'!AT86="sim", 'Ações'!BH86="sim"), 1, 0)
</f>
        <v>0</v>
      </c>
      <c r="Q83" s="319">
        <f>IF(AND('Ações'!AT86="sim", 'Ações'!BI86="sim"), 1, 0)
</f>
        <v>1</v>
      </c>
      <c r="R83" s="319">
        <f>IF(AND('Ações'!AU86="sim", 'Ações'!BD86="sim"), 1, 0)
</f>
        <v>0</v>
      </c>
      <c r="S83" s="319">
        <f>IF(AND('Ações'!AU86="sim", 'Ações'!BE86="sim"), 1, 0)
</f>
        <v>0</v>
      </c>
      <c r="T83" s="319">
        <f>IF(AND('Ações'!AU86="sim", 'Ações'!BG86="sim"), 1, 0)
</f>
        <v>0</v>
      </c>
      <c r="U83" s="319">
        <f>IF(AND('Ações'!AU86="sim", 'Ações'!BH86="sim"), 1, 0)
</f>
        <v>0</v>
      </c>
      <c r="V83" s="319">
        <f>IF(AND('Ações'!AU86="sim", 'Ações'!BI86="sim"), 1, 0)
</f>
        <v>1</v>
      </c>
      <c r="W83" s="319">
        <f>IF(AND('Ações'!AV86="sim", 'Ações'!BD86="sim"), 1, 0)
</f>
        <v>0</v>
      </c>
      <c r="X83" s="319">
        <f>IF(AND('Ações'!AV86="sim", 'Ações'!BE86="sim"), 1, 0)
</f>
        <v>0</v>
      </c>
      <c r="Y83" s="319">
        <f>IF(AND('Ações'!AV86="sim", 'Ações'!BF86="sim"), 1, 0)
</f>
        <v>0</v>
      </c>
      <c r="Z83" s="319">
        <f>IF(AND('Ações'!AV86="sim", 'Ações'!BH86="sim"), 1, 0)
</f>
        <v>0</v>
      </c>
      <c r="AA83" s="319">
        <f>IF(AND('Ações'!AV86="sim", 'Ações'!BI86="sim"), 1, 0)
</f>
        <v>1</v>
      </c>
      <c r="AB83" s="319">
        <f>IF(AND('Ações'!AW86="sim", 'Ações'!BD86="sim"), 1, 0)
</f>
        <v>0</v>
      </c>
      <c r="AC83" s="319">
        <f>IF(AND('Ações'!AW86="sim", 'Ações'!BE86="sim"), 1, 0)
</f>
        <v>0</v>
      </c>
      <c r="AD83" s="319">
        <f>IF(AND('Ações'!AW86="sim", 'Ações'!BF86="sim"), 1, 0)
</f>
        <v>0</v>
      </c>
      <c r="AE83" s="319">
        <f>IF(AND('Ações'!AW86="sim", 'Ações'!BG86="sim"), 1, 0)
</f>
        <v>0</v>
      </c>
      <c r="AF83" s="319">
        <f>IF(AND('Ações'!AW86="sim", 'Ações'!BI86="sim"), 1, 0)
</f>
        <v>1</v>
      </c>
      <c r="AG83" s="319">
        <f>IF(AND('Ações'!AX86="sim", 'Ações'!BD86="sim"), 1, 0)
</f>
        <v>0</v>
      </c>
      <c r="AH83" s="319">
        <f>IF(AND('Ações'!AX86="sim", 'Ações'!BE86="sim"), 1, 0)
</f>
        <v>0</v>
      </c>
      <c r="AI83" s="319">
        <f>IF(AND('Ações'!AX86="sim", 'Ações'!BF86="sim"), 1, 0)
</f>
        <v>0</v>
      </c>
      <c r="AJ83" s="319">
        <f>IF(AND('Ações'!AX86="sim", 'Ações'!BG86="sim"), 1, 0)
</f>
        <v>0</v>
      </c>
      <c r="AK83" s="319">
        <f>IF(AND('Ações'!AX86="sim", 'Ações'!BH86="sim"), 1, 0)
</f>
        <v>0</v>
      </c>
    </row>
    <row r="84">
      <c r="B84" s="319">
        <f>IF(AND('Ações'!AS87="sim", 'Ações'!BD87="sim"), 1, 0)
</f>
        <v>0</v>
      </c>
      <c r="C84" s="319">
        <f>IF(AND('Ações'!AT87="sim", 'Ações'!BE87="sim"), 1, 0)
</f>
        <v>0</v>
      </c>
      <c r="D84" s="319">
        <f>IF(AND('Ações'!AU87="sim", 'Ações'!BF87="sim"), 1, 0)
</f>
        <v>0</v>
      </c>
      <c r="E84" s="319">
        <f>IF(AND('Ações'!AV87="sim", 'Ações'!BG87="sim"), 1, 0)
</f>
        <v>0</v>
      </c>
      <c r="F84" s="319">
        <f>IF(AND('Ações'!AW87="sim", 'Ações'!BH87="sim"), 1, 0)
</f>
        <v>0</v>
      </c>
      <c r="G84" s="319">
        <f>IF(AND('Ações'!AX87="sim", 'Ações'!BI87="sim"), 1, 0)
</f>
        <v>0</v>
      </c>
      <c r="H84" s="319">
        <f>IF(AND('Ações'!AS87="sim", 'Ações'!BE87="sim"), 1, 0)
</f>
        <v>0</v>
      </c>
      <c r="I84" s="319">
        <f>IF(AND('Ações'!AS87="sim", 'Ações'!BF87="sim"), 1, 0)
</f>
        <v>0</v>
      </c>
      <c r="J84" s="319">
        <f>IF(AND('Ações'!AS87="sim", 'Ações'!BG87="sim"), 1, 0)
</f>
        <v>0</v>
      </c>
      <c r="K84" s="319">
        <f>IF(AND('Ações'!AS87="sim", 'Ações'!BH87="sim"), 1, 0)
</f>
        <v>0</v>
      </c>
      <c r="L84" s="319">
        <f>IF(AND('Ações'!AS87="sim", 'Ações'!BI87="sim"), 1, 0)
</f>
        <v>0</v>
      </c>
      <c r="M84" s="319">
        <f>IF(AND('Ações'!AT87="sim", 'Ações'!BD87="sim"), 1, 0)
</f>
        <v>1</v>
      </c>
      <c r="N84" s="319">
        <f>IF(AND('Ações'!AT87="sim", 'Ações'!BF87="sim"), 1, 0)
</f>
        <v>0</v>
      </c>
      <c r="O84" s="319">
        <f>IF(AND('Ações'!AT87="sim", 'Ações'!BG87="sim"), 1, 0)
</f>
        <v>0</v>
      </c>
      <c r="P84" s="319">
        <f>IF(AND('Ações'!AT87="sim", 'Ações'!BH87="sim"), 1, 0)
</f>
        <v>0</v>
      </c>
      <c r="Q84" s="319">
        <f>IF(AND('Ações'!AT87="sim", 'Ações'!BI87="sim"), 1, 0)
</f>
        <v>0</v>
      </c>
      <c r="R84" s="319">
        <f>IF(AND('Ações'!AU87="sim", 'Ações'!BD87="sim"), 1, 0)
</f>
        <v>1</v>
      </c>
      <c r="S84" s="319">
        <f>IF(AND('Ações'!AU87="sim", 'Ações'!BE87="sim"), 1, 0)
</f>
        <v>0</v>
      </c>
      <c r="T84" s="319">
        <f>IF(AND('Ações'!AU87="sim", 'Ações'!BG87="sim"), 1, 0)
</f>
        <v>0</v>
      </c>
      <c r="U84" s="319">
        <f>IF(AND('Ações'!AU87="sim", 'Ações'!BH87="sim"), 1, 0)
</f>
        <v>0</v>
      </c>
      <c r="V84" s="319">
        <f>IF(AND('Ações'!AU87="sim", 'Ações'!BI87="sim"), 1, 0)
</f>
        <v>0</v>
      </c>
      <c r="W84" s="319">
        <f>IF(AND('Ações'!AV87="sim", 'Ações'!BD87="sim"), 1, 0)
</f>
        <v>1</v>
      </c>
      <c r="X84" s="319">
        <f>IF(AND('Ações'!AV87="sim", 'Ações'!BE87="sim"), 1, 0)
</f>
        <v>0</v>
      </c>
      <c r="Y84" s="319">
        <f>IF(AND('Ações'!AV87="sim", 'Ações'!BF87="sim"), 1, 0)
</f>
        <v>0</v>
      </c>
      <c r="Z84" s="319">
        <f>IF(AND('Ações'!AV87="sim", 'Ações'!BH87="sim"), 1, 0)
</f>
        <v>0</v>
      </c>
      <c r="AA84" s="319">
        <f>IF(AND('Ações'!AV87="sim", 'Ações'!BI87="sim"), 1, 0)
</f>
        <v>0</v>
      </c>
      <c r="AB84" s="319">
        <f>IF(AND('Ações'!AW87="sim", 'Ações'!BD87="sim"), 1, 0)
</f>
        <v>1</v>
      </c>
      <c r="AC84" s="319">
        <f>IF(AND('Ações'!AW87="sim", 'Ações'!BE87="sim"), 1, 0)
</f>
        <v>0</v>
      </c>
      <c r="AD84" s="319">
        <f>IF(AND('Ações'!AW87="sim", 'Ações'!BF87="sim"), 1, 0)
</f>
        <v>0</v>
      </c>
      <c r="AE84" s="319">
        <f>IF(AND('Ações'!AW87="sim", 'Ações'!BG87="sim"), 1, 0)
</f>
        <v>0</v>
      </c>
      <c r="AF84" s="319">
        <f>IF(AND('Ações'!AW87="sim", 'Ações'!BI87="sim"), 1, 0)
</f>
        <v>0</v>
      </c>
      <c r="AG84" s="319">
        <f>IF(AND('Ações'!AX87="sim", 'Ações'!BD87="sim"), 1, 0)
</f>
        <v>0</v>
      </c>
      <c r="AH84" s="319">
        <f>IF(AND('Ações'!AX87="sim", 'Ações'!BE87="sim"), 1, 0)
</f>
        <v>0</v>
      </c>
      <c r="AI84" s="319">
        <f>IF(AND('Ações'!AX87="sim", 'Ações'!BF87="sim"), 1, 0)
</f>
        <v>0</v>
      </c>
      <c r="AJ84" s="319">
        <f>IF(AND('Ações'!AX87="sim", 'Ações'!BG87="sim"), 1, 0)
</f>
        <v>0</v>
      </c>
      <c r="AK84" s="319">
        <f>IF(AND('Ações'!AX87="sim", 'Ações'!BH87="sim"), 1, 0)
</f>
        <v>0</v>
      </c>
    </row>
    <row r="85">
      <c r="B85" s="319">
        <f>IF(AND('Ações'!AS88="sim", 'Ações'!BD88="sim"), 1, 0)
</f>
        <v>0</v>
      </c>
      <c r="C85" s="319">
        <f>IF(AND('Ações'!AT88="sim", 'Ações'!BE88="sim"), 1, 0)
</f>
        <v>0</v>
      </c>
      <c r="D85" s="319">
        <f>IF(AND('Ações'!AU88="sim", 'Ações'!BF88="sim"), 1, 0)
</f>
        <v>0</v>
      </c>
      <c r="E85" s="319">
        <f>IF(AND('Ações'!AV88="sim", 'Ações'!BG88="sim"), 1, 0)
</f>
        <v>0</v>
      </c>
      <c r="F85" s="319">
        <f>IF(AND('Ações'!AW88="sim", 'Ações'!BH88="sim"), 1, 0)
</f>
        <v>0</v>
      </c>
      <c r="G85" s="319">
        <f>IF(AND('Ações'!AX88="sim", 'Ações'!BI88="sim"), 1, 0)
</f>
        <v>0</v>
      </c>
      <c r="H85" s="319">
        <f>IF(AND('Ações'!AS88="sim", 'Ações'!BE88="sim"), 1, 0)
</f>
        <v>0</v>
      </c>
      <c r="I85" s="319">
        <f>IF(AND('Ações'!AS88="sim", 'Ações'!BF88="sim"), 1, 0)
</f>
        <v>0</v>
      </c>
      <c r="J85" s="319">
        <f>IF(AND('Ações'!AS88="sim", 'Ações'!BG88="sim"), 1, 0)
</f>
        <v>0</v>
      </c>
      <c r="K85" s="319">
        <f>IF(AND('Ações'!AS88="sim", 'Ações'!BH88="sim"), 1, 0)
</f>
        <v>0</v>
      </c>
      <c r="L85" s="319">
        <f>IF(AND('Ações'!AS88="sim", 'Ações'!BI88="sim"), 1, 0)
</f>
        <v>0</v>
      </c>
      <c r="M85" s="319">
        <f>IF(AND('Ações'!AT88="sim", 'Ações'!BD88="sim"), 1, 0)
</f>
        <v>1</v>
      </c>
      <c r="N85" s="319">
        <f>IF(AND('Ações'!AT88="sim", 'Ações'!BF88="sim"), 1, 0)
</f>
        <v>0</v>
      </c>
      <c r="O85" s="319">
        <f>IF(AND('Ações'!AT88="sim", 'Ações'!BG88="sim"), 1, 0)
</f>
        <v>0</v>
      </c>
      <c r="P85" s="319">
        <f>IF(AND('Ações'!AT88="sim", 'Ações'!BH88="sim"), 1, 0)
</f>
        <v>0</v>
      </c>
      <c r="Q85" s="319">
        <f>IF(AND('Ações'!AT88="sim", 'Ações'!BI88="sim"), 1, 0)
</f>
        <v>0</v>
      </c>
      <c r="R85" s="319">
        <f>IF(AND('Ações'!AU88="sim", 'Ações'!BD88="sim"), 1, 0)
</f>
        <v>1</v>
      </c>
      <c r="S85" s="319">
        <f>IF(AND('Ações'!AU88="sim", 'Ações'!BE88="sim"), 1, 0)
</f>
        <v>0</v>
      </c>
      <c r="T85" s="319">
        <f>IF(AND('Ações'!AU88="sim", 'Ações'!BG88="sim"), 1, 0)
</f>
        <v>0</v>
      </c>
      <c r="U85" s="319">
        <f>IF(AND('Ações'!AU88="sim", 'Ações'!BH88="sim"), 1, 0)
</f>
        <v>0</v>
      </c>
      <c r="V85" s="319">
        <f>IF(AND('Ações'!AU88="sim", 'Ações'!BI88="sim"), 1, 0)
</f>
        <v>0</v>
      </c>
      <c r="W85" s="319">
        <f>IF(AND('Ações'!AV88="sim", 'Ações'!BD88="sim"), 1, 0)
</f>
        <v>1</v>
      </c>
      <c r="X85" s="319">
        <f>IF(AND('Ações'!AV88="sim", 'Ações'!BE88="sim"), 1, 0)
</f>
        <v>0</v>
      </c>
      <c r="Y85" s="319">
        <f>IF(AND('Ações'!AV88="sim", 'Ações'!BF88="sim"), 1, 0)
</f>
        <v>0</v>
      </c>
      <c r="Z85" s="319">
        <f>IF(AND('Ações'!AV88="sim", 'Ações'!BH88="sim"), 1, 0)
</f>
        <v>0</v>
      </c>
      <c r="AA85" s="319">
        <f>IF(AND('Ações'!AV88="sim", 'Ações'!BI88="sim"), 1, 0)
</f>
        <v>0</v>
      </c>
      <c r="AB85" s="319">
        <f>IF(AND('Ações'!AW88="sim", 'Ações'!BD88="sim"), 1, 0)
</f>
        <v>1</v>
      </c>
      <c r="AC85" s="319">
        <f>IF(AND('Ações'!AW88="sim", 'Ações'!BE88="sim"), 1, 0)
</f>
        <v>0</v>
      </c>
      <c r="AD85" s="319">
        <f>IF(AND('Ações'!AW88="sim", 'Ações'!BF88="sim"), 1, 0)
</f>
        <v>0</v>
      </c>
      <c r="AE85" s="319">
        <f>IF(AND('Ações'!AW88="sim", 'Ações'!BG88="sim"), 1, 0)
</f>
        <v>0</v>
      </c>
      <c r="AF85" s="319">
        <f>IF(AND('Ações'!AW88="sim", 'Ações'!BI88="sim"), 1, 0)
</f>
        <v>0</v>
      </c>
      <c r="AG85" s="319">
        <f>IF(AND('Ações'!AX88="sim", 'Ações'!BD88="sim"), 1, 0)
</f>
        <v>0</v>
      </c>
      <c r="AH85" s="319">
        <f>IF(AND('Ações'!AX88="sim", 'Ações'!BE88="sim"), 1, 0)
</f>
        <v>0</v>
      </c>
      <c r="AI85" s="319">
        <f>IF(AND('Ações'!AX88="sim", 'Ações'!BF88="sim"), 1, 0)
</f>
        <v>0</v>
      </c>
      <c r="AJ85" s="319">
        <f>IF(AND('Ações'!AX88="sim", 'Ações'!BG88="sim"), 1, 0)
</f>
        <v>0</v>
      </c>
      <c r="AK85" s="319">
        <f>IF(AND('Ações'!AX88="sim", 'Ações'!BH88="sim"), 1, 0)
</f>
        <v>0</v>
      </c>
    </row>
    <row r="86">
      <c r="B86" s="319">
        <f>IF(AND('Ações'!AS89="sim", 'Ações'!BD89="sim"), 1, 0)
</f>
        <v>0</v>
      </c>
      <c r="C86" s="319">
        <f>IF(AND('Ações'!AT89="sim", 'Ações'!BE89="sim"), 1, 0)
</f>
        <v>0</v>
      </c>
      <c r="D86" s="319">
        <f>IF(AND('Ações'!AU89="sim", 'Ações'!BF89="sim"), 1, 0)
</f>
        <v>0</v>
      </c>
      <c r="E86" s="319">
        <f>IF(AND('Ações'!AV89="sim", 'Ações'!BG89="sim"), 1, 0)
</f>
        <v>0</v>
      </c>
      <c r="F86" s="319">
        <f>IF(AND('Ações'!AW89="sim", 'Ações'!BH89="sim"), 1, 0)
</f>
        <v>0</v>
      </c>
      <c r="G86" s="319">
        <f>IF(AND('Ações'!AX89="sim", 'Ações'!BI89="sim"), 1, 0)
</f>
        <v>0</v>
      </c>
      <c r="H86" s="319">
        <f>IF(AND('Ações'!AS89="sim", 'Ações'!BE89="sim"), 1, 0)
</f>
        <v>0</v>
      </c>
      <c r="I86" s="319">
        <f>IF(AND('Ações'!AS89="sim", 'Ações'!BF89="sim"), 1, 0)
</f>
        <v>0</v>
      </c>
      <c r="J86" s="319">
        <f>IF(AND('Ações'!AS89="sim", 'Ações'!BG89="sim"), 1, 0)
</f>
        <v>0</v>
      </c>
      <c r="K86" s="319">
        <f>IF(AND('Ações'!AS89="sim", 'Ações'!BH89="sim"), 1, 0)
</f>
        <v>0</v>
      </c>
      <c r="L86" s="319">
        <f>IF(AND('Ações'!AS89="sim", 'Ações'!BI89="sim"), 1, 0)
</f>
        <v>0</v>
      </c>
      <c r="M86" s="319">
        <f>IF(AND('Ações'!AT89="sim", 'Ações'!BD89="sim"), 1, 0)
</f>
        <v>0</v>
      </c>
      <c r="N86" s="319">
        <f>IF(AND('Ações'!AT89="sim", 'Ações'!BF89="sim"), 1, 0)
</f>
        <v>0</v>
      </c>
      <c r="O86" s="319">
        <f>IF(AND('Ações'!AT89="sim", 'Ações'!BG89="sim"), 1, 0)
</f>
        <v>0</v>
      </c>
      <c r="P86" s="319">
        <f>IF(AND('Ações'!AT89="sim", 'Ações'!BH89="sim"), 1, 0)
</f>
        <v>0</v>
      </c>
      <c r="Q86" s="319">
        <f>IF(AND('Ações'!AT89="sim", 'Ações'!BI89="sim"), 1, 0)
</f>
        <v>1</v>
      </c>
      <c r="R86" s="319">
        <f>IF(AND('Ações'!AU89="sim", 'Ações'!BD89="sim"), 1, 0)
</f>
        <v>0</v>
      </c>
      <c r="S86" s="319">
        <f>IF(AND('Ações'!AU89="sim", 'Ações'!BE89="sim"), 1, 0)
</f>
        <v>0</v>
      </c>
      <c r="T86" s="319">
        <f>IF(AND('Ações'!AU89="sim", 'Ações'!BG89="sim"), 1, 0)
</f>
        <v>0</v>
      </c>
      <c r="U86" s="319">
        <f>IF(AND('Ações'!AU89="sim", 'Ações'!BH89="sim"), 1, 0)
</f>
        <v>0</v>
      </c>
      <c r="V86" s="319">
        <f>IF(AND('Ações'!AU89="sim", 'Ações'!BI89="sim"), 1, 0)
</f>
        <v>1</v>
      </c>
      <c r="W86" s="319">
        <f>IF(AND('Ações'!AV89="sim", 'Ações'!BD89="sim"), 1, 0)
</f>
        <v>0</v>
      </c>
      <c r="X86" s="319">
        <f>IF(AND('Ações'!AV89="sim", 'Ações'!BE89="sim"), 1, 0)
</f>
        <v>0</v>
      </c>
      <c r="Y86" s="319">
        <f>IF(AND('Ações'!AV89="sim", 'Ações'!BF89="sim"), 1, 0)
</f>
        <v>0</v>
      </c>
      <c r="Z86" s="319">
        <f>IF(AND('Ações'!AV89="sim", 'Ações'!BH89="sim"), 1, 0)
</f>
        <v>0</v>
      </c>
      <c r="AA86" s="319">
        <f>IF(AND('Ações'!AV89="sim", 'Ações'!BI89="sim"), 1, 0)
</f>
        <v>1</v>
      </c>
      <c r="AB86" s="319">
        <f>IF(AND('Ações'!AW89="sim", 'Ações'!BD89="sim"), 1, 0)
</f>
        <v>0</v>
      </c>
      <c r="AC86" s="319">
        <f>IF(AND('Ações'!AW89="sim", 'Ações'!BE89="sim"), 1, 0)
</f>
        <v>0</v>
      </c>
      <c r="AD86" s="319">
        <f>IF(AND('Ações'!AW89="sim", 'Ações'!BF89="sim"), 1, 0)
</f>
        <v>0</v>
      </c>
      <c r="AE86" s="319">
        <f>IF(AND('Ações'!AW89="sim", 'Ações'!BG89="sim"), 1, 0)
</f>
        <v>0</v>
      </c>
      <c r="AF86" s="319">
        <f>IF(AND('Ações'!AW89="sim", 'Ações'!BI89="sim"), 1, 0)
</f>
        <v>1</v>
      </c>
      <c r="AG86" s="319">
        <f>IF(AND('Ações'!AX89="sim", 'Ações'!BD89="sim"), 1, 0)
</f>
        <v>0</v>
      </c>
      <c r="AH86" s="319">
        <f>IF(AND('Ações'!AX89="sim", 'Ações'!BE89="sim"), 1, 0)
</f>
        <v>0</v>
      </c>
      <c r="AI86" s="319">
        <f>IF(AND('Ações'!AX89="sim", 'Ações'!BF89="sim"), 1, 0)
</f>
        <v>0</v>
      </c>
      <c r="AJ86" s="319">
        <f>IF(AND('Ações'!AX89="sim", 'Ações'!BG89="sim"), 1, 0)
</f>
        <v>0</v>
      </c>
      <c r="AK86" s="319">
        <f>IF(AND('Ações'!AX89="sim", 'Ações'!BH89="sim"), 1, 0)
</f>
        <v>0</v>
      </c>
    </row>
    <row r="87">
      <c r="B87" s="319">
        <f>IF(AND('Ações'!AS90="sim", 'Ações'!BD90="sim"), 1, 0)
</f>
        <v>0</v>
      </c>
      <c r="C87" s="319">
        <f>IF(AND('Ações'!AT90="sim", 'Ações'!BE90="sim"), 1, 0)
</f>
        <v>0</v>
      </c>
      <c r="D87" s="319">
        <f>IF(AND('Ações'!AU90="sim", 'Ações'!BF90="sim"), 1, 0)
</f>
        <v>0</v>
      </c>
      <c r="E87" s="319">
        <f>IF(AND('Ações'!AV90="sim", 'Ações'!BG90="sim"), 1, 0)
</f>
        <v>0</v>
      </c>
      <c r="F87" s="319">
        <f>IF(AND('Ações'!AW90="sim", 'Ações'!BH90="sim"), 1, 0)
</f>
        <v>0</v>
      </c>
      <c r="G87" s="319">
        <f>IF(AND('Ações'!AX90="sim", 'Ações'!BI90="sim"), 1, 0)
</f>
        <v>1</v>
      </c>
      <c r="H87" s="319">
        <f>IF(AND('Ações'!AS90="sim", 'Ações'!BE90="sim"), 1, 0)
</f>
        <v>0</v>
      </c>
      <c r="I87" s="319">
        <f>IF(AND('Ações'!AS90="sim", 'Ações'!BF90="sim"), 1, 0)
</f>
        <v>0</v>
      </c>
      <c r="J87" s="319">
        <f>IF(AND('Ações'!AS90="sim", 'Ações'!BG90="sim"), 1, 0)
</f>
        <v>0</v>
      </c>
      <c r="K87" s="319">
        <f>IF(AND('Ações'!AS90="sim", 'Ações'!BH90="sim"), 1, 0)
</f>
        <v>0</v>
      </c>
      <c r="L87" s="319">
        <f>IF(AND('Ações'!AS90="sim", 'Ações'!BI90="sim"), 1, 0)
</f>
        <v>1</v>
      </c>
      <c r="M87" s="319">
        <f>IF(AND('Ações'!AT90="sim", 'Ações'!BD90="sim"), 1, 0)
</f>
        <v>0</v>
      </c>
      <c r="N87" s="319">
        <f>IF(AND('Ações'!AT90="sim", 'Ações'!BF90="sim"), 1, 0)
</f>
        <v>0</v>
      </c>
      <c r="O87" s="319">
        <f>IF(AND('Ações'!AT90="sim", 'Ações'!BG90="sim"), 1, 0)
</f>
        <v>0</v>
      </c>
      <c r="P87" s="319">
        <f>IF(AND('Ações'!AT90="sim", 'Ações'!BH90="sim"), 1, 0)
</f>
        <v>0</v>
      </c>
      <c r="Q87" s="319">
        <f>IF(AND('Ações'!AT90="sim", 'Ações'!BI90="sim"), 1, 0)
</f>
        <v>1</v>
      </c>
      <c r="R87" s="319">
        <f>IF(AND('Ações'!AU90="sim", 'Ações'!BD90="sim"), 1, 0)
</f>
        <v>0</v>
      </c>
      <c r="S87" s="319">
        <f>IF(AND('Ações'!AU90="sim", 'Ações'!BE90="sim"), 1, 0)
</f>
        <v>0</v>
      </c>
      <c r="T87" s="319">
        <f>IF(AND('Ações'!AU90="sim", 'Ações'!BG90="sim"), 1, 0)
</f>
        <v>0</v>
      </c>
      <c r="U87" s="319">
        <f>IF(AND('Ações'!AU90="sim", 'Ações'!BH90="sim"), 1, 0)
</f>
        <v>0</v>
      </c>
      <c r="V87" s="319">
        <f>IF(AND('Ações'!AU90="sim", 'Ações'!BI90="sim"), 1, 0)
</f>
        <v>1</v>
      </c>
      <c r="W87" s="319">
        <f>IF(AND('Ações'!AV90="sim", 'Ações'!BD90="sim"), 1, 0)
</f>
        <v>0</v>
      </c>
      <c r="X87" s="319">
        <f>IF(AND('Ações'!AV90="sim", 'Ações'!BE90="sim"), 1, 0)
</f>
        <v>0</v>
      </c>
      <c r="Y87" s="319">
        <f>IF(AND('Ações'!AV90="sim", 'Ações'!BF90="sim"), 1, 0)
</f>
        <v>0</v>
      </c>
      <c r="Z87" s="319">
        <f>IF(AND('Ações'!AV90="sim", 'Ações'!BH90="sim"), 1, 0)
</f>
        <v>0</v>
      </c>
      <c r="AA87" s="319">
        <f>IF(AND('Ações'!AV90="sim", 'Ações'!BI90="sim"), 1, 0)
</f>
        <v>1</v>
      </c>
      <c r="AB87" s="319">
        <f>IF(AND('Ações'!AW90="sim", 'Ações'!BD90="sim"), 1, 0)
</f>
        <v>0</v>
      </c>
      <c r="AC87" s="319">
        <f>IF(AND('Ações'!AW90="sim", 'Ações'!BE90="sim"), 1, 0)
</f>
        <v>0</v>
      </c>
      <c r="AD87" s="319">
        <f>IF(AND('Ações'!AW90="sim", 'Ações'!BF90="sim"), 1, 0)
</f>
        <v>0</v>
      </c>
      <c r="AE87" s="319">
        <f>IF(AND('Ações'!AW90="sim", 'Ações'!BG90="sim"), 1, 0)
</f>
        <v>0</v>
      </c>
      <c r="AF87" s="319">
        <f>IF(AND('Ações'!AW90="sim", 'Ações'!BI90="sim"), 1, 0)
</f>
        <v>1</v>
      </c>
      <c r="AG87" s="319">
        <f>IF(AND('Ações'!AX90="sim", 'Ações'!BD90="sim"), 1, 0)
</f>
        <v>0</v>
      </c>
      <c r="AH87" s="319">
        <f>IF(AND('Ações'!AX90="sim", 'Ações'!BE90="sim"), 1, 0)
</f>
        <v>0</v>
      </c>
      <c r="AI87" s="319">
        <f>IF(AND('Ações'!AX90="sim", 'Ações'!BF90="sim"), 1, 0)
</f>
        <v>0</v>
      </c>
      <c r="AJ87" s="319">
        <f>IF(AND('Ações'!AX90="sim", 'Ações'!BG90="sim"), 1, 0)
</f>
        <v>0</v>
      </c>
      <c r="AK87" s="319">
        <f>IF(AND('Ações'!AX90="sim", 'Ações'!BH90="sim"), 1, 0)
</f>
        <v>0</v>
      </c>
    </row>
    <row r="88">
      <c r="B88" s="319">
        <f>IF(AND('Ações'!AS91="sim", 'Ações'!BD91="sim"), 1, 0)
</f>
        <v>0</v>
      </c>
      <c r="C88" s="319">
        <f>IF(AND('Ações'!AT91="sim", 'Ações'!BE91="sim"), 1, 0)
</f>
        <v>0</v>
      </c>
      <c r="D88" s="319">
        <f>IF(AND('Ações'!AU91="sim", 'Ações'!BF91="sim"), 1, 0)
</f>
        <v>0</v>
      </c>
      <c r="E88" s="319">
        <f>IF(AND('Ações'!AV91="sim", 'Ações'!BG91="sim"), 1, 0)
</f>
        <v>0</v>
      </c>
      <c r="F88" s="319">
        <f>IF(AND('Ações'!AW91="sim", 'Ações'!BH91="sim"), 1, 0)
</f>
        <v>0</v>
      </c>
      <c r="G88" s="319">
        <f>IF(AND('Ações'!AX91="sim", 'Ações'!BI91="sim"), 1, 0)
</f>
        <v>1</v>
      </c>
      <c r="H88" s="319">
        <f>IF(AND('Ações'!AS91="sim", 'Ações'!BE91="sim"), 1, 0)
</f>
        <v>0</v>
      </c>
      <c r="I88" s="319">
        <f>IF(AND('Ações'!AS91="sim", 'Ações'!BF91="sim"), 1, 0)
</f>
        <v>0</v>
      </c>
      <c r="J88" s="319">
        <f>IF(AND('Ações'!AS91="sim", 'Ações'!BG91="sim"), 1, 0)
</f>
        <v>0</v>
      </c>
      <c r="K88" s="319">
        <f>IF(AND('Ações'!AS91="sim", 'Ações'!BH91="sim"), 1, 0)
</f>
        <v>0</v>
      </c>
      <c r="L88" s="319">
        <f>IF(AND('Ações'!AS91="sim", 'Ações'!BI91="sim"), 1, 0)
</f>
        <v>1</v>
      </c>
      <c r="M88" s="319">
        <f>IF(AND('Ações'!AT91="sim", 'Ações'!BD91="sim"), 1, 0)
</f>
        <v>0</v>
      </c>
      <c r="N88" s="319">
        <f>IF(AND('Ações'!AT91="sim", 'Ações'!BF91="sim"), 1, 0)
</f>
        <v>0</v>
      </c>
      <c r="O88" s="319">
        <f>IF(AND('Ações'!AT91="sim", 'Ações'!BG91="sim"), 1, 0)
</f>
        <v>0</v>
      </c>
      <c r="P88" s="319">
        <f>IF(AND('Ações'!AT91="sim", 'Ações'!BH91="sim"), 1, 0)
</f>
        <v>0</v>
      </c>
      <c r="Q88" s="319">
        <f>IF(AND('Ações'!AT91="sim", 'Ações'!BI91="sim"), 1, 0)
</f>
        <v>1</v>
      </c>
      <c r="R88" s="319">
        <f>IF(AND('Ações'!AU91="sim", 'Ações'!BD91="sim"), 1, 0)
</f>
        <v>0</v>
      </c>
      <c r="S88" s="319">
        <f>IF(AND('Ações'!AU91="sim", 'Ações'!BE91="sim"), 1, 0)
</f>
        <v>0</v>
      </c>
      <c r="T88" s="319">
        <f>IF(AND('Ações'!AU91="sim", 'Ações'!BG91="sim"), 1, 0)
</f>
        <v>0</v>
      </c>
      <c r="U88" s="319">
        <f>IF(AND('Ações'!AU91="sim", 'Ações'!BH91="sim"), 1, 0)
</f>
        <v>0</v>
      </c>
      <c r="V88" s="319">
        <f>IF(AND('Ações'!AU91="sim", 'Ações'!BI91="sim"), 1, 0)
</f>
        <v>1</v>
      </c>
      <c r="W88" s="319">
        <f>IF(AND('Ações'!AV91="sim", 'Ações'!BD91="sim"), 1, 0)
</f>
        <v>0</v>
      </c>
      <c r="X88" s="319">
        <f>IF(AND('Ações'!AV91="sim", 'Ações'!BE91="sim"), 1, 0)
</f>
        <v>0</v>
      </c>
      <c r="Y88" s="319">
        <f>IF(AND('Ações'!AV91="sim", 'Ações'!BF91="sim"), 1, 0)
</f>
        <v>0</v>
      </c>
      <c r="Z88" s="319">
        <f>IF(AND('Ações'!AV91="sim", 'Ações'!BH91="sim"), 1, 0)
</f>
        <v>0</v>
      </c>
      <c r="AA88" s="319">
        <f>IF(AND('Ações'!AV91="sim", 'Ações'!BI91="sim"), 1, 0)
</f>
        <v>1</v>
      </c>
      <c r="AB88" s="319">
        <f>IF(AND('Ações'!AW91="sim", 'Ações'!BD91="sim"), 1, 0)
</f>
        <v>0</v>
      </c>
      <c r="AC88" s="319">
        <f>IF(AND('Ações'!AW91="sim", 'Ações'!BE91="sim"), 1, 0)
</f>
        <v>0</v>
      </c>
      <c r="AD88" s="319">
        <f>IF(AND('Ações'!AW91="sim", 'Ações'!BF91="sim"), 1, 0)
</f>
        <v>0</v>
      </c>
      <c r="AE88" s="319">
        <f>IF(AND('Ações'!AW91="sim", 'Ações'!BG91="sim"), 1, 0)
</f>
        <v>0</v>
      </c>
      <c r="AF88" s="319">
        <f>IF(AND('Ações'!AW91="sim", 'Ações'!BI91="sim"), 1, 0)
</f>
        <v>1</v>
      </c>
      <c r="AG88" s="319">
        <f>IF(AND('Ações'!AX91="sim", 'Ações'!BD91="sim"), 1, 0)
</f>
        <v>0</v>
      </c>
      <c r="AH88" s="319">
        <f>IF(AND('Ações'!AX91="sim", 'Ações'!BE91="sim"), 1, 0)
</f>
        <v>0</v>
      </c>
      <c r="AI88" s="319">
        <f>IF(AND('Ações'!AX91="sim", 'Ações'!BF91="sim"), 1, 0)
</f>
        <v>0</v>
      </c>
      <c r="AJ88" s="319">
        <f>IF(AND('Ações'!AX91="sim", 'Ações'!BG91="sim"), 1, 0)
</f>
        <v>0</v>
      </c>
      <c r="AK88" s="319">
        <f>IF(AND('Ações'!AX91="sim", 'Ações'!BH91="sim"), 1, 0)
</f>
        <v>0</v>
      </c>
    </row>
    <row r="89">
      <c r="B89" s="319">
        <f>IF(AND('Ações'!AS92="sim", 'Ações'!BD92="sim"), 1, 0)
</f>
        <v>0</v>
      </c>
      <c r="C89" s="319">
        <f>IF(AND('Ações'!AT92="sim", 'Ações'!BE92="sim"), 1, 0)
</f>
        <v>0</v>
      </c>
      <c r="D89" s="319">
        <f>IF(AND('Ações'!AU92="sim", 'Ações'!BF92="sim"), 1, 0)
</f>
        <v>0</v>
      </c>
      <c r="E89" s="319">
        <f>IF(AND('Ações'!AV92="sim", 'Ações'!BG92="sim"), 1, 0)
</f>
        <v>0</v>
      </c>
      <c r="F89" s="319">
        <f>IF(AND('Ações'!AW92="sim", 'Ações'!BH92="sim"), 1, 0)
</f>
        <v>0</v>
      </c>
      <c r="G89" s="319">
        <f>IF(AND('Ações'!AX92="sim", 'Ações'!BI92="sim"), 1, 0)
</f>
        <v>0</v>
      </c>
      <c r="H89" s="319">
        <f>IF(AND('Ações'!AS92="sim", 'Ações'!BE92="sim"), 1, 0)
</f>
        <v>0</v>
      </c>
      <c r="I89" s="319">
        <f>IF(AND('Ações'!AS92="sim", 'Ações'!BF92="sim"), 1, 0)
</f>
        <v>0</v>
      </c>
      <c r="J89" s="319">
        <f>IF(AND('Ações'!AS92="sim", 'Ações'!BG92="sim"), 1, 0)
</f>
        <v>0</v>
      </c>
      <c r="K89" s="319">
        <f>IF(AND('Ações'!AS92="sim", 'Ações'!BH92="sim"), 1, 0)
</f>
        <v>0</v>
      </c>
      <c r="L89" s="319">
        <f>IF(AND('Ações'!AS92="sim", 'Ações'!BI92="sim"), 1, 0)
</f>
        <v>0</v>
      </c>
      <c r="M89" s="319">
        <f>IF(AND('Ações'!AT92="sim", 'Ações'!BD92="sim"), 1, 0)
</f>
        <v>0</v>
      </c>
      <c r="N89" s="319">
        <f>IF(AND('Ações'!AT92="sim", 'Ações'!BF92="sim"), 1, 0)
</f>
        <v>0</v>
      </c>
      <c r="O89" s="319">
        <f>IF(AND('Ações'!AT92="sim", 'Ações'!BG92="sim"), 1, 0)
</f>
        <v>0</v>
      </c>
      <c r="P89" s="319">
        <f>IF(AND('Ações'!AT92="sim", 'Ações'!BH92="sim"), 1, 0)
</f>
        <v>0</v>
      </c>
      <c r="Q89" s="319">
        <f>IF(AND('Ações'!AT92="sim", 'Ações'!BI92="sim"), 1, 0)
</f>
        <v>0</v>
      </c>
      <c r="R89" s="319">
        <f>IF(AND('Ações'!AU92="sim", 'Ações'!BD92="sim"), 1, 0)
</f>
        <v>0</v>
      </c>
      <c r="S89" s="319">
        <f>IF(AND('Ações'!AU92="sim", 'Ações'!BE92="sim"), 1, 0)
</f>
        <v>0</v>
      </c>
      <c r="T89" s="319">
        <f>IF(AND('Ações'!AU92="sim", 'Ações'!BG92="sim"), 1, 0)
</f>
        <v>0</v>
      </c>
      <c r="U89" s="319">
        <f>IF(AND('Ações'!AU92="sim", 'Ações'!BH92="sim"), 1, 0)
</f>
        <v>0</v>
      </c>
      <c r="V89" s="319">
        <f>IF(AND('Ações'!AU92="sim", 'Ações'!BI92="sim"), 1, 0)
</f>
        <v>0</v>
      </c>
      <c r="W89" s="319">
        <f>IF(AND('Ações'!AV92="sim", 'Ações'!BD92="sim"), 1, 0)
</f>
        <v>0</v>
      </c>
      <c r="X89" s="319">
        <f>IF(AND('Ações'!AV92="sim", 'Ações'!BE92="sim"), 1, 0)
</f>
        <v>0</v>
      </c>
      <c r="Y89" s="319">
        <f>IF(AND('Ações'!AV92="sim", 'Ações'!BF92="sim"), 1, 0)
</f>
        <v>0</v>
      </c>
      <c r="Z89" s="319">
        <f>IF(AND('Ações'!AV92="sim", 'Ações'!BH92="sim"), 1, 0)
</f>
        <v>0</v>
      </c>
      <c r="AA89" s="319">
        <f>IF(AND('Ações'!AV92="sim", 'Ações'!BI92="sim"), 1, 0)
</f>
        <v>0</v>
      </c>
      <c r="AB89" s="319">
        <f>IF(AND('Ações'!AW92="sim", 'Ações'!BD92="sim"), 1, 0)
</f>
        <v>0</v>
      </c>
      <c r="AC89" s="319">
        <f>IF(AND('Ações'!AW92="sim", 'Ações'!BE92="sim"), 1, 0)
</f>
        <v>0</v>
      </c>
      <c r="AD89" s="319">
        <f>IF(AND('Ações'!AW92="sim", 'Ações'!BF92="sim"), 1, 0)
</f>
        <v>0</v>
      </c>
      <c r="AE89" s="319">
        <f>IF(AND('Ações'!AW92="sim", 'Ações'!BG92="sim"), 1, 0)
</f>
        <v>0</v>
      </c>
      <c r="AF89" s="319">
        <f>IF(AND('Ações'!AW92="sim", 'Ações'!BI92="sim"), 1, 0)
</f>
        <v>0</v>
      </c>
      <c r="AG89" s="319">
        <f>IF(AND('Ações'!AX92="sim", 'Ações'!BD92="sim"), 1, 0)
</f>
        <v>0</v>
      </c>
      <c r="AH89" s="319">
        <f>IF(AND('Ações'!AX92="sim", 'Ações'!BE92="sim"), 1, 0)
</f>
        <v>0</v>
      </c>
      <c r="AI89" s="319">
        <f>IF(AND('Ações'!AX92="sim", 'Ações'!BF92="sim"), 1, 0)
</f>
        <v>0</v>
      </c>
      <c r="AJ89" s="319">
        <f>IF(AND('Ações'!AX92="sim", 'Ações'!BG92="sim"), 1, 0)
</f>
        <v>0</v>
      </c>
      <c r="AK89" s="319">
        <f>IF(AND('Ações'!AX92="sim", 'Ações'!BH92="sim"), 1, 0)
</f>
        <v>0</v>
      </c>
    </row>
    <row r="90">
      <c r="B90" s="319">
        <f>IF(AND('Ações'!AS93="sim", 'Ações'!BD93="sim"), 1, 0)
</f>
        <v>0</v>
      </c>
      <c r="C90" s="319">
        <f>IF(AND('Ações'!AT93="sim", 'Ações'!BE93="sim"), 1, 0)
</f>
        <v>0</v>
      </c>
      <c r="D90" s="319">
        <f>IF(AND('Ações'!AU93="sim", 'Ações'!BF93="sim"), 1, 0)
</f>
        <v>0</v>
      </c>
      <c r="E90" s="319">
        <f>IF(AND('Ações'!AV93="sim", 'Ações'!BG93="sim"), 1, 0)
</f>
        <v>0</v>
      </c>
      <c r="F90" s="319">
        <f>IF(AND('Ações'!AW93="sim", 'Ações'!BH93="sim"), 1, 0)
</f>
        <v>0</v>
      </c>
      <c r="G90" s="319">
        <f>IF(AND('Ações'!AX93="sim", 'Ações'!BI93="sim"), 1, 0)
</f>
        <v>1</v>
      </c>
      <c r="H90" s="319">
        <f>IF(AND('Ações'!AS93="sim", 'Ações'!BE93="sim"), 1, 0)
</f>
        <v>0</v>
      </c>
      <c r="I90" s="319">
        <f>IF(AND('Ações'!AS93="sim", 'Ações'!BF93="sim"), 1, 0)
</f>
        <v>0</v>
      </c>
      <c r="J90" s="319">
        <f>IF(AND('Ações'!AS93="sim", 'Ações'!BG93="sim"), 1, 0)
</f>
        <v>0</v>
      </c>
      <c r="K90" s="319">
        <f>IF(AND('Ações'!AS93="sim", 'Ações'!BH93="sim"), 1, 0)
</f>
        <v>0</v>
      </c>
      <c r="L90" s="319">
        <f>IF(AND('Ações'!AS93="sim", 'Ações'!BI93="sim"), 1, 0)
</f>
        <v>1</v>
      </c>
      <c r="M90" s="319">
        <f>IF(AND('Ações'!AT93="sim", 'Ações'!BD93="sim"), 1, 0)
</f>
        <v>0</v>
      </c>
      <c r="N90" s="319">
        <f>IF(AND('Ações'!AT93="sim", 'Ações'!BF93="sim"), 1, 0)
</f>
        <v>0</v>
      </c>
      <c r="O90" s="319">
        <f>IF(AND('Ações'!AT93="sim", 'Ações'!BG93="sim"), 1, 0)
</f>
        <v>0</v>
      </c>
      <c r="P90" s="319">
        <f>IF(AND('Ações'!AT93="sim", 'Ações'!BH93="sim"), 1, 0)
</f>
        <v>0</v>
      </c>
      <c r="Q90" s="319">
        <f>IF(AND('Ações'!AT93="sim", 'Ações'!BI93="sim"), 1, 0)
</f>
        <v>1</v>
      </c>
      <c r="R90" s="319">
        <f>IF(AND('Ações'!AU93="sim", 'Ações'!BD93="sim"), 1, 0)
</f>
        <v>0</v>
      </c>
      <c r="S90" s="319">
        <f>IF(AND('Ações'!AU93="sim", 'Ações'!BE93="sim"), 1, 0)
</f>
        <v>0</v>
      </c>
      <c r="T90" s="319">
        <f>IF(AND('Ações'!AU93="sim", 'Ações'!BG93="sim"), 1, 0)
</f>
        <v>0</v>
      </c>
      <c r="U90" s="319">
        <f>IF(AND('Ações'!AU93="sim", 'Ações'!BH93="sim"), 1, 0)
</f>
        <v>0</v>
      </c>
      <c r="V90" s="319">
        <f>IF(AND('Ações'!AU93="sim", 'Ações'!BI93="sim"), 1, 0)
</f>
        <v>1</v>
      </c>
      <c r="W90" s="319">
        <f>IF(AND('Ações'!AV93="sim", 'Ações'!BD93="sim"), 1, 0)
</f>
        <v>0</v>
      </c>
      <c r="X90" s="319">
        <f>IF(AND('Ações'!AV93="sim", 'Ações'!BE93="sim"), 1, 0)
</f>
        <v>0</v>
      </c>
      <c r="Y90" s="319">
        <f>IF(AND('Ações'!AV93="sim", 'Ações'!BF93="sim"), 1, 0)
</f>
        <v>0</v>
      </c>
      <c r="Z90" s="319">
        <f>IF(AND('Ações'!AV93="sim", 'Ações'!BH93="sim"), 1, 0)
</f>
        <v>0</v>
      </c>
      <c r="AA90" s="319">
        <f>IF(AND('Ações'!AV93="sim", 'Ações'!BI93="sim"), 1, 0)
</f>
        <v>1</v>
      </c>
      <c r="AB90" s="319">
        <f>IF(AND('Ações'!AW93="sim", 'Ações'!BD93="sim"), 1, 0)
</f>
        <v>0</v>
      </c>
      <c r="AC90" s="319">
        <f>IF(AND('Ações'!AW93="sim", 'Ações'!BE93="sim"), 1, 0)
</f>
        <v>0</v>
      </c>
      <c r="AD90" s="319">
        <f>IF(AND('Ações'!AW93="sim", 'Ações'!BF93="sim"), 1, 0)
</f>
        <v>0</v>
      </c>
      <c r="AE90" s="319">
        <f>IF(AND('Ações'!AW93="sim", 'Ações'!BG93="sim"), 1, 0)
</f>
        <v>0</v>
      </c>
      <c r="AF90" s="319">
        <f>IF(AND('Ações'!AW93="sim", 'Ações'!BI93="sim"), 1, 0)
</f>
        <v>1</v>
      </c>
      <c r="AG90" s="319">
        <f>IF(AND('Ações'!AX93="sim", 'Ações'!BD93="sim"), 1, 0)
</f>
        <v>0</v>
      </c>
      <c r="AH90" s="319">
        <f>IF(AND('Ações'!AX93="sim", 'Ações'!BE93="sim"), 1, 0)
</f>
        <v>0</v>
      </c>
      <c r="AI90" s="319">
        <f>IF(AND('Ações'!AX93="sim", 'Ações'!BF93="sim"), 1, 0)
</f>
        <v>0</v>
      </c>
      <c r="AJ90" s="319">
        <f>IF(AND('Ações'!AX93="sim", 'Ações'!BG93="sim"), 1, 0)
</f>
        <v>0</v>
      </c>
      <c r="AK90" s="319">
        <f>IF(AND('Ações'!AX93="sim", 'Ações'!BH93="sim"), 1, 0)
</f>
        <v>0</v>
      </c>
    </row>
    <row r="91">
      <c r="B91" s="319">
        <f>IF(AND('Ações'!AS94="sim", 'Ações'!BD94="sim"), 1, 0)
</f>
        <v>0</v>
      </c>
      <c r="C91" s="319">
        <f>IF(AND('Ações'!AT94="sim", 'Ações'!BE94="sim"), 1, 0)
</f>
        <v>0</v>
      </c>
      <c r="D91" s="319">
        <f>IF(AND('Ações'!AU94="sim", 'Ações'!BF94="sim"), 1, 0)
</f>
        <v>0</v>
      </c>
      <c r="E91" s="319">
        <f>IF(AND('Ações'!AV94="sim", 'Ações'!BG94="sim"), 1, 0)
</f>
        <v>0</v>
      </c>
      <c r="F91" s="319">
        <f>IF(AND('Ações'!AW94="sim", 'Ações'!BH94="sim"), 1, 0)
</f>
        <v>0</v>
      </c>
      <c r="G91" s="319">
        <f>IF(AND('Ações'!AX94="sim", 'Ações'!BI94="sim"), 1, 0)
</f>
        <v>1</v>
      </c>
      <c r="H91" s="319">
        <f>IF(AND('Ações'!AS94="sim", 'Ações'!BE94="sim"), 1, 0)
</f>
        <v>0</v>
      </c>
      <c r="I91" s="319">
        <f>IF(AND('Ações'!AS94="sim", 'Ações'!BF94="sim"), 1, 0)
</f>
        <v>0</v>
      </c>
      <c r="J91" s="319">
        <f>IF(AND('Ações'!AS94="sim", 'Ações'!BG94="sim"), 1, 0)
</f>
        <v>0</v>
      </c>
      <c r="K91" s="319">
        <f>IF(AND('Ações'!AS94="sim", 'Ações'!BH94="sim"), 1, 0)
</f>
        <v>0</v>
      </c>
      <c r="L91" s="319">
        <f>IF(AND('Ações'!AS94="sim", 'Ações'!BI94="sim"), 1, 0)
</f>
        <v>1</v>
      </c>
      <c r="M91" s="319">
        <f>IF(AND('Ações'!AT94="sim", 'Ações'!BD94="sim"), 1, 0)
</f>
        <v>0</v>
      </c>
      <c r="N91" s="319">
        <f>IF(AND('Ações'!AT94="sim", 'Ações'!BF94="sim"), 1, 0)
</f>
        <v>0</v>
      </c>
      <c r="O91" s="319">
        <f>IF(AND('Ações'!AT94="sim", 'Ações'!BG94="sim"), 1, 0)
</f>
        <v>0</v>
      </c>
      <c r="P91" s="319">
        <f>IF(AND('Ações'!AT94="sim", 'Ações'!BH94="sim"), 1, 0)
</f>
        <v>0</v>
      </c>
      <c r="Q91" s="319">
        <f>IF(AND('Ações'!AT94="sim", 'Ações'!BI94="sim"), 1, 0)
</f>
        <v>1</v>
      </c>
      <c r="R91" s="319">
        <f>IF(AND('Ações'!AU94="sim", 'Ações'!BD94="sim"), 1, 0)
</f>
        <v>0</v>
      </c>
      <c r="S91" s="319">
        <f>IF(AND('Ações'!AU94="sim", 'Ações'!BE94="sim"), 1, 0)
</f>
        <v>0</v>
      </c>
      <c r="T91" s="319">
        <f>IF(AND('Ações'!AU94="sim", 'Ações'!BG94="sim"), 1, 0)
</f>
        <v>0</v>
      </c>
      <c r="U91" s="319">
        <f>IF(AND('Ações'!AU94="sim", 'Ações'!BH94="sim"), 1, 0)
</f>
        <v>0</v>
      </c>
      <c r="V91" s="319">
        <f>IF(AND('Ações'!AU94="sim", 'Ações'!BI94="sim"), 1, 0)
</f>
        <v>1</v>
      </c>
      <c r="W91" s="319">
        <f>IF(AND('Ações'!AV94="sim", 'Ações'!BD94="sim"), 1, 0)
</f>
        <v>0</v>
      </c>
      <c r="X91" s="319">
        <f>IF(AND('Ações'!AV94="sim", 'Ações'!BE94="sim"), 1, 0)
</f>
        <v>0</v>
      </c>
      <c r="Y91" s="319">
        <f>IF(AND('Ações'!AV94="sim", 'Ações'!BF94="sim"), 1, 0)
</f>
        <v>0</v>
      </c>
      <c r="Z91" s="319">
        <f>IF(AND('Ações'!AV94="sim", 'Ações'!BH94="sim"), 1, 0)
</f>
        <v>0</v>
      </c>
      <c r="AA91" s="319">
        <f>IF(AND('Ações'!AV94="sim", 'Ações'!BI94="sim"), 1, 0)
</f>
        <v>1</v>
      </c>
      <c r="AB91" s="319">
        <f>IF(AND('Ações'!AW94="sim", 'Ações'!BD94="sim"), 1, 0)
</f>
        <v>0</v>
      </c>
      <c r="AC91" s="319">
        <f>IF(AND('Ações'!AW94="sim", 'Ações'!BE94="sim"), 1, 0)
</f>
        <v>0</v>
      </c>
      <c r="AD91" s="319">
        <f>IF(AND('Ações'!AW94="sim", 'Ações'!BF94="sim"), 1, 0)
</f>
        <v>0</v>
      </c>
      <c r="AE91" s="319">
        <f>IF(AND('Ações'!AW94="sim", 'Ações'!BG94="sim"), 1, 0)
</f>
        <v>0</v>
      </c>
      <c r="AF91" s="319">
        <f>IF(AND('Ações'!AW94="sim", 'Ações'!BI94="sim"), 1, 0)
</f>
        <v>1</v>
      </c>
      <c r="AG91" s="319">
        <f>IF(AND('Ações'!AX94="sim", 'Ações'!BD94="sim"), 1, 0)
</f>
        <v>0</v>
      </c>
      <c r="AH91" s="319">
        <f>IF(AND('Ações'!AX94="sim", 'Ações'!BE94="sim"), 1, 0)
</f>
        <v>0</v>
      </c>
      <c r="AI91" s="319">
        <f>IF(AND('Ações'!AX94="sim", 'Ações'!BF94="sim"), 1, 0)
</f>
        <v>0</v>
      </c>
      <c r="AJ91" s="319">
        <f>IF(AND('Ações'!AX94="sim", 'Ações'!BG94="sim"), 1, 0)
</f>
        <v>0</v>
      </c>
      <c r="AK91" s="319">
        <f>IF(AND('Ações'!AX94="sim", 'Ações'!BH94="sim"), 1, 0)
</f>
        <v>0</v>
      </c>
    </row>
    <row r="92">
      <c r="B92" s="319">
        <f>IF(AND('Ações'!AS95="sim", 'Ações'!BD95="sim"), 1, 0)
</f>
        <v>0</v>
      </c>
      <c r="C92" s="319">
        <f>IF(AND('Ações'!AT95="sim", 'Ações'!BE95="sim"), 1, 0)
</f>
        <v>0</v>
      </c>
      <c r="D92" s="319">
        <f>IF(AND('Ações'!AU95="sim", 'Ações'!BF95="sim"), 1, 0)
</f>
        <v>0</v>
      </c>
      <c r="E92" s="319">
        <f>IF(AND('Ações'!AV95="sim", 'Ações'!BG95="sim"), 1, 0)
</f>
        <v>0</v>
      </c>
      <c r="F92" s="319">
        <f>IF(AND('Ações'!AW95="sim", 'Ações'!BH95="sim"), 1, 0)
</f>
        <v>0</v>
      </c>
      <c r="G92" s="319">
        <f>IF(AND('Ações'!AX95="sim", 'Ações'!BI95="sim"), 1, 0)
</f>
        <v>1</v>
      </c>
      <c r="H92" s="319">
        <f>IF(AND('Ações'!AS95="sim", 'Ações'!BE95="sim"), 1, 0)
</f>
        <v>0</v>
      </c>
      <c r="I92" s="319">
        <f>IF(AND('Ações'!AS95="sim", 'Ações'!BF95="sim"), 1, 0)
</f>
        <v>0</v>
      </c>
      <c r="J92" s="319">
        <f>IF(AND('Ações'!AS95="sim", 'Ações'!BG95="sim"), 1, 0)
</f>
        <v>0</v>
      </c>
      <c r="K92" s="319">
        <f>IF(AND('Ações'!AS95="sim", 'Ações'!BH95="sim"), 1, 0)
</f>
        <v>0</v>
      </c>
      <c r="L92" s="319">
        <f>IF(AND('Ações'!AS95="sim", 'Ações'!BI95="sim"), 1, 0)
</f>
        <v>1</v>
      </c>
      <c r="M92" s="319">
        <f>IF(AND('Ações'!AT95="sim", 'Ações'!BD95="sim"), 1, 0)
</f>
        <v>0</v>
      </c>
      <c r="N92" s="319">
        <f>IF(AND('Ações'!AT95="sim", 'Ações'!BF95="sim"), 1, 0)
</f>
        <v>0</v>
      </c>
      <c r="O92" s="319">
        <f>IF(AND('Ações'!AT95="sim", 'Ações'!BG95="sim"), 1, 0)
</f>
        <v>0</v>
      </c>
      <c r="P92" s="319">
        <f>IF(AND('Ações'!AT95="sim", 'Ações'!BH95="sim"), 1, 0)
</f>
        <v>0</v>
      </c>
      <c r="Q92" s="319">
        <f>IF(AND('Ações'!AT95="sim", 'Ações'!BI95="sim"), 1, 0)
</f>
        <v>1</v>
      </c>
      <c r="R92" s="319">
        <f>IF(AND('Ações'!AU95="sim", 'Ações'!BD95="sim"), 1, 0)
</f>
        <v>0</v>
      </c>
      <c r="S92" s="319">
        <f>IF(AND('Ações'!AU95="sim", 'Ações'!BE95="sim"), 1, 0)
</f>
        <v>0</v>
      </c>
      <c r="T92" s="319">
        <f>IF(AND('Ações'!AU95="sim", 'Ações'!BG95="sim"), 1, 0)
</f>
        <v>0</v>
      </c>
      <c r="U92" s="319">
        <f>IF(AND('Ações'!AU95="sim", 'Ações'!BH95="sim"), 1, 0)
</f>
        <v>0</v>
      </c>
      <c r="V92" s="319">
        <f>IF(AND('Ações'!AU95="sim", 'Ações'!BI95="sim"), 1, 0)
</f>
        <v>1</v>
      </c>
      <c r="W92" s="319">
        <f>IF(AND('Ações'!AV95="sim", 'Ações'!BD95="sim"), 1, 0)
</f>
        <v>0</v>
      </c>
      <c r="X92" s="319">
        <f>IF(AND('Ações'!AV95="sim", 'Ações'!BE95="sim"), 1, 0)
</f>
        <v>0</v>
      </c>
      <c r="Y92" s="319">
        <f>IF(AND('Ações'!AV95="sim", 'Ações'!BF95="sim"), 1, 0)
</f>
        <v>0</v>
      </c>
      <c r="Z92" s="319">
        <f>IF(AND('Ações'!AV95="sim", 'Ações'!BH95="sim"), 1, 0)
</f>
        <v>0</v>
      </c>
      <c r="AA92" s="319">
        <f>IF(AND('Ações'!AV95="sim", 'Ações'!BI95="sim"), 1, 0)
</f>
        <v>1</v>
      </c>
      <c r="AB92" s="319">
        <f>IF(AND('Ações'!AW95="sim", 'Ações'!BD95="sim"), 1, 0)
</f>
        <v>0</v>
      </c>
      <c r="AC92" s="319">
        <f>IF(AND('Ações'!AW95="sim", 'Ações'!BE95="sim"), 1, 0)
</f>
        <v>0</v>
      </c>
      <c r="AD92" s="319">
        <f>IF(AND('Ações'!AW95="sim", 'Ações'!BF95="sim"), 1, 0)
</f>
        <v>0</v>
      </c>
      <c r="AE92" s="319">
        <f>IF(AND('Ações'!AW95="sim", 'Ações'!BG95="sim"), 1, 0)
</f>
        <v>0</v>
      </c>
      <c r="AF92" s="319">
        <f>IF(AND('Ações'!AW95="sim", 'Ações'!BI95="sim"), 1, 0)
</f>
        <v>1</v>
      </c>
      <c r="AG92" s="319">
        <f>IF(AND('Ações'!AX95="sim", 'Ações'!BD95="sim"), 1, 0)
</f>
        <v>0</v>
      </c>
      <c r="AH92" s="319">
        <f>IF(AND('Ações'!AX95="sim", 'Ações'!BE95="sim"), 1, 0)
</f>
        <v>0</v>
      </c>
      <c r="AI92" s="319">
        <f>IF(AND('Ações'!AX95="sim", 'Ações'!BF95="sim"), 1, 0)
</f>
        <v>0</v>
      </c>
      <c r="AJ92" s="319">
        <f>IF(AND('Ações'!AX95="sim", 'Ações'!BG95="sim"), 1, 0)
</f>
        <v>0</v>
      </c>
      <c r="AK92" s="319">
        <f>IF(AND('Ações'!AX95="sim", 'Ações'!BH95="sim"), 1, 0)
</f>
        <v>0</v>
      </c>
    </row>
    <row r="93">
      <c r="B93" s="319">
        <f>IF(AND('Ações'!AS96="sim", 'Ações'!BD96="sim"), 1, 0)
</f>
        <v>1</v>
      </c>
      <c r="C93" s="319">
        <f>IF(AND('Ações'!AT96="sim", 'Ações'!BE96="sim"), 1, 0)
</f>
        <v>0</v>
      </c>
      <c r="D93" s="319">
        <f>IF(AND('Ações'!AU96="sim", 'Ações'!BF96="sim"), 1, 0)
</f>
        <v>0</v>
      </c>
      <c r="E93" s="319">
        <f>IF(AND('Ações'!AV96="sim", 'Ações'!BG96="sim"), 1, 0)
</f>
        <v>0</v>
      </c>
      <c r="F93" s="319">
        <f>IF(AND('Ações'!AW96="sim", 'Ações'!BH96="sim"), 1, 0)
</f>
        <v>0</v>
      </c>
      <c r="G93" s="319">
        <f>IF(AND('Ações'!AX96="sim", 'Ações'!BI96="sim"), 1, 0)
</f>
        <v>1</v>
      </c>
      <c r="H93" s="319">
        <f>IF(AND('Ações'!AS96="sim", 'Ações'!BE96="sim"), 1, 0)
</f>
        <v>0</v>
      </c>
      <c r="I93" s="319">
        <f>IF(AND('Ações'!AS96="sim", 'Ações'!BF96="sim"), 1, 0)
</f>
        <v>0</v>
      </c>
      <c r="J93" s="319">
        <f>IF(AND('Ações'!AS96="sim", 'Ações'!BG96="sim"), 1, 0)
</f>
        <v>0</v>
      </c>
      <c r="K93" s="319">
        <f>IF(AND('Ações'!AS96="sim", 'Ações'!BH96="sim"), 1, 0)
</f>
        <v>0</v>
      </c>
      <c r="L93" s="319">
        <f>IF(AND('Ações'!AS96="sim", 'Ações'!BI96="sim"), 1, 0)
</f>
        <v>1</v>
      </c>
      <c r="M93" s="319">
        <f>IF(AND('Ações'!AT96="sim", 'Ações'!BD96="sim"), 1, 0)
</f>
        <v>1</v>
      </c>
      <c r="N93" s="319">
        <f>IF(AND('Ações'!AT96="sim", 'Ações'!BF96="sim"), 1, 0)
</f>
        <v>0</v>
      </c>
      <c r="O93" s="319">
        <f>IF(AND('Ações'!AT96="sim", 'Ações'!BG96="sim"), 1, 0)
</f>
        <v>0</v>
      </c>
      <c r="P93" s="319">
        <f>IF(AND('Ações'!AT96="sim", 'Ações'!BH96="sim"), 1, 0)
</f>
        <v>0</v>
      </c>
      <c r="Q93" s="319">
        <f>IF(AND('Ações'!AT96="sim", 'Ações'!BI96="sim"), 1, 0)
</f>
        <v>1</v>
      </c>
      <c r="R93" s="319">
        <f>IF(AND('Ações'!AU96="sim", 'Ações'!BD96="sim"), 1, 0)
</f>
        <v>1</v>
      </c>
      <c r="S93" s="319">
        <f>IF(AND('Ações'!AU96="sim", 'Ações'!BE96="sim"), 1, 0)
</f>
        <v>0</v>
      </c>
      <c r="T93" s="319">
        <f>IF(AND('Ações'!AU96="sim", 'Ações'!BG96="sim"), 1, 0)
</f>
        <v>0</v>
      </c>
      <c r="U93" s="319">
        <f>IF(AND('Ações'!AU96="sim", 'Ações'!BH96="sim"), 1, 0)
</f>
        <v>0</v>
      </c>
      <c r="V93" s="319">
        <f>IF(AND('Ações'!AU96="sim", 'Ações'!BI96="sim"), 1, 0)
</f>
        <v>1</v>
      </c>
      <c r="W93" s="319">
        <f>IF(AND('Ações'!AV96="sim", 'Ações'!BD96="sim"), 1, 0)
</f>
        <v>1</v>
      </c>
      <c r="X93" s="319">
        <f>IF(AND('Ações'!AV96="sim", 'Ações'!BE96="sim"), 1, 0)
</f>
        <v>0</v>
      </c>
      <c r="Y93" s="319">
        <f>IF(AND('Ações'!AV96="sim", 'Ações'!BF96="sim"), 1, 0)
</f>
        <v>0</v>
      </c>
      <c r="Z93" s="319">
        <f>IF(AND('Ações'!AV96="sim", 'Ações'!BH96="sim"), 1, 0)
</f>
        <v>0</v>
      </c>
      <c r="AA93" s="319">
        <f>IF(AND('Ações'!AV96="sim", 'Ações'!BI96="sim"), 1, 0)
</f>
        <v>1</v>
      </c>
      <c r="AB93" s="319">
        <f>IF(AND('Ações'!AW96="sim", 'Ações'!BD96="sim"), 1, 0)
</f>
        <v>1</v>
      </c>
      <c r="AC93" s="319">
        <f>IF(AND('Ações'!AW96="sim", 'Ações'!BE96="sim"), 1, 0)
</f>
        <v>0</v>
      </c>
      <c r="AD93" s="319">
        <f>IF(AND('Ações'!AW96="sim", 'Ações'!BF96="sim"), 1, 0)
</f>
        <v>0</v>
      </c>
      <c r="AE93" s="319">
        <f>IF(AND('Ações'!AW96="sim", 'Ações'!BG96="sim"), 1, 0)
</f>
        <v>0</v>
      </c>
      <c r="AF93" s="319">
        <f>IF(AND('Ações'!AW96="sim", 'Ações'!BI96="sim"), 1, 0)
</f>
        <v>1</v>
      </c>
      <c r="AG93" s="319">
        <f>IF(AND('Ações'!AX96="sim", 'Ações'!BD96="sim"), 1, 0)
</f>
        <v>1</v>
      </c>
      <c r="AH93" s="319">
        <f>IF(AND('Ações'!AX96="sim", 'Ações'!BE96="sim"), 1, 0)
</f>
        <v>0</v>
      </c>
      <c r="AI93" s="319">
        <f>IF(AND('Ações'!AX96="sim", 'Ações'!BF96="sim"), 1, 0)
</f>
        <v>0</v>
      </c>
      <c r="AJ93" s="319">
        <f>IF(AND('Ações'!AX96="sim", 'Ações'!BG96="sim"), 1, 0)
</f>
        <v>0</v>
      </c>
      <c r="AK93" s="319">
        <f>IF(AND('Ações'!AX96="sim", 'Ações'!BH96="sim"), 1, 0)
</f>
        <v>0</v>
      </c>
    </row>
    <row r="94">
      <c r="B94" s="319">
        <f>IF(AND('Ações'!AS97="sim", 'Ações'!BD97="sim"), 1, 0)
</f>
        <v>1</v>
      </c>
      <c r="C94" s="319">
        <f>IF(AND('Ações'!AT97="sim", 'Ações'!BE97="sim"), 1, 0)
</f>
        <v>0</v>
      </c>
      <c r="D94" s="319">
        <f>IF(AND('Ações'!AU97="sim", 'Ações'!BF97="sim"), 1, 0)
</f>
        <v>0</v>
      </c>
      <c r="E94" s="319">
        <f>IF(AND('Ações'!AV97="sim", 'Ações'!BG97="sim"), 1, 0)
</f>
        <v>0</v>
      </c>
      <c r="F94" s="319">
        <f>IF(AND('Ações'!AW97="sim", 'Ações'!BH97="sim"), 1, 0)
</f>
        <v>0</v>
      </c>
      <c r="G94" s="319">
        <f>IF(AND('Ações'!AX97="sim", 'Ações'!BI97="sim"), 1, 0)
</f>
        <v>0</v>
      </c>
      <c r="H94" s="319">
        <f>IF(AND('Ações'!AS97="sim", 'Ações'!BE97="sim"), 1, 0)
</f>
        <v>0</v>
      </c>
      <c r="I94" s="319">
        <f>IF(AND('Ações'!AS97="sim", 'Ações'!BF97="sim"), 1, 0)
</f>
        <v>0</v>
      </c>
      <c r="J94" s="319">
        <f>IF(AND('Ações'!AS97="sim", 'Ações'!BG97="sim"), 1, 0)
</f>
        <v>0</v>
      </c>
      <c r="K94" s="319">
        <f>IF(AND('Ações'!AS97="sim", 'Ações'!BH97="sim"), 1, 0)
</f>
        <v>0</v>
      </c>
      <c r="L94" s="319">
        <f>IF(AND('Ações'!AS97="sim", 'Ações'!BI97="sim"), 1, 0)
</f>
        <v>0</v>
      </c>
      <c r="M94" s="319">
        <f>IF(AND('Ações'!AT97="sim", 'Ações'!BD97="sim"), 1, 0)
</f>
        <v>1</v>
      </c>
      <c r="N94" s="319">
        <f>IF(AND('Ações'!AT97="sim", 'Ações'!BF97="sim"), 1, 0)
</f>
        <v>0</v>
      </c>
      <c r="O94" s="319">
        <f>IF(AND('Ações'!AT97="sim", 'Ações'!BG97="sim"), 1, 0)
</f>
        <v>0</v>
      </c>
      <c r="P94" s="319">
        <f>IF(AND('Ações'!AT97="sim", 'Ações'!BH97="sim"), 1, 0)
</f>
        <v>0</v>
      </c>
      <c r="Q94" s="319">
        <f>IF(AND('Ações'!AT97="sim", 'Ações'!BI97="sim"), 1, 0)
</f>
        <v>0</v>
      </c>
      <c r="R94" s="319">
        <f>IF(AND('Ações'!AU97="sim", 'Ações'!BD97="sim"), 1, 0)
</f>
        <v>1</v>
      </c>
      <c r="S94" s="319">
        <f>IF(AND('Ações'!AU97="sim", 'Ações'!BE97="sim"), 1, 0)
</f>
        <v>0</v>
      </c>
      <c r="T94" s="319">
        <f>IF(AND('Ações'!AU97="sim", 'Ações'!BG97="sim"), 1, 0)
</f>
        <v>0</v>
      </c>
      <c r="U94" s="319">
        <f>IF(AND('Ações'!AU97="sim", 'Ações'!BH97="sim"), 1, 0)
</f>
        <v>0</v>
      </c>
      <c r="V94" s="319">
        <f>IF(AND('Ações'!AU97="sim", 'Ações'!BI97="sim"), 1, 0)
</f>
        <v>0</v>
      </c>
      <c r="W94" s="319">
        <f>IF(AND('Ações'!AV97="sim", 'Ações'!BD97="sim"), 1, 0)
</f>
        <v>1</v>
      </c>
      <c r="X94" s="319">
        <f>IF(AND('Ações'!AV97="sim", 'Ações'!BE97="sim"), 1, 0)
</f>
        <v>0</v>
      </c>
      <c r="Y94" s="319">
        <f>IF(AND('Ações'!AV97="sim", 'Ações'!BF97="sim"), 1, 0)
</f>
        <v>0</v>
      </c>
      <c r="Z94" s="319">
        <f>IF(AND('Ações'!AV97="sim", 'Ações'!BH97="sim"), 1, 0)
</f>
        <v>0</v>
      </c>
      <c r="AA94" s="319">
        <f>IF(AND('Ações'!AV97="sim", 'Ações'!BI97="sim"), 1, 0)
</f>
        <v>0</v>
      </c>
      <c r="AB94" s="319">
        <f>IF(AND('Ações'!AW97="sim", 'Ações'!BD97="sim"), 1, 0)
</f>
        <v>1</v>
      </c>
      <c r="AC94" s="319">
        <f>IF(AND('Ações'!AW97="sim", 'Ações'!BE97="sim"), 1, 0)
</f>
        <v>0</v>
      </c>
      <c r="AD94" s="319">
        <f>IF(AND('Ações'!AW97="sim", 'Ações'!BF97="sim"), 1, 0)
</f>
        <v>0</v>
      </c>
      <c r="AE94" s="319">
        <f>IF(AND('Ações'!AW97="sim", 'Ações'!BG97="sim"), 1, 0)
</f>
        <v>0</v>
      </c>
      <c r="AF94" s="319">
        <f>IF(AND('Ações'!AW97="sim", 'Ações'!BI97="sim"), 1, 0)
</f>
        <v>0</v>
      </c>
      <c r="AG94" s="319">
        <f>IF(AND('Ações'!AX97="sim", 'Ações'!BD97="sim"), 1, 0)
</f>
        <v>1</v>
      </c>
      <c r="AH94" s="319">
        <f>IF(AND('Ações'!AX97="sim", 'Ações'!BE97="sim"), 1, 0)
</f>
        <v>0</v>
      </c>
      <c r="AI94" s="319">
        <f>IF(AND('Ações'!AX97="sim", 'Ações'!BF97="sim"), 1, 0)
</f>
        <v>0</v>
      </c>
      <c r="AJ94" s="319">
        <f>IF(AND('Ações'!AX97="sim", 'Ações'!BG97="sim"), 1, 0)
</f>
        <v>0</v>
      </c>
      <c r="AK94" s="319">
        <f>IF(AND('Ações'!AX97="sim", 'Ações'!BH97="sim"), 1, 0)
</f>
        <v>0</v>
      </c>
    </row>
    <row r="95">
      <c r="B95" s="319">
        <f>IF(AND('Ações'!AS98="sim", 'Ações'!BD98="sim"), 1, 0)
</f>
        <v>1</v>
      </c>
      <c r="C95" s="319">
        <f>IF(AND('Ações'!AT98="sim", 'Ações'!BE98="sim"), 1, 0)
</f>
        <v>0</v>
      </c>
      <c r="D95" s="319">
        <f>IF(AND('Ações'!AU98="sim", 'Ações'!BF98="sim"), 1, 0)
</f>
        <v>0</v>
      </c>
      <c r="E95" s="319">
        <f>IF(AND('Ações'!AV98="sim", 'Ações'!BG98="sim"), 1, 0)
</f>
        <v>0</v>
      </c>
      <c r="F95" s="319">
        <f>IF(AND('Ações'!AW98="sim", 'Ações'!BH98="sim"), 1, 0)
</f>
        <v>0</v>
      </c>
      <c r="G95" s="319">
        <f>IF(AND('Ações'!AX98="sim", 'Ações'!BI98="sim"), 1, 0)
</f>
        <v>0</v>
      </c>
      <c r="H95" s="319">
        <f>IF(AND('Ações'!AS98="sim", 'Ações'!BE98="sim"), 1, 0)
</f>
        <v>0</v>
      </c>
      <c r="I95" s="319">
        <f>IF(AND('Ações'!AS98="sim", 'Ações'!BF98="sim"), 1, 0)
</f>
        <v>0</v>
      </c>
      <c r="J95" s="319">
        <f>IF(AND('Ações'!AS98="sim", 'Ações'!BG98="sim"), 1, 0)
</f>
        <v>0</v>
      </c>
      <c r="K95" s="319">
        <f>IF(AND('Ações'!AS98="sim", 'Ações'!BH98="sim"), 1, 0)
</f>
        <v>0</v>
      </c>
      <c r="L95" s="319">
        <f>IF(AND('Ações'!AS98="sim", 'Ações'!BI98="sim"), 1, 0)
</f>
        <v>0</v>
      </c>
      <c r="M95" s="319">
        <f>IF(AND('Ações'!AT98="sim", 'Ações'!BD98="sim"), 1, 0)
</f>
        <v>1</v>
      </c>
      <c r="N95" s="319">
        <f>IF(AND('Ações'!AT98="sim", 'Ações'!BF98="sim"), 1, 0)
</f>
        <v>0</v>
      </c>
      <c r="O95" s="319">
        <f>IF(AND('Ações'!AT98="sim", 'Ações'!BG98="sim"), 1, 0)
</f>
        <v>0</v>
      </c>
      <c r="P95" s="319">
        <f>IF(AND('Ações'!AT98="sim", 'Ações'!BH98="sim"), 1, 0)
</f>
        <v>0</v>
      </c>
      <c r="Q95" s="319">
        <f>IF(AND('Ações'!AT98="sim", 'Ações'!BI98="sim"), 1, 0)
</f>
        <v>0</v>
      </c>
      <c r="R95" s="319">
        <f>IF(AND('Ações'!AU98="sim", 'Ações'!BD98="sim"), 1, 0)
</f>
        <v>1</v>
      </c>
      <c r="S95" s="319">
        <f>IF(AND('Ações'!AU98="sim", 'Ações'!BE98="sim"), 1, 0)
</f>
        <v>0</v>
      </c>
      <c r="T95" s="319">
        <f>IF(AND('Ações'!AU98="sim", 'Ações'!BG98="sim"), 1, 0)
</f>
        <v>0</v>
      </c>
      <c r="U95" s="319">
        <f>IF(AND('Ações'!AU98="sim", 'Ações'!BH98="sim"), 1, 0)
</f>
        <v>0</v>
      </c>
      <c r="V95" s="319">
        <f>IF(AND('Ações'!AU98="sim", 'Ações'!BI98="sim"), 1, 0)
</f>
        <v>0</v>
      </c>
      <c r="W95" s="319">
        <f>IF(AND('Ações'!AV98="sim", 'Ações'!BD98="sim"), 1, 0)
</f>
        <v>1</v>
      </c>
      <c r="X95" s="319">
        <f>IF(AND('Ações'!AV98="sim", 'Ações'!BE98="sim"), 1, 0)
</f>
        <v>0</v>
      </c>
      <c r="Y95" s="319">
        <f>IF(AND('Ações'!AV98="sim", 'Ações'!BF98="sim"), 1, 0)
</f>
        <v>0</v>
      </c>
      <c r="Z95" s="319">
        <f>IF(AND('Ações'!AV98="sim", 'Ações'!BH98="sim"), 1, 0)
</f>
        <v>0</v>
      </c>
      <c r="AA95" s="319">
        <f>IF(AND('Ações'!AV98="sim", 'Ações'!BI98="sim"), 1, 0)
</f>
        <v>0</v>
      </c>
      <c r="AB95" s="319">
        <f>IF(AND('Ações'!AW98="sim", 'Ações'!BD98="sim"), 1, 0)
</f>
        <v>1</v>
      </c>
      <c r="AC95" s="319">
        <f>IF(AND('Ações'!AW98="sim", 'Ações'!BE98="sim"), 1, 0)
</f>
        <v>0</v>
      </c>
      <c r="AD95" s="319">
        <f>IF(AND('Ações'!AW98="sim", 'Ações'!BF98="sim"), 1, 0)
</f>
        <v>0</v>
      </c>
      <c r="AE95" s="319">
        <f>IF(AND('Ações'!AW98="sim", 'Ações'!BG98="sim"), 1, 0)
</f>
        <v>0</v>
      </c>
      <c r="AF95" s="319">
        <f>IF(AND('Ações'!AW98="sim", 'Ações'!BI98="sim"), 1, 0)
</f>
        <v>0</v>
      </c>
      <c r="AG95" s="319">
        <f>IF(AND('Ações'!AX98="sim", 'Ações'!BD98="sim"), 1, 0)
</f>
        <v>1</v>
      </c>
      <c r="AH95" s="319">
        <f>IF(AND('Ações'!AX98="sim", 'Ações'!BE98="sim"), 1, 0)
</f>
        <v>0</v>
      </c>
      <c r="AI95" s="319">
        <f>IF(AND('Ações'!AX98="sim", 'Ações'!BF98="sim"), 1, 0)
</f>
        <v>0</v>
      </c>
      <c r="AJ95" s="319">
        <f>IF(AND('Ações'!AX98="sim", 'Ações'!BG98="sim"), 1, 0)
</f>
        <v>0</v>
      </c>
      <c r="AK95" s="319">
        <f>IF(AND('Ações'!AX98="sim", 'Ações'!BH98="sim"), 1, 0)
</f>
        <v>0</v>
      </c>
    </row>
    <row r="96">
      <c r="B96" s="319">
        <f>IF(AND('Ações'!AS99="sim", 'Ações'!BD99="sim"), 1, 0)
</f>
        <v>1</v>
      </c>
      <c r="C96" s="319">
        <f>IF(AND('Ações'!AT99="sim", 'Ações'!BE99="sim"), 1, 0)
</f>
        <v>0</v>
      </c>
      <c r="D96" s="319">
        <f>IF(AND('Ações'!AU99="sim", 'Ações'!BF99="sim"), 1, 0)
</f>
        <v>0</v>
      </c>
      <c r="E96" s="319">
        <f>IF(AND('Ações'!AV99="sim", 'Ações'!BG99="sim"), 1, 0)
</f>
        <v>0</v>
      </c>
      <c r="F96" s="319">
        <f>IF(AND('Ações'!AW99="sim", 'Ações'!BH99="sim"), 1, 0)
</f>
        <v>0</v>
      </c>
      <c r="G96" s="319">
        <f>IF(AND('Ações'!AX99="sim", 'Ações'!BI99="sim"), 1, 0)
</f>
        <v>0</v>
      </c>
      <c r="H96" s="319">
        <f>IF(AND('Ações'!AS99="sim", 'Ações'!BE99="sim"), 1, 0)
</f>
        <v>0</v>
      </c>
      <c r="I96" s="319">
        <f>IF(AND('Ações'!AS99="sim", 'Ações'!BF99="sim"), 1, 0)
</f>
        <v>0</v>
      </c>
      <c r="J96" s="319">
        <f>IF(AND('Ações'!AS99="sim", 'Ações'!BG99="sim"), 1, 0)
</f>
        <v>0</v>
      </c>
      <c r="K96" s="319">
        <f>IF(AND('Ações'!AS99="sim", 'Ações'!BH99="sim"), 1, 0)
</f>
        <v>0</v>
      </c>
      <c r="L96" s="319">
        <f>IF(AND('Ações'!AS99="sim", 'Ações'!BI99="sim"), 1, 0)
</f>
        <v>0</v>
      </c>
      <c r="M96" s="319">
        <f>IF(AND('Ações'!AT99="sim", 'Ações'!BD99="sim"), 1, 0)
</f>
        <v>1</v>
      </c>
      <c r="N96" s="319">
        <f>IF(AND('Ações'!AT99="sim", 'Ações'!BF99="sim"), 1, 0)
</f>
        <v>0</v>
      </c>
      <c r="O96" s="319">
        <f>IF(AND('Ações'!AT99="sim", 'Ações'!BG99="sim"), 1, 0)
</f>
        <v>0</v>
      </c>
      <c r="P96" s="319">
        <f>IF(AND('Ações'!AT99="sim", 'Ações'!BH99="sim"), 1, 0)
</f>
        <v>0</v>
      </c>
      <c r="Q96" s="319">
        <f>IF(AND('Ações'!AT99="sim", 'Ações'!BI99="sim"), 1, 0)
</f>
        <v>0</v>
      </c>
      <c r="R96" s="319">
        <f>IF(AND('Ações'!AU99="sim", 'Ações'!BD99="sim"), 1, 0)
</f>
        <v>1</v>
      </c>
      <c r="S96" s="319">
        <f>IF(AND('Ações'!AU99="sim", 'Ações'!BE99="sim"), 1, 0)
</f>
        <v>0</v>
      </c>
      <c r="T96" s="319">
        <f>IF(AND('Ações'!AU99="sim", 'Ações'!BG99="sim"), 1, 0)
</f>
        <v>0</v>
      </c>
      <c r="U96" s="319">
        <f>IF(AND('Ações'!AU99="sim", 'Ações'!BH99="sim"), 1, 0)
</f>
        <v>0</v>
      </c>
      <c r="V96" s="319">
        <f>IF(AND('Ações'!AU99="sim", 'Ações'!BI99="sim"), 1, 0)
</f>
        <v>0</v>
      </c>
      <c r="W96" s="319">
        <f>IF(AND('Ações'!AV99="sim", 'Ações'!BD99="sim"), 1, 0)
</f>
        <v>1</v>
      </c>
      <c r="X96" s="319">
        <f>IF(AND('Ações'!AV99="sim", 'Ações'!BE99="sim"), 1, 0)
</f>
        <v>0</v>
      </c>
      <c r="Y96" s="319">
        <f>IF(AND('Ações'!AV99="sim", 'Ações'!BF99="sim"), 1, 0)
</f>
        <v>0</v>
      </c>
      <c r="Z96" s="319">
        <f>IF(AND('Ações'!AV99="sim", 'Ações'!BH99="sim"), 1, 0)
</f>
        <v>0</v>
      </c>
      <c r="AA96" s="319">
        <f>IF(AND('Ações'!AV99="sim", 'Ações'!BI99="sim"), 1, 0)
</f>
        <v>0</v>
      </c>
      <c r="AB96" s="319">
        <f>IF(AND('Ações'!AW99="sim", 'Ações'!BD99="sim"), 1, 0)
</f>
        <v>1</v>
      </c>
      <c r="AC96" s="319">
        <f>IF(AND('Ações'!AW99="sim", 'Ações'!BE99="sim"), 1, 0)
</f>
        <v>0</v>
      </c>
      <c r="AD96" s="319">
        <f>IF(AND('Ações'!AW99="sim", 'Ações'!BF99="sim"), 1, 0)
</f>
        <v>0</v>
      </c>
      <c r="AE96" s="319">
        <f>IF(AND('Ações'!AW99="sim", 'Ações'!BG99="sim"), 1, 0)
</f>
        <v>0</v>
      </c>
      <c r="AF96" s="319">
        <f>IF(AND('Ações'!AW99="sim", 'Ações'!BI99="sim"), 1, 0)
</f>
        <v>0</v>
      </c>
      <c r="AG96" s="319">
        <f>IF(AND('Ações'!AX99="sim", 'Ações'!BD99="sim"), 1, 0)
</f>
        <v>1</v>
      </c>
      <c r="AH96" s="319">
        <f>IF(AND('Ações'!AX99="sim", 'Ações'!BE99="sim"), 1, 0)
</f>
        <v>0</v>
      </c>
      <c r="AI96" s="319">
        <f>IF(AND('Ações'!AX99="sim", 'Ações'!BF99="sim"), 1, 0)
</f>
        <v>0</v>
      </c>
      <c r="AJ96" s="319">
        <f>IF(AND('Ações'!AX99="sim", 'Ações'!BG99="sim"), 1, 0)
</f>
        <v>0</v>
      </c>
      <c r="AK96" s="319">
        <f>IF(AND('Ações'!AX99="sim", 'Ações'!BH99="sim"), 1, 0)
</f>
        <v>0</v>
      </c>
    </row>
    <row r="97">
      <c r="B97" s="319">
        <f>IF(AND('Ações'!AS100="sim", 'Ações'!BD100="sim"), 1, 0)
</f>
        <v>1</v>
      </c>
      <c r="C97" s="319">
        <f>IF(AND('Ações'!AT100="sim", 'Ações'!BE100="sim"), 1, 0)
</f>
        <v>0</v>
      </c>
      <c r="D97" s="319">
        <f>IF(AND('Ações'!AU100="sim", 'Ações'!BF100="sim"), 1, 0)
</f>
        <v>0</v>
      </c>
      <c r="E97" s="319">
        <f>IF(AND('Ações'!AV100="sim", 'Ações'!BG100="sim"), 1, 0)
</f>
        <v>0</v>
      </c>
      <c r="F97" s="319">
        <f>IF(AND('Ações'!AW100="sim", 'Ações'!BH100="sim"), 1, 0)
</f>
        <v>0</v>
      </c>
      <c r="G97" s="319">
        <f>IF(AND('Ações'!AX100="sim", 'Ações'!BI100="sim"), 1, 0)
</f>
        <v>0</v>
      </c>
      <c r="H97" s="319">
        <f>IF(AND('Ações'!AS100="sim", 'Ações'!BE100="sim"), 1, 0)
</f>
        <v>0</v>
      </c>
      <c r="I97" s="319">
        <f>IF(AND('Ações'!AS100="sim", 'Ações'!BF100="sim"), 1, 0)
</f>
        <v>0</v>
      </c>
      <c r="J97" s="319">
        <f>IF(AND('Ações'!AS100="sim", 'Ações'!BG100="sim"), 1, 0)
</f>
        <v>0</v>
      </c>
      <c r="K97" s="319">
        <f>IF(AND('Ações'!AS100="sim", 'Ações'!BH100="sim"), 1, 0)
</f>
        <v>0</v>
      </c>
      <c r="L97" s="319">
        <f>IF(AND('Ações'!AS100="sim", 'Ações'!BI100="sim"), 1, 0)
</f>
        <v>0</v>
      </c>
      <c r="M97" s="319">
        <f>IF(AND('Ações'!AT100="sim", 'Ações'!BD100="sim"), 1, 0)
</f>
        <v>1</v>
      </c>
      <c r="N97" s="319">
        <f>IF(AND('Ações'!AT100="sim", 'Ações'!BF100="sim"), 1, 0)
</f>
        <v>0</v>
      </c>
      <c r="O97" s="319">
        <f>IF(AND('Ações'!AT100="sim", 'Ações'!BG100="sim"), 1, 0)
</f>
        <v>0</v>
      </c>
      <c r="P97" s="319">
        <f>IF(AND('Ações'!AT100="sim", 'Ações'!BH100="sim"), 1, 0)
</f>
        <v>0</v>
      </c>
      <c r="Q97" s="319">
        <f>IF(AND('Ações'!AT100="sim", 'Ações'!BI100="sim"), 1, 0)
</f>
        <v>0</v>
      </c>
      <c r="R97" s="319">
        <f>IF(AND('Ações'!AU100="sim", 'Ações'!BD100="sim"), 1, 0)
</f>
        <v>1</v>
      </c>
      <c r="S97" s="319">
        <f>IF(AND('Ações'!AU100="sim", 'Ações'!BE100="sim"), 1, 0)
</f>
        <v>0</v>
      </c>
      <c r="T97" s="319">
        <f>IF(AND('Ações'!AU100="sim", 'Ações'!BG100="sim"), 1, 0)
</f>
        <v>0</v>
      </c>
      <c r="U97" s="319">
        <f>IF(AND('Ações'!AU100="sim", 'Ações'!BH100="sim"), 1, 0)
</f>
        <v>0</v>
      </c>
      <c r="V97" s="319">
        <f>IF(AND('Ações'!AU100="sim", 'Ações'!BI100="sim"), 1, 0)
</f>
        <v>0</v>
      </c>
      <c r="W97" s="319">
        <f>IF(AND('Ações'!AV100="sim", 'Ações'!BD100="sim"), 1, 0)
</f>
        <v>1</v>
      </c>
      <c r="X97" s="319">
        <f>IF(AND('Ações'!AV100="sim", 'Ações'!BE100="sim"), 1, 0)
</f>
        <v>0</v>
      </c>
      <c r="Y97" s="319">
        <f>IF(AND('Ações'!AV100="sim", 'Ações'!BF100="sim"), 1, 0)
</f>
        <v>0</v>
      </c>
      <c r="Z97" s="319">
        <f>IF(AND('Ações'!AV100="sim", 'Ações'!BH100="sim"), 1, 0)
</f>
        <v>0</v>
      </c>
      <c r="AA97" s="319">
        <f>IF(AND('Ações'!AV100="sim", 'Ações'!BI100="sim"), 1, 0)
</f>
        <v>0</v>
      </c>
      <c r="AB97" s="319">
        <f>IF(AND('Ações'!AW100="sim", 'Ações'!BD100="sim"), 1, 0)
</f>
        <v>1</v>
      </c>
      <c r="AC97" s="319">
        <f>IF(AND('Ações'!AW100="sim", 'Ações'!BE100="sim"), 1, 0)
</f>
        <v>0</v>
      </c>
      <c r="AD97" s="319">
        <f>IF(AND('Ações'!AW100="sim", 'Ações'!BF100="sim"), 1, 0)
</f>
        <v>0</v>
      </c>
      <c r="AE97" s="319">
        <f>IF(AND('Ações'!AW100="sim", 'Ações'!BG100="sim"), 1, 0)
</f>
        <v>0</v>
      </c>
      <c r="AF97" s="319">
        <f>IF(AND('Ações'!AW100="sim", 'Ações'!BI100="sim"), 1, 0)
</f>
        <v>0</v>
      </c>
      <c r="AG97" s="319">
        <f>IF(AND('Ações'!AX100="sim", 'Ações'!BD100="sim"), 1, 0)
</f>
        <v>1</v>
      </c>
      <c r="AH97" s="319">
        <f>IF(AND('Ações'!AX100="sim", 'Ações'!BE100="sim"), 1, 0)
</f>
        <v>0</v>
      </c>
      <c r="AI97" s="319">
        <f>IF(AND('Ações'!AX100="sim", 'Ações'!BF100="sim"), 1, 0)
</f>
        <v>0</v>
      </c>
      <c r="AJ97" s="319">
        <f>IF(AND('Ações'!AX100="sim", 'Ações'!BG100="sim"), 1, 0)
</f>
        <v>0</v>
      </c>
      <c r="AK97" s="319">
        <f>IF(AND('Ações'!AX100="sim", 'Ações'!BH100="sim"), 1, 0)
</f>
        <v>0</v>
      </c>
    </row>
    <row r="98">
      <c r="B98" s="319">
        <f>IF(AND('Ações'!AS101="sim", 'Ações'!BD101="sim"), 1, 0)
</f>
        <v>1</v>
      </c>
      <c r="C98" s="319">
        <f>IF(AND('Ações'!AT101="sim", 'Ações'!BE101="sim"), 1, 0)
</f>
        <v>0</v>
      </c>
      <c r="D98" s="319">
        <f>IF(AND('Ações'!AU101="sim", 'Ações'!BF101="sim"), 1, 0)
</f>
        <v>0</v>
      </c>
      <c r="E98" s="319">
        <f>IF(AND('Ações'!AV101="sim", 'Ações'!BG101="sim"), 1, 0)
</f>
        <v>0</v>
      </c>
      <c r="F98" s="319">
        <f>IF(AND('Ações'!AW101="sim", 'Ações'!BH101="sim"), 1, 0)
</f>
        <v>0</v>
      </c>
      <c r="G98" s="319">
        <f>IF(AND('Ações'!AX101="sim", 'Ações'!BI101="sim"), 1, 0)
</f>
        <v>0</v>
      </c>
      <c r="H98" s="319">
        <f>IF(AND('Ações'!AS101="sim", 'Ações'!BE101="sim"), 1, 0)
</f>
        <v>0</v>
      </c>
      <c r="I98" s="319">
        <f>IF(AND('Ações'!AS101="sim", 'Ações'!BF101="sim"), 1, 0)
</f>
        <v>0</v>
      </c>
      <c r="J98" s="319">
        <f>IF(AND('Ações'!AS101="sim", 'Ações'!BG101="sim"), 1, 0)
</f>
        <v>0</v>
      </c>
      <c r="K98" s="319">
        <f>IF(AND('Ações'!AS101="sim", 'Ações'!BH101="sim"), 1, 0)
</f>
        <v>0</v>
      </c>
      <c r="L98" s="319">
        <f>IF(AND('Ações'!AS101="sim", 'Ações'!BI101="sim"), 1, 0)
</f>
        <v>0</v>
      </c>
      <c r="M98" s="319">
        <f>IF(AND('Ações'!AT101="sim", 'Ações'!BD101="sim"), 1, 0)
</f>
        <v>1</v>
      </c>
      <c r="N98" s="319">
        <f>IF(AND('Ações'!AT101="sim", 'Ações'!BF101="sim"), 1, 0)
</f>
        <v>0</v>
      </c>
      <c r="O98" s="319">
        <f>IF(AND('Ações'!AT101="sim", 'Ações'!BG101="sim"), 1, 0)
</f>
        <v>0</v>
      </c>
      <c r="P98" s="319">
        <f>IF(AND('Ações'!AT101="sim", 'Ações'!BH101="sim"), 1, 0)
</f>
        <v>0</v>
      </c>
      <c r="Q98" s="319">
        <f>IF(AND('Ações'!AT101="sim", 'Ações'!BI101="sim"), 1, 0)
</f>
        <v>0</v>
      </c>
      <c r="R98" s="319">
        <f>IF(AND('Ações'!AU101="sim", 'Ações'!BD101="sim"), 1, 0)
</f>
        <v>1</v>
      </c>
      <c r="S98" s="319">
        <f>IF(AND('Ações'!AU101="sim", 'Ações'!BE101="sim"), 1, 0)
</f>
        <v>0</v>
      </c>
      <c r="T98" s="319">
        <f>IF(AND('Ações'!AU101="sim", 'Ações'!BG101="sim"), 1, 0)
</f>
        <v>0</v>
      </c>
      <c r="U98" s="319">
        <f>IF(AND('Ações'!AU101="sim", 'Ações'!BH101="sim"), 1, 0)
</f>
        <v>0</v>
      </c>
      <c r="V98" s="319">
        <f>IF(AND('Ações'!AU101="sim", 'Ações'!BI101="sim"), 1, 0)
</f>
        <v>0</v>
      </c>
      <c r="W98" s="319">
        <f>IF(AND('Ações'!AV101="sim", 'Ações'!BD101="sim"), 1, 0)
</f>
        <v>1</v>
      </c>
      <c r="X98" s="319">
        <f>IF(AND('Ações'!AV101="sim", 'Ações'!BE101="sim"), 1, 0)
</f>
        <v>0</v>
      </c>
      <c r="Y98" s="319">
        <f>IF(AND('Ações'!AV101="sim", 'Ações'!BF101="sim"), 1, 0)
</f>
        <v>0</v>
      </c>
      <c r="Z98" s="319">
        <f>IF(AND('Ações'!AV101="sim", 'Ações'!BH101="sim"), 1, 0)
</f>
        <v>0</v>
      </c>
      <c r="AA98" s="319">
        <f>IF(AND('Ações'!AV101="sim", 'Ações'!BI101="sim"), 1, 0)
</f>
        <v>0</v>
      </c>
      <c r="AB98" s="319">
        <f>IF(AND('Ações'!AW101="sim", 'Ações'!BD101="sim"), 1, 0)
</f>
        <v>1</v>
      </c>
      <c r="AC98" s="319">
        <f>IF(AND('Ações'!AW101="sim", 'Ações'!BE101="sim"), 1, 0)
</f>
        <v>0</v>
      </c>
      <c r="AD98" s="319">
        <f>IF(AND('Ações'!AW101="sim", 'Ações'!BF101="sim"), 1, 0)
</f>
        <v>0</v>
      </c>
      <c r="AE98" s="319">
        <f>IF(AND('Ações'!AW101="sim", 'Ações'!BG101="sim"), 1, 0)
</f>
        <v>0</v>
      </c>
      <c r="AF98" s="319">
        <f>IF(AND('Ações'!AW101="sim", 'Ações'!BI101="sim"), 1, 0)
</f>
        <v>0</v>
      </c>
      <c r="AG98" s="319">
        <f>IF(AND('Ações'!AX101="sim", 'Ações'!BD101="sim"), 1, 0)
</f>
        <v>1</v>
      </c>
      <c r="AH98" s="319">
        <f>IF(AND('Ações'!AX101="sim", 'Ações'!BE101="sim"), 1, 0)
</f>
        <v>0</v>
      </c>
      <c r="AI98" s="319">
        <f>IF(AND('Ações'!AX101="sim", 'Ações'!BF101="sim"), 1, 0)
</f>
        <v>0</v>
      </c>
      <c r="AJ98" s="319">
        <f>IF(AND('Ações'!AX101="sim", 'Ações'!BG101="sim"), 1, 0)
</f>
        <v>0</v>
      </c>
      <c r="AK98" s="319">
        <f>IF(AND('Ações'!AX101="sim", 'Ações'!BH101="sim"), 1, 0)
</f>
        <v>0</v>
      </c>
    </row>
    <row r="99">
      <c r="B99" s="319">
        <f>IF(AND('Ações'!AS102="sim", 'Ações'!BD102="sim"), 1, 0)
</f>
        <v>1</v>
      </c>
      <c r="C99" s="319">
        <f>IF(AND('Ações'!AT102="sim", 'Ações'!BE102="sim"), 1, 0)
</f>
        <v>0</v>
      </c>
      <c r="D99" s="319">
        <f>IF(AND('Ações'!AU102="sim", 'Ações'!BF102="sim"), 1, 0)
</f>
        <v>0</v>
      </c>
      <c r="E99" s="319">
        <f>IF(AND('Ações'!AV102="sim", 'Ações'!BG102="sim"), 1, 0)
</f>
        <v>0</v>
      </c>
      <c r="F99" s="319">
        <f>IF(AND('Ações'!AW102="sim", 'Ações'!BH102="sim"), 1, 0)
</f>
        <v>0</v>
      </c>
      <c r="G99" s="319">
        <f>IF(AND('Ações'!AX102="sim", 'Ações'!BI102="sim"), 1, 0)
</f>
        <v>0</v>
      </c>
      <c r="H99" s="319">
        <f>IF(AND('Ações'!AS102="sim", 'Ações'!BE102="sim"), 1, 0)
</f>
        <v>0</v>
      </c>
      <c r="I99" s="319">
        <f>IF(AND('Ações'!AS102="sim", 'Ações'!BF102="sim"), 1, 0)
</f>
        <v>0</v>
      </c>
      <c r="J99" s="319">
        <f>IF(AND('Ações'!AS102="sim", 'Ações'!BG102="sim"), 1, 0)
</f>
        <v>0</v>
      </c>
      <c r="K99" s="319">
        <f>IF(AND('Ações'!AS102="sim", 'Ações'!BH102="sim"), 1, 0)
</f>
        <v>0</v>
      </c>
      <c r="L99" s="319">
        <f>IF(AND('Ações'!AS102="sim", 'Ações'!BI102="sim"), 1, 0)
</f>
        <v>0</v>
      </c>
      <c r="M99" s="319">
        <f>IF(AND('Ações'!AT102="sim", 'Ações'!BD102="sim"), 1, 0)
</f>
        <v>1</v>
      </c>
      <c r="N99" s="319">
        <f>IF(AND('Ações'!AT102="sim", 'Ações'!BF102="sim"), 1, 0)
</f>
        <v>0</v>
      </c>
      <c r="O99" s="319">
        <f>IF(AND('Ações'!AT102="sim", 'Ações'!BG102="sim"), 1, 0)
</f>
        <v>0</v>
      </c>
      <c r="P99" s="319">
        <f>IF(AND('Ações'!AT102="sim", 'Ações'!BH102="sim"), 1, 0)
</f>
        <v>0</v>
      </c>
      <c r="Q99" s="319">
        <f>IF(AND('Ações'!AT102="sim", 'Ações'!BI102="sim"), 1, 0)
</f>
        <v>0</v>
      </c>
      <c r="R99" s="319">
        <f>IF(AND('Ações'!AU102="sim", 'Ações'!BD102="sim"), 1, 0)
</f>
        <v>1</v>
      </c>
      <c r="S99" s="319">
        <f>IF(AND('Ações'!AU102="sim", 'Ações'!BE102="sim"), 1, 0)
</f>
        <v>0</v>
      </c>
      <c r="T99" s="319">
        <f>IF(AND('Ações'!AU102="sim", 'Ações'!BG102="sim"), 1, 0)
</f>
        <v>0</v>
      </c>
      <c r="U99" s="319">
        <f>IF(AND('Ações'!AU102="sim", 'Ações'!BH102="sim"), 1, 0)
</f>
        <v>0</v>
      </c>
      <c r="V99" s="319">
        <f>IF(AND('Ações'!AU102="sim", 'Ações'!BI102="sim"), 1, 0)
</f>
        <v>0</v>
      </c>
      <c r="W99" s="319">
        <f>IF(AND('Ações'!AV102="sim", 'Ações'!BD102="sim"), 1, 0)
</f>
        <v>1</v>
      </c>
      <c r="X99" s="319">
        <f>IF(AND('Ações'!AV102="sim", 'Ações'!BE102="sim"), 1, 0)
</f>
        <v>0</v>
      </c>
      <c r="Y99" s="319">
        <f>IF(AND('Ações'!AV102="sim", 'Ações'!BF102="sim"), 1, 0)
</f>
        <v>0</v>
      </c>
      <c r="Z99" s="319">
        <f>IF(AND('Ações'!AV102="sim", 'Ações'!BH102="sim"), 1, 0)
</f>
        <v>0</v>
      </c>
      <c r="AA99" s="319">
        <f>IF(AND('Ações'!AV102="sim", 'Ações'!BI102="sim"), 1, 0)
</f>
        <v>0</v>
      </c>
      <c r="AB99" s="319">
        <f>IF(AND('Ações'!AW102="sim", 'Ações'!BD102="sim"), 1, 0)
</f>
        <v>1</v>
      </c>
      <c r="AC99" s="319">
        <f>IF(AND('Ações'!AW102="sim", 'Ações'!BE102="sim"), 1, 0)
</f>
        <v>0</v>
      </c>
      <c r="AD99" s="319">
        <f>IF(AND('Ações'!AW102="sim", 'Ações'!BF102="sim"), 1, 0)
</f>
        <v>0</v>
      </c>
      <c r="AE99" s="319">
        <f>IF(AND('Ações'!AW102="sim", 'Ações'!BG102="sim"), 1, 0)
</f>
        <v>0</v>
      </c>
      <c r="AF99" s="319">
        <f>IF(AND('Ações'!AW102="sim", 'Ações'!BI102="sim"), 1, 0)
</f>
        <v>0</v>
      </c>
      <c r="AG99" s="319">
        <f>IF(AND('Ações'!AX102="sim", 'Ações'!BD102="sim"), 1, 0)
</f>
        <v>1</v>
      </c>
      <c r="AH99" s="319">
        <f>IF(AND('Ações'!AX102="sim", 'Ações'!BE102="sim"), 1, 0)
</f>
        <v>0</v>
      </c>
      <c r="AI99" s="319">
        <f>IF(AND('Ações'!AX102="sim", 'Ações'!BF102="sim"), 1, 0)
</f>
        <v>0</v>
      </c>
      <c r="AJ99" s="319">
        <f>IF(AND('Ações'!AX102="sim", 'Ações'!BG102="sim"), 1, 0)
</f>
        <v>0</v>
      </c>
      <c r="AK99" s="319">
        <f>IF(AND('Ações'!AX102="sim", 'Ações'!BH102="sim"), 1, 0)
</f>
        <v>0</v>
      </c>
    </row>
    <row r="100">
      <c r="B100" s="319" t="str">
        <f t="shared" ref="B100:AK100" si="1">IF(AND(#REF!="sim", #REF!="sim"), 1, 0)
</f>
        <v>#REF!</v>
      </c>
      <c r="C100" s="319" t="str">
        <f t="shared" si="1"/>
        <v>#REF!</v>
      </c>
      <c r="D100" s="319" t="str">
        <f t="shared" si="1"/>
        <v>#REF!</v>
      </c>
      <c r="E100" s="319" t="str">
        <f t="shared" si="1"/>
        <v>#REF!</v>
      </c>
      <c r="F100" s="319" t="str">
        <f t="shared" si="1"/>
        <v>#REF!</v>
      </c>
      <c r="G100" s="319" t="str">
        <f t="shared" si="1"/>
        <v>#REF!</v>
      </c>
      <c r="H100" s="319" t="str">
        <f t="shared" si="1"/>
        <v>#REF!</v>
      </c>
      <c r="I100" s="319" t="str">
        <f t="shared" si="1"/>
        <v>#REF!</v>
      </c>
      <c r="J100" s="319" t="str">
        <f t="shared" si="1"/>
        <v>#REF!</v>
      </c>
      <c r="K100" s="319" t="str">
        <f t="shared" si="1"/>
        <v>#REF!</v>
      </c>
      <c r="L100" s="319" t="str">
        <f t="shared" si="1"/>
        <v>#REF!</v>
      </c>
      <c r="M100" s="319" t="str">
        <f t="shared" si="1"/>
        <v>#REF!</v>
      </c>
      <c r="N100" s="319" t="str">
        <f t="shared" si="1"/>
        <v>#REF!</v>
      </c>
      <c r="O100" s="319" t="str">
        <f t="shared" si="1"/>
        <v>#REF!</v>
      </c>
      <c r="P100" s="319" t="str">
        <f t="shared" si="1"/>
        <v>#REF!</v>
      </c>
      <c r="Q100" s="319" t="str">
        <f t="shared" si="1"/>
        <v>#REF!</v>
      </c>
      <c r="R100" s="319" t="str">
        <f t="shared" si="1"/>
        <v>#REF!</v>
      </c>
      <c r="S100" s="319" t="str">
        <f t="shared" si="1"/>
        <v>#REF!</v>
      </c>
      <c r="T100" s="319" t="str">
        <f t="shared" si="1"/>
        <v>#REF!</v>
      </c>
      <c r="U100" s="319" t="str">
        <f t="shared" si="1"/>
        <v>#REF!</v>
      </c>
      <c r="V100" s="319" t="str">
        <f t="shared" si="1"/>
        <v>#REF!</v>
      </c>
      <c r="W100" s="319" t="str">
        <f t="shared" si="1"/>
        <v>#REF!</v>
      </c>
      <c r="X100" s="319" t="str">
        <f t="shared" si="1"/>
        <v>#REF!</v>
      </c>
      <c r="Y100" s="319" t="str">
        <f t="shared" si="1"/>
        <v>#REF!</v>
      </c>
      <c r="Z100" s="319" t="str">
        <f t="shared" si="1"/>
        <v>#REF!</v>
      </c>
      <c r="AA100" s="319" t="str">
        <f t="shared" si="1"/>
        <v>#REF!</v>
      </c>
      <c r="AB100" s="319" t="str">
        <f t="shared" si="1"/>
        <v>#REF!</v>
      </c>
      <c r="AC100" s="319" t="str">
        <f t="shared" si="1"/>
        <v>#REF!</v>
      </c>
      <c r="AD100" s="319" t="str">
        <f t="shared" si="1"/>
        <v>#REF!</v>
      </c>
      <c r="AE100" s="319" t="str">
        <f t="shared" si="1"/>
        <v>#REF!</v>
      </c>
      <c r="AF100" s="319" t="str">
        <f t="shared" si="1"/>
        <v>#REF!</v>
      </c>
      <c r="AG100" s="319" t="str">
        <f t="shared" si="1"/>
        <v>#REF!</v>
      </c>
      <c r="AH100" s="319" t="str">
        <f t="shared" si="1"/>
        <v>#REF!</v>
      </c>
      <c r="AI100" s="319" t="str">
        <f t="shared" si="1"/>
        <v>#REF!</v>
      </c>
      <c r="AJ100" s="319" t="str">
        <f t="shared" si="1"/>
        <v>#REF!</v>
      </c>
      <c r="AK100" s="319" t="str">
        <f t="shared" si="1"/>
        <v>#REF!</v>
      </c>
    </row>
    <row r="101">
      <c r="B101" s="319">
        <f>IF(AND('Ações'!AS103="sim", 'Ações'!BD103="sim"), 1, 0)
</f>
        <v>1</v>
      </c>
      <c r="C101" s="319">
        <f>IF(AND('Ações'!AT103="sim", 'Ações'!BE103="sim"), 1, 0)
</f>
        <v>0</v>
      </c>
      <c r="D101" s="319">
        <f>IF(AND('Ações'!AU103="sim", 'Ações'!BF103="sim"), 1, 0)
</f>
        <v>0</v>
      </c>
      <c r="E101" s="319">
        <f>IF(AND('Ações'!AV103="sim", 'Ações'!BG103="sim"), 1, 0)
</f>
        <v>0</v>
      </c>
      <c r="F101" s="319">
        <f>IF(AND('Ações'!AW103="sim", 'Ações'!BH103="sim"), 1, 0)
</f>
        <v>0</v>
      </c>
      <c r="G101" s="319">
        <f>IF(AND('Ações'!AX103="sim", 'Ações'!BI103="sim"), 1, 0)
</f>
        <v>0</v>
      </c>
      <c r="H101" s="319">
        <f>IF(AND('Ações'!AS103="sim", 'Ações'!BE103="sim"), 1, 0)
</f>
        <v>0</v>
      </c>
      <c r="I101" s="319">
        <f>IF(AND('Ações'!AS103="sim", 'Ações'!BF103="sim"), 1, 0)
</f>
        <v>0</v>
      </c>
      <c r="J101" s="319">
        <f>IF(AND('Ações'!AS103="sim", 'Ações'!BG103="sim"), 1, 0)
</f>
        <v>0</v>
      </c>
      <c r="K101" s="319">
        <f>IF(AND('Ações'!AS103="sim", 'Ações'!BH103="sim"), 1, 0)
</f>
        <v>0</v>
      </c>
      <c r="L101" s="319">
        <f>IF(AND('Ações'!AS103="sim", 'Ações'!BI103="sim"), 1, 0)
</f>
        <v>0</v>
      </c>
      <c r="M101" s="319">
        <f>IF(AND('Ações'!AT103="sim", 'Ações'!BD103="sim"), 1, 0)
</f>
        <v>1</v>
      </c>
      <c r="N101" s="319">
        <f>IF(AND('Ações'!AT103="sim", 'Ações'!BF103="sim"), 1, 0)
</f>
        <v>0</v>
      </c>
      <c r="O101" s="319">
        <f>IF(AND('Ações'!AT103="sim", 'Ações'!BG103="sim"), 1, 0)
</f>
        <v>0</v>
      </c>
      <c r="P101" s="319">
        <f>IF(AND('Ações'!AT103="sim", 'Ações'!BH103="sim"), 1, 0)
</f>
        <v>0</v>
      </c>
      <c r="Q101" s="319">
        <f>IF(AND('Ações'!AT103="sim", 'Ações'!BI103="sim"), 1, 0)
</f>
        <v>0</v>
      </c>
      <c r="R101" s="319">
        <f>IF(AND('Ações'!AU103="sim", 'Ações'!BD103="sim"), 1, 0)
</f>
        <v>1</v>
      </c>
      <c r="S101" s="319">
        <f>IF(AND('Ações'!AU103="sim", 'Ações'!BE103="sim"), 1, 0)
</f>
        <v>0</v>
      </c>
      <c r="T101" s="319">
        <f>IF(AND('Ações'!AU103="sim", 'Ações'!BG103="sim"), 1, 0)
</f>
        <v>0</v>
      </c>
      <c r="U101" s="319">
        <f>IF(AND('Ações'!AU103="sim", 'Ações'!BH103="sim"), 1, 0)
</f>
        <v>0</v>
      </c>
      <c r="V101" s="319">
        <f>IF(AND('Ações'!AU103="sim", 'Ações'!BI103="sim"), 1, 0)
</f>
        <v>0</v>
      </c>
      <c r="W101" s="319">
        <f>IF(AND('Ações'!AV103="sim", 'Ações'!BD103="sim"), 1, 0)
</f>
        <v>1</v>
      </c>
      <c r="X101" s="319">
        <f>IF(AND('Ações'!AV103="sim", 'Ações'!BE103="sim"), 1, 0)
</f>
        <v>0</v>
      </c>
      <c r="Y101" s="319">
        <f>IF(AND('Ações'!AV103="sim", 'Ações'!BF103="sim"), 1, 0)
</f>
        <v>0</v>
      </c>
      <c r="Z101" s="319">
        <f>IF(AND('Ações'!AV103="sim", 'Ações'!BH103="sim"), 1, 0)
</f>
        <v>0</v>
      </c>
      <c r="AA101" s="319">
        <f>IF(AND('Ações'!AV103="sim", 'Ações'!BI103="sim"), 1, 0)
</f>
        <v>0</v>
      </c>
      <c r="AB101" s="319">
        <f>IF(AND('Ações'!AW103="sim", 'Ações'!BD103="sim"), 1, 0)
</f>
        <v>1</v>
      </c>
      <c r="AC101" s="319">
        <f>IF(AND('Ações'!AW103="sim", 'Ações'!BE103="sim"), 1, 0)
</f>
        <v>0</v>
      </c>
      <c r="AD101" s="319">
        <f>IF(AND('Ações'!AW103="sim", 'Ações'!BF103="sim"), 1, 0)
</f>
        <v>0</v>
      </c>
      <c r="AE101" s="319">
        <f>IF(AND('Ações'!AW103="sim", 'Ações'!BG103="sim"), 1, 0)
</f>
        <v>0</v>
      </c>
      <c r="AF101" s="319">
        <f>IF(AND('Ações'!AW103="sim", 'Ações'!BI103="sim"), 1, 0)
</f>
        <v>0</v>
      </c>
      <c r="AG101" s="319">
        <f>IF(AND('Ações'!AX103="sim", 'Ações'!BD103="sim"), 1, 0)
</f>
        <v>1</v>
      </c>
      <c r="AH101" s="319">
        <f>IF(AND('Ações'!AX103="sim", 'Ações'!BE103="sim"), 1, 0)
</f>
        <v>0</v>
      </c>
      <c r="AI101" s="319">
        <f>IF(AND('Ações'!AX103="sim", 'Ações'!BF103="sim"), 1, 0)
</f>
        <v>0</v>
      </c>
      <c r="AJ101" s="319">
        <f>IF(AND('Ações'!AX103="sim", 'Ações'!BG103="sim"), 1, 0)
</f>
        <v>0</v>
      </c>
      <c r="AK101" s="319">
        <f>IF(AND('Ações'!AX103="sim", 'Ações'!BH103="sim"), 1, 0)
</f>
        <v>0</v>
      </c>
    </row>
    <row r="102">
      <c r="B102" s="319">
        <f>IF(AND('Ações'!AS104="sim", 'Ações'!BD104="sim"), 1, 0)
</f>
        <v>1</v>
      </c>
      <c r="C102" s="319">
        <f>IF(AND('Ações'!AT104="sim", 'Ações'!BE104="sim"), 1, 0)
</f>
        <v>0</v>
      </c>
      <c r="D102" s="319">
        <f>IF(AND('Ações'!AU104="sim", 'Ações'!BF104="sim"), 1, 0)
</f>
        <v>0</v>
      </c>
      <c r="E102" s="319">
        <f>IF(AND('Ações'!AV104="sim", 'Ações'!BG104="sim"), 1, 0)
</f>
        <v>0</v>
      </c>
      <c r="F102" s="319">
        <f>IF(AND('Ações'!AW104="sim", 'Ações'!BH104="sim"), 1, 0)
</f>
        <v>0</v>
      </c>
      <c r="G102" s="319">
        <f>IF(AND('Ações'!AX104="sim", 'Ações'!BI104="sim"), 1, 0)
</f>
        <v>0</v>
      </c>
      <c r="H102" s="319">
        <f>IF(AND('Ações'!AS104="sim", 'Ações'!BE104="sim"), 1, 0)
</f>
        <v>0</v>
      </c>
      <c r="I102" s="319">
        <f>IF(AND('Ações'!AS104="sim", 'Ações'!BF104="sim"), 1, 0)
</f>
        <v>0</v>
      </c>
      <c r="J102" s="319">
        <f>IF(AND('Ações'!AS104="sim", 'Ações'!BG104="sim"), 1, 0)
</f>
        <v>0</v>
      </c>
      <c r="K102" s="319">
        <f>IF(AND('Ações'!AS104="sim", 'Ações'!BH104="sim"), 1, 0)
</f>
        <v>0</v>
      </c>
      <c r="L102" s="319">
        <f>IF(AND('Ações'!AS104="sim", 'Ações'!BI104="sim"), 1, 0)
</f>
        <v>0</v>
      </c>
      <c r="M102" s="319">
        <f>IF(AND('Ações'!AT104="sim", 'Ações'!BD104="sim"), 1, 0)
</f>
        <v>1</v>
      </c>
      <c r="N102" s="319">
        <f>IF(AND('Ações'!AT104="sim", 'Ações'!BF104="sim"), 1, 0)
</f>
        <v>0</v>
      </c>
      <c r="O102" s="319">
        <f>IF(AND('Ações'!AT104="sim", 'Ações'!BG104="sim"), 1, 0)
</f>
        <v>0</v>
      </c>
      <c r="P102" s="319">
        <f>IF(AND('Ações'!AT104="sim", 'Ações'!BH104="sim"), 1, 0)
</f>
        <v>0</v>
      </c>
      <c r="Q102" s="319">
        <f>IF(AND('Ações'!AT104="sim", 'Ações'!BI104="sim"), 1, 0)
</f>
        <v>0</v>
      </c>
      <c r="R102" s="319">
        <f>IF(AND('Ações'!AU104="sim", 'Ações'!BD104="sim"), 1, 0)
</f>
        <v>1</v>
      </c>
      <c r="S102" s="319">
        <f>IF(AND('Ações'!AU104="sim", 'Ações'!BE104="sim"), 1, 0)
</f>
        <v>0</v>
      </c>
      <c r="T102" s="319">
        <f>IF(AND('Ações'!AU104="sim", 'Ações'!BG104="sim"), 1, 0)
</f>
        <v>0</v>
      </c>
      <c r="U102" s="319">
        <f>IF(AND('Ações'!AU104="sim", 'Ações'!BH104="sim"), 1, 0)
</f>
        <v>0</v>
      </c>
      <c r="V102" s="319">
        <f>IF(AND('Ações'!AU104="sim", 'Ações'!BI104="sim"), 1, 0)
</f>
        <v>0</v>
      </c>
      <c r="W102" s="319">
        <f>IF(AND('Ações'!AV104="sim", 'Ações'!BD104="sim"), 1, 0)
</f>
        <v>1</v>
      </c>
      <c r="X102" s="319">
        <f>IF(AND('Ações'!AV104="sim", 'Ações'!BE104="sim"), 1, 0)
</f>
        <v>0</v>
      </c>
      <c r="Y102" s="319">
        <f>IF(AND('Ações'!AV104="sim", 'Ações'!BF104="sim"), 1, 0)
</f>
        <v>0</v>
      </c>
      <c r="Z102" s="319">
        <f>IF(AND('Ações'!AV104="sim", 'Ações'!BH104="sim"), 1, 0)
</f>
        <v>0</v>
      </c>
      <c r="AA102" s="319">
        <f>IF(AND('Ações'!AV104="sim", 'Ações'!BI104="sim"), 1, 0)
</f>
        <v>0</v>
      </c>
      <c r="AB102" s="319">
        <f>IF(AND('Ações'!AW104="sim", 'Ações'!BD104="sim"), 1, 0)
</f>
        <v>1</v>
      </c>
      <c r="AC102" s="319">
        <f>IF(AND('Ações'!AW104="sim", 'Ações'!BE104="sim"), 1, 0)
</f>
        <v>0</v>
      </c>
      <c r="AD102" s="319">
        <f>IF(AND('Ações'!AW104="sim", 'Ações'!BF104="sim"), 1, 0)
</f>
        <v>0</v>
      </c>
      <c r="AE102" s="319">
        <f>IF(AND('Ações'!AW104="sim", 'Ações'!BG104="sim"), 1, 0)
</f>
        <v>0</v>
      </c>
      <c r="AF102" s="319">
        <f>IF(AND('Ações'!AW104="sim", 'Ações'!BI104="sim"), 1, 0)
</f>
        <v>0</v>
      </c>
      <c r="AG102" s="319">
        <f>IF(AND('Ações'!AX104="sim", 'Ações'!BD104="sim"), 1, 0)
</f>
        <v>1</v>
      </c>
      <c r="AH102" s="319">
        <f>IF(AND('Ações'!AX104="sim", 'Ações'!BE104="sim"), 1, 0)
</f>
        <v>0</v>
      </c>
      <c r="AI102" s="319">
        <f>IF(AND('Ações'!AX104="sim", 'Ações'!BF104="sim"), 1, 0)
</f>
        <v>0</v>
      </c>
      <c r="AJ102" s="319">
        <f>IF(AND('Ações'!AX104="sim", 'Ações'!BG104="sim"), 1, 0)
</f>
        <v>0</v>
      </c>
      <c r="AK102" s="319">
        <f>IF(AND('Ações'!AX104="sim", 'Ações'!BH104="sim"), 1, 0)
</f>
        <v>0</v>
      </c>
    </row>
    <row r="103">
      <c r="B103" s="319">
        <f>IF(AND('Ações'!AS105="sim", 'Ações'!BD105="sim"), 1, 0)
</f>
        <v>0</v>
      </c>
      <c r="C103" s="319">
        <f>IF(AND('Ações'!AT105="sim", 'Ações'!BE105="sim"), 1, 0)
</f>
        <v>0</v>
      </c>
      <c r="D103" s="319">
        <f>IF(AND('Ações'!AU105="sim", 'Ações'!BF105="sim"), 1, 0)
</f>
        <v>0</v>
      </c>
      <c r="E103" s="319">
        <f>IF(AND('Ações'!AV105="sim", 'Ações'!BG105="sim"), 1, 0)
</f>
        <v>0</v>
      </c>
      <c r="F103" s="319">
        <f>IF(AND('Ações'!AW105="sim", 'Ações'!BH105="sim"), 1, 0)
</f>
        <v>0</v>
      </c>
      <c r="G103" s="319">
        <f>IF(AND('Ações'!AX105="sim", 'Ações'!BI105="sim"), 1, 0)
</f>
        <v>1</v>
      </c>
      <c r="H103" s="319">
        <f>IF(AND('Ações'!AS105="sim", 'Ações'!BE105="sim"), 1, 0)
</f>
        <v>0</v>
      </c>
      <c r="I103" s="319">
        <f>IF(AND('Ações'!AS105="sim", 'Ações'!BF105="sim"), 1, 0)
</f>
        <v>0</v>
      </c>
      <c r="J103" s="319">
        <f>IF(AND('Ações'!AS105="sim", 'Ações'!BG105="sim"), 1, 0)
</f>
        <v>0</v>
      </c>
      <c r="K103" s="319">
        <f>IF(AND('Ações'!AS105="sim", 'Ações'!BH105="sim"), 1, 0)
</f>
        <v>0</v>
      </c>
      <c r="L103" s="319">
        <f>IF(AND('Ações'!AS105="sim", 'Ações'!BI105="sim"), 1, 0)
</f>
        <v>1</v>
      </c>
      <c r="M103" s="319">
        <f>IF(AND('Ações'!AT105="sim", 'Ações'!BD105="sim"), 1, 0)
</f>
        <v>0</v>
      </c>
      <c r="N103" s="319">
        <f>IF(AND('Ações'!AT105="sim", 'Ações'!BF105="sim"), 1, 0)
</f>
        <v>0</v>
      </c>
      <c r="O103" s="319">
        <f>IF(AND('Ações'!AT105="sim", 'Ações'!BG105="sim"), 1, 0)
</f>
        <v>0</v>
      </c>
      <c r="P103" s="319">
        <f>IF(AND('Ações'!AT105="sim", 'Ações'!BH105="sim"), 1, 0)
</f>
        <v>0</v>
      </c>
      <c r="Q103" s="319">
        <f>IF(AND('Ações'!AT105="sim", 'Ações'!BI105="sim"), 1, 0)
</f>
        <v>1</v>
      </c>
      <c r="R103" s="319">
        <f>IF(AND('Ações'!AU105="sim", 'Ações'!BD105="sim"), 1, 0)
</f>
        <v>0</v>
      </c>
      <c r="S103" s="319">
        <f>IF(AND('Ações'!AU105="sim", 'Ações'!BE105="sim"), 1, 0)
</f>
        <v>0</v>
      </c>
      <c r="T103" s="319">
        <f>IF(AND('Ações'!AU105="sim", 'Ações'!BG105="sim"), 1, 0)
</f>
        <v>0</v>
      </c>
      <c r="U103" s="319">
        <f>IF(AND('Ações'!AU105="sim", 'Ações'!BH105="sim"), 1, 0)
</f>
        <v>0</v>
      </c>
      <c r="V103" s="319">
        <f>IF(AND('Ações'!AU105="sim", 'Ações'!BI105="sim"), 1, 0)
</f>
        <v>1</v>
      </c>
      <c r="W103" s="319">
        <f>IF(AND('Ações'!AV105="sim", 'Ações'!BD105="sim"), 1, 0)
</f>
        <v>0</v>
      </c>
      <c r="X103" s="319">
        <f>IF(AND('Ações'!AV105="sim", 'Ações'!BE105="sim"), 1, 0)
</f>
        <v>0</v>
      </c>
      <c r="Y103" s="319">
        <f>IF(AND('Ações'!AV105="sim", 'Ações'!BF105="sim"), 1, 0)
</f>
        <v>0</v>
      </c>
      <c r="Z103" s="319">
        <f>IF(AND('Ações'!AV105="sim", 'Ações'!BH105="sim"), 1, 0)
</f>
        <v>0</v>
      </c>
      <c r="AA103" s="319">
        <f>IF(AND('Ações'!AV105="sim", 'Ações'!BI105="sim"), 1, 0)
</f>
        <v>1</v>
      </c>
      <c r="AB103" s="319">
        <f>IF(AND('Ações'!AW105="sim", 'Ações'!BD105="sim"), 1, 0)
</f>
        <v>0</v>
      </c>
      <c r="AC103" s="319">
        <f>IF(AND('Ações'!AW105="sim", 'Ações'!BE105="sim"), 1, 0)
</f>
        <v>0</v>
      </c>
      <c r="AD103" s="319">
        <f>IF(AND('Ações'!AW105="sim", 'Ações'!BF105="sim"), 1, 0)
</f>
        <v>0</v>
      </c>
      <c r="AE103" s="319">
        <f>IF(AND('Ações'!AW105="sim", 'Ações'!BG105="sim"), 1, 0)
</f>
        <v>0</v>
      </c>
      <c r="AF103" s="319">
        <f>IF(AND('Ações'!AW105="sim", 'Ações'!BI105="sim"), 1, 0)
</f>
        <v>1</v>
      </c>
      <c r="AG103" s="319">
        <f>IF(AND('Ações'!AX105="sim", 'Ações'!BD105="sim"), 1, 0)
</f>
        <v>0</v>
      </c>
      <c r="AH103" s="319">
        <f>IF(AND('Ações'!AX105="sim", 'Ações'!BE105="sim"), 1, 0)
</f>
        <v>0</v>
      </c>
      <c r="AI103" s="319">
        <f>IF(AND('Ações'!AX105="sim", 'Ações'!BF105="sim"), 1, 0)
</f>
        <v>0</v>
      </c>
      <c r="AJ103" s="319">
        <f>IF(AND('Ações'!AX105="sim", 'Ações'!BG105="sim"), 1, 0)
</f>
        <v>0</v>
      </c>
      <c r="AK103" s="319">
        <f>IF(AND('Ações'!AX105="sim", 'Ações'!BH105="sim"), 1, 0)
</f>
        <v>0</v>
      </c>
    </row>
    <row r="104">
      <c r="B104" s="319">
        <f>IF(AND('Ações'!AS106="sim", 'Ações'!BD106="sim"), 1, 0)
</f>
        <v>1</v>
      </c>
      <c r="C104" s="319">
        <f>IF(AND('Ações'!AT106="sim", 'Ações'!BE106="sim"), 1, 0)
</f>
        <v>0</v>
      </c>
      <c r="D104" s="319">
        <f>IF(AND('Ações'!AU106="sim", 'Ações'!BF106="sim"), 1, 0)
</f>
        <v>0</v>
      </c>
      <c r="E104" s="319">
        <f>IF(AND('Ações'!AV106="sim", 'Ações'!BG106="sim"), 1, 0)
</f>
        <v>0</v>
      </c>
      <c r="F104" s="319">
        <f>IF(AND('Ações'!AW106="sim", 'Ações'!BH106="sim"), 1, 0)
</f>
        <v>0</v>
      </c>
      <c r="G104" s="319">
        <f>IF(AND('Ações'!AX106="sim", 'Ações'!BI106="sim"), 1, 0)
</f>
        <v>0</v>
      </c>
      <c r="H104" s="319">
        <f>IF(AND('Ações'!AS106="sim", 'Ações'!BE106="sim"), 1, 0)
</f>
        <v>0</v>
      </c>
      <c r="I104" s="319">
        <f>IF(AND('Ações'!AS106="sim", 'Ações'!BF106="sim"), 1, 0)
</f>
        <v>0</v>
      </c>
      <c r="J104" s="319">
        <f>IF(AND('Ações'!AS106="sim", 'Ações'!BG106="sim"), 1, 0)
</f>
        <v>0</v>
      </c>
      <c r="K104" s="319">
        <f>IF(AND('Ações'!AS106="sim", 'Ações'!BH106="sim"), 1, 0)
</f>
        <v>0</v>
      </c>
      <c r="L104" s="319">
        <f>IF(AND('Ações'!AS106="sim", 'Ações'!BI106="sim"), 1, 0)
</f>
        <v>0</v>
      </c>
      <c r="M104" s="319">
        <f>IF(AND('Ações'!AT106="sim", 'Ações'!BD106="sim"), 1, 0)
</f>
        <v>1</v>
      </c>
      <c r="N104" s="319">
        <f>IF(AND('Ações'!AT106="sim", 'Ações'!BF106="sim"), 1, 0)
</f>
        <v>0</v>
      </c>
      <c r="O104" s="319">
        <f>IF(AND('Ações'!AT106="sim", 'Ações'!BG106="sim"), 1, 0)
</f>
        <v>0</v>
      </c>
      <c r="P104" s="319">
        <f>IF(AND('Ações'!AT106="sim", 'Ações'!BH106="sim"), 1, 0)
</f>
        <v>0</v>
      </c>
      <c r="Q104" s="319">
        <f>IF(AND('Ações'!AT106="sim", 'Ações'!BI106="sim"), 1, 0)
</f>
        <v>0</v>
      </c>
      <c r="R104" s="319">
        <f>IF(AND('Ações'!AU106="sim", 'Ações'!BD106="sim"), 1, 0)
</f>
        <v>1</v>
      </c>
      <c r="S104" s="319">
        <f>IF(AND('Ações'!AU106="sim", 'Ações'!BE106="sim"), 1, 0)
</f>
        <v>0</v>
      </c>
      <c r="T104" s="319">
        <f>IF(AND('Ações'!AU106="sim", 'Ações'!BG106="sim"), 1, 0)
</f>
        <v>0</v>
      </c>
      <c r="U104" s="319">
        <f>IF(AND('Ações'!AU106="sim", 'Ações'!BH106="sim"), 1, 0)
</f>
        <v>0</v>
      </c>
      <c r="V104" s="319">
        <f>IF(AND('Ações'!AU106="sim", 'Ações'!BI106="sim"), 1, 0)
</f>
        <v>0</v>
      </c>
      <c r="W104" s="319">
        <f>IF(AND('Ações'!AV106="sim", 'Ações'!BD106="sim"), 1, 0)
</f>
        <v>1</v>
      </c>
      <c r="X104" s="319">
        <f>IF(AND('Ações'!AV106="sim", 'Ações'!BE106="sim"), 1, 0)
</f>
        <v>0</v>
      </c>
      <c r="Y104" s="319">
        <f>IF(AND('Ações'!AV106="sim", 'Ações'!BF106="sim"), 1, 0)
</f>
        <v>0</v>
      </c>
      <c r="Z104" s="319">
        <f>IF(AND('Ações'!AV106="sim", 'Ações'!BH106="sim"), 1, 0)
</f>
        <v>0</v>
      </c>
      <c r="AA104" s="319">
        <f>IF(AND('Ações'!AV106="sim", 'Ações'!BI106="sim"), 1, 0)
</f>
        <v>0</v>
      </c>
      <c r="AB104" s="319">
        <f>IF(AND('Ações'!AW106="sim", 'Ações'!BD106="sim"), 1, 0)
</f>
        <v>1</v>
      </c>
      <c r="AC104" s="319">
        <f>IF(AND('Ações'!AW106="sim", 'Ações'!BE106="sim"), 1, 0)
</f>
        <v>0</v>
      </c>
      <c r="AD104" s="319">
        <f>IF(AND('Ações'!AW106="sim", 'Ações'!BF106="sim"), 1, 0)
</f>
        <v>0</v>
      </c>
      <c r="AE104" s="319">
        <f>IF(AND('Ações'!AW106="sim", 'Ações'!BG106="sim"), 1, 0)
</f>
        <v>0</v>
      </c>
      <c r="AF104" s="319">
        <f>IF(AND('Ações'!AW106="sim", 'Ações'!BI106="sim"), 1, 0)
</f>
        <v>0</v>
      </c>
      <c r="AG104" s="319">
        <f>IF(AND('Ações'!AX106="sim", 'Ações'!BD106="sim"), 1, 0)
</f>
        <v>1</v>
      </c>
      <c r="AH104" s="319">
        <f>IF(AND('Ações'!AX106="sim", 'Ações'!BE106="sim"), 1, 0)
</f>
        <v>0</v>
      </c>
      <c r="AI104" s="319">
        <f>IF(AND('Ações'!AX106="sim", 'Ações'!BF106="sim"), 1, 0)
</f>
        <v>0</v>
      </c>
      <c r="AJ104" s="319">
        <f>IF(AND('Ações'!AX106="sim", 'Ações'!BG106="sim"), 1, 0)
</f>
        <v>0</v>
      </c>
      <c r="AK104" s="319">
        <f>IF(AND('Ações'!AX106="sim", 'Ações'!BH106="sim"), 1, 0)
</f>
        <v>0</v>
      </c>
    </row>
    <row r="105">
      <c r="B105" s="319">
        <f>IF(AND('Ações'!AS107="sim", 'Ações'!BD107="sim"), 1, 0)
</f>
        <v>1</v>
      </c>
      <c r="C105" s="319">
        <f>IF(AND('Ações'!AT107="sim", 'Ações'!BE107="sim"), 1, 0)
</f>
        <v>0</v>
      </c>
      <c r="D105" s="319">
        <f>IF(AND('Ações'!AU107="sim", 'Ações'!BF107="sim"), 1, 0)
</f>
        <v>0</v>
      </c>
      <c r="E105" s="319">
        <f>IF(AND('Ações'!AV107="sim", 'Ações'!BG107="sim"), 1, 0)
</f>
        <v>0</v>
      </c>
      <c r="F105" s="319">
        <f>IF(AND('Ações'!AW107="sim", 'Ações'!BH107="sim"), 1, 0)
</f>
        <v>0</v>
      </c>
      <c r="G105" s="319">
        <f>IF(AND('Ações'!AX107="sim", 'Ações'!BI107="sim"), 1, 0)
</f>
        <v>0</v>
      </c>
      <c r="H105" s="319">
        <f>IF(AND('Ações'!AS107="sim", 'Ações'!BE107="sim"), 1, 0)
</f>
        <v>0</v>
      </c>
      <c r="I105" s="319">
        <f>IF(AND('Ações'!AS107="sim", 'Ações'!BF107="sim"), 1, 0)
</f>
        <v>0</v>
      </c>
      <c r="J105" s="319">
        <f>IF(AND('Ações'!AS107="sim", 'Ações'!BG107="sim"), 1, 0)
</f>
        <v>0</v>
      </c>
      <c r="K105" s="319">
        <f>IF(AND('Ações'!AS107="sim", 'Ações'!BH107="sim"), 1, 0)
</f>
        <v>0</v>
      </c>
      <c r="L105" s="319">
        <f>IF(AND('Ações'!AS107="sim", 'Ações'!BI107="sim"), 1, 0)
</f>
        <v>0</v>
      </c>
      <c r="M105" s="319">
        <f>IF(AND('Ações'!AT107="sim", 'Ações'!BD107="sim"), 1, 0)
</f>
        <v>1</v>
      </c>
      <c r="N105" s="319">
        <f>IF(AND('Ações'!AT107="sim", 'Ações'!BF107="sim"), 1, 0)
</f>
        <v>0</v>
      </c>
      <c r="O105" s="319">
        <f>IF(AND('Ações'!AT107="sim", 'Ações'!BG107="sim"), 1, 0)
</f>
        <v>0</v>
      </c>
      <c r="P105" s="319">
        <f>IF(AND('Ações'!AT107="sim", 'Ações'!BH107="sim"), 1, 0)
</f>
        <v>0</v>
      </c>
      <c r="Q105" s="319">
        <f>IF(AND('Ações'!AT107="sim", 'Ações'!BI107="sim"), 1, 0)
</f>
        <v>0</v>
      </c>
      <c r="R105" s="319">
        <f>IF(AND('Ações'!AU107="sim", 'Ações'!BD107="sim"), 1, 0)
</f>
        <v>1</v>
      </c>
      <c r="S105" s="319">
        <f>IF(AND('Ações'!AU107="sim", 'Ações'!BE107="sim"), 1, 0)
</f>
        <v>0</v>
      </c>
      <c r="T105" s="319">
        <f>IF(AND('Ações'!AU107="sim", 'Ações'!BG107="sim"), 1, 0)
</f>
        <v>0</v>
      </c>
      <c r="U105" s="319">
        <f>IF(AND('Ações'!AU107="sim", 'Ações'!BH107="sim"), 1, 0)
</f>
        <v>0</v>
      </c>
      <c r="V105" s="319">
        <f>IF(AND('Ações'!AU107="sim", 'Ações'!BI107="sim"), 1, 0)
</f>
        <v>0</v>
      </c>
      <c r="W105" s="319">
        <f>IF(AND('Ações'!AV107="sim", 'Ações'!BD107="sim"), 1, 0)
</f>
        <v>1</v>
      </c>
      <c r="X105" s="319">
        <f>IF(AND('Ações'!AV107="sim", 'Ações'!BE107="sim"), 1, 0)
</f>
        <v>0</v>
      </c>
      <c r="Y105" s="319">
        <f>IF(AND('Ações'!AV107="sim", 'Ações'!BF107="sim"), 1, 0)
</f>
        <v>0</v>
      </c>
      <c r="Z105" s="319">
        <f>IF(AND('Ações'!AV107="sim", 'Ações'!BH107="sim"), 1, 0)
</f>
        <v>0</v>
      </c>
      <c r="AA105" s="319">
        <f>IF(AND('Ações'!AV107="sim", 'Ações'!BI107="sim"), 1, 0)
</f>
        <v>0</v>
      </c>
      <c r="AB105" s="319">
        <f>IF(AND('Ações'!AW107="sim", 'Ações'!BD107="sim"), 1, 0)
</f>
        <v>1</v>
      </c>
      <c r="AC105" s="319">
        <f>IF(AND('Ações'!AW107="sim", 'Ações'!BE107="sim"), 1, 0)
</f>
        <v>0</v>
      </c>
      <c r="AD105" s="319">
        <f>IF(AND('Ações'!AW107="sim", 'Ações'!BF107="sim"), 1, 0)
</f>
        <v>0</v>
      </c>
      <c r="AE105" s="319">
        <f>IF(AND('Ações'!AW107="sim", 'Ações'!BG107="sim"), 1, 0)
</f>
        <v>0</v>
      </c>
      <c r="AF105" s="319">
        <f>IF(AND('Ações'!AW107="sim", 'Ações'!BI107="sim"), 1, 0)
</f>
        <v>0</v>
      </c>
      <c r="AG105" s="319">
        <f>IF(AND('Ações'!AX107="sim", 'Ações'!BD107="sim"), 1, 0)
</f>
        <v>1</v>
      </c>
      <c r="AH105" s="319">
        <f>IF(AND('Ações'!AX107="sim", 'Ações'!BE107="sim"), 1, 0)
</f>
        <v>0</v>
      </c>
      <c r="AI105" s="319">
        <f>IF(AND('Ações'!AX107="sim", 'Ações'!BF107="sim"), 1, 0)
</f>
        <v>0</v>
      </c>
      <c r="AJ105" s="319">
        <f>IF(AND('Ações'!AX107="sim", 'Ações'!BG107="sim"), 1, 0)
</f>
        <v>0</v>
      </c>
      <c r="AK105" s="319">
        <f>IF(AND('Ações'!AX107="sim", 'Ações'!BH107="sim"), 1, 0)
</f>
        <v>0</v>
      </c>
    </row>
    <row r="106">
      <c r="B106" s="319">
        <f>IF(AND('Ações'!AS108="sim", 'Ações'!BD108="sim"), 1, 0)
</f>
        <v>1</v>
      </c>
      <c r="C106" s="319">
        <f>IF(AND('Ações'!AT108="sim", 'Ações'!BE108="sim"), 1, 0)
</f>
        <v>0</v>
      </c>
      <c r="D106" s="319">
        <f>IF(AND('Ações'!AU108="sim", 'Ações'!BF108="sim"), 1, 0)
</f>
        <v>0</v>
      </c>
      <c r="E106" s="319">
        <f>IF(AND('Ações'!AV108="sim", 'Ações'!BG108="sim"), 1, 0)
</f>
        <v>0</v>
      </c>
      <c r="F106" s="319">
        <f>IF(AND('Ações'!AW108="sim", 'Ações'!BH108="sim"), 1, 0)
</f>
        <v>0</v>
      </c>
      <c r="G106" s="319">
        <f>IF(AND('Ações'!AX108="sim", 'Ações'!BI108="sim"), 1, 0)
</f>
        <v>0</v>
      </c>
      <c r="H106" s="319">
        <f>IF(AND('Ações'!AS108="sim", 'Ações'!BE108="sim"), 1, 0)
</f>
        <v>0</v>
      </c>
      <c r="I106" s="319">
        <f>IF(AND('Ações'!AS108="sim", 'Ações'!BF108="sim"), 1, 0)
</f>
        <v>0</v>
      </c>
      <c r="J106" s="319">
        <f>IF(AND('Ações'!AS108="sim", 'Ações'!BG108="sim"), 1, 0)
</f>
        <v>0</v>
      </c>
      <c r="K106" s="319">
        <f>IF(AND('Ações'!AS108="sim", 'Ações'!BH108="sim"), 1, 0)
</f>
        <v>0</v>
      </c>
      <c r="L106" s="319">
        <f>IF(AND('Ações'!AS108="sim", 'Ações'!BI108="sim"), 1, 0)
</f>
        <v>0</v>
      </c>
      <c r="M106" s="319">
        <f>IF(AND('Ações'!AT108="sim", 'Ações'!BD108="sim"), 1, 0)
</f>
        <v>1</v>
      </c>
      <c r="N106" s="319">
        <f>IF(AND('Ações'!AT108="sim", 'Ações'!BF108="sim"), 1, 0)
</f>
        <v>0</v>
      </c>
      <c r="O106" s="319">
        <f>IF(AND('Ações'!AT108="sim", 'Ações'!BG108="sim"), 1, 0)
</f>
        <v>0</v>
      </c>
      <c r="P106" s="319">
        <f>IF(AND('Ações'!AT108="sim", 'Ações'!BH108="sim"), 1, 0)
</f>
        <v>0</v>
      </c>
      <c r="Q106" s="319">
        <f>IF(AND('Ações'!AT108="sim", 'Ações'!BI108="sim"), 1, 0)
</f>
        <v>0</v>
      </c>
      <c r="R106" s="319">
        <f>IF(AND('Ações'!AU108="sim", 'Ações'!BD108="sim"), 1, 0)
</f>
        <v>1</v>
      </c>
      <c r="S106" s="319">
        <f>IF(AND('Ações'!AU108="sim", 'Ações'!BE108="sim"), 1, 0)
</f>
        <v>0</v>
      </c>
      <c r="T106" s="319">
        <f>IF(AND('Ações'!AU108="sim", 'Ações'!BG108="sim"), 1, 0)
</f>
        <v>0</v>
      </c>
      <c r="U106" s="319">
        <f>IF(AND('Ações'!AU108="sim", 'Ações'!BH108="sim"), 1, 0)
</f>
        <v>0</v>
      </c>
      <c r="V106" s="319">
        <f>IF(AND('Ações'!AU108="sim", 'Ações'!BI108="sim"), 1, 0)
</f>
        <v>0</v>
      </c>
      <c r="W106" s="319">
        <f>IF(AND('Ações'!AV108="sim", 'Ações'!BD108="sim"), 1, 0)
</f>
        <v>1</v>
      </c>
      <c r="X106" s="319">
        <f>IF(AND('Ações'!AV108="sim", 'Ações'!BE108="sim"), 1, 0)
</f>
        <v>0</v>
      </c>
      <c r="Y106" s="319">
        <f>IF(AND('Ações'!AV108="sim", 'Ações'!BF108="sim"), 1, 0)
</f>
        <v>0</v>
      </c>
      <c r="Z106" s="319">
        <f>IF(AND('Ações'!AV108="sim", 'Ações'!BH108="sim"), 1, 0)
</f>
        <v>0</v>
      </c>
      <c r="AA106" s="319">
        <f>IF(AND('Ações'!AV108="sim", 'Ações'!BI108="sim"), 1, 0)
</f>
        <v>0</v>
      </c>
      <c r="AB106" s="319">
        <f>IF(AND('Ações'!AW108="sim", 'Ações'!BD108="sim"), 1, 0)
</f>
        <v>1</v>
      </c>
      <c r="AC106" s="319">
        <f>IF(AND('Ações'!AW108="sim", 'Ações'!BE108="sim"), 1, 0)
</f>
        <v>0</v>
      </c>
      <c r="AD106" s="319">
        <f>IF(AND('Ações'!AW108="sim", 'Ações'!BF108="sim"), 1, 0)
</f>
        <v>0</v>
      </c>
      <c r="AE106" s="319">
        <f>IF(AND('Ações'!AW108="sim", 'Ações'!BG108="sim"), 1, 0)
</f>
        <v>0</v>
      </c>
      <c r="AF106" s="319">
        <f>IF(AND('Ações'!AW108="sim", 'Ações'!BI108="sim"), 1, 0)
</f>
        <v>0</v>
      </c>
      <c r="AG106" s="319">
        <f>IF(AND('Ações'!AX108="sim", 'Ações'!BD108="sim"), 1, 0)
</f>
        <v>1</v>
      </c>
      <c r="AH106" s="319">
        <f>IF(AND('Ações'!AX108="sim", 'Ações'!BE108="sim"), 1, 0)
</f>
        <v>0</v>
      </c>
      <c r="AI106" s="319">
        <f>IF(AND('Ações'!AX108="sim", 'Ações'!BF108="sim"), 1, 0)
</f>
        <v>0</v>
      </c>
      <c r="AJ106" s="319">
        <f>IF(AND('Ações'!AX108="sim", 'Ações'!BG108="sim"), 1, 0)
</f>
        <v>0</v>
      </c>
      <c r="AK106" s="319">
        <f>IF(AND('Ações'!AX108="sim", 'Ações'!BH108="sim"), 1, 0)
</f>
        <v>0</v>
      </c>
    </row>
    <row r="107">
      <c r="B107" s="319">
        <f>IF(AND('Ações'!AS109="sim", 'Ações'!BD109="sim"), 1, 0)
</f>
        <v>1</v>
      </c>
      <c r="C107" s="319">
        <f>IF(AND('Ações'!AT109="sim", 'Ações'!BE109="sim"), 1, 0)
</f>
        <v>0</v>
      </c>
      <c r="D107" s="319">
        <f>IF(AND('Ações'!AU109="sim", 'Ações'!BF109="sim"), 1, 0)
</f>
        <v>0</v>
      </c>
      <c r="E107" s="319">
        <f>IF(AND('Ações'!AV109="sim", 'Ações'!BG109="sim"), 1, 0)
</f>
        <v>0</v>
      </c>
      <c r="F107" s="319">
        <f>IF(AND('Ações'!AW109="sim", 'Ações'!BH109="sim"), 1, 0)
</f>
        <v>0</v>
      </c>
      <c r="G107" s="319">
        <f>IF(AND('Ações'!AX109="sim", 'Ações'!BI109="sim"), 1, 0)
</f>
        <v>0</v>
      </c>
      <c r="H107" s="319">
        <f>IF(AND('Ações'!AS109="sim", 'Ações'!BE109="sim"), 1, 0)
</f>
        <v>0</v>
      </c>
      <c r="I107" s="319">
        <f>IF(AND('Ações'!AS109="sim", 'Ações'!BF109="sim"), 1, 0)
</f>
        <v>0</v>
      </c>
      <c r="J107" s="319">
        <f>IF(AND('Ações'!AS109="sim", 'Ações'!BG109="sim"), 1, 0)
</f>
        <v>0</v>
      </c>
      <c r="K107" s="319">
        <f>IF(AND('Ações'!AS109="sim", 'Ações'!BH109="sim"), 1, 0)
</f>
        <v>0</v>
      </c>
      <c r="L107" s="319">
        <f>IF(AND('Ações'!AS109="sim", 'Ações'!BI109="sim"), 1, 0)
</f>
        <v>0</v>
      </c>
      <c r="M107" s="319">
        <f>IF(AND('Ações'!AT109="sim", 'Ações'!BD109="sim"), 1, 0)
</f>
        <v>1</v>
      </c>
      <c r="N107" s="319">
        <f>IF(AND('Ações'!AT109="sim", 'Ações'!BF109="sim"), 1, 0)
</f>
        <v>0</v>
      </c>
      <c r="O107" s="319">
        <f>IF(AND('Ações'!AT109="sim", 'Ações'!BG109="sim"), 1, 0)
</f>
        <v>0</v>
      </c>
      <c r="P107" s="319">
        <f>IF(AND('Ações'!AT109="sim", 'Ações'!BH109="sim"), 1, 0)
</f>
        <v>0</v>
      </c>
      <c r="Q107" s="319">
        <f>IF(AND('Ações'!AT109="sim", 'Ações'!BI109="sim"), 1, 0)
</f>
        <v>0</v>
      </c>
      <c r="R107" s="319">
        <f>IF(AND('Ações'!AU109="sim", 'Ações'!BD109="sim"), 1, 0)
</f>
        <v>1</v>
      </c>
      <c r="S107" s="319">
        <f>IF(AND('Ações'!AU109="sim", 'Ações'!BE109="sim"), 1, 0)
</f>
        <v>0</v>
      </c>
      <c r="T107" s="319">
        <f>IF(AND('Ações'!AU109="sim", 'Ações'!BG109="sim"), 1, 0)
</f>
        <v>0</v>
      </c>
      <c r="U107" s="319">
        <f>IF(AND('Ações'!AU109="sim", 'Ações'!BH109="sim"), 1, 0)
</f>
        <v>0</v>
      </c>
      <c r="V107" s="319">
        <f>IF(AND('Ações'!AU109="sim", 'Ações'!BI109="sim"), 1, 0)
</f>
        <v>0</v>
      </c>
      <c r="W107" s="319">
        <f>IF(AND('Ações'!AV109="sim", 'Ações'!BD109="sim"), 1, 0)
</f>
        <v>1</v>
      </c>
      <c r="X107" s="319">
        <f>IF(AND('Ações'!AV109="sim", 'Ações'!BE109="sim"), 1, 0)
</f>
        <v>0</v>
      </c>
      <c r="Y107" s="319">
        <f>IF(AND('Ações'!AV109="sim", 'Ações'!BF109="sim"), 1, 0)
</f>
        <v>0</v>
      </c>
      <c r="Z107" s="319">
        <f>IF(AND('Ações'!AV109="sim", 'Ações'!BH109="sim"), 1, 0)
</f>
        <v>0</v>
      </c>
      <c r="AA107" s="319">
        <f>IF(AND('Ações'!AV109="sim", 'Ações'!BI109="sim"), 1, 0)
</f>
        <v>0</v>
      </c>
      <c r="AB107" s="319">
        <f>IF(AND('Ações'!AW109="sim", 'Ações'!BD109="sim"), 1, 0)
</f>
        <v>1</v>
      </c>
      <c r="AC107" s="319">
        <f>IF(AND('Ações'!AW109="sim", 'Ações'!BE109="sim"), 1, 0)
</f>
        <v>0</v>
      </c>
      <c r="AD107" s="319">
        <f>IF(AND('Ações'!AW109="sim", 'Ações'!BF109="sim"), 1, 0)
</f>
        <v>0</v>
      </c>
      <c r="AE107" s="319">
        <f>IF(AND('Ações'!AW109="sim", 'Ações'!BG109="sim"), 1, 0)
</f>
        <v>0</v>
      </c>
      <c r="AF107" s="319">
        <f>IF(AND('Ações'!AW109="sim", 'Ações'!BI109="sim"), 1, 0)
</f>
        <v>0</v>
      </c>
      <c r="AG107" s="319">
        <f>IF(AND('Ações'!AX109="sim", 'Ações'!BD109="sim"), 1, 0)
</f>
        <v>1</v>
      </c>
      <c r="AH107" s="319">
        <f>IF(AND('Ações'!AX109="sim", 'Ações'!BE109="sim"), 1, 0)
</f>
        <v>0</v>
      </c>
      <c r="AI107" s="319">
        <f>IF(AND('Ações'!AX109="sim", 'Ações'!BF109="sim"), 1, 0)
</f>
        <v>0</v>
      </c>
      <c r="AJ107" s="319">
        <f>IF(AND('Ações'!AX109="sim", 'Ações'!BG109="sim"), 1, 0)
</f>
        <v>0</v>
      </c>
      <c r="AK107" s="319">
        <f>IF(AND('Ações'!AX109="sim", 'Ações'!BH109="sim"), 1, 0)
</f>
        <v>0</v>
      </c>
    </row>
    <row r="108">
      <c r="B108" s="319">
        <f>IF(AND('Ações'!AS110="sim", 'Ações'!BD110="sim"), 1, 0)
</f>
        <v>1</v>
      </c>
      <c r="C108" s="319">
        <f>IF(AND('Ações'!AT110="sim", 'Ações'!BE110="sim"), 1, 0)
</f>
        <v>0</v>
      </c>
      <c r="D108" s="319">
        <f>IF(AND('Ações'!AU110="sim", 'Ações'!BF110="sim"), 1, 0)
</f>
        <v>0</v>
      </c>
      <c r="E108" s="319">
        <f>IF(AND('Ações'!AV110="sim", 'Ações'!BG110="sim"), 1, 0)
</f>
        <v>0</v>
      </c>
      <c r="F108" s="319">
        <f>IF(AND('Ações'!AW110="sim", 'Ações'!BH110="sim"), 1, 0)
</f>
        <v>0</v>
      </c>
      <c r="G108" s="319">
        <f>IF(AND('Ações'!AX110="sim", 'Ações'!BI110="sim"), 1, 0)
</f>
        <v>0</v>
      </c>
      <c r="H108" s="319">
        <f>IF(AND('Ações'!AS110="sim", 'Ações'!BE110="sim"), 1, 0)
</f>
        <v>0</v>
      </c>
      <c r="I108" s="319">
        <f>IF(AND('Ações'!AS110="sim", 'Ações'!BF110="sim"), 1, 0)
</f>
        <v>0</v>
      </c>
      <c r="J108" s="319">
        <f>IF(AND('Ações'!AS110="sim", 'Ações'!BG110="sim"), 1, 0)
</f>
        <v>0</v>
      </c>
      <c r="K108" s="319">
        <f>IF(AND('Ações'!AS110="sim", 'Ações'!BH110="sim"), 1, 0)
</f>
        <v>0</v>
      </c>
      <c r="L108" s="319">
        <f>IF(AND('Ações'!AS110="sim", 'Ações'!BI110="sim"), 1, 0)
</f>
        <v>0</v>
      </c>
      <c r="M108" s="319">
        <f>IF(AND('Ações'!AT110="sim", 'Ações'!BD110="sim"), 1, 0)
</f>
        <v>1</v>
      </c>
      <c r="N108" s="319">
        <f>IF(AND('Ações'!AT110="sim", 'Ações'!BF110="sim"), 1, 0)
</f>
        <v>0</v>
      </c>
      <c r="O108" s="319">
        <f>IF(AND('Ações'!AT110="sim", 'Ações'!BG110="sim"), 1, 0)
</f>
        <v>0</v>
      </c>
      <c r="P108" s="319">
        <f>IF(AND('Ações'!AT110="sim", 'Ações'!BH110="sim"), 1, 0)
</f>
        <v>0</v>
      </c>
      <c r="Q108" s="319">
        <f>IF(AND('Ações'!AT110="sim", 'Ações'!BI110="sim"), 1, 0)
</f>
        <v>0</v>
      </c>
      <c r="R108" s="319">
        <f>IF(AND('Ações'!AU110="sim", 'Ações'!BD110="sim"), 1, 0)
</f>
        <v>1</v>
      </c>
      <c r="S108" s="319">
        <f>IF(AND('Ações'!AU110="sim", 'Ações'!BE110="sim"), 1, 0)
</f>
        <v>0</v>
      </c>
      <c r="T108" s="319">
        <f>IF(AND('Ações'!AU110="sim", 'Ações'!BG110="sim"), 1, 0)
</f>
        <v>0</v>
      </c>
      <c r="U108" s="319">
        <f>IF(AND('Ações'!AU110="sim", 'Ações'!BH110="sim"), 1, 0)
</f>
        <v>0</v>
      </c>
      <c r="V108" s="319">
        <f>IF(AND('Ações'!AU110="sim", 'Ações'!BI110="sim"), 1, 0)
</f>
        <v>0</v>
      </c>
      <c r="W108" s="319">
        <f>IF(AND('Ações'!AV110="sim", 'Ações'!BD110="sim"), 1, 0)
</f>
        <v>1</v>
      </c>
      <c r="X108" s="319">
        <f>IF(AND('Ações'!AV110="sim", 'Ações'!BE110="sim"), 1, 0)
</f>
        <v>0</v>
      </c>
      <c r="Y108" s="319">
        <f>IF(AND('Ações'!AV110="sim", 'Ações'!BF110="sim"), 1, 0)
</f>
        <v>0</v>
      </c>
      <c r="Z108" s="319">
        <f>IF(AND('Ações'!AV110="sim", 'Ações'!BH110="sim"), 1, 0)
</f>
        <v>0</v>
      </c>
      <c r="AA108" s="319">
        <f>IF(AND('Ações'!AV110="sim", 'Ações'!BI110="sim"), 1, 0)
</f>
        <v>0</v>
      </c>
      <c r="AB108" s="319">
        <f>IF(AND('Ações'!AW110="sim", 'Ações'!BD110="sim"), 1, 0)
</f>
        <v>1</v>
      </c>
      <c r="AC108" s="319">
        <f>IF(AND('Ações'!AW110="sim", 'Ações'!BE110="sim"), 1, 0)
</f>
        <v>0</v>
      </c>
      <c r="AD108" s="319">
        <f>IF(AND('Ações'!AW110="sim", 'Ações'!BF110="sim"), 1, 0)
</f>
        <v>0</v>
      </c>
      <c r="AE108" s="319">
        <f>IF(AND('Ações'!AW110="sim", 'Ações'!BG110="sim"), 1, 0)
</f>
        <v>0</v>
      </c>
      <c r="AF108" s="319">
        <f>IF(AND('Ações'!AW110="sim", 'Ações'!BI110="sim"), 1, 0)
</f>
        <v>0</v>
      </c>
      <c r="AG108" s="319">
        <f>IF(AND('Ações'!AX110="sim", 'Ações'!BD110="sim"), 1, 0)
</f>
        <v>1</v>
      </c>
      <c r="AH108" s="319">
        <f>IF(AND('Ações'!AX110="sim", 'Ações'!BE110="sim"), 1, 0)
</f>
        <v>0</v>
      </c>
      <c r="AI108" s="319">
        <f>IF(AND('Ações'!AX110="sim", 'Ações'!BF110="sim"), 1, 0)
</f>
        <v>0</v>
      </c>
      <c r="AJ108" s="319">
        <f>IF(AND('Ações'!AX110="sim", 'Ações'!BG110="sim"), 1, 0)
</f>
        <v>0</v>
      </c>
      <c r="AK108" s="319">
        <f>IF(AND('Ações'!AX110="sim", 'Ações'!BH110="sim"), 1, 0)
</f>
        <v>0</v>
      </c>
    </row>
    <row r="109">
      <c r="B109" s="319">
        <f>IF(AND('Ações'!AS111="sim", 'Ações'!BD111="sim"), 1, 0)
</f>
        <v>1</v>
      </c>
      <c r="C109" s="319">
        <f>IF(AND('Ações'!AT111="sim", 'Ações'!BE111="sim"), 1, 0)
</f>
        <v>0</v>
      </c>
      <c r="D109" s="319">
        <f>IF(AND('Ações'!AU111="sim", 'Ações'!BF111="sim"), 1, 0)
</f>
        <v>0</v>
      </c>
      <c r="E109" s="319">
        <f>IF(AND('Ações'!AV111="sim", 'Ações'!BG111="sim"), 1, 0)
</f>
        <v>0</v>
      </c>
      <c r="F109" s="319">
        <f>IF(AND('Ações'!AW111="sim", 'Ações'!BH111="sim"), 1, 0)
</f>
        <v>0</v>
      </c>
      <c r="G109" s="319">
        <f>IF(AND('Ações'!AX111="sim", 'Ações'!BI111="sim"), 1, 0)
</f>
        <v>0</v>
      </c>
      <c r="H109" s="319">
        <f>IF(AND('Ações'!AS111="sim", 'Ações'!BE111="sim"), 1, 0)
</f>
        <v>0</v>
      </c>
      <c r="I109" s="319">
        <f>IF(AND('Ações'!AS111="sim", 'Ações'!BF111="sim"), 1, 0)
</f>
        <v>0</v>
      </c>
      <c r="J109" s="319">
        <f>IF(AND('Ações'!AS111="sim", 'Ações'!BG111="sim"), 1, 0)
</f>
        <v>0</v>
      </c>
      <c r="K109" s="319">
        <f>IF(AND('Ações'!AS111="sim", 'Ações'!BH111="sim"), 1, 0)
</f>
        <v>0</v>
      </c>
      <c r="L109" s="319">
        <f>IF(AND('Ações'!AS111="sim", 'Ações'!BI111="sim"), 1, 0)
</f>
        <v>0</v>
      </c>
      <c r="M109" s="319">
        <f>IF(AND('Ações'!AT111="sim", 'Ações'!BD111="sim"), 1, 0)
</f>
        <v>1</v>
      </c>
      <c r="N109" s="319">
        <f>IF(AND('Ações'!AT111="sim", 'Ações'!BF111="sim"), 1, 0)
</f>
        <v>0</v>
      </c>
      <c r="O109" s="319">
        <f>IF(AND('Ações'!AT111="sim", 'Ações'!BG111="sim"), 1, 0)
</f>
        <v>0</v>
      </c>
      <c r="P109" s="319">
        <f>IF(AND('Ações'!AT111="sim", 'Ações'!BH111="sim"), 1, 0)
</f>
        <v>0</v>
      </c>
      <c r="Q109" s="319">
        <f>IF(AND('Ações'!AT111="sim", 'Ações'!BI111="sim"), 1, 0)
</f>
        <v>0</v>
      </c>
      <c r="R109" s="319">
        <f>IF(AND('Ações'!AU111="sim", 'Ações'!BD111="sim"), 1, 0)
</f>
        <v>1</v>
      </c>
      <c r="S109" s="319">
        <f>IF(AND('Ações'!AU111="sim", 'Ações'!BE111="sim"), 1, 0)
</f>
        <v>0</v>
      </c>
      <c r="T109" s="319">
        <f>IF(AND('Ações'!AU111="sim", 'Ações'!BG111="sim"), 1, 0)
</f>
        <v>0</v>
      </c>
      <c r="U109" s="319">
        <f>IF(AND('Ações'!AU111="sim", 'Ações'!BH111="sim"), 1, 0)
</f>
        <v>0</v>
      </c>
      <c r="V109" s="319">
        <f>IF(AND('Ações'!AU111="sim", 'Ações'!BI111="sim"), 1, 0)
</f>
        <v>0</v>
      </c>
      <c r="W109" s="319">
        <f>IF(AND('Ações'!AV111="sim", 'Ações'!BD111="sim"), 1, 0)
</f>
        <v>1</v>
      </c>
      <c r="X109" s="319">
        <f>IF(AND('Ações'!AV111="sim", 'Ações'!BE111="sim"), 1, 0)
</f>
        <v>0</v>
      </c>
      <c r="Y109" s="319">
        <f>IF(AND('Ações'!AV111="sim", 'Ações'!BF111="sim"), 1, 0)
</f>
        <v>0</v>
      </c>
      <c r="Z109" s="319">
        <f>IF(AND('Ações'!AV111="sim", 'Ações'!BH111="sim"), 1, 0)
</f>
        <v>0</v>
      </c>
      <c r="AA109" s="319">
        <f>IF(AND('Ações'!AV111="sim", 'Ações'!BI111="sim"), 1, 0)
</f>
        <v>0</v>
      </c>
      <c r="AB109" s="319">
        <f>IF(AND('Ações'!AW111="sim", 'Ações'!BD111="sim"), 1, 0)
</f>
        <v>1</v>
      </c>
      <c r="AC109" s="319">
        <f>IF(AND('Ações'!AW111="sim", 'Ações'!BE111="sim"), 1, 0)
</f>
        <v>0</v>
      </c>
      <c r="AD109" s="319">
        <f>IF(AND('Ações'!AW111="sim", 'Ações'!BF111="sim"), 1, 0)
</f>
        <v>0</v>
      </c>
      <c r="AE109" s="319">
        <f>IF(AND('Ações'!AW111="sim", 'Ações'!BG111="sim"), 1, 0)
</f>
        <v>0</v>
      </c>
      <c r="AF109" s="319">
        <f>IF(AND('Ações'!AW111="sim", 'Ações'!BI111="sim"), 1, 0)
</f>
        <v>0</v>
      </c>
      <c r="AG109" s="319">
        <f>IF(AND('Ações'!AX111="sim", 'Ações'!BD111="sim"), 1, 0)
</f>
        <v>1</v>
      </c>
      <c r="AH109" s="319">
        <f>IF(AND('Ações'!AX111="sim", 'Ações'!BE111="sim"), 1, 0)
</f>
        <v>0</v>
      </c>
      <c r="AI109" s="319">
        <f>IF(AND('Ações'!AX111="sim", 'Ações'!BF111="sim"), 1, 0)
</f>
        <v>0</v>
      </c>
      <c r="AJ109" s="319">
        <f>IF(AND('Ações'!AX111="sim", 'Ações'!BG111="sim"), 1, 0)
</f>
        <v>0</v>
      </c>
      <c r="AK109" s="319">
        <f>IF(AND('Ações'!AX111="sim", 'Ações'!BH111="sim"), 1, 0)
</f>
        <v>0</v>
      </c>
    </row>
    <row r="110">
      <c r="B110" s="319">
        <f>IF(AND('Ações'!AS112="sim", 'Ações'!BD112="sim"), 1, 0)
</f>
        <v>1</v>
      </c>
      <c r="C110" s="319">
        <f>IF(AND('Ações'!AT112="sim", 'Ações'!BE112="sim"), 1, 0)
</f>
        <v>0</v>
      </c>
      <c r="D110" s="319">
        <f>IF(AND('Ações'!AU112="sim", 'Ações'!BF112="sim"), 1, 0)
</f>
        <v>0</v>
      </c>
      <c r="E110" s="319">
        <f>IF(AND('Ações'!AV112="sim", 'Ações'!BG112="sim"), 1, 0)
</f>
        <v>0</v>
      </c>
      <c r="F110" s="319">
        <f>IF(AND('Ações'!AW112="sim", 'Ações'!BH112="sim"), 1, 0)
</f>
        <v>0</v>
      </c>
      <c r="G110" s="319">
        <f>IF(AND('Ações'!AX112="sim", 'Ações'!BI112="sim"), 1, 0)
</f>
        <v>0</v>
      </c>
      <c r="H110" s="319">
        <f>IF(AND('Ações'!AS112="sim", 'Ações'!BE112="sim"), 1, 0)
</f>
        <v>0</v>
      </c>
      <c r="I110" s="319">
        <f>IF(AND('Ações'!AS112="sim", 'Ações'!BF112="sim"), 1, 0)
</f>
        <v>0</v>
      </c>
      <c r="J110" s="319">
        <f>IF(AND('Ações'!AS112="sim", 'Ações'!BG112="sim"), 1, 0)
</f>
        <v>0</v>
      </c>
      <c r="K110" s="319">
        <f>IF(AND('Ações'!AS112="sim", 'Ações'!BH112="sim"), 1, 0)
</f>
        <v>0</v>
      </c>
      <c r="L110" s="319">
        <f>IF(AND('Ações'!AS112="sim", 'Ações'!BI112="sim"), 1, 0)
</f>
        <v>0</v>
      </c>
      <c r="M110" s="319">
        <f>IF(AND('Ações'!AT112="sim", 'Ações'!BD112="sim"), 1, 0)
</f>
        <v>1</v>
      </c>
      <c r="N110" s="319">
        <f>IF(AND('Ações'!AT112="sim", 'Ações'!BF112="sim"), 1, 0)
</f>
        <v>0</v>
      </c>
      <c r="O110" s="319">
        <f>IF(AND('Ações'!AT112="sim", 'Ações'!BG112="sim"), 1, 0)
</f>
        <v>0</v>
      </c>
      <c r="P110" s="319">
        <f>IF(AND('Ações'!AT112="sim", 'Ações'!BH112="sim"), 1, 0)
</f>
        <v>0</v>
      </c>
      <c r="Q110" s="319">
        <f>IF(AND('Ações'!AT112="sim", 'Ações'!BI112="sim"), 1, 0)
</f>
        <v>0</v>
      </c>
      <c r="R110" s="319">
        <f>IF(AND('Ações'!AU112="sim", 'Ações'!BD112="sim"), 1, 0)
</f>
        <v>1</v>
      </c>
      <c r="S110" s="319">
        <f>IF(AND('Ações'!AU112="sim", 'Ações'!BE112="sim"), 1, 0)
</f>
        <v>0</v>
      </c>
      <c r="T110" s="319">
        <f>IF(AND('Ações'!AU112="sim", 'Ações'!BG112="sim"), 1, 0)
</f>
        <v>0</v>
      </c>
      <c r="U110" s="319">
        <f>IF(AND('Ações'!AU112="sim", 'Ações'!BH112="sim"), 1, 0)
</f>
        <v>0</v>
      </c>
      <c r="V110" s="319">
        <f>IF(AND('Ações'!AU112="sim", 'Ações'!BI112="sim"), 1, 0)
</f>
        <v>0</v>
      </c>
      <c r="W110" s="319">
        <f>IF(AND('Ações'!AV112="sim", 'Ações'!BD112="sim"), 1, 0)
</f>
        <v>1</v>
      </c>
      <c r="X110" s="319">
        <f>IF(AND('Ações'!AV112="sim", 'Ações'!BE112="sim"), 1, 0)
</f>
        <v>0</v>
      </c>
      <c r="Y110" s="319">
        <f>IF(AND('Ações'!AV112="sim", 'Ações'!BF112="sim"), 1, 0)
</f>
        <v>0</v>
      </c>
      <c r="Z110" s="319">
        <f>IF(AND('Ações'!AV112="sim", 'Ações'!BH112="sim"), 1, 0)
</f>
        <v>0</v>
      </c>
      <c r="AA110" s="319">
        <f>IF(AND('Ações'!AV112="sim", 'Ações'!BI112="sim"), 1, 0)
</f>
        <v>0</v>
      </c>
      <c r="AB110" s="319">
        <f>IF(AND('Ações'!AW112="sim", 'Ações'!BD112="sim"), 1, 0)
</f>
        <v>1</v>
      </c>
      <c r="AC110" s="319">
        <f>IF(AND('Ações'!AW112="sim", 'Ações'!BE112="sim"), 1, 0)
</f>
        <v>0</v>
      </c>
      <c r="AD110" s="319">
        <f>IF(AND('Ações'!AW112="sim", 'Ações'!BF112="sim"), 1, 0)
</f>
        <v>0</v>
      </c>
      <c r="AE110" s="319">
        <f>IF(AND('Ações'!AW112="sim", 'Ações'!BG112="sim"), 1, 0)
</f>
        <v>0</v>
      </c>
      <c r="AF110" s="319">
        <f>IF(AND('Ações'!AW112="sim", 'Ações'!BI112="sim"), 1, 0)
</f>
        <v>0</v>
      </c>
      <c r="AG110" s="319">
        <f>IF(AND('Ações'!AX112="sim", 'Ações'!BD112="sim"), 1, 0)
</f>
        <v>1</v>
      </c>
      <c r="AH110" s="319">
        <f>IF(AND('Ações'!AX112="sim", 'Ações'!BE112="sim"), 1, 0)
</f>
        <v>0</v>
      </c>
      <c r="AI110" s="319">
        <f>IF(AND('Ações'!AX112="sim", 'Ações'!BF112="sim"), 1, 0)
</f>
        <v>0</v>
      </c>
      <c r="AJ110" s="319">
        <f>IF(AND('Ações'!AX112="sim", 'Ações'!BG112="sim"), 1, 0)
</f>
        <v>0</v>
      </c>
      <c r="AK110" s="319">
        <f>IF(AND('Ações'!AX112="sim", 'Ações'!BH112="sim"), 1, 0)
</f>
        <v>0</v>
      </c>
    </row>
    <row r="111">
      <c r="B111" s="319">
        <f>IF(AND('Ações'!AS113="sim", 'Ações'!BD113="sim"), 1, 0)
</f>
        <v>1</v>
      </c>
      <c r="C111" s="319">
        <f>IF(AND('Ações'!AT113="sim", 'Ações'!BE113="sim"), 1, 0)
</f>
        <v>0</v>
      </c>
      <c r="D111" s="319">
        <f>IF(AND('Ações'!AU113="sim", 'Ações'!BF113="sim"), 1, 0)
</f>
        <v>0</v>
      </c>
      <c r="E111" s="319">
        <f>IF(AND('Ações'!AV113="sim", 'Ações'!BG113="sim"), 1, 0)
</f>
        <v>0</v>
      </c>
      <c r="F111" s="319">
        <f>IF(AND('Ações'!AW113="sim", 'Ações'!BH113="sim"), 1, 0)
</f>
        <v>0</v>
      </c>
      <c r="G111" s="319">
        <f>IF(AND('Ações'!AX113="sim", 'Ações'!BI113="sim"), 1, 0)
</f>
        <v>0</v>
      </c>
      <c r="H111" s="319">
        <f>IF(AND('Ações'!AS113="sim", 'Ações'!BE113="sim"), 1, 0)
</f>
        <v>0</v>
      </c>
      <c r="I111" s="319">
        <f>IF(AND('Ações'!AS113="sim", 'Ações'!BF113="sim"), 1, 0)
</f>
        <v>0</v>
      </c>
      <c r="J111" s="319">
        <f>IF(AND('Ações'!AS113="sim", 'Ações'!BG113="sim"), 1, 0)
</f>
        <v>0</v>
      </c>
      <c r="K111" s="319">
        <f>IF(AND('Ações'!AS113="sim", 'Ações'!BH113="sim"), 1, 0)
</f>
        <v>0</v>
      </c>
      <c r="L111" s="319">
        <f>IF(AND('Ações'!AS113="sim", 'Ações'!BI113="sim"), 1, 0)
</f>
        <v>0</v>
      </c>
      <c r="M111" s="319">
        <f>IF(AND('Ações'!AT113="sim", 'Ações'!BD113="sim"), 1, 0)
</f>
        <v>1</v>
      </c>
      <c r="N111" s="319">
        <f>IF(AND('Ações'!AT113="sim", 'Ações'!BF113="sim"), 1, 0)
</f>
        <v>0</v>
      </c>
      <c r="O111" s="319">
        <f>IF(AND('Ações'!AT113="sim", 'Ações'!BG113="sim"), 1, 0)
</f>
        <v>0</v>
      </c>
      <c r="P111" s="319">
        <f>IF(AND('Ações'!AT113="sim", 'Ações'!BH113="sim"), 1, 0)
</f>
        <v>0</v>
      </c>
      <c r="Q111" s="319">
        <f>IF(AND('Ações'!AT113="sim", 'Ações'!BI113="sim"), 1, 0)
</f>
        <v>0</v>
      </c>
      <c r="R111" s="319">
        <f>IF(AND('Ações'!AU113="sim", 'Ações'!BD113="sim"), 1, 0)
</f>
        <v>1</v>
      </c>
      <c r="S111" s="319">
        <f>IF(AND('Ações'!AU113="sim", 'Ações'!BE113="sim"), 1, 0)
</f>
        <v>0</v>
      </c>
      <c r="T111" s="319">
        <f>IF(AND('Ações'!AU113="sim", 'Ações'!BG113="sim"), 1, 0)
</f>
        <v>0</v>
      </c>
      <c r="U111" s="319">
        <f>IF(AND('Ações'!AU113="sim", 'Ações'!BH113="sim"), 1, 0)
</f>
        <v>0</v>
      </c>
      <c r="V111" s="319">
        <f>IF(AND('Ações'!AU113="sim", 'Ações'!BI113="sim"), 1, 0)
</f>
        <v>0</v>
      </c>
      <c r="W111" s="319">
        <f>IF(AND('Ações'!AV113="sim", 'Ações'!BD113="sim"), 1, 0)
</f>
        <v>1</v>
      </c>
      <c r="X111" s="319">
        <f>IF(AND('Ações'!AV113="sim", 'Ações'!BE113="sim"), 1, 0)
</f>
        <v>0</v>
      </c>
      <c r="Y111" s="319">
        <f>IF(AND('Ações'!AV113="sim", 'Ações'!BF113="sim"), 1, 0)
</f>
        <v>0</v>
      </c>
      <c r="Z111" s="319">
        <f>IF(AND('Ações'!AV113="sim", 'Ações'!BH113="sim"), 1, 0)
</f>
        <v>0</v>
      </c>
      <c r="AA111" s="319">
        <f>IF(AND('Ações'!AV113="sim", 'Ações'!BI113="sim"), 1, 0)
</f>
        <v>0</v>
      </c>
      <c r="AB111" s="319">
        <f>IF(AND('Ações'!AW113="sim", 'Ações'!BD113="sim"), 1, 0)
</f>
        <v>1</v>
      </c>
      <c r="AC111" s="319">
        <f>IF(AND('Ações'!AW113="sim", 'Ações'!BE113="sim"), 1, 0)
</f>
        <v>0</v>
      </c>
      <c r="AD111" s="319">
        <f>IF(AND('Ações'!AW113="sim", 'Ações'!BF113="sim"), 1, 0)
</f>
        <v>0</v>
      </c>
      <c r="AE111" s="319">
        <f>IF(AND('Ações'!AW113="sim", 'Ações'!BG113="sim"), 1, 0)
</f>
        <v>0</v>
      </c>
      <c r="AF111" s="319">
        <f>IF(AND('Ações'!AW113="sim", 'Ações'!BI113="sim"), 1, 0)
</f>
        <v>0</v>
      </c>
      <c r="AG111" s="319">
        <f>IF(AND('Ações'!AX113="sim", 'Ações'!BD113="sim"), 1, 0)
</f>
        <v>1</v>
      </c>
      <c r="AH111" s="319">
        <f>IF(AND('Ações'!AX113="sim", 'Ações'!BE113="sim"), 1, 0)
</f>
        <v>0</v>
      </c>
      <c r="AI111" s="319">
        <f>IF(AND('Ações'!AX113="sim", 'Ações'!BF113="sim"), 1, 0)
</f>
        <v>0</v>
      </c>
      <c r="AJ111" s="319">
        <f>IF(AND('Ações'!AX113="sim", 'Ações'!BG113="sim"), 1, 0)
</f>
        <v>0</v>
      </c>
      <c r="AK111" s="319">
        <f>IF(AND('Ações'!AX113="sim", 'Ações'!BH113="sim"), 1, 0)
</f>
        <v>0</v>
      </c>
    </row>
    <row r="112">
      <c r="B112" s="319">
        <f>IF(AND('Ações'!AS114="sim", 'Ações'!BD114="sim"), 1, 0)
</f>
        <v>1</v>
      </c>
      <c r="C112" s="319">
        <f>IF(AND('Ações'!AT114="sim", 'Ações'!BE114="sim"), 1, 0)
</f>
        <v>0</v>
      </c>
      <c r="D112" s="319">
        <f>IF(AND('Ações'!AU114="sim", 'Ações'!BF114="sim"), 1, 0)
</f>
        <v>0</v>
      </c>
      <c r="E112" s="319">
        <f>IF(AND('Ações'!AV114="sim", 'Ações'!BG114="sim"), 1, 0)
</f>
        <v>0</v>
      </c>
      <c r="F112" s="319">
        <f>IF(AND('Ações'!AW114="sim", 'Ações'!BH114="sim"), 1, 0)
</f>
        <v>0</v>
      </c>
      <c r="G112" s="319">
        <f>IF(AND('Ações'!AX114="sim", 'Ações'!BI114="sim"), 1, 0)
</f>
        <v>0</v>
      </c>
      <c r="H112" s="319">
        <f>IF(AND('Ações'!AS114="sim", 'Ações'!BE114="sim"), 1, 0)
</f>
        <v>0</v>
      </c>
      <c r="I112" s="319">
        <f>IF(AND('Ações'!AS114="sim", 'Ações'!BF114="sim"), 1, 0)
</f>
        <v>0</v>
      </c>
      <c r="J112" s="319">
        <f>IF(AND('Ações'!AS114="sim", 'Ações'!BG114="sim"), 1, 0)
</f>
        <v>0</v>
      </c>
      <c r="K112" s="319">
        <f>IF(AND('Ações'!AS114="sim", 'Ações'!BH114="sim"), 1, 0)
</f>
        <v>0</v>
      </c>
      <c r="L112" s="319">
        <f>IF(AND('Ações'!AS114="sim", 'Ações'!BI114="sim"), 1, 0)
</f>
        <v>0</v>
      </c>
      <c r="M112" s="319">
        <f>IF(AND('Ações'!AT114="sim", 'Ações'!BD114="sim"), 1, 0)
</f>
        <v>1</v>
      </c>
      <c r="N112" s="319">
        <f>IF(AND('Ações'!AT114="sim", 'Ações'!BF114="sim"), 1, 0)
</f>
        <v>0</v>
      </c>
      <c r="O112" s="319">
        <f>IF(AND('Ações'!AT114="sim", 'Ações'!BG114="sim"), 1, 0)
</f>
        <v>0</v>
      </c>
      <c r="P112" s="319">
        <f>IF(AND('Ações'!AT114="sim", 'Ações'!BH114="sim"), 1, 0)
</f>
        <v>0</v>
      </c>
      <c r="Q112" s="319">
        <f>IF(AND('Ações'!AT114="sim", 'Ações'!BI114="sim"), 1, 0)
</f>
        <v>0</v>
      </c>
      <c r="R112" s="319">
        <f>IF(AND('Ações'!AU114="sim", 'Ações'!BD114="sim"), 1, 0)
</f>
        <v>1</v>
      </c>
      <c r="S112" s="319">
        <f>IF(AND('Ações'!AU114="sim", 'Ações'!BE114="sim"), 1, 0)
</f>
        <v>0</v>
      </c>
      <c r="T112" s="319">
        <f>IF(AND('Ações'!AU114="sim", 'Ações'!BG114="sim"), 1, 0)
</f>
        <v>0</v>
      </c>
      <c r="U112" s="319">
        <f>IF(AND('Ações'!AU114="sim", 'Ações'!BH114="sim"), 1, 0)
</f>
        <v>0</v>
      </c>
      <c r="V112" s="319">
        <f>IF(AND('Ações'!AU114="sim", 'Ações'!BI114="sim"), 1, 0)
</f>
        <v>0</v>
      </c>
      <c r="W112" s="319">
        <f>IF(AND('Ações'!AV114="sim", 'Ações'!BD114="sim"), 1, 0)
</f>
        <v>1</v>
      </c>
      <c r="X112" s="319">
        <f>IF(AND('Ações'!AV114="sim", 'Ações'!BE114="sim"), 1, 0)
</f>
        <v>0</v>
      </c>
      <c r="Y112" s="319">
        <f>IF(AND('Ações'!AV114="sim", 'Ações'!BF114="sim"), 1, 0)
</f>
        <v>0</v>
      </c>
      <c r="Z112" s="319">
        <f>IF(AND('Ações'!AV114="sim", 'Ações'!BH114="sim"), 1, 0)
</f>
        <v>0</v>
      </c>
      <c r="AA112" s="319">
        <f>IF(AND('Ações'!AV114="sim", 'Ações'!BI114="sim"), 1, 0)
</f>
        <v>0</v>
      </c>
      <c r="AB112" s="319">
        <f>IF(AND('Ações'!AW114="sim", 'Ações'!BD114="sim"), 1, 0)
</f>
        <v>1</v>
      </c>
      <c r="AC112" s="319">
        <f>IF(AND('Ações'!AW114="sim", 'Ações'!BE114="sim"), 1, 0)
</f>
        <v>0</v>
      </c>
      <c r="AD112" s="319">
        <f>IF(AND('Ações'!AW114="sim", 'Ações'!BF114="sim"), 1, 0)
</f>
        <v>0</v>
      </c>
      <c r="AE112" s="319">
        <f>IF(AND('Ações'!AW114="sim", 'Ações'!BG114="sim"), 1, 0)
</f>
        <v>0</v>
      </c>
      <c r="AF112" s="319">
        <f>IF(AND('Ações'!AW114="sim", 'Ações'!BI114="sim"), 1, 0)
</f>
        <v>0</v>
      </c>
      <c r="AG112" s="319">
        <f>IF(AND('Ações'!AX114="sim", 'Ações'!BD114="sim"), 1, 0)
</f>
        <v>1</v>
      </c>
      <c r="AH112" s="319">
        <f>IF(AND('Ações'!AX114="sim", 'Ações'!BE114="sim"), 1, 0)
</f>
        <v>0</v>
      </c>
      <c r="AI112" s="319">
        <f>IF(AND('Ações'!AX114="sim", 'Ações'!BF114="sim"), 1, 0)
</f>
        <v>0</v>
      </c>
      <c r="AJ112" s="319">
        <f>IF(AND('Ações'!AX114="sim", 'Ações'!BG114="sim"), 1, 0)
</f>
        <v>0</v>
      </c>
      <c r="AK112" s="319">
        <f>IF(AND('Ações'!AX114="sim", 'Ações'!BH114="sim"), 1, 0)
</f>
        <v>0</v>
      </c>
    </row>
    <row r="113">
      <c r="B113" s="319">
        <f>IF(AND('Ações'!AS115="sim", 'Ações'!BD115="sim"), 1, 0)
</f>
        <v>0</v>
      </c>
      <c r="C113" s="319">
        <f>IF(AND('Ações'!AT115="sim", 'Ações'!BE115="sim"), 1, 0)
</f>
        <v>0</v>
      </c>
      <c r="D113" s="319">
        <f>IF(AND('Ações'!AU115="sim", 'Ações'!BF115="sim"), 1, 0)
</f>
        <v>0</v>
      </c>
      <c r="E113" s="319">
        <f>IF(AND('Ações'!AV115="sim", 'Ações'!BG115="sim"), 1, 0)
</f>
        <v>0</v>
      </c>
      <c r="F113" s="319">
        <f>IF(AND('Ações'!AW115="sim", 'Ações'!BH115="sim"), 1, 0)
</f>
        <v>0</v>
      </c>
      <c r="G113" s="319">
        <f>IF(AND('Ações'!AX115="sim", 'Ações'!BI115="sim"), 1, 0)
</f>
        <v>1</v>
      </c>
      <c r="H113" s="319">
        <f>IF(AND('Ações'!AS115="sim", 'Ações'!BE115="sim"), 1, 0)
</f>
        <v>0</v>
      </c>
      <c r="I113" s="319">
        <f>IF(AND('Ações'!AS115="sim", 'Ações'!BF115="sim"), 1, 0)
</f>
        <v>0</v>
      </c>
      <c r="J113" s="319">
        <f>IF(AND('Ações'!AS115="sim", 'Ações'!BG115="sim"), 1, 0)
</f>
        <v>0</v>
      </c>
      <c r="K113" s="319">
        <f>IF(AND('Ações'!AS115="sim", 'Ações'!BH115="sim"), 1, 0)
</f>
        <v>0</v>
      </c>
      <c r="L113" s="319">
        <f>IF(AND('Ações'!AS115="sim", 'Ações'!BI115="sim"), 1, 0)
</f>
        <v>1</v>
      </c>
      <c r="M113" s="319">
        <f>IF(AND('Ações'!AT115="sim", 'Ações'!BD115="sim"), 1, 0)
</f>
        <v>0</v>
      </c>
      <c r="N113" s="319">
        <f>IF(AND('Ações'!AT115="sim", 'Ações'!BF115="sim"), 1, 0)
</f>
        <v>0</v>
      </c>
      <c r="O113" s="319">
        <f>IF(AND('Ações'!AT115="sim", 'Ações'!BG115="sim"), 1, 0)
</f>
        <v>0</v>
      </c>
      <c r="P113" s="319">
        <f>IF(AND('Ações'!AT115="sim", 'Ações'!BH115="sim"), 1, 0)
</f>
        <v>0</v>
      </c>
      <c r="Q113" s="319">
        <f>IF(AND('Ações'!AT115="sim", 'Ações'!BI115="sim"), 1, 0)
</f>
        <v>1</v>
      </c>
      <c r="R113" s="319">
        <f>IF(AND('Ações'!AU115="sim", 'Ações'!BD115="sim"), 1, 0)
</f>
        <v>0</v>
      </c>
      <c r="S113" s="319">
        <f>IF(AND('Ações'!AU115="sim", 'Ações'!BE115="sim"), 1, 0)
</f>
        <v>0</v>
      </c>
      <c r="T113" s="319">
        <f>IF(AND('Ações'!AU115="sim", 'Ações'!BG115="sim"), 1, 0)
</f>
        <v>0</v>
      </c>
      <c r="U113" s="319">
        <f>IF(AND('Ações'!AU115="sim", 'Ações'!BH115="sim"), 1, 0)
</f>
        <v>0</v>
      </c>
      <c r="V113" s="319">
        <f>IF(AND('Ações'!AU115="sim", 'Ações'!BI115="sim"), 1, 0)
</f>
        <v>1</v>
      </c>
      <c r="W113" s="319">
        <f>IF(AND('Ações'!AV115="sim", 'Ações'!BD115="sim"), 1, 0)
</f>
        <v>0</v>
      </c>
      <c r="X113" s="319">
        <f>IF(AND('Ações'!AV115="sim", 'Ações'!BE115="sim"), 1, 0)
</f>
        <v>0</v>
      </c>
      <c r="Y113" s="319">
        <f>IF(AND('Ações'!AV115="sim", 'Ações'!BF115="sim"), 1, 0)
</f>
        <v>0</v>
      </c>
      <c r="Z113" s="319">
        <f>IF(AND('Ações'!AV115="sim", 'Ações'!BH115="sim"), 1, 0)
</f>
        <v>0</v>
      </c>
      <c r="AA113" s="319">
        <f>IF(AND('Ações'!AV115="sim", 'Ações'!BI115="sim"), 1, 0)
</f>
        <v>1</v>
      </c>
      <c r="AB113" s="319">
        <f>IF(AND('Ações'!AW115="sim", 'Ações'!BD115="sim"), 1, 0)
</f>
        <v>0</v>
      </c>
      <c r="AC113" s="319">
        <f>IF(AND('Ações'!AW115="sim", 'Ações'!BE115="sim"), 1, 0)
</f>
        <v>0</v>
      </c>
      <c r="AD113" s="319">
        <f>IF(AND('Ações'!AW115="sim", 'Ações'!BF115="sim"), 1, 0)
</f>
        <v>0</v>
      </c>
      <c r="AE113" s="319">
        <f>IF(AND('Ações'!AW115="sim", 'Ações'!BG115="sim"), 1, 0)
</f>
        <v>0</v>
      </c>
      <c r="AF113" s="319">
        <f>IF(AND('Ações'!AW115="sim", 'Ações'!BI115="sim"), 1, 0)
</f>
        <v>1</v>
      </c>
      <c r="AG113" s="319">
        <f>IF(AND('Ações'!AX115="sim", 'Ações'!BD115="sim"), 1, 0)
</f>
        <v>0</v>
      </c>
      <c r="AH113" s="319">
        <f>IF(AND('Ações'!AX115="sim", 'Ações'!BE115="sim"), 1, 0)
</f>
        <v>0</v>
      </c>
      <c r="AI113" s="319">
        <f>IF(AND('Ações'!AX115="sim", 'Ações'!BF115="sim"), 1, 0)
</f>
        <v>0</v>
      </c>
      <c r="AJ113" s="319">
        <f>IF(AND('Ações'!AX115="sim", 'Ações'!BG115="sim"), 1, 0)
</f>
        <v>0</v>
      </c>
      <c r="AK113" s="319">
        <f>IF(AND('Ações'!AX115="sim", 'Ações'!BH115="sim"), 1, 0)
</f>
        <v>0</v>
      </c>
    </row>
    <row r="114">
      <c r="B114" s="319">
        <f>IF(AND('Ações'!AS116="sim", 'Ações'!BD116="sim"), 1, 0)
</f>
        <v>1</v>
      </c>
      <c r="C114" s="319">
        <f>IF(AND('Ações'!AT116="sim", 'Ações'!BE116="sim"), 1, 0)
</f>
        <v>0</v>
      </c>
      <c r="D114" s="319">
        <f>IF(AND('Ações'!AU116="sim", 'Ações'!BF116="sim"), 1, 0)
</f>
        <v>0</v>
      </c>
      <c r="E114" s="319">
        <f>IF(AND('Ações'!AV116="sim", 'Ações'!BG116="sim"), 1, 0)
</f>
        <v>0</v>
      </c>
      <c r="F114" s="319">
        <f>IF(AND('Ações'!AW116="sim", 'Ações'!BH116="sim"), 1, 0)
</f>
        <v>0</v>
      </c>
      <c r="G114" s="319">
        <f>IF(AND('Ações'!AX116="sim", 'Ações'!BI116="sim"), 1, 0)
</f>
        <v>0</v>
      </c>
      <c r="H114" s="319">
        <f>IF(AND('Ações'!AS116="sim", 'Ações'!BE116="sim"), 1, 0)
</f>
        <v>0</v>
      </c>
      <c r="I114" s="319">
        <f>IF(AND('Ações'!AS116="sim", 'Ações'!BF116="sim"), 1, 0)
</f>
        <v>0</v>
      </c>
      <c r="J114" s="319">
        <f>IF(AND('Ações'!AS116="sim", 'Ações'!BG116="sim"), 1, 0)
</f>
        <v>0</v>
      </c>
      <c r="K114" s="319">
        <f>IF(AND('Ações'!AS116="sim", 'Ações'!BH116="sim"), 1, 0)
</f>
        <v>0</v>
      </c>
      <c r="L114" s="319">
        <f>IF(AND('Ações'!AS116="sim", 'Ações'!BI116="sim"), 1, 0)
</f>
        <v>0</v>
      </c>
      <c r="M114" s="319">
        <f>IF(AND('Ações'!AT116="sim", 'Ações'!BD116="sim"), 1, 0)
</f>
        <v>1</v>
      </c>
      <c r="N114" s="319">
        <f>IF(AND('Ações'!AT116="sim", 'Ações'!BF116="sim"), 1, 0)
</f>
        <v>0</v>
      </c>
      <c r="O114" s="319">
        <f>IF(AND('Ações'!AT116="sim", 'Ações'!BG116="sim"), 1, 0)
</f>
        <v>0</v>
      </c>
      <c r="P114" s="319">
        <f>IF(AND('Ações'!AT116="sim", 'Ações'!BH116="sim"), 1, 0)
</f>
        <v>0</v>
      </c>
      <c r="Q114" s="319">
        <f>IF(AND('Ações'!AT116="sim", 'Ações'!BI116="sim"), 1, 0)
</f>
        <v>0</v>
      </c>
      <c r="R114" s="319">
        <f>IF(AND('Ações'!AU116="sim", 'Ações'!BD116="sim"), 1, 0)
</f>
        <v>1</v>
      </c>
      <c r="S114" s="319">
        <f>IF(AND('Ações'!AU116="sim", 'Ações'!BE116="sim"), 1, 0)
</f>
        <v>0</v>
      </c>
      <c r="T114" s="319">
        <f>IF(AND('Ações'!AU116="sim", 'Ações'!BG116="sim"), 1, 0)
</f>
        <v>0</v>
      </c>
      <c r="U114" s="319">
        <f>IF(AND('Ações'!AU116="sim", 'Ações'!BH116="sim"), 1, 0)
</f>
        <v>0</v>
      </c>
      <c r="V114" s="319">
        <f>IF(AND('Ações'!AU116="sim", 'Ações'!BI116="sim"), 1, 0)
</f>
        <v>0</v>
      </c>
      <c r="W114" s="319">
        <f>IF(AND('Ações'!AV116="sim", 'Ações'!BD116="sim"), 1, 0)
</f>
        <v>1</v>
      </c>
      <c r="X114" s="319">
        <f>IF(AND('Ações'!AV116="sim", 'Ações'!BE116="sim"), 1, 0)
</f>
        <v>0</v>
      </c>
      <c r="Y114" s="319">
        <f>IF(AND('Ações'!AV116="sim", 'Ações'!BF116="sim"), 1, 0)
</f>
        <v>0</v>
      </c>
      <c r="Z114" s="319">
        <f>IF(AND('Ações'!AV116="sim", 'Ações'!BH116="sim"), 1, 0)
</f>
        <v>0</v>
      </c>
      <c r="AA114" s="319">
        <f>IF(AND('Ações'!AV116="sim", 'Ações'!BI116="sim"), 1, 0)
</f>
        <v>0</v>
      </c>
      <c r="AB114" s="319">
        <f>IF(AND('Ações'!AW116="sim", 'Ações'!BD116="sim"), 1, 0)
</f>
        <v>1</v>
      </c>
      <c r="AC114" s="319">
        <f>IF(AND('Ações'!AW116="sim", 'Ações'!BE116="sim"), 1, 0)
</f>
        <v>0</v>
      </c>
      <c r="AD114" s="319">
        <f>IF(AND('Ações'!AW116="sim", 'Ações'!BF116="sim"), 1, 0)
</f>
        <v>0</v>
      </c>
      <c r="AE114" s="319">
        <f>IF(AND('Ações'!AW116="sim", 'Ações'!BG116="sim"), 1, 0)
</f>
        <v>0</v>
      </c>
      <c r="AF114" s="319">
        <f>IF(AND('Ações'!AW116="sim", 'Ações'!BI116="sim"), 1, 0)
</f>
        <v>0</v>
      </c>
      <c r="AG114" s="319">
        <f>IF(AND('Ações'!AX116="sim", 'Ações'!BD116="sim"), 1, 0)
</f>
        <v>1</v>
      </c>
      <c r="AH114" s="319">
        <f>IF(AND('Ações'!AX116="sim", 'Ações'!BE116="sim"), 1, 0)
</f>
        <v>0</v>
      </c>
      <c r="AI114" s="319">
        <f>IF(AND('Ações'!AX116="sim", 'Ações'!BF116="sim"), 1, 0)
</f>
        <v>0</v>
      </c>
      <c r="AJ114" s="319">
        <f>IF(AND('Ações'!AX116="sim", 'Ações'!BG116="sim"), 1, 0)
</f>
        <v>0</v>
      </c>
      <c r="AK114" s="319">
        <f>IF(AND('Ações'!AX116="sim", 'Ações'!BH116="sim"), 1, 0)
</f>
        <v>0</v>
      </c>
    </row>
    <row r="115">
      <c r="B115" s="319">
        <f>IF(AND('Ações'!AS117="sim", 'Ações'!BD117="sim"), 1, 0)
</f>
        <v>1</v>
      </c>
      <c r="C115" s="319">
        <f>IF(AND('Ações'!AT117="sim", 'Ações'!BE117="sim"), 1, 0)
</f>
        <v>0</v>
      </c>
      <c r="D115" s="319">
        <f>IF(AND('Ações'!AU117="sim", 'Ações'!BF117="sim"), 1, 0)
</f>
        <v>0</v>
      </c>
      <c r="E115" s="319">
        <f>IF(AND('Ações'!AV117="sim", 'Ações'!BG117="sim"), 1, 0)
</f>
        <v>0</v>
      </c>
      <c r="F115" s="319">
        <f>IF(AND('Ações'!AW117="sim", 'Ações'!BH117="sim"), 1, 0)
</f>
        <v>0</v>
      </c>
      <c r="G115" s="319">
        <f>IF(AND('Ações'!AX117="sim", 'Ações'!BI117="sim"), 1, 0)
</f>
        <v>0</v>
      </c>
      <c r="H115" s="319">
        <f>IF(AND('Ações'!AS117="sim", 'Ações'!BE117="sim"), 1, 0)
</f>
        <v>0</v>
      </c>
      <c r="I115" s="319">
        <f>IF(AND('Ações'!AS117="sim", 'Ações'!BF117="sim"), 1, 0)
</f>
        <v>0</v>
      </c>
      <c r="J115" s="319">
        <f>IF(AND('Ações'!AS117="sim", 'Ações'!BG117="sim"), 1, 0)
</f>
        <v>0</v>
      </c>
      <c r="K115" s="319">
        <f>IF(AND('Ações'!AS117="sim", 'Ações'!BH117="sim"), 1, 0)
</f>
        <v>0</v>
      </c>
      <c r="L115" s="319">
        <f>IF(AND('Ações'!AS117="sim", 'Ações'!BI117="sim"), 1, 0)
</f>
        <v>0</v>
      </c>
      <c r="M115" s="319">
        <f>IF(AND('Ações'!AT117="sim", 'Ações'!BD117="sim"), 1, 0)
</f>
        <v>1</v>
      </c>
      <c r="N115" s="319">
        <f>IF(AND('Ações'!AT117="sim", 'Ações'!BF117="sim"), 1, 0)
</f>
        <v>0</v>
      </c>
      <c r="O115" s="319">
        <f>IF(AND('Ações'!AT117="sim", 'Ações'!BG117="sim"), 1, 0)
</f>
        <v>0</v>
      </c>
      <c r="P115" s="319">
        <f>IF(AND('Ações'!AT117="sim", 'Ações'!BH117="sim"), 1, 0)
</f>
        <v>0</v>
      </c>
      <c r="Q115" s="319">
        <f>IF(AND('Ações'!AT117="sim", 'Ações'!BI117="sim"), 1, 0)
</f>
        <v>0</v>
      </c>
      <c r="R115" s="319">
        <f>IF(AND('Ações'!AU117="sim", 'Ações'!BD117="sim"), 1, 0)
</f>
        <v>1</v>
      </c>
      <c r="S115" s="319">
        <f>IF(AND('Ações'!AU117="sim", 'Ações'!BE117="sim"), 1, 0)
</f>
        <v>0</v>
      </c>
      <c r="T115" s="319">
        <f>IF(AND('Ações'!AU117="sim", 'Ações'!BG117="sim"), 1, 0)
</f>
        <v>0</v>
      </c>
      <c r="U115" s="319">
        <f>IF(AND('Ações'!AU117="sim", 'Ações'!BH117="sim"), 1, 0)
</f>
        <v>0</v>
      </c>
      <c r="V115" s="319">
        <f>IF(AND('Ações'!AU117="sim", 'Ações'!BI117="sim"), 1, 0)
</f>
        <v>0</v>
      </c>
      <c r="W115" s="319">
        <f>IF(AND('Ações'!AV117="sim", 'Ações'!BD117="sim"), 1, 0)
</f>
        <v>1</v>
      </c>
      <c r="X115" s="319">
        <f>IF(AND('Ações'!AV117="sim", 'Ações'!BE117="sim"), 1, 0)
</f>
        <v>0</v>
      </c>
      <c r="Y115" s="319">
        <f>IF(AND('Ações'!AV117="sim", 'Ações'!BF117="sim"), 1, 0)
</f>
        <v>0</v>
      </c>
      <c r="Z115" s="319">
        <f>IF(AND('Ações'!AV117="sim", 'Ações'!BH117="sim"), 1, 0)
</f>
        <v>0</v>
      </c>
      <c r="AA115" s="319">
        <f>IF(AND('Ações'!AV117="sim", 'Ações'!BI117="sim"), 1, 0)
</f>
        <v>0</v>
      </c>
      <c r="AB115" s="319">
        <f>IF(AND('Ações'!AW117="sim", 'Ações'!BD117="sim"), 1, 0)
</f>
        <v>1</v>
      </c>
      <c r="AC115" s="319">
        <f>IF(AND('Ações'!AW117="sim", 'Ações'!BE117="sim"), 1, 0)
</f>
        <v>0</v>
      </c>
      <c r="AD115" s="319">
        <f>IF(AND('Ações'!AW117="sim", 'Ações'!BF117="sim"), 1, 0)
</f>
        <v>0</v>
      </c>
      <c r="AE115" s="319">
        <f>IF(AND('Ações'!AW117="sim", 'Ações'!BG117="sim"), 1, 0)
</f>
        <v>0</v>
      </c>
      <c r="AF115" s="319">
        <f>IF(AND('Ações'!AW117="sim", 'Ações'!BI117="sim"), 1, 0)
</f>
        <v>0</v>
      </c>
      <c r="AG115" s="319">
        <f>IF(AND('Ações'!AX117="sim", 'Ações'!BD117="sim"), 1, 0)
</f>
        <v>1</v>
      </c>
      <c r="AH115" s="319">
        <f>IF(AND('Ações'!AX117="sim", 'Ações'!BE117="sim"), 1, 0)
</f>
        <v>0</v>
      </c>
      <c r="AI115" s="319">
        <f>IF(AND('Ações'!AX117="sim", 'Ações'!BF117="sim"), 1, 0)
</f>
        <v>0</v>
      </c>
      <c r="AJ115" s="319">
        <f>IF(AND('Ações'!AX117="sim", 'Ações'!BG117="sim"), 1, 0)
</f>
        <v>0</v>
      </c>
      <c r="AK115" s="319">
        <f>IF(AND('Ações'!AX117="sim", 'Ações'!BH117="sim"), 1, 0)
</f>
        <v>0</v>
      </c>
    </row>
    <row r="116">
      <c r="B116" s="319">
        <f>IF(AND('Ações'!AS118="sim", 'Ações'!BD118="sim"), 1, 0)
</f>
        <v>0</v>
      </c>
      <c r="C116" s="319">
        <f>IF(AND('Ações'!AT118="sim", 'Ações'!BE118="sim"), 1, 0)
</f>
        <v>0</v>
      </c>
      <c r="D116" s="319">
        <f>IF(AND('Ações'!AU118="sim", 'Ações'!BF118="sim"), 1, 0)
</f>
        <v>0</v>
      </c>
      <c r="E116" s="319">
        <f>IF(AND('Ações'!AV118="sim", 'Ações'!BG118="sim"), 1, 0)
</f>
        <v>0</v>
      </c>
      <c r="F116" s="319">
        <f>IF(AND('Ações'!AW118="sim", 'Ações'!BH118="sim"), 1, 0)
</f>
        <v>0</v>
      </c>
      <c r="G116" s="319">
        <f>IF(AND('Ações'!AX118="sim", 'Ações'!BI118="sim"), 1, 0)
</f>
        <v>0</v>
      </c>
      <c r="H116" s="319">
        <f>IF(AND('Ações'!AS118="sim", 'Ações'!BE118="sim"), 1, 0)
</f>
        <v>0</v>
      </c>
      <c r="I116" s="319">
        <f>IF(AND('Ações'!AS118="sim", 'Ações'!BF118="sim"), 1, 0)
</f>
        <v>0</v>
      </c>
      <c r="J116" s="319">
        <f>IF(AND('Ações'!AS118="sim", 'Ações'!BG118="sim"), 1, 0)
</f>
        <v>0</v>
      </c>
      <c r="K116" s="319">
        <f>IF(AND('Ações'!AS118="sim", 'Ações'!BH118="sim"), 1, 0)
</f>
        <v>0</v>
      </c>
      <c r="L116" s="319">
        <f>IF(AND('Ações'!AS118="sim", 'Ações'!BI118="sim"), 1, 0)
</f>
        <v>1</v>
      </c>
      <c r="M116" s="319">
        <f>IF(AND('Ações'!AT118="sim", 'Ações'!BD118="sim"), 1, 0)
</f>
        <v>0</v>
      </c>
      <c r="N116" s="319">
        <f>IF(AND('Ações'!AT118="sim", 'Ações'!BF118="sim"), 1, 0)
</f>
        <v>0</v>
      </c>
      <c r="O116" s="319">
        <f>IF(AND('Ações'!AT118="sim", 'Ações'!BG118="sim"), 1, 0)
</f>
        <v>0</v>
      </c>
      <c r="P116" s="319">
        <f>IF(AND('Ações'!AT118="sim", 'Ações'!BH118="sim"), 1, 0)
</f>
        <v>0</v>
      </c>
      <c r="Q116" s="319">
        <f>IF(AND('Ações'!AT118="sim", 'Ações'!BI118="sim"), 1, 0)
</f>
        <v>1</v>
      </c>
      <c r="R116" s="319">
        <f>IF(AND('Ações'!AU118="sim", 'Ações'!BD118="sim"), 1, 0)
</f>
        <v>0</v>
      </c>
      <c r="S116" s="319">
        <f>IF(AND('Ações'!AU118="sim", 'Ações'!BE118="sim"), 1, 0)
</f>
        <v>0</v>
      </c>
      <c r="T116" s="319">
        <f>IF(AND('Ações'!AU118="sim", 'Ações'!BG118="sim"), 1, 0)
</f>
        <v>0</v>
      </c>
      <c r="U116" s="319">
        <f>IF(AND('Ações'!AU118="sim", 'Ações'!BH118="sim"), 1, 0)
</f>
        <v>0</v>
      </c>
      <c r="V116" s="319">
        <f>IF(AND('Ações'!AU118="sim", 'Ações'!BI118="sim"), 1, 0)
</f>
        <v>0</v>
      </c>
      <c r="W116" s="319">
        <f>IF(AND('Ações'!AV118="sim", 'Ações'!BD118="sim"), 1, 0)
</f>
        <v>0</v>
      </c>
      <c r="X116" s="319">
        <f>IF(AND('Ações'!AV118="sim", 'Ações'!BE118="sim"), 1, 0)
</f>
        <v>0</v>
      </c>
      <c r="Y116" s="319">
        <f>IF(AND('Ações'!AV118="sim", 'Ações'!BF118="sim"), 1, 0)
</f>
        <v>0</v>
      </c>
      <c r="Z116" s="319">
        <f>IF(AND('Ações'!AV118="sim", 'Ações'!BH118="sim"), 1, 0)
</f>
        <v>0</v>
      </c>
      <c r="AA116" s="319">
        <f>IF(AND('Ações'!AV118="sim", 'Ações'!BI118="sim"), 1, 0)
</f>
        <v>1</v>
      </c>
      <c r="AB116" s="319">
        <f>IF(AND('Ações'!AW118="sim", 'Ações'!BD118="sim"), 1, 0)
</f>
        <v>0</v>
      </c>
      <c r="AC116" s="319">
        <f>IF(AND('Ações'!AW118="sim", 'Ações'!BE118="sim"), 1, 0)
</f>
        <v>0</v>
      </c>
      <c r="AD116" s="319">
        <f>IF(AND('Ações'!AW118="sim", 'Ações'!BF118="sim"), 1, 0)
</f>
        <v>0</v>
      </c>
      <c r="AE116" s="319">
        <f>IF(AND('Ações'!AW118="sim", 'Ações'!BG118="sim"), 1, 0)
</f>
        <v>0</v>
      </c>
      <c r="AF116" s="319">
        <f>IF(AND('Ações'!AW118="sim", 'Ações'!BI118="sim"), 1, 0)
</f>
        <v>1</v>
      </c>
      <c r="AG116" s="319">
        <f>IF(AND('Ações'!AX118="sim", 'Ações'!BD118="sim"), 1, 0)
</f>
        <v>0</v>
      </c>
      <c r="AH116" s="319">
        <f>IF(AND('Ações'!AX118="sim", 'Ações'!BE118="sim"), 1, 0)
</f>
        <v>0</v>
      </c>
      <c r="AI116" s="319">
        <f>IF(AND('Ações'!AX118="sim", 'Ações'!BF118="sim"), 1, 0)
</f>
        <v>0</v>
      </c>
      <c r="AJ116" s="319">
        <f>IF(AND('Ações'!AX118="sim", 'Ações'!BG118="sim"), 1, 0)
</f>
        <v>0</v>
      </c>
      <c r="AK116" s="319">
        <f>IF(AND('Ações'!AX118="sim", 'Ações'!BH118="sim"), 1, 0)
</f>
        <v>0</v>
      </c>
    </row>
    <row r="117">
      <c r="B117" s="319">
        <f>IF(AND('Ações'!AS119="sim", 'Ações'!BD119="sim"), 1, 0)
</f>
        <v>1</v>
      </c>
      <c r="C117" s="319">
        <f>IF(AND('Ações'!AT119="sim", 'Ações'!BE119="sim"), 1, 0)
</f>
        <v>0</v>
      </c>
      <c r="D117" s="319">
        <f>IF(AND('Ações'!AU119="sim", 'Ações'!BF119="sim"), 1, 0)
</f>
        <v>0</v>
      </c>
      <c r="E117" s="319">
        <f>IF(AND('Ações'!AV119="sim", 'Ações'!BG119="sim"), 1, 0)
</f>
        <v>0</v>
      </c>
      <c r="F117" s="319">
        <f>IF(AND('Ações'!AW119="sim", 'Ações'!BH119="sim"), 1, 0)
</f>
        <v>0</v>
      </c>
      <c r="G117" s="319">
        <f>IF(AND('Ações'!AX119="sim", 'Ações'!BI119="sim"), 1, 0)
</f>
        <v>0</v>
      </c>
      <c r="H117" s="319">
        <f>IF(AND('Ações'!AS119="sim", 'Ações'!BE119="sim"), 1, 0)
</f>
        <v>0</v>
      </c>
      <c r="I117" s="319">
        <f>IF(AND('Ações'!AS119="sim", 'Ações'!BF119="sim"), 1, 0)
</f>
        <v>0</v>
      </c>
      <c r="J117" s="319">
        <f>IF(AND('Ações'!AS119="sim", 'Ações'!BG119="sim"), 1, 0)
</f>
        <v>0</v>
      </c>
      <c r="K117" s="319">
        <f>IF(AND('Ações'!AS119="sim", 'Ações'!BH119="sim"), 1, 0)
</f>
        <v>0</v>
      </c>
      <c r="L117" s="319">
        <f>IF(AND('Ações'!AS119="sim", 'Ações'!BI119="sim"), 1, 0)
</f>
        <v>0</v>
      </c>
      <c r="M117" s="319">
        <f>IF(AND('Ações'!AT119="sim", 'Ações'!BD119="sim"), 1, 0)
</f>
        <v>1</v>
      </c>
      <c r="N117" s="319">
        <f>IF(AND('Ações'!AT119="sim", 'Ações'!BF119="sim"), 1, 0)
</f>
        <v>0</v>
      </c>
      <c r="O117" s="319">
        <f>IF(AND('Ações'!AT119="sim", 'Ações'!BG119="sim"), 1, 0)
</f>
        <v>0</v>
      </c>
      <c r="P117" s="319">
        <f>IF(AND('Ações'!AT119="sim", 'Ações'!BH119="sim"), 1, 0)
</f>
        <v>0</v>
      </c>
      <c r="Q117" s="319">
        <f>IF(AND('Ações'!AT119="sim", 'Ações'!BI119="sim"), 1, 0)
</f>
        <v>0</v>
      </c>
      <c r="R117" s="319">
        <f>IF(AND('Ações'!AU119="sim", 'Ações'!BD119="sim"), 1, 0)
</f>
        <v>0</v>
      </c>
      <c r="S117" s="319">
        <f>IF(AND('Ações'!AU119="sim", 'Ações'!BE119="sim"), 1, 0)
</f>
        <v>0</v>
      </c>
      <c r="T117" s="319">
        <f>IF(AND('Ações'!AU119="sim", 'Ações'!BG119="sim"), 1, 0)
</f>
        <v>0</v>
      </c>
      <c r="U117" s="319">
        <f>IF(AND('Ações'!AU119="sim", 'Ações'!BH119="sim"), 1, 0)
</f>
        <v>0</v>
      </c>
      <c r="V117" s="319">
        <f>IF(AND('Ações'!AU119="sim", 'Ações'!BI119="sim"), 1, 0)
</f>
        <v>0</v>
      </c>
      <c r="W117" s="319">
        <f>IF(AND('Ações'!AV119="sim", 'Ações'!BD119="sim"), 1, 0)
</f>
        <v>1</v>
      </c>
      <c r="X117" s="319">
        <f>IF(AND('Ações'!AV119="sim", 'Ações'!BE119="sim"), 1, 0)
</f>
        <v>0</v>
      </c>
      <c r="Y117" s="319">
        <f>IF(AND('Ações'!AV119="sim", 'Ações'!BF119="sim"), 1, 0)
</f>
        <v>0</v>
      </c>
      <c r="Z117" s="319">
        <f>IF(AND('Ações'!AV119="sim", 'Ações'!BH119="sim"), 1, 0)
</f>
        <v>0</v>
      </c>
      <c r="AA117" s="319">
        <f>IF(AND('Ações'!AV119="sim", 'Ações'!BI119="sim"), 1, 0)
</f>
        <v>0</v>
      </c>
      <c r="AB117" s="319">
        <f>IF(AND('Ações'!AW119="sim", 'Ações'!BD119="sim"), 1, 0)
</f>
        <v>1</v>
      </c>
      <c r="AC117" s="319">
        <f>IF(AND('Ações'!AW119="sim", 'Ações'!BE119="sim"), 1, 0)
</f>
        <v>0</v>
      </c>
      <c r="AD117" s="319">
        <f>IF(AND('Ações'!AW119="sim", 'Ações'!BF119="sim"), 1, 0)
</f>
        <v>0</v>
      </c>
      <c r="AE117" s="319">
        <f>IF(AND('Ações'!AW119="sim", 'Ações'!BG119="sim"), 1, 0)
</f>
        <v>0</v>
      </c>
      <c r="AF117" s="319">
        <f>IF(AND('Ações'!AW119="sim", 'Ações'!BI119="sim"), 1, 0)
</f>
        <v>0</v>
      </c>
      <c r="AG117" s="319">
        <f>IF(AND('Ações'!AX119="sim", 'Ações'!BD119="sim"), 1, 0)
</f>
        <v>0</v>
      </c>
      <c r="AH117" s="319">
        <f>IF(AND('Ações'!AX119="sim", 'Ações'!BE119="sim"), 1, 0)
</f>
        <v>0</v>
      </c>
      <c r="AI117" s="319">
        <f>IF(AND('Ações'!AX119="sim", 'Ações'!BF119="sim"), 1, 0)
</f>
        <v>0</v>
      </c>
      <c r="AJ117" s="319">
        <f>IF(AND('Ações'!AX119="sim", 'Ações'!BG119="sim"), 1, 0)
</f>
        <v>0</v>
      </c>
      <c r="AK117" s="319">
        <f>IF(AND('Ações'!AX119="sim", 'Ações'!BH119="sim"), 1, 0)
</f>
        <v>0</v>
      </c>
    </row>
    <row r="118">
      <c r="B118" s="319">
        <f>IF(AND('Ações'!AS120="sim", 'Ações'!BD120="sim"), 1, 0)
</f>
        <v>0</v>
      </c>
      <c r="C118" s="319">
        <f>IF(AND('Ações'!AT120="sim", 'Ações'!BE120="sim"), 1, 0)
</f>
        <v>0</v>
      </c>
      <c r="D118" s="319">
        <f>IF(AND('Ações'!AU120="sim", 'Ações'!BF120="sim"), 1, 0)
</f>
        <v>0</v>
      </c>
      <c r="E118" s="319">
        <f>IF(AND('Ações'!AV120="sim", 'Ações'!BG120="sim"), 1, 0)
</f>
        <v>1</v>
      </c>
      <c r="F118" s="319">
        <f>IF(AND('Ações'!AW120="sim", 'Ações'!BH120="sim"), 1, 0)
</f>
        <v>0</v>
      </c>
      <c r="G118" s="319">
        <f>IF(AND('Ações'!AX120="sim", 'Ações'!BI120="sim"), 1, 0)
</f>
        <v>0</v>
      </c>
      <c r="H118" s="319">
        <f>IF(AND('Ações'!AS120="sim", 'Ações'!BE120="sim"), 1, 0)
</f>
        <v>0</v>
      </c>
      <c r="I118" s="319">
        <f>IF(AND('Ações'!AS120="sim", 'Ações'!BF120="sim"), 1, 0)
</f>
        <v>0</v>
      </c>
      <c r="J118" s="319">
        <f>IF(AND('Ações'!AS120="sim", 'Ações'!BG120="sim"), 1, 0)
</f>
        <v>1</v>
      </c>
      <c r="K118" s="319">
        <f>IF(AND('Ações'!AS120="sim", 'Ações'!BH120="sim"), 1, 0)
</f>
        <v>0</v>
      </c>
      <c r="L118" s="319">
        <f>IF(AND('Ações'!AS120="sim", 'Ações'!BI120="sim"), 1, 0)
</f>
        <v>0</v>
      </c>
      <c r="M118" s="319">
        <f>IF(AND('Ações'!AT120="sim", 'Ações'!BD120="sim"), 1, 0)
</f>
        <v>0</v>
      </c>
      <c r="N118" s="319">
        <f>IF(AND('Ações'!AT120="sim", 'Ações'!BF120="sim"), 1, 0)
</f>
        <v>0</v>
      </c>
      <c r="O118" s="319">
        <f>IF(AND('Ações'!AT120="sim", 'Ações'!BG120="sim"), 1, 0)
</f>
        <v>1</v>
      </c>
      <c r="P118" s="319">
        <f>IF(AND('Ações'!AT120="sim", 'Ações'!BH120="sim"), 1, 0)
</f>
        <v>0</v>
      </c>
      <c r="Q118" s="319">
        <f>IF(AND('Ações'!AT120="sim", 'Ações'!BI120="sim"), 1, 0)
</f>
        <v>0</v>
      </c>
      <c r="R118" s="319">
        <f>IF(AND('Ações'!AU120="sim", 'Ações'!BD120="sim"), 1, 0)
</f>
        <v>0</v>
      </c>
      <c r="S118" s="319">
        <f>IF(AND('Ações'!AU120="sim", 'Ações'!BE120="sim"), 1, 0)
</f>
        <v>0</v>
      </c>
      <c r="T118" s="319">
        <f>IF(AND('Ações'!AU120="sim", 'Ações'!BG120="sim"), 1, 0)
</f>
        <v>0</v>
      </c>
      <c r="U118" s="319">
        <f>IF(AND('Ações'!AU120="sim", 'Ações'!BH120="sim"), 1, 0)
</f>
        <v>0</v>
      </c>
      <c r="V118" s="319">
        <f>IF(AND('Ações'!AU120="sim", 'Ações'!BI120="sim"), 1, 0)
</f>
        <v>0</v>
      </c>
      <c r="W118" s="319">
        <f>IF(AND('Ações'!AV120="sim", 'Ações'!BD120="sim"), 1, 0)
</f>
        <v>0</v>
      </c>
      <c r="X118" s="319">
        <f>IF(AND('Ações'!AV120="sim", 'Ações'!BE120="sim"), 1, 0)
</f>
        <v>0</v>
      </c>
      <c r="Y118" s="319">
        <f>IF(AND('Ações'!AV120="sim", 'Ações'!BF120="sim"), 1, 0)
</f>
        <v>0</v>
      </c>
      <c r="Z118" s="319">
        <f>IF(AND('Ações'!AV120="sim", 'Ações'!BH120="sim"), 1, 0)
</f>
        <v>0</v>
      </c>
      <c r="AA118" s="319">
        <f>IF(AND('Ações'!AV120="sim", 'Ações'!BI120="sim"), 1, 0)
</f>
        <v>0</v>
      </c>
      <c r="AB118" s="319">
        <f>IF(AND('Ações'!AW120="sim", 'Ações'!BD120="sim"), 1, 0)
</f>
        <v>0</v>
      </c>
      <c r="AC118" s="319">
        <f>IF(AND('Ações'!AW120="sim", 'Ações'!BE120="sim"), 1, 0)
</f>
        <v>0</v>
      </c>
      <c r="AD118" s="319">
        <f>IF(AND('Ações'!AW120="sim", 'Ações'!BF120="sim"), 1, 0)
</f>
        <v>0</v>
      </c>
      <c r="AE118" s="319">
        <f>IF(AND('Ações'!AW120="sim", 'Ações'!BG120="sim"), 1, 0)
</f>
        <v>1</v>
      </c>
      <c r="AF118" s="319">
        <f>IF(AND('Ações'!AW120="sim", 'Ações'!BI120="sim"), 1, 0)
</f>
        <v>0</v>
      </c>
      <c r="AG118" s="319">
        <f>IF(AND('Ações'!AX120="sim", 'Ações'!BD120="sim"), 1, 0)
</f>
        <v>0</v>
      </c>
      <c r="AH118" s="319">
        <f>IF(AND('Ações'!AX120="sim", 'Ações'!BE120="sim"), 1, 0)
</f>
        <v>0</v>
      </c>
      <c r="AI118" s="319">
        <f>IF(AND('Ações'!AX120="sim", 'Ações'!BF120="sim"), 1, 0)
</f>
        <v>0</v>
      </c>
      <c r="AJ118" s="319">
        <f>IF(AND('Ações'!AX120="sim", 'Ações'!BG120="sim"), 1, 0)
</f>
        <v>0</v>
      </c>
      <c r="AK118" s="319">
        <f>IF(AND('Ações'!AX120="sim", 'Ações'!BH120="sim"), 1, 0)
</f>
        <v>0</v>
      </c>
    </row>
    <row r="119">
      <c r="B119" s="319">
        <f>IF(AND('Ações'!AS121="sim", 'Ações'!BD121="sim"), 1, 0)
</f>
        <v>0</v>
      </c>
      <c r="C119" s="319">
        <f>IF(AND('Ações'!AT121="sim", 'Ações'!BE121="sim"), 1, 0)
</f>
        <v>0</v>
      </c>
      <c r="D119" s="319">
        <f>IF(AND('Ações'!AU121="sim", 'Ações'!BF121="sim"), 1, 0)
</f>
        <v>0</v>
      </c>
      <c r="E119" s="319">
        <f>IF(AND('Ações'!AV121="sim", 'Ações'!BG121="sim"), 1, 0)
</f>
        <v>0</v>
      </c>
      <c r="F119" s="319">
        <f>IF(AND('Ações'!AW121="sim", 'Ações'!BH121="sim"), 1, 0)
</f>
        <v>0</v>
      </c>
      <c r="G119" s="319">
        <f>IF(AND('Ações'!AX121="sim", 'Ações'!BI121="sim"), 1, 0)
</f>
        <v>0</v>
      </c>
      <c r="H119" s="319">
        <f>IF(AND('Ações'!AS121="sim", 'Ações'!BE121="sim"), 1, 0)
</f>
        <v>0</v>
      </c>
      <c r="I119" s="319">
        <f>IF(AND('Ações'!AS121="sim", 'Ações'!BF121="sim"), 1, 0)
</f>
        <v>0</v>
      </c>
      <c r="J119" s="319">
        <f>IF(AND('Ações'!AS121="sim", 'Ações'!BG121="sim"), 1, 0)
</f>
        <v>0</v>
      </c>
      <c r="K119" s="319">
        <f>IF(AND('Ações'!AS121="sim", 'Ações'!BH121="sim"), 1, 0)
</f>
        <v>0</v>
      </c>
      <c r="L119" s="319">
        <f>IF(AND('Ações'!AS121="sim", 'Ações'!BI121="sim"), 1, 0)
</f>
        <v>1</v>
      </c>
      <c r="M119" s="319">
        <f>IF(AND('Ações'!AT121="sim", 'Ações'!BD121="sim"), 1, 0)
</f>
        <v>0</v>
      </c>
      <c r="N119" s="319">
        <f>IF(AND('Ações'!AT121="sim", 'Ações'!BF121="sim"), 1, 0)
</f>
        <v>0</v>
      </c>
      <c r="O119" s="319">
        <f>IF(AND('Ações'!AT121="sim", 'Ações'!BG121="sim"), 1, 0)
</f>
        <v>0</v>
      </c>
      <c r="P119" s="319">
        <f>IF(AND('Ações'!AT121="sim", 'Ações'!BH121="sim"), 1, 0)
</f>
        <v>0</v>
      </c>
      <c r="Q119" s="319">
        <f>IF(AND('Ações'!AT121="sim", 'Ações'!BI121="sim"), 1, 0)
</f>
        <v>1</v>
      </c>
      <c r="R119" s="319">
        <f>IF(AND('Ações'!AU121="sim", 'Ações'!BD121="sim"), 1, 0)
</f>
        <v>0</v>
      </c>
      <c r="S119" s="319">
        <f>IF(AND('Ações'!AU121="sim", 'Ações'!BE121="sim"), 1, 0)
</f>
        <v>0</v>
      </c>
      <c r="T119" s="319">
        <f>IF(AND('Ações'!AU121="sim", 'Ações'!BG121="sim"), 1, 0)
</f>
        <v>0</v>
      </c>
      <c r="U119" s="319">
        <f>IF(AND('Ações'!AU121="sim", 'Ações'!BH121="sim"), 1, 0)
</f>
        <v>0</v>
      </c>
      <c r="V119" s="319">
        <f>IF(AND('Ações'!AU121="sim", 'Ações'!BI121="sim"), 1, 0)
</f>
        <v>0</v>
      </c>
      <c r="W119" s="319">
        <f>IF(AND('Ações'!AV121="sim", 'Ações'!BD121="sim"), 1, 0)
</f>
        <v>0</v>
      </c>
      <c r="X119" s="319">
        <f>IF(AND('Ações'!AV121="sim", 'Ações'!BE121="sim"), 1, 0)
</f>
        <v>0</v>
      </c>
      <c r="Y119" s="319">
        <f>IF(AND('Ações'!AV121="sim", 'Ações'!BF121="sim"), 1, 0)
</f>
        <v>0</v>
      </c>
      <c r="Z119" s="319">
        <f>IF(AND('Ações'!AV121="sim", 'Ações'!BH121="sim"), 1, 0)
</f>
        <v>0</v>
      </c>
      <c r="AA119" s="319">
        <f>IF(AND('Ações'!AV121="sim", 'Ações'!BI121="sim"), 1, 0)
</f>
        <v>1</v>
      </c>
      <c r="AB119" s="319">
        <f>IF(AND('Ações'!AW121="sim", 'Ações'!BD121="sim"), 1, 0)
</f>
        <v>0</v>
      </c>
      <c r="AC119" s="319">
        <f>IF(AND('Ações'!AW121="sim", 'Ações'!BE121="sim"), 1, 0)
</f>
        <v>0</v>
      </c>
      <c r="AD119" s="319">
        <f>IF(AND('Ações'!AW121="sim", 'Ações'!BF121="sim"), 1, 0)
</f>
        <v>0</v>
      </c>
      <c r="AE119" s="319">
        <f>IF(AND('Ações'!AW121="sim", 'Ações'!BG121="sim"), 1, 0)
</f>
        <v>0</v>
      </c>
      <c r="AF119" s="319">
        <f>IF(AND('Ações'!AW121="sim", 'Ações'!BI121="sim"), 1, 0)
</f>
        <v>1</v>
      </c>
      <c r="AG119" s="319">
        <f>IF(AND('Ações'!AX121="sim", 'Ações'!BD121="sim"), 1, 0)
</f>
        <v>0</v>
      </c>
      <c r="AH119" s="319">
        <f>IF(AND('Ações'!AX121="sim", 'Ações'!BE121="sim"), 1, 0)
</f>
        <v>0</v>
      </c>
      <c r="AI119" s="319">
        <f>IF(AND('Ações'!AX121="sim", 'Ações'!BF121="sim"), 1, 0)
</f>
        <v>0</v>
      </c>
      <c r="AJ119" s="319">
        <f>IF(AND('Ações'!AX121="sim", 'Ações'!BG121="sim"), 1, 0)
</f>
        <v>0</v>
      </c>
      <c r="AK119" s="319">
        <f>IF(AND('Ações'!AX121="sim", 'Ações'!BH121="sim"), 1, 0)
</f>
        <v>0</v>
      </c>
    </row>
    <row r="120">
      <c r="B120" s="319">
        <f>IF(AND('Ações'!AS122="sim", 'Ações'!BD122="sim"), 1, 0)
</f>
        <v>0</v>
      </c>
      <c r="C120" s="319">
        <f>IF(AND('Ações'!AT122="sim", 'Ações'!BE122="sim"), 1, 0)
</f>
        <v>0</v>
      </c>
      <c r="D120" s="319">
        <f>IF(AND('Ações'!AU122="sim", 'Ações'!BF122="sim"), 1, 0)
</f>
        <v>0</v>
      </c>
      <c r="E120" s="319">
        <f>IF(AND('Ações'!AV122="sim", 'Ações'!BG122="sim"), 1, 0)
</f>
        <v>0</v>
      </c>
      <c r="F120" s="319">
        <f>IF(AND('Ações'!AW122="sim", 'Ações'!BH122="sim"), 1, 0)
</f>
        <v>0</v>
      </c>
      <c r="G120" s="319">
        <f>IF(AND('Ações'!AX122="sim", 'Ações'!BI122="sim"), 1, 0)
</f>
        <v>0</v>
      </c>
      <c r="H120" s="319">
        <f>IF(AND('Ações'!AS122="sim", 'Ações'!BE122="sim"), 1, 0)
</f>
        <v>0</v>
      </c>
      <c r="I120" s="319">
        <f>IF(AND('Ações'!AS122="sim", 'Ações'!BF122="sim"), 1, 0)
</f>
        <v>0</v>
      </c>
      <c r="J120" s="319">
        <f>IF(AND('Ações'!AS122="sim", 'Ações'!BG122="sim"), 1, 0)
</f>
        <v>0</v>
      </c>
      <c r="K120" s="319">
        <f>IF(AND('Ações'!AS122="sim", 'Ações'!BH122="sim"), 1, 0)
</f>
        <v>0</v>
      </c>
      <c r="L120" s="319">
        <f>IF(AND('Ações'!AS122="sim", 'Ações'!BI122="sim"), 1, 0)
</f>
        <v>1</v>
      </c>
      <c r="M120" s="319">
        <f>IF(AND('Ações'!AT122="sim", 'Ações'!BD122="sim"), 1, 0)
</f>
        <v>0</v>
      </c>
      <c r="N120" s="319">
        <f>IF(AND('Ações'!AT122="sim", 'Ações'!BF122="sim"), 1, 0)
</f>
        <v>0</v>
      </c>
      <c r="O120" s="319">
        <f>IF(AND('Ações'!AT122="sim", 'Ações'!BG122="sim"), 1, 0)
</f>
        <v>0</v>
      </c>
      <c r="P120" s="319">
        <f>IF(AND('Ações'!AT122="sim", 'Ações'!BH122="sim"), 1, 0)
</f>
        <v>0</v>
      </c>
      <c r="Q120" s="319">
        <f>IF(AND('Ações'!AT122="sim", 'Ações'!BI122="sim"), 1, 0)
</f>
        <v>1</v>
      </c>
      <c r="R120" s="319">
        <f>IF(AND('Ações'!AU122="sim", 'Ações'!BD122="sim"), 1, 0)
</f>
        <v>0</v>
      </c>
      <c r="S120" s="319">
        <f>IF(AND('Ações'!AU122="sim", 'Ações'!BE122="sim"), 1, 0)
</f>
        <v>0</v>
      </c>
      <c r="T120" s="319">
        <f>IF(AND('Ações'!AU122="sim", 'Ações'!BG122="sim"), 1, 0)
</f>
        <v>0</v>
      </c>
      <c r="U120" s="319">
        <f>IF(AND('Ações'!AU122="sim", 'Ações'!BH122="sim"), 1, 0)
</f>
        <v>0</v>
      </c>
      <c r="V120" s="319">
        <f>IF(AND('Ações'!AU122="sim", 'Ações'!BI122="sim"), 1, 0)
</f>
        <v>0</v>
      </c>
      <c r="W120" s="319">
        <f>IF(AND('Ações'!AV122="sim", 'Ações'!BD122="sim"), 1, 0)
</f>
        <v>0</v>
      </c>
      <c r="X120" s="319">
        <f>IF(AND('Ações'!AV122="sim", 'Ações'!BE122="sim"), 1, 0)
</f>
        <v>0</v>
      </c>
      <c r="Y120" s="319">
        <f>IF(AND('Ações'!AV122="sim", 'Ações'!BF122="sim"), 1, 0)
</f>
        <v>0</v>
      </c>
      <c r="Z120" s="319">
        <f>IF(AND('Ações'!AV122="sim", 'Ações'!BH122="sim"), 1, 0)
</f>
        <v>0</v>
      </c>
      <c r="AA120" s="319">
        <f>IF(AND('Ações'!AV122="sim", 'Ações'!BI122="sim"), 1, 0)
</f>
        <v>1</v>
      </c>
      <c r="AB120" s="319">
        <f>IF(AND('Ações'!AW122="sim", 'Ações'!BD122="sim"), 1, 0)
</f>
        <v>0</v>
      </c>
      <c r="AC120" s="319">
        <f>IF(AND('Ações'!AW122="sim", 'Ações'!BE122="sim"), 1, 0)
</f>
        <v>0</v>
      </c>
      <c r="AD120" s="319">
        <f>IF(AND('Ações'!AW122="sim", 'Ações'!BF122="sim"), 1, 0)
</f>
        <v>0</v>
      </c>
      <c r="AE120" s="319">
        <f>IF(AND('Ações'!AW122="sim", 'Ações'!BG122="sim"), 1, 0)
</f>
        <v>0</v>
      </c>
      <c r="AF120" s="319">
        <f>IF(AND('Ações'!AW122="sim", 'Ações'!BI122="sim"), 1, 0)
</f>
        <v>1</v>
      </c>
      <c r="AG120" s="319">
        <f>IF(AND('Ações'!AX122="sim", 'Ações'!BD122="sim"), 1, 0)
</f>
        <v>0</v>
      </c>
      <c r="AH120" s="319">
        <f>IF(AND('Ações'!AX122="sim", 'Ações'!BE122="sim"), 1, 0)
</f>
        <v>0</v>
      </c>
      <c r="AI120" s="319">
        <f>IF(AND('Ações'!AX122="sim", 'Ações'!BF122="sim"), 1, 0)
</f>
        <v>0</v>
      </c>
      <c r="AJ120" s="319">
        <f>IF(AND('Ações'!AX122="sim", 'Ações'!BG122="sim"), 1, 0)
</f>
        <v>0</v>
      </c>
      <c r="AK120" s="319">
        <f>IF(AND('Ações'!AX122="sim", 'Ações'!BH122="sim"), 1, 0)
</f>
        <v>0</v>
      </c>
    </row>
    <row r="121">
      <c r="B121" s="319">
        <f>IF(AND('Ações'!AS123="sim", 'Ações'!BD123="sim"), 1, 0)
</f>
        <v>0</v>
      </c>
      <c r="C121" s="319">
        <f>IF(AND('Ações'!AT123="sim", 'Ações'!BE123="sim"), 1, 0)
</f>
        <v>0</v>
      </c>
      <c r="D121" s="319">
        <f>IF(AND('Ações'!AU123="sim", 'Ações'!BF123="sim"), 1, 0)
</f>
        <v>0</v>
      </c>
      <c r="E121" s="319">
        <f>IF(AND('Ações'!AV123="sim", 'Ações'!BG123="sim"), 1, 0)
</f>
        <v>0</v>
      </c>
      <c r="F121" s="319">
        <f>IF(AND('Ações'!AW123="sim", 'Ações'!BH123="sim"), 1, 0)
</f>
        <v>0</v>
      </c>
      <c r="G121" s="319">
        <f>IF(AND('Ações'!AX123="sim", 'Ações'!BI123="sim"), 1, 0)
</f>
        <v>0</v>
      </c>
      <c r="H121" s="319">
        <f>IF(AND('Ações'!AS123="sim", 'Ações'!BE123="sim"), 1, 0)
</f>
        <v>0</v>
      </c>
      <c r="I121" s="319">
        <f>IF(AND('Ações'!AS123="sim", 'Ações'!BF123="sim"), 1, 0)
</f>
        <v>0</v>
      </c>
      <c r="J121" s="319">
        <f>IF(AND('Ações'!AS123="sim", 'Ações'!BG123="sim"), 1, 0)
</f>
        <v>0</v>
      </c>
      <c r="K121" s="319">
        <f>IF(AND('Ações'!AS123="sim", 'Ações'!BH123="sim"), 1, 0)
</f>
        <v>0</v>
      </c>
      <c r="L121" s="319">
        <f>IF(AND('Ações'!AS123="sim", 'Ações'!BI123="sim"), 1, 0)
</f>
        <v>1</v>
      </c>
      <c r="M121" s="319">
        <f>IF(AND('Ações'!AT123="sim", 'Ações'!BD123="sim"), 1, 0)
</f>
        <v>0</v>
      </c>
      <c r="N121" s="319">
        <f>IF(AND('Ações'!AT123="sim", 'Ações'!BF123="sim"), 1, 0)
</f>
        <v>0</v>
      </c>
      <c r="O121" s="319">
        <f>IF(AND('Ações'!AT123="sim", 'Ações'!BG123="sim"), 1, 0)
</f>
        <v>0</v>
      </c>
      <c r="P121" s="319">
        <f>IF(AND('Ações'!AT123="sim", 'Ações'!BH123="sim"), 1, 0)
</f>
        <v>0</v>
      </c>
      <c r="Q121" s="319">
        <f>IF(AND('Ações'!AT123="sim", 'Ações'!BI123="sim"), 1, 0)
</f>
        <v>1</v>
      </c>
      <c r="R121" s="319">
        <f>IF(AND('Ações'!AU123="sim", 'Ações'!BD123="sim"), 1, 0)
</f>
        <v>0</v>
      </c>
      <c r="S121" s="319">
        <f>IF(AND('Ações'!AU123="sim", 'Ações'!BE123="sim"), 1, 0)
</f>
        <v>0</v>
      </c>
      <c r="T121" s="319">
        <f>IF(AND('Ações'!AU123="sim", 'Ações'!BG123="sim"), 1, 0)
</f>
        <v>0</v>
      </c>
      <c r="U121" s="319">
        <f>IF(AND('Ações'!AU123="sim", 'Ações'!BH123="sim"), 1, 0)
</f>
        <v>0</v>
      </c>
      <c r="V121" s="319">
        <f>IF(AND('Ações'!AU123="sim", 'Ações'!BI123="sim"), 1, 0)
</f>
        <v>0</v>
      </c>
      <c r="W121" s="319">
        <f>IF(AND('Ações'!AV123="sim", 'Ações'!BD123="sim"), 1, 0)
</f>
        <v>0</v>
      </c>
      <c r="X121" s="319">
        <f>IF(AND('Ações'!AV123="sim", 'Ações'!BE123="sim"), 1, 0)
</f>
        <v>0</v>
      </c>
      <c r="Y121" s="319">
        <f>IF(AND('Ações'!AV123="sim", 'Ações'!BF123="sim"), 1, 0)
</f>
        <v>0</v>
      </c>
      <c r="Z121" s="319">
        <f>IF(AND('Ações'!AV123="sim", 'Ações'!BH123="sim"), 1, 0)
</f>
        <v>0</v>
      </c>
      <c r="AA121" s="319">
        <f>IF(AND('Ações'!AV123="sim", 'Ações'!BI123="sim"), 1, 0)
</f>
        <v>1</v>
      </c>
      <c r="AB121" s="319">
        <f>IF(AND('Ações'!AW123="sim", 'Ações'!BD123="sim"), 1, 0)
</f>
        <v>0</v>
      </c>
      <c r="AC121" s="319">
        <f>IF(AND('Ações'!AW123="sim", 'Ações'!BE123="sim"), 1, 0)
</f>
        <v>0</v>
      </c>
      <c r="AD121" s="319">
        <f>IF(AND('Ações'!AW123="sim", 'Ações'!BF123="sim"), 1, 0)
</f>
        <v>0</v>
      </c>
      <c r="AE121" s="319">
        <f>IF(AND('Ações'!AW123="sim", 'Ações'!BG123="sim"), 1, 0)
</f>
        <v>0</v>
      </c>
      <c r="AF121" s="319">
        <f>IF(AND('Ações'!AW123="sim", 'Ações'!BI123="sim"), 1, 0)
</f>
        <v>1</v>
      </c>
      <c r="AG121" s="319">
        <f>IF(AND('Ações'!AX123="sim", 'Ações'!BD123="sim"), 1, 0)
</f>
        <v>0</v>
      </c>
      <c r="AH121" s="319">
        <f>IF(AND('Ações'!AX123="sim", 'Ações'!BE123="sim"), 1, 0)
</f>
        <v>0</v>
      </c>
      <c r="AI121" s="319">
        <f>IF(AND('Ações'!AX123="sim", 'Ações'!BF123="sim"), 1, 0)
</f>
        <v>0</v>
      </c>
      <c r="AJ121" s="319">
        <f>IF(AND('Ações'!AX123="sim", 'Ações'!BG123="sim"), 1, 0)
</f>
        <v>0</v>
      </c>
      <c r="AK121" s="319">
        <f>IF(AND('Ações'!AX123="sim", 'Ações'!BH123="sim"), 1, 0)
</f>
        <v>0</v>
      </c>
    </row>
    <row r="122">
      <c r="B122" s="319">
        <f>IF(AND('Ações'!AS124="sim", 'Ações'!BD124="sim"), 1, 0)
</f>
        <v>0</v>
      </c>
      <c r="C122" s="319">
        <f>IF(AND('Ações'!AT124="sim", 'Ações'!BE124="sim"), 1, 0)
</f>
        <v>0</v>
      </c>
      <c r="D122" s="319">
        <f>IF(AND('Ações'!AU124="sim", 'Ações'!BF124="sim"), 1, 0)
</f>
        <v>0</v>
      </c>
      <c r="E122" s="319">
        <f>IF(AND('Ações'!AV124="sim", 'Ações'!BG124="sim"), 1, 0)
</f>
        <v>1</v>
      </c>
      <c r="F122" s="319">
        <f>IF(AND('Ações'!AW124="sim", 'Ações'!BH124="sim"), 1, 0)
</f>
        <v>0</v>
      </c>
      <c r="G122" s="319">
        <f>IF(AND('Ações'!AX124="sim", 'Ações'!BI124="sim"), 1, 0)
</f>
        <v>0</v>
      </c>
      <c r="H122" s="319">
        <f>IF(AND('Ações'!AS124="sim", 'Ações'!BE124="sim"), 1, 0)
</f>
        <v>0</v>
      </c>
      <c r="I122" s="319">
        <f>IF(AND('Ações'!AS124="sim", 'Ações'!BF124="sim"), 1, 0)
</f>
        <v>0</v>
      </c>
      <c r="J122" s="319">
        <f>IF(AND('Ações'!AS124="sim", 'Ações'!BG124="sim"), 1, 0)
</f>
        <v>1</v>
      </c>
      <c r="K122" s="319">
        <f>IF(AND('Ações'!AS124="sim", 'Ações'!BH124="sim"), 1, 0)
</f>
        <v>0</v>
      </c>
      <c r="L122" s="319">
        <f>IF(AND('Ações'!AS124="sim", 'Ações'!BI124="sim"), 1, 0)
</f>
        <v>0</v>
      </c>
      <c r="M122" s="319">
        <f>IF(AND('Ações'!AT124="sim", 'Ações'!BD124="sim"), 1, 0)
</f>
        <v>0</v>
      </c>
      <c r="N122" s="319">
        <f>IF(AND('Ações'!AT124="sim", 'Ações'!BF124="sim"), 1, 0)
</f>
        <v>0</v>
      </c>
      <c r="O122" s="319">
        <f>IF(AND('Ações'!AT124="sim", 'Ações'!BG124="sim"), 1, 0)
</f>
        <v>1</v>
      </c>
      <c r="P122" s="319">
        <f>IF(AND('Ações'!AT124="sim", 'Ações'!BH124="sim"), 1, 0)
</f>
        <v>0</v>
      </c>
      <c r="Q122" s="319">
        <f>IF(AND('Ações'!AT124="sim", 'Ações'!BI124="sim"), 1, 0)
</f>
        <v>0</v>
      </c>
      <c r="R122" s="319">
        <f>IF(AND('Ações'!AU124="sim", 'Ações'!BD124="sim"), 1, 0)
</f>
        <v>0</v>
      </c>
      <c r="S122" s="319">
        <f>IF(AND('Ações'!AU124="sim", 'Ações'!BE124="sim"), 1, 0)
</f>
        <v>0</v>
      </c>
      <c r="T122" s="319">
        <f>IF(AND('Ações'!AU124="sim", 'Ações'!BG124="sim"), 1, 0)
</f>
        <v>0</v>
      </c>
      <c r="U122" s="319">
        <f>IF(AND('Ações'!AU124="sim", 'Ações'!BH124="sim"), 1, 0)
</f>
        <v>0</v>
      </c>
      <c r="V122" s="319">
        <f>IF(AND('Ações'!AU124="sim", 'Ações'!BI124="sim"), 1, 0)
</f>
        <v>0</v>
      </c>
      <c r="W122" s="319">
        <f>IF(AND('Ações'!AV124="sim", 'Ações'!BD124="sim"), 1, 0)
</f>
        <v>0</v>
      </c>
      <c r="X122" s="319">
        <f>IF(AND('Ações'!AV124="sim", 'Ações'!BE124="sim"), 1, 0)
</f>
        <v>0</v>
      </c>
      <c r="Y122" s="319">
        <f>IF(AND('Ações'!AV124="sim", 'Ações'!BF124="sim"), 1, 0)
</f>
        <v>0</v>
      </c>
      <c r="Z122" s="319">
        <f>IF(AND('Ações'!AV124="sim", 'Ações'!BH124="sim"), 1, 0)
</f>
        <v>0</v>
      </c>
      <c r="AA122" s="319">
        <f>IF(AND('Ações'!AV124="sim", 'Ações'!BI124="sim"), 1, 0)
</f>
        <v>0</v>
      </c>
      <c r="AB122" s="319">
        <f>IF(AND('Ações'!AW124="sim", 'Ações'!BD124="sim"), 1, 0)
</f>
        <v>0</v>
      </c>
      <c r="AC122" s="319">
        <f>IF(AND('Ações'!AW124="sim", 'Ações'!BE124="sim"), 1, 0)
</f>
        <v>0</v>
      </c>
      <c r="AD122" s="319">
        <f>IF(AND('Ações'!AW124="sim", 'Ações'!BF124="sim"), 1, 0)
</f>
        <v>0</v>
      </c>
      <c r="AE122" s="319">
        <f>IF(AND('Ações'!AW124="sim", 'Ações'!BG124="sim"), 1, 0)
</f>
        <v>1</v>
      </c>
      <c r="AF122" s="319">
        <f>IF(AND('Ações'!AW124="sim", 'Ações'!BI124="sim"), 1, 0)
</f>
        <v>0</v>
      </c>
      <c r="AG122" s="319">
        <f>IF(AND('Ações'!AX124="sim", 'Ações'!BD124="sim"), 1, 0)
</f>
        <v>0</v>
      </c>
      <c r="AH122" s="319">
        <f>IF(AND('Ações'!AX124="sim", 'Ações'!BE124="sim"), 1, 0)
</f>
        <v>0</v>
      </c>
      <c r="AI122" s="319">
        <f>IF(AND('Ações'!AX124="sim", 'Ações'!BF124="sim"), 1, 0)
</f>
        <v>0</v>
      </c>
      <c r="AJ122" s="319">
        <f>IF(AND('Ações'!AX124="sim", 'Ações'!BG124="sim"), 1, 0)
</f>
        <v>0</v>
      </c>
      <c r="AK122" s="319">
        <f>IF(AND('Ações'!AX124="sim", 'Ações'!BH124="sim"), 1, 0)
</f>
        <v>0</v>
      </c>
    </row>
    <row r="123">
      <c r="B123" s="319">
        <f>IF(AND('Ações'!AS125="sim", 'Ações'!BD125="sim"), 1, 0)
</f>
        <v>1</v>
      </c>
      <c r="C123" s="319">
        <f>IF(AND('Ações'!AT125="sim", 'Ações'!BE125="sim"), 1, 0)
</f>
        <v>0</v>
      </c>
      <c r="D123" s="319">
        <f>IF(AND('Ações'!AU125="sim", 'Ações'!BF125="sim"), 1, 0)
</f>
        <v>0</v>
      </c>
      <c r="E123" s="319">
        <f>IF(AND('Ações'!AV125="sim", 'Ações'!BG125="sim"), 1, 0)
</f>
        <v>0</v>
      </c>
      <c r="F123" s="319">
        <f>IF(AND('Ações'!AW125="sim", 'Ações'!BH125="sim"), 1, 0)
</f>
        <v>0</v>
      </c>
      <c r="G123" s="319">
        <f>IF(AND('Ações'!AX125="sim", 'Ações'!BI125="sim"), 1, 0)
</f>
        <v>0</v>
      </c>
      <c r="H123" s="319">
        <f>IF(AND('Ações'!AS125="sim", 'Ações'!BE125="sim"), 1, 0)
</f>
        <v>0</v>
      </c>
      <c r="I123" s="319">
        <f>IF(AND('Ações'!AS125="sim", 'Ações'!BF125="sim"), 1, 0)
</f>
        <v>0</v>
      </c>
      <c r="J123" s="319">
        <f>IF(AND('Ações'!AS125="sim", 'Ações'!BG125="sim"), 1, 0)
</f>
        <v>0</v>
      </c>
      <c r="K123" s="319">
        <f>IF(AND('Ações'!AS125="sim", 'Ações'!BH125="sim"), 1, 0)
</f>
        <v>0</v>
      </c>
      <c r="L123" s="319">
        <f>IF(AND('Ações'!AS125="sim", 'Ações'!BI125="sim"), 1, 0)
</f>
        <v>0</v>
      </c>
      <c r="M123" s="319">
        <f>IF(AND('Ações'!AT125="sim", 'Ações'!BD125="sim"), 1, 0)
</f>
        <v>1</v>
      </c>
      <c r="N123" s="319">
        <f>IF(AND('Ações'!AT125="sim", 'Ações'!BF125="sim"), 1, 0)
</f>
        <v>0</v>
      </c>
      <c r="O123" s="319">
        <f>IF(AND('Ações'!AT125="sim", 'Ações'!BG125="sim"), 1, 0)
</f>
        <v>0</v>
      </c>
      <c r="P123" s="319">
        <f>IF(AND('Ações'!AT125="sim", 'Ações'!BH125="sim"), 1, 0)
</f>
        <v>0</v>
      </c>
      <c r="Q123" s="319">
        <f>IF(AND('Ações'!AT125="sim", 'Ações'!BI125="sim"), 1, 0)
</f>
        <v>0</v>
      </c>
      <c r="R123" s="319">
        <f>IF(AND('Ações'!AU125="sim", 'Ações'!BD125="sim"), 1, 0)
</f>
        <v>0</v>
      </c>
      <c r="S123" s="319">
        <f>IF(AND('Ações'!AU125="sim", 'Ações'!BE125="sim"), 1, 0)
</f>
        <v>0</v>
      </c>
      <c r="T123" s="319">
        <f>IF(AND('Ações'!AU125="sim", 'Ações'!BG125="sim"), 1, 0)
</f>
        <v>0</v>
      </c>
      <c r="U123" s="319">
        <f>IF(AND('Ações'!AU125="sim", 'Ações'!BH125="sim"), 1, 0)
</f>
        <v>0</v>
      </c>
      <c r="V123" s="319">
        <f>IF(AND('Ações'!AU125="sim", 'Ações'!BI125="sim"), 1, 0)
</f>
        <v>0</v>
      </c>
      <c r="W123" s="319">
        <f>IF(AND('Ações'!AV125="sim", 'Ações'!BD125="sim"), 1, 0)
</f>
        <v>1</v>
      </c>
      <c r="X123" s="319">
        <f>IF(AND('Ações'!AV125="sim", 'Ações'!BE125="sim"), 1, 0)
</f>
        <v>0</v>
      </c>
      <c r="Y123" s="319">
        <f>IF(AND('Ações'!AV125="sim", 'Ações'!BF125="sim"), 1, 0)
</f>
        <v>0</v>
      </c>
      <c r="Z123" s="319">
        <f>IF(AND('Ações'!AV125="sim", 'Ações'!BH125="sim"), 1, 0)
</f>
        <v>0</v>
      </c>
      <c r="AA123" s="319">
        <f>IF(AND('Ações'!AV125="sim", 'Ações'!BI125="sim"), 1, 0)
</f>
        <v>0</v>
      </c>
      <c r="AB123" s="319">
        <f>IF(AND('Ações'!AW125="sim", 'Ações'!BD125="sim"), 1, 0)
</f>
        <v>1</v>
      </c>
      <c r="AC123" s="319">
        <f>IF(AND('Ações'!AW125="sim", 'Ações'!BE125="sim"), 1, 0)
</f>
        <v>0</v>
      </c>
      <c r="AD123" s="319">
        <f>IF(AND('Ações'!AW125="sim", 'Ações'!BF125="sim"), 1, 0)
</f>
        <v>0</v>
      </c>
      <c r="AE123" s="319">
        <f>IF(AND('Ações'!AW125="sim", 'Ações'!BG125="sim"), 1, 0)
</f>
        <v>0</v>
      </c>
      <c r="AF123" s="319">
        <f>IF(AND('Ações'!AW125="sim", 'Ações'!BI125="sim"), 1, 0)
</f>
        <v>0</v>
      </c>
      <c r="AG123" s="319">
        <f>IF(AND('Ações'!AX125="sim", 'Ações'!BD125="sim"), 1, 0)
</f>
        <v>0</v>
      </c>
      <c r="AH123" s="319">
        <f>IF(AND('Ações'!AX125="sim", 'Ações'!BE125="sim"), 1, 0)
</f>
        <v>0</v>
      </c>
      <c r="AI123" s="319">
        <f>IF(AND('Ações'!AX125="sim", 'Ações'!BF125="sim"), 1, 0)
</f>
        <v>0</v>
      </c>
      <c r="AJ123" s="319">
        <f>IF(AND('Ações'!AX125="sim", 'Ações'!BG125="sim"), 1, 0)
</f>
        <v>0</v>
      </c>
      <c r="AK123" s="319">
        <f>IF(AND('Ações'!AX125="sim", 'Ações'!BH125="sim"), 1, 0)
</f>
        <v>0</v>
      </c>
    </row>
    <row r="124">
      <c r="B124" s="319" t="str">
        <f t="shared" ref="B124:AK124" si="2">IF(AND(#REF!="sim", #REF!="sim"), 1, 0)
</f>
        <v>#REF!</v>
      </c>
      <c r="C124" s="319" t="str">
        <f t="shared" si="2"/>
        <v>#REF!</v>
      </c>
      <c r="D124" s="319" t="str">
        <f t="shared" si="2"/>
        <v>#REF!</v>
      </c>
      <c r="E124" s="319" t="str">
        <f t="shared" si="2"/>
        <v>#REF!</v>
      </c>
      <c r="F124" s="319" t="str">
        <f t="shared" si="2"/>
        <v>#REF!</v>
      </c>
      <c r="G124" s="319" t="str">
        <f t="shared" si="2"/>
        <v>#REF!</v>
      </c>
      <c r="H124" s="319" t="str">
        <f t="shared" si="2"/>
        <v>#REF!</v>
      </c>
      <c r="I124" s="319" t="str">
        <f t="shared" si="2"/>
        <v>#REF!</v>
      </c>
      <c r="J124" s="319" t="str">
        <f t="shared" si="2"/>
        <v>#REF!</v>
      </c>
      <c r="K124" s="319" t="str">
        <f t="shared" si="2"/>
        <v>#REF!</v>
      </c>
      <c r="L124" s="319" t="str">
        <f t="shared" si="2"/>
        <v>#REF!</v>
      </c>
      <c r="M124" s="319" t="str">
        <f t="shared" si="2"/>
        <v>#REF!</v>
      </c>
      <c r="N124" s="319" t="str">
        <f t="shared" si="2"/>
        <v>#REF!</v>
      </c>
      <c r="O124" s="319" t="str">
        <f t="shared" si="2"/>
        <v>#REF!</v>
      </c>
      <c r="P124" s="319" t="str">
        <f t="shared" si="2"/>
        <v>#REF!</v>
      </c>
      <c r="Q124" s="319" t="str">
        <f t="shared" si="2"/>
        <v>#REF!</v>
      </c>
      <c r="R124" s="319" t="str">
        <f t="shared" si="2"/>
        <v>#REF!</v>
      </c>
      <c r="S124" s="319" t="str">
        <f t="shared" si="2"/>
        <v>#REF!</v>
      </c>
      <c r="T124" s="319" t="str">
        <f t="shared" si="2"/>
        <v>#REF!</v>
      </c>
      <c r="U124" s="319" t="str">
        <f t="shared" si="2"/>
        <v>#REF!</v>
      </c>
      <c r="V124" s="319" t="str">
        <f t="shared" si="2"/>
        <v>#REF!</v>
      </c>
      <c r="W124" s="319" t="str">
        <f t="shared" si="2"/>
        <v>#REF!</v>
      </c>
      <c r="X124" s="319" t="str">
        <f t="shared" si="2"/>
        <v>#REF!</v>
      </c>
      <c r="Y124" s="319" t="str">
        <f t="shared" si="2"/>
        <v>#REF!</v>
      </c>
      <c r="Z124" s="319" t="str">
        <f t="shared" si="2"/>
        <v>#REF!</v>
      </c>
      <c r="AA124" s="319" t="str">
        <f t="shared" si="2"/>
        <v>#REF!</v>
      </c>
      <c r="AB124" s="319" t="str">
        <f t="shared" si="2"/>
        <v>#REF!</v>
      </c>
      <c r="AC124" s="319" t="str">
        <f t="shared" si="2"/>
        <v>#REF!</v>
      </c>
      <c r="AD124" s="319" t="str">
        <f t="shared" si="2"/>
        <v>#REF!</v>
      </c>
      <c r="AE124" s="319" t="str">
        <f t="shared" si="2"/>
        <v>#REF!</v>
      </c>
      <c r="AF124" s="319" t="str">
        <f t="shared" si="2"/>
        <v>#REF!</v>
      </c>
      <c r="AG124" s="319" t="str">
        <f t="shared" si="2"/>
        <v>#REF!</v>
      </c>
      <c r="AH124" s="319" t="str">
        <f t="shared" si="2"/>
        <v>#REF!</v>
      </c>
      <c r="AI124" s="319" t="str">
        <f t="shared" si="2"/>
        <v>#REF!</v>
      </c>
      <c r="AJ124" s="319" t="str">
        <f t="shared" si="2"/>
        <v>#REF!</v>
      </c>
      <c r="AK124" s="319" t="str">
        <f t="shared" si="2"/>
        <v>#REF!</v>
      </c>
    </row>
    <row r="125">
      <c r="B125" s="319">
        <f>IF(AND('Ações'!AS126="sim", 'Ações'!BD126="sim"), 1, 0)
</f>
        <v>1</v>
      </c>
      <c r="C125" s="319">
        <f>IF(AND('Ações'!AT126="sim", 'Ações'!BE126="sim"), 1, 0)
</f>
        <v>1</v>
      </c>
      <c r="D125" s="319">
        <f>IF(AND('Ações'!AU126="sim", 'Ações'!BF126="sim"), 1, 0)
</f>
        <v>0</v>
      </c>
      <c r="E125" s="319">
        <f>IF(AND('Ações'!AV126="sim", 'Ações'!BG126="sim"), 1, 0)
</f>
        <v>0</v>
      </c>
      <c r="F125" s="319">
        <f>IF(AND('Ações'!AW126="sim", 'Ações'!BH126="sim"), 1, 0)
</f>
        <v>0</v>
      </c>
      <c r="G125" s="319">
        <f>IF(AND('Ações'!AX126="sim", 'Ações'!BI126="sim"), 1, 0)
</f>
        <v>0</v>
      </c>
      <c r="H125" s="319">
        <f>IF(AND('Ações'!AS126="sim", 'Ações'!BE126="sim"), 1, 0)
</f>
        <v>1</v>
      </c>
      <c r="I125" s="319">
        <f>IF(AND('Ações'!AS126="sim", 'Ações'!BF126="sim"), 1, 0)
</f>
        <v>0</v>
      </c>
      <c r="J125" s="319">
        <f>IF(AND('Ações'!AS126="sim", 'Ações'!BG126="sim"), 1, 0)
</f>
        <v>0</v>
      </c>
      <c r="K125" s="319">
        <f>IF(AND('Ações'!AS126="sim", 'Ações'!BH126="sim"), 1, 0)
</f>
        <v>0</v>
      </c>
      <c r="L125" s="319">
        <f>IF(AND('Ações'!AS126="sim", 'Ações'!BI126="sim"), 1, 0)
</f>
        <v>0</v>
      </c>
      <c r="M125" s="319">
        <f>IF(AND('Ações'!AT126="sim", 'Ações'!BD126="sim"), 1, 0)
</f>
        <v>1</v>
      </c>
      <c r="N125" s="319">
        <f>IF(AND('Ações'!AT126="sim", 'Ações'!BF126="sim"), 1, 0)
</f>
        <v>0</v>
      </c>
      <c r="O125" s="319">
        <f>IF(AND('Ações'!AT126="sim", 'Ações'!BG126="sim"), 1, 0)
</f>
        <v>0</v>
      </c>
      <c r="P125" s="319">
        <f>IF(AND('Ações'!AT126="sim", 'Ações'!BH126="sim"), 1, 0)
</f>
        <v>0</v>
      </c>
      <c r="Q125" s="319">
        <f>IF(AND('Ações'!AT126="sim", 'Ações'!BI126="sim"), 1, 0)
</f>
        <v>0</v>
      </c>
      <c r="R125" s="319">
        <f>IF(AND('Ações'!AU126="sim", 'Ações'!BD126="sim"), 1, 0)
</f>
        <v>0</v>
      </c>
      <c r="S125" s="319">
        <f>IF(AND('Ações'!AU126="sim", 'Ações'!BE126="sim"), 1, 0)
</f>
        <v>0</v>
      </c>
      <c r="T125" s="319">
        <f>IF(AND('Ações'!AU126="sim", 'Ações'!BG126="sim"), 1, 0)
</f>
        <v>0</v>
      </c>
      <c r="U125" s="319">
        <f>IF(AND('Ações'!AU126="sim", 'Ações'!BH126="sim"), 1, 0)
</f>
        <v>0</v>
      </c>
      <c r="V125" s="319">
        <f>IF(AND('Ações'!AU126="sim", 'Ações'!BI126="sim"), 1, 0)
</f>
        <v>0</v>
      </c>
      <c r="W125" s="319">
        <f>IF(AND('Ações'!AV126="sim", 'Ações'!BD126="sim"), 1, 0)
</f>
        <v>1</v>
      </c>
      <c r="X125" s="319">
        <f>IF(AND('Ações'!AV126="sim", 'Ações'!BE126="sim"), 1, 0)
</f>
        <v>1</v>
      </c>
      <c r="Y125" s="319">
        <f>IF(AND('Ações'!AV126="sim", 'Ações'!BF126="sim"), 1, 0)
</f>
        <v>0</v>
      </c>
      <c r="Z125" s="319">
        <f>IF(AND('Ações'!AV126="sim", 'Ações'!BH126="sim"), 1, 0)
</f>
        <v>0</v>
      </c>
      <c r="AA125" s="319">
        <f>IF(AND('Ações'!AV126="sim", 'Ações'!BI126="sim"), 1, 0)
</f>
        <v>0</v>
      </c>
      <c r="AB125" s="319">
        <f>IF(AND('Ações'!AW126="sim", 'Ações'!BD126="sim"), 1, 0)
</f>
        <v>1</v>
      </c>
      <c r="AC125" s="319">
        <f>IF(AND('Ações'!AW126="sim", 'Ações'!BE126="sim"), 1, 0)
</f>
        <v>1</v>
      </c>
      <c r="AD125" s="319">
        <f>IF(AND('Ações'!AW126="sim", 'Ações'!BF126="sim"), 1, 0)
</f>
        <v>0</v>
      </c>
      <c r="AE125" s="319">
        <f>IF(AND('Ações'!AW126="sim", 'Ações'!BG126="sim"), 1, 0)
</f>
        <v>0</v>
      </c>
      <c r="AF125" s="319">
        <f>IF(AND('Ações'!AW126="sim", 'Ações'!BI126="sim"), 1, 0)
</f>
        <v>0</v>
      </c>
      <c r="AG125" s="319">
        <f>IF(AND('Ações'!AX126="sim", 'Ações'!BD126="sim"), 1, 0)
</f>
        <v>0</v>
      </c>
      <c r="AH125" s="319">
        <f>IF(AND('Ações'!AX126="sim", 'Ações'!BE126="sim"), 1, 0)
</f>
        <v>0</v>
      </c>
      <c r="AI125" s="319">
        <f>IF(AND('Ações'!AX126="sim", 'Ações'!BF126="sim"), 1, 0)
</f>
        <v>0</v>
      </c>
      <c r="AJ125" s="319">
        <f>IF(AND('Ações'!AX126="sim", 'Ações'!BG126="sim"), 1, 0)
</f>
        <v>0</v>
      </c>
      <c r="AK125" s="319">
        <f>IF(AND('Ações'!AX126="sim", 'Ações'!BH126="sim"), 1, 0)
</f>
        <v>0</v>
      </c>
    </row>
    <row r="126">
      <c r="B126" s="319">
        <f>IF(AND('Ações'!AS127="sim", 'Ações'!BD127="sim"), 1, 0)
</f>
        <v>0</v>
      </c>
      <c r="C126" s="319">
        <f>IF(AND('Ações'!AT127="sim", 'Ações'!BE127="sim"), 1, 0)
</f>
        <v>0</v>
      </c>
      <c r="D126" s="319">
        <f>IF(AND('Ações'!AU127="sim", 'Ações'!BF127="sim"), 1, 0)
</f>
        <v>0</v>
      </c>
      <c r="E126" s="319">
        <f>IF(AND('Ações'!AV127="sim", 'Ações'!BG127="sim"), 1, 0)
</f>
        <v>0</v>
      </c>
      <c r="F126" s="319">
        <f>IF(AND('Ações'!AW127="sim", 'Ações'!BH127="sim"), 1, 0)
</f>
        <v>0</v>
      </c>
      <c r="G126" s="319">
        <f>IF(AND('Ações'!AX127="sim", 'Ações'!BI127="sim"), 1, 0)
</f>
        <v>0</v>
      </c>
      <c r="H126" s="319">
        <f>IF(AND('Ações'!AS127="sim", 'Ações'!BE127="sim"), 1, 0)
</f>
        <v>0</v>
      </c>
      <c r="I126" s="319">
        <f>IF(AND('Ações'!AS127="sim", 'Ações'!BF127="sim"), 1, 0)
</f>
        <v>0</v>
      </c>
      <c r="J126" s="319">
        <f>IF(AND('Ações'!AS127="sim", 'Ações'!BG127="sim"), 1, 0)
</f>
        <v>0</v>
      </c>
      <c r="K126" s="319">
        <f>IF(AND('Ações'!AS127="sim", 'Ações'!BH127="sim"), 1, 0)
</f>
        <v>0</v>
      </c>
      <c r="L126" s="319">
        <f>IF(AND('Ações'!AS127="sim", 'Ações'!BI127="sim"), 1, 0)
</f>
        <v>1</v>
      </c>
      <c r="M126" s="319">
        <f>IF(AND('Ações'!AT127="sim", 'Ações'!BD127="sim"), 1, 0)
</f>
        <v>0</v>
      </c>
      <c r="N126" s="319">
        <f>IF(AND('Ações'!AT127="sim", 'Ações'!BF127="sim"), 1, 0)
</f>
        <v>0</v>
      </c>
      <c r="O126" s="319">
        <f>IF(AND('Ações'!AT127="sim", 'Ações'!BG127="sim"), 1, 0)
</f>
        <v>0</v>
      </c>
      <c r="P126" s="319">
        <f>IF(AND('Ações'!AT127="sim", 'Ações'!BH127="sim"), 1, 0)
</f>
        <v>0</v>
      </c>
      <c r="Q126" s="319">
        <f>IF(AND('Ações'!AT127="sim", 'Ações'!BI127="sim"), 1, 0)
</f>
        <v>1</v>
      </c>
      <c r="R126" s="319">
        <f>IF(AND('Ações'!AU127="sim", 'Ações'!BD127="sim"), 1, 0)
</f>
        <v>0</v>
      </c>
      <c r="S126" s="319">
        <f>IF(AND('Ações'!AU127="sim", 'Ações'!BE127="sim"), 1, 0)
</f>
        <v>0</v>
      </c>
      <c r="T126" s="319">
        <f>IF(AND('Ações'!AU127="sim", 'Ações'!BG127="sim"), 1, 0)
</f>
        <v>0</v>
      </c>
      <c r="U126" s="319">
        <f>IF(AND('Ações'!AU127="sim", 'Ações'!BH127="sim"), 1, 0)
</f>
        <v>0</v>
      </c>
      <c r="V126" s="319">
        <f>IF(AND('Ações'!AU127="sim", 'Ações'!BI127="sim"), 1, 0)
</f>
        <v>1</v>
      </c>
      <c r="W126" s="319">
        <f>IF(AND('Ações'!AV127="sim", 'Ações'!BD127="sim"), 1, 0)
</f>
        <v>0</v>
      </c>
      <c r="X126" s="319">
        <f>IF(AND('Ações'!AV127="sim", 'Ações'!BE127="sim"), 1, 0)
</f>
        <v>0</v>
      </c>
      <c r="Y126" s="319">
        <f>IF(AND('Ações'!AV127="sim", 'Ações'!BF127="sim"), 1, 0)
</f>
        <v>0</v>
      </c>
      <c r="Z126" s="319">
        <f>IF(AND('Ações'!AV127="sim", 'Ações'!BH127="sim"), 1, 0)
</f>
        <v>0</v>
      </c>
      <c r="AA126" s="319">
        <f>IF(AND('Ações'!AV127="sim", 'Ações'!BI127="sim"), 1, 0)
</f>
        <v>1</v>
      </c>
      <c r="AB126" s="319">
        <f>IF(AND('Ações'!AW127="sim", 'Ações'!BD127="sim"), 1, 0)
</f>
        <v>0</v>
      </c>
      <c r="AC126" s="319">
        <f>IF(AND('Ações'!AW127="sim", 'Ações'!BE127="sim"), 1, 0)
</f>
        <v>0</v>
      </c>
      <c r="AD126" s="319">
        <f>IF(AND('Ações'!AW127="sim", 'Ações'!BF127="sim"), 1, 0)
</f>
        <v>0</v>
      </c>
      <c r="AE126" s="319">
        <f>IF(AND('Ações'!AW127="sim", 'Ações'!BG127="sim"), 1, 0)
</f>
        <v>0</v>
      </c>
      <c r="AF126" s="319">
        <f>IF(AND('Ações'!AW127="sim", 'Ações'!BI127="sim"), 1, 0)
</f>
        <v>1</v>
      </c>
      <c r="AG126" s="319">
        <f>IF(AND('Ações'!AX127="sim", 'Ações'!BD127="sim"), 1, 0)
</f>
        <v>0</v>
      </c>
      <c r="AH126" s="319">
        <f>IF(AND('Ações'!AX127="sim", 'Ações'!BE127="sim"), 1, 0)
</f>
        <v>0</v>
      </c>
      <c r="AI126" s="319">
        <f>IF(AND('Ações'!AX127="sim", 'Ações'!BF127="sim"), 1, 0)
</f>
        <v>0</v>
      </c>
      <c r="AJ126" s="319">
        <f>IF(AND('Ações'!AX127="sim", 'Ações'!BG127="sim"), 1, 0)
</f>
        <v>0</v>
      </c>
      <c r="AK126" s="319">
        <f>IF(AND('Ações'!AX127="sim", 'Ações'!BH127="sim"), 1, 0)
</f>
        <v>0</v>
      </c>
    </row>
    <row r="127">
      <c r="B127" s="319">
        <f>IF(AND('Ações'!AS128="sim", 'Ações'!BD128="sim"), 1, 0)
</f>
        <v>0</v>
      </c>
      <c r="C127" s="319">
        <f>IF(AND('Ações'!AT128="sim", 'Ações'!BE128="sim"), 1, 0)
</f>
        <v>0</v>
      </c>
      <c r="D127" s="319">
        <f>IF(AND('Ações'!AU128="sim", 'Ações'!BF128="sim"), 1, 0)
</f>
        <v>0</v>
      </c>
      <c r="E127" s="319">
        <f>IF(AND('Ações'!AV128="sim", 'Ações'!BG128="sim"), 1, 0)
</f>
        <v>0</v>
      </c>
      <c r="F127" s="319">
        <f>IF(AND('Ações'!AW128="sim", 'Ações'!BH128="sim"), 1, 0)
</f>
        <v>0</v>
      </c>
      <c r="G127" s="319">
        <f>IF(AND('Ações'!AX128="sim", 'Ações'!BI128="sim"), 1, 0)
</f>
        <v>0</v>
      </c>
      <c r="H127" s="319">
        <f>IF(AND('Ações'!AS128="sim", 'Ações'!BE128="sim"), 1, 0)
</f>
        <v>0</v>
      </c>
      <c r="I127" s="319">
        <f>IF(AND('Ações'!AS128="sim", 'Ações'!BF128="sim"), 1, 0)
</f>
        <v>0</v>
      </c>
      <c r="J127" s="319">
        <f>IF(AND('Ações'!AS128="sim", 'Ações'!BG128="sim"), 1, 0)
</f>
        <v>0</v>
      </c>
      <c r="K127" s="319">
        <f>IF(AND('Ações'!AS128="sim", 'Ações'!BH128="sim"), 1, 0)
</f>
        <v>0</v>
      </c>
      <c r="L127" s="319">
        <f>IF(AND('Ações'!AS128="sim", 'Ações'!BI128="sim"), 1, 0)
</f>
        <v>0</v>
      </c>
      <c r="M127" s="319">
        <f>IF(AND('Ações'!AT128="sim", 'Ações'!BD128="sim"), 1, 0)
</f>
        <v>0</v>
      </c>
      <c r="N127" s="319">
        <f>IF(AND('Ações'!AT128="sim", 'Ações'!BF128="sim"), 1, 0)
</f>
        <v>0</v>
      </c>
      <c r="O127" s="319">
        <f>IF(AND('Ações'!AT128="sim", 'Ações'!BG128="sim"), 1, 0)
</f>
        <v>0</v>
      </c>
      <c r="P127" s="319">
        <f>IF(AND('Ações'!AT128="sim", 'Ações'!BH128="sim"), 1, 0)
</f>
        <v>0</v>
      </c>
      <c r="Q127" s="319">
        <f>IF(AND('Ações'!AT128="sim", 'Ações'!BI128="sim"), 1, 0)
</f>
        <v>0</v>
      </c>
      <c r="R127" s="319">
        <f>IF(AND('Ações'!AU128="sim", 'Ações'!BD128="sim"), 1, 0)
</f>
        <v>0</v>
      </c>
      <c r="S127" s="319">
        <f>IF(AND('Ações'!AU128="sim", 'Ações'!BE128="sim"), 1, 0)
</f>
        <v>0</v>
      </c>
      <c r="T127" s="319">
        <f>IF(AND('Ações'!AU128="sim", 'Ações'!BG128="sim"), 1, 0)
</f>
        <v>0</v>
      </c>
      <c r="U127" s="319">
        <f>IF(AND('Ações'!AU128="sim", 'Ações'!BH128="sim"), 1, 0)
</f>
        <v>0</v>
      </c>
      <c r="V127" s="319">
        <f>IF(AND('Ações'!AU128="sim", 'Ações'!BI128="sim"), 1, 0)
</f>
        <v>0</v>
      </c>
      <c r="W127" s="319">
        <f>IF(AND('Ações'!AV128="sim", 'Ações'!BD128="sim"), 1, 0)
</f>
        <v>0</v>
      </c>
      <c r="X127" s="319">
        <f>IF(AND('Ações'!AV128="sim", 'Ações'!BE128="sim"), 1, 0)
</f>
        <v>0</v>
      </c>
      <c r="Y127" s="319">
        <f>IF(AND('Ações'!AV128="sim", 'Ações'!BF128="sim"), 1, 0)
</f>
        <v>0</v>
      </c>
      <c r="Z127" s="319">
        <f>IF(AND('Ações'!AV128="sim", 'Ações'!BH128="sim"), 1, 0)
</f>
        <v>0</v>
      </c>
      <c r="AA127" s="319">
        <f>IF(AND('Ações'!AV128="sim", 'Ações'!BI128="sim"), 1, 0)
</f>
        <v>0</v>
      </c>
      <c r="AB127" s="319">
        <f>IF(AND('Ações'!AW128="sim", 'Ações'!BD128="sim"), 1, 0)
</f>
        <v>0</v>
      </c>
      <c r="AC127" s="319">
        <f>IF(AND('Ações'!AW128="sim", 'Ações'!BE128="sim"), 1, 0)
</f>
        <v>0</v>
      </c>
      <c r="AD127" s="319">
        <f>IF(AND('Ações'!AW128="sim", 'Ações'!BF128="sim"), 1, 0)
</f>
        <v>0</v>
      </c>
      <c r="AE127" s="319">
        <f>IF(AND('Ações'!AW128="sim", 'Ações'!BG128="sim"), 1, 0)
</f>
        <v>0</v>
      </c>
      <c r="AF127" s="319">
        <f>IF(AND('Ações'!AW128="sim", 'Ações'!BI128="sim"), 1, 0)
</f>
        <v>0</v>
      </c>
      <c r="AG127" s="319">
        <f>IF(AND('Ações'!AX128="sim", 'Ações'!BD128="sim"), 1, 0)
</f>
        <v>0</v>
      </c>
      <c r="AH127" s="319">
        <f>IF(AND('Ações'!AX128="sim", 'Ações'!BE128="sim"), 1, 0)
</f>
        <v>0</v>
      </c>
      <c r="AI127" s="319">
        <f>IF(AND('Ações'!AX128="sim", 'Ações'!BF128="sim"), 1, 0)
</f>
        <v>0</v>
      </c>
      <c r="AJ127" s="319">
        <f>IF(AND('Ações'!AX128="sim", 'Ações'!BG128="sim"), 1, 0)
</f>
        <v>0</v>
      </c>
      <c r="AK127" s="319">
        <f>IF(AND('Ações'!AX128="sim", 'Ações'!BH128="sim"), 1, 0)
</f>
        <v>0</v>
      </c>
    </row>
    <row r="128">
      <c r="B128" s="319">
        <f>IF(AND('Ações'!AS129="sim", 'Ações'!BD129="sim"), 1, 0)
</f>
        <v>1</v>
      </c>
      <c r="C128" s="319">
        <f>IF(AND('Ações'!AT129="sim", 'Ações'!BE129="sim"), 1, 0)
</f>
        <v>0</v>
      </c>
      <c r="D128" s="319">
        <f>IF(AND('Ações'!AU129="sim", 'Ações'!BF129="sim"), 1, 0)
</f>
        <v>0</v>
      </c>
      <c r="E128" s="319">
        <f>IF(AND('Ações'!AV129="sim", 'Ações'!BG129="sim"), 1, 0)
</f>
        <v>0</v>
      </c>
      <c r="F128" s="319">
        <f>IF(AND('Ações'!AW129="sim", 'Ações'!BH129="sim"), 1, 0)
</f>
        <v>0</v>
      </c>
      <c r="G128" s="319">
        <f>IF(AND('Ações'!AX129="sim", 'Ações'!BI129="sim"), 1, 0)
</f>
        <v>0</v>
      </c>
      <c r="H128" s="319">
        <f>IF(AND('Ações'!AS129="sim", 'Ações'!BE129="sim"), 1, 0)
</f>
        <v>0</v>
      </c>
      <c r="I128" s="319">
        <f>IF(AND('Ações'!AS129="sim", 'Ações'!BF129="sim"), 1, 0)
</f>
        <v>0</v>
      </c>
      <c r="J128" s="319">
        <f>IF(AND('Ações'!AS129="sim", 'Ações'!BG129="sim"), 1, 0)
</f>
        <v>0</v>
      </c>
      <c r="K128" s="319">
        <f>IF(AND('Ações'!AS129="sim", 'Ações'!BH129="sim"), 1, 0)
</f>
        <v>0</v>
      </c>
      <c r="L128" s="319">
        <f>IF(AND('Ações'!AS129="sim", 'Ações'!BI129="sim"), 1, 0)
</f>
        <v>0</v>
      </c>
      <c r="M128" s="319">
        <f>IF(AND('Ações'!AT129="sim", 'Ações'!BD129="sim"), 1, 0)
</f>
        <v>1</v>
      </c>
      <c r="N128" s="319">
        <f>IF(AND('Ações'!AT129="sim", 'Ações'!BF129="sim"), 1, 0)
</f>
        <v>0</v>
      </c>
      <c r="O128" s="319">
        <f>IF(AND('Ações'!AT129="sim", 'Ações'!BG129="sim"), 1, 0)
</f>
        <v>0</v>
      </c>
      <c r="P128" s="319">
        <f>IF(AND('Ações'!AT129="sim", 'Ações'!BH129="sim"), 1, 0)
</f>
        <v>0</v>
      </c>
      <c r="Q128" s="319">
        <f>IF(AND('Ações'!AT129="sim", 'Ações'!BI129="sim"), 1, 0)
</f>
        <v>0</v>
      </c>
      <c r="R128" s="319">
        <f>IF(AND('Ações'!AU129="sim", 'Ações'!BD129="sim"), 1, 0)
</f>
        <v>1</v>
      </c>
      <c r="S128" s="319">
        <f>IF(AND('Ações'!AU129="sim", 'Ações'!BE129="sim"), 1, 0)
</f>
        <v>0</v>
      </c>
      <c r="T128" s="319">
        <f>IF(AND('Ações'!AU129="sim", 'Ações'!BG129="sim"), 1, 0)
</f>
        <v>0</v>
      </c>
      <c r="U128" s="319">
        <f>IF(AND('Ações'!AU129="sim", 'Ações'!BH129="sim"), 1, 0)
</f>
        <v>0</v>
      </c>
      <c r="V128" s="319">
        <f>IF(AND('Ações'!AU129="sim", 'Ações'!BI129="sim"), 1, 0)
</f>
        <v>0</v>
      </c>
      <c r="W128" s="319">
        <f>IF(AND('Ações'!AV129="sim", 'Ações'!BD129="sim"), 1, 0)
</f>
        <v>1</v>
      </c>
      <c r="X128" s="319">
        <f>IF(AND('Ações'!AV129="sim", 'Ações'!BE129="sim"), 1, 0)
</f>
        <v>0</v>
      </c>
      <c r="Y128" s="319">
        <f>IF(AND('Ações'!AV129="sim", 'Ações'!BF129="sim"), 1, 0)
</f>
        <v>0</v>
      </c>
      <c r="Z128" s="319">
        <f>IF(AND('Ações'!AV129="sim", 'Ações'!BH129="sim"), 1, 0)
</f>
        <v>0</v>
      </c>
      <c r="AA128" s="319">
        <f>IF(AND('Ações'!AV129="sim", 'Ações'!BI129="sim"), 1, 0)
</f>
        <v>0</v>
      </c>
      <c r="AB128" s="319">
        <f>IF(AND('Ações'!AW129="sim", 'Ações'!BD129="sim"), 1, 0)
</f>
        <v>1</v>
      </c>
      <c r="AC128" s="319">
        <f>IF(AND('Ações'!AW129="sim", 'Ações'!BE129="sim"), 1, 0)
</f>
        <v>0</v>
      </c>
      <c r="AD128" s="319">
        <f>IF(AND('Ações'!AW129="sim", 'Ações'!BF129="sim"), 1, 0)
</f>
        <v>0</v>
      </c>
      <c r="AE128" s="319">
        <f>IF(AND('Ações'!AW129="sim", 'Ações'!BG129="sim"), 1, 0)
</f>
        <v>0</v>
      </c>
      <c r="AF128" s="319">
        <f>IF(AND('Ações'!AW129="sim", 'Ações'!BI129="sim"), 1, 0)
</f>
        <v>0</v>
      </c>
      <c r="AG128" s="319">
        <f>IF(AND('Ações'!AX129="sim", 'Ações'!BD129="sim"), 1, 0)
</f>
        <v>0</v>
      </c>
      <c r="AH128" s="319">
        <f>IF(AND('Ações'!AX129="sim", 'Ações'!BE129="sim"), 1, 0)
</f>
        <v>0</v>
      </c>
      <c r="AI128" s="319">
        <f>IF(AND('Ações'!AX129="sim", 'Ações'!BF129="sim"), 1, 0)
</f>
        <v>0</v>
      </c>
      <c r="AJ128" s="319">
        <f>IF(AND('Ações'!AX129="sim", 'Ações'!BG129="sim"), 1, 0)
</f>
        <v>0</v>
      </c>
      <c r="AK128" s="319">
        <f>IF(AND('Ações'!AX129="sim", 'Ações'!BH129="sim"), 1, 0)
</f>
        <v>0</v>
      </c>
    </row>
    <row r="129">
      <c r="B129" s="319">
        <f>IF(AND('Ações'!AS130="sim", 'Ações'!BD130="sim"), 1, 0)
</f>
        <v>1</v>
      </c>
      <c r="C129" s="319">
        <f>IF(AND('Ações'!AT130="sim", 'Ações'!BE130="sim"), 1, 0)
</f>
        <v>0</v>
      </c>
      <c r="D129" s="319">
        <f>IF(AND('Ações'!AU130="sim", 'Ações'!BF130="sim"), 1, 0)
</f>
        <v>0</v>
      </c>
      <c r="E129" s="319">
        <f>IF(AND('Ações'!AV130="sim", 'Ações'!BG130="sim"), 1, 0)
</f>
        <v>0</v>
      </c>
      <c r="F129" s="319">
        <f>IF(AND('Ações'!AW130="sim", 'Ações'!BH130="sim"), 1, 0)
</f>
        <v>0</v>
      </c>
      <c r="G129" s="319">
        <f>IF(AND('Ações'!AX130="sim", 'Ações'!BI130="sim"), 1, 0)
</f>
        <v>0</v>
      </c>
      <c r="H129" s="319">
        <f>IF(AND('Ações'!AS130="sim", 'Ações'!BE130="sim"), 1, 0)
</f>
        <v>0</v>
      </c>
      <c r="I129" s="319">
        <f>IF(AND('Ações'!AS130="sim", 'Ações'!BF130="sim"), 1, 0)
</f>
        <v>0</v>
      </c>
      <c r="J129" s="319">
        <f>IF(AND('Ações'!AS130="sim", 'Ações'!BG130="sim"), 1, 0)
</f>
        <v>0</v>
      </c>
      <c r="K129" s="319">
        <f>IF(AND('Ações'!AS130="sim", 'Ações'!BH130="sim"), 1, 0)
</f>
        <v>0</v>
      </c>
      <c r="L129" s="319">
        <f>IF(AND('Ações'!AS130="sim", 'Ações'!BI130="sim"), 1, 0)
</f>
        <v>0</v>
      </c>
      <c r="M129" s="319">
        <f>IF(AND('Ações'!AT130="sim", 'Ações'!BD130="sim"), 1, 0)
</f>
        <v>1</v>
      </c>
      <c r="N129" s="319">
        <f>IF(AND('Ações'!AT130="sim", 'Ações'!BF130="sim"), 1, 0)
</f>
        <v>0</v>
      </c>
      <c r="O129" s="319">
        <f>IF(AND('Ações'!AT130="sim", 'Ações'!BG130="sim"), 1, 0)
</f>
        <v>0</v>
      </c>
      <c r="P129" s="319">
        <f>IF(AND('Ações'!AT130="sim", 'Ações'!BH130="sim"), 1, 0)
</f>
        <v>0</v>
      </c>
      <c r="Q129" s="319">
        <f>IF(AND('Ações'!AT130="sim", 'Ações'!BI130="sim"), 1, 0)
</f>
        <v>0</v>
      </c>
      <c r="R129" s="319">
        <f>IF(AND('Ações'!AU130="sim", 'Ações'!BD130="sim"), 1, 0)
</f>
        <v>1</v>
      </c>
      <c r="S129" s="319">
        <f>IF(AND('Ações'!AU130="sim", 'Ações'!BE130="sim"), 1, 0)
</f>
        <v>0</v>
      </c>
      <c r="T129" s="319">
        <f>IF(AND('Ações'!AU130="sim", 'Ações'!BG130="sim"), 1, 0)
</f>
        <v>0</v>
      </c>
      <c r="U129" s="319">
        <f>IF(AND('Ações'!AU130="sim", 'Ações'!BH130="sim"), 1, 0)
</f>
        <v>0</v>
      </c>
      <c r="V129" s="319">
        <f>IF(AND('Ações'!AU130="sim", 'Ações'!BI130="sim"), 1, 0)
</f>
        <v>0</v>
      </c>
      <c r="W129" s="319">
        <f>IF(AND('Ações'!AV130="sim", 'Ações'!BD130="sim"), 1, 0)
</f>
        <v>1</v>
      </c>
      <c r="X129" s="319">
        <f>IF(AND('Ações'!AV130="sim", 'Ações'!BE130="sim"), 1, 0)
</f>
        <v>0</v>
      </c>
      <c r="Y129" s="319">
        <f>IF(AND('Ações'!AV130="sim", 'Ações'!BF130="sim"), 1, 0)
</f>
        <v>0</v>
      </c>
      <c r="Z129" s="319">
        <f>IF(AND('Ações'!AV130="sim", 'Ações'!BH130="sim"), 1, 0)
</f>
        <v>0</v>
      </c>
      <c r="AA129" s="319">
        <f>IF(AND('Ações'!AV130="sim", 'Ações'!BI130="sim"), 1, 0)
</f>
        <v>0</v>
      </c>
      <c r="AB129" s="319">
        <f>IF(AND('Ações'!AW130="sim", 'Ações'!BD130="sim"), 1, 0)
</f>
        <v>1</v>
      </c>
      <c r="AC129" s="319">
        <f>IF(AND('Ações'!AW130="sim", 'Ações'!BE130="sim"), 1, 0)
</f>
        <v>0</v>
      </c>
      <c r="AD129" s="319">
        <f>IF(AND('Ações'!AW130="sim", 'Ações'!BF130="sim"), 1, 0)
</f>
        <v>0</v>
      </c>
      <c r="AE129" s="319">
        <f>IF(AND('Ações'!AW130="sim", 'Ações'!BG130="sim"), 1, 0)
</f>
        <v>0</v>
      </c>
      <c r="AF129" s="319">
        <f>IF(AND('Ações'!AW130="sim", 'Ações'!BI130="sim"), 1, 0)
</f>
        <v>0</v>
      </c>
      <c r="AG129" s="319">
        <f>IF(AND('Ações'!AX130="sim", 'Ações'!BD130="sim"), 1, 0)
</f>
        <v>0</v>
      </c>
      <c r="AH129" s="319">
        <f>IF(AND('Ações'!AX130="sim", 'Ações'!BE130="sim"), 1, 0)
</f>
        <v>0</v>
      </c>
      <c r="AI129" s="319">
        <f>IF(AND('Ações'!AX130="sim", 'Ações'!BF130="sim"), 1, 0)
</f>
        <v>0</v>
      </c>
      <c r="AJ129" s="319">
        <f>IF(AND('Ações'!AX130="sim", 'Ações'!BG130="sim"), 1, 0)
</f>
        <v>0</v>
      </c>
      <c r="AK129" s="319">
        <f>IF(AND('Ações'!AX130="sim", 'Ações'!BH130="sim"), 1, 0)
</f>
        <v>0</v>
      </c>
    </row>
    <row r="130">
      <c r="B130" s="319">
        <f>IF(AND('Ações'!AS131="sim", 'Ações'!BD131="sim"), 1, 0)
</f>
        <v>1</v>
      </c>
      <c r="C130" s="319">
        <f>IF(AND('Ações'!AT131="sim", 'Ações'!BE131="sim"), 1, 0)
</f>
        <v>0</v>
      </c>
      <c r="D130" s="319">
        <f>IF(AND('Ações'!AU131="sim", 'Ações'!BF131="sim"), 1, 0)
</f>
        <v>0</v>
      </c>
      <c r="E130" s="319">
        <f>IF(AND('Ações'!AV131="sim", 'Ações'!BG131="sim"), 1, 0)
</f>
        <v>0</v>
      </c>
      <c r="F130" s="319">
        <f>IF(AND('Ações'!AW131="sim", 'Ações'!BH131="sim"), 1, 0)
</f>
        <v>0</v>
      </c>
      <c r="G130" s="319">
        <f>IF(AND('Ações'!AX131="sim", 'Ações'!BI131="sim"), 1, 0)
</f>
        <v>0</v>
      </c>
      <c r="H130" s="319">
        <f>IF(AND('Ações'!AS131="sim", 'Ações'!BE131="sim"), 1, 0)
</f>
        <v>0</v>
      </c>
      <c r="I130" s="319">
        <f>IF(AND('Ações'!AS131="sim", 'Ações'!BF131="sim"), 1, 0)
</f>
        <v>0</v>
      </c>
      <c r="J130" s="319">
        <f>IF(AND('Ações'!AS131="sim", 'Ações'!BG131="sim"), 1, 0)
</f>
        <v>0</v>
      </c>
      <c r="K130" s="319">
        <f>IF(AND('Ações'!AS131="sim", 'Ações'!BH131="sim"), 1, 0)
</f>
        <v>0</v>
      </c>
      <c r="L130" s="319">
        <f>IF(AND('Ações'!AS131="sim", 'Ações'!BI131="sim"), 1, 0)
</f>
        <v>0</v>
      </c>
      <c r="M130" s="319">
        <f>IF(AND('Ações'!AT131="sim", 'Ações'!BD131="sim"), 1, 0)
</f>
        <v>1</v>
      </c>
      <c r="N130" s="319">
        <f>IF(AND('Ações'!AT131="sim", 'Ações'!BF131="sim"), 1, 0)
</f>
        <v>0</v>
      </c>
      <c r="O130" s="319">
        <f>IF(AND('Ações'!AT131="sim", 'Ações'!BG131="sim"), 1, 0)
</f>
        <v>0</v>
      </c>
      <c r="P130" s="319">
        <f>IF(AND('Ações'!AT131="sim", 'Ações'!BH131="sim"), 1, 0)
</f>
        <v>0</v>
      </c>
      <c r="Q130" s="319">
        <f>IF(AND('Ações'!AT131="sim", 'Ações'!BI131="sim"), 1, 0)
</f>
        <v>0</v>
      </c>
      <c r="R130" s="319">
        <f>IF(AND('Ações'!AU131="sim", 'Ações'!BD131="sim"), 1, 0)
</f>
        <v>1</v>
      </c>
      <c r="S130" s="319">
        <f>IF(AND('Ações'!AU131="sim", 'Ações'!BE131="sim"), 1, 0)
</f>
        <v>0</v>
      </c>
      <c r="T130" s="319">
        <f>IF(AND('Ações'!AU131="sim", 'Ações'!BG131="sim"), 1, 0)
</f>
        <v>0</v>
      </c>
      <c r="U130" s="319">
        <f>IF(AND('Ações'!AU131="sim", 'Ações'!BH131="sim"), 1, 0)
</f>
        <v>0</v>
      </c>
      <c r="V130" s="319">
        <f>IF(AND('Ações'!AU131="sim", 'Ações'!BI131="sim"), 1, 0)
</f>
        <v>0</v>
      </c>
      <c r="W130" s="319">
        <f>IF(AND('Ações'!AV131="sim", 'Ações'!BD131="sim"), 1, 0)
</f>
        <v>1</v>
      </c>
      <c r="X130" s="319">
        <f>IF(AND('Ações'!AV131="sim", 'Ações'!BE131="sim"), 1, 0)
</f>
        <v>0</v>
      </c>
      <c r="Y130" s="319">
        <f>IF(AND('Ações'!AV131="sim", 'Ações'!BF131="sim"), 1, 0)
</f>
        <v>0</v>
      </c>
      <c r="Z130" s="319">
        <f>IF(AND('Ações'!AV131="sim", 'Ações'!BH131="sim"), 1, 0)
</f>
        <v>0</v>
      </c>
      <c r="AA130" s="319">
        <f>IF(AND('Ações'!AV131="sim", 'Ações'!BI131="sim"), 1, 0)
</f>
        <v>0</v>
      </c>
      <c r="AB130" s="319">
        <f>IF(AND('Ações'!AW131="sim", 'Ações'!BD131="sim"), 1, 0)
</f>
        <v>1</v>
      </c>
      <c r="AC130" s="319">
        <f>IF(AND('Ações'!AW131="sim", 'Ações'!BE131="sim"), 1, 0)
</f>
        <v>0</v>
      </c>
      <c r="AD130" s="319">
        <f>IF(AND('Ações'!AW131="sim", 'Ações'!BF131="sim"), 1, 0)
</f>
        <v>0</v>
      </c>
      <c r="AE130" s="319">
        <f>IF(AND('Ações'!AW131="sim", 'Ações'!BG131="sim"), 1, 0)
</f>
        <v>0</v>
      </c>
      <c r="AF130" s="319">
        <f>IF(AND('Ações'!AW131="sim", 'Ações'!BI131="sim"), 1, 0)
</f>
        <v>0</v>
      </c>
      <c r="AG130" s="319">
        <f>IF(AND('Ações'!AX131="sim", 'Ações'!BD131="sim"), 1, 0)
</f>
        <v>0</v>
      </c>
      <c r="AH130" s="319">
        <f>IF(AND('Ações'!AX131="sim", 'Ações'!BE131="sim"), 1, 0)
</f>
        <v>0</v>
      </c>
      <c r="AI130" s="319">
        <f>IF(AND('Ações'!AX131="sim", 'Ações'!BF131="sim"), 1, 0)
</f>
        <v>0</v>
      </c>
      <c r="AJ130" s="319">
        <f>IF(AND('Ações'!AX131="sim", 'Ações'!BG131="sim"), 1, 0)
</f>
        <v>0</v>
      </c>
      <c r="AK130" s="319">
        <f>IF(AND('Ações'!AX131="sim", 'Ações'!BH131="sim"), 1, 0)
</f>
        <v>0</v>
      </c>
    </row>
    <row r="131">
      <c r="B131" s="319">
        <f>IF(AND('Ações'!AS132="sim", 'Ações'!BD132="sim"), 1, 0)
</f>
        <v>1</v>
      </c>
      <c r="C131" s="319">
        <f>IF(AND('Ações'!AT132="sim", 'Ações'!BE132="sim"), 1, 0)
</f>
        <v>0</v>
      </c>
      <c r="D131" s="319">
        <f>IF(AND('Ações'!AU132="sim", 'Ações'!BF132="sim"), 1, 0)
</f>
        <v>0</v>
      </c>
      <c r="E131" s="319">
        <f>IF(AND('Ações'!AV132="sim", 'Ações'!BG132="sim"), 1, 0)
</f>
        <v>0</v>
      </c>
      <c r="F131" s="319">
        <f>IF(AND('Ações'!AW132="sim", 'Ações'!BH132="sim"), 1, 0)
</f>
        <v>0</v>
      </c>
      <c r="G131" s="319">
        <f>IF(AND('Ações'!AX132="sim", 'Ações'!BI132="sim"), 1, 0)
</f>
        <v>0</v>
      </c>
      <c r="H131" s="319">
        <f>IF(AND('Ações'!AS132="sim", 'Ações'!BE132="sim"), 1, 0)
</f>
        <v>0</v>
      </c>
      <c r="I131" s="319">
        <f>IF(AND('Ações'!AS132="sim", 'Ações'!BF132="sim"), 1, 0)
</f>
        <v>0</v>
      </c>
      <c r="J131" s="319">
        <f>IF(AND('Ações'!AS132="sim", 'Ações'!BG132="sim"), 1, 0)
</f>
        <v>0</v>
      </c>
      <c r="K131" s="319">
        <f>IF(AND('Ações'!AS132="sim", 'Ações'!BH132="sim"), 1, 0)
</f>
        <v>0</v>
      </c>
      <c r="L131" s="319">
        <f>IF(AND('Ações'!AS132="sim", 'Ações'!BI132="sim"), 1, 0)
</f>
        <v>0</v>
      </c>
      <c r="M131" s="319">
        <f>IF(AND('Ações'!AT132="sim", 'Ações'!BD132="sim"), 1, 0)
</f>
        <v>1</v>
      </c>
      <c r="N131" s="319">
        <f>IF(AND('Ações'!AT132="sim", 'Ações'!BF132="sim"), 1, 0)
</f>
        <v>0</v>
      </c>
      <c r="O131" s="319">
        <f>IF(AND('Ações'!AT132="sim", 'Ações'!BG132="sim"), 1, 0)
</f>
        <v>0</v>
      </c>
      <c r="P131" s="319">
        <f>IF(AND('Ações'!AT132="sim", 'Ações'!BH132="sim"), 1, 0)
</f>
        <v>0</v>
      </c>
      <c r="Q131" s="319">
        <f>IF(AND('Ações'!AT132="sim", 'Ações'!BI132="sim"), 1, 0)
</f>
        <v>0</v>
      </c>
      <c r="R131" s="319">
        <f>IF(AND('Ações'!AU132="sim", 'Ações'!BD132="sim"), 1, 0)
</f>
        <v>1</v>
      </c>
      <c r="S131" s="319">
        <f>IF(AND('Ações'!AU132="sim", 'Ações'!BE132="sim"), 1, 0)
</f>
        <v>0</v>
      </c>
      <c r="T131" s="319">
        <f>IF(AND('Ações'!AU132="sim", 'Ações'!BG132="sim"), 1, 0)
</f>
        <v>0</v>
      </c>
      <c r="U131" s="319">
        <f>IF(AND('Ações'!AU132="sim", 'Ações'!BH132="sim"), 1, 0)
</f>
        <v>0</v>
      </c>
      <c r="V131" s="319">
        <f>IF(AND('Ações'!AU132="sim", 'Ações'!BI132="sim"), 1, 0)
</f>
        <v>0</v>
      </c>
      <c r="W131" s="319">
        <f>IF(AND('Ações'!AV132="sim", 'Ações'!BD132="sim"), 1, 0)
</f>
        <v>1</v>
      </c>
      <c r="X131" s="319">
        <f>IF(AND('Ações'!AV132="sim", 'Ações'!BE132="sim"), 1, 0)
</f>
        <v>0</v>
      </c>
      <c r="Y131" s="319">
        <f>IF(AND('Ações'!AV132="sim", 'Ações'!BF132="sim"), 1, 0)
</f>
        <v>0</v>
      </c>
      <c r="Z131" s="319">
        <f>IF(AND('Ações'!AV132="sim", 'Ações'!BH132="sim"), 1, 0)
</f>
        <v>0</v>
      </c>
      <c r="AA131" s="319">
        <f>IF(AND('Ações'!AV132="sim", 'Ações'!BI132="sim"), 1, 0)
</f>
        <v>0</v>
      </c>
      <c r="AB131" s="319">
        <f>IF(AND('Ações'!AW132="sim", 'Ações'!BD132="sim"), 1, 0)
</f>
        <v>1</v>
      </c>
      <c r="AC131" s="319">
        <f>IF(AND('Ações'!AW132="sim", 'Ações'!BE132="sim"), 1, 0)
</f>
        <v>0</v>
      </c>
      <c r="AD131" s="319">
        <f>IF(AND('Ações'!AW132="sim", 'Ações'!BF132="sim"), 1, 0)
</f>
        <v>0</v>
      </c>
      <c r="AE131" s="319">
        <f>IF(AND('Ações'!AW132="sim", 'Ações'!BG132="sim"), 1, 0)
</f>
        <v>0</v>
      </c>
      <c r="AF131" s="319">
        <f>IF(AND('Ações'!AW132="sim", 'Ações'!BI132="sim"), 1, 0)
</f>
        <v>0</v>
      </c>
      <c r="AG131" s="319">
        <f>IF(AND('Ações'!AX132="sim", 'Ações'!BD132="sim"), 1, 0)
</f>
        <v>0</v>
      </c>
      <c r="AH131" s="319">
        <f>IF(AND('Ações'!AX132="sim", 'Ações'!BE132="sim"), 1, 0)
</f>
        <v>0</v>
      </c>
      <c r="AI131" s="319">
        <f>IF(AND('Ações'!AX132="sim", 'Ações'!BF132="sim"), 1, 0)
</f>
        <v>0</v>
      </c>
      <c r="AJ131" s="319">
        <f>IF(AND('Ações'!AX132="sim", 'Ações'!BG132="sim"), 1, 0)
</f>
        <v>0</v>
      </c>
      <c r="AK131" s="319">
        <f>IF(AND('Ações'!AX132="sim", 'Ações'!BH132="sim"), 1, 0)
</f>
        <v>0</v>
      </c>
    </row>
    <row r="132">
      <c r="B132" s="319">
        <f>IF(AND('Ações'!AS133="sim", 'Ações'!BD133="sim"), 1, 0)
</f>
        <v>1</v>
      </c>
      <c r="C132" s="319">
        <f>IF(AND('Ações'!AT133="sim", 'Ações'!BE133="sim"), 1, 0)
</f>
        <v>0</v>
      </c>
      <c r="D132" s="319">
        <f>IF(AND('Ações'!AU133="sim", 'Ações'!BF133="sim"), 1, 0)
</f>
        <v>0</v>
      </c>
      <c r="E132" s="319">
        <f>IF(AND('Ações'!AV133="sim", 'Ações'!BG133="sim"), 1, 0)
</f>
        <v>0</v>
      </c>
      <c r="F132" s="319">
        <f>IF(AND('Ações'!AW133="sim", 'Ações'!BH133="sim"), 1, 0)
</f>
        <v>0</v>
      </c>
      <c r="G132" s="319">
        <f>IF(AND('Ações'!AX133="sim", 'Ações'!BI133="sim"), 1, 0)
</f>
        <v>0</v>
      </c>
      <c r="H132" s="319">
        <f>IF(AND('Ações'!AS133="sim", 'Ações'!BE133="sim"), 1, 0)
</f>
        <v>0</v>
      </c>
      <c r="I132" s="319">
        <f>IF(AND('Ações'!AS133="sim", 'Ações'!BF133="sim"), 1, 0)
</f>
        <v>0</v>
      </c>
      <c r="J132" s="319">
        <f>IF(AND('Ações'!AS133="sim", 'Ações'!BG133="sim"), 1, 0)
</f>
        <v>0</v>
      </c>
      <c r="K132" s="319">
        <f>IF(AND('Ações'!AS133="sim", 'Ações'!BH133="sim"), 1, 0)
</f>
        <v>0</v>
      </c>
      <c r="L132" s="319">
        <f>IF(AND('Ações'!AS133="sim", 'Ações'!BI133="sim"), 1, 0)
</f>
        <v>0</v>
      </c>
      <c r="M132" s="319">
        <f>IF(AND('Ações'!AT133="sim", 'Ações'!BD133="sim"), 1, 0)
</f>
        <v>1</v>
      </c>
      <c r="N132" s="319">
        <f>IF(AND('Ações'!AT133="sim", 'Ações'!BF133="sim"), 1, 0)
</f>
        <v>0</v>
      </c>
      <c r="O132" s="319">
        <f>IF(AND('Ações'!AT133="sim", 'Ações'!BG133="sim"), 1, 0)
</f>
        <v>0</v>
      </c>
      <c r="P132" s="319">
        <f>IF(AND('Ações'!AT133="sim", 'Ações'!BH133="sim"), 1, 0)
</f>
        <v>0</v>
      </c>
      <c r="Q132" s="319">
        <f>IF(AND('Ações'!AT133="sim", 'Ações'!BI133="sim"), 1, 0)
</f>
        <v>0</v>
      </c>
      <c r="R132" s="319">
        <f>IF(AND('Ações'!AU133="sim", 'Ações'!BD133="sim"), 1, 0)
</f>
        <v>1</v>
      </c>
      <c r="S132" s="319">
        <f>IF(AND('Ações'!AU133="sim", 'Ações'!BE133="sim"), 1, 0)
</f>
        <v>0</v>
      </c>
      <c r="T132" s="319">
        <f>IF(AND('Ações'!AU133="sim", 'Ações'!BG133="sim"), 1, 0)
</f>
        <v>0</v>
      </c>
      <c r="U132" s="319">
        <f>IF(AND('Ações'!AU133="sim", 'Ações'!BH133="sim"), 1, 0)
</f>
        <v>0</v>
      </c>
      <c r="V132" s="319">
        <f>IF(AND('Ações'!AU133="sim", 'Ações'!BI133="sim"), 1, 0)
</f>
        <v>0</v>
      </c>
      <c r="W132" s="319">
        <f>IF(AND('Ações'!AV133="sim", 'Ações'!BD133="sim"), 1, 0)
</f>
        <v>1</v>
      </c>
      <c r="X132" s="319">
        <f>IF(AND('Ações'!AV133="sim", 'Ações'!BE133="sim"), 1, 0)
</f>
        <v>0</v>
      </c>
      <c r="Y132" s="319">
        <f>IF(AND('Ações'!AV133="sim", 'Ações'!BF133="sim"), 1, 0)
</f>
        <v>0</v>
      </c>
      <c r="Z132" s="319">
        <f>IF(AND('Ações'!AV133="sim", 'Ações'!BH133="sim"), 1, 0)
</f>
        <v>0</v>
      </c>
      <c r="AA132" s="319">
        <f>IF(AND('Ações'!AV133="sim", 'Ações'!BI133="sim"), 1, 0)
</f>
        <v>0</v>
      </c>
      <c r="AB132" s="319">
        <f>IF(AND('Ações'!AW133="sim", 'Ações'!BD133="sim"), 1, 0)
</f>
        <v>1</v>
      </c>
      <c r="AC132" s="319">
        <f>IF(AND('Ações'!AW133="sim", 'Ações'!BE133="sim"), 1, 0)
</f>
        <v>0</v>
      </c>
      <c r="AD132" s="319">
        <f>IF(AND('Ações'!AW133="sim", 'Ações'!BF133="sim"), 1, 0)
</f>
        <v>0</v>
      </c>
      <c r="AE132" s="319">
        <f>IF(AND('Ações'!AW133="sim", 'Ações'!BG133="sim"), 1, 0)
</f>
        <v>0</v>
      </c>
      <c r="AF132" s="319">
        <f>IF(AND('Ações'!AW133="sim", 'Ações'!BI133="sim"), 1, 0)
</f>
        <v>0</v>
      </c>
      <c r="AG132" s="319">
        <f>IF(AND('Ações'!AX133="sim", 'Ações'!BD133="sim"), 1, 0)
</f>
        <v>0</v>
      </c>
      <c r="AH132" s="319">
        <f>IF(AND('Ações'!AX133="sim", 'Ações'!BE133="sim"), 1, 0)
</f>
        <v>0</v>
      </c>
      <c r="AI132" s="319">
        <f>IF(AND('Ações'!AX133="sim", 'Ações'!BF133="sim"), 1, 0)
</f>
        <v>0</v>
      </c>
      <c r="AJ132" s="319">
        <f>IF(AND('Ações'!AX133="sim", 'Ações'!BG133="sim"), 1, 0)
</f>
        <v>0</v>
      </c>
      <c r="AK132" s="319">
        <f>IF(AND('Ações'!AX133="sim", 'Ações'!BH133="sim"), 1, 0)
</f>
        <v>0</v>
      </c>
    </row>
    <row r="133">
      <c r="B133" s="319">
        <f>IF(AND('Ações'!AS134="sim", 'Ações'!BD134="sim"), 1, 0)
</f>
        <v>1</v>
      </c>
      <c r="C133" s="319">
        <f>IF(AND('Ações'!AT134="sim", 'Ações'!BE134="sim"), 1, 0)
</f>
        <v>0</v>
      </c>
      <c r="D133" s="319">
        <f>IF(AND('Ações'!AU134="sim", 'Ações'!BF134="sim"), 1, 0)
</f>
        <v>0</v>
      </c>
      <c r="E133" s="319">
        <f>IF(AND('Ações'!AV134="sim", 'Ações'!BG134="sim"), 1, 0)
</f>
        <v>0</v>
      </c>
      <c r="F133" s="319">
        <f>IF(AND('Ações'!AW134="sim", 'Ações'!BH134="sim"), 1, 0)
</f>
        <v>0</v>
      </c>
      <c r="G133" s="319">
        <f>IF(AND('Ações'!AX134="sim", 'Ações'!BI134="sim"), 1, 0)
</f>
        <v>0</v>
      </c>
      <c r="H133" s="319">
        <f>IF(AND('Ações'!AS134="sim", 'Ações'!BE134="sim"), 1, 0)
</f>
        <v>0</v>
      </c>
      <c r="I133" s="319">
        <f>IF(AND('Ações'!AS134="sim", 'Ações'!BF134="sim"), 1, 0)
</f>
        <v>0</v>
      </c>
      <c r="J133" s="319">
        <f>IF(AND('Ações'!AS134="sim", 'Ações'!BG134="sim"), 1, 0)
</f>
        <v>0</v>
      </c>
      <c r="K133" s="319">
        <f>IF(AND('Ações'!AS134="sim", 'Ações'!BH134="sim"), 1, 0)
</f>
        <v>0</v>
      </c>
      <c r="L133" s="319">
        <f>IF(AND('Ações'!AS134="sim", 'Ações'!BI134="sim"), 1, 0)
</f>
        <v>0</v>
      </c>
      <c r="M133" s="319">
        <f>IF(AND('Ações'!AT134="sim", 'Ações'!BD134="sim"), 1, 0)
</f>
        <v>1</v>
      </c>
      <c r="N133" s="319">
        <f>IF(AND('Ações'!AT134="sim", 'Ações'!BF134="sim"), 1, 0)
</f>
        <v>0</v>
      </c>
      <c r="O133" s="319">
        <f>IF(AND('Ações'!AT134="sim", 'Ações'!BG134="sim"), 1, 0)
</f>
        <v>0</v>
      </c>
      <c r="P133" s="319">
        <f>IF(AND('Ações'!AT134="sim", 'Ações'!BH134="sim"), 1, 0)
</f>
        <v>0</v>
      </c>
      <c r="Q133" s="319">
        <f>IF(AND('Ações'!AT134="sim", 'Ações'!BI134="sim"), 1, 0)
</f>
        <v>0</v>
      </c>
      <c r="R133" s="319">
        <f>IF(AND('Ações'!AU134="sim", 'Ações'!BD134="sim"), 1, 0)
</f>
        <v>1</v>
      </c>
      <c r="S133" s="319">
        <f>IF(AND('Ações'!AU134="sim", 'Ações'!BE134="sim"), 1, 0)
</f>
        <v>0</v>
      </c>
      <c r="T133" s="319">
        <f>IF(AND('Ações'!AU134="sim", 'Ações'!BG134="sim"), 1, 0)
</f>
        <v>0</v>
      </c>
      <c r="U133" s="319">
        <f>IF(AND('Ações'!AU134="sim", 'Ações'!BH134="sim"), 1, 0)
</f>
        <v>0</v>
      </c>
      <c r="V133" s="319">
        <f>IF(AND('Ações'!AU134="sim", 'Ações'!BI134="sim"), 1, 0)
</f>
        <v>0</v>
      </c>
      <c r="W133" s="319">
        <f>IF(AND('Ações'!AV134="sim", 'Ações'!BD134="sim"), 1, 0)
</f>
        <v>1</v>
      </c>
      <c r="X133" s="319">
        <f>IF(AND('Ações'!AV134="sim", 'Ações'!BE134="sim"), 1, 0)
</f>
        <v>0</v>
      </c>
      <c r="Y133" s="319">
        <f>IF(AND('Ações'!AV134="sim", 'Ações'!BF134="sim"), 1, 0)
</f>
        <v>0</v>
      </c>
      <c r="Z133" s="319">
        <f>IF(AND('Ações'!AV134="sim", 'Ações'!BH134="sim"), 1, 0)
</f>
        <v>0</v>
      </c>
      <c r="AA133" s="319">
        <f>IF(AND('Ações'!AV134="sim", 'Ações'!BI134="sim"), 1, 0)
</f>
        <v>0</v>
      </c>
      <c r="AB133" s="319">
        <f>IF(AND('Ações'!AW134="sim", 'Ações'!BD134="sim"), 1, 0)
</f>
        <v>1</v>
      </c>
      <c r="AC133" s="319">
        <f>IF(AND('Ações'!AW134="sim", 'Ações'!BE134="sim"), 1, 0)
</f>
        <v>0</v>
      </c>
      <c r="AD133" s="319">
        <f>IF(AND('Ações'!AW134="sim", 'Ações'!BF134="sim"), 1, 0)
</f>
        <v>0</v>
      </c>
      <c r="AE133" s="319">
        <f>IF(AND('Ações'!AW134="sim", 'Ações'!BG134="sim"), 1, 0)
</f>
        <v>0</v>
      </c>
      <c r="AF133" s="319">
        <f>IF(AND('Ações'!AW134="sim", 'Ações'!BI134="sim"), 1, 0)
</f>
        <v>0</v>
      </c>
      <c r="AG133" s="319">
        <f>IF(AND('Ações'!AX134="sim", 'Ações'!BD134="sim"), 1, 0)
</f>
        <v>0</v>
      </c>
      <c r="AH133" s="319">
        <f>IF(AND('Ações'!AX134="sim", 'Ações'!BE134="sim"), 1, 0)
</f>
        <v>0</v>
      </c>
      <c r="AI133" s="319">
        <f>IF(AND('Ações'!AX134="sim", 'Ações'!BF134="sim"), 1, 0)
</f>
        <v>0</v>
      </c>
      <c r="AJ133" s="319">
        <f>IF(AND('Ações'!AX134="sim", 'Ações'!BG134="sim"), 1, 0)
</f>
        <v>0</v>
      </c>
      <c r="AK133" s="319">
        <f>IF(AND('Ações'!AX134="sim", 'Ações'!BH134="sim"), 1, 0)
</f>
        <v>0</v>
      </c>
    </row>
    <row r="134">
      <c r="B134" s="319">
        <f>IF(AND('Ações'!AS135="sim", 'Ações'!BD135="sim"), 1, 0)
</f>
        <v>1</v>
      </c>
      <c r="C134" s="319">
        <f>IF(AND('Ações'!AT135="sim", 'Ações'!BE135="sim"), 1, 0)
</f>
        <v>0</v>
      </c>
      <c r="D134" s="319">
        <f>IF(AND('Ações'!AU135="sim", 'Ações'!BF135="sim"), 1, 0)
</f>
        <v>0</v>
      </c>
      <c r="E134" s="319">
        <f>IF(AND('Ações'!AV135="sim", 'Ações'!BG135="sim"), 1, 0)
</f>
        <v>0</v>
      </c>
      <c r="F134" s="319">
        <f>IF(AND('Ações'!AW135="sim", 'Ações'!BH135="sim"), 1, 0)
</f>
        <v>0</v>
      </c>
      <c r="G134" s="319">
        <f>IF(AND('Ações'!AX135="sim", 'Ações'!BI135="sim"), 1, 0)
</f>
        <v>0</v>
      </c>
      <c r="H134" s="319">
        <f>IF(AND('Ações'!AS135="sim", 'Ações'!BE135="sim"), 1, 0)
</f>
        <v>0</v>
      </c>
      <c r="I134" s="319">
        <f>IF(AND('Ações'!AS135="sim", 'Ações'!BF135="sim"), 1, 0)
</f>
        <v>0</v>
      </c>
      <c r="J134" s="319">
        <f>IF(AND('Ações'!AS135="sim", 'Ações'!BG135="sim"), 1, 0)
</f>
        <v>0</v>
      </c>
      <c r="K134" s="319">
        <f>IF(AND('Ações'!AS135="sim", 'Ações'!BH135="sim"), 1, 0)
</f>
        <v>0</v>
      </c>
      <c r="L134" s="319">
        <f>IF(AND('Ações'!AS135="sim", 'Ações'!BI135="sim"), 1, 0)
</f>
        <v>0</v>
      </c>
      <c r="M134" s="319">
        <f>IF(AND('Ações'!AT135="sim", 'Ações'!BD135="sim"), 1, 0)
</f>
        <v>1</v>
      </c>
      <c r="N134" s="319">
        <f>IF(AND('Ações'!AT135="sim", 'Ações'!BF135="sim"), 1, 0)
</f>
        <v>0</v>
      </c>
      <c r="O134" s="319">
        <f>IF(AND('Ações'!AT135="sim", 'Ações'!BG135="sim"), 1, 0)
</f>
        <v>0</v>
      </c>
      <c r="P134" s="319">
        <f>IF(AND('Ações'!AT135="sim", 'Ações'!BH135="sim"), 1, 0)
</f>
        <v>0</v>
      </c>
      <c r="Q134" s="319">
        <f>IF(AND('Ações'!AT135="sim", 'Ações'!BI135="sim"), 1, 0)
</f>
        <v>0</v>
      </c>
      <c r="R134" s="319">
        <f>IF(AND('Ações'!AU135="sim", 'Ações'!BD135="sim"), 1, 0)
</f>
        <v>1</v>
      </c>
      <c r="S134" s="319">
        <f>IF(AND('Ações'!AU135="sim", 'Ações'!BE135="sim"), 1, 0)
</f>
        <v>0</v>
      </c>
      <c r="T134" s="319">
        <f>IF(AND('Ações'!AU135="sim", 'Ações'!BG135="sim"), 1, 0)
</f>
        <v>0</v>
      </c>
      <c r="U134" s="319">
        <f>IF(AND('Ações'!AU135="sim", 'Ações'!BH135="sim"), 1, 0)
</f>
        <v>0</v>
      </c>
      <c r="V134" s="319">
        <f>IF(AND('Ações'!AU135="sim", 'Ações'!BI135="sim"), 1, 0)
</f>
        <v>0</v>
      </c>
      <c r="W134" s="319">
        <f>IF(AND('Ações'!AV135="sim", 'Ações'!BD135="sim"), 1, 0)
</f>
        <v>1</v>
      </c>
      <c r="X134" s="319">
        <f>IF(AND('Ações'!AV135="sim", 'Ações'!BE135="sim"), 1, 0)
</f>
        <v>0</v>
      </c>
      <c r="Y134" s="319">
        <f>IF(AND('Ações'!AV135="sim", 'Ações'!BF135="sim"), 1, 0)
</f>
        <v>0</v>
      </c>
      <c r="Z134" s="319">
        <f>IF(AND('Ações'!AV135="sim", 'Ações'!BH135="sim"), 1, 0)
</f>
        <v>0</v>
      </c>
      <c r="AA134" s="319">
        <f>IF(AND('Ações'!AV135="sim", 'Ações'!BI135="sim"), 1, 0)
</f>
        <v>0</v>
      </c>
      <c r="AB134" s="319">
        <f>IF(AND('Ações'!AW135="sim", 'Ações'!BD135="sim"), 1, 0)
</f>
        <v>1</v>
      </c>
      <c r="AC134" s="319">
        <f>IF(AND('Ações'!AW135="sim", 'Ações'!BE135="sim"), 1, 0)
</f>
        <v>0</v>
      </c>
      <c r="AD134" s="319">
        <f>IF(AND('Ações'!AW135="sim", 'Ações'!BF135="sim"), 1, 0)
</f>
        <v>0</v>
      </c>
      <c r="AE134" s="319">
        <f>IF(AND('Ações'!AW135="sim", 'Ações'!BG135="sim"), 1, 0)
</f>
        <v>0</v>
      </c>
      <c r="AF134" s="319">
        <f>IF(AND('Ações'!AW135="sim", 'Ações'!BI135="sim"), 1, 0)
</f>
        <v>0</v>
      </c>
      <c r="AG134" s="319">
        <f>IF(AND('Ações'!AX135="sim", 'Ações'!BD135="sim"), 1, 0)
</f>
        <v>0</v>
      </c>
      <c r="AH134" s="319">
        <f>IF(AND('Ações'!AX135="sim", 'Ações'!BE135="sim"), 1, 0)
</f>
        <v>0</v>
      </c>
      <c r="AI134" s="319">
        <f>IF(AND('Ações'!AX135="sim", 'Ações'!BF135="sim"), 1, 0)
</f>
        <v>0</v>
      </c>
      <c r="AJ134" s="319">
        <f>IF(AND('Ações'!AX135="sim", 'Ações'!BG135="sim"), 1, 0)
</f>
        <v>0</v>
      </c>
      <c r="AK134" s="319">
        <f>IF(AND('Ações'!AX135="sim", 'Ações'!BH135="sim"), 1, 0)
</f>
        <v>0</v>
      </c>
    </row>
    <row r="135">
      <c r="B135" s="319">
        <f>IF(AND('Ações'!AS136="sim", 'Ações'!BD136="sim"), 1, 0)
</f>
        <v>1</v>
      </c>
      <c r="C135" s="319">
        <f>IF(AND('Ações'!AT136="sim", 'Ações'!BE136="sim"), 1, 0)
</f>
        <v>0</v>
      </c>
      <c r="D135" s="319">
        <f>IF(AND('Ações'!AU136="sim", 'Ações'!BF136="sim"), 1, 0)
</f>
        <v>0</v>
      </c>
      <c r="E135" s="319">
        <f>IF(AND('Ações'!AV136="sim", 'Ações'!BG136="sim"), 1, 0)
</f>
        <v>0</v>
      </c>
      <c r="F135" s="319">
        <f>IF(AND('Ações'!AW136="sim", 'Ações'!BH136="sim"), 1, 0)
</f>
        <v>0</v>
      </c>
      <c r="G135" s="319">
        <f>IF(AND('Ações'!AX136="sim", 'Ações'!BI136="sim"), 1, 0)
</f>
        <v>0</v>
      </c>
      <c r="H135" s="319">
        <f>IF(AND('Ações'!AS136="sim", 'Ações'!BE136="sim"), 1, 0)
</f>
        <v>0</v>
      </c>
      <c r="I135" s="319">
        <f>IF(AND('Ações'!AS136="sim", 'Ações'!BF136="sim"), 1, 0)
</f>
        <v>0</v>
      </c>
      <c r="J135" s="319">
        <f>IF(AND('Ações'!AS136="sim", 'Ações'!BG136="sim"), 1, 0)
</f>
        <v>0</v>
      </c>
      <c r="K135" s="319">
        <f>IF(AND('Ações'!AS136="sim", 'Ações'!BH136="sim"), 1, 0)
</f>
        <v>0</v>
      </c>
      <c r="L135" s="319">
        <f>IF(AND('Ações'!AS136="sim", 'Ações'!BI136="sim"), 1, 0)
</f>
        <v>0</v>
      </c>
      <c r="M135" s="319">
        <f>IF(AND('Ações'!AT136="sim", 'Ações'!BD136="sim"), 1, 0)
</f>
        <v>1</v>
      </c>
      <c r="N135" s="319">
        <f>IF(AND('Ações'!AT136="sim", 'Ações'!BF136="sim"), 1, 0)
</f>
        <v>0</v>
      </c>
      <c r="O135" s="319">
        <f>IF(AND('Ações'!AT136="sim", 'Ações'!BG136="sim"), 1, 0)
</f>
        <v>0</v>
      </c>
      <c r="P135" s="319">
        <f>IF(AND('Ações'!AT136="sim", 'Ações'!BH136="sim"), 1, 0)
</f>
        <v>0</v>
      </c>
      <c r="Q135" s="319">
        <f>IF(AND('Ações'!AT136="sim", 'Ações'!BI136="sim"), 1, 0)
</f>
        <v>0</v>
      </c>
      <c r="R135" s="319">
        <f>IF(AND('Ações'!AU136="sim", 'Ações'!BD136="sim"), 1, 0)
</f>
        <v>1</v>
      </c>
      <c r="S135" s="319">
        <f>IF(AND('Ações'!AU136="sim", 'Ações'!BE136="sim"), 1, 0)
</f>
        <v>0</v>
      </c>
      <c r="T135" s="319">
        <f>IF(AND('Ações'!AU136="sim", 'Ações'!BG136="sim"), 1, 0)
</f>
        <v>0</v>
      </c>
      <c r="U135" s="319">
        <f>IF(AND('Ações'!AU136="sim", 'Ações'!BH136="sim"), 1, 0)
</f>
        <v>0</v>
      </c>
      <c r="V135" s="319">
        <f>IF(AND('Ações'!AU136="sim", 'Ações'!BI136="sim"), 1, 0)
</f>
        <v>0</v>
      </c>
      <c r="W135" s="319">
        <f>IF(AND('Ações'!AV136="sim", 'Ações'!BD136="sim"), 1, 0)
</f>
        <v>1</v>
      </c>
      <c r="X135" s="319">
        <f>IF(AND('Ações'!AV136="sim", 'Ações'!BE136="sim"), 1, 0)
</f>
        <v>0</v>
      </c>
      <c r="Y135" s="319">
        <f>IF(AND('Ações'!AV136="sim", 'Ações'!BF136="sim"), 1, 0)
</f>
        <v>0</v>
      </c>
      <c r="Z135" s="319">
        <f>IF(AND('Ações'!AV136="sim", 'Ações'!BH136="sim"), 1, 0)
</f>
        <v>0</v>
      </c>
      <c r="AA135" s="319">
        <f>IF(AND('Ações'!AV136="sim", 'Ações'!BI136="sim"), 1, 0)
</f>
        <v>0</v>
      </c>
      <c r="AB135" s="319">
        <f>IF(AND('Ações'!AW136="sim", 'Ações'!BD136="sim"), 1, 0)
</f>
        <v>1</v>
      </c>
      <c r="AC135" s="319">
        <f>IF(AND('Ações'!AW136="sim", 'Ações'!BE136="sim"), 1, 0)
</f>
        <v>0</v>
      </c>
      <c r="AD135" s="319">
        <f>IF(AND('Ações'!AW136="sim", 'Ações'!BF136="sim"), 1, 0)
</f>
        <v>0</v>
      </c>
      <c r="AE135" s="319">
        <f>IF(AND('Ações'!AW136="sim", 'Ações'!BG136="sim"), 1, 0)
</f>
        <v>0</v>
      </c>
      <c r="AF135" s="319">
        <f>IF(AND('Ações'!AW136="sim", 'Ações'!BI136="sim"), 1, 0)
</f>
        <v>0</v>
      </c>
      <c r="AG135" s="319">
        <f>IF(AND('Ações'!AX136="sim", 'Ações'!BD136="sim"), 1, 0)
</f>
        <v>0</v>
      </c>
      <c r="AH135" s="319">
        <f>IF(AND('Ações'!AX136="sim", 'Ações'!BE136="sim"), 1, 0)
</f>
        <v>0</v>
      </c>
      <c r="AI135" s="319">
        <f>IF(AND('Ações'!AX136="sim", 'Ações'!BF136="sim"), 1, 0)
</f>
        <v>0</v>
      </c>
      <c r="AJ135" s="319">
        <f>IF(AND('Ações'!AX136="sim", 'Ações'!BG136="sim"), 1, 0)
</f>
        <v>0</v>
      </c>
      <c r="AK135" s="319">
        <f>IF(AND('Ações'!AX136="sim", 'Ações'!BH136="sim"), 1, 0)
</f>
        <v>0</v>
      </c>
    </row>
    <row r="136">
      <c r="B136" s="319">
        <f>IF(AND('Ações'!AS137="sim", 'Ações'!BD137="sim"), 1, 0)
</f>
        <v>0</v>
      </c>
      <c r="C136" s="319">
        <f>IF(AND('Ações'!AT137="sim", 'Ações'!BE137="sim"), 1, 0)
</f>
        <v>0</v>
      </c>
      <c r="D136" s="319">
        <f>IF(AND('Ações'!AU137="sim", 'Ações'!BF137="sim"), 1, 0)
</f>
        <v>0</v>
      </c>
      <c r="E136" s="319">
        <f>IF(AND('Ações'!AV137="sim", 'Ações'!BG137="sim"), 1, 0)
</f>
        <v>0</v>
      </c>
      <c r="F136" s="319">
        <f>IF(AND('Ações'!AW137="sim", 'Ações'!BH137="sim"), 1, 0)
</f>
        <v>0</v>
      </c>
      <c r="G136" s="319">
        <f>IF(AND('Ações'!AX137="sim", 'Ações'!BI137="sim"), 1, 0)
</f>
        <v>0</v>
      </c>
      <c r="H136" s="319">
        <f>IF(AND('Ações'!AS137="sim", 'Ações'!BE137="sim"), 1, 0)
</f>
        <v>0</v>
      </c>
      <c r="I136" s="319">
        <f>IF(AND('Ações'!AS137="sim", 'Ações'!BF137="sim"), 1, 0)
</f>
        <v>0</v>
      </c>
      <c r="J136" s="319">
        <f>IF(AND('Ações'!AS137="sim", 'Ações'!BG137="sim"), 1, 0)
</f>
        <v>0</v>
      </c>
      <c r="K136" s="319">
        <f>IF(AND('Ações'!AS137="sim", 'Ações'!BH137="sim"), 1, 0)
</f>
        <v>0</v>
      </c>
      <c r="L136" s="319">
        <f>IF(AND('Ações'!AS137="sim", 'Ações'!BI137="sim"), 1, 0)
</f>
        <v>0</v>
      </c>
      <c r="M136" s="319">
        <f>IF(AND('Ações'!AT137="sim", 'Ações'!BD137="sim"), 1, 0)
</f>
        <v>0</v>
      </c>
      <c r="N136" s="319">
        <f>IF(AND('Ações'!AT137="sim", 'Ações'!BF137="sim"), 1, 0)
</f>
        <v>0</v>
      </c>
      <c r="O136" s="319">
        <f>IF(AND('Ações'!AT137="sim", 'Ações'!BG137="sim"), 1, 0)
</f>
        <v>0</v>
      </c>
      <c r="P136" s="319">
        <f>IF(AND('Ações'!AT137="sim", 'Ações'!BH137="sim"), 1, 0)
</f>
        <v>0</v>
      </c>
      <c r="Q136" s="319">
        <f>IF(AND('Ações'!AT137="sim", 'Ações'!BI137="sim"), 1, 0)
</f>
        <v>0</v>
      </c>
      <c r="R136" s="319">
        <f>IF(AND('Ações'!AU137="sim", 'Ações'!BD137="sim"), 1, 0)
</f>
        <v>0</v>
      </c>
      <c r="S136" s="319">
        <f>IF(AND('Ações'!AU137="sim", 'Ações'!BE137="sim"), 1, 0)
</f>
        <v>0</v>
      </c>
      <c r="T136" s="319">
        <f>IF(AND('Ações'!AU137="sim", 'Ações'!BG137="sim"), 1, 0)
</f>
        <v>0</v>
      </c>
      <c r="U136" s="319">
        <f>IF(AND('Ações'!AU137="sim", 'Ações'!BH137="sim"), 1, 0)
</f>
        <v>0</v>
      </c>
      <c r="V136" s="319">
        <f>IF(AND('Ações'!AU137="sim", 'Ações'!BI137="sim"), 1, 0)
</f>
        <v>0</v>
      </c>
      <c r="W136" s="319">
        <f>IF(AND('Ações'!AV137="sim", 'Ações'!BD137="sim"), 1, 0)
</f>
        <v>0</v>
      </c>
      <c r="X136" s="319">
        <f>IF(AND('Ações'!AV137="sim", 'Ações'!BE137="sim"), 1, 0)
</f>
        <v>0</v>
      </c>
      <c r="Y136" s="319">
        <f>IF(AND('Ações'!AV137="sim", 'Ações'!BF137="sim"), 1, 0)
</f>
        <v>0</v>
      </c>
      <c r="Z136" s="319">
        <f>IF(AND('Ações'!AV137="sim", 'Ações'!BH137="sim"), 1, 0)
</f>
        <v>0</v>
      </c>
      <c r="AA136" s="319">
        <f>IF(AND('Ações'!AV137="sim", 'Ações'!BI137="sim"), 1, 0)
</f>
        <v>0</v>
      </c>
      <c r="AB136" s="319">
        <f>IF(AND('Ações'!AW137="sim", 'Ações'!BD137="sim"), 1, 0)
</f>
        <v>0</v>
      </c>
      <c r="AC136" s="319">
        <f>IF(AND('Ações'!AW137="sim", 'Ações'!BE137="sim"), 1, 0)
</f>
        <v>0</v>
      </c>
      <c r="AD136" s="319">
        <f>IF(AND('Ações'!AW137="sim", 'Ações'!BF137="sim"), 1, 0)
</f>
        <v>0</v>
      </c>
      <c r="AE136" s="319">
        <f>IF(AND('Ações'!AW137="sim", 'Ações'!BG137="sim"), 1, 0)
</f>
        <v>0</v>
      </c>
      <c r="AF136" s="319">
        <f>IF(AND('Ações'!AW137="sim", 'Ações'!BI137="sim"), 1, 0)
</f>
        <v>0</v>
      </c>
      <c r="AG136" s="319">
        <f>IF(AND('Ações'!AX137="sim", 'Ações'!BD137="sim"), 1, 0)
</f>
        <v>0</v>
      </c>
      <c r="AH136" s="319">
        <f>IF(AND('Ações'!AX137="sim", 'Ações'!BE137="sim"), 1, 0)
</f>
        <v>0</v>
      </c>
      <c r="AI136" s="319">
        <f>IF(AND('Ações'!AX137="sim", 'Ações'!BF137="sim"), 1, 0)
</f>
        <v>0</v>
      </c>
      <c r="AJ136" s="319">
        <f>IF(AND('Ações'!AX137="sim", 'Ações'!BG137="sim"), 1, 0)
</f>
        <v>0</v>
      </c>
      <c r="AK136" s="319">
        <f>IF(AND('Ações'!AX137="sim", 'Ações'!BH137="sim"), 1, 0)
</f>
        <v>0</v>
      </c>
    </row>
    <row r="137">
      <c r="B137" s="319">
        <f>IF(AND('Ações'!AS138="sim", 'Ações'!BD138="sim"), 1, 0)
</f>
        <v>0</v>
      </c>
      <c r="C137" s="319">
        <f>IF(AND('Ações'!AT138="sim", 'Ações'!BE138="sim"), 1, 0)
</f>
        <v>0</v>
      </c>
      <c r="D137" s="319">
        <f>IF(AND('Ações'!AU138="sim", 'Ações'!BF138="sim"), 1, 0)
</f>
        <v>0</v>
      </c>
      <c r="E137" s="319">
        <f>IF(AND('Ações'!AV138="sim", 'Ações'!BG138="sim"), 1, 0)
</f>
        <v>0</v>
      </c>
      <c r="F137" s="319">
        <f>IF(AND('Ações'!AW138="sim", 'Ações'!BH138="sim"), 1, 0)
</f>
        <v>0</v>
      </c>
      <c r="G137" s="319">
        <f>IF(AND('Ações'!AX138="sim", 'Ações'!BI138="sim"), 1, 0)
</f>
        <v>0</v>
      </c>
      <c r="H137" s="319">
        <f>IF(AND('Ações'!AS138="sim", 'Ações'!BE138="sim"), 1, 0)
</f>
        <v>0</v>
      </c>
      <c r="I137" s="319">
        <f>IF(AND('Ações'!AS138="sim", 'Ações'!BF138="sim"), 1, 0)
</f>
        <v>0</v>
      </c>
      <c r="J137" s="319">
        <f>IF(AND('Ações'!AS138="sim", 'Ações'!BG138="sim"), 1, 0)
</f>
        <v>0</v>
      </c>
      <c r="K137" s="319">
        <f>IF(AND('Ações'!AS138="sim", 'Ações'!BH138="sim"), 1, 0)
</f>
        <v>0</v>
      </c>
      <c r="L137" s="319">
        <f>IF(AND('Ações'!AS138="sim", 'Ações'!BI138="sim"), 1, 0)
</f>
        <v>0</v>
      </c>
      <c r="M137" s="319">
        <f>IF(AND('Ações'!AT138="sim", 'Ações'!BD138="sim"), 1, 0)
</f>
        <v>1</v>
      </c>
      <c r="N137" s="319">
        <f>IF(AND('Ações'!AT138="sim", 'Ações'!BF138="sim"), 1, 0)
</f>
        <v>0</v>
      </c>
      <c r="O137" s="319">
        <f>IF(AND('Ações'!AT138="sim", 'Ações'!BG138="sim"), 1, 0)
</f>
        <v>0</v>
      </c>
      <c r="P137" s="319">
        <f>IF(AND('Ações'!AT138="sim", 'Ações'!BH138="sim"), 1, 0)
</f>
        <v>0</v>
      </c>
      <c r="Q137" s="319">
        <f>IF(AND('Ações'!AT138="sim", 'Ações'!BI138="sim"), 1, 0)
</f>
        <v>1</v>
      </c>
      <c r="R137" s="319">
        <f>IF(AND('Ações'!AU138="sim", 'Ações'!BD138="sim"), 1, 0)
</f>
        <v>1</v>
      </c>
      <c r="S137" s="319">
        <f>IF(AND('Ações'!AU138="sim", 'Ações'!BE138="sim"), 1, 0)
</f>
        <v>0</v>
      </c>
      <c r="T137" s="319">
        <f>IF(AND('Ações'!AU138="sim", 'Ações'!BG138="sim"), 1, 0)
</f>
        <v>0</v>
      </c>
      <c r="U137" s="319">
        <f>IF(AND('Ações'!AU138="sim", 'Ações'!BH138="sim"), 1, 0)
</f>
        <v>0</v>
      </c>
      <c r="V137" s="319">
        <f>IF(AND('Ações'!AU138="sim", 'Ações'!BI138="sim"), 1, 0)
</f>
        <v>1</v>
      </c>
      <c r="W137" s="319">
        <f>IF(AND('Ações'!AV138="sim", 'Ações'!BD138="sim"), 1, 0)
</f>
        <v>1</v>
      </c>
      <c r="X137" s="319">
        <f>IF(AND('Ações'!AV138="sim", 'Ações'!BE138="sim"), 1, 0)
</f>
        <v>0</v>
      </c>
      <c r="Y137" s="319">
        <f>IF(AND('Ações'!AV138="sim", 'Ações'!BF138="sim"), 1, 0)
</f>
        <v>0</v>
      </c>
      <c r="Z137" s="319">
        <f>IF(AND('Ações'!AV138="sim", 'Ações'!BH138="sim"), 1, 0)
</f>
        <v>0</v>
      </c>
      <c r="AA137" s="319">
        <f>IF(AND('Ações'!AV138="sim", 'Ações'!BI138="sim"), 1, 0)
</f>
        <v>1</v>
      </c>
      <c r="AB137" s="319">
        <f>IF(AND('Ações'!AW138="sim", 'Ações'!BD138="sim"), 1, 0)
</f>
        <v>1</v>
      </c>
      <c r="AC137" s="319">
        <f>IF(AND('Ações'!AW138="sim", 'Ações'!BE138="sim"), 1, 0)
</f>
        <v>0</v>
      </c>
      <c r="AD137" s="319">
        <f>IF(AND('Ações'!AW138="sim", 'Ações'!BF138="sim"), 1, 0)
</f>
        <v>0</v>
      </c>
      <c r="AE137" s="319">
        <f>IF(AND('Ações'!AW138="sim", 'Ações'!BG138="sim"), 1, 0)
</f>
        <v>0</v>
      </c>
      <c r="AF137" s="319">
        <f>IF(AND('Ações'!AW138="sim", 'Ações'!BI138="sim"), 1, 0)
</f>
        <v>1</v>
      </c>
      <c r="AG137" s="319">
        <f>IF(AND('Ações'!AX138="sim", 'Ações'!BD138="sim"), 1, 0)
</f>
        <v>0</v>
      </c>
      <c r="AH137" s="319">
        <f>IF(AND('Ações'!AX138="sim", 'Ações'!BE138="sim"), 1, 0)
</f>
        <v>0</v>
      </c>
      <c r="AI137" s="319">
        <f>IF(AND('Ações'!AX138="sim", 'Ações'!BF138="sim"), 1, 0)
</f>
        <v>0</v>
      </c>
      <c r="AJ137" s="319">
        <f>IF(AND('Ações'!AX138="sim", 'Ações'!BG138="sim"), 1, 0)
</f>
        <v>0</v>
      </c>
      <c r="AK137" s="319">
        <f>IF(AND('Ações'!AX138="sim", 'Ações'!BH138="sim"), 1, 0)
</f>
        <v>0</v>
      </c>
    </row>
    <row r="138">
      <c r="B138" s="319">
        <f>IF(AND('Ações'!AS139="sim", 'Ações'!BD139="sim"), 1, 0)
</f>
        <v>0</v>
      </c>
      <c r="C138" s="319">
        <f>IF(AND('Ações'!AT139="sim", 'Ações'!BE139="sim"), 1, 0)
</f>
        <v>0</v>
      </c>
      <c r="D138" s="319">
        <f>IF(AND('Ações'!AU139="sim", 'Ações'!BF139="sim"), 1, 0)
</f>
        <v>0</v>
      </c>
      <c r="E138" s="319">
        <f>IF(AND('Ações'!AV139="sim", 'Ações'!BG139="sim"), 1, 0)
</f>
        <v>0</v>
      </c>
      <c r="F138" s="319">
        <f>IF(AND('Ações'!AW139="sim", 'Ações'!BH139="sim"), 1, 0)
</f>
        <v>0</v>
      </c>
      <c r="G138" s="319">
        <f>IF(AND('Ações'!AX139="sim", 'Ações'!BI139="sim"), 1, 0)
</f>
        <v>0</v>
      </c>
      <c r="H138" s="319">
        <f>IF(AND('Ações'!AS139="sim", 'Ações'!BE139="sim"), 1, 0)
</f>
        <v>0</v>
      </c>
      <c r="I138" s="319">
        <f>IF(AND('Ações'!AS139="sim", 'Ações'!BF139="sim"), 1, 0)
</f>
        <v>0</v>
      </c>
      <c r="J138" s="319">
        <f>IF(AND('Ações'!AS139="sim", 'Ações'!BG139="sim"), 1, 0)
</f>
        <v>0</v>
      </c>
      <c r="K138" s="319">
        <f>IF(AND('Ações'!AS139="sim", 'Ações'!BH139="sim"), 1, 0)
</f>
        <v>0</v>
      </c>
      <c r="L138" s="319">
        <f>IF(AND('Ações'!AS139="sim", 'Ações'!BI139="sim"), 1, 0)
</f>
        <v>1</v>
      </c>
      <c r="M138" s="319">
        <f>IF(AND('Ações'!AT139="sim", 'Ações'!BD139="sim"), 1, 0)
</f>
        <v>0</v>
      </c>
      <c r="N138" s="319">
        <f>IF(AND('Ações'!AT139="sim", 'Ações'!BF139="sim"), 1, 0)
</f>
        <v>0</v>
      </c>
      <c r="O138" s="319">
        <f>IF(AND('Ações'!AT139="sim", 'Ações'!BG139="sim"), 1, 0)
</f>
        <v>0</v>
      </c>
      <c r="P138" s="319">
        <f>IF(AND('Ações'!AT139="sim", 'Ações'!BH139="sim"), 1, 0)
</f>
        <v>0</v>
      </c>
      <c r="Q138" s="319">
        <f>IF(AND('Ações'!AT139="sim", 'Ações'!BI139="sim"), 1, 0)
</f>
        <v>1</v>
      </c>
      <c r="R138" s="319">
        <f>IF(AND('Ações'!AU139="sim", 'Ações'!BD139="sim"), 1, 0)
</f>
        <v>0</v>
      </c>
      <c r="S138" s="319">
        <f>IF(AND('Ações'!AU139="sim", 'Ações'!BE139="sim"), 1, 0)
</f>
        <v>0</v>
      </c>
      <c r="T138" s="319">
        <f>IF(AND('Ações'!AU139="sim", 'Ações'!BG139="sim"), 1, 0)
</f>
        <v>0</v>
      </c>
      <c r="U138" s="319">
        <f>IF(AND('Ações'!AU139="sim", 'Ações'!BH139="sim"), 1, 0)
</f>
        <v>0</v>
      </c>
      <c r="V138" s="319">
        <f>IF(AND('Ações'!AU139="sim", 'Ações'!BI139="sim"), 1, 0)
</f>
        <v>1</v>
      </c>
      <c r="W138" s="319">
        <f>IF(AND('Ações'!AV139="sim", 'Ações'!BD139="sim"), 1, 0)
</f>
        <v>0</v>
      </c>
      <c r="X138" s="319">
        <f>IF(AND('Ações'!AV139="sim", 'Ações'!BE139="sim"), 1, 0)
</f>
        <v>0</v>
      </c>
      <c r="Y138" s="319">
        <f>IF(AND('Ações'!AV139="sim", 'Ações'!BF139="sim"), 1, 0)
</f>
        <v>0</v>
      </c>
      <c r="Z138" s="319">
        <f>IF(AND('Ações'!AV139="sim", 'Ações'!BH139="sim"), 1, 0)
</f>
        <v>0</v>
      </c>
      <c r="AA138" s="319">
        <f>IF(AND('Ações'!AV139="sim", 'Ações'!BI139="sim"), 1, 0)
</f>
        <v>1</v>
      </c>
      <c r="AB138" s="319">
        <f>IF(AND('Ações'!AW139="sim", 'Ações'!BD139="sim"), 1, 0)
</f>
        <v>0</v>
      </c>
      <c r="AC138" s="319">
        <f>IF(AND('Ações'!AW139="sim", 'Ações'!BE139="sim"), 1, 0)
</f>
        <v>0</v>
      </c>
      <c r="AD138" s="319">
        <f>IF(AND('Ações'!AW139="sim", 'Ações'!BF139="sim"), 1, 0)
</f>
        <v>0</v>
      </c>
      <c r="AE138" s="319">
        <f>IF(AND('Ações'!AW139="sim", 'Ações'!BG139="sim"), 1, 0)
</f>
        <v>0</v>
      </c>
      <c r="AF138" s="319">
        <f>IF(AND('Ações'!AW139="sim", 'Ações'!BI139="sim"), 1, 0)
</f>
        <v>0</v>
      </c>
      <c r="AG138" s="319">
        <f>IF(AND('Ações'!AX139="sim", 'Ações'!BD139="sim"), 1, 0)
</f>
        <v>0</v>
      </c>
      <c r="AH138" s="319">
        <f>IF(AND('Ações'!AX139="sim", 'Ações'!BE139="sim"), 1, 0)
</f>
        <v>0</v>
      </c>
      <c r="AI138" s="319">
        <f>IF(AND('Ações'!AX139="sim", 'Ações'!BF139="sim"), 1, 0)
</f>
        <v>0</v>
      </c>
      <c r="AJ138" s="319">
        <f>IF(AND('Ações'!AX139="sim", 'Ações'!BG139="sim"), 1, 0)
</f>
        <v>0</v>
      </c>
      <c r="AK138" s="319">
        <f>IF(AND('Ações'!AX139="sim", 'Ações'!BH139="sim"), 1, 0)
</f>
        <v>0</v>
      </c>
    </row>
    <row r="139">
      <c r="B139" s="319">
        <f>IF(AND('Ações'!AS140="sim", 'Ações'!BD140="sim"), 1, 0)
</f>
        <v>0</v>
      </c>
      <c r="C139" s="319">
        <f>IF(AND('Ações'!AT140="sim", 'Ações'!BE140="sim"), 1, 0)
</f>
        <v>0</v>
      </c>
      <c r="D139" s="319">
        <f>IF(AND('Ações'!AU140="sim", 'Ações'!BF140="sim"), 1, 0)
</f>
        <v>0</v>
      </c>
      <c r="E139" s="319">
        <f>IF(AND('Ações'!AV140="sim", 'Ações'!BG140="sim"), 1, 0)
</f>
        <v>0</v>
      </c>
      <c r="F139" s="319">
        <f>IF(AND('Ações'!AW140="sim", 'Ações'!BH140="sim"), 1, 0)
</f>
        <v>0</v>
      </c>
      <c r="G139" s="319">
        <f>IF(AND('Ações'!AX140="sim", 'Ações'!BI140="sim"), 1, 0)
</f>
        <v>0</v>
      </c>
      <c r="H139" s="319">
        <f>IF(AND('Ações'!AS140="sim", 'Ações'!BE140="sim"), 1, 0)
</f>
        <v>0</v>
      </c>
      <c r="I139" s="319">
        <f>IF(AND('Ações'!AS140="sim", 'Ações'!BF140="sim"), 1, 0)
</f>
        <v>0</v>
      </c>
      <c r="J139" s="319">
        <f>IF(AND('Ações'!AS140="sim", 'Ações'!BG140="sim"), 1, 0)
</f>
        <v>0</v>
      </c>
      <c r="K139" s="319">
        <f>IF(AND('Ações'!AS140="sim", 'Ações'!BH140="sim"), 1, 0)
</f>
        <v>0</v>
      </c>
      <c r="L139" s="319">
        <f>IF(AND('Ações'!AS140="sim", 'Ações'!BI140="sim"), 1, 0)
</f>
        <v>1</v>
      </c>
      <c r="M139" s="319">
        <f>IF(AND('Ações'!AT140="sim", 'Ações'!BD140="sim"), 1, 0)
</f>
        <v>0</v>
      </c>
      <c r="N139" s="319">
        <f>IF(AND('Ações'!AT140="sim", 'Ações'!BF140="sim"), 1, 0)
</f>
        <v>0</v>
      </c>
      <c r="O139" s="319">
        <f>IF(AND('Ações'!AT140="sim", 'Ações'!BG140="sim"), 1, 0)
</f>
        <v>0</v>
      </c>
      <c r="P139" s="319">
        <f>IF(AND('Ações'!AT140="sim", 'Ações'!BH140="sim"), 1, 0)
</f>
        <v>0</v>
      </c>
      <c r="Q139" s="319">
        <f>IF(AND('Ações'!AT140="sim", 'Ações'!BI140="sim"), 1, 0)
</f>
        <v>1</v>
      </c>
      <c r="R139" s="319">
        <f>IF(AND('Ações'!AU140="sim", 'Ações'!BD140="sim"), 1, 0)
</f>
        <v>0</v>
      </c>
      <c r="S139" s="319">
        <f>IF(AND('Ações'!AU140="sim", 'Ações'!BE140="sim"), 1, 0)
</f>
        <v>0</v>
      </c>
      <c r="T139" s="319">
        <f>IF(AND('Ações'!AU140="sim", 'Ações'!BG140="sim"), 1, 0)
</f>
        <v>0</v>
      </c>
      <c r="U139" s="319">
        <f>IF(AND('Ações'!AU140="sim", 'Ações'!BH140="sim"), 1, 0)
</f>
        <v>0</v>
      </c>
      <c r="V139" s="319">
        <f>IF(AND('Ações'!AU140="sim", 'Ações'!BI140="sim"), 1, 0)
</f>
        <v>1</v>
      </c>
      <c r="W139" s="319">
        <f>IF(AND('Ações'!AV140="sim", 'Ações'!BD140="sim"), 1, 0)
</f>
        <v>0</v>
      </c>
      <c r="X139" s="319">
        <f>IF(AND('Ações'!AV140="sim", 'Ações'!BE140="sim"), 1, 0)
</f>
        <v>0</v>
      </c>
      <c r="Y139" s="319">
        <f>IF(AND('Ações'!AV140="sim", 'Ações'!BF140="sim"), 1, 0)
</f>
        <v>0</v>
      </c>
      <c r="Z139" s="319">
        <f>IF(AND('Ações'!AV140="sim", 'Ações'!BH140="sim"), 1, 0)
</f>
        <v>0</v>
      </c>
      <c r="AA139" s="319">
        <f>IF(AND('Ações'!AV140="sim", 'Ações'!BI140="sim"), 1, 0)
</f>
        <v>1</v>
      </c>
      <c r="AB139" s="319">
        <f>IF(AND('Ações'!AW140="sim", 'Ações'!BD140="sim"), 1, 0)
</f>
        <v>0</v>
      </c>
      <c r="AC139" s="319">
        <f>IF(AND('Ações'!AW140="sim", 'Ações'!BE140="sim"), 1, 0)
</f>
        <v>0</v>
      </c>
      <c r="AD139" s="319">
        <f>IF(AND('Ações'!AW140="sim", 'Ações'!BF140="sim"), 1, 0)
</f>
        <v>0</v>
      </c>
      <c r="AE139" s="319">
        <f>IF(AND('Ações'!AW140="sim", 'Ações'!BG140="sim"), 1, 0)
</f>
        <v>0</v>
      </c>
      <c r="AF139" s="319">
        <f>IF(AND('Ações'!AW140="sim", 'Ações'!BI140="sim"), 1, 0)
</f>
        <v>0</v>
      </c>
      <c r="AG139" s="319">
        <f>IF(AND('Ações'!AX140="sim", 'Ações'!BD140="sim"), 1, 0)
</f>
        <v>0</v>
      </c>
      <c r="AH139" s="319">
        <f>IF(AND('Ações'!AX140="sim", 'Ações'!BE140="sim"), 1, 0)
</f>
        <v>0</v>
      </c>
      <c r="AI139" s="319">
        <f>IF(AND('Ações'!AX140="sim", 'Ações'!BF140="sim"), 1, 0)
</f>
        <v>0</v>
      </c>
      <c r="AJ139" s="319">
        <f>IF(AND('Ações'!AX140="sim", 'Ações'!BG140="sim"), 1, 0)
</f>
        <v>0</v>
      </c>
      <c r="AK139" s="319">
        <f>IF(AND('Ações'!AX140="sim", 'Ações'!BH140="sim"), 1, 0)
</f>
        <v>0</v>
      </c>
    </row>
    <row r="140">
      <c r="B140" s="319">
        <f>IF(AND('Ações'!AS141="sim", 'Ações'!BD141="sim"), 1, 0)
</f>
        <v>1</v>
      </c>
      <c r="C140" s="319">
        <f>IF(AND('Ações'!AT141="sim", 'Ações'!BE141="sim"), 1, 0)
</f>
        <v>0</v>
      </c>
      <c r="D140" s="319">
        <f>IF(AND('Ações'!AU141="sim", 'Ações'!BF141="sim"), 1, 0)
</f>
        <v>0</v>
      </c>
      <c r="E140" s="319">
        <f>IF(AND('Ações'!AV141="sim", 'Ações'!BG141="sim"), 1, 0)
</f>
        <v>0</v>
      </c>
      <c r="F140" s="319">
        <f>IF(AND('Ações'!AW141="sim", 'Ações'!BH141="sim"), 1, 0)
</f>
        <v>0</v>
      </c>
      <c r="G140" s="319">
        <f>IF(AND('Ações'!AX141="sim", 'Ações'!BI141="sim"), 1, 0)
</f>
        <v>0</v>
      </c>
      <c r="H140" s="319">
        <f>IF(AND('Ações'!AS141="sim", 'Ações'!BE141="sim"), 1, 0)
</f>
        <v>0</v>
      </c>
      <c r="I140" s="319">
        <f>IF(AND('Ações'!AS141="sim", 'Ações'!BF141="sim"), 1, 0)
</f>
        <v>0</v>
      </c>
      <c r="J140" s="319">
        <f>IF(AND('Ações'!AS141="sim", 'Ações'!BG141="sim"), 1, 0)
</f>
        <v>0</v>
      </c>
      <c r="K140" s="319">
        <f>IF(AND('Ações'!AS141="sim", 'Ações'!BH141="sim"), 1, 0)
</f>
        <v>0</v>
      </c>
      <c r="L140" s="319">
        <f>IF(AND('Ações'!AS141="sim", 'Ações'!BI141="sim"), 1, 0)
</f>
        <v>0</v>
      </c>
      <c r="M140" s="319">
        <f>IF(AND('Ações'!AT141="sim", 'Ações'!BD141="sim"), 1, 0)
</f>
        <v>1</v>
      </c>
      <c r="N140" s="319">
        <f>IF(AND('Ações'!AT141="sim", 'Ações'!BF141="sim"), 1, 0)
</f>
        <v>0</v>
      </c>
      <c r="O140" s="319">
        <f>IF(AND('Ações'!AT141="sim", 'Ações'!BG141="sim"), 1, 0)
</f>
        <v>0</v>
      </c>
      <c r="P140" s="319">
        <f>IF(AND('Ações'!AT141="sim", 'Ações'!BH141="sim"), 1, 0)
</f>
        <v>0</v>
      </c>
      <c r="Q140" s="319">
        <f>IF(AND('Ações'!AT141="sim", 'Ações'!BI141="sim"), 1, 0)
</f>
        <v>0</v>
      </c>
      <c r="R140" s="319">
        <f>IF(AND('Ações'!AU141="sim", 'Ações'!BD141="sim"), 1, 0)
</f>
        <v>1</v>
      </c>
      <c r="S140" s="319">
        <f>IF(AND('Ações'!AU141="sim", 'Ações'!BE141="sim"), 1, 0)
</f>
        <v>0</v>
      </c>
      <c r="T140" s="319">
        <f>IF(AND('Ações'!AU141="sim", 'Ações'!BG141="sim"), 1, 0)
</f>
        <v>0</v>
      </c>
      <c r="U140" s="319">
        <f>IF(AND('Ações'!AU141="sim", 'Ações'!BH141="sim"), 1, 0)
</f>
        <v>0</v>
      </c>
      <c r="V140" s="319">
        <f>IF(AND('Ações'!AU141="sim", 'Ações'!BI141="sim"), 1, 0)
</f>
        <v>0</v>
      </c>
      <c r="W140" s="319">
        <f>IF(AND('Ações'!AV141="sim", 'Ações'!BD141="sim"), 1, 0)
</f>
        <v>1</v>
      </c>
      <c r="X140" s="319">
        <f>IF(AND('Ações'!AV141="sim", 'Ações'!BE141="sim"), 1, 0)
</f>
        <v>0</v>
      </c>
      <c r="Y140" s="319">
        <f>IF(AND('Ações'!AV141="sim", 'Ações'!BF141="sim"), 1, 0)
</f>
        <v>0</v>
      </c>
      <c r="Z140" s="319">
        <f>IF(AND('Ações'!AV141="sim", 'Ações'!BH141="sim"), 1, 0)
</f>
        <v>0</v>
      </c>
      <c r="AA140" s="319">
        <f>IF(AND('Ações'!AV141="sim", 'Ações'!BI141="sim"), 1, 0)
</f>
        <v>0</v>
      </c>
      <c r="AB140" s="319">
        <f>IF(AND('Ações'!AW141="sim", 'Ações'!BD141="sim"), 1, 0)
</f>
        <v>1</v>
      </c>
      <c r="AC140" s="319">
        <f>IF(AND('Ações'!AW141="sim", 'Ações'!BE141="sim"), 1, 0)
</f>
        <v>0</v>
      </c>
      <c r="AD140" s="319">
        <f>IF(AND('Ações'!AW141="sim", 'Ações'!BF141="sim"), 1, 0)
</f>
        <v>0</v>
      </c>
      <c r="AE140" s="319">
        <f>IF(AND('Ações'!AW141="sim", 'Ações'!BG141="sim"), 1, 0)
</f>
        <v>0</v>
      </c>
      <c r="AF140" s="319">
        <f>IF(AND('Ações'!AW141="sim", 'Ações'!BI141="sim"), 1, 0)
</f>
        <v>0</v>
      </c>
      <c r="AG140" s="319">
        <f>IF(AND('Ações'!AX141="sim", 'Ações'!BD141="sim"), 1, 0)
</f>
        <v>0</v>
      </c>
      <c r="AH140" s="319">
        <f>IF(AND('Ações'!AX141="sim", 'Ações'!BE141="sim"), 1, 0)
</f>
        <v>0</v>
      </c>
      <c r="AI140" s="319">
        <f>IF(AND('Ações'!AX141="sim", 'Ações'!BF141="sim"), 1, 0)
</f>
        <v>0</v>
      </c>
      <c r="AJ140" s="319">
        <f>IF(AND('Ações'!AX141="sim", 'Ações'!BG141="sim"), 1, 0)
</f>
        <v>0</v>
      </c>
      <c r="AK140" s="319">
        <f>IF(AND('Ações'!AX141="sim", 'Ações'!BH141="sim"), 1, 0)
</f>
        <v>0</v>
      </c>
    </row>
    <row r="141">
      <c r="B141" s="319">
        <f>IF(AND('Ações'!AS142="sim", 'Ações'!BD142="sim"), 1, 0)
</f>
        <v>0</v>
      </c>
      <c r="C141" s="319">
        <f>IF(AND('Ações'!AT142="sim", 'Ações'!BE142="sim"), 1, 0)
</f>
        <v>0</v>
      </c>
      <c r="D141" s="319">
        <f>IF(AND('Ações'!AU142="sim", 'Ações'!BF142="sim"), 1, 0)
</f>
        <v>0</v>
      </c>
      <c r="E141" s="319">
        <f>IF(AND('Ações'!AV142="sim", 'Ações'!BG142="sim"), 1, 0)
</f>
        <v>0</v>
      </c>
      <c r="F141" s="319">
        <f>IF(AND('Ações'!AW142="sim", 'Ações'!BH142="sim"), 1, 0)
</f>
        <v>0</v>
      </c>
      <c r="G141" s="319">
        <f>IF(AND('Ações'!AX142="sim", 'Ações'!BI142="sim"), 1, 0)
</f>
        <v>0</v>
      </c>
      <c r="H141" s="319">
        <f>IF(AND('Ações'!AS142="sim", 'Ações'!BE142="sim"), 1, 0)
</f>
        <v>0</v>
      </c>
      <c r="I141" s="319">
        <f>IF(AND('Ações'!AS142="sim", 'Ações'!BF142="sim"), 1, 0)
</f>
        <v>0</v>
      </c>
      <c r="J141" s="319">
        <f>IF(AND('Ações'!AS142="sim", 'Ações'!BG142="sim"), 1, 0)
</f>
        <v>0</v>
      </c>
      <c r="K141" s="319">
        <f>IF(AND('Ações'!AS142="sim", 'Ações'!BH142="sim"), 1, 0)
</f>
        <v>0</v>
      </c>
      <c r="L141" s="319">
        <f>IF(AND('Ações'!AS142="sim", 'Ações'!BI142="sim"), 1, 0)
</f>
        <v>1</v>
      </c>
      <c r="M141" s="319">
        <f>IF(AND('Ações'!AT142="sim", 'Ações'!BD142="sim"), 1, 0)
</f>
        <v>0</v>
      </c>
      <c r="N141" s="319">
        <f>IF(AND('Ações'!AT142="sim", 'Ações'!BF142="sim"), 1, 0)
</f>
        <v>0</v>
      </c>
      <c r="O141" s="319">
        <f>IF(AND('Ações'!AT142="sim", 'Ações'!BG142="sim"), 1, 0)
</f>
        <v>0</v>
      </c>
      <c r="P141" s="319">
        <f>IF(AND('Ações'!AT142="sim", 'Ações'!BH142="sim"), 1, 0)
</f>
        <v>0</v>
      </c>
      <c r="Q141" s="319">
        <f>IF(AND('Ações'!AT142="sim", 'Ações'!BI142="sim"), 1, 0)
</f>
        <v>1</v>
      </c>
      <c r="R141" s="319">
        <f>IF(AND('Ações'!AU142="sim", 'Ações'!BD142="sim"), 1, 0)
</f>
        <v>0</v>
      </c>
      <c r="S141" s="319">
        <f>IF(AND('Ações'!AU142="sim", 'Ações'!BE142="sim"), 1, 0)
</f>
        <v>0</v>
      </c>
      <c r="T141" s="319">
        <f>IF(AND('Ações'!AU142="sim", 'Ações'!BG142="sim"), 1, 0)
</f>
        <v>0</v>
      </c>
      <c r="U141" s="319">
        <f>IF(AND('Ações'!AU142="sim", 'Ações'!BH142="sim"), 1, 0)
</f>
        <v>0</v>
      </c>
      <c r="V141" s="319">
        <f>IF(AND('Ações'!AU142="sim", 'Ações'!BI142="sim"), 1, 0)
</f>
        <v>1</v>
      </c>
      <c r="W141" s="319">
        <f>IF(AND('Ações'!AV142="sim", 'Ações'!BD142="sim"), 1, 0)
</f>
        <v>0</v>
      </c>
      <c r="X141" s="319">
        <f>IF(AND('Ações'!AV142="sim", 'Ações'!BE142="sim"), 1, 0)
</f>
        <v>0</v>
      </c>
      <c r="Y141" s="319">
        <f>IF(AND('Ações'!AV142="sim", 'Ações'!BF142="sim"), 1, 0)
</f>
        <v>0</v>
      </c>
      <c r="Z141" s="319">
        <f>IF(AND('Ações'!AV142="sim", 'Ações'!BH142="sim"), 1, 0)
</f>
        <v>0</v>
      </c>
      <c r="AA141" s="319">
        <f>IF(AND('Ações'!AV142="sim", 'Ações'!BI142="sim"), 1, 0)
</f>
        <v>1</v>
      </c>
      <c r="AB141" s="319">
        <f>IF(AND('Ações'!AW142="sim", 'Ações'!BD142="sim"), 1, 0)
</f>
        <v>0</v>
      </c>
      <c r="AC141" s="319">
        <f>IF(AND('Ações'!AW142="sim", 'Ações'!BE142="sim"), 1, 0)
</f>
        <v>0</v>
      </c>
      <c r="AD141" s="319">
        <f>IF(AND('Ações'!AW142="sim", 'Ações'!BF142="sim"), 1, 0)
</f>
        <v>0</v>
      </c>
      <c r="AE141" s="319">
        <f>IF(AND('Ações'!AW142="sim", 'Ações'!BG142="sim"), 1, 0)
</f>
        <v>0</v>
      </c>
      <c r="AF141" s="319">
        <f>IF(AND('Ações'!AW142="sim", 'Ações'!BI142="sim"), 1, 0)
</f>
        <v>1</v>
      </c>
      <c r="AG141" s="319">
        <f>IF(AND('Ações'!AX142="sim", 'Ações'!BD142="sim"), 1, 0)
</f>
        <v>0</v>
      </c>
      <c r="AH141" s="319">
        <f>IF(AND('Ações'!AX142="sim", 'Ações'!BE142="sim"), 1, 0)
</f>
        <v>0</v>
      </c>
      <c r="AI141" s="319">
        <f>IF(AND('Ações'!AX142="sim", 'Ações'!BF142="sim"), 1, 0)
</f>
        <v>0</v>
      </c>
      <c r="AJ141" s="319">
        <f>IF(AND('Ações'!AX142="sim", 'Ações'!BG142="sim"), 1, 0)
</f>
        <v>0</v>
      </c>
      <c r="AK141" s="319">
        <f>IF(AND('Ações'!AX142="sim", 'Ações'!BH142="sim"), 1, 0)
</f>
        <v>0</v>
      </c>
    </row>
    <row r="142">
      <c r="B142" s="319">
        <f>IF(AND('Ações'!AS143="sim", 'Ações'!BD143="sim"), 1, 0)
</f>
        <v>1</v>
      </c>
      <c r="C142" s="319">
        <f>IF(AND('Ações'!AT143="sim", 'Ações'!BE143="sim"), 1, 0)
</f>
        <v>0</v>
      </c>
      <c r="D142" s="319">
        <f>IF(AND('Ações'!AU143="sim", 'Ações'!BF143="sim"), 1, 0)
</f>
        <v>0</v>
      </c>
      <c r="E142" s="319">
        <f>IF(AND('Ações'!AV143="sim", 'Ações'!BG143="sim"), 1, 0)
</f>
        <v>0</v>
      </c>
      <c r="F142" s="319">
        <f>IF(AND('Ações'!AW143="sim", 'Ações'!BH143="sim"), 1, 0)
</f>
        <v>0</v>
      </c>
      <c r="G142" s="319">
        <f>IF(AND('Ações'!AX143="sim", 'Ações'!BI143="sim"), 1, 0)
</f>
        <v>0</v>
      </c>
      <c r="H142" s="319">
        <f>IF(AND('Ações'!AS143="sim", 'Ações'!BE143="sim"), 1, 0)
</f>
        <v>0</v>
      </c>
      <c r="I142" s="319">
        <f>IF(AND('Ações'!AS143="sim", 'Ações'!BF143="sim"), 1, 0)
</f>
        <v>0</v>
      </c>
      <c r="J142" s="319">
        <f>IF(AND('Ações'!AS143="sim", 'Ações'!BG143="sim"), 1, 0)
</f>
        <v>0</v>
      </c>
      <c r="K142" s="319">
        <f>IF(AND('Ações'!AS143="sim", 'Ações'!BH143="sim"), 1, 0)
</f>
        <v>0</v>
      </c>
      <c r="L142" s="319">
        <f>IF(AND('Ações'!AS143="sim", 'Ações'!BI143="sim"), 1, 0)
</f>
        <v>0</v>
      </c>
      <c r="M142" s="319">
        <f>IF(AND('Ações'!AT143="sim", 'Ações'!BD143="sim"), 1, 0)
</f>
        <v>1</v>
      </c>
      <c r="N142" s="319">
        <f>IF(AND('Ações'!AT143="sim", 'Ações'!BF143="sim"), 1, 0)
</f>
        <v>0</v>
      </c>
      <c r="O142" s="319">
        <f>IF(AND('Ações'!AT143="sim", 'Ações'!BG143="sim"), 1, 0)
</f>
        <v>0</v>
      </c>
      <c r="P142" s="319">
        <f>IF(AND('Ações'!AT143="sim", 'Ações'!BH143="sim"), 1, 0)
</f>
        <v>0</v>
      </c>
      <c r="Q142" s="319">
        <f>IF(AND('Ações'!AT143="sim", 'Ações'!BI143="sim"), 1, 0)
</f>
        <v>0</v>
      </c>
      <c r="R142" s="319">
        <f>IF(AND('Ações'!AU143="sim", 'Ações'!BD143="sim"), 1, 0)
</f>
        <v>1</v>
      </c>
      <c r="S142" s="319">
        <f>IF(AND('Ações'!AU143="sim", 'Ações'!BE143="sim"), 1, 0)
</f>
        <v>0</v>
      </c>
      <c r="T142" s="319">
        <f>IF(AND('Ações'!AU143="sim", 'Ações'!BG143="sim"), 1, 0)
</f>
        <v>0</v>
      </c>
      <c r="U142" s="319">
        <f>IF(AND('Ações'!AU143="sim", 'Ações'!BH143="sim"), 1, 0)
</f>
        <v>0</v>
      </c>
      <c r="V142" s="319">
        <f>IF(AND('Ações'!AU143="sim", 'Ações'!BI143="sim"), 1, 0)
</f>
        <v>0</v>
      </c>
      <c r="W142" s="319">
        <f>IF(AND('Ações'!AV143="sim", 'Ações'!BD143="sim"), 1, 0)
</f>
        <v>1</v>
      </c>
      <c r="X142" s="319">
        <f>IF(AND('Ações'!AV143="sim", 'Ações'!BE143="sim"), 1, 0)
</f>
        <v>0</v>
      </c>
      <c r="Y142" s="319">
        <f>IF(AND('Ações'!AV143="sim", 'Ações'!BF143="sim"), 1, 0)
</f>
        <v>0</v>
      </c>
      <c r="Z142" s="319">
        <f>IF(AND('Ações'!AV143="sim", 'Ações'!BH143="sim"), 1, 0)
</f>
        <v>0</v>
      </c>
      <c r="AA142" s="319">
        <f>IF(AND('Ações'!AV143="sim", 'Ações'!BI143="sim"), 1, 0)
</f>
        <v>0</v>
      </c>
      <c r="AB142" s="319">
        <f>IF(AND('Ações'!AW143="sim", 'Ações'!BD143="sim"), 1, 0)
</f>
        <v>1</v>
      </c>
      <c r="AC142" s="319">
        <f>IF(AND('Ações'!AW143="sim", 'Ações'!BE143="sim"), 1, 0)
</f>
        <v>0</v>
      </c>
      <c r="AD142" s="319">
        <f>IF(AND('Ações'!AW143="sim", 'Ações'!BF143="sim"), 1, 0)
</f>
        <v>0</v>
      </c>
      <c r="AE142" s="319">
        <f>IF(AND('Ações'!AW143="sim", 'Ações'!BG143="sim"), 1, 0)
</f>
        <v>0</v>
      </c>
      <c r="AF142" s="319">
        <f>IF(AND('Ações'!AW143="sim", 'Ações'!BI143="sim"), 1, 0)
</f>
        <v>0</v>
      </c>
      <c r="AG142" s="319">
        <f>IF(AND('Ações'!AX143="sim", 'Ações'!BD143="sim"), 1, 0)
</f>
        <v>0</v>
      </c>
      <c r="AH142" s="319">
        <f>IF(AND('Ações'!AX143="sim", 'Ações'!BE143="sim"), 1, 0)
</f>
        <v>0</v>
      </c>
      <c r="AI142" s="319">
        <f>IF(AND('Ações'!AX143="sim", 'Ações'!BF143="sim"), 1, 0)
</f>
        <v>0</v>
      </c>
      <c r="AJ142" s="319">
        <f>IF(AND('Ações'!AX143="sim", 'Ações'!BG143="sim"), 1, 0)
</f>
        <v>0</v>
      </c>
      <c r="AK142" s="319">
        <f>IF(AND('Ações'!AX143="sim", 'Ações'!BH143="sim"), 1, 0)
</f>
        <v>0</v>
      </c>
    </row>
    <row r="143">
      <c r="B143" s="319">
        <f>IF(AND('Ações'!AS144="sim", 'Ações'!BD144="sim"), 1, 0)
</f>
        <v>0</v>
      </c>
      <c r="C143" s="319">
        <f>IF(AND('Ações'!AT144="sim", 'Ações'!BE144="sim"), 1, 0)
</f>
        <v>0</v>
      </c>
      <c r="D143" s="319">
        <f>IF(AND('Ações'!AU144="sim", 'Ações'!BF144="sim"), 1, 0)
</f>
        <v>0</v>
      </c>
      <c r="E143" s="319">
        <f>IF(AND('Ações'!AV144="sim", 'Ações'!BG144="sim"), 1, 0)
</f>
        <v>0</v>
      </c>
      <c r="F143" s="319">
        <f>IF(AND('Ações'!AW144="sim", 'Ações'!BH144="sim"), 1, 0)
</f>
        <v>0</v>
      </c>
      <c r="G143" s="319">
        <f>IF(AND('Ações'!AX144="sim", 'Ações'!BI144="sim"), 1, 0)
</f>
        <v>0</v>
      </c>
      <c r="H143" s="319">
        <f>IF(AND('Ações'!AS144="sim", 'Ações'!BE144="sim"), 1, 0)
</f>
        <v>0</v>
      </c>
      <c r="I143" s="319">
        <f>IF(AND('Ações'!AS144="sim", 'Ações'!BF144="sim"), 1, 0)
</f>
        <v>0</v>
      </c>
      <c r="J143" s="319">
        <f>IF(AND('Ações'!AS144="sim", 'Ações'!BG144="sim"), 1, 0)
</f>
        <v>0</v>
      </c>
      <c r="K143" s="319">
        <f>IF(AND('Ações'!AS144="sim", 'Ações'!BH144="sim"), 1, 0)
</f>
        <v>0</v>
      </c>
      <c r="L143" s="319">
        <f>IF(AND('Ações'!AS144="sim", 'Ações'!BI144="sim"), 1, 0)
</f>
        <v>1</v>
      </c>
      <c r="M143" s="319">
        <f>IF(AND('Ações'!AT144="sim", 'Ações'!BD144="sim"), 1, 0)
</f>
        <v>0</v>
      </c>
      <c r="N143" s="319">
        <f>IF(AND('Ações'!AT144="sim", 'Ações'!BF144="sim"), 1, 0)
</f>
        <v>0</v>
      </c>
      <c r="O143" s="319">
        <f>IF(AND('Ações'!AT144="sim", 'Ações'!BG144="sim"), 1, 0)
</f>
        <v>0</v>
      </c>
      <c r="P143" s="319">
        <f>IF(AND('Ações'!AT144="sim", 'Ações'!BH144="sim"), 1, 0)
</f>
        <v>0</v>
      </c>
      <c r="Q143" s="319">
        <f>IF(AND('Ações'!AT144="sim", 'Ações'!BI144="sim"), 1, 0)
</f>
        <v>1</v>
      </c>
      <c r="R143" s="319">
        <f>IF(AND('Ações'!AU144="sim", 'Ações'!BD144="sim"), 1, 0)
</f>
        <v>0</v>
      </c>
      <c r="S143" s="319">
        <f>IF(AND('Ações'!AU144="sim", 'Ações'!BE144="sim"), 1, 0)
</f>
        <v>0</v>
      </c>
      <c r="T143" s="319">
        <f>IF(AND('Ações'!AU144="sim", 'Ações'!BG144="sim"), 1, 0)
</f>
        <v>0</v>
      </c>
      <c r="U143" s="319">
        <f>IF(AND('Ações'!AU144="sim", 'Ações'!BH144="sim"), 1, 0)
</f>
        <v>0</v>
      </c>
      <c r="V143" s="319">
        <f>IF(AND('Ações'!AU144="sim", 'Ações'!BI144="sim"), 1, 0)
</f>
        <v>1</v>
      </c>
      <c r="W143" s="319">
        <f>IF(AND('Ações'!AV144="sim", 'Ações'!BD144="sim"), 1, 0)
</f>
        <v>0</v>
      </c>
      <c r="X143" s="319">
        <f>IF(AND('Ações'!AV144="sim", 'Ações'!BE144="sim"), 1, 0)
</f>
        <v>0</v>
      </c>
      <c r="Y143" s="319">
        <f>IF(AND('Ações'!AV144="sim", 'Ações'!BF144="sim"), 1, 0)
</f>
        <v>0</v>
      </c>
      <c r="Z143" s="319">
        <f>IF(AND('Ações'!AV144="sim", 'Ações'!BH144="sim"), 1, 0)
</f>
        <v>0</v>
      </c>
      <c r="AA143" s="319">
        <f>IF(AND('Ações'!AV144="sim", 'Ações'!BI144="sim"), 1, 0)
</f>
        <v>1</v>
      </c>
      <c r="AB143" s="319">
        <f>IF(AND('Ações'!AW144="sim", 'Ações'!BD144="sim"), 1, 0)
</f>
        <v>0</v>
      </c>
      <c r="AC143" s="319">
        <f>IF(AND('Ações'!AW144="sim", 'Ações'!BE144="sim"), 1, 0)
</f>
        <v>0</v>
      </c>
      <c r="AD143" s="319">
        <f>IF(AND('Ações'!AW144="sim", 'Ações'!BF144="sim"), 1, 0)
</f>
        <v>0</v>
      </c>
      <c r="AE143" s="319">
        <f>IF(AND('Ações'!AW144="sim", 'Ações'!BG144="sim"), 1, 0)
</f>
        <v>0</v>
      </c>
      <c r="AF143" s="319">
        <f>IF(AND('Ações'!AW144="sim", 'Ações'!BI144="sim"), 1, 0)
</f>
        <v>1</v>
      </c>
      <c r="AG143" s="319">
        <f>IF(AND('Ações'!AX144="sim", 'Ações'!BD144="sim"), 1, 0)
</f>
        <v>0</v>
      </c>
      <c r="AH143" s="319">
        <f>IF(AND('Ações'!AX144="sim", 'Ações'!BE144="sim"), 1, 0)
</f>
        <v>0</v>
      </c>
      <c r="AI143" s="319">
        <f>IF(AND('Ações'!AX144="sim", 'Ações'!BF144="sim"), 1, 0)
</f>
        <v>0</v>
      </c>
      <c r="AJ143" s="319">
        <f>IF(AND('Ações'!AX144="sim", 'Ações'!BG144="sim"), 1, 0)
</f>
        <v>0</v>
      </c>
      <c r="AK143" s="319">
        <f>IF(AND('Ações'!AX144="sim", 'Ações'!BH144="sim"), 1, 0)
</f>
        <v>0</v>
      </c>
    </row>
    <row r="144">
      <c r="B144" s="319">
        <f>IF(AND('Ações'!AS145="sim", 'Ações'!BD145="sim"), 1, 0)
</f>
        <v>0</v>
      </c>
      <c r="C144" s="319">
        <f>IF(AND('Ações'!AT145="sim", 'Ações'!BE145="sim"), 1, 0)
</f>
        <v>0</v>
      </c>
      <c r="D144" s="319">
        <f>IF(AND('Ações'!AU145="sim", 'Ações'!BF145="sim"), 1, 0)
</f>
        <v>0</v>
      </c>
      <c r="E144" s="319">
        <f>IF(AND('Ações'!AV145="sim", 'Ações'!BG145="sim"), 1, 0)
</f>
        <v>0</v>
      </c>
      <c r="F144" s="319">
        <f>IF(AND('Ações'!AW145="sim", 'Ações'!BH145="sim"), 1, 0)
</f>
        <v>0</v>
      </c>
      <c r="G144" s="319">
        <f>IF(AND('Ações'!AX145="sim", 'Ações'!BI145="sim"), 1, 0)
</f>
        <v>0</v>
      </c>
      <c r="H144" s="319">
        <f>IF(AND('Ações'!AS145="sim", 'Ações'!BE145="sim"), 1, 0)
</f>
        <v>0</v>
      </c>
      <c r="I144" s="319">
        <f>IF(AND('Ações'!AS145="sim", 'Ações'!BF145="sim"), 1, 0)
</f>
        <v>0</v>
      </c>
      <c r="J144" s="319">
        <f>IF(AND('Ações'!AS145="sim", 'Ações'!BG145="sim"), 1, 0)
</f>
        <v>0</v>
      </c>
      <c r="K144" s="319">
        <f>IF(AND('Ações'!AS145="sim", 'Ações'!BH145="sim"), 1, 0)
</f>
        <v>0</v>
      </c>
      <c r="L144" s="319">
        <f>IF(AND('Ações'!AS145="sim", 'Ações'!BI145="sim"), 1, 0)
</f>
        <v>1</v>
      </c>
      <c r="M144" s="319">
        <f>IF(AND('Ações'!AT145="sim", 'Ações'!BD145="sim"), 1, 0)
</f>
        <v>0</v>
      </c>
      <c r="N144" s="319">
        <f>IF(AND('Ações'!AT145="sim", 'Ações'!BF145="sim"), 1, 0)
</f>
        <v>0</v>
      </c>
      <c r="O144" s="319">
        <f>IF(AND('Ações'!AT145="sim", 'Ações'!BG145="sim"), 1, 0)
</f>
        <v>0</v>
      </c>
      <c r="P144" s="319">
        <f>IF(AND('Ações'!AT145="sim", 'Ações'!BH145="sim"), 1, 0)
</f>
        <v>0</v>
      </c>
      <c r="Q144" s="319">
        <f>IF(AND('Ações'!AT145="sim", 'Ações'!BI145="sim"), 1, 0)
</f>
        <v>1</v>
      </c>
      <c r="R144" s="319">
        <f>IF(AND('Ações'!AU145="sim", 'Ações'!BD145="sim"), 1, 0)
</f>
        <v>0</v>
      </c>
      <c r="S144" s="319">
        <f>IF(AND('Ações'!AU145="sim", 'Ações'!BE145="sim"), 1, 0)
</f>
        <v>0</v>
      </c>
      <c r="T144" s="319">
        <f>IF(AND('Ações'!AU145="sim", 'Ações'!BG145="sim"), 1, 0)
</f>
        <v>0</v>
      </c>
      <c r="U144" s="319">
        <f>IF(AND('Ações'!AU145="sim", 'Ações'!BH145="sim"), 1, 0)
</f>
        <v>0</v>
      </c>
      <c r="V144" s="319">
        <f>IF(AND('Ações'!AU145="sim", 'Ações'!BI145="sim"), 1, 0)
</f>
        <v>1</v>
      </c>
      <c r="W144" s="319">
        <f>IF(AND('Ações'!AV145="sim", 'Ações'!BD145="sim"), 1, 0)
</f>
        <v>0</v>
      </c>
      <c r="X144" s="319">
        <f>IF(AND('Ações'!AV145="sim", 'Ações'!BE145="sim"), 1, 0)
</f>
        <v>0</v>
      </c>
      <c r="Y144" s="319">
        <f>IF(AND('Ações'!AV145="sim", 'Ações'!BF145="sim"), 1, 0)
</f>
        <v>0</v>
      </c>
      <c r="Z144" s="319">
        <f>IF(AND('Ações'!AV145="sim", 'Ações'!BH145="sim"), 1, 0)
</f>
        <v>0</v>
      </c>
      <c r="AA144" s="319">
        <f>IF(AND('Ações'!AV145="sim", 'Ações'!BI145="sim"), 1, 0)
</f>
        <v>1</v>
      </c>
      <c r="AB144" s="319">
        <f>IF(AND('Ações'!AW145="sim", 'Ações'!BD145="sim"), 1, 0)
</f>
        <v>0</v>
      </c>
      <c r="AC144" s="319">
        <f>IF(AND('Ações'!AW145="sim", 'Ações'!BE145="sim"), 1, 0)
</f>
        <v>0</v>
      </c>
      <c r="AD144" s="319">
        <f>IF(AND('Ações'!AW145="sim", 'Ações'!BF145="sim"), 1, 0)
</f>
        <v>0</v>
      </c>
      <c r="AE144" s="319">
        <f>IF(AND('Ações'!AW145="sim", 'Ações'!BG145="sim"), 1, 0)
</f>
        <v>0</v>
      </c>
      <c r="AF144" s="319">
        <f>IF(AND('Ações'!AW145="sim", 'Ações'!BI145="sim"), 1, 0)
</f>
        <v>1</v>
      </c>
      <c r="AG144" s="319">
        <f>IF(AND('Ações'!AX145="sim", 'Ações'!BD145="sim"), 1, 0)
</f>
        <v>0</v>
      </c>
      <c r="AH144" s="319">
        <f>IF(AND('Ações'!AX145="sim", 'Ações'!BE145="sim"), 1, 0)
</f>
        <v>0</v>
      </c>
      <c r="AI144" s="319">
        <f>IF(AND('Ações'!AX145="sim", 'Ações'!BF145="sim"), 1, 0)
</f>
        <v>0</v>
      </c>
      <c r="AJ144" s="319">
        <f>IF(AND('Ações'!AX145="sim", 'Ações'!BG145="sim"), 1, 0)
</f>
        <v>0</v>
      </c>
      <c r="AK144" s="319">
        <f>IF(AND('Ações'!AX145="sim", 'Ações'!BH145="sim"), 1, 0)
</f>
        <v>0</v>
      </c>
    </row>
    <row r="145">
      <c r="B145" s="319">
        <f>IF(AND('Ações'!AS146="sim", 'Ações'!BD146="sim"), 1, 0)
</f>
        <v>0</v>
      </c>
      <c r="C145" s="319">
        <f>IF(AND('Ações'!AT146="sim", 'Ações'!BE146="sim"), 1, 0)
</f>
        <v>0</v>
      </c>
      <c r="D145" s="319">
        <f>IF(AND('Ações'!AU146="sim", 'Ações'!BF146="sim"), 1, 0)
</f>
        <v>0</v>
      </c>
      <c r="E145" s="319">
        <f>IF(AND('Ações'!AV146="sim", 'Ações'!BG146="sim"), 1, 0)
</f>
        <v>0</v>
      </c>
      <c r="F145" s="319">
        <f>IF(AND('Ações'!AW146="sim", 'Ações'!BH146="sim"), 1, 0)
</f>
        <v>0</v>
      </c>
      <c r="G145" s="319">
        <f>IF(AND('Ações'!AX146="sim", 'Ações'!BI146="sim"), 1, 0)
</f>
        <v>0</v>
      </c>
      <c r="H145" s="319">
        <f>IF(AND('Ações'!AS146="sim", 'Ações'!BE146="sim"), 1, 0)
</f>
        <v>0</v>
      </c>
      <c r="I145" s="319">
        <f>IF(AND('Ações'!AS146="sim", 'Ações'!BF146="sim"), 1, 0)
</f>
        <v>0</v>
      </c>
      <c r="J145" s="319">
        <f>IF(AND('Ações'!AS146="sim", 'Ações'!BG146="sim"), 1, 0)
</f>
        <v>0</v>
      </c>
      <c r="K145" s="319">
        <f>IF(AND('Ações'!AS146="sim", 'Ações'!BH146="sim"), 1, 0)
</f>
        <v>0</v>
      </c>
      <c r="L145" s="319">
        <f>IF(AND('Ações'!AS146="sim", 'Ações'!BI146="sim"), 1, 0)
</f>
        <v>1</v>
      </c>
      <c r="M145" s="319">
        <f>IF(AND('Ações'!AT146="sim", 'Ações'!BD146="sim"), 1, 0)
</f>
        <v>0</v>
      </c>
      <c r="N145" s="319">
        <f>IF(AND('Ações'!AT146="sim", 'Ações'!BF146="sim"), 1, 0)
</f>
        <v>0</v>
      </c>
      <c r="O145" s="319">
        <f>IF(AND('Ações'!AT146="sim", 'Ações'!BG146="sim"), 1, 0)
</f>
        <v>0</v>
      </c>
      <c r="P145" s="319">
        <f>IF(AND('Ações'!AT146="sim", 'Ações'!BH146="sim"), 1, 0)
</f>
        <v>0</v>
      </c>
      <c r="Q145" s="319">
        <f>IF(AND('Ações'!AT146="sim", 'Ações'!BI146="sim"), 1, 0)
</f>
        <v>1</v>
      </c>
      <c r="R145" s="319">
        <f>IF(AND('Ações'!AU146="sim", 'Ações'!BD146="sim"), 1, 0)
</f>
        <v>0</v>
      </c>
      <c r="S145" s="319">
        <f>IF(AND('Ações'!AU146="sim", 'Ações'!BE146="sim"), 1, 0)
</f>
        <v>0</v>
      </c>
      <c r="T145" s="319">
        <f>IF(AND('Ações'!AU146="sim", 'Ações'!BG146="sim"), 1, 0)
</f>
        <v>0</v>
      </c>
      <c r="U145" s="319">
        <f>IF(AND('Ações'!AU146="sim", 'Ações'!BH146="sim"), 1, 0)
</f>
        <v>0</v>
      </c>
      <c r="V145" s="319">
        <f>IF(AND('Ações'!AU146="sim", 'Ações'!BI146="sim"), 1, 0)
</f>
        <v>1</v>
      </c>
      <c r="W145" s="319">
        <f>IF(AND('Ações'!AV146="sim", 'Ações'!BD146="sim"), 1, 0)
</f>
        <v>0</v>
      </c>
      <c r="X145" s="319">
        <f>IF(AND('Ações'!AV146="sim", 'Ações'!BE146="sim"), 1, 0)
</f>
        <v>0</v>
      </c>
      <c r="Y145" s="319">
        <f>IF(AND('Ações'!AV146="sim", 'Ações'!BF146="sim"), 1, 0)
</f>
        <v>0</v>
      </c>
      <c r="Z145" s="319">
        <f>IF(AND('Ações'!AV146="sim", 'Ações'!BH146="sim"), 1, 0)
</f>
        <v>0</v>
      </c>
      <c r="AA145" s="319">
        <f>IF(AND('Ações'!AV146="sim", 'Ações'!BI146="sim"), 1, 0)
</f>
        <v>1</v>
      </c>
      <c r="AB145" s="319">
        <f>IF(AND('Ações'!AW146="sim", 'Ações'!BD146="sim"), 1, 0)
</f>
        <v>0</v>
      </c>
      <c r="AC145" s="319">
        <f>IF(AND('Ações'!AW146="sim", 'Ações'!BE146="sim"), 1, 0)
</f>
        <v>0</v>
      </c>
      <c r="AD145" s="319">
        <f>IF(AND('Ações'!AW146="sim", 'Ações'!BF146="sim"), 1, 0)
</f>
        <v>0</v>
      </c>
      <c r="AE145" s="319">
        <f>IF(AND('Ações'!AW146="sim", 'Ações'!BG146="sim"), 1, 0)
</f>
        <v>0</v>
      </c>
      <c r="AF145" s="319">
        <f>IF(AND('Ações'!AW146="sim", 'Ações'!BI146="sim"), 1, 0)
</f>
        <v>1</v>
      </c>
      <c r="AG145" s="319">
        <f>IF(AND('Ações'!AX146="sim", 'Ações'!BD146="sim"), 1, 0)
</f>
        <v>0</v>
      </c>
      <c r="AH145" s="319">
        <f>IF(AND('Ações'!AX146="sim", 'Ações'!BE146="sim"), 1, 0)
</f>
        <v>0</v>
      </c>
      <c r="AI145" s="319">
        <f>IF(AND('Ações'!AX146="sim", 'Ações'!BF146="sim"), 1, 0)
</f>
        <v>0</v>
      </c>
      <c r="AJ145" s="319">
        <f>IF(AND('Ações'!AX146="sim", 'Ações'!BG146="sim"), 1, 0)
</f>
        <v>0</v>
      </c>
      <c r="AK145" s="319">
        <f>IF(AND('Ações'!AX146="sim", 'Ações'!BH146="sim"), 1, 0)
</f>
        <v>0</v>
      </c>
    </row>
    <row r="146">
      <c r="B146" s="319">
        <f>IF(AND('Ações'!AS147="sim", 'Ações'!BD147="sim"), 1, 0)
</f>
        <v>0</v>
      </c>
      <c r="C146" s="319">
        <f>IF(AND('Ações'!AT147="sim", 'Ações'!BE147="sim"), 1, 0)
</f>
        <v>0</v>
      </c>
      <c r="D146" s="319">
        <f>IF(AND('Ações'!AU147="sim", 'Ações'!BF147="sim"), 1, 0)
</f>
        <v>0</v>
      </c>
      <c r="E146" s="319">
        <f>IF(AND('Ações'!AV147="sim", 'Ações'!BG147="sim"), 1, 0)
</f>
        <v>0</v>
      </c>
      <c r="F146" s="319">
        <f>IF(AND('Ações'!AW147="sim", 'Ações'!BH147="sim"), 1, 0)
</f>
        <v>0</v>
      </c>
      <c r="G146" s="319">
        <f>IF(AND('Ações'!AX147="sim", 'Ações'!BI147="sim"), 1, 0)
</f>
        <v>0</v>
      </c>
      <c r="H146" s="319">
        <f>IF(AND('Ações'!AS147="sim", 'Ações'!BE147="sim"), 1, 0)
</f>
        <v>0</v>
      </c>
      <c r="I146" s="319">
        <f>IF(AND('Ações'!AS147="sim", 'Ações'!BF147="sim"), 1, 0)
</f>
        <v>0</v>
      </c>
      <c r="J146" s="319">
        <f>IF(AND('Ações'!AS147="sim", 'Ações'!BG147="sim"), 1, 0)
</f>
        <v>0</v>
      </c>
      <c r="K146" s="319">
        <f>IF(AND('Ações'!AS147="sim", 'Ações'!BH147="sim"), 1, 0)
</f>
        <v>0</v>
      </c>
      <c r="L146" s="319">
        <f>IF(AND('Ações'!AS147="sim", 'Ações'!BI147="sim"), 1, 0)
</f>
        <v>1</v>
      </c>
      <c r="M146" s="319">
        <f>IF(AND('Ações'!AT147="sim", 'Ações'!BD147="sim"), 1, 0)
</f>
        <v>0</v>
      </c>
      <c r="N146" s="319">
        <f>IF(AND('Ações'!AT147="sim", 'Ações'!BF147="sim"), 1, 0)
</f>
        <v>0</v>
      </c>
      <c r="O146" s="319">
        <f>IF(AND('Ações'!AT147="sim", 'Ações'!BG147="sim"), 1, 0)
</f>
        <v>0</v>
      </c>
      <c r="P146" s="319">
        <f>IF(AND('Ações'!AT147="sim", 'Ações'!BH147="sim"), 1, 0)
</f>
        <v>0</v>
      </c>
      <c r="Q146" s="319">
        <f>IF(AND('Ações'!AT147="sim", 'Ações'!BI147="sim"), 1, 0)
</f>
        <v>1</v>
      </c>
      <c r="R146" s="319">
        <f>IF(AND('Ações'!AU147="sim", 'Ações'!BD147="sim"), 1, 0)
</f>
        <v>0</v>
      </c>
      <c r="S146" s="319">
        <f>IF(AND('Ações'!AU147="sim", 'Ações'!BE147="sim"), 1, 0)
</f>
        <v>0</v>
      </c>
      <c r="T146" s="319">
        <f>IF(AND('Ações'!AU147="sim", 'Ações'!BG147="sim"), 1, 0)
</f>
        <v>0</v>
      </c>
      <c r="U146" s="319">
        <f>IF(AND('Ações'!AU147="sim", 'Ações'!BH147="sim"), 1, 0)
</f>
        <v>0</v>
      </c>
      <c r="V146" s="319">
        <f>IF(AND('Ações'!AU147="sim", 'Ações'!BI147="sim"), 1, 0)
</f>
        <v>1</v>
      </c>
      <c r="W146" s="319">
        <f>IF(AND('Ações'!AV147="sim", 'Ações'!BD147="sim"), 1, 0)
</f>
        <v>0</v>
      </c>
      <c r="X146" s="319">
        <f>IF(AND('Ações'!AV147="sim", 'Ações'!BE147="sim"), 1, 0)
</f>
        <v>0</v>
      </c>
      <c r="Y146" s="319">
        <f>IF(AND('Ações'!AV147="sim", 'Ações'!BF147="sim"), 1, 0)
</f>
        <v>0</v>
      </c>
      <c r="Z146" s="319">
        <f>IF(AND('Ações'!AV147="sim", 'Ações'!BH147="sim"), 1, 0)
</f>
        <v>0</v>
      </c>
      <c r="AA146" s="319">
        <f>IF(AND('Ações'!AV147="sim", 'Ações'!BI147="sim"), 1, 0)
</f>
        <v>1</v>
      </c>
      <c r="AB146" s="319">
        <f>IF(AND('Ações'!AW147="sim", 'Ações'!BD147="sim"), 1, 0)
</f>
        <v>0</v>
      </c>
      <c r="AC146" s="319">
        <f>IF(AND('Ações'!AW147="sim", 'Ações'!BE147="sim"), 1, 0)
</f>
        <v>0</v>
      </c>
      <c r="AD146" s="319">
        <f>IF(AND('Ações'!AW147="sim", 'Ações'!BF147="sim"), 1, 0)
</f>
        <v>0</v>
      </c>
      <c r="AE146" s="319">
        <f>IF(AND('Ações'!AW147="sim", 'Ações'!BG147="sim"), 1, 0)
</f>
        <v>0</v>
      </c>
      <c r="AF146" s="319">
        <f>IF(AND('Ações'!AW147="sim", 'Ações'!BI147="sim"), 1, 0)
</f>
        <v>1</v>
      </c>
      <c r="AG146" s="319">
        <f>IF(AND('Ações'!AX147="sim", 'Ações'!BD147="sim"), 1, 0)
</f>
        <v>0</v>
      </c>
      <c r="AH146" s="319">
        <f>IF(AND('Ações'!AX147="sim", 'Ações'!BE147="sim"), 1, 0)
</f>
        <v>0</v>
      </c>
      <c r="AI146" s="319">
        <f>IF(AND('Ações'!AX147="sim", 'Ações'!BF147="sim"), 1, 0)
</f>
        <v>0</v>
      </c>
      <c r="AJ146" s="319">
        <f>IF(AND('Ações'!AX147="sim", 'Ações'!BG147="sim"), 1, 0)
</f>
        <v>0</v>
      </c>
      <c r="AK146" s="319">
        <f>IF(AND('Ações'!AX147="sim", 'Ações'!BH147="sim"), 1, 0)
</f>
        <v>0</v>
      </c>
    </row>
    <row r="147">
      <c r="B147" s="319">
        <f>IF(AND('Ações'!AS148="sim", 'Ações'!BD148="sim"), 1, 0)
</f>
        <v>1</v>
      </c>
      <c r="C147" s="319">
        <f>IF(AND('Ações'!AT148="sim", 'Ações'!BE148="sim"), 1, 0)
</f>
        <v>0</v>
      </c>
      <c r="D147" s="319">
        <f>IF(AND('Ações'!AU148="sim", 'Ações'!BF148="sim"), 1, 0)
</f>
        <v>0</v>
      </c>
      <c r="E147" s="319">
        <f>IF(AND('Ações'!AV148="sim", 'Ações'!BG148="sim"), 1, 0)
</f>
        <v>0</v>
      </c>
      <c r="F147" s="319">
        <f>IF(AND('Ações'!AW148="sim", 'Ações'!BH148="sim"), 1, 0)
</f>
        <v>0</v>
      </c>
      <c r="G147" s="319">
        <f>IF(AND('Ações'!AX148="sim", 'Ações'!BI148="sim"), 1, 0)
</f>
        <v>0</v>
      </c>
      <c r="H147" s="319">
        <f>IF(AND('Ações'!AS148="sim", 'Ações'!BE148="sim"), 1, 0)
</f>
        <v>0</v>
      </c>
      <c r="I147" s="319">
        <f>IF(AND('Ações'!AS148="sim", 'Ações'!BF148="sim"), 1, 0)
</f>
        <v>0</v>
      </c>
      <c r="J147" s="319">
        <f>IF(AND('Ações'!AS148="sim", 'Ações'!BG148="sim"), 1, 0)
</f>
        <v>0</v>
      </c>
      <c r="K147" s="319">
        <f>IF(AND('Ações'!AS148="sim", 'Ações'!BH148="sim"), 1, 0)
</f>
        <v>0</v>
      </c>
      <c r="L147" s="319">
        <f>IF(AND('Ações'!AS148="sim", 'Ações'!BI148="sim"), 1, 0)
</f>
        <v>1</v>
      </c>
      <c r="M147" s="319">
        <f>IF(AND('Ações'!AT148="sim", 'Ações'!BD148="sim"), 1, 0)
</f>
        <v>1</v>
      </c>
      <c r="N147" s="319">
        <f>IF(AND('Ações'!AT148="sim", 'Ações'!BF148="sim"), 1, 0)
</f>
        <v>0</v>
      </c>
      <c r="O147" s="319">
        <f>IF(AND('Ações'!AT148="sim", 'Ações'!BG148="sim"), 1, 0)
</f>
        <v>0</v>
      </c>
      <c r="P147" s="319">
        <f>IF(AND('Ações'!AT148="sim", 'Ações'!BH148="sim"), 1, 0)
</f>
        <v>0</v>
      </c>
      <c r="Q147" s="319">
        <f>IF(AND('Ações'!AT148="sim", 'Ações'!BI148="sim"), 1, 0)
</f>
        <v>1</v>
      </c>
      <c r="R147" s="319">
        <f>IF(AND('Ações'!AU148="sim", 'Ações'!BD148="sim"), 1, 0)
</f>
        <v>1</v>
      </c>
      <c r="S147" s="319">
        <f>IF(AND('Ações'!AU148="sim", 'Ações'!BE148="sim"), 1, 0)
</f>
        <v>0</v>
      </c>
      <c r="T147" s="319">
        <f>IF(AND('Ações'!AU148="sim", 'Ações'!BG148="sim"), 1, 0)
</f>
        <v>0</v>
      </c>
      <c r="U147" s="319">
        <f>IF(AND('Ações'!AU148="sim", 'Ações'!BH148="sim"), 1, 0)
</f>
        <v>0</v>
      </c>
      <c r="V147" s="319">
        <f>IF(AND('Ações'!AU148="sim", 'Ações'!BI148="sim"), 1, 0)
</f>
        <v>1</v>
      </c>
      <c r="W147" s="319">
        <f>IF(AND('Ações'!AV148="sim", 'Ações'!BD148="sim"), 1, 0)
</f>
        <v>1</v>
      </c>
      <c r="X147" s="319">
        <f>IF(AND('Ações'!AV148="sim", 'Ações'!BE148="sim"), 1, 0)
</f>
        <v>0</v>
      </c>
      <c r="Y147" s="319">
        <f>IF(AND('Ações'!AV148="sim", 'Ações'!BF148="sim"), 1, 0)
</f>
        <v>0</v>
      </c>
      <c r="Z147" s="319">
        <f>IF(AND('Ações'!AV148="sim", 'Ações'!BH148="sim"), 1, 0)
</f>
        <v>0</v>
      </c>
      <c r="AA147" s="319">
        <f>IF(AND('Ações'!AV148="sim", 'Ações'!BI148="sim"), 1, 0)
</f>
        <v>1</v>
      </c>
      <c r="AB147" s="319">
        <f>IF(AND('Ações'!AW148="sim", 'Ações'!BD148="sim"), 1, 0)
</f>
        <v>1</v>
      </c>
      <c r="AC147" s="319">
        <f>IF(AND('Ações'!AW148="sim", 'Ações'!BE148="sim"), 1, 0)
</f>
        <v>0</v>
      </c>
      <c r="AD147" s="319">
        <f>IF(AND('Ações'!AW148="sim", 'Ações'!BF148="sim"), 1, 0)
</f>
        <v>0</v>
      </c>
      <c r="AE147" s="319">
        <f>IF(AND('Ações'!AW148="sim", 'Ações'!BG148="sim"), 1, 0)
</f>
        <v>0</v>
      </c>
      <c r="AF147" s="319">
        <f>IF(AND('Ações'!AW148="sim", 'Ações'!BI148="sim"), 1, 0)
</f>
        <v>1</v>
      </c>
      <c r="AG147" s="319">
        <f>IF(AND('Ações'!AX148="sim", 'Ações'!BD148="sim"), 1, 0)
</f>
        <v>0</v>
      </c>
      <c r="AH147" s="319">
        <f>IF(AND('Ações'!AX148="sim", 'Ações'!BE148="sim"), 1, 0)
</f>
        <v>0</v>
      </c>
      <c r="AI147" s="319">
        <f>IF(AND('Ações'!AX148="sim", 'Ações'!BF148="sim"), 1, 0)
</f>
        <v>0</v>
      </c>
      <c r="AJ147" s="319">
        <f>IF(AND('Ações'!AX148="sim", 'Ações'!BG148="sim"), 1, 0)
</f>
        <v>0</v>
      </c>
      <c r="AK147" s="319">
        <f>IF(AND('Ações'!AX148="sim", 'Ações'!BH148="sim"), 1, 0)
</f>
        <v>0</v>
      </c>
    </row>
    <row r="148">
      <c r="B148" s="319">
        <f>IF(AND('Ações'!AS149="sim", 'Ações'!BD149="sim"), 1, 0)
</f>
        <v>0</v>
      </c>
      <c r="C148" s="319">
        <f>IF(AND('Ações'!AT149="sim", 'Ações'!BE149="sim"), 1, 0)
</f>
        <v>0</v>
      </c>
      <c r="D148" s="319">
        <f>IF(AND('Ações'!AU149="sim", 'Ações'!BF149="sim"), 1, 0)
</f>
        <v>0</v>
      </c>
      <c r="E148" s="319">
        <f>IF(AND('Ações'!AV149="sim", 'Ações'!BG149="sim"), 1, 0)
</f>
        <v>0</v>
      </c>
      <c r="F148" s="319">
        <f>IF(AND('Ações'!AW149="sim", 'Ações'!BH149="sim"), 1, 0)
</f>
        <v>0</v>
      </c>
      <c r="G148" s="319">
        <f>IF(AND('Ações'!AX149="sim", 'Ações'!BI149="sim"), 1, 0)
</f>
        <v>0</v>
      </c>
      <c r="H148" s="319">
        <f>IF(AND('Ações'!AS149="sim", 'Ações'!BE149="sim"), 1, 0)
</f>
        <v>0</v>
      </c>
      <c r="I148" s="319">
        <f>IF(AND('Ações'!AS149="sim", 'Ações'!BF149="sim"), 1, 0)
</f>
        <v>0</v>
      </c>
      <c r="J148" s="319">
        <f>IF(AND('Ações'!AS149="sim", 'Ações'!BG149="sim"), 1, 0)
</f>
        <v>0</v>
      </c>
      <c r="K148" s="319">
        <f>IF(AND('Ações'!AS149="sim", 'Ações'!BH149="sim"), 1, 0)
</f>
        <v>0</v>
      </c>
      <c r="L148" s="319">
        <f>IF(AND('Ações'!AS149="sim", 'Ações'!BI149="sim"), 1, 0)
</f>
        <v>1</v>
      </c>
      <c r="M148" s="319">
        <f>IF(AND('Ações'!AT149="sim", 'Ações'!BD149="sim"), 1, 0)
</f>
        <v>0</v>
      </c>
      <c r="N148" s="319">
        <f>IF(AND('Ações'!AT149="sim", 'Ações'!BF149="sim"), 1, 0)
</f>
        <v>0</v>
      </c>
      <c r="O148" s="319">
        <f>IF(AND('Ações'!AT149="sim", 'Ações'!BG149="sim"), 1, 0)
</f>
        <v>0</v>
      </c>
      <c r="P148" s="319">
        <f>IF(AND('Ações'!AT149="sim", 'Ações'!BH149="sim"), 1, 0)
</f>
        <v>0</v>
      </c>
      <c r="Q148" s="319">
        <f>IF(AND('Ações'!AT149="sim", 'Ações'!BI149="sim"), 1, 0)
</f>
        <v>1</v>
      </c>
      <c r="R148" s="319">
        <f>IF(AND('Ações'!AU149="sim", 'Ações'!BD149="sim"), 1, 0)
</f>
        <v>0</v>
      </c>
      <c r="S148" s="319">
        <f>IF(AND('Ações'!AU149="sim", 'Ações'!BE149="sim"), 1, 0)
</f>
        <v>0</v>
      </c>
      <c r="T148" s="319">
        <f>IF(AND('Ações'!AU149="sim", 'Ações'!BG149="sim"), 1, 0)
</f>
        <v>0</v>
      </c>
      <c r="U148" s="319">
        <f>IF(AND('Ações'!AU149="sim", 'Ações'!BH149="sim"), 1, 0)
</f>
        <v>0</v>
      </c>
      <c r="V148" s="319">
        <f>IF(AND('Ações'!AU149="sim", 'Ações'!BI149="sim"), 1, 0)
</f>
        <v>1</v>
      </c>
      <c r="W148" s="319">
        <f>IF(AND('Ações'!AV149="sim", 'Ações'!BD149="sim"), 1, 0)
</f>
        <v>0</v>
      </c>
      <c r="X148" s="319">
        <f>IF(AND('Ações'!AV149="sim", 'Ações'!BE149="sim"), 1, 0)
</f>
        <v>0</v>
      </c>
      <c r="Y148" s="319">
        <f>IF(AND('Ações'!AV149="sim", 'Ações'!BF149="sim"), 1, 0)
</f>
        <v>0</v>
      </c>
      <c r="Z148" s="319">
        <f>IF(AND('Ações'!AV149="sim", 'Ações'!BH149="sim"), 1, 0)
</f>
        <v>0</v>
      </c>
      <c r="AA148" s="319">
        <f>IF(AND('Ações'!AV149="sim", 'Ações'!BI149="sim"), 1, 0)
</f>
        <v>1</v>
      </c>
      <c r="AB148" s="319">
        <f>IF(AND('Ações'!AW149="sim", 'Ações'!BD149="sim"), 1, 0)
</f>
        <v>0</v>
      </c>
      <c r="AC148" s="319">
        <f>IF(AND('Ações'!AW149="sim", 'Ações'!BE149="sim"), 1, 0)
</f>
        <v>0</v>
      </c>
      <c r="AD148" s="319">
        <f>IF(AND('Ações'!AW149="sim", 'Ações'!BF149="sim"), 1, 0)
</f>
        <v>0</v>
      </c>
      <c r="AE148" s="319">
        <f>IF(AND('Ações'!AW149="sim", 'Ações'!BG149="sim"), 1, 0)
</f>
        <v>0</v>
      </c>
      <c r="AF148" s="319">
        <f>IF(AND('Ações'!AW149="sim", 'Ações'!BI149="sim"), 1, 0)
</f>
        <v>1</v>
      </c>
      <c r="AG148" s="319">
        <f>IF(AND('Ações'!AX149="sim", 'Ações'!BD149="sim"), 1, 0)
</f>
        <v>0</v>
      </c>
      <c r="AH148" s="319">
        <f>IF(AND('Ações'!AX149="sim", 'Ações'!BE149="sim"), 1, 0)
</f>
        <v>0</v>
      </c>
      <c r="AI148" s="319">
        <f>IF(AND('Ações'!AX149="sim", 'Ações'!BF149="sim"), 1, 0)
</f>
        <v>0</v>
      </c>
      <c r="AJ148" s="319">
        <f>IF(AND('Ações'!AX149="sim", 'Ações'!BG149="sim"), 1, 0)
</f>
        <v>0</v>
      </c>
      <c r="AK148" s="319">
        <f>IF(AND('Ações'!AX149="sim", 'Ações'!BH149="sim"), 1, 0)
</f>
        <v>0</v>
      </c>
    </row>
    <row r="149">
      <c r="B149" s="319">
        <f>IF(AND('Ações'!AS150="sim", 'Ações'!BD150="sim"), 1, 0)
</f>
        <v>1</v>
      </c>
      <c r="C149" s="319">
        <f>IF(AND('Ações'!AT150="sim", 'Ações'!BE150="sim"), 1, 0)
</f>
        <v>0</v>
      </c>
      <c r="D149" s="319">
        <f>IF(AND('Ações'!AU150="sim", 'Ações'!BF150="sim"), 1, 0)
</f>
        <v>0</v>
      </c>
      <c r="E149" s="319">
        <f>IF(AND('Ações'!AV150="sim", 'Ações'!BG150="sim"), 1, 0)
</f>
        <v>0</v>
      </c>
      <c r="F149" s="319">
        <f>IF(AND('Ações'!AW150="sim", 'Ações'!BH150="sim"), 1, 0)
</f>
        <v>0</v>
      </c>
      <c r="G149" s="319">
        <f>IF(AND('Ações'!AX150="sim", 'Ações'!BI150="sim"), 1, 0)
</f>
        <v>0</v>
      </c>
      <c r="H149" s="319">
        <f>IF(AND('Ações'!AS150="sim", 'Ações'!BE150="sim"), 1, 0)
</f>
        <v>0</v>
      </c>
      <c r="I149" s="319">
        <f>IF(AND('Ações'!AS150="sim", 'Ações'!BF150="sim"), 1, 0)
</f>
        <v>0</v>
      </c>
      <c r="J149" s="319">
        <f>IF(AND('Ações'!AS150="sim", 'Ações'!BG150="sim"), 1, 0)
</f>
        <v>0</v>
      </c>
      <c r="K149" s="319">
        <f>IF(AND('Ações'!AS150="sim", 'Ações'!BH150="sim"), 1, 0)
</f>
        <v>0</v>
      </c>
      <c r="L149" s="319">
        <f>IF(AND('Ações'!AS150="sim", 'Ações'!BI150="sim"), 1, 0)
</f>
        <v>0</v>
      </c>
      <c r="M149" s="319">
        <f>IF(AND('Ações'!AT150="sim", 'Ações'!BD150="sim"), 1, 0)
</f>
        <v>1</v>
      </c>
      <c r="N149" s="319">
        <f>IF(AND('Ações'!AT150="sim", 'Ações'!BF150="sim"), 1, 0)
</f>
        <v>0</v>
      </c>
      <c r="O149" s="319">
        <f>IF(AND('Ações'!AT150="sim", 'Ações'!BG150="sim"), 1, 0)
</f>
        <v>0</v>
      </c>
      <c r="P149" s="319">
        <f>IF(AND('Ações'!AT150="sim", 'Ações'!BH150="sim"), 1, 0)
</f>
        <v>0</v>
      </c>
      <c r="Q149" s="319">
        <f>IF(AND('Ações'!AT150="sim", 'Ações'!BI150="sim"), 1, 0)
</f>
        <v>0</v>
      </c>
      <c r="R149" s="319">
        <f>IF(AND('Ações'!AU150="sim", 'Ações'!BD150="sim"), 1, 0)
</f>
        <v>1</v>
      </c>
      <c r="S149" s="319">
        <f>IF(AND('Ações'!AU150="sim", 'Ações'!BE150="sim"), 1, 0)
</f>
        <v>0</v>
      </c>
      <c r="T149" s="319">
        <f>IF(AND('Ações'!AU150="sim", 'Ações'!BG150="sim"), 1, 0)
</f>
        <v>0</v>
      </c>
      <c r="U149" s="319">
        <f>IF(AND('Ações'!AU150="sim", 'Ações'!BH150="sim"), 1, 0)
</f>
        <v>0</v>
      </c>
      <c r="V149" s="319">
        <f>IF(AND('Ações'!AU150="sim", 'Ações'!BI150="sim"), 1, 0)
</f>
        <v>0</v>
      </c>
      <c r="W149" s="319">
        <f>IF(AND('Ações'!AV150="sim", 'Ações'!BD150="sim"), 1, 0)
</f>
        <v>1</v>
      </c>
      <c r="X149" s="319">
        <f>IF(AND('Ações'!AV150="sim", 'Ações'!BE150="sim"), 1, 0)
</f>
        <v>0</v>
      </c>
      <c r="Y149" s="319">
        <f>IF(AND('Ações'!AV150="sim", 'Ações'!BF150="sim"), 1, 0)
</f>
        <v>0</v>
      </c>
      <c r="Z149" s="319">
        <f>IF(AND('Ações'!AV150="sim", 'Ações'!BH150="sim"), 1, 0)
</f>
        <v>0</v>
      </c>
      <c r="AA149" s="319">
        <f>IF(AND('Ações'!AV150="sim", 'Ações'!BI150="sim"), 1, 0)
</f>
        <v>0</v>
      </c>
      <c r="AB149" s="319">
        <f>IF(AND('Ações'!AW150="sim", 'Ações'!BD150="sim"), 1, 0)
</f>
        <v>1</v>
      </c>
      <c r="AC149" s="319">
        <f>IF(AND('Ações'!AW150="sim", 'Ações'!BE150="sim"), 1, 0)
</f>
        <v>0</v>
      </c>
      <c r="AD149" s="319">
        <f>IF(AND('Ações'!AW150="sim", 'Ações'!BF150="sim"), 1, 0)
</f>
        <v>0</v>
      </c>
      <c r="AE149" s="319">
        <f>IF(AND('Ações'!AW150="sim", 'Ações'!BG150="sim"), 1, 0)
</f>
        <v>0</v>
      </c>
      <c r="AF149" s="319">
        <f>IF(AND('Ações'!AW150="sim", 'Ações'!BI150="sim"), 1, 0)
</f>
        <v>0</v>
      </c>
      <c r="AG149" s="319">
        <f>IF(AND('Ações'!AX150="sim", 'Ações'!BD150="sim"), 1, 0)
</f>
        <v>0</v>
      </c>
      <c r="AH149" s="319">
        <f>IF(AND('Ações'!AX150="sim", 'Ações'!BE150="sim"), 1, 0)
</f>
        <v>0</v>
      </c>
      <c r="AI149" s="319">
        <f>IF(AND('Ações'!AX150="sim", 'Ações'!BF150="sim"), 1, 0)
</f>
        <v>0</v>
      </c>
      <c r="AJ149" s="319">
        <f>IF(AND('Ações'!AX150="sim", 'Ações'!BG150="sim"), 1, 0)
</f>
        <v>0</v>
      </c>
      <c r="AK149" s="319">
        <f>IF(AND('Ações'!AX150="sim", 'Ações'!BH150="sim"), 1, 0)
</f>
        <v>0</v>
      </c>
    </row>
    <row r="150">
      <c r="B150" s="319">
        <f>IF(AND('Ações'!AS151="sim", 'Ações'!BD151="sim"), 1, 0)
</f>
        <v>1</v>
      </c>
      <c r="C150" s="319">
        <f>IF(AND('Ações'!AT151="sim", 'Ações'!BE151="sim"), 1, 0)
</f>
        <v>0</v>
      </c>
      <c r="D150" s="319">
        <f>IF(AND('Ações'!AU151="sim", 'Ações'!BF151="sim"), 1, 0)
</f>
        <v>0</v>
      </c>
      <c r="E150" s="319">
        <f>IF(AND('Ações'!AV151="sim", 'Ações'!BG151="sim"), 1, 0)
</f>
        <v>0</v>
      </c>
      <c r="F150" s="319">
        <f>IF(AND('Ações'!AW151="sim", 'Ações'!BH151="sim"), 1, 0)
</f>
        <v>0</v>
      </c>
      <c r="G150" s="319">
        <f>IF(AND('Ações'!AX151="sim", 'Ações'!BI151="sim"), 1, 0)
</f>
        <v>0</v>
      </c>
      <c r="H150" s="319">
        <f>IF(AND('Ações'!AS151="sim", 'Ações'!BE151="sim"), 1, 0)
</f>
        <v>0</v>
      </c>
      <c r="I150" s="319">
        <f>IF(AND('Ações'!AS151="sim", 'Ações'!BF151="sim"), 1, 0)
</f>
        <v>0</v>
      </c>
      <c r="J150" s="319">
        <f>IF(AND('Ações'!AS151="sim", 'Ações'!BG151="sim"), 1, 0)
</f>
        <v>0</v>
      </c>
      <c r="K150" s="319">
        <f>IF(AND('Ações'!AS151="sim", 'Ações'!BH151="sim"), 1, 0)
</f>
        <v>0</v>
      </c>
      <c r="L150" s="319">
        <f>IF(AND('Ações'!AS151="sim", 'Ações'!BI151="sim"), 1, 0)
</f>
        <v>0</v>
      </c>
      <c r="M150" s="319">
        <f>IF(AND('Ações'!AT151="sim", 'Ações'!BD151="sim"), 1, 0)
</f>
        <v>1</v>
      </c>
      <c r="N150" s="319">
        <f>IF(AND('Ações'!AT151="sim", 'Ações'!BF151="sim"), 1, 0)
</f>
        <v>0</v>
      </c>
      <c r="O150" s="319">
        <f>IF(AND('Ações'!AT151="sim", 'Ações'!BG151="sim"), 1, 0)
</f>
        <v>0</v>
      </c>
      <c r="P150" s="319">
        <f>IF(AND('Ações'!AT151="sim", 'Ações'!BH151="sim"), 1, 0)
</f>
        <v>0</v>
      </c>
      <c r="Q150" s="319">
        <f>IF(AND('Ações'!AT151="sim", 'Ações'!BI151="sim"), 1, 0)
</f>
        <v>0</v>
      </c>
      <c r="R150" s="319">
        <f>IF(AND('Ações'!AU151="sim", 'Ações'!BD151="sim"), 1, 0)
</f>
        <v>1</v>
      </c>
      <c r="S150" s="319">
        <f>IF(AND('Ações'!AU151="sim", 'Ações'!BE151="sim"), 1, 0)
</f>
        <v>0</v>
      </c>
      <c r="T150" s="319">
        <f>IF(AND('Ações'!AU151="sim", 'Ações'!BG151="sim"), 1, 0)
</f>
        <v>0</v>
      </c>
      <c r="U150" s="319">
        <f>IF(AND('Ações'!AU151="sim", 'Ações'!BH151="sim"), 1, 0)
</f>
        <v>0</v>
      </c>
      <c r="V150" s="319">
        <f>IF(AND('Ações'!AU151="sim", 'Ações'!BI151="sim"), 1, 0)
</f>
        <v>0</v>
      </c>
      <c r="W150" s="319">
        <f>IF(AND('Ações'!AV151="sim", 'Ações'!BD151="sim"), 1, 0)
</f>
        <v>1</v>
      </c>
      <c r="X150" s="319">
        <f>IF(AND('Ações'!AV151="sim", 'Ações'!BE151="sim"), 1, 0)
</f>
        <v>0</v>
      </c>
      <c r="Y150" s="319">
        <f>IF(AND('Ações'!AV151="sim", 'Ações'!BF151="sim"), 1, 0)
</f>
        <v>0</v>
      </c>
      <c r="Z150" s="319">
        <f>IF(AND('Ações'!AV151="sim", 'Ações'!BH151="sim"), 1, 0)
</f>
        <v>0</v>
      </c>
      <c r="AA150" s="319">
        <f>IF(AND('Ações'!AV151="sim", 'Ações'!BI151="sim"), 1, 0)
</f>
        <v>0</v>
      </c>
      <c r="AB150" s="319">
        <f>IF(AND('Ações'!AW151="sim", 'Ações'!BD151="sim"), 1, 0)
</f>
        <v>1</v>
      </c>
      <c r="AC150" s="319">
        <f>IF(AND('Ações'!AW151="sim", 'Ações'!BE151="sim"), 1, 0)
</f>
        <v>0</v>
      </c>
      <c r="AD150" s="319">
        <f>IF(AND('Ações'!AW151="sim", 'Ações'!BF151="sim"), 1, 0)
</f>
        <v>0</v>
      </c>
      <c r="AE150" s="319">
        <f>IF(AND('Ações'!AW151="sim", 'Ações'!BG151="sim"), 1, 0)
</f>
        <v>0</v>
      </c>
      <c r="AF150" s="319">
        <f>IF(AND('Ações'!AW151="sim", 'Ações'!BI151="sim"), 1, 0)
</f>
        <v>0</v>
      </c>
      <c r="AG150" s="319">
        <f>IF(AND('Ações'!AX151="sim", 'Ações'!BD151="sim"), 1, 0)
</f>
        <v>0</v>
      </c>
      <c r="AH150" s="319">
        <f>IF(AND('Ações'!AX151="sim", 'Ações'!BE151="sim"), 1, 0)
</f>
        <v>0</v>
      </c>
      <c r="AI150" s="319">
        <f>IF(AND('Ações'!AX151="sim", 'Ações'!BF151="sim"), 1, 0)
</f>
        <v>0</v>
      </c>
      <c r="AJ150" s="319">
        <f>IF(AND('Ações'!AX151="sim", 'Ações'!BG151="sim"), 1, 0)
</f>
        <v>0</v>
      </c>
      <c r="AK150" s="319">
        <f>IF(AND('Ações'!AX151="sim", 'Ações'!BH151="sim"), 1, 0)
</f>
        <v>0</v>
      </c>
    </row>
    <row r="151">
      <c r="B151" s="319">
        <f>IF(AND('Ações'!AS152="sim", 'Ações'!BD152="sim"), 1, 0)
</f>
        <v>1</v>
      </c>
      <c r="C151" s="319">
        <f>IF(AND('Ações'!AT152="sim", 'Ações'!BE152="sim"), 1, 0)
</f>
        <v>0</v>
      </c>
      <c r="D151" s="319">
        <f>IF(AND('Ações'!AU152="sim", 'Ações'!BF152="sim"), 1, 0)
</f>
        <v>0</v>
      </c>
      <c r="E151" s="319">
        <f>IF(AND('Ações'!AV152="sim", 'Ações'!BG152="sim"), 1, 0)
</f>
        <v>0</v>
      </c>
      <c r="F151" s="319">
        <f>IF(AND('Ações'!AW152="sim", 'Ações'!BH152="sim"), 1, 0)
</f>
        <v>0</v>
      </c>
      <c r="G151" s="319">
        <f>IF(AND('Ações'!AX152="sim", 'Ações'!BI152="sim"), 1, 0)
</f>
        <v>0</v>
      </c>
      <c r="H151" s="319">
        <f>IF(AND('Ações'!AS152="sim", 'Ações'!BE152="sim"), 1, 0)
</f>
        <v>0</v>
      </c>
      <c r="I151" s="319">
        <f>IF(AND('Ações'!AS152="sim", 'Ações'!BF152="sim"), 1, 0)
</f>
        <v>0</v>
      </c>
      <c r="J151" s="319">
        <f>IF(AND('Ações'!AS152="sim", 'Ações'!BG152="sim"), 1, 0)
</f>
        <v>0</v>
      </c>
      <c r="K151" s="319">
        <f>IF(AND('Ações'!AS152="sim", 'Ações'!BH152="sim"), 1, 0)
</f>
        <v>0</v>
      </c>
      <c r="L151" s="319">
        <f>IF(AND('Ações'!AS152="sim", 'Ações'!BI152="sim"), 1, 0)
</f>
        <v>0</v>
      </c>
      <c r="M151" s="319">
        <f>IF(AND('Ações'!AT152="sim", 'Ações'!BD152="sim"), 1, 0)
</f>
        <v>1</v>
      </c>
      <c r="N151" s="319">
        <f>IF(AND('Ações'!AT152="sim", 'Ações'!BF152="sim"), 1, 0)
</f>
        <v>0</v>
      </c>
      <c r="O151" s="319">
        <f>IF(AND('Ações'!AT152="sim", 'Ações'!BG152="sim"), 1, 0)
</f>
        <v>0</v>
      </c>
      <c r="P151" s="319">
        <f>IF(AND('Ações'!AT152="sim", 'Ações'!BH152="sim"), 1, 0)
</f>
        <v>0</v>
      </c>
      <c r="Q151" s="319">
        <f>IF(AND('Ações'!AT152="sim", 'Ações'!BI152="sim"), 1, 0)
</f>
        <v>0</v>
      </c>
      <c r="R151" s="319">
        <f>IF(AND('Ações'!AU152="sim", 'Ações'!BD152="sim"), 1, 0)
</f>
        <v>1</v>
      </c>
      <c r="S151" s="319">
        <f>IF(AND('Ações'!AU152="sim", 'Ações'!BE152="sim"), 1, 0)
</f>
        <v>0</v>
      </c>
      <c r="T151" s="319">
        <f>IF(AND('Ações'!AU152="sim", 'Ações'!BG152="sim"), 1, 0)
</f>
        <v>0</v>
      </c>
      <c r="U151" s="319">
        <f>IF(AND('Ações'!AU152="sim", 'Ações'!BH152="sim"), 1, 0)
</f>
        <v>0</v>
      </c>
      <c r="V151" s="319">
        <f>IF(AND('Ações'!AU152="sim", 'Ações'!BI152="sim"), 1, 0)
</f>
        <v>0</v>
      </c>
      <c r="W151" s="319">
        <f>IF(AND('Ações'!AV152="sim", 'Ações'!BD152="sim"), 1, 0)
</f>
        <v>1</v>
      </c>
      <c r="X151" s="319">
        <f>IF(AND('Ações'!AV152="sim", 'Ações'!BE152="sim"), 1, 0)
</f>
        <v>0</v>
      </c>
      <c r="Y151" s="319">
        <f>IF(AND('Ações'!AV152="sim", 'Ações'!BF152="sim"), 1, 0)
</f>
        <v>0</v>
      </c>
      <c r="Z151" s="319">
        <f>IF(AND('Ações'!AV152="sim", 'Ações'!BH152="sim"), 1, 0)
</f>
        <v>0</v>
      </c>
      <c r="AA151" s="319">
        <f>IF(AND('Ações'!AV152="sim", 'Ações'!BI152="sim"), 1, 0)
</f>
        <v>0</v>
      </c>
      <c r="AB151" s="319">
        <f>IF(AND('Ações'!AW152="sim", 'Ações'!BD152="sim"), 1, 0)
</f>
        <v>1</v>
      </c>
      <c r="AC151" s="319">
        <f>IF(AND('Ações'!AW152="sim", 'Ações'!BE152="sim"), 1, 0)
</f>
        <v>0</v>
      </c>
      <c r="AD151" s="319">
        <f>IF(AND('Ações'!AW152="sim", 'Ações'!BF152="sim"), 1, 0)
</f>
        <v>0</v>
      </c>
      <c r="AE151" s="319">
        <f>IF(AND('Ações'!AW152="sim", 'Ações'!BG152="sim"), 1, 0)
</f>
        <v>0</v>
      </c>
      <c r="AF151" s="319">
        <f>IF(AND('Ações'!AW152="sim", 'Ações'!BI152="sim"), 1, 0)
</f>
        <v>0</v>
      </c>
      <c r="AG151" s="319">
        <f>IF(AND('Ações'!AX152="sim", 'Ações'!BD152="sim"), 1, 0)
</f>
        <v>0</v>
      </c>
      <c r="AH151" s="319">
        <f>IF(AND('Ações'!AX152="sim", 'Ações'!BE152="sim"), 1, 0)
</f>
        <v>0</v>
      </c>
      <c r="AI151" s="319">
        <f>IF(AND('Ações'!AX152="sim", 'Ações'!BF152="sim"), 1, 0)
</f>
        <v>0</v>
      </c>
      <c r="AJ151" s="319">
        <f>IF(AND('Ações'!AX152="sim", 'Ações'!BG152="sim"), 1, 0)
</f>
        <v>0</v>
      </c>
      <c r="AK151" s="319">
        <f>IF(AND('Ações'!AX152="sim", 'Ações'!BH152="sim"), 1, 0)
</f>
        <v>0</v>
      </c>
    </row>
    <row r="152">
      <c r="B152" s="319">
        <f>IF(AND('Ações'!AS153="sim", 'Ações'!BD153="sim"), 1, 0)
</f>
        <v>1</v>
      </c>
      <c r="C152" s="319">
        <f>IF(AND('Ações'!AT153="sim", 'Ações'!BE153="sim"), 1, 0)
</f>
        <v>0</v>
      </c>
      <c r="D152" s="319">
        <f>IF(AND('Ações'!AU153="sim", 'Ações'!BF153="sim"), 1, 0)
</f>
        <v>0</v>
      </c>
      <c r="E152" s="319">
        <f>IF(AND('Ações'!AV153="sim", 'Ações'!BG153="sim"), 1, 0)
</f>
        <v>0</v>
      </c>
      <c r="F152" s="319">
        <f>IF(AND('Ações'!AW153="sim", 'Ações'!BH153="sim"), 1, 0)
</f>
        <v>0</v>
      </c>
      <c r="G152" s="319">
        <f>IF(AND('Ações'!AX153="sim", 'Ações'!BI153="sim"), 1, 0)
</f>
        <v>0</v>
      </c>
      <c r="H152" s="319">
        <f>IF(AND('Ações'!AS153="sim", 'Ações'!BE153="sim"), 1, 0)
</f>
        <v>0</v>
      </c>
      <c r="I152" s="319">
        <f>IF(AND('Ações'!AS153="sim", 'Ações'!BF153="sim"), 1, 0)
</f>
        <v>0</v>
      </c>
      <c r="J152" s="319">
        <f>IF(AND('Ações'!AS153="sim", 'Ações'!BG153="sim"), 1, 0)
</f>
        <v>0</v>
      </c>
      <c r="K152" s="319">
        <f>IF(AND('Ações'!AS153="sim", 'Ações'!BH153="sim"), 1, 0)
</f>
        <v>0</v>
      </c>
      <c r="L152" s="319">
        <f>IF(AND('Ações'!AS153="sim", 'Ações'!BI153="sim"), 1, 0)
</f>
        <v>0</v>
      </c>
      <c r="M152" s="319">
        <f>IF(AND('Ações'!AT153="sim", 'Ações'!BD153="sim"), 1, 0)
</f>
        <v>1</v>
      </c>
      <c r="N152" s="319">
        <f>IF(AND('Ações'!AT153="sim", 'Ações'!BF153="sim"), 1, 0)
</f>
        <v>0</v>
      </c>
      <c r="O152" s="319">
        <f>IF(AND('Ações'!AT153="sim", 'Ações'!BG153="sim"), 1, 0)
</f>
        <v>0</v>
      </c>
      <c r="P152" s="319">
        <f>IF(AND('Ações'!AT153="sim", 'Ações'!BH153="sim"), 1, 0)
</f>
        <v>0</v>
      </c>
      <c r="Q152" s="319">
        <f>IF(AND('Ações'!AT153="sim", 'Ações'!BI153="sim"), 1, 0)
</f>
        <v>0</v>
      </c>
      <c r="R152" s="319">
        <f>IF(AND('Ações'!AU153="sim", 'Ações'!BD153="sim"), 1, 0)
</f>
        <v>1</v>
      </c>
      <c r="S152" s="319">
        <f>IF(AND('Ações'!AU153="sim", 'Ações'!BE153="sim"), 1, 0)
</f>
        <v>0</v>
      </c>
      <c r="T152" s="319">
        <f>IF(AND('Ações'!AU153="sim", 'Ações'!BG153="sim"), 1, 0)
</f>
        <v>0</v>
      </c>
      <c r="U152" s="319">
        <f>IF(AND('Ações'!AU153="sim", 'Ações'!BH153="sim"), 1, 0)
</f>
        <v>0</v>
      </c>
      <c r="V152" s="319">
        <f>IF(AND('Ações'!AU153="sim", 'Ações'!BI153="sim"), 1, 0)
</f>
        <v>0</v>
      </c>
      <c r="W152" s="319">
        <f>IF(AND('Ações'!AV153="sim", 'Ações'!BD153="sim"), 1, 0)
</f>
        <v>1</v>
      </c>
      <c r="X152" s="319">
        <f>IF(AND('Ações'!AV153="sim", 'Ações'!BE153="sim"), 1, 0)
</f>
        <v>0</v>
      </c>
      <c r="Y152" s="319">
        <f>IF(AND('Ações'!AV153="sim", 'Ações'!BF153="sim"), 1, 0)
</f>
        <v>0</v>
      </c>
      <c r="Z152" s="319">
        <f>IF(AND('Ações'!AV153="sim", 'Ações'!BH153="sim"), 1, 0)
</f>
        <v>0</v>
      </c>
      <c r="AA152" s="319">
        <f>IF(AND('Ações'!AV153="sim", 'Ações'!BI153="sim"), 1, 0)
</f>
        <v>0</v>
      </c>
      <c r="AB152" s="319">
        <f>IF(AND('Ações'!AW153="sim", 'Ações'!BD153="sim"), 1, 0)
</f>
        <v>1</v>
      </c>
      <c r="AC152" s="319">
        <f>IF(AND('Ações'!AW153="sim", 'Ações'!BE153="sim"), 1, 0)
</f>
        <v>0</v>
      </c>
      <c r="AD152" s="319">
        <f>IF(AND('Ações'!AW153="sim", 'Ações'!BF153="sim"), 1, 0)
</f>
        <v>0</v>
      </c>
      <c r="AE152" s="319">
        <f>IF(AND('Ações'!AW153="sim", 'Ações'!BG153="sim"), 1, 0)
</f>
        <v>0</v>
      </c>
      <c r="AF152" s="319">
        <f>IF(AND('Ações'!AW153="sim", 'Ações'!BI153="sim"), 1, 0)
</f>
        <v>0</v>
      </c>
      <c r="AG152" s="319">
        <f>IF(AND('Ações'!AX153="sim", 'Ações'!BD153="sim"), 1, 0)
</f>
        <v>0</v>
      </c>
      <c r="AH152" s="319">
        <f>IF(AND('Ações'!AX153="sim", 'Ações'!BE153="sim"), 1, 0)
</f>
        <v>0</v>
      </c>
      <c r="AI152" s="319">
        <f>IF(AND('Ações'!AX153="sim", 'Ações'!BF153="sim"), 1, 0)
</f>
        <v>0</v>
      </c>
      <c r="AJ152" s="319">
        <f>IF(AND('Ações'!AX153="sim", 'Ações'!BG153="sim"), 1, 0)
</f>
        <v>0</v>
      </c>
      <c r="AK152" s="319">
        <f>IF(AND('Ações'!AX153="sim", 'Ações'!BH153="sim"), 1, 0)
</f>
        <v>0</v>
      </c>
    </row>
    <row r="153">
      <c r="B153" s="319">
        <f>IF(AND('Ações'!AS154="sim", 'Ações'!BD154="sim"), 1, 0)
</f>
        <v>1</v>
      </c>
      <c r="C153" s="319">
        <f>IF(AND('Ações'!AT154="sim", 'Ações'!BE154="sim"), 1, 0)
</f>
        <v>0</v>
      </c>
      <c r="D153" s="319">
        <f>IF(AND('Ações'!AU154="sim", 'Ações'!BF154="sim"), 1, 0)
</f>
        <v>0</v>
      </c>
      <c r="E153" s="319">
        <f>IF(AND('Ações'!AV154="sim", 'Ações'!BG154="sim"), 1, 0)
</f>
        <v>0</v>
      </c>
      <c r="F153" s="319">
        <f>IF(AND('Ações'!AW154="sim", 'Ações'!BH154="sim"), 1, 0)
</f>
        <v>0</v>
      </c>
      <c r="G153" s="319">
        <f>IF(AND('Ações'!AX154="sim", 'Ações'!BI154="sim"), 1, 0)
</f>
        <v>0</v>
      </c>
      <c r="H153" s="319">
        <f>IF(AND('Ações'!AS154="sim", 'Ações'!BE154="sim"), 1, 0)
</f>
        <v>0</v>
      </c>
      <c r="I153" s="319">
        <f>IF(AND('Ações'!AS154="sim", 'Ações'!BF154="sim"), 1, 0)
</f>
        <v>0</v>
      </c>
      <c r="J153" s="319">
        <f>IF(AND('Ações'!AS154="sim", 'Ações'!BG154="sim"), 1, 0)
</f>
        <v>0</v>
      </c>
      <c r="K153" s="319">
        <f>IF(AND('Ações'!AS154="sim", 'Ações'!BH154="sim"), 1, 0)
</f>
        <v>0</v>
      </c>
      <c r="L153" s="319">
        <f>IF(AND('Ações'!AS154="sim", 'Ações'!BI154="sim"), 1, 0)
</f>
        <v>0</v>
      </c>
      <c r="M153" s="319">
        <f>IF(AND('Ações'!AT154="sim", 'Ações'!BD154="sim"), 1, 0)
</f>
        <v>1</v>
      </c>
      <c r="N153" s="319">
        <f>IF(AND('Ações'!AT154="sim", 'Ações'!BF154="sim"), 1, 0)
</f>
        <v>0</v>
      </c>
      <c r="O153" s="319">
        <f>IF(AND('Ações'!AT154="sim", 'Ações'!BG154="sim"), 1, 0)
</f>
        <v>0</v>
      </c>
      <c r="P153" s="319">
        <f>IF(AND('Ações'!AT154="sim", 'Ações'!BH154="sim"), 1, 0)
</f>
        <v>0</v>
      </c>
      <c r="Q153" s="319">
        <f>IF(AND('Ações'!AT154="sim", 'Ações'!BI154="sim"), 1, 0)
</f>
        <v>0</v>
      </c>
      <c r="R153" s="319">
        <f>IF(AND('Ações'!AU154="sim", 'Ações'!BD154="sim"), 1, 0)
</f>
        <v>1</v>
      </c>
      <c r="S153" s="319">
        <f>IF(AND('Ações'!AU154="sim", 'Ações'!BE154="sim"), 1, 0)
</f>
        <v>0</v>
      </c>
      <c r="T153" s="319">
        <f>IF(AND('Ações'!AU154="sim", 'Ações'!BG154="sim"), 1, 0)
</f>
        <v>0</v>
      </c>
      <c r="U153" s="319">
        <f>IF(AND('Ações'!AU154="sim", 'Ações'!BH154="sim"), 1, 0)
</f>
        <v>0</v>
      </c>
      <c r="V153" s="319">
        <f>IF(AND('Ações'!AU154="sim", 'Ações'!BI154="sim"), 1, 0)
</f>
        <v>0</v>
      </c>
      <c r="W153" s="319">
        <f>IF(AND('Ações'!AV154="sim", 'Ações'!BD154="sim"), 1, 0)
</f>
        <v>1</v>
      </c>
      <c r="X153" s="319">
        <f>IF(AND('Ações'!AV154="sim", 'Ações'!BE154="sim"), 1, 0)
</f>
        <v>0</v>
      </c>
      <c r="Y153" s="319">
        <f>IF(AND('Ações'!AV154="sim", 'Ações'!BF154="sim"), 1, 0)
</f>
        <v>0</v>
      </c>
      <c r="Z153" s="319">
        <f>IF(AND('Ações'!AV154="sim", 'Ações'!BH154="sim"), 1, 0)
</f>
        <v>0</v>
      </c>
      <c r="AA153" s="319">
        <f>IF(AND('Ações'!AV154="sim", 'Ações'!BI154="sim"), 1, 0)
</f>
        <v>0</v>
      </c>
      <c r="AB153" s="319">
        <f>IF(AND('Ações'!AW154="sim", 'Ações'!BD154="sim"), 1, 0)
</f>
        <v>1</v>
      </c>
      <c r="AC153" s="319">
        <f>IF(AND('Ações'!AW154="sim", 'Ações'!BE154="sim"), 1, 0)
</f>
        <v>0</v>
      </c>
      <c r="AD153" s="319">
        <f>IF(AND('Ações'!AW154="sim", 'Ações'!BF154="sim"), 1, 0)
</f>
        <v>0</v>
      </c>
      <c r="AE153" s="319">
        <f>IF(AND('Ações'!AW154="sim", 'Ações'!BG154="sim"), 1, 0)
</f>
        <v>0</v>
      </c>
      <c r="AF153" s="319">
        <f>IF(AND('Ações'!AW154="sim", 'Ações'!BI154="sim"), 1, 0)
</f>
        <v>0</v>
      </c>
      <c r="AG153" s="319">
        <f>IF(AND('Ações'!AX154="sim", 'Ações'!BD154="sim"), 1, 0)
</f>
        <v>0</v>
      </c>
      <c r="AH153" s="319">
        <f>IF(AND('Ações'!AX154="sim", 'Ações'!BE154="sim"), 1, 0)
</f>
        <v>0</v>
      </c>
      <c r="AI153" s="319">
        <f>IF(AND('Ações'!AX154="sim", 'Ações'!BF154="sim"), 1, 0)
</f>
        <v>0</v>
      </c>
      <c r="AJ153" s="319">
        <f>IF(AND('Ações'!AX154="sim", 'Ações'!BG154="sim"), 1, 0)
</f>
        <v>0</v>
      </c>
      <c r="AK153" s="319">
        <f>IF(AND('Ações'!AX154="sim", 'Ações'!BH154="sim"), 1, 0)
</f>
        <v>0</v>
      </c>
    </row>
    <row r="154">
      <c r="B154" s="319">
        <f>IF(AND('Ações'!AS155="sim", 'Ações'!BD155="sim"), 1, 0)
</f>
        <v>1</v>
      </c>
      <c r="C154" s="319">
        <f>IF(AND('Ações'!AT155="sim", 'Ações'!BE155="sim"), 1, 0)
</f>
        <v>0</v>
      </c>
      <c r="D154" s="319">
        <f>IF(AND('Ações'!AU155="sim", 'Ações'!BF155="sim"), 1, 0)
</f>
        <v>0</v>
      </c>
      <c r="E154" s="319">
        <f>IF(AND('Ações'!AV155="sim", 'Ações'!BG155="sim"), 1, 0)
</f>
        <v>0</v>
      </c>
      <c r="F154" s="319">
        <f>IF(AND('Ações'!AW155="sim", 'Ações'!BH155="sim"), 1, 0)
</f>
        <v>0</v>
      </c>
      <c r="G154" s="319">
        <f>IF(AND('Ações'!AX155="sim", 'Ações'!BI155="sim"), 1, 0)
</f>
        <v>0</v>
      </c>
      <c r="H154" s="319">
        <f>IF(AND('Ações'!AS155="sim", 'Ações'!BE155="sim"), 1, 0)
</f>
        <v>0</v>
      </c>
      <c r="I154" s="319">
        <f>IF(AND('Ações'!AS155="sim", 'Ações'!BF155="sim"), 1, 0)
</f>
        <v>0</v>
      </c>
      <c r="J154" s="319">
        <f>IF(AND('Ações'!AS155="sim", 'Ações'!BG155="sim"), 1, 0)
</f>
        <v>0</v>
      </c>
      <c r="K154" s="319">
        <f>IF(AND('Ações'!AS155="sim", 'Ações'!BH155="sim"), 1, 0)
</f>
        <v>0</v>
      </c>
      <c r="L154" s="319">
        <f>IF(AND('Ações'!AS155="sim", 'Ações'!BI155="sim"), 1, 0)
</f>
        <v>0</v>
      </c>
      <c r="M154" s="319">
        <f>IF(AND('Ações'!AT155="sim", 'Ações'!BD155="sim"), 1, 0)
</f>
        <v>1</v>
      </c>
      <c r="N154" s="319">
        <f>IF(AND('Ações'!AT155="sim", 'Ações'!BF155="sim"), 1, 0)
</f>
        <v>0</v>
      </c>
      <c r="O154" s="319">
        <f>IF(AND('Ações'!AT155="sim", 'Ações'!BG155="sim"), 1, 0)
</f>
        <v>0</v>
      </c>
      <c r="P154" s="319">
        <f>IF(AND('Ações'!AT155="sim", 'Ações'!BH155="sim"), 1, 0)
</f>
        <v>0</v>
      </c>
      <c r="Q154" s="319">
        <f>IF(AND('Ações'!AT155="sim", 'Ações'!BI155="sim"), 1, 0)
</f>
        <v>0</v>
      </c>
      <c r="R154" s="319">
        <f>IF(AND('Ações'!AU155="sim", 'Ações'!BD155="sim"), 1, 0)
</f>
        <v>1</v>
      </c>
      <c r="S154" s="319">
        <f>IF(AND('Ações'!AU155="sim", 'Ações'!BE155="sim"), 1, 0)
</f>
        <v>0</v>
      </c>
      <c r="T154" s="319">
        <f>IF(AND('Ações'!AU155="sim", 'Ações'!BG155="sim"), 1, 0)
</f>
        <v>0</v>
      </c>
      <c r="U154" s="319">
        <f>IF(AND('Ações'!AU155="sim", 'Ações'!BH155="sim"), 1, 0)
</f>
        <v>0</v>
      </c>
      <c r="V154" s="319">
        <f>IF(AND('Ações'!AU155="sim", 'Ações'!BI155="sim"), 1, 0)
</f>
        <v>0</v>
      </c>
      <c r="W154" s="319">
        <f>IF(AND('Ações'!AV155="sim", 'Ações'!BD155="sim"), 1, 0)
</f>
        <v>1</v>
      </c>
      <c r="X154" s="319">
        <f>IF(AND('Ações'!AV155="sim", 'Ações'!BE155="sim"), 1, 0)
</f>
        <v>0</v>
      </c>
      <c r="Y154" s="319">
        <f>IF(AND('Ações'!AV155="sim", 'Ações'!BF155="sim"), 1, 0)
</f>
        <v>0</v>
      </c>
      <c r="Z154" s="319">
        <f>IF(AND('Ações'!AV155="sim", 'Ações'!BH155="sim"), 1, 0)
</f>
        <v>0</v>
      </c>
      <c r="AA154" s="319">
        <f>IF(AND('Ações'!AV155="sim", 'Ações'!BI155="sim"), 1, 0)
</f>
        <v>0</v>
      </c>
      <c r="AB154" s="319">
        <f>IF(AND('Ações'!AW155="sim", 'Ações'!BD155="sim"), 1, 0)
</f>
        <v>1</v>
      </c>
      <c r="AC154" s="319">
        <f>IF(AND('Ações'!AW155="sim", 'Ações'!BE155="sim"), 1, 0)
</f>
        <v>0</v>
      </c>
      <c r="AD154" s="319">
        <f>IF(AND('Ações'!AW155="sim", 'Ações'!BF155="sim"), 1, 0)
</f>
        <v>0</v>
      </c>
      <c r="AE154" s="319">
        <f>IF(AND('Ações'!AW155="sim", 'Ações'!BG155="sim"), 1, 0)
</f>
        <v>0</v>
      </c>
      <c r="AF154" s="319">
        <f>IF(AND('Ações'!AW155="sim", 'Ações'!BI155="sim"), 1, 0)
</f>
        <v>0</v>
      </c>
      <c r="AG154" s="319">
        <f>IF(AND('Ações'!AX155="sim", 'Ações'!BD155="sim"), 1, 0)
</f>
        <v>0</v>
      </c>
      <c r="AH154" s="319">
        <f>IF(AND('Ações'!AX155="sim", 'Ações'!BE155="sim"), 1, 0)
</f>
        <v>0</v>
      </c>
      <c r="AI154" s="319">
        <f>IF(AND('Ações'!AX155="sim", 'Ações'!BF155="sim"), 1, 0)
</f>
        <v>0</v>
      </c>
      <c r="AJ154" s="319">
        <f>IF(AND('Ações'!AX155="sim", 'Ações'!BG155="sim"), 1, 0)
</f>
        <v>0</v>
      </c>
      <c r="AK154" s="319">
        <f>IF(AND('Ações'!AX155="sim", 'Ações'!BH155="sim"), 1, 0)
</f>
        <v>0</v>
      </c>
    </row>
    <row r="155">
      <c r="B155" s="319">
        <f>IF(AND('Ações'!AS156="sim", 'Ações'!BD156="sim"), 1, 0)
</f>
        <v>1</v>
      </c>
      <c r="C155" s="319">
        <f>IF(AND('Ações'!AT156="sim", 'Ações'!BE156="sim"), 1, 0)
</f>
        <v>0</v>
      </c>
      <c r="D155" s="319">
        <f>IF(AND('Ações'!AU156="sim", 'Ações'!BF156="sim"), 1, 0)
</f>
        <v>0</v>
      </c>
      <c r="E155" s="319">
        <f>IF(AND('Ações'!AV156="sim", 'Ações'!BG156="sim"), 1, 0)
</f>
        <v>0</v>
      </c>
      <c r="F155" s="319">
        <f>IF(AND('Ações'!AW156="sim", 'Ações'!BH156="sim"), 1, 0)
</f>
        <v>0</v>
      </c>
      <c r="G155" s="319">
        <f>IF(AND('Ações'!AX156="sim", 'Ações'!BI156="sim"), 1, 0)
</f>
        <v>0</v>
      </c>
      <c r="H155" s="319">
        <f>IF(AND('Ações'!AS156="sim", 'Ações'!BE156="sim"), 1, 0)
</f>
        <v>0</v>
      </c>
      <c r="I155" s="319">
        <f>IF(AND('Ações'!AS156="sim", 'Ações'!BF156="sim"), 1, 0)
</f>
        <v>0</v>
      </c>
      <c r="J155" s="319">
        <f>IF(AND('Ações'!AS156="sim", 'Ações'!BG156="sim"), 1, 0)
</f>
        <v>0</v>
      </c>
      <c r="K155" s="319">
        <f>IF(AND('Ações'!AS156="sim", 'Ações'!BH156="sim"), 1, 0)
</f>
        <v>0</v>
      </c>
      <c r="L155" s="319">
        <f>IF(AND('Ações'!AS156="sim", 'Ações'!BI156="sim"), 1, 0)
</f>
        <v>0</v>
      </c>
      <c r="M155" s="319">
        <f>IF(AND('Ações'!AT156="sim", 'Ações'!BD156="sim"), 1, 0)
</f>
        <v>1</v>
      </c>
      <c r="N155" s="319">
        <f>IF(AND('Ações'!AT156="sim", 'Ações'!BF156="sim"), 1, 0)
</f>
        <v>0</v>
      </c>
      <c r="O155" s="319">
        <f>IF(AND('Ações'!AT156="sim", 'Ações'!BG156="sim"), 1, 0)
</f>
        <v>0</v>
      </c>
      <c r="P155" s="319">
        <f>IF(AND('Ações'!AT156="sim", 'Ações'!BH156="sim"), 1, 0)
</f>
        <v>0</v>
      </c>
      <c r="Q155" s="319">
        <f>IF(AND('Ações'!AT156="sim", 'Ações'!BI156="sim"), 1, 0)
</f>
        <v>0</v>
      </c>
      <c r="R155" s="319">
        <f>IF(AND('Ações'!AU156="sim", 'Ações'!BD156="sim"), 1, 0)
</f>
        <v>1</v>
      </c>
      <c r="S155" s="319">
        <f>IF(AND('Ações'!AU156="sim", 'Ações'!BE156="sim"), 1, 0)
</f>
        <v>0</v>
      </c>
      <c r="T155" s="319">
        <f>IF(AND('Ações'!AU156="sim", 'Ações'!BG156="sim"), 1, 0)
</f>
        <v>0</v>
      </c>
      <c r="U155" s="319">
        <f>IF(AND('Ações'!AU156="sim", 'Ações'!BH156="sim"), 1, 0)
</f>
        <v>0</v>
      </c>
      <c r="V155" s="319">
        <f>IF(AND('Ações'!AU156="sim", 'Ações'!BI156="sim"), 1, 0)
</f>
        <v>0</v>
      </c>
      <c r="W155" s="319">
        <f>IF(AND('Ações'!AV156="sim", 'Ações'!BD156="sim"), 1, 0)
</f>
        <v>1</v>
      </c>
      <c r="X155" s="319">
        <f>IF(AND('Ações'!AV156="sim", 'Ações'!BE156="sim"), 1, 0)
</f>
        <v>0</v>
      </c>
      <c r="Y155" s="319">
        <f>IF(AND('Ações'!AV156="sim", 'Ações'!BF156="sim"), 1, 0)
</f>
        <v>0</v>
      </c>
      <c r="Z155" s="319">
        <f>IF(AND('Ações'!AV156="sim", 'Ações'!BH156="sim"), 1, 0)
</f>
        <v>0</v>
      </c>
      <c r="AA155" s="319">
        <f>IF(AND('Ações'!AV156="sim", 'Ações'!BI156="sim"), 1, 0)
</f>
        <v>0</v>
      </c>
      <c r="AB155" s="319">
        <f>IF(AND('Ações'!AW156="sim", 'Ações'!BD156="sim"), 1, 0)
</f>
        <v>1</v>
      </c>
      <c r="AC155" s="319">
        <f>IF(AND('Ações'!AW156="sim", 'Ações'!BE156="sim"), 1, 0)
</f>
        <v>0</v>
      </c>
      <c r="AD155" s="319">
        <f>IF(AND('Ações'!AW156="sim", 'Ações'!BF156="sim"), 1, 0)
</f>
        <v>0</v>
      </c>
      <c r="AE155" s="319">
        <f>IF(AND('Ações'!AW156="sim", 'Ações'!BG156="sim"), 1, 0)
</f>
        <v>0</v>
      </c>
      <c r="AF155" s="319">
        <f>IF(AND('Ações'!AW156="sim", 'Ações'!BI156="sim"), 1, 0)
</f>
        <v>0</v>
      </c>
      <c r="AG155" s="319">
        <f>IF(AND('Ações'!AX156="sim", 'Ações'!BD156="sim"), 1, 0)
</f>
        <v>0</v>
      </c>
      <c r="AH155" s="319">
        <f>IF(AND('Ações'!AX156="sim", 'Ações'!BE156="sim"), 1, 0)
</f>
        <v>0</v>
      </c>
      <c r="AI155" s="319">
        <f>IF(AND('Ações'!AX156="sim", 'Ações'!BF156="sim"), 1, 0)
</f>
        <v>0</v>
      </c>
      <c r="AJ155" s="319">
        <f>IF(AND('Ações'!AX156="sim", 'Ações'!BG156="sim"), 1, 0)
</f>
        <v>0</v>
      </c>
      <c r="AK155" s="319">
        <f>IF(AND('Ações'!AX156="sim", 'Ações'!BH156="sim"), 1, 0)
</f>
        <v>0</v>
      </c>
    </row>
    <row r="156">
      <c r="B156" s="319">
        <f>IF(AND('Ações'!AS157="sim", 'Ações'!BD157="sim"), 1, 0)
</f>
        <v>1</v>
      </c>
      <c r="C156" s="319">
        <f>IF(AND('Ações'!AT157="sim", 'Ações'!BE157="sim"), 1, 0)
</f>
        <v>0</v>
      </c>
      <c r="D156" s="319">
        <f>IF(AND('Ações'!AU157="sim", 'Ações'!BF157="sim"), 1, 0)
</f>
        <v>0</v>
      </c>
      <c r="E156" s="319">
        <f>IF(AND('Ações'!AV157="sim", 'Ações'!BG157="sim"), 1, 0)
</f>
        <v>0</v>
      </c>
      <c r="F156" s="319">
        <f>IF(AND('Ações'!AW157="sim", 'Ações'!BH157="sim"), 1, 0)
</f>
        <v>0</v>
      </c>
      <c r="G156" s="319">
        <f>IF(AND('Ações'!AX157="sim", 'Ações'!BI157="sim"), 1, 0)
</f>
        <v>0</v>
      </c>
      <c r="H156" s="319">
        <f>IF(AND('Ações'!AS157="sim", 'Ações'!BE157="sim"), 1, 0)
</f>
        <v>0</v>
      </c>
      <c r="I156" s="319">
        <f>IF(AND('Ações'!AS157="sim", 'Ações'!BF157="sim"), 1, 0)
</f>
        <v>0</v>
      </c>
      <c r="J156" s="319">
        <f>IF(AND('Ações'!AS157="sim", 'Ações'!BG157="sim"), 1, 0)
</f>
        <v>0</v>
      </c>
      <c r="K156" s="319">
        <f>IF(AND('Ações'!AS157="sim", 'Ações'!BH157="sim"), 1, 0)
</f>
        <v>0</v>
      </c>
      <c r="L156" s="319">
        <f>IF(AND('Ações'!AS157="sim", 'Ações'!BI157="sim"), 1, 0)
</f>
        <v>0</v>
      </c>
      <c r="M156" s="319">
        <f>IF(AND('Ações'!AT157="sim", 'Ações'!BD157="sim"), 1, 0)
</f>
        <v>1</v>
      </c>
      <c r="N156" s="319">
        <f>IF(AND('Ações'!AT157="sim", 'Ações'!BF157="sim"), 1, 0)
</f>
        <v>0</v>
      </c>
      <c r="O156" s="319">
        <f>IF(AND('Ações'!AT157="sim", 'Ações'!BG157="sim"), 1, 0)
</f>
        <v>0</v>
      </c>
      <c r="P156" s="319">
        <f>IF(AND('Ações'!AT157="sim", 'Ações'!BH157="sim"), 1, 0)
</f>
        <v>0</v>
      </c>
      <c r="Q156" s="319">
        <f>IF(AND('Ações'!AT157="sim", 'Ações'!BI157="sim"), 1, 0)
</f>
        <v>0</v>
      </c>
      <c r="R156" s="319">
        <f>IF(AND('Ações'!AU157="sim", 'Ações'!BD157="sim"), 1, 0)
</f>
        <v>1</v>
      </c>
      <c r="S156" s="319">
        <f>IF(AND('Ações'!AU157="sim", 'Ações'!BE157="sim"), 1, 0)
</f>
        <v>0</v>
      </c>
      <c r="T156" s="319">
        <f>IF(AND('Ações'!AU157="sim", 'Ações'!BG157="sim"), 1, 0)
</f>
        <v>0</v>
      </c>
      <c r="U156" s="319">
        <f>IF(AND('Ações'!AU157="sim", 'Ações'!BH157="sim"), 1, 0)
</f>
        <v>0</v>
      </c>
      <c r="V156" s="319">
        <f>IF(AND('Ações'!AU157="sim", 'Ações'!BI157="sim"), 1, 0)
</f>
        <v>0</v>
      </c>
      <c r="W156" s="319">
        <f>IF(AND('Ações'!AV157="sim", 'Ações'!BD157="sim"), 1, 0)
</f>
        <v>1</v>
      </c>
      <c r="X156" s="319">
        <f>IF(AND('Ações'!AV157="sim", 'Ações'!BE157="sim"), 1, 0)
</f>
        <v>0</v>
      </c>
      <c r="Y156" s="319">
        <f>IF(AND('Ações'!AV157="sim", 'Ações'!BF157="sim"), 1, 0)
</f>
        <v>0</v>
      </c>
      <c r="Z156" s="319">
        <f>IF(AND('Ações'!AV157="sim", 'Ações'!BH157="sim"), 1, 0)
</f>
        <v>0</v>
      </c>
      <c r="AA156" s="319">
        <f>IF(AND('Ações'!AV157="sim", 'Ações'!BI157="sim"), 1, 0)
</f>
        <v>0</v>
      </c>
      <c r="AB156" s="319">
        <f>IF(AND('Ações'!AW157="sim", 'Ações'!BD157="sim"), 1, 0)
</f>
        <v>1</v>
      </c>
      <c r="AC156" s="319">
        <f>IF(AND('Ações'!AW157="sim", 'Ações'!BE157="sim"), 1, 0)
</f>
        <v>0</v>
      </c>
      <c r="AD156" s="319">
        <f>IF(AND('Ações'!AW157="sim", 'Ações'!BF157="sim"), 1, 0)
</f>
        <v>0</v>
      </c>
      <c r="AE156" s="319">
        <f>IF(AND('Ações'!AW157="sim", 'Ações'!BG157="sim"), 1, 0)
</f>
        <v>0</v>
      </c>
      <c r="AF156" s="319">
        <f>IF(AND('Ações'!AW157="sim", 'Ações'!BI157="sim"), 1, 0)
</f>
        <v>0</v>
      </c>
      <c r="AG156" s="319">
        <f>IF(AND('Ações'!AX157="sim", 'Ações'!BD157="sim"), 1, 0)
</f>
        <v>0</v>
      </c>
      <c r="AH156" s="319">
        <f>IF(AND('Ações'!AX157="sim", 'Ações'!BE157="sim"), 1, 0)
</f>
        <v>0</v>
      </c>
      <c r="AI156" s="319">
        <f>IF(AND('Ações'!AX157="sim", 'Ações'!BF157="sim"), 1, 0)
</f>
        <v>0</v>
      </c>
      <c r="AJ156" s="319">
        <f>IF(AND('Ações'!AX157="sim", 'Ações'!BG157="sim"), 1, 0)
</f>
        <v>0</v>
      </c>
      <c r="AK156" s="319">
        <f>IF(AND('Ações'!AX157="sim", 'Ações'!BH157="sim"), 1, 0)
</f>
        <v>0</v>
      </c>
    </row>
    <row r="157">
      <c r="B157" s="319">
        <f>IF(AND('Ações'!AS158="sim", 'Ações'!BD158="sim"), 1, 0)
</f>
        <v>0</v>
      </c>
      <c r="C157" s="319">
        <f>IF(AND('Ações'!AT158="sim", 'Ações'!BE158="sim"), 1, 0)
</f>
        <v>0</v>
      </c>
      <c r="D157" s="319">
        <f>IF(AND('Ações'!AU158="sim", 'Ações'!BF158="sim"), 1, 0)
</f>
        <v>0</v>
      </c>
      <c r="E157" s="319">
        <f>IF(AND('Ações'!AV158="sim", 'Ações'!BG158="sim"), 1, 0)
</f>
        <v>0</v>
      </c>
      <c r="F157" s="319">
        <f>IF(AND('Ações'!AW158="sim", 'Ações'!BH158="sim"), 1, 0)
</f>
        <v>0</v>
      </c>
      <c r="G157" s="319">
        <f>IF(AND('Ações'!AX158="sim", 'Ações'!BI158="sim"), 1, 0)
</f>
        <v>0</v>
      </c>
      <c r="H157" s="319">
        <f>IF(AND('Ações'!AS158="sim", 'Ações'!BE158="sim"), 1, 0)
</f>
        <v>0</v>
      </c>
      <c r="I157" s="319">
        <f>IF(AND('Ações'!AS158="sim", 'Ações'!BF158="sim"), 1, 0)
</f>
        <v>0</v>
      </c>
      <c r="J157" s="319">
        <f>IF(AND('Ações'!AS158="sim", 'Ações'!BG158="sim"), 1, 0)
</f>
        <v>0</v>
      </c>
      <c r="K157" s="319">
        <f>IF(AND('Ações'!AS158="sim", 'Ações'!BH158="sim"), 1, 0)
</f>
        <v>0</v>
      </c>
      <c r="L157" s="319">
        <f>IF(AND('Ações'!AS158="sim", 'Ações'!BI158="sim"), 1, 0)
</f>
        <v>1</v>
      </c>
      <c r="M157" s="319">
        <f>IF(AND('Ações'!AT158="sim", 'Ações'!BD158="sim"), 1, 0)
</f>
        <v>0</v>
      </c>
      <c r="N157" s="319">
        <f>IF(AND('Ações'!AT158="sim", 'Ações'!BF158="sim"), 1, 0)
</f>
        <v>0</v>
      </c>
      <c r="O157" s="319">
        <f>IF(AND('Ações'!AT158="sim", 'Ações'!BG158="sim"), 1, 0)
</f>
        <v>0</v>
      </c>
      <c r="P157" s="319">
        <f>IF(AND('Ações'!AT158="sim", 'Ações'!BH158="sim"), 1, 0)
</f>
        <v>0</v>
      </c>
      <c r="Q157" s="319">
        <f>IF(AND('Ações'!AT158="sim", 'Ações'!BI158="sim"), 1, 0)
</f>
        <v>1</v>
      </c>
      <c r="R157" s="319">
        <f>IF(AND('Ações'!AU158="sim", 'Ações'!BD158="sim"), 1, 0)
</f>
        <v>0</v>
      </c>
      <c r="S157" s="319">
        <f>IF(AND('Ações'!AU158="sim", 'Ações'!BE158="sim"), 1, 0)
</f>
        <v>0</v>
      </c>
      <c r="T157" s="319">
        <f>IF(AND('Ações'!AU158="sim", 'Ações'!BG158="sim"), 1, 0)
</f>
        <v>0</v>
      </c>
      <c r="U157" s="319">
        <f>IF(AND('Ações'!AU158="sim", 'Ações'!BH158="sim"), 1, 0)
</f>
        <v>0</v>
      </c>
      <c r="V157" s="319">
        <f>IF(AND('Ações'!AU158="sim", 'Ações'!BI158="sim"), 1, 0)
</f>
        <v>1</v>
      </c>
      <c r="W157" s="319">
        <f>IF(AND('Ações'!AV158="sim", 'Ações'!BD158="sim"), 1, 0)
</f>
        <v>0</v>
      </c>
      <c r="X157" s="319">
        <f>IF(AND('Ações'!AV158="sim", 'Ações'!BE158="sim"), 1, 0)
</f>
        <v>0</v>
      </c>
      <c r="Y157" s="319">
        <f>IF(AND('Ações'!AV158="sim", 'Ações'!BF158="sim"), 1, 0)
</f>
        <v>0</v>
      </c>
      <c r="Z157" s="319">
        <f>IF(AND('Ações'!AV158="sim", 'Ações'!BH158="sim"), 1, 0)
</f>
        <v>0</v>
      </c>
      <c r="AA157" s="319">
        <f>IF(AND('Ações'!AV158="sim", 'Ações'!BI158="sim"), 1, 0)
</f>
        <v>1</v>
      </c>
      <c r="AB157" s="319">
        <f>IF(AND('Ações'!AW158="sim", 'Ações'!BD158="sim"), 1, 0)
</f>
        <v>0</v>
      </c>
      <c r="AC157" s="319">
        <f>IF(AND('Ações'!AW158="sim", 'Ações'!BE158="sim"), 1, 0)
</f>
        <v>0</v>
      </c>
      <c r="AD157" s="319">
        <f>IF(AND('Ações'!AW158="sim", 'Ações'!BF158="sim"), 1, 0)
</f>
        <v>0</v>
      </c>
      <c r="AE157" s="319">
        <f>IF(AND('Ações'!AW158="sim", 'Ações'!BG158="sim"), 1, 0)
</f>
        <v>0</v>
      </c>
      <c r="AF157" s="319">
        <f>IF(AND('Ações'!AW158="sim", 'Ações'!BI158="sim"), 1, 0)
</f>
        <v>1</v>
      </c>
      <c r="AG157" s="319">
        <f>IF(AND('Ações'!AX158="sim", 'Ações'!BD158="sim"), 1, 0)
</f>
        <v>0</v>
      </c>
      <c r="AH157" s="319">
        <f>IF(AND('Ações'!AX158="sim", 'Ações'!BE158="sim"), 1, 0)
</f>
        <v>0</v>
      </c>
      <c r="AI157" s="319">
        <f>IF(AND('Ações'!AX158="sim", 'Ações'!BF158="sim"), 1, 0)
</f>
        <v>0</v>
      </c>
      <c r="AJ157" s="319">
        <f>IF(AND('Ações'!AX158="sim", 'Ações'!BG158="sim"), 1, 0)
</f>
        <v>0</v>
      </c>
      <c r="AK157" s="319">
        <f>IF(AND('Ações'!AX158="sim", 'Ações'!BH158="sim"), 1, 0)
</f>
        <v>0</v>
      </c>
    </row>
    <row r="158">
      <c r="B158" s="319">
        <f>IF(AND('Ações'!AS159="sim", 'Ações'!BD159="sim"), 1, 0)
</f>
        <v>0</v>
      </c>
      <c r="C158" s="319">
        <f>IF(AND('Ações'!AT159="sim", 'Ações'!BE159="sim"), 1, 0)
</f>
        <v>0</v>
      </c>
      <c r="D158" s="319">
        <f>IF(AND('Ações'!AU159="sim", 'Ações'!BF159="sim"), 1, 0)
</f>
        <v>0</v>
      </c>
      <c r="E158" s="319">
        <f>IF(AND('Ações'!AV159="sim", 'Ações'!BG159="sim"), 1, 0)
</f>
        <v>0</v>
      </c>
      <c r="F158" s="319">
        <f>IF(AND('Ações'!AW159="sim", 'Ações'!BH159="sim"), 1, 0)
</f>
        <v>0</v>
      </c>
      <c r="G158" s="319">
        <f>IF(AND('Ações'!AX159="sim", 'Ações'!BI159="sim"), 1, 0)
</f>
        <v>0</v>
      </c>
      <c r="H158" s="319">
        <f>IF(AND('Ações'!AS159="sim", 'Ações'!BE159="sim"), 1, 0)
</f>
        <v>0</v>
      </c>
      <c r="I158" s="319">
        <f>IF(AND('Ações'!AS159="sim", 'Ações'!BF159="sim"), 1, 0)
</f>
        <v>0</v>
      </c>
      <c r="J158" s="319">
        <f>IF(AND('Ações'!AS159="sim", 'Ações'!BG159="sim"), 1, 0)
</f>
        <v>0</v>
      </c>
      <c r="K158" s="319">
        <f>IF(AND('Ações'!AS159="sim", 'Ações'!BH159="sim"), 1, 0)
</f>
        <v>0</v>
      </c>
      <c r="L158" s="319">
        <f>IF(AND('Ações'!AS159="sim", 'Ações'!BI159="sim"), 1, 0)
</f>
        <v>0</v>
      </c>
      <c r="M158" s="319">
        <f>IF(AND('Ações'!AT159="sim", 'Ações'!BD159="sim"), 1, 0)
</f>
        <v>0</v>
      </c>
      <c r="N158" s="319">
        <f>IF(AND('Ações'!AT159="sim", 'Ações'!BF159="sim"), 1, 0)
</f>
        <v>0</v>
      </c>
      <c r="O158" s="319">
        <f>IF(AND('Ações'!AT159="sim", 'Ações'!BG159="sim"), 1, 0)
</f>
        <v>0</v>
      </c>
      <c r="P158" s="319">
        <f>IF(AND('Ações'!AT159="sim", 'Ações'!BH159="sim"), 1, 0)
</f>
        <v>0</v>
      </c>
      <c r="Q158" s="319">
        <f>IF(AND('Ações'!AT159="sim", 'Ações'!BI159="sim"), 1, 0)
</f>
        <v>0</v>
      </c>
      <c r="R158" s="319">
        <f>IF(AND('Ações'!AU159="sim", 'Ações'!BD159="sim"), 1, 0)
</f>
        <v>0</v>
      </c>
      <c r="S158" s="319">
        <f>IF(AND('Ações'!AU159="sim", 'Ações'!BE159="sim"), 1, 0)
</f>
        <v>0</v>
      </c>
      <c r="T158" s="319">
        <f>IF(AND('Ações'!AU159="sim", 'Ações'!BG159="sim"), 1, 0)
</f>
        <v>0</v>
      </c>
      <c r="U158" s="319">
        <f>IF(AND('Ações'!AU159="sim", 'Ações'!BH159="sim"), 1, 0)
</f>
        <v>0</v>
      </c>
      <c r="V158" s="319">
        <f>IF(AND('Ações'!AU159="sim", 'Ações'!BI159="sim"), 1, 0)
</f>
        <v>0</v>
      </c>
      <c r="W158" s="319">
        <f>IF(AND('Ações'!AV159="sim", 'Ações'!BD159="sim"), 1, 0)
</f>
        <v>0</v>
      </c>
      <c r="X158" s="319">
        <f>IF(AND('Ações'!AV159="sim", 'Ações'!BE159="sim"), 1, 0)
</f>
        <v>0</v>
      </c>
      <c r="Y158" s="319">
        <f>IF(AND('Ações'!AV159="sim", 'Ações'!BF159="sim"), 1, 0)
</f>
        <v>0</v>
      </c>
      <c r="Z158" s="319">
        <f>IF(AND('Ações'!AV159="sim", 'Ações'!BH159="sim"), 1, 0)
</f>
        <v>0</v>
      </c>
      <c r="AA158" s="319">
        <f>IF(AND('Ações'!AV159="sim", 'Ações'!BI159="sim"), 1, 0)
</f>
        <v>0</v>
      </c>
      <c r="AB158" s="319">
        <f>IF(AND('Ações'!AW159="sim", 'Ações'!BD159="sim"), 1, 0)
</f>
        <v>0</v>
      </c>
      <c r="AC158" s="319">
        <f>IF(AND('Ações'!AW159="sim", 'Ações'!BE159="sim"), 1, 0)
</f>
        <v>0</v>
      </c>
      <c r="AD158" s="319">
        <f>IF(AND('Ações'!AW159="sim", 'Ações'!BF159="sim"), 1, 0)
</f>
        <v>0</v>
      </c>
      <c r="AE158" s="319">
        <f>IF(AND('Ações'!AW159="sim", 'Ações'!BG159="sim"), 1, 0)
</f>
        <v>0</v>
      </c>
      <c r="AF158" s="319">
        <f>IF(AND('Ações'!AW159="sim", 'Ações'!BI159="sim"), 1, 0)
</f>
        <v>0</v>
      </c>
      <c r="AG158" s="319">
        <f>IF(AND('Ações'!AX159="sim", 'Ações'!BD159="sim"), 1, 0)
</f>
        <v>0</v>
      </c>
      <c r="AH158" s="319">
        <f>IF(AND('Ações'!AX159="sim", 'Ações'!BE159="sim"), 1, 0)
</f>
        <v>0</v>
      </c>
      <c r="AI158" s="319">
        <f>IF(AND('Ações'!AX159="sim", 'Ações'!BF159="sim"), 1, 0)
</f>
        <v>0</v>
      </c>
      <c r="AJ158" s="319">
        <f>IF(AND('Ações'!AX159="sim", 'Ações'!BG159="sim"), 1, 0)
</f>
        <v>0</v>
      </c>
      <c r="AK158" s="319">
        <f>IF(AND('Ações'!AX159="sim", 'Ações'!BH159="sim"), 1, 0)
</f>
        <v>0</v>
      </c>
    </row>
    <row r="159">
      <c r="B159" s="319">
        <f>IF(AND('Ações'!AS160="sim", 'Ações'!BD160="sim"), 1, 0)
</f>
        <v>0</v>
      </c>
      <c r="C159" s="319">
        <f>IF(AND('Ações'!AT160="sim", 'Ações'!BE160="sim"), 1, 0)
</f>
        <v>0</v>
      </c>
      <c r="D159" s="319">
        <f>IF(AND('Ações'!AU160="sim", 'Ações'!BF160="sim"), 1, 0)
</f>
        <v>0</v>
      </c>
      <c r="E159" s="319">
        <f>IF(AND('Ações'!AV160="sim", 'Ações'!BG160="sim"), 1, 0)
</f>
        <v>0</v>
      </c>
      <c r="F159" s="319">
        <f>IF(AND('Ações'!AW160="sim", 'Ações'!BH160="sim"), 1, 0)
</f>
        <v>0</v>
      </c>
      <c r="G159" s="319">
        <f>IF(AND('Ações'!AX160="sim", 'Ações'!BI160="sim"), 1, 0)
</f>
        <v>0</v>
      </c>
      <c r="H159" s="319">
        <f>IF(AND('Ações'!AS160="sim", 'Ações'!BE160="sim"), 1, 0)
</f>
        <v>0</v>
      </c>
      <c r="I159" s="319">
        <f>IF(AND('Ações'!AS160="sim", 'Ações'!BF160="sim"), 1, 0)
</f>
        <v>0</v>
      </c>
      <c r="J159" s="319">
        <f>IF(AND('Ações'!AS160="sim", 'Ações'!BG160="sim"), 1, 0)
</f>
        <v>0</v>
      </c>
      <c r="K159" s="319">
        <f>IF(AND('Ações'!AS160="sim", 'Ações'!BH160="sim"), 1, 0)
</f>
        <v>0</v>
      </c>
      <c r="L159" s="319">
        <f>IF(AND('Ações'!AS160="sim", 'Ações'!BI160="sim"), 1, 0)
</f>
        <v>1</v>
      </c>
      <c r="M159" s="319">
        <f>IF(AND('Ações'!AT160="sim", 'Ações'!BD160="sim"), 1, 0)
</f>
        <v>0</v>
      </c>
      <c r="N159" s="319">
        <f>IF(AND('Ações'!AT160="sim", 'Ações'!BF160="sim"), 1, 0)
</f>
        <v>0</v>
      </c>
      <c r="O159" s="319">
        <f>IF(AND('Ações'!AT160="sim", 'Ações'!BG160="sim"), 1, 0)
</f>
        <v>0</v>
      </c>
      <c r="P159" s="319">
        <f>IF(AND('Ações'!AT160="sim", 'Ações'!BH160="sim"), 1, 0)
</f>
        <v>0</v>
      </c>
      <c r="Q159" s="319">
        <f>IF(AND('Ações'!AT160="sim", 'Ações'!BI160="sim"), 1, 0)
</f>
        <v>1</v>
      </c>
      <c r="R159" s="319">
        <f>IF(AND('Ações'!AU160="sim", 'Ações'!BD160="sim"), 1, 0)
</f>
        <v>0</v>
      </c>
      <c r="S159" s="319">
        <f>IF(AND('Ações'!AU160="sim", 'Ações'!BE160="sim"), 1, 0)
</f>
        <v>0</v>
      </c>
      <c r="T159" s="319">
        <f>IF(AND('Ações'!AU160="sim", 'Ações'!BG160="sim"), 1, 0)
</f>
        <v>0</v>
      </c>
      <c r="U159" s="319">
        <f>IF(AND('Ações'!AU160="sim", 'Ações'!BH160="sim"), 1, 0)
</f>
        <v>0</v>
      </c>
      <c r="V159" s="319">
        <f>IF(AND('Ações'!AU160="sim", 'Ações'!BI160="sim"), 1, 0)
</f>
        <v>1</v>
      </c>
      <c r="W159" s="319">
        <f>IF(AND('Ações'!AV160="sim", 'Ações'!BD160="sim"), 1, 0)
</f>
        <v>0</v>
      </c>
      <c r="X159" s="319">
        <f>IF(AND('Ações'!AV160="sim", 'Ações'!BE160="sim"), 1, 0)
</f>
        <v>0</v>
      </c>
      <c r="Y159" s="319">
        <f>IF(AND('Ações'!AV160="sim", 'Ações'!BF160="sim"), 1, 0)
</f>
        <v>0</v>
      </c>
      <c r="Z159" s="319">
        <f>IF(AND('Ações'!AV160="sim", 'Ações'!BH160="sim"), 1, 0)
</f>
        <v>0</v>
      </c>
      <c r="AA159" s="319">
        <f>IF(AND('Ações'!AV160="sim", 'Ações'!BI160="sim"), 1, 0)
</f>
        <v>1</v>
      </c>
      <c r="AB159" s="319">
        <f>IF(AND('Ações'!AW160="sim", 'Ações'!BD160="sim"), 1, 0)
</f>
        <v>0</v>
      </c>
      <c r="AC159" s="319">
        <f>IF(AND('Ações'!AW160="sim", 'Ações'!BE160="sim"), 1, 0)
</f>
        <v>0</v>
      </c>
      <c r="AD159" s="319">
        <f>IF(AND('Ações'!AW160="sim", 'Ações'!BF160="sim"), 1, 0)
</f>
        <v>0</v>
      </c>
      <c r="AE159" s="319">
        <f>IF(AND('Ações'!AW160="sim", 'Ações'!BG160="sim"), 1, 0)
</f>
        <v>0</v>
      </c>
      <c r="AF159" s="319">
        <f>IF(AND('Ações'!AW160="sim", 'Ações'!BI160="sim"), 1, 0)
</f>
        <v>1</v>
      </c>
      <c r="AG159" s="319">
        <f>IF(AND('Ações'!AX160="sim", 'Ações'!BD160="sim"), 1, 0)
</f>
        <v>0</v>
      </c>
      <c r="AH159" s="319">
        <f>IF(AND('Ações'!AX160="sim", 'Ações'!BE160="sim"), 1, 0)
</f>
        <v>0</v>
      </c>
      <c r="AI159" s="319">
        <f>IF(AND('Ações'!AX160="sim", 'Ações'!BF160="sim"), 1, 0)
</f>
        <v>0</v>
      </c>
      <c r="AJ159" s="319">
        <f>IF(AND('Ações'!AX160="sim", 'Ações'!BG160="sim"), 1, 0)
</f>
        <v>0</v>
      </c>
      <c r="AK159" s="319">
        <f>IF(AND('Ações'!AX160="sim", 'Ações'!BH160="sim"), 1, 0)
</f>
        <v>0</v>
      </c>
    </row>
    <row r="160">
      <c r="B160" s="319">
        <f>IF(AND('Ações'!AS161="sim", 'Ações'!BD161="sim"), 1, 0)
</f>
        <v>0</v>
      </c>
      <c r="C160" s="319">
        <f>IF(AND('Ações'!AT161="sim", 'Ações'!BE161="sim"), 1, 0)
</f>
        <v>0</v>
      </c>
      <c r="D160" s="319">
        <f>IF(AND('Ações'!AU161="sim", 'Ações'!BF161="sim"), 1, 0)
</f>
        <v>0</v>
      </c>
      <c r="E160" s="319">
        <f>IF(AND('Ações'!AV161="sim", 'Ações'!BG161="sim"), 1, 0)
</f>
        <v>0</v>
      </c>
      <c r="F160" s="319">
        <f>IF(AND('Ações'!AW161="sim", 'Ações'!BH161="sim"), 1, 0)
</f>
        <v>0</v>
      </c>
      <c r="G160" s="319">
        <f>IF(AND('Ações'!AX161="sim", 'Ações'!BI161="sim"), 1, 0)
</f>
        <v>0</v>
      </c>
      <c r="H160" s="319">
        <f>IF(AND('Ações'!AS161="sim", 'Ações'!BE161="sim"), 1, 0)
</f>
        <v>0</v>
      </c>
      <c r="I160" s="319">
        <f>IF(AND('Ações'!AS161="sim", 'Ações'!BF161="sim"), 1, 0)
</f>
        <v>0</v>
      </c>
      <c r="J160" s="319">
        <f>IF(AND('Ações'!AS161="sim", 'Ações'!BG161="sim"), 1, 0)
</f>
        <v>0</v>
      </c>
      <c r="K160" s="319">
        <f>IF(AND('Ações'!AS161="sim", 'Ações'!BH161="sim"), 1, 0)
</f>
        <v>0</v>
      </c>
      <c r="L160" s="319">
        <f>IF(AND('Ações'!AS161="sim", 'Ações'!BI161="sim"), 1, 0)
</f>
        <v>1</v>
      </c>
      <c r="M160" s="319">
        <f>IF(AND('Ações'!AT161="sim", 'Ações'!BD161="sim"), 1, 0)
</f>
        <v>0</v>
      </c>
      <c r="N160" s="319">
        <f>IF(AND('Ações'!AT161="sim", 'Ações'!BF161="sim"), 1, 0)
</f>
        <v>0</v>
      </c>
      <c r="O160" s="319">
        <f>IF(AND('Ações'!AT161="sim", 'Ações'!BG161="sim"), 1, 0)
</f>
        <v>0</v>
      </c>
      <c r="P160" s="319">
        <f>IF(AND('Ações'!AT161="sim", 'Ações'!BH161="sim"), 1, 0)
</f>
        <v>0</v>
      </c>
      <c r="Q160" s="319">
        <f>IF(AND('Ações'!AT161="sim", 'Ações'!BI161="sim"), 1, 0)
</f>
        <v>1</v>
      </c>
      <c r="R160" s="319">
        <f>IF(AND('Ações'!AU161="sim", 'Ações'!BD161="sim"), 1, 0)
</f>
        <v>0</v>
      </c>
      <c r="S160" s="319">
        <f>IF(AND('Ações'!AU161="sim", 'Ações'!BE161="sim"), 1, 0)
</f>
        <v>0</v>
      </c>
      <c r="T160" s="319">
        <f>IF(AND('Ações'!AU161="sim", 'Ações'!BG161="sim"), 1, 0)
</f>
        <v>0</v>
      </c>
      <c r="U160" s="319">
        <f>IF(AND('Ações'!AU161="sim", 'Ações'!BH161="sim"), 1, 0)
</f>
        <v>0</v>
      </c>
      <c r="V160" s="319">
        <f>IF(AND('Ações'!AU161="sim", 'Ações'!BI161="sim"), 1, 0)
</f>
        <v>1</v>
      </c>
      <c r="W160" s="319">
        <f>IF(AND('Ações'!AV161="sim", 'Ações'!BD161="sim"), 1, 0)
</f>
        <v>0</v>
      </c>
      <c r="X160" s="319">
        <f>IF(AND('Ações'!AV161="sim", 'Ações'!BE161="sim"), 1, 0)
</f>
        <v>0</v>
      </c>
      <c r="Y160" s="319">
        <f>IF(AND('Ações'!AV161="sim", 'Ações'!BF161="sim"), 1, 0)
</f>
        <v>0</v>
      </c>
      <c r="Z160" s="319">
        <f>IF(AND('Ações'!AV161="sim", 'Ações'!BH161="sim"), 1, 0)
</f>
        <v>0</v>
      </c>
      <c r="AA160" s="319">
        <f>IF(AND('Ações'!AV161="sim", 'Ações'!BI161="sim"), 1, 0)
</f>
        <v>1</v>
      </c>
      <c r="AB160" s="319">
        <f>IF(AND('Ações'!AW161="sim", 'Ações'!BD161="sim"), 1, 0)
</f>
        <v>0</v>
      </c>
      <c r="AC160" s="319">
        <f>IF(AND('Ações'!AW161="sim", 'Ações'!BE161="sim"), 1, 0)
</f>
        <v>0</v>
      </c>
      <c r="AD160" s="319">
        <f>IF(AND('Ações'!AW161="sim", 'Ações'!BF161="sim"), 1, 0)
</f>
        <v>0</v>
      </c>
      <c r="AE160" s="319">
        <f>IF(AND('Ações'!AW161="sim", 'Ações'!BG161="sim"), 1, 0)
</f>
        <v>0</v>
      </c>
      <c r="AF160" s="319">
        <f>IF(AND('Ações'!AW161="sim", 'Ações'!BI161="sim"), 1, 0)
</f>
        <v>0</v>
      </c>
      <c r="AG160" s="319">
        <f>IF(AND('Ações'!AX161="sim", 'Ações'!BD161="sim"), 1, 0)
</f>
        <v>0</v>
      </c>
      <c r="AH160" s="319">
        <f>IF(AND('Ações'!AX161="sim", 'Ações'!BE161="sim"), 1, 0)
</f>
        <v>0</v>
      </c>
      <c r="AI160" s="319">
        <f>IF(AND('Ações'!AX161="sim", 'Ações'!BF161="sim"), 1, 0)
</f>
        <v>0</v>
      </c>
      <c r="AJ160" s="319">
        <f>IF(AND('Ações'!AX161="sim", 'Ações'!BG161="sim"), 1, 0)
</f>
        <v>0</v>
      </c>
      <c r="AK160" s="319">
        <f>IF(AND('Ações'!AX161="sim", 'Ações'!BH161="sim"), 1, 0)
</f>
        <v>0</v>
      </c>
    </row>
    <row r="161">
      <c r="B161" s="319">
        <f>IF(AND('Ações'!AS162="sim", 'Ações'!BD162="sim"), 1, 0)
</f>
        <v>0</v>
      </c>
      <c r="C161" s="319">
        <f>IF(AND('Ações'!AT162="sim", 'Ações'!BE162="sim"), 1, 0)
</f>
        <v>0</v>
      </c>
      <c r="D161" s="319">
        <f>IF(AND('Ações'!AU162="sim", 'Ações'!BF162="sim"), 1, 0)
</f>
        <v>0</v>
      </c>
      <c r="E161" s="319">
        <f>IF(AND('Ações'!AV162="sim", 'Ações'!BG162="sim"), 1, 0)
</f>
        <v>0</v>
      </c>
      <c r="F161" s="319">
        <f>IF(AND('Ações'!AW162="sim", 'Ações'!BH162="sim"), 1, 0)
</f>
        <v>0</v>
      </c>
      <c r="G161" s="319">
        <f>IF(AND('Ações'!AX162="sim", 'Ações'!BI162="sim"), 1, 0)
</f>
        <v>0</v>
      </c>
      <c r="H161" s="319">
        <f>IF(AND('Ações'!AS162="sim", 'Ações'!BE162="sim"), 1, 0)
</f>
        <v>0</v>
      </c>
      <c r="I161" s="319">
        <f>IF(AND('Ações'!AS162="sim", 'Ações'!BF162="sim"), 1, 0)
</f>
        <v>0</v>
      </c>
      <c r="J161" s="319">
        <f>IF(AND('Ações'!AS162="sim", 'Ações'!BG162="sim"), 1, 0)
</f>
        <v>0</v>
      </c>
      <c r="K161" s="319">
        <f>IF(AND('Ações'!AS162="sim", 'Ações'!BH162="sim"), 1, 0)
</f>
        <v>0</v>
      </c>
      <c r="L161" s="319">
        <f>IF(AND('Ações'!AS162="sim", 'Ações'!BI162="sim"), 1, 0)
</f>
        <v>1</v>
      </c>
      <c r="M161" s="319">
        <f>IF(AND('Ações'!AT162="sim", 'Ações'!BD162="sim"), 1, 0)
</f>
        <v>0</v>
      </c>
      <c r="N161" s="319">
        <f>IF(AND('Ações'!AT162="sim", 'Ações'!BF162="sim"), 1, 0)
</f>
        <v>0</v>
      </c>
      <c r="O161" s="319">
        <f>IF(AND('Ações'!AT162="sim", 'Ações'!BG162="sim"), 1, 0)
</f>
        <v>0</v>
      </c>
      <c r="P161" s="319">
        <f>IF(AND('Ações'!AT162="sim", 'Ações'!BH162="sim"), 1, 0)
</f>
        <v>0</v>
      </c>
      <c r="Q161" s="319">
        <f>IF(AND('Ações'!AT162="sim", 'Ações'!BI162="sim"), 1, 0)
</f>
        <v>1</v>
      </c>
      <c r="R161" s="319">
        <f>IF(AND('Ações'!AU162="sim", 'Ações'!BD162="sim"), 1, 0)
</f>
        <v>0</v>
      </c>
      <c r="S161" s="319">
        <f>IF(AND('Ações'!AU162="sim", 'Ações'!BE162="sim"), 1, 0)
</f>
        <v>0</v>
      </c>
      <c r="T161" s="319">
        <f>IF(AND('Ações'!AU162="sim", 'Ações'!BG162="sim"), 1, 0)
</f>
        <v>0</v>
      </c>
      <c r="U161" s="319">
        <f>IF(AND('Ações'!AU162="sim", 'Ações'!BH162="sim"), 1, 0)
</f>
        <v>0</v>
      </c>
      <c r="V161" s="319">
        <f>IF(AND('Ações'!AU162="sim", 'Ações'!BI162="sim"), 1, 0)
</f>
        <v>1</v>
      </c>
      <c r="W161" s="319">
        <f>IF(AND('Ações'!AV162="sim", 'Ações'!BD162="sim"), 1, 0)
</f>
        <v>0</v>
      </c>
      <c r="X161" s="319">
        <f>IF(AND('Ações'!AV162="sim", 'Ações'!BE162="sim"), 1, 0)
</f>
        <v>0</v>
      </c>
      <c r="Y161" s="319">
        <f>IF(AND('Ações'!AV162="sim", 'Ações'!BF162="sim"), 1, 0)
</f>
        <v>0</v>
      </c>
      <c r="Z161" s="319">
        <f>IF(AND('Ações'!AV162="sim", 'Ações'!BH162="sim"), 1, 0)
</f>
        <v>0</v>
      </c>
      <c r="AA161" s="319">
        <f>IF(AND('Ações'!AV162="sim", 'Ações'!BI162="sim"), 1, 0)
</f>
        <v>1</v>
      </c>
      <c r="AB161" s="319">
        <f>IF(AND('Ações'!AW162="sim", 'Ações'!BD162="sim"), 1, 0)
</f>
        <v>0</v>
      </c>
      <c r="AC161" s="319">
        <f>IF(AND('Ações'!AW162="sim", 'Ações'!BE162="sim"), 1, 0)
</f>
        <v>0</v>
      </c>
      <c r="AD161" s="319">
        <f>IF(AND('Ações'!AW162="sim", 'Ações'!BF162="sim"), 1, 0)
</f>
        <v>0</v>
      </c>
      <c r="AE161" s="319">
        <f>IF(AND('Ações'!AW162="sim", 'Ações'!BG162="sim"), 1, 0)
</f>
        <v>0</v>
      </c>
      <c r="AF161" s="319">
        <f>IF(AND('Ações'!AW162="sim", 'Ações'!BI162="sim"), 1, 0)
</f>
        <v>0</v>
      </c>
      <c r="AG161" s="319">
        <f>IF(AND('Ações'!AX162="sim", 'Ações'!BD162="sim"), 1, 0)
</f>
        <v>0</v>
      </c>
      <c r="AH161" s="319">
        <f>IF(AND('Ações'!AX162="sim", 'Ações'!BE162="sim"), 1, 0)
</f>
        <v>0</v>
      </c>
      <c r="AI161" s="319">
        <f>IF(AND('Ações'!AX162="sim", 'Ações'!BF162="sim"), 1, 0)
</f>
        <v>0</v>
      </c>
      <c r="AJ161" s="319">
        <f>IF(AND('Ações'!AX162="sim", 'Ações'!BG162="sim"), 1, 0)
</f>
        <v>0</v>
      </c>
      <c r="AK161" s="319">
        <f>IF(AND('Ações'!AX162="sim", 'Ações'!BH162="sim"), 1, 0)
</f>
        <v>0</v>
      </c>
    </row>
    <row r="162">
      <c r="B162" s="319">
        <f>IF(AND('Ações'!AS163="sim", 'Ações'!BD163="sim"), 1, 0)
</f>
        <v>1</v>
      </c>
      <c r="C162" s="319">
        <f>IF(AND('Ações'!AT163="sim", 'Ações'!BE163="sim"), 1, 0)
</f>
        <v>0</v>
      </c>
      <c r="D162" s="319">
        <f>IF(AND('Ações'!AU163="sim", 'Ações'!BF163="sim"), 1, 0)
</f>
        <v>0</v>
      </c>
      <c r="E162" s="319">
        <f>IF(AND('Ações'!AV163="sim", 'Ações'!BG163="sim"), 1, 0)
</f>
        <v>1</v>
      </c>
      <c r="F162" s="319">
        <f>IF(AND('Ações'!AW163="sim", 'Ações'!BH163="sim"), 1, 0)
</f>
        <v>0</v>
      </c>
      <c r="G162" s="319">
        <f>IF(AND('Ações'!AX163="sim", 'Ações'!BI163="sim"), 1, 0)
</f>
        <v>0</v>
      </c>
      <c r="H162" s="319">
        <f>IF(AND('Ações'!AS163="sim", 'Ações'!BE163="sim"), 1, 0)
</f>
        <v>0</v>
      </c>
      <c r="I162" s="319">
        <f>IF(AND('Ações'!AS163="sim", 'Ações'!BF163="sim"), 1, 0)
</f>
        <v>0</v>
      </c>
      <c r="J162" s="319">
        <f>IF(AND('Ações'!AS163="sim", 'Ações'!BG163="sim"), 1, 0)
</f>
        <v>1</v>
      </c>
      <c r="K162" s="319">
        <f>IF(AND('Ações'!AS163="sim", 'Ações'!BH163="sim"), 1, 0)
</f>
        <v>0</v>
      </c>
      <c r="L162" s="319">
        <f>IF(AND('Ações'!AS163="sim", 'Ações'!BI163="sim"), 1, 0)
</f>
        <v>0</v>
      </c>
      <c r="M162" s="319">
        <f>IF(AND('Ações'!AT163="sim", 'Ações'!BD163="sim"), 1, 0)
</f>
        <v>1</v>
      </c>
      <c r="N162" s="319">
        <f>IF(AND('Ações'!AT163="sim", 'Ações'!BF163="sim"), 1, 0)
</f>
        <v>0</v>
      </c>
      <c r="O162" s="319">
        <f>IF(AND('Ações'!AT163="sim", 'Ações'!BG163="sim"), 1, 0)
</f>
        <v>1</v>
      </c>
      <c r="P162" s="319">
        <f>IF(AND('Ações'!AT163="sim", 'Ações'!BH163="sim"), 1, 0)
</f>
        <v>0</v>
      </c>
      <c r="Q162" s="319">
        <f>IF(AND('Ações'!AT163="sim", 'Ações'!BI163="sim"), 1, 0)
</f>
        <v>0</v>
      </c>
      <c r="R162" s="319">
        <f>IF(AND('Ações'!AU163="sim", 'Ações'!BD163="sim"), 1, 0)
</f>
        <v>1</v>
      </c>
      <c r="S162" s="319">
        <f>IF(AND('Ações'!AU163="sim", 'Ações'!BE163="sim"), 1, 0)
</f>
        <v>0</v>
      </c>
      <c r="T162" s="319">
        <f>IF(AND('Ações'!AU163="sim", 'Ações'!BG163="sim"), 1, 0)
</f>
        <v>1</v>
      </c>
      <c r="U162" s="319">
        <f>IF(AND('Ações'!AU163="sim", 'Ações'!BH163="sim"), 1, 0)
</f>
        <v>0</v>
      </c>
      <c r="V162" s="319">
        <f>IF(AND('Ações'!AU163="sim", 'Ações'!BI163="sim"), 1, 0)
</f>
        <v>0</v>
      </c>
      <c r="W162" s="319">
        <f>IF(AND('Ações'!AV163="sim", 'Ações'!BD163="sim"), 1, 0)
</f>
        <v>1</v>
      </c>
      <c r="X162" s="319">
        <f>IF(AND('Ações'!AV163="sim", 'Ações'!BE163="sim"), 1, 0)
</f>
        <v>0</v>
      </c>
      <c r="Y162" s="319">
        <f>IF(AND('Ações'!AV163="sim", 'Ações'!BF163="sim"), 1, 0)
</f>
        <v>0</v>
      </c>
      <c r="Z162" s="319">
        <f>IF(AND('Ações'!AV163="sim", 'Ações'!BH163="sim"), 1, 0)
</f>
        <v>0</v>
      </c>
      <c r="AA162" s="319">
        <f>IF(AND('Ações'!AV163="sim", 'Ações'!BI163="sim"), 1, 0)
</f>
        <v>0</v>
      </c>
      <c r="AB162" s="319">
        <f>IF(AND('Ações'!AW163="sim", 'Ações'!BD163="sim"), 1, 0)
</f>
        <v>0</v>
      </c>
      <c r="AC162" s="319">
        <f>IF(AND('Ações'!AW163="sim", 'Ações'!BE163="sim"), 1, 0)
</f>
        <v>0</v>
      </c>
      <c r="AD162" s="319">
        <f>IF(AND('Ações'!AW163="sim", 'Ações'!BF163="sim"), 1, 0)
</f>
        <v>0</v>
      </c>
      <c r="AE162" s="319">
        <f>IF(AND('Ações'!AW163="sim", 'Ações'!BG163="sim"), 1, 0)
</f>
        <v>0</v>
      </c>
      <c r="AF162" s="319">
        <f>IF(AND('Ações'!AW163="sim", 'Ações'!BI163="sim"), 1, 0)
</f>
        <v>0</v>
      </c>
      <c r="AG162" s="319">
        <f>IF(AND('Ações'!AX163="sim", 'Ações'!BD163="sim"), 1, 0)
</f>
        <v>0</v>
      </c>
      <c r="AH162" s="319">
        <f>IF(AND('Ações'!AX163="sim", 'Ações'!BE163="sim"), 1, 0)
</f>
        <v>0</v>
      </c>
      <c r="AI162" s="319">
        <f>IF(AND('Ações'!AX163="sim", 'Ações'!BF163="sim"), 1, 0)
</f>
        <v>0</v>
      </c>
      <c r="AJ162" s="319">
        <f>IF(AND('Ações'!AX163="sim", 'Ações'!BG163="sim"), 1, 0)
</f>
        <v>0</v>
      </c>
      <c r="AK162" s="319">
        <f>IF(AND('Ações'!AX163="sim", 'Ações'!BH163="sim"), 1, 0)
</f>
        <v>0</v>
      </c>
    </row>
    <row r="163">
      <c r="B163" s="319">
        <f>IF(AND('Ações'!AS164="sim", 'Ações'!BD164="sim"), 1, 0)
</f>
        <v>1</v>
      </c>
      <c r="C163" s="319">
        <f>IF(AND('Ações'!AT164="sim", 'Ações'!BE164="sim"), 1, 0)
</f>
        <v>0</v>
      </c>
      <c r="D163" s="319">
        <f>IF(AND('Ações'!AU164="sim", 'Ações'!BF164="sim"), 1, 0)
</f>
        <v>0</v>
      </c>
      <c r="E163" s="319">
        <f>IF(AND('Ações'!AV164="sim", 'Ações'!BG164="sim"), 1, 0)
</f>
        <v>0</v>
      </c>
      <c r="F163" s="319">
        <f>IF(AND('Ações'!AW164="sim", 'Ações'!BH164="sim"), 1, 0)
</f>
        <v>0</v>
      </c>
      <c r="G163" s="319">
        <f>IF(AND('Ações'!AX164="sim", 'Ações'!BI164="sim"), 1, 0)
</f>
        <v>0</v>
      </c>
      <c r="H163" s="319">
        <f>IF(AND('Ações'!AS164="sim", 'Ações'!BE164="sim"), 1, 0)
</f>
        <v>0</v>
      </c>
      <c r="I163" s="319">
        <f>IF(AND('Ações'!AS164="sim", 'Ações'!BF164="sim"), 1, 0)
</f>
        <v>0</v>
      </c>
      <c r="J163" s="319">
        <f>IF(AND('Ações'!AS164="sim", 'Ações'!BG164="sim"), 1, 0)
</f>
        <v>0</v>
      </c>
      <c r="K163" s="319">
        <f>IF(AND('Ações'!AS164="sim", 'Ações'!BH164="sim"), 1, 0)
</f>
        <v>0</v>
      </c>
      <c r="L163" s="319">
        <f>IF(AND('Ações'!AS164="sim", 'Ações'!BI164="sim"), 1, 0)
</f>
        <v>0</v>
      </c>
      <c r="M163" s="319">
        <f>IF(AND('Ações'!AT164="sim", 'Ações'!BD164="sim"), 1, 0)
</f>
        <v>1</v>
      </c>
      <c r="N163" s="319">
        <f>IF(AND('Ações'!AT164="sim", 'Ações'!BF164="sim"), 1, 0)
</f>
        <v>0</v>
      </c>
      <c r="O163" s="319">
        <f>IF(AND('Ações'!AT164="sim", 'Ações'!BG164="sim"), 1, 0)
</f>
        <v>0</v>
      </c>
      <c r="P163" s="319">
        <f>IF(AND('Ações'!AT164="sim", 'Ações'!BH164="sim"), 1, 0)
</f>
        <v>0</v>
      </c>
      <c r="Q163" s="319">
        <f>IF(AND('Ações'!AT164="sim", 'Ações'!BI164="sim"), 1, 0)
</f>
        <v>0</v>
      </c>
      <c r="R163" s="319">
        <f>IF(AND('Ações'!AU164="sim", 'Ações'!BD164="sim"), 1, 0)
</f>
        <v>1</v>
      </c>
      <c r="S163" s="319">
        <f>IF(AND('Ações'!AU164="sim", 'Ações'!BE164="sim"), 1, 0)
</f>
        <v>0</v>
      </c>
      <c r="T163" s="319">
        <f>IF(AND('Ações'!AU164="sim", 'Ações'!BG164="sim"), 1, 0)
</f>
        <v>0</v>
      </c>
      <c r="U163" s="319">
        <f>IF(AND('Ações'!AU164="sim", 'Ações'!BH164="sim"), 1, 0)
</f>
        <v>0</v>
      </c>
      <c r="V163" s="319">
        <f>IF(AND('Ações'!AU164="sim", 'Ações'!BI164="sim"), 1, 0)
</f>
        <v>0</v>
      </c>
      <c r="W163" s="319">
        <f>IF(AND('Ações'!AV164="sim", 'Ações'!BD164="sim"), 1, 0)
</f>
        <v>1</v>
      </c>
      <c r="X163" s="319">
        <f>IF(AND('Ações'!AV164="sim", 'Ações'!BE164="sim"), 1, 0)
</f>
        <v>0</v>
      </c>
      <c r="Y163" s="319">
        <f>IF(AND('Ações'!AV164="sim", 'Ações'!BF164="sim"), 1, 0)
</f>
        <v>0</v>
      </c>
      <c r="Z163" s="319">
        <f>IF(AND('Ações'!AV164="sim", 'Ações'!BH164="sim"), 1, 0)
</f>
        <v>0</v>
      </c>
      <c r="AA163" s="319">
        <f>IF(AND('Ações'!AV164="sim", 'Ações'!BI164="sim"), 1, 0)
</f>
        <v>0</v>
      </c>
      <c r="AB163" s="319">
        <f>IF(AND('Ações'!AW164="sim", 'Ações'!BD164="sim"), 1, 0)
</f>
        <v>0</v>
      </c>
      <c r="AC163" s="319">
        <f>IF(AND('Ações'!AW164="sim", 'Ações'!BE164="sim"), 1, 0)
</f>
        <v>0</v>
      </c>
      <c r="AD163" s="319">
        <f>IF(AND('Ações'!AW164="sim", 'Ações'!BF164="sim"), 1, 0)
</f>
        <v>0</v>
      </c>
      <c r="AE163" s="319">
        <f>IF(AND('Ações'!AW164="sim", 'Ações'!BG164="sim"), 1, 0)
</f>
        <v>0</v>
      </c>
      <c r="AF163" s="319">
        <f>IF(AND('Ações'!AW164="sim", 'Ações'!BI164="sim"), 1, 0)
</f>
        <v>0</v>
      </c>
      <c r="AG163" s="319">
        <f>IF(AND('Ações'!AX164="sim", 'Ações'!BD164="sim"), 1, 0)
</f>
        <v>0</v>
      </c>
      <c r="AH163" s="319">
        <f>IF(AND('Ações'!AX164="sim", 'Ações'!BE164="sim"), 1, 0)
</f>
        <v>0</v>
      </c>
      <c r="AI163" s="319">
        <f>IF(AND('Ações'!AX164="sim", 'Ações'!BF164="sim"), 1, 0)
</f>
        <v>0</v>
      </c>
      <c r="AJ163" s="319">
        <f>IF(AND('Ações'!AX164="sim", 'Ações'!BG164="sim"), 1, 0)
</f>
        <v>0</v>
      </c>
      <c r="AK163" s="319">
        <f>IF(AND('Ações'!AX164="sim", 'Ações'!BH164="sim"), 1, 0)
</f>
        <v>0</v>
      </c>
    </row>
    <row r="164">
      <c r="B164" s="319">
        <f>IF(AND('Ações'!AS165="sim", 'Ações'!BD165="sim"), 1, 0)
</f>
        <v>1</v>
      </c>
      <c r="C164" s="319">
        <f>IF(AND('Ações'!AT165="sim", 'Ações'!BE165="sim"), 1, 0)
</f>
        <v>0</v>
      </c>
      <c r="D164" s="319">
        <f>IF(AND('Ações'!AU165="sim", 'Ações'!BF165="sim"), 1, 0)
</f>
        <v>0</v>
      </c>
      <c r="E164" s="319">
        <f>IF(AND('Ações'!AV165="sim", 'Ações'!BG165="sim"), 1, 0)
</f>
        <v>0</v>
      </c>
      <c r="F164" s="319">
        <f>IF(AND('Ações'!AW165="sim", 'Ações'!BH165="sim"), 1, 0)
</f>
        <v>0</v>
      </c>
      <c r="G164" s="319">
        <f>IF(AND('Ações'!AX165="sim", 'Ações'!BI165="sim"), 1, 0)
</f>
        <v>0</v>
      </c>
      <c r="H164" s="319">
        <f>IF(AND('Ações'!AS165="sim", 'Ações'!BE165="sim"), 1, 0)
</f>
        <v>0</v>
      </c>
      <c r="I164" s="319">
        <f>IF(AND('Ações'!AS165="sim", 'Ações'!BF165="sim"), 1, 0)
</f>
        <v>0</v>
      </c>
      <c r="J164" s="319">
        <f>IF(AND('Ações'!AS165="sim", 'Ações'!BG165="sim"), 1, 0)
</f>
        <v>0</v>
      </c>
      <c r="K164" s="319">
        <f>IF(AND('Ações'!AS165="sim", 'Ações'!BH165="sim"), 1, 0)
</f>
        <v>0</v>
      </c>
      <c r="L164" s="319">
        <f>IF(AND('Ações'!AS165="sim", 'Ações'!BI165="sim"), 1, 0)
</f>
        <v>0</v>
      </c>
      <c r="M164" s="319">
        <f>IF(AND('Ações'!AT165="sim", 'Ações'!BD165="sim"), 1, 0)
</f>
        <v>1</v>
      </c>
      <c r="N164" s="319">
        <f>IF(AND('Ações'!AT165="sim", 'Ações'!BF165="sim"), 1, 0)
</f>
        <v>0</v>
      </c>
      <c r="O164" s="319">
        <f>IF(AND('Ações'!AT165="sim", 'Ações'!BG165="sim"), 1, 0)
</f>
        <v>0</v>
      </c>
      <c r="P164" s="319">
        <f>IF(AND('Ações'!AT165="sim", 'Ações'!BH165="sim"), 1, 0)
</f>
        <v>0</v>
      </c>
      <c r="Q164" s="319">
        <f>IF(AND('Ações'!AT165="sim", 'Ações'!BI165="sim"), 1, 0)
</f>
        <v>0</v>
      </c>
      <c r="R164" s="319">
        <f>IF(AND('Ações'!AU165="sim", 'Ações'!BD165="sim"), 1, 0)
</f>
        <v>1</v>
      </c>
      <c r="S164" s="319">
        <f>IF(AND('Ações'!AU165="sim", 'Ações'!BE165="sim"), 1, 0)
</f>
        <v>0</v>
      </c>
      <c r="T164" s="319">
        <f>IF(AND('Ações'!AU165="sim", 'Ações'!BG165="sim"), 1, 0)
</f>
        <v>0</v>
      </c>
      <c r="U164" s="319">
        <f>IF(AND('Ações'!AU165="sim", 'Ações'!BH165="sim"), 1, 0)
</f>
        <v>0</v>
      </c>
      <c r="V164" s="319">
        <f>IF(AND('Ações'!AU165="sim", 'Ações'!BI165="sim"), 1, 0)
</f>
        <v>0</v>
      </c>
      <c r="W164" s="319">
        <f>IF(AND('Ações'!AV165="sim", 'Ações'!BD165="sim"), 1, 0)
</f>
        <v>1</v>
      </c>
      <c r="X164" s="319">
        <f>IF(AND('Ações'!AV165="sim", 'Ações'!BE165="sim"), 1, 0)
</f>
        <v>0</v>
      </c>
      <c r="Y164" s="319">
        <f>IF(AND('Ações'!AV165="sim", 'Ações'!BF165="sim"), 1, 0)
</f>
        <v>0</v>
      </c>
      <c r="Z164" s="319">
        <f>IF(AND('Ações'!AV165="sim", 'Ações'!BH165="sim"), 1, 0)
</f>
        <v>0</v>
      </c>
      <c r="AA164" s="319">
        <f>IF(AND('Ações'!AV165="sim", 'Ações'!BI165="sim"), 1, 0)
</f>
        <v>0</v>
      </c>
      <c r="AB164" s="319">
        <f>IF(AND('Ações'!AW165="sim", 'Ações'!BD165="sim"), 1, 0)
</f>
        <v>0</v>
      </c>
      <c r="AC164" s="319">
        <f>IF(AND('Ações'!AW165="sim", 'Ações'!BE165="sim"), 1, 0)
</f>
        <v>0</v>
      </c>
      <c r="AD164" s="319">
        <f>IF(AND('Ações'!AW165="sim", 'Ações'!BF165="sim"), 1, 0)
</f>
        <v>0</v>
      </c>
      <c r="AE164" s="319">
        <f>IF(AND('Ações'!AW165="sim", 'Ações'!BG165="sim"), 1, 0)
</f>
        <v>0</v>
      </c>
      <c r="AF164" s="319">
        <f>IF(AND('Ações'!AW165="sim", 'Ações'!BI165="sim"), 1, 0)
</f>
        <v>0</v>
      </c>
      <c r="AG164" s="319">
        <f>IF(AND('Ações'!AX165="sim", 'Ações'!BD165="sim"), 1, 0)
</f>
        <v>0</v>
      </c>
      <c r="AH164" s="319">
        <f>IF(AND('Ações'!AX165="sim", 'Ações'!BE165="sim"), 1, 0)
</f>
        <v>0</v>
      </c>
      <c r="AI164" s="319">
        <f>IF(AND('Ações'!AX165="sim", 'Ações'!BF165="sim"), 1, 0)
</f>
        <v>0</v>
      </c>
      <c r="AJ164" s="319">
        <f>IF(AND('Ações'!AX165="sim", 'Ações'!BG165="sim"), 1, 0)
</f>
        <v>0</v>
      </c>
      <c r="AK164" s="319">
        <f>IF(AND('Ações'!AX165="sim", 'Ações'!BH165="sim"), 1, 0)
</f>
        <v>0</v>
      </c>
    </row>
    <row r="165">
      <c r="B165" s="319">
        <f>IF(AND('Ações'!AS166="sim", 'Ações'!BD166="sim"), 1, 0)
</f>
        <v>1</v>
      </c>
      <c r="C165" s="319">
        <f>IF(AND('Ações'!AT166="sim", 'Ações'!BE166="sim"), 1, 0)
</f>
        <v>0</v>
      </c>
      <c r="D165" s="319">
        <f>IF(AND('Ações'!AU166="sim", 'Ações'!BF166="sim"), 1, 0)
</f>
        <v>0</v>
      </c>
      <c r="E165" s="319">
        <f>IF(AND('Ações'!AV166="sim", 'Ações'!BG166="sim"), 1, 0)
</f>
        <v>0</v>
      </c>
      <c r="F165" s="319">
        <f>IF(AND('Ações'!AW166="sim", 'Ações'!BH166="sim"), 1, 0)
</f>
        <v>0</v>
      </c>
      <c r="G165" s="319">
        <f>IF(AND('Ações'!AX166="sim", 'Ações'!BI166="sim"), 1, 0)
</f>
        <v>0</v>
      </c>
      <c r="H165" s="319">
        <f>IF(AND('Ações'!AS166="sim", 'Ações'!BE166="sim"), 1, 0)
</f>
        <v>0</v>
      </c>
      <c r="I165" s="319">
        <f>IF(AND('Ações'!AS166="sim", 'Ações'!BF166="sim"), 1, 0)
</f>
        <v>0</v>
      </c>
      <c r="J165" s="319">
        <f>IF(AND('Ações'!AS166="sim", 'Ações'!BG166="sim"), 1, 0)
</f>
        <v>0</v>
      </c>
      <c r="K165" s="319">
        <f>IF(AND('Ações'!AS166="sim", 'Ações'!BH166="sim"), 1, 0)
</f>
        <v>0</v>
      </c>
      <c r="L165" s="319">
        <f>IF(AND('Ações'!AS166="sim", 'Ações'!BI166="sim"), 1, 0)
</f>
        <v>0</v>
      </c>
      <c r="M165" s="319">
        <f>IF(AND('Ações'!AT166="sim", 'Ações'!BD166="sim"), 1, 0)
</f>
        <v>1</v>
      </c>
      <c r="N165" s="319">
        <f>IF(AND('Ações'!AT166="sim", 'Ações'!BF166="sim"), 1, 0)
</f>
        <v>0</v>
      </c>
      <c r="O165" s="319">
        <f>IF(AND('Ações'!AT166="sim", 'Ações'!BG166="sim"), 1, 0)
</f>
        <v>0</v>
      </c>
      <c r="P165" s="319">
        <f>IF(AND('Ações'!AT166="sim", 'Ações'!BH166="sim"), 1, 0)
</f>
        <v>0</v>
      </c>
      <c r="Q165" s="319">
        <f>IF(AND('Ações'!AT166="sim", 'Ações'!BI166="sim"), 1, 0)
</f>
        <v>0</v>
      </c>
      <c r="R165" s="319">
        <f>IF(AND('Ações'!AU166="sim", 'Ações'!BD166="sim"), 1, 0)
</f>
        <v>1</v>
      </c>
      <c r="S165" s="319">
        <f>IF(AND('Ações'!AU166="sim", 'Ações'!BE166="sim"), 1, 0)
</f>
        <v>0</v>
      </c>
      <c r="T165" s="319">
        <f>IF(AND('Ações'!AU166="sim", 'Ações'!BG166="sim"), 1, 0)
</f>
        <v>0</v>
      </c>
      <c r="U165" s="319">
        <f>IF(AND('Ações'!AU166="sim", 'Ações'!BH166="sim"), 1, 0)
</f>
        <v>0</v>
      </c>
      <c r="V165" s="319">
        <f>IF(AND('Ações'!AU166="sim", 'Ações'!BI166="sim"), 1, 0)
</f>
        <v>0</v>
      </c>
      <c r="W165" s="319">
        <f>IF(AND('Ações'!AV166="sim", 'Ações'!BD166="sim"), 1, 0)
</f>
        <v>1</v>
      </c>
      <c r="X165" s="319">
        <f>IF(AND('Ações'!AV166="sim", 'Ações'!BE166="sim"), 1, 0)
</f>
        <v>0</v>
      </c>
      <c r="Y165" s="319">
        <f>IF(AND('Ações'!AV166="sim", 'Ações'!BF166="sim"), 1, 0)
</f>
        <v>0</v>
      </c>
      <c r="Z165" s="319">
        <f>IF(AND('Ações'!AV166="sim", 'Ações'!BH166="sim"), 1, 0)
</f>
        <v>0</v>
      </c>
      <c r="AA165" s="319">
        <f>IF(AND('Ações'!AV166="sim", 'Ações'!BI166="sim"), 1, 0)
</f>
        <v>0</v>
      </c>
      <c r="AB165" s="319">
        <f>IF(AND('Ações'!AW166="sim", 'Ações'!BD166="sim"), 1, 0)
</f>
        <v>0</v>
      </c>
      <c r="AC165" s="319">
        <f>IF(AND('Ações'!AW166="sim", 'Ações'!BE166="sim"), 1, 0)
</f>
        <v>0</v>
      </c>
      <c r="AD165" s="319">
        <f>IF(AND('Ações'!AW166="sim", 'Ações'!BF166="sim"), 1, 0)
</f>
        <v>0</v>
      </c>
      <c r="AE165" s="319">
        <f>IF(AND('Ações'!AW166="sim", 'Ações'!BG166="sim"), 1, 0)
</f>
        <v>0</v>
      </c>
      <c r="AF165" s="319">
        <f>IF(AND('Ações'!AW166="sim", 'Ações'!BI166="sim"), 1, 0)
</f>
        <v>0</v>
      </c>
      <c r="AG165" s="319">
        <f>IF(AND('Ações'!AX166="sim", 'Ações'!BD166="sim"), 1, 0)
</f>
        <v>0</v>
      </c>
      <c r="AH165" s="319">
        <f>IF(AND('Ações'!AX166="sim", 'Ações'!BE166="sim"), 1, 0)
</f>
        <v>0</v>
      </c>
      <c r="AI165" s="319">
        <f>IF(AND('Ações'!AX166="sim", 'Ações'!BF166="sim"), 1, 0)
</f>
        <v>0</v>
      </c>
      <c r="AJ165" s="319">
        <f>IF(AND('Ações'!AX166="sim", 'Ações'!BG166="sim"), 1, 0)
</f>
        <v>0</v>
      </c>
      <c r="AK165" s="319">
        <f>IF(AND('Ações'!AX166="sim", 'Ações'!BH166="sim"), 1, 0)
</f>
        <v>0</v>
      </c>
    </row>
    <row r="166">
      <c r="B166" s="319">
        <f>IF(AND('Ações'!AS167="sim", 'Ações'!BD167="sim"), 1, 0)
</f>
        <v>0</v>
      </c>
      <c r="C166" s="319">
        <f>IF(AND('Ações'!AT167="sim", 'Ações'!BE167="sim"), 1, 0)
</f>
        <v>0</v>
      </c>
      <c r="D166" s="319">
        <f>IF(AND('Ações'!AU167="sim", 'Ações'!BF167="sim"), 1, 0)
</f>
        <v>0</v>
      </c>
      <c r="E166" s="319">
        <f>IF(AND('Ações'!AV167="sim", 'Ações'!BG167="sim"), 1, 0)
</f>
        <v>0</v>
      </c>
      <c r="F166" s="319">
        <f>IF(AND('Ações'!AW167="sim", 'Ações'!BH167="sim"), 1, 0)
</f>
        <v>0</v>
      </c>
      <c r="G166" s="319">
        <f>IF(AND('Ações'!AX167="sim", 'Ações'!BI167="sim"), 1, 0)
</f>
        <v>0</v>
      </c>
      <c r="H166" s="319">
        <f>IF(AND('Ações'!AS167="sim", 'Ações'!BE167="sim"), 1, 0)
</f>
        <v>0</v>
      </c>
      <c r="I166" s="319">
        <f>IF(AND('Ações'!AS167="sim", 'Ações'!BF167="sim"), 1, 0)
</f>
        <v>0</v>
      </c>
      <c r="J166" s="319">
        <f>IF(AND('Ações'!AS167="sim", 'Ações'!BG167="sim"), 1, 0)
</f>
        <v>0</v>
      </c>
      <c r="K166" s="319">
        <f>IF(AND('Ações'!AS167="sim", 'Ações'!BH167="sim"), 1, 0)
</f>
        <v>0</v>
      </c>
      <c r="L166" s="319">
        <f>IF(AND('Ações'!AS167="sim", 'Ações'!BI167="sim"), 1, 0)
</f>
        <v>1</v>
      </c>
      <c r="M166" s="319">
        <f>IF(AND('Ações'!AT167="sim", 'Ações'!BD167="sim"), 1, 0)
</f>
        <v>0</v>
      </c>
      <c r="N166" s="319">
        <f>IF(AND('Ações'!AT167="sim", 'Ações'!BF167="sim"), 1, 0)
</f>
        <v>0</v>
      </c>
      <c r="O166" s="319">
        <f>IF(AND('Ações'!AT167="sim", 'Ações'!BG167="sim"), 1, 0)
</f>
        <v>0</v>
      </c>
      <c r="P166" s="319">
        <f>IF(AND('Ações'!AT167="sim", 'Ações'!BH167="sim"), 1, 0)
</f>
        <v>0</v>
      </c>
      <c r="Q166" s="319">
        <f>IF(AND('Ações'!AT167="sim", 'Ações'!BI167="sim"), 1, 0)
</f>
        <v>1</v>
      </c>
      <c r="R166" s="319">
        <f>IF(AND('Ações'!AU167="sim", 'Ações'!BD167="sim"), 1, 0)
</f>
        <v>0</v>
      </c>
      <c r="S166" s="319">
        <f>IF(AND('Ações'!AU167="sim", 'Ações'!BE167="sim"), 1, 0)
</f>
        <v>0</v>
      </c>
      <c r="T166" s="319">
        <f>IF(AND('Ações'!AU167="sim", 'Ações'!BG167="sim"), 1, 0)
</f>
        <v>0</v>
      </c>
      <c r="U166" s="319">
        <f>IF(AND('Ações'!AU167="sim", 'Ações'!BH167="sim"), 1, 0)
</f>
        <v>0</v>
      </c>
      <c r="V166" s="319">
        <f>IF(AND('Ações'!AU167="sim", 'Ações'!BI167="sim"), 1, 0)
</f>
        <v>1</v>
      </c>
      <c r="W166" s="319">
        <f>IF(AND('Ações'!AV167="sim", 'Ações'!BD167="sim"), 1, 0)
</f>
        <v>0</v>
      </c>
      <c r="X166" s="319">
        <f>IF(AND('Ações'!AV167="sim", 'Ações'!BE167="sim"), 1, 0)
</f>
        <v>0</v>
      </c>
      <c r="Y166" s="319">
        <f>IF(AND('Ações'!AV167="sim", 'Ações'!BF167="sim"), 1, 0)
</f>
        <v>0</v>
      </c>
      <c r="Z166" s="319">
        <f>IF(AND('Ações'!AV167="sim", 'Ações'!BH167="sim"), 1, 0)
</f>
        <v>0</v>
      </c>
      <c r="AA166" s="319">
        <f>IF(AND('Ações'!AV167="sim", 'Ações'!BI167="sim"), 1, 0)
</f>
        <v>1</v>
      </c>
      <c r="AB166" s="319">
        <f>IF(AND('Ações'!AW167="sim", 'Ações'!BD167="sim"), 1, 0)
</f>
        <v>0</v>
      </c>
      <c r="AC166" s="319">
        <f>IF(AND('Ações'!AW167="sim", 'Ações'!BE167="sim"), 1, 0)
</f>
        <v>0</v>
      </c>
      <c r="AD166" s="319">
        <f>IF(AND('Ações'!AW167="sim", 'Ações'!BF167="sim"), 1, 0)
</f>
        <v>0</v>
      </c>
      <c r="AE166" s="319">
        <f>IF(AND('Ações'!AW167="sim", 'Ações'!BG167="sim"), 1, 0)
</f>
        <v>0</v>
      </c>
      <c r="AF166" s="319">
        <f>IF(AND('Ações'!AW167="sim", 'Ações'!BI167="sim"), 1, 0)
</f>
        <v>0</v>
      </c>
      <c r="AG166" s="319">
        <f>IF(AND('Ações'!AX167="sim", 'Ações'!BD167="sim"), 1, 0)
</f>
        <v>0</v>
      </c>
      <c r="AH166" s="319">
        <f>IF(AND('Ações'!AX167="sim", 'Ações'!BE167="sim"), 1, 0)
</f>
        <v>0</v>
      </c>
      <c r="AI166" s="319">
        <f>IF(AND('Ações'!AX167="sim", 'Ações'!BF167="sim"), 1, 0)
</f>
        <v>0</v>
      </c>
      <c r="AJ166" s="319">
        <f>IF(AND('Ações'!AX167="sim", 'Ações'!BG167="sim"), 1, 0)
</f>
        <v>0</v>
      </c>
      <c r="AK166" s="319">
        <f>IF(AND('Ações'!AX167="sim", 'Ações'!BH167="sim"), 1, 0)
</f>
        <v>0</v>
      </c>
    </row>
    <row r="167">
      <c r="B167" s="319">
        <f>IF(AND('Ações'!AS168="sim", 'Ações'!BD168="sim"), 1, 0)
</f>
        <v>1</v>
      </c>
      <c r="C167" s="319">
        <f>IF(AND('Ações'!AT168="sim", 'Ações'!BE168="sim"), 1, 0)
</f>
        <v>0</v>
      </c>
      <c r="D167" s="319">
        <f>IF(AND('Ações'!AU168="sim", 'Ações'!BF168="sim"), 1, 0)
</f>
        <v>0</v>
      </c>
      <c r="E167" s="319">
        <f>IF(AND('Ações'!AV168="sim", 'Ações'!BG168="sim"), 1, 0)
</f>
        <v>0</v>
      </c>
      <c r="F167" s="319">
        <f>IF(AND('Ações'!AW168="sim", 'Ações'!BH168="sim"), 1, 0)
</f>
        <v>0</v>
      </c>
      <c r="G167" s="319">
        <f>IF(AND('Ações'!AX168="sim", 'Ações'!BI168="sim"), 1, 0)
</f>
        <v>0</v>
      </c>
      <c r="H167" s="319">
        <f>IF(AND('Ações'!AS168="sim", 'Ações'!BE168="sim"), 1, 0)
</f>
        <v>0</v>
      </c>
      <c r="I167" s="319">
        <f>IF(AND('Ações'!AS168="sim", 'Ações'!BF168="sim"), 1, 0)
</f>
        <v>0</v>
      </c>
      <c r="J167" s="319">
        <f>IF(AND('Ações'!AS168="sim", 'Ações'!BG168="sim"), 1, 0)
</f>
        <v>0</v>
      </c>
      <c r="K167" s="319">
        <f>IF(AND('Ações'!AS168="sim", 'Ações'!BH168="sim"), 1, 0)
</f>
        <v>0</v>
      </c>
      <c r="L167" s="319">
        <f>IF(AND('Ações'!AS168="sim", 'Ações'!BI168="sim"), 1, 0)
</f>
        <v>0</v>
      </c>
      <c r="M167" s="319">
        <f>IF(AND('Ações'!AT168="sim", 'Ações'!BD168="sim"), 1, 0)
</f>
        <v>1</v>
      </c>
      <c r="N167" s="319">
        <f>IF(AND('Ações'!AT168="sim", 'Ações'!BF168="sim"), 1, 0)
</f>
        <v>0</v>
      </c>
      <c r="O167" s="319">
        <f>IF(AND('Ações'!AT168="sim", 'Ações'!BG168="sim"), 1, 0)
</f>
        <v>0</v>
      </c>
      <c r="P167" s="319">
        <f>IF(AND('Ações'!AT168="sim", 'Ações'!BH168="sim"), 1, 0)
</f>
        <v>0</v>
      </c>
      <c r="Q167" s="319">
        <f>IF(AND('Ações'!AT168="sim", 'Ações'!BI168="sim"), 1, 0)
</f>
        <v>0</v>
      </c>
      <c r="R167" s="319">
        <f>IF(AND('Ações'!AU168="sim", 'Ações'!BD168="sim"), 1, 0)
</f>
        <v>1</v>
      </c>
      <c r="S167" s="319">
        <f>IF(AND('Ações'!AU168="sim", 'Ações'!BE168="sim"), 1, 0)
</f>
        <v>0</v>
      </c>
      <c r="T167" s="319">
        <f>IF(AND('Ações'!AU168="sim", 'Ações'!BG168="sim"), 1, 0)
</f>
        <v>0</v>
      </c>
      <c r="U167" s="319">
        <f>IF(AND('Ações'!AU168="sim", 'Ações'!BH168="sim"), 1, 0)
</f>
        <v>0</v>
      </c>
      <c r="V167" s="319">
        <f>IF(AND('Ações'!AU168="sim", 'Ações'!BI168="sim"), 1, 0)
</f>
        <v>0</v>
      </c>
      <c r="W167" s="319">
        <f>IF(AND('Ações'!AV168="sim", 'Ações'!BD168="sim"), 1, 0)
</f>
        <v>1</v>
      </c>
      <c r="X167" s="319">
        <f>IF(AND('Ações'!AV168="sim", 'Ações'!BE168="sim"), 1, 0)
</f>
        <v>0</v>
      </c>
      <c r="Y167" s="319">
        <f>IF(AND('Ações'!AV168="sim", 'Ações'!BF168="sim"), 1, 0)
</f>
        <v>0</v>
      </c>
      <c r="Z167" s="319">
        <f>IF(AND('Ações'!AV168="sim", 'Ações'!BH168="sim"), 1, 0)
</f>
        <v>0</v>
      </c>
      <c r="AA167" s="319">
        <f>IF(AND('Ações'!AV168="sim", 'Ações'!BI168="sim"), 1, 0)
</f>
        <v>0</v>
      </c>
      <c r="AB167" s="319">
        <f>IF(AND('Ações'!AW168="sim", 'Ações'!BD168="sim"), 1, 0)
</f>
        <v>0</v>
      </c>
      <c r="AC167" s="319">
        <f>IF(AND('Ações'!AW168="sim", 'Ações'!BE168="sim"), 1, 0)
</f>
        <v>0</v>
      </c>
      <c r="AD167" s="319">
        <f>IF(AND('Ações'!AW168="sim", 'Ações'!BF168="sim"), 1, 0)
</f>
        <v>0</v>
      </c>
      <c r="AE167" s="319">
        <f>IF(AND('Ações'!AW168="sim", 'Ações'!BG168="sim"), 1, 0)
</f>
        <v>0</v>
      </c>
      <c r="AF167" s="319">
        <f>IF(AND('Ações'!AW168="sim", 'Ações'!BI168="sim"), 1, 0)
</f>
        <v>0</v>
      </c>
      <c r="AG167" s="319">
        <f>IF(AND('Ações'!AX168="sim", 'Ações'!BD168="sim"), 1, 0)
</f>
        <v>0</v>
      </c>
      <c r="AH167" s="319">
        <f>IF(AND('Ações'!AX168="sim", 'Ações'!BE168="sim"), 1, 0)
</f>
        <v>0</v>
      </c>
      <c r="AI167" s="319">
        <f>IF(AND('Ações'!AX168="sim", 'Ações'!BF168="sim"), 1, 0)
</f>
        <v>0</v>
      </c>
      <c r="AJ167" s="319">
        <f>IF(AND('Ações'!AX168="sim", 'Ações'!BG168="sim"), 1, 0)
</f>
        <v>0</v>
      </c>
      <c r="AK167" s="319">
        <f>IF(AND('Ações'!AX168="sim", 'Ações'!BH168="sim"), 1, 0)
</f>
        <v>0</v>
      </c>
    </row>
    <row r="168">
      <c r="B168" s="319">
        <f>IF(AND('Ações'!AS169="sim", 'Ações'!BD169="sim"), 1, 0)
</f>
        <v>1</v>
      </c>
      <c r="C168" s="319">
        <f>IF(AND('Ações'!AT169="sim", 'Ações'!BE169="sim"), 1, 0)
</f>
        <v>0</v>
      </c>
      <c r="D168" s="319">
        <f>IF(AND('Ações'!AU169="sim", 'Ações'!BF169="sim"), 1, 0)
</f>
        <v>0</v>
      </c>
      <c r="E168" s="319">
        <f>IF(AND('Ações'!AV169="sim", 'Ações'!BG169="sim"), 1, 0)
</f>
        <v>0</v>
      </c>
      <c r="F168" s="319">
        <f>IF(AND('Ações'!AW169="sim", 'Ações'!BH169="sim"), 1, 0)
</f>
        <v>0</v>
      </c>
      <c r="G168" s="319">
        <f>IF(AND('Ações'!AX169="sim", 'Ações'!BI169="sim"), 1, 0)
</f>
        <v>0</v>
      </c>
      <c r="H168" s="319">
        <f>IF(AND('Ações'!AS169="sim", 'Ações'!BE169="sim"), 1, 0)
</f>
        <v>0</v>
      </c>
      <c r="I168" s="319">
        <f>IF(AND('Ações'!AS169="sim", 'Ações'!BF169="sim"), 1, 0)
</f>
        <v>0</v>
      </c>
      <c r="J168" s="319">
        <f>IF(AND('Ações'!AS169="sim", 'Ações'!BG169="sim"), 1, 0)
</f>
        <v>0</v>
      </c>
      <c r="K168" s="319">
        <f>IF(AND('Ações'!AS169="sim", 'Ações'!BH169="sim"), 1, 0)
</f>
        <v>0</v>
      </c>
      <c r="L168" s="319">
        <f>IF(AND('Ações'!AS169="sim", 'Ações'!BI169="sim"), 1, 0)
</f>
        <v>0</v>
      </c>
      <c r="M168" s="319">
        <f>IF(AND('Ações'!AT169="sim", 'Ações'!BD169="sim"), 1, 0)
</f>
        <v>1</v>
      </c>
      <c r="N168" s="319">
        <f>IF(AND('Ações'!AT169="sim", 'Ações'!BF169="sim"), 1, 0)
</f>
        <v>0</v>
      </c>
      <c r="O168" s="319">
        <f>IF(AND('Ações'!AT169="sim", 'Ações'!BG169="sim"), 1, 0)
</f>
        <v>0</v>
      </c>
      <c r="P168" s="319">
        <f>IF(AND('Ações'!AT169="sim", 'Ações'!BH169="sim"), 1, 0)
</f>
        <v>0</v>
      </c>
      <c r="Q168" s="319">
        <f>IF(AND('Ações'!AT169="sim", 'Ações'!BI169="sim"), 1, 0)
</f>
        <v>0</v>
      </c>
      <c r="R168" s="319">
        <f>IF(AND('Ações'!AU169="sim", 'Ações'!BD169="sim"), 1, 0)
</f>
        <v>1</v>
      </c>
      <c r="S168" s="319">
        <f>IF(AND('Ações'!AU169="sim", 'Ações'!BE169="sim"), 1, 0)
</f>
        <v>0</v>
      </c>
      <c r="T168" s="319">
        <f>IF(AND('Ações'!AU169="sim", 'Ações'!BG169="sim"), 1, 0)
</f>
        <v>0</v>
      </c>
      <c r="U168" s="319">
        <f>IF(AND('Ações'!AU169="sim", 'Ações'!BH169="sim"), 1, 0)
</f>
        <v>0</v>
      </c>
      <c r="V168" s="319">
        <f>IF(AND('Ações'!AU169="sim", 'Ações'!BI169="sim"), 1, 0)
</f>
        <v>0</v>
      </c>
      <c r="W168" s="319">
        <f>IF(AND('Ações'!AV169="sim", 'Ações'!BD169="sim"), 1, 0)
</f>
        <v>1</v>
      </c>
      <c r="X168" s="319">
        <f>IF(AND('Ações'!AV169="sim", 'Ações'!BE169="sim"), 1, 0)
</f>
        <v>0</v>
      </c>
      <c r="Y168" s="319">
        <f>IF(AND('Ações'!AV169="sim", 'Ações'!BF169="sim"), 1, 0)
</f>
        <v>0</v>
      </c>
      <c r="Z168" s="319">
        <f>IF(AND('Ações'!AV169="sim", 'Ações'!BH169="sim"), 1, 0)
</f>
        <v>0</v>
      </c>
      <c r="AA168" s="319">
        <f>IF(AND('Ações'!AV169="sim", 'Ações'!BI169="sim"), 1, 0)
</f>
        <v>0</v>
      </c>
      <c r="AB168" s="319">
        <f>IF(AND('Ações'!AW169="sim", 'Ações'!BD169="sim"), 1, 0)
</f>
        <v>0</v>
      </c>
      <c r="AC168" s="319">
        <f>IF(AND('Ações'!AW169="sim", 'Ações'!BE169="sim"), 1, 0)
</f>
        <v>0</v>
      </c>
      <c r="AD168" s="319">
        <f>IF(AND('Ações'!AW169="sim", 'Ações'!BF169="sim"), 1, 0)
</f>
        <v>0</v>
      </c>
      <c r="AE168" s="319">
        <f>IF(AND('Ações'!AW169="sim", 'Ações'!BG169="sim"), 1, 0)
</f>
        <v>0</v>
      </c>
      <c r="AF168" s="319">
        <f>IF(AND('Ações'!AW169="sim", 'Ações'!BI169="sim"), 1, 0)
</f>
        <v>0</v>
      </c>
      <c r="AG168" s="319">
        <f>IF(AND('Ações'!AX169="sim", 'Ações'!BD169="sim"), 1, 0)
</f>
        <v>0</v>
      </c>
      <c r="AH168" s="319">
        <f>IF(AND('Ações'!AX169="sim", 'Ações'!BE169="sim"), 1, 0)
</f>
        <v>0</v>
      </c>
      <c r="AI168" s="319">
        <f>IF(AND('Ações'!AX169="sim", 'Ações'!BF169="sim"), 1, 0)
</f>
        <v>0</v>
      </c>
      <c r="AJ168" s="319">
        <f>IF(AND('Ações'!AX169="sim", 'Ações'!BG169="sim"), 1, 0)
</f>
        <v>0</v>
      </c>
      <c r="AK168" s="319">
        <f>IF(AND('Ações'!AX169="sim", 'Ações'!BH169="sim"), 1, 0)
</f>
        <v>0</v>
      </c>
    </row>
    <row r="169">
      <c r="B169" s="319">
        <f>IF(AND('Ações'!AS170="sim", 'Ações'!BD170="sim"), 1, 0)
</f>
        <v>1</v>
      </c>
      <c r="C169" s="319">
        <f>IF(AND('Ações'!AT170="sim", 'Ações'!BE170="sim"), 1, 0)
</f>
        <v>0</v>
      </c>
      <c r="D169" s="319">
        <f>IF(AND('Ações'!AU170="sim", 'Ações'!BF170="sim"), 1, 0)
</f>
        <v>0</v>
      </c>
      <c r="E169" s="319">
        <f>IF(AND('Ações'!AV170="sim", 'Ações'!BG170="sim"), 1, 0)
</f>
        <v>0</v>
      </c>
      <c r="F169" s="319">
        <f>IF(AND('Ações'!AW170="sim", 'Ações'!BH170="sim"), 1, 0)
</f>
        <v>0</v>
      </c>
      <c r="G169" s="319">
        <f>IF(AND('Ações'!AX170="sim", 'Ações'!BI170="sim"), 1, 0)
</f>
        <v>0</v>
      </c>
      <c r="H169" s="319">
        <f>IF(AND('Ações'!AS170="sim", 'Ações'!BE170="sim"), 1, 0)
</f>
        <v>0</v>
      </c>
      <c r="I169" s="319">
        <f>IF(AND('Ações'!AS170="sim", 'Ações'!BF170="sim"), 1, 0)
</f>
        <v>0</v>
      </c>
      <c r="J169" s="319">
        <f>IF(AND('Ações'!AS170="sim", 'Ações'!BG170="sim"), 1, 0)
</f>
        <v>0</v>
      </c>
      <c r="K169" s="319">
        <f>IF(AND('Ações'!AS170="sim", 'Ações'!BH170="sim"), 1, 0)
</f>
        <v>0</v>
      </c>
      <c r="L169" s="319">
        <f>IF(AND('Ações'!AS170="sim", 'Ações'!BI170="sim"), 1, 0)
</f>
        <v>0</v>
      </c>
      <c r="M169" s="319">
        <f>IF(AND('Ações'!AT170="sim", 'Ações'!BD170="sim"), 1, 0)
</f>
        <v>1</v>
      </c>
      <c r="N169" s="319">
        <f>IF(AND('Ações'!AT170="sim", 'Ações'!BF170="sim"), 1, 0)
</f>
        <v>0</v>
      </c>
      <c r="O169" s="319">
        <f>IF(AND('Ações'!AT170="sim", 'Ações'!BG170="sim"), 1, 0)
</f>
        <v>0</v>
      </c>
      <c r="P169" s="319">
        <f>IF(AND('Ações'!AT170="sim", 'Ações'!BH170="sim"), 1, 0)
</f>
        <v>0</v>
      </c>
      <c r="Q169" s="319">
        <f>IF(AND('Ações'!AT170="sim", 'Ações'!BI170="sim"), 1, 0)
</f>
        <v>0</v>
      </c>
      <c r="R169" s="319">
        <f>IF(AND('Ações'!AU170="sim", 'Ações'!BD170="sim"), 1, 0)
</f>
        <v>1</v>
      </c>
      <c r="S169" s="319">
        <f>IF(AND('Ações'!AU170="sim", 'Ações'!BE170="sim"), 1, 0)
</f>
        <v>0</v>
      </c>
      <c r="T169" s="319">
        <f>IF(AND('Ações'!AU170="sim", 'Ações'!BG170="sim"), 1, 0)
</f>
        <v>0</v>
      </c>
      <c r="U169" s="319">
        <f>IF(AND('Ações'!AU170="sim", 'Ações'!BH170="sim"), 1, 0)
</f>
        <v>0</v>
      </c>
      <c r="V169" s="319">
        <f>IF(AND('Ações'!AU170="sim", 'Ações'!BI170="sim"), 1, 0)
</f>
        <v>0</v>
      </c>
      <c r="W169" s="319">
        <f>IF(AND('Ações'!AV170="sim", 'Ações'!BD170="sim"), 1, 0)
</f>
        <v>1</v>
      </c>
      <c r="X169" s="319">
        <f>IF(AND('Ações'!AV170="sim", 'Ações'!BE170="sim"), 1, 0)
</f>
        <v>0</v>
      </c>
      <c r="Y169" s="319">
        <f>IF(AND('Ações'!AV170="sim", 'Ações'!BF170="sim"), 1, 0)
</f>
        <v>0</v>
      </c>
      <c r="Z169" s="319">
        <f>IF(AND('Ações'!AV170="sim", 'Ações'!BH170="sim"), 1, 0)
</f>
        <v>0</v>
      </c>
      <c r="AA169" s="319">
        <f>IF(AND('Ações'!AV170="sim", 'Ações'!BI170="sim"), 1, 0)
</f>
        <v>0</v>
      </c>
      <c r="AB169" s="319">
        <f>IF(AND('Ações'!AW170="sim", 'Ações'!BD170="sim"), 1, 0)
</f>
        <v>0</v>
      </c>
      <c r="AC169" s="319">
        <f>IF(AND('Ações'!AW170="sim", 'Ações'!BE170="sim"), 1, 0)
</f>
        <v>0</v>
      </c>
      <c r="AD169" s="319">
        <f>IF(AND('Ações'!AW170="sim", 'Ações'!BF170="sim"), 1, 0)
</f>
        <v>0</v>
      </c>
      <c r="AE169" s="319">
        <f>IF(AND('Ações'!AW170="sim", 'Ações'!BG170="sim"), 1, 0)
</f>
        <v>0</v>
      </c>
      <c r="AF169" s="319">
        <f>IF(AND('Ações'!AW170="sim", 'Ações'!BI170="sim"), 1, 0)
</f>
        <v>0</v>
      </c>
      <c r="AG169" s="319">
        <f>IF(AND('Ações'!AX170="sim", 'Ações'!BD170="sim"), 1, 0)
</f>
        <v>0</v>
      </c>
      <c r="AH169" s="319">
        <f>IF(AND('Ações'!AX170="sim", 'Ações'!BE170="sim"), 1, 0)
</f>
        <v>0</v>
      </c>
      <c r="AI169" s="319">
        <f>IF(AND('Ações'!AX170="sim", 'Ações'!BF170="sim"), 1, 0)
</f>
        <v>0</v>
      </c>
      <c r="AJ169" s="319">
        <f>IF(AND('Ações'!AX170="sim", 'Ações'!BG170="sim"), 1, 0)
</f>
        <v>0</v>
      </c>
      <c r="AK169" s="319">
        <f>IF(AND('Ações'!AX170="sim", 'Ações'!BH170="sim"), 1, 0)
</f>
        <v>0</v>
      </c>
    </row>
    <row r="170">
      <c r="B170" s="319">
        <f>IF(AND('Ações'!AS171="sim", 'Ações'!BD171="sim"), 1, 0)
</f>
        <v>0</v>
      </c>
      <c r="C170" s="319">
        <f>IF(AND('Ações'!AT171="sim", 'Ações'!BE171="sim"), 1, 0)
</f>
        <v>0</v>
      </c>
      <c r="D170" s="319">
        <f>IF(AND('Ações'!AU171="sim", 'Ações'!BF171="sim"), 1, 0)
</f>
        <v>0</v>
      </c>
      <c r="E170" s="319">
        <f>IF(AND('Ações'!AV171="sim", 'Ações'!BG171="sim"), 1, 0)
</f>
        <v>0</v>
      </c>
      <c r="F170" s="319">
        <f>IF(AND('Ações'!AW171="sim", 'Ações'!BH171="sim"), 1, 0)
</f>
        <v>0</v>
      </c>
      <c r="G170" s="319">
        <f>IF(AND('Ações'!AX171="sim", 'Ações'!BI171="sim"), 1, 0)
</f>
        <v>0</v>
      </c>
      <c r="H170" s="319">
        <f>IF(AND('Ações'!AS171="sim", 'Ações'!BE171="sim"), 1, 0)
</f>
        <v>0</v>
      </c>
      <c r="I170" s="319">
        <f>IF(AND('Ações'!AS171="sim", 'Ações'!BF171="sim"), 1, 0)
</f>
        <v>0</v>
      </c>
      <c r="J170" s="319">
        <f>IF(AND('Ações'!AS171="sim", 'Ações'!BG171="sim"), 1, 0)
</f>
        <v>0</v>
      </c>
      <c r="K170" s="319">
        <f>IF(AND('Ações'!AS171="sim", 'Ações'!BH171="sim"), 1, 0)
</f>
        <v>0</v>
      </c>
      <c r="L170" s="319">
        <f>IF(AND('Ações'!AS171="sim", 'Ações'!BI171="sim"), 1, 0)
</f>
        <v>1</v>
      </c>
      <c r="M170" s="319">
        <f>IF(AND('Ações'!AT171="sim", 'Ações'!BD171="sim"), 1, 0)
</f>
        <v>0</v>
      </c>
      <c r="N170" s="319">
        <f>IF(AND('Ações'!AT171="sim", 'Ações'!BF171="sim"), 1, 0)
</f>
        <v>0</v>
      </c>
      <c r="O170" s="319">
        <f>IF(AND('Ações'!AT171="sim", 'Ações'!BG171="sim"), 1, 0)
</f>
        <v>0</v>
      </c>
      <c r="P170" s="319">
        <f>IF(AND('Ações'!AT171="sim", 'Ações'!BH171="sim"), 1, 0)
</f>
        <v>0</v>
      </c>
      <c r="Q170" s="319">
        <f>IF(AND('Ações'!AT171="sim", 'Ações'!BI171="sim"), 1, 0)
</f>
        <v>1</v>
      </c>
      <c r="R170" s="319">
        <f>IF(AND('Ações'!AU171="sim", 'Ações'!BD171="sim"), 1, 0)
</f>
        <v>0</v>
      </c>
      <c r="S170" s="319">
        <f>IF(AND('Ações'!AU171="sim", 'Ações'!BE171="sim"), 1, 0)
</f>
        <v>0</v>
      </c>
      <c r="T170" s="319">
        <f>IF(AND('Ações'!AU171="sim", 'Ações'!BG171="sim"), 1, 0)
</f>
        <v>0</v>
      </c>
      <c r="U170" s="319">
        <f>IF(AND('Ações'!AU171="sim", 'Ações'!BH171="sim"), 1, 0)
</f>
        <v>0</v>
      </c>
      <c r="V170" s="319">
        <f>IF(AND('Ações'!AU171="sim", 'Ações'!BI171="sim"), 1, 0)
</f>
        <v>1</v>
      </c>
      <c r="W170" s="319">
        <f>IF(AND('Ações'!AV171="sim", 'Ações'!BD171="sim"), 1, 0)
</f>
        <v>0</v>
      </c>
      <c r="X170" s="319">
        <f>IF(AND('Ações'!AV171="sim", 'Ações'!BE171="sim"), 1, 0)
</f>
        <v>0</v>
      </c>
      <c r="Y170" s="319">
        <f>IF(AND('Ações'!AV171="sim", 'Ações'!BF171="sim"), 1, 0)
</f>
        <v>0</v>
      </c>
      <c r="Z170" s="319">
        <f>IF(AND('Ações'!AV171="sim", 'Ações'!BH171="sim"), 1, 0)
</f>
        <v>0</v>
      </c>
      <c r="AA170" s="319">
        <f>IF(AND('Ações'!AV171="sim", 'Ações'!BI171="sim"), 1, 0)
</f>
        <v>1</v>
      </c>
      <c r="AB170" s="319">
        <f>IF(AND('Ações'!AW171="sim", 'Ações'!BD171="sim"), 1, 0)
</f>
        <v>0</v>
      </c>
      <c r="AC170" s="319">
        <f>IF(AND('Ações'!AW171="sim", 'Ações'!BE171="sim"), 1, 0)
</f>
        <v>0</v>
      </c>
      <c r="AD170" s="319">
        <f>IF(AND('Ações'!AW171="sim", 'Ações'!BF171="sim"), 1, 0)
</f>
        <v>0</v>
      </c>
      <c r="AE170" s="319">
        <f>IF(AND('Ações'!AW171="sim", 'Ações'!BG171="sim"), 1, 0)
</f>
        <v>0</v>
      </c>
      <c r="AF170" s="319">
        <f>IF(AND('Ações'!AW171="sim", 'Ações'!BI171="sim"), 1, 0)
</f>
        <v>0</v>
      </c>
      <c r="AG170" s="319">
        <f>IF(AND('Ações'!AX171="sim", 'Ações'!BD171="sim"), 1, 0)
</f>
        <v>0</v>
      </c>
      <c r="AH170" s="319">
        <f>IF(AND('Ações'!AX171="sim", 'Ações'!BE171="sim"), 1, 0)
</f>
        <v>0</v>
      </c>
      <c r="AI170" s="319">
        <f>IF(AND('Ações'!AX171="sim", 'Ações'!BF171="sim"), 1, 0)
</f>
        <v>0</v>
      </c>
      <c r="AJ170" s="319">
        <f>IF(AND('Ações'!AX171="sim", 'Ações'!BG171="sim"), 1, 0)
</f>
        <v>0</v>
      </c>
      <c r="AK170" s="319">
        <f>IF(AND('Ações'!AX171="sim", 'Ações'!BH171="sim"), 1, 0)
</f>
        <v>0</v>
      </c>
    </row>
    <row r="171">
      <c r="B171" s="319">
        <f>IF(AND('Ações'!AS172="sim", 'Ações'!BD172="sim"), 1, 0)
</f>
        <v>1</v>
      </c>
      <c r="C171" s="319">
        <f>IF(AND('Ações'!AT172="sim", 'Ações'!BE172="sim"), 1, 0)
</f>
        <v>0</v>
      </c>
      <c r="D171" s="319">
        <f>IF(AND('Ações'!AU172="sim", 'Ações'!BF172="sim"), 1, 0)
</f>
        <v>0</v>
      </c>
      <c r="E171" s="319">
        <f>IF(AND('Ações'!AV172="sim", 'Ações'!BG172="sim"), 1, 0)
</f>
        <v>0</v>
      </c>
      <c r="F171" s="319">
        <f>IF(AND('Ações'!AW172="sim", 'Ações'!BH172="sim"), 1, 0)
</f>
        <v>0</v>
      </c>
      <c r="G171" s="319">
        <f>IF(AND('Ações'!AX172="sim", 'Ações'!BI172="sim"), 1, 0)
</f>
        <v>0</v>
      </c>
      <c r="H171" s="319">
        <f>IF(AND('Ações'!AS172="sim", 'Ações'!BE172="sim"), 1, 0)
</f>
        <v>0</v>
      </c>
      <c r="I171" s="319">
        <f>IF(AND('Ações'!AS172="sim", 'Ações'!BF172="sim"), 1, 0)
</f>
        <v>0</v>
      </c>
      <c r="J171" s="319">
        <f>IF(AND('Ações'!AS172="sim", 'Ações'!BG172="sim"), 1, 0)
</f>
        <v>0</v>
      </c>
      <c r="K171" s="319">
        <f>IF(AND('Ações'!AS172="sim", 'Ações'!BH172="sim"), 1, 0)
</f>
        <v>0</v>
      </c>
      <c r="L171" s="319">
        <f>IF(AND('Ações'!AS172="sim", 'Ações'!BI172="sim"), 1, 0)
</f>
        <v>1</v>
      </c>
      <c r="M171" s="319">
        <f>IF(AND('Ações'!AT172="sim", 'Ações'!BD172="sim"), 1, 0)
</f>
        <v>1</v>
      </c>
      <c r="N171" s="319">
        <f>IF(AND('Ações'!AT172="sim", 'Ações'!BF172="sim"), 1, 0)
</f>
        <v>0</v>
      </c>
      <c r="O171" s="319">
        <f>IF(AND('Ações'!AT172="sim", 'Ações'!BG172="sim"), 1, 0)
</f>
        <v>0</v>
      </c>
      <c r="P171" s="319">
        <f>IF(AND('Ações'!AT172="sim", 'Ações'!BH172="sim"), 1, 0)
</f>
        <v>0</v>
      </c>
      <c r="Q171" s="319">
        <f>IF(AND('Ações'!AT172="sim", 'Ações'!BI172="sim"), 1, 0)
</f>
        <v>1</v>
      </c>
      <c r="R171" s="319">
        <f>IF(AND('Ações'!AU172="sim", 'Ações'!BD172="sim"), 1, 0)
</f>
        <v>1</v>
      </c>
      <c r="S171" s="319">
        <f>IF(AND('Ações'!AU172="sim", 'Ações'!BE172="sim"), 1, 0)
</f>
        <v>0</v>
      </c>
      <c r="T171" s="319">
        <f>IF(AND('Ações'!AU172="sim", 'Ações'!BG172="sim"), 1, 0)
</f>
        <v>0</v>
      </c>
      <c r="U171" s="319">
        <f>IF(AND('Ações'!AU172="sim", 'Ações'!BH172="sim"), 1, 0)
</f>
        <v>0</v>
      </c>
      <c r="V171" s="319">
        <f>IF(AND('Ações'!AU172="sim", 'Ações'!BI172="sim"), 1, 0)
</f>
        <v>1</v>
      </c>
      <c r="W171" s="319">
        <f>IF(AND('Ações'!AV172="sim", 'Ações'!BD172="sim"), 1, 0)
</f>
        <v>1</v>
      </c>
      <c r="X171" s="319">
        <f>IF(AND('Ações'!AV172="sim", 'Ações'!BE172="sim"), 1, 0)
</f>
        <v>0</v>
      </c>
      <c r="Y171" s="319">
        <f>IF(AND('Ações'!AV172="sim", 'Ações'!BF172="sim"), 1, 0)
</f>
        <v>0</v>
      </c>
      <c r="Z171" s="319">
        <f>IF(AND('Ações'!AV172="sim", 'Ações'!BH172="sim"), 1, 0)
</f>
        <v>0</v>
      </c>
      <c r="AA171" s="319">
        <f>IF(AND('Ações'!AV172="sim", 'Ações'!BI172="sim"), 1, 0)
</f>
        <v>1</v>
      </c>
      <c r="AB171" s="319">
        <f>IF(AND('Ações'!AW172="sim", 'Ações'!BD172="sim"), 1, 0)
</f>
        <v>0</v>
      </c>
      <c r="AC171" s="319">
        <f>IF(AND('Ações'!AW172="sim", 'Ações'!BE172="sim"), 1, 0)
</f>
        <v>0</v>
      </c>
      <c r="AD171" s="319">
        <f>IF(AND('Ações'!AW172="sim", 'Ações'!BF172="sim"), 1, 0)
</f>
        <v>0</v>
      </c>
      <c r="AE171" s="319">
        <f>IF(AND('Ações'!AW172="sim", 'Ações'!BG172="sim"), 1, 0)
</f>
        <v>0</v>
      </c>
      <c r="AF171" s="319">
        <f>IF(AND('Ações'!AW172="sim", 'Ações'!BI172="sim"), 1, 0)
</f>
        <v>0</v>
      </c>
      <c r="AG171" s="319">
        <f>IF(AND('Ações'!AX172="sim", 'Ações'!BD172="sim"), 1, 0)
</f>
        <v>0</v>
      </c>
      <c r="AH171" s="319">
        <f>IF(AND('Ações'!AX172="sim", 'Ações'!BE172="sim"), 1, 0)
</f>
        <v>0</v>
      </c>
      <c r="AI171" s="319">
        <f>IF(AND('Ações'!AX172="sim", 'Ações'!BF172="sim"), 1, 0)
</f>
        <v>0</v>
      </c>
      <c r="AJ171" s="319">
        <f>IF(AND('Ações'!AX172="sim", 'Ações'!BG172="sim"), 1, 0)
</f>
        <v>0</v>
      </c>
      <c r="AK171" s="319">
        <f>IF(AND('Ações'!AX172="sim", 'Ações'!BH172="sim"), 1, 0)
</f>
        <v>0</v>
      </c>
    </row>
    <row r="172">
      <c r="B172" s="319">
        <f>IF(AND('Ações'!AS173="sim", 'Ações'!BD173="sim"), 1, 0)
</f>
        <v>0</v>
      </c>
      <c r="C172" s="319">
        <f>IF(AND('Ações'!AT173="sim", 'Ações'!BE173="sim"), 1, 0)
</f>
        <v>0</v>
      </c>
      <c r="D172" s="319">
        <f>IF(AND('Ações'!AU173="sim", 'Ações'!BF173="sim"), 1, 0)
</f>
        <v>0</v>
      </c>
      <c r="E172" s="319">
        <f>IF(AND('Ações'!AV173="sim", 'Ações'!BG173="sim"), 1, 0)
</f>
        <v>0</v>
      </c>
      <c r="F172" s="319">
        <f>IF(AND('Ações'!AW173="sim", 'Ações'!BH173="sim"), 1, 0)
</f>
        <v>0</v>
      </c>
      <c r="G172" s="319">
        <f>IF(AND('Ações'!AX173="sim", 'Ações'!BI173="sim"), 1, 0)
</f>
        <v>0</v>
      </c>
      <c r="H172" s="319">
        <f>IF(AND('Ações'!AS173="sim", 'Ações'!BE173="sim"), 1, 0)
</f>
        <v>0</v>
      </c>
      <c r="I172" s="319">
        <f>IF(AND('Ações'!AS173="sim", 'Ações'!BF173="sim"), 1, 0)
</f>
        <v>0</v>
      </c>
      <c r="J172" s="319">
        <f>IF(AND('Ações'!AS173="sim", 'Ações'!BG173="sim"), 1, 0)
</f>
        <v>0</v>
      </c>
      <c r="K172" s="319">
        <f>IF(AND('Ações'!AS173="sim", 'Ações'!BH173="sim"), 1, 0)
</f>
        <v>0</v>
      </c>
      <c r="L172" s="319">
        <f>IF(AND('Ações'!AS173="sim", 'Ações'!BI173="sim"), 1, 0)
</f>
        <v>1</v>
      </c>
      <c r="M172" s="319">
        <f>IF(AND('Ações'!AT173="sim", 'Ações'!BD173="sim"), 1, 0)
</f>
        <v>0</v>
      </c>
      <c r="N172" s="319">
        <f>IF(AND('Ações'!AT173="sim", 'Ações'!BF173="sim"), 1, 0)
</f>
        <v>0</v>
      </c>
      <c r="O172" s="319">
        <f>IF(AND('Ações'!AT173="sim", 'Ações'!BG173="sim"), 1, 0)
</f>
        <v>0</v>
      </c>
      <c r="P172" s="319">
        <f>IF(AND('Ações'!AT173="sim", 'Ações'!BH173="sim"), 1, 0)
</f>
        <v>0</v>
      </c>
      <c r="Q172" s="319">
        <f>IF(AND('Ações'!AT173="sim", 'Ações'!BI173="sim"), 1, 0)
</f>
        <v>1</v>
      </c>
      <c r="R172" s="319">
        <f>IF(AND('Ações'!AU173="sim", 'Ações'!BD173="sim"), 1, 0)
</f>
        <v>0</v>
      </c>
      <c r="S172" s="319">
        <f>IF(AND('Ações'!AU173="sim", 'Ações'!BE173="sim"), 1, 0)
</f>
        <v>0</v>
      </c>
      <c r="T172" s="319">
        <f>IF(AND('Ações'!AU173="sim", 'Ações'!BG173="sim"), 1, 0)
</f>
        <v>0</v>
      </c>
      <c r="U172" s="319">
        <f>IF(AND('Ações'!AU173="sim", 'Ações'!BH173="sim"), 1, 0)
</f>
        <v>0</v>
      </c>
      <c r="V172" s="319">
        <f>IF(AND('Ações'!AU173="sim", 'Ações'!BI173="sim"), 1, 0)
</f>
        <v>1</v>
      </c>
      <c r="W172" s="319">
        <f>IF(AND('Ações'!AV173="sim", 'Ações'!BD173="sim"), 1, 0)
</f>
        <v>0</v>
      </c>
      <c r="X172" s="319">
        <f>IF(AND('Ações'!AV173="sim", 'Ações'!BE173="sim"), 1, 0)
</f>
        <v>0</v>
      </c>
      <c r="Y172" s="319">
        <f>IF(AND('Ações'!AV173="sim", 'Ações'!BF173="sim"), 1, 0)
</f>
        <v>0</v>
      </c>
      <c r="Z172" s="319">
        <f>IF(AND('Ações'!AV173="sim", 'Ações'!BH173="sim"), 1, 0)
</f>
        <v>0</v>
      </c>
      <c r="AA172" s="319">
        <f>IF(AND('Ações'!AV173="sim", 'Ações'!BI173="sim"), 1, 0)
</f>
        <v>1</v>
      </c>
      <c r="AB172" s="319">
        <f>IF(AND('Ações'!AW173="sim", 'Ações'!BD173="sim"), 1, 0)
</f>
        <v>0</v>
      </c>
      <c r="AC172" s="319">
        <f>IF(AND('Ações'!AW173="sim", 'Ações'!BE173="sim"), 1, 0)
</f>
        <v>0</v>
      </c>
      <c r="AD172" s="319">
        <f>IF(AND('Ações'!AW173="sim", 'Ações'!BF173="sim"), 1, 0)
</f>
        <v>0</v>
      </c>
      <c r="AE172" s="319">
        <f>IF(AND('Ações'!AW173="sim", 'Ações'!BG173="sim"), 1, 0)
</f>
        <v>0</v>
      </c>
      <c r="AF172" s="319">
        <f>IF(AND('Ações'!AW173="sim", 'Ações'!BI173="sim"), 1, 0)
</f>
        <v>0</v>
      </c>
      <c r="AG172" s="319">
        <f>IF(AND('Ações'!AX173="sim", 'Ações'!BD173="sim"), 1, 0)
</f>
        <v>0</v>
      </c>
      <c r="AH172" s="319">
        <f>IF(AND('Ações'!AX173="sim", 'Ações'!BE173="sim"), 1, 0)
</f>
        <v>0</v>
      </c>
      <c r="AI172" s="319">
        <f>IF(AND('Ações'!AX173="sim", 'Ações'!BF173="sim"), 1, 0)
</f>
        <v>0</v>
      </c>
      <c r="AJ172" s="319">
        <f>IF(AND('Ações'!AX173="sim", 'Ações'!BG173="sim"), 1, 0)
</f>
        <v>0</v>
      </c>
      <c r="AK172" s="319">
        <f>IF(AND('Ações'!AX173="sim", 'Ações'!BH173="sim"), 1, 0)
</f>
        <v>0</v>
      </c>
    </row>
    <row r="173">
      <c r="B173" s="319">
        <f>IF(AND('Ações'!AS174="sim", 'Ações'!BD174="sim"), 1, 0)
</f>
        <v>0</v>
      </c>
      <c r="C173" s="319">
        <f>IF(AND('Ações'!AT174="sim", 'Ações'!BE174="sim"), 1, 0)
</f>
        <v>0</v>
      </c>
      <c r="D173" s="319">
        <f>IF(AND('Ações'!AU174="sim", 'Ações'!BF174="sim"), 1, 0)
</f>
        <v>0</v>
      </c>
      <c r="E173" s="319">
        <f>IF(AND('Ações'!AV174="sim", 'Ações'!BG174="sim"), 1, 0)
</f>
        <v>0</v>
      </c>
      <c r="F173" s="319">
        <f>IF(AND('Ações'!AW174="sim", 'Ações'!BH174="sim"), 1, 0)
</f>
        <v>0</v>
      </c>
      <c r="G173" s="319">
        <f>IF(AND('Ações'!AX174="sim", 'Ações'!BI174="sim"), 1, 0)
</f>
        <v>0</v>
      </c>
      <c r="H173" s="319">
        <f>IF(AND('Ações'!AS174="sim", 'Ações'!BE174="sim"), 1, 0)
</f>
        <v>0</v>
      </c>
      <c r="I173" s="319">
        <f>IF(AND('Ações'!AS174="sim", 'Ações'!BF174="sim"), 1, 0)
</f>
        <v>0</v>
      </c>
      <c r="J173" s="319">
        <f>IF(AND('Ações'!AS174="sim", 'Ações'!BG174="sim"), 1, 0)
</f>
        <v>0</v>
      </c>
      <c r="K173" s="319">
        <f>IF(AND('Ações'!AS174="sim", 'Ações'!BH174="sim"), 1, 0)
</f>
        <v>0</v>
      </c>
      <c r="L173" s="319">
        <f>IF(AND('Ações'!AS174="sim", 'Ações'!BI174="sim"), 1, 0)
</f>
        <v>1</v>
      </c>
      <c r="M173" s="319">
        <f>IF(AND('Ações'!AT174="sim", 'Ações'!BD174="sim"), 1, 0)
</f>
        <v>0</v>
      </c>
      <c r="N173" s="319">
        <f>IF(AND('Ações'!AT174="sim", 'Ações'!BF174="sim"), 1, 0)
</f>
        <v>0</v>
      </c>
      <c r="O173" s="319">
        <f>IF(AND('Ações'!AT174="sim", 'Ações'!BG174="sim"), 1, 0)
</f>
        <v>0</v>
      </c>
      <c r="P173" s="319">
        <f>IF(AND('Ações'!AT174="sim", 'Ações'!BH174="sim"), 1, 0)
</f>
        <v>0</v>
      </c>
      <c r="Q173" s="319">
        <f>IF(AND('Ações'!AT174="sim", 'Ações'!BI174="sim"), 1, 0)
</f>
        <v>1</v>
      </c>
      <c r="R173" s="319">
        <f>IF(AND('Ações'!AU174="sim", 'Ações'!BD174="sim"), 1, 0)
</f>
        <v>0</v>
      </c>
      <c r="S173" s="319">
        <f>IF(AND('Ações'!AU174="sim", 'Ações'!BE174="sim"), 1, 0)
</f>
        <v>0</v>
      </c>
      <c r="T173" s="319">
        <f>IF(AND('Ações'!AU174="sim", 'Ações'!BG174="sim"), 1, 0)
</f>
        <v>0</v>
      </c>
      <c r="U173" s="319">
        <f>IF(AND('Ações'!AU174="sim", 'Ações'!BH174="sim"), 1, 0)
</f>
        <v>0</v>
      </c>
      <c r="V173" s="319">
        <f>IF(AND('Ações'!AU174="sim", 'Ações'!BI174="sim"), 1, 0)
</f>
        <v>1</v>
      </c>
      <c r="W173" s="319">
        <f>IF(AND('Ações'!AV174="sim", 'Ações'!BD174="sim"), 1, 0)
</f>
        <v>0</v>
      </c>
      <c r="X173" s="319">
        <f>IF(AND('Ações'!AV174="sim", 'Ações'!BE174="sim"), 1, 0)
</f>
        <v>0</v>
      </c>
      <c r="Y173" s="319">
        <f>IF(AND('Ações'!AV174="sim", 'Ações'!BF174="sim"), 1, 0)
</f>
        <v>0</v>
      </c>
      <c r="Z173" s="319">
        <f>IF(AND('Ações'!AV174="sim", 'Ações'!BH174="sim"), 1, 0)
</f>
        <v>0</v>
      </c>
      <c r="AA173" s="319">
        <f>IF(AND('Ações'!AV174="sim", 'Ações'!BI174="sim"), 1, 0)
</f>
        <v>1</v>
      </c>
      <c r="AB173" s="319">
        <f>IF(AND('Ações'!AW174="sim", 'Ações'!BD174="sim"), 1, 0)
</f>
        <v>0</v>
      </c>
      <c r="AC173" s="319">
        <f>IF(AND('Ações'!AW174="sim", 'Ações'!BE174="sim"), 1, 0)
</f>
        <v>0</v>
      </c>
      <c r="AD173" s="319">
        <f>IF(AND('Ações'!AW174="sim", 'Ações'!BF174="sim"), 1, 0)
</f>
        <v>0</v>
      </c>
      <c r="AE173" s="319">
        <f>IF(AND('Ações'!AW174="sim", 'Ações'!BG174="sim"), 1, 0)
</f>
        <v>0</v>
      </c>
      <c r="AF173" s="319">
        <f>IF(AND('Ações'!AW174="sim", 'Ações'!BI174="sim"), 1, 0)
</f>
        <v>0</v>
      </c>
      <c r="AG173" s="319">
        <f>IF(AND('Ações'!AX174="sim", 'Ações'!BD174="sim"), 1, 0)
</f>
        <v>0</v>
      </c>
      <c r="AH173" s="319">
        <f>IF(AND('Ações'!AX174="sim", 'Ações'!BE174="sim"), 1, 0)
</f>
        <v>0</v>
      </c>
      <c r="AI173" s="319">
        <f>IF(AND('Ações'!AX174="sim", 'Ações'!BF174="sim"), 1, 0)
</f>
        <v>0</v>
      </c>
      <c r="AJ173" s="319">
        <f>IF(AND('Ações'!AX174="sim", 'Ações'!BG174="sim"), 1, 0)
</f>
        <v>0</v>
      </c>
      <c r="AK173" s="319">
        <f>IF(AND('Ações'!AX174="sim", 'Ações'!BH174="sim"), 1, 0)
</f>
        <v>0</v>
      </c>
    </row>
    <row r="174">
      <c r="B174" s="319">
        <f>IF(AND('Ações'!AS175="sim", 'Ações'!BD175="sim"), 1, 0)
</f>
        <v>1</v>
      </c>
      <c r="C174" s="319">
        <f>IF(AND('Ações'!AT175="sim", 'Ações'!BE175="sim"), 1, 0)
</f>
        <v>0</v>
      </c>
      <c r="D174" s="319">
        <f>IF(AND('Ações'!AU175="sim", 'Ações'!BF175="sim"), 1, 0)
</f>
        <v>0</v>
      </c>
      <c r="E174" s="319">
        <f>IF(AND('Ações'!AV175="sim", 'Ações'!BG175="sim"), 1, 0)
</f>
        <v>0</v>
      </c>
      <c r="F174" s="319">
        <f>IF(AND('Ações'!AW175="sim", 'Ações'!BH175="sim"), 1, 0)
</f>
        <v>0</v>
      </c>
      <c r="G174" s="319">
        <f>IF(AND('Ações'!AX175="sim", 'Ações'!BI175="sim"), 1, 0)
</f>
        <v>0</v>
      </c>
      <c r="H174" s="319">
        <f>IF(AND('Ações'!AS175="sim", 'Ações'!BE175="sim"), 1, 0)
</f>
        <v>0</v>
      </c>
      <c r="I174" s="319">
        <f>IF(AND('Ações'!AS175="sim", 'Ações'!BF175="sim"), 1, 0)
</f>
        <v>0</v>
      </c>
      <c r="J174" s="319">
        <f>IF(AND('Ações'!AS175="sim", 'Ações'!BG175="sim"), 1, 0)
</f>
        <v>0</v>
      </c>
      <c r="K174" s="319">
        <f>IF(AND('Ações'!AS175="sim", 'Ações'!BH175="sim"), 1, 0)
</f>
        <v>0</v>
      </c>
      <c r="L174" s="319">
        <f>IF(AND('Ações'!AS175="sim", 'Ações'!BI175="sim"), 1, 0)
</f>
        <v>0</v>
      </c>
      <c r="M174" s="319">
        <f>IF(AND('Ações'!AT175="sim", 'Ações'!BD175="sim"), 1, 0)
</f>
        <v>1</v>
      </c>
      <c r="N174" s="319">
        <f>IF(AND('Ações'!AT175="sim", 'Ações'!BF175="sim"), 1, 0)
</f>
        <v>0</v>
      </c>
      <c r="O174" s="319">
        <f>IF(AND('Ações'!AT175="sim", 'Ações'!BG175="sim"), 1, 0)
</f>
        <v>0</v>
      </c>
      <c r="P174" s="319">
        <f>IF(AND('Ações'!AT175="sim", 'Ações'!BH175="sim"), 1, 0)
</f>
        <v>0</v>
      </c>
      <c r="Q174" s="319">
        <f>IF(AND('Ações'!AT175="sim", 'Ações'!BI175="sim"), 1, 0)
</f>
        <v>0</v>
      </c>
      <c r="R174" s="319">
        <f>IF(AND('Ações'!AU175="sim", 'Ações'!BD175="sim"), 1, 0)
</f>
        <v>1</v>
      </c>
      <c r="S174" s="319">
        <f>IF(AND('Ações'!AU175="sim", 'Ações'!BE175="sim"), 1, 0)
</f>
        <v>0</v>
      </c>
      <c r="T174" s="319">
        <f>IF(AND('Ações'!AU175="sim", 'Ações'!BG175="sim"), 1, 0)
</f>
        <v>0</v>
      </c>
      <c r="U174" s="319">
        <f>IF(AND('Ações'!AU175="sim", 'Ações'!BH175="sim"), 1, 0)
</f>
        <v>0</v>
      </c>
      <c r="V174" s="319">
        <f>IF(AND('Ações'!AU175="sim", 'Ações'!BI175="sim"), 1, 0)
</f>
        <v>0</v>
      </c>
      <c r="W174" s="319">
        <f>IF(AND('Ações'!AV175="sim", 'Ações'!BD175="sim"), 1, 0)
</f>
        <v>1</v>
      </c>
      <c r="X174" s="319">
        <f>IF(AND('Ações'!AV175="sim", 'Ações'!BE175="sim"), 1, 0)
</f>
        <v>0</v>
      </c>
      <c r="Y174" s="319">
        <f>IF(AND('Ações'!AV175="sim", 'Ações'!BF175="sim"), 1, 0)
</f>
        <v>0</v>
      </c>
      <c r="Z174" s="319">
        <f>IF(AND('Ações'!AV175="sim", 'Ações'!BH175="sim"), 1, 0)
</f>
        <v>0</v>
      </c>
      <c r="AA174" s="319">
        <f>IF(AND('Ações'!AV175="sim", 'Ações'!BI175="sim"), 1, 0)
</f>
        <v>0</v>
      </c>
      <c r="AB174" s="319">
        <f>IF(AND('Ações'!AW175="sim", 'Ações'!BD175="sim"), 1, 0)
</f>
        <v>1</v>
      </c>
      <c r="AC174" s="319">
        <f>IF(AND('Ações'!AW175="sim", 'Ações'!BE175="sim"), 1, 0)
</f>
        <v>0</v>
      </c>
      <c r="AD174" s="319">
        <f>IF(AND('Ações'!AW175="sim", 'Ações'!BF175="sim"), 1, 0)
</f>
        <v>0</v>
      </c>
      <c r="AE174" s="319">
        <f>IF(AND('Ações'!AW175="sim", 'Ações'!BG175="sim"), 1, 0)
</f>
        <v>0</v>
      </c>
      <c r="AF174" s="319">
        <f>IF(AND('Ações'!AW175="sim", 'Ações'!BI175="sim"), 1, 0)
</f>
        <v>0</v>
      </c>
      <c r="AG174" s="319">
        <f>IF(AND('Ações'!AX175="sim", 'Ações'!BD175="sim"), 1, 0)
</f>
        <v>0</v>
      </c>
      <c r="AH174" s="319">
        <f>IF(AND('Ações'!AX175="sim", 'Ações'!BE175="sim"), 1, 0)
</f>
        <v>0</v>
      </c>
      <c r="AI174" s="319">
        <f>IF(AND('Ações'!AX175="sim", 'Ações'!BF175="sim"), 1, 0)
</f>
        <v>0</v>
      </c>
      <c r="AJ174" s="319">
        <f>IF(AND('Ações'!AX175="sim", 'Ações'!BG175="sim"), 1, 0)
</f>
        <v>0</v>
      </c>
      <c r="AK174" s="319">
        <f>IF(AND('Ações'!AX175="sim", 'Ações'!BH175="sim"), 1, 0)
</f>
        <v>0</v>
      </c>
    </row>
    <row r="175">
      <c r="B175" s="319">
        <f>IF(AND('Ações'!AS176="sim", 'Ações'!BD176="sim"), 1, 0)
</f>
        <v>0</v>
      </c>
      <c r="C175" s="319">
        <f>IF(AND('Ações'!AT176="sim", 'Ações'!BE176="sim"), 1, 0)
</f>
        <v>0</v>
      </c>
      <c r="D175" s="319">
        <f>IF(AND('Ações'!AU176="sim", 'Ações'!BF176="sim"), 1, 0)
</f>
        <v>0</v>
      </c>
      <c r="E175" s="319">
        <f>IF(AND('Ações'!AV176="sim", 'Ações'!BG176="sim"), 1, 0)
</f>
        <v>0</v>
      </c>
      <c r="F175" s="319">
        <f>IF(AND('Ações'!AW176="sim", 'Ações'!BH176="sim"), 1, 0)
</f>
        <v>0</v>
      </c>
      <c r="G175" s="319">
        <f>IF(AND('Ações'!AX176="sim", 'Ações'!BI176="sim"), 1, 0)
</f>
        <v>0</v>
      </c>
      <c r="H175" s="319">
        <f>IF(AND('Ações'!AS176="sim", 'Ações'!BE176="sim"), 1, 0)
</f>
        <v>0</v>
      </c>
      <c r="I175" s="319">
        <f>IF(AND('Ações'!AS176="sim", 'Ações'!BF176="sim"), 1, 0)
</f>
        <v>0</v>
      </c>
      <c r="J175" s="319">
        <f>IF(AND('Ações'!AS176="sim", 'Ações'!BG176="sim"), 1, 0)
</f>
        <v>0</v>
      </c>
      <c r="K175" s="319">
        <f>IF(AND('Ações'!AS176="sim", 'Ações'!BH176="sim"), 1, 0)
</f>
        <v>0</v>
      </c>
      <c r="L175" s="319">
        <f>IF(AND('Ações'!AS176="sim", 'Ações'!BI176="sim"), 1, 0)
</f>
        <v>1</v>
      </c>
      <c r="M175" s="319">
        <f>IF(AND('Ações'!AT176="sim", 'Ações'!BD176="sim"), 1, 0)
</f>
        <v>0</v>
      </c>
      <c r="N175" s="319">
        <f>IF(AND('Ações'!AT176="sim", 'Ações'!BF176="sim"), 1, 0)
</f>
        <v>0</v>
      </c>
      <c r="O175" s="319">
        <f>IF(AND('Ações'!AT176="sim", 'Ações'!BG176="sim"), 1, 0)
</f>
        <v>0</v>
      </c>
      <c r="P175" s="319">
        <f>IF(AND('Ações'!AT176="sim", 'Ações'!BH176="sim"), 1, 0)
</f>
        <v>0</v>
      </c>
      <c r="Q175" s="319">
        <f>IF(AND('Ações'!AT176="sim", 'Ações'!BI176="sim"), 1, 0)
</f>
        <v>1</v>
      </c>
      <c r="R175" s="319">
        <f>IF(AND('Ações'!AU176="sim", 'Ações'!BD176="sim"), 1, 0)
</f>
        <v>0</v>
      </c>
      <c r="S175" s="319">
        <f>IF(AND('Ações'!AU176="sim", 'Ações'!BE176="sim"), 1, 0)
</f>
        <v>0</v>
      </c>
      <c r="T175" s="319">
        <f>IF(AND('Ações'!AU176="sim", 'Ações'!BG176="sim"), 1, 0)
</f>
        <v>0</v>
      </c>
      <c r="U175" s="319">
        <f>IF(AND('Ações'!AU176="sim", 'Ações'!BH176="sim"), 1, 0)
</f>
        <v>0</v>
      </c>
      <c r="V175" s="319">
        <f>IF(AND('Ações'!AU176="sim", 'Ações'!BI176="sim"), 1, 0)
</f>
        <v>1</v>
      </c>
      <c r="W175" s="319">
        <f>IF(AND('Ações'!AV176="sim", 'Ações'!BD176="sim"), 1, 0)
</f>
        <v>0</v>
      </c>
      <c r="X175" s="319">
        <f>IF(AND('Ações'!AV176="sim", 'Ações'!BE176="sim"), 1, 0)
</f>
        <v>0</v>
      </c>
      <c r="Y175" s="319">
        <f>IF(AND('Ações'!AV176="sim", 'Ações'!BF176="sim"), 1, 0)
</f>
        <v>0</v>
      </c>
      <c r="Z175" s="319">
        <f>IF(AND('Ações'!AV176="sim", 'Ações'!BH176="sim"), 1, 0)
</f>
        <v>0</v>
      </c>
      <c r="AA175" s="319">
        <f>IF(AND('Ações'!AV176="sim", 'Ações'!BI176="sim"), 1, 0)
</f>
        <v>1</v>
      </c>
      <c r="AB175" s="319">
        <f>IF(AND('Ações'!AW176="sim", 'Ações'!BD176="sim"), 1, 0)
</f>
        <v>0</v>
      </c>
      <c r="AC175" s="319">
        <f>IF(AND('Ações'!AW176="sim", 'Ações'!BE176="sim"), 1, 0)
</f>
        <v>0</v>
      </c>
      <c r="AD175" s="319">
        <f>IF(AND('Ações'!AW176="sim", 'Ações'!BF176="sim"), 1, 0)
</f>
        <v>0</v>
      </c>
      <c r="AE175" s="319">
        <f>IF(AND('Ações'!AW176="sim", 'Ações'!BG176="sim"), 1, 0)
</f>
        <v>0</v>
      </c>
      <c r="AF175" s="319">
        <f>IF(AND('Ações'!AW176="sim", 'Ações'!BI176="sim"), 1, 0)
</f>
        <v>1</v>
      </c>
      <c r="AG175" s="319">
        <f>IF(AND('Ações'!AX176="sim", 'Ações'!BD176="sim"), 1, 0)
</f>
        <v>0</v>
      </c>
      <c r="AH175" s="319">
        <f>IF(AND('Ações'!AX176="sim", 'Ações'!BE176="sim"), 1, 0)
</f>
        <v>0</v>
      </c>
      <c r="AI175" s="319">
        <f>IF(AND('Ações'!AX176="sim", 'Ações'!BF176="sim"), 1, 0)
</f>
        <v>0</v>
      </c>
      <c r="AJ175" s="319">
        <f>IF(AND('Ações'!AX176="sim", 'Ações'!BG176="sim"), 1, 0)
</f>
        <v>0</v>
      </c>
      <c r="AK175" s="319">
        <f>IF(AND('Ações'!AX176="sim", 'Ações'!BH176="sim"), 1, 0)
</f>
        <v>0</v>
      </c>
    </row>
    <row r="176">
      <c r="B176" s="319">
        <f>IF(AND('Ações'!AS177="sim", 'Ações'!BD177="sim"), 1, 0)
</f>
        <v>0</v>
      </c>
      <c r="C176" s="319">
        <f>IF(AND('Ações'!AT177="sim", 'Ações'!BE177="sim"), 1, 0)
</f>
        <v>0</v>
      </c>
      <c r="D176" s="319">
        <f>IF(AND('Ações'!AU177="sim", 'Ações'!BF177="sim"), 1, 0)
</f>
        <v>0</v>
      </c>
      <c r="E176" s="319">
        <f>IF(AND('Ações'!AV177="sim", 'Ações'!BG177="sim"), 1, 0)
</f>
        <v>0</v>
      </c>
      <c r="F176" s="319">
        <f>IF(AND('Ações'!AW177="sim", 'Ações'!BH177="sim"), 1, 0)
</f>
        <v>0</v>
      </c>
      <c r="G176" s="319">
        <f>IF(AND('Ações'!AX177="sim", 'Ações'!BI177="sim"), 1, 0)
</f>
        <v>0</v>
      </c>
      <c r="H176" s="319">
        <f>IF(AND('Ações'!AS177="sim", 'Ações'!BE177="sim"), 1, 0)
</f>
        <v>0</v>
      </c>
      <c r="I176" s="319">
        <f>IF(AND('Ações'!AS177="sim", 'Ações'!BF177="sim"), 1, 0)
</f>
        <v>0</v>
      </c>
      <c r="J176" s="319">
        <f>IF(AND('Ações'!AS177="sim", 'Ações'!BG177="sim"), 1, 0)
</f>
        <v>0</v>
      </c>
      <c r="K176" s="319">
        <f>IF(AND('Ações'!AS177="sim", 'Ações'!BH177="sim"), 1, 0)
</f>
        <v>0</v>
      </c>
      <c r="L176" s="319">
        <f>IF(AND('Ações'!AS177="sim", 'Ações'!BI177="sim"), 1, 0)
</f>
        <v>1</v>
      </c>
      <c r="M176" s="319">
        <f>IF(AND('Ações'!AT177="sim", 'Ações'!BD177="sim"), 1, 0)
</f>
        <v>0</v>
      </c>
      <c r="N176" s="319">
        <f>IF(AND('Ações'!AT177="sim", 'Ações'!BF177="sim"), 1, 0)
</f>
        <v>0</v>
      </c>
      <c r="O176" s="319">
        <f>IF(AND('Ações'!AT177="sim", 'Ações'!BG177="sim"), 1, 0)
</f>
        <v>0</v>
      </c>
      <c r="P176" s="319">
        <f>IF(AND('Ações'!AT177="sim", 'Ações'!BH177="sim"), 1, 0)
</f>
        <v>0</v>
      </c>
      <c r="Q176" s="319">
        <f>IF(AND('Ações'!AT177="sim", 'Ações'!BI177="sim"), 1, 0)
</f>
        <v>1</v>
      </c>
      <c r="R176" s="319">
        <f>IF(AND('Ações'!AU177="sim", 'Ações'!BD177="sim"), 1, 0)
</f>
        <v>0</v>
      </c>
      <c r="S176" s="319">
        <f>IF(AND('Ações'!AU177="sim", 'Ações'!BE177="sim"), 1, 0)
</f>
        <v>0</v>
      </c>
      <c r="T176" s="319">
        <f>IF(AND('Ações'!AU177="sim", 'Ações'!BG177="sim"), 1, 0)
</f>
        <v>0</v>
      </c>
      <c r="U176" s="319">
        <f>IF(AND('Ações'!AU177="sim", 'Ações'!BH177="sim"), 1, 0)
</f>
        <v>0</v>
      </c>
      <c r="V176" s="319">
        <f>IF(AND('Ações'!AU177="sim", 'Ações'!BI177="sim"), 1, 0)
</f>
        <v>1</v>
      </c>
      <c r="W176" s="319">
        <f>IF(AND('Ações'!AV177="sim", 'Ações'!BD177="sim"), 1, 0)
</f>
        <v>0</v>
      </c>
      <c r="X176" s="319">
        <f>IF(AND('Ações'!AV177="sim", 'Ações'!BE177="sim"), 1, 0)
</f>
        <v>0</v>
      </c>
      <c r="Y176" s="319">
        <f>IF(AND('Ações'!AV177="sim", 'Ações'!BF177="sim"), 1, 0)
</f>
        <v>0</v>
      </c>
      <c r="Z176" s="319">
        <f>IF(AND('Ações'!AV177="sim", 'Ações'!BH177="sim"), 1, 0)
</f>
        <v>0</v>
      </c>
      <c r="AA176" s="319">
        <f>IF(AND('Ações'!AV177="sim", 'Ações'!BI177="sim"), 1, 0)
</f>
        <v>1</v>
      </c>
      <c r="AB176" s="319">
        <f>IF(AND('Ações'!AW177="sim", 'Ações'!BD177="sim"), 1, 0)
</f>
        <v>0</v>
      </c>
      <c r="AC176" s="319">
        <f>IF(AND('Ações'!AW177="sim", 'Ações'!BE177="sim"), 1, 0)
</f>
        <v>0</v>
      </c>
      <c r="AD176" s="319">
        <f>IF(AND('Ações'!AW177="sim", 'Ações'!BF177="sim"), 1, 0)
</f>
        <v>0</v>
      </c>
      <c r="AE176" s="319">
        <f>IF(AND('Ações'!AW177="sim", 'Ações'!BG177="sim"), 1, 0)
</f>
        <v>0</v>
      </c>
      <c r="AF176" s="319">
        <f>IF(AND('Ações'!AW177="sim", 'Ações'!BI177="sim"), 1, 0)
</f>
        <v>1</v>
      </c>
      <c r="AG176" s="319">
        <f>IF(AND('Ações'!AX177="sim", 'Ações'!BD177="sim"), 1, 0)
</f>
        <v>0</v>
      </c>
      <c r="AH176" s="319">
        <f>IF(AND('Ações'!AX177="sim", 'Ações'!BE177="sim"), 1, 0)
</f>
        <v>0</v>
      </c>
      <c r="AI176" s="319">
        <f>IF(AND('Ações'!AX177="sim", 'Ações'!BF177="sim"), 1, 0)
</f>
        <v>0</v>
      </c>
      <c r="AJ176" s="319">
        <f>IF(AND('Ações'!AX177="sim", 'Ações'!BG177="sim"), 1, 0)
</f>
        <v>0</v>
      </c>
      <c r="AK176" s="319">
        <f>IF(AND('Ações'!AX177="sim", 'Ações'!BH177="sim"), 1, 0)
</f>
        <v>0</v>
      </c>
    </row>
    <row r="177">
      <c r="B177" s="319">
        <f>IF(AND('Ações'!AS178="sim", 'Ações'!BD178="sim"), 1, 0)
</f>
        <v>0</v>
      </c>
      <c r="C177" s="319">
        <f>IF(AND('Ações'!AT178="sim", 'Ações'!BE178="sim"), 1, 0)
</f>
        <v>0</v>
      </c>
      <c r="D177" s="319">
        <f>IF(AND('Ações'!AU178="sim", 'Ações'!BF178="sim"), 1, 0)
</f>
        <v>0</v>
      </c>
      <c r="E177" s="319">
        <f>IF(AND('Ações'!AV178="sim", 'Ações'!BG178="sim"), 1, 0)
</f>
        <v>0</v>
      </c>
      <c r="F177" s="319">
        <f>IF(AND('Ações'!AW178="sim", 'Ações'!BH178="sim"), 1, 0)
</f>
        <v>0</v>
      </c>
      <c r="G177" s="319">
        <f>IF(AND('Ações'!AX178="sim", 'Ações'!BI178="sim"), 1, 0)
</f>
        <v>0</v>
      </c>
      <c r="H177" s="319">
        <f>IF(AND('Ações'!AS178="sim", 'Ações'!BE178="sim"), 1, 0)
</f>
        <v>0</v>
      </c>
      <c r="I177" s="319">
        <f>IF(AND('Ações'!AS178="sim", 'Ações'!BF178="sim"), 1, 0)
</f>
        <v>0</v>
      </c>
      <c r="J177" s="319">
        <f>IF(AND('Ações'!AS178="sim", 'Ações'!BG178="sim"), 1, 0)
</f>
        <v>0</v>
      </c>
      <c r="K177" s="319">
        <f>IF(AND('Ações'!AS178="sim", 'Ações'!BH178="sim"), 1, 0)
</f>
        <v>0</v>
      </c>
      <c r="L177" s="319">
        <f>IF(AND('Ações'!AS178="sim", 'Ações'!BI178="sim"), 1, 0)
</f>
        <v>0</v>
      </c>
      <c r="M177" s="319">
        <f>IF(AND('Ações'!AT178="sim", 'Ações'!BD178="sim"), 1, 0)
</f>
        <v>0</v>
      </c>
      <c r="N177" s="319">
        <f>IF(AND('Ações'!AT178="sim", 'Ações'!BF178="sim"), 1, 0)
</f>
        <v>0</v>
      </c>
      <c r="O177" s="319">
        <f>IF(AND('Ações'!AT178="sim", 'Ações'!BG178="sim"), 1, 0)
</f>
        <v>0</v>
      </c>
      <c r="P177" s="319">
        <f>IF(AND('Ações'!AT178="sim", 'Ações'!BH178="sim"), 1, 0)
</f>
        <v>0</v>
      </c>
      <c r="Q177" s="319">
        <f>IF(AND('Ações'!AT178="sim", 'Ações'!BI178="sim"), 1, 0)
</f>
        <v>0</v>
      </c>
      <c r="R177" s="319">
        <f>IF(AND('Ações'!AU178="sim", 'Ações'!BD178="sim"), 1, 0)
</f>
        <v>0</v>
      </c>
      <c r="S177" s="319">
        <f>IF(AND('Ações'!AU178="sim", 'Ações'!BE178="sim"), 1, 0)
</f>
        <v>0</v>
      </c>
      <c r="T177" s="319">
        <f>IF(AND('Ações'!AU178="sim", 'Ações'!BG178="sim"), 1, 0)
</f>
        <v>0</v>
      </c>
      <c r="U177" s="319">
        <f>IF(AND('Ações'!AU178="sim", 'Ações'!BH178="sim"), 1, 0)
</f>
        <v>0</v>
      </c>
      <c r="V177" s="319">
        <f>IF(AND('Ações'!AU178="sim", 'Ações'!BI178="sim"), 1, 0)
</f>
        <v>0</v>
      </c>
      <c r="W177" s="319">
        <f>IF(AND('Ações'!AV178="sim", 'Ações'!BD178="sim"), 1, 0)
</f>
        <v>0</v>
      </c>
      <c r="X177" s="319">
        <f>IF(AND('Ações'!AV178="sim", 'Ações'!BE178="sim"), 1, 0)
</f>
        <v>0</v>
      </c>
      <c r="Y177" s="319">
        <f>IF(AND('Ações'!AV178="sim", 'Ações'!BF178="sim"), 1, 0)
</f>
        <v>0</v>
      </c>
      <c r="Z177" s="319">
        <f>IF(AND('Ações'!AV178="sim", 'Ações'!BH178="sim"), 1, 0)
</f>
        <v>0</v>
      </c>
      <c r="AA177" s="319">
        <f>IF(AND('Ações'!AV178="sim", 'Ações'!BI178="sim"), 1, 0)
</f>
        <v>0</v>
      </c>
      <c r="AB177" s="319">
        <f>IF(AND('Ações'!AW178="sim", 'Ações'!BD178="sim"), 1, 0)
</f>
        <v>0</v>
      </c>
      <c r="AC177" s="319">
        <f>IF(AND('Ações'!AW178="sim", 'Ações'!BE178="sim"), 1, 0)
</f>
        <v>0</v>
      </c>
      <c r="AD177" s="319">
        <f>IF(AND('Ações'!AW178="sim", 'Ações'!BF178="sim"), 1, 0)
</f>
        <v>0</v>
      </c>
      <c r="AE177" s="319">
        <f>IF(AND('Ações'!AW178="sim", 'Ações'!BG178="sim"), 1, 0)
</f>
        <v>0</v>
      </c>
      <c r="AF177" s="319">
        <f>IF(AND('Ações'!AW178="sim", 'Ações'!BI178="sim"), 1, 0)
</f>
        <v>0</v>
      </c>
      <c r="AG177" s="319">
        <f>IF(AND('Ações'!AX178="sim", 'Ações'!BD178="sim"), 1, 0)
</f>
        <v>0</v>
      </c>
      <c r="AH177" s="319">
        <f>IF(AND('Ações'!AX178="sim", 'Ações'!BE178="sim"), 1, 0)
</f>
        <v>0</v>
      </c>
      <c r="AI177" s="319">
        <f>IF(AND('Ações'!AX178="sim", 'Ações'!BF178="sim"), 1, 0)
</f>
        <v>0</v>
      </c>
      <c r="AJ177" s="319">
        <f>IF(AND('Ações'!AX178="sim", 'Ações'!BG178="sim"), 1, 0)
</f>
        <v>0</v>
      </c>
      <c r="AK177" s="319">
        <f>IF(AND('Ações'!AX178="sim", 'Ações'!BH178="sim"), 1, 0)
</f>
        <v>0</v>
      </c>
    </row>
    <row r="178">
      <c r="B178" s="319">
        <f>IF(AND('Ações'!AS179="sim", 'Ações'!BD179="sim"), 1, 0)
</f>
        <v>0</v>
      </c>
      <c r="C178" s="319">
        <f>IF(AND('Ações'!AT179="sim", 'Ações'!BE179="sim"), 1, 0)
</f>
        <v>0</v>
      </c>
      <c r="D178" s="319">
        <f>IF(AND('Ações'!AU179="sim", 'Ações'!BF179="sim"), 1, 0)
</f>
        <v>0</v>
      </c>
      <c r="E178" s="319">
        <f>IF(AND('Ações'!AV179="sim", 'Ações'!BG179="sim"), 1, 0)
</f>
        <v>0</v>
      </c>
      <c r="F178" s="319">
        <f>IF(AND('Ações'!AW179="sim", 'Ações'!BH179="sim"), 1, 0)
</f>
        <v>0</v>
      </c>
      <c r="G178" s="319">
        <f>IF(AND('Ações'!AX179="sim", 'Ações'!BI179="sim"), 1, 0)
</f>
        <v>0</v>
      </c>
      <c r="H178" s="319">
        <f>IF(AND('Ações'!AS179="sim", 'Ações'!BE179="sim"), 1, 0)
</f>
        <v>0</v>
      </c>
      <c r="I178" s="319">
        <f>IF(AND('Ações'!AS179="sim", 'Ações'!BF179="sim"), 1, 0)
</f>
        <v>0</v>
      </c>
      <c r="J178" s="319">
        <f>IF(AND('Ações'!AS179="sim", 'Ações'!BG179="sim"), 1, 0)
</f>
        <v>0</v>
      </c>
      <c r="K178" s="319">
        <f>IF(AND('Ações'!AS179="sim", 'Ações'!BH179="sim"), 1, 0)
</f>
        <v>0</v>
      </c>
      <c r="L178" s="319">
        <f>IF(AND('Ações'!AS179="sim", 'Ações'!BI179="sim"), 1, 0)
</f>
        <v>1</v>
      </c>
      <c r="M178" s="319">
        <f>IF(AND('Ações'!AT179="sim", 'Ações'!BD179="sim"), 1, 0)
</f>
        <v>0</v>
      </c>
      <c r="N178" s="319">
        <f>IF(AND('Ações'!AT179="sim", 'Ações'!BF179="sim"), 1, 0)
</f>
        <v>0</v>
      </c>
      <c r="O178" s="319">
        <f>IF(AND('Ações'!AT179="sim", 'Ações'!BG179="sim"), 1, 0)
</f>
        <v>0</v>
      </c>
      <c r="P178" s="319">
        <f>IF(AND('Ações'!AT179="sim", 'Ações'!BH179="sim"), 1, 0)
</f>
        <v>0</v>
      </c>
      <c r="Q178" s="319">
        <f>IF(AND('Ações'!AT179="sim", 'Ações'!BI179="sim"), 1, 0)
</f>
        <v>1</v>
      </c>
      <c r="R178" s="319">
        <f>IF(AND('Ações'!AU179="sim", 'Ações'!BD179="sim"), 1, 0)
</f>
        <v>0</v>
      </c>
      <c r="S178" s="319">
        <f>IF(AND('Ações'!AU179="sim", 'Ações'!BE179="sim"), 1, 0)
</f>
        <v>0</v>
      </c>
      <c r="T178" s="319">
        <f>IF(AND('Ações'!AU179="sim", 'Ações'!BG179="sim"), 1, 0)
</f>
        <v>0</v>
      </c>
      <c r="U178" s="319">
        <f>IF(AND('Ações'!AU179="sim", 'Ações'!BH179="sim"), 1, 0)
</f>
        <v>0</v>
      </c>
      <c r="V178" s="319">
        <f>IF(AND('Ações'!AU179="sim", 'Ações'!BI179="sim"), 1, 0)
</f>
        <v>1</v>
      </c>
      <c r="W178" s="319">
        <f>IF(AND('Ações'!AV179="sim", 'Ações'!BD179="sim"), 1, 0)
</f>
        <v>0</v>
      </c>
      <c r="X178" s="319">
        <f>IF(AND('Ações'!AV179="sim", 'Ações'!BE179="sim"), 1, 0)
</f>
        <v>0</v>
      </c>
      <c r="Y178" s="319">
        <f>IF(AND('Ações'!AV179="sim", 'Ações'!BF179="sim"), 1, 0)
</f>
        <v>0</v>
      </c>
      <c r="Z178" s="319">
        <f>IF(AND('Ações'!AV179="sim", 'Ações'!BH179="sim"), 1, 0)
</f>
        <v>0</v>
      </c>
      <c r="AA178" s="319">
        <f>IF(AND('Ações'!AV179="sim", 'Ações'!BI179="sim"), 1, 0)
</f>
        <v>1</v>
      </c>
      <c r="AB178" s="319">
        <f>IF(AND('Ações'!AW179="sim", 'Ações'!BD179="sim"), 1, 0)
</f>
        <v>0</v>
      </c>
      <c r="AC178" s="319">
        <f>IF(AND('Ações'!AW179="sim", 'Ações'!BE179="sim"), 1, 0)
</f>
        <v>0</v>
      </c>
      <c r="AD178" s="319">
        <f>IF(AND('Ações'!AW179="sim", 'Ações'!BF179="sim"), 1, 0)
</f>
        <v>0</v>
      </c>
      <c r="AE178" s="319">
        <f>IF(AND('Ações'!AW179="sim", 'Ações'!BG179="sim"), 1, 0)
</f>
        <v>0</v>
      </c>
      <c r="AF178" s="319">
        <f>IF(AND('Ações'!AW179="sim", 'Ações'!BI179="sim"), 1, 0)
</f>
        <v>1</v>
      </c>
      <c r="AG178" s="319">
        <f>IF(AND('Ações'!AX179="sim", 'Ações'!BD179="sim"), 1, 0)
</f>
        <v>0</v>
      </c>
      <c r="AH178" s="319">
        <f>IF(AND('Ações'!AX179="sim", 'Ações'!BE179="sim"), 1, 0)
</f>
        <v>0</v>
      </c>
      <c r="AI178" s="319">
        <f>IF(AND('Ações'!AX179="sim", 'Ações'!BF179="sim"), 1, 0)
</f>
        <v>0</v>
      </c>
      <c r="AJ178" s="319">
        <f>IF(AND('Ações'!AX179="sim", 'Ações'!BG179="sim"), 1, 0)
</f>
        <v>0</v>
      </c>
      <c r="AK178" s="319">
        <f>IF(AND('Ações'!AX179="sim", 'Ações'!BH179="sim"), 1, 0)
</f>
        <v>0</v>
      </c>
    </row>
    <row r="179">
      <c r="B179" s="319">
        <f>IF(AND('Ações'!AS180="sim", 'Ações'!BD180="sim"), 1, 0)
</f>
        <v>1</v>
      </c>
      <c r="C179" s="319">
        <f>IF(AND('Ações'!AT180="sim", 'Ações'!BE180="sim"), 1, 0)
</f>
        <v>0</v>
      </c>
      <c r="D179" s="319">
        <f>IF(AND('Ações'!AU180="sim", 'Ações'!BF180="sim"), 1, 0)
</f>
        <v>0</v>
      </c>
      <c r="E179" s="319">
        <f>IF(AND('Ações'!AV180="sim", 'Ações'!BG180="sim"), 1, 0)
</f>
        <v>0</v>
      </c>
      <c r="F179" s="319">
        <f>IF(AND('Ações'!AW180="sim", 'Ações'!BH180="sim"), 1, 0)
</f>
        <v>0</v>
      </c>
      <c r="G179" s="319">
        <f>IF(AND('Ações'!AX180="sim", 'Ações'!BI180="sim"), 1, 0)
</f>
        <v>0</v>
      </c>
      <c r="H179" s="319">
        <f>IF(AND('Ações'!AS180="sim", 'Ações'!BE180="sim"), 1, 0)
</f>
        <v>0</v>
      </c>
      <c r="I179" s="319">
        <f>IF(AND('Ações'!AS180="sim", 'Ações'!BF180="sim"), 1, 0)
</f>
        <v>0</v>
      </c>
      <c r="J179" s="319">
        <f>IF(AND('Ações'!AS180="sim", 'Ações'!BG180="sim"), 1, 0)
</f>
        <v>0</v>
      </c>
      <c r="K179" s="319">
        <f>IF(AND('Ações'!AS180="sim", 'Ações'!BH180="sim"), 1, 0)
</f>
        <v>0</v>
      </c>
      <c r="L179" s="319">
        <f>IF(AND('Ações'!AS180="sim", 'Ações'!BI180="sim"), 1, 0)
</f>
        <v>0</v>
      </c>
      <c r="M179" s="319">
        <f>IF(AND('Ações'!AT180="sim", 'Ações'!BD180="sim"), 1, 0)
</f>
        <v>1</v>
      </c>
      <c r="N179" s="319">
        <f>IF(AND('Ações'!AT180="sim", 'Ações'!BF180="sim"), 1, 0)
</f>
        <v>0</v>
      </c>
      <c r="O179" s="319">
        <f>IF(AND('Ações'!AT180="sim", 'Ações'!BG180="sim"), 1, 0)
</f>
        <v>0</v>
      </c>
      <c r="P179" s="319">
        <f>IF(AND('Ações'!AT180="sim", 'Ações'!BH180="sim"), 1, 0)
</f>
        <v>0</v>
      </c>
      <c r="Q179" s="319">
        <f>IF(AND('Ações'!AT180="sim", 'Ações'!BI180="sim"), 1, 0)
</f>
        <v>0</v>
      </c>
      <c r="R179" s="319">
        <f>IF(AND('Ações'!AU180="sim", 'Ações'!BD180="sim"), 1, 0)
</f>
        <v>1</v>
      </c>
      <c r="S179" s="319">
        <f>IF(AND('Ações'!AU180="sim", 'Ações'!BE180="sim"), 1, 0)
</f>
        <v>0</v>
      </c>
      <c r="T179" s="319">
        <f>IF(AND('Ações'!AU180="sim", 'Ações'!BG180="sim"), 1, 0)
</f>
        <v>0</v>
      </c>
      <c r="U179" s="319">
        <f>IF(AND('Ações'!AU180="sim", 'Ações'!BH180="sim"), 1, 0)
</f>
        <v>0</v>
      </c>
      <c r="V179" s="319">
        <f>IF(AND('Ações'!AU180="sim", 'Ações'!BI180="sim"), 1, 0)
</f>
        <v>0</v>
      </c>
      <c r="W179" s="319">
        <f>IF(AND('Ações'!AV180="sim", 'Ações'!BD180="sim"), 1, 0)
</f>
        <v>1</v>
      </c>
      <c r="X179" s="319">
        <f>IF(AND('Ações'!AV180="sim", 'Ações'!BE180="sim"), 1, 0)
</f>
        <v>0</v>
      </c>
      <c r="Y179" s="319">
        <f>IF(AND('Ações'!AV180="sim", 'Ações'!BF180="sim"), 1, 0)
</f>
        <v>0</v>
      </c>
      <c r="Z179" s="319">
        <f>IF(AND('Ações'!AV180="sim", 'Ações'!BH180="sim"), 1, 0)
</f>
        <v>0</v>
      </c>
      <c r="AA179" s="319">
        <f>IF(AND('Ações'!AV180="sim", 'Ações'!BI180="sim"), 1, 0)
</f>
        <v>0</v>
      </c>
      <c r="AB179" s="319">
        <f>IF(AND('Ações'!AW180="sim", 'Ações'!BD180="sim"), 1, 0)
</f>
        <v>1</v>
      </c>
      <c r="AC179" s="319">
        <f>IF(AND('Ações'!AW180="sim", 'Ações'!BE180="sim"), 1, 0)
</f>
        <v>0</v>
      </c>
      <c r="AD179" s="319">
        <f>IF(AND('Ações'!AW180="sim", 'Ações'!BF180="sim"), 1, 0)
</f>
        <v>0</v>
      </c>
      <c r="AE179" s="319">
        <f>IF(AND('Ações'!AW180="sim", 'Ações'!BG180="sim"), 1, 0)
</f>
        <v>0</v>
      </c>
      <c r="AF179" s="319">
        <f>IF(AND('Ações'!AW180="sim", 'Ações'!BI180="sim"), 1, 0)
</f>
        <v>0</v>
      </c>
      <c r="AG179" s="319">
        <f>IF(AND('Ações'!AX180="sim", 'Ações'!BD180="sim"), 1, 0)
</f>
        <v>0</v>
      </c>
      <c r="AH179" s="319">
        <f>IF(AND('Ações'!AX180="sim", 'Ações'!BE180="sim"), 1, 0)
</f>
        <v>0</v>
      </c>
      <c r="AI179" s="319">
        <f>IF(AND('Ações'!AX180="sim", 'Ações'!BF180="sim"), 1, 0)
</f>
        <v>0</v>
      </c>
      <c r="AJ179" s="319">
        <f>IF(AND('Ações'!AX180="sim", 'Ações'!BG180="sim"), 1, 0)
</f>
        <v>0</v>
      </c>
      <c r="AK179" s="319">
        <f>IF(AND('Ações'!AX180="sim", 'Ações'!BH180="sim"), 1, 0)
</f>
        <v>0</v>
      </c>
    </row>
    <row r="180">
      <c r="B180" s="319">
        <f>IF(AND('Ações'!AS181="sim", 'Ações'!BD181="sim"), 1, 0)
</f>
        <v>1</v>
      </c>
      <c r="C180" s="319">
        <f>IF(AND('Ações'!AT181="sim", 'Ações'!BE181="sim"), 1, 0)
</f>
        <v>0</v>
      </c>
      <c r="D180" s="319">
        <f>IF(AND('Ações'!AU181="sim", 'Ações'!BF181="sim"), 1, 0)
</f>
        <v>0</v>
      </c>
      <c r="E180" s="319">
        <f>IF(AND('Ações'!AV181="sim", 'Ações'!BG181="sim"), 1, 0)
</f>
        <v>0</v>
      </c>
      <c r="F180" s="319">
        <f>IF(AND('Ações'!AW181="sim", 'Ações'!BH181="sim"), 1, 0)
</f>
        <v>0</v>
      </c>
      <c r="G180" s="319">
        <f>IF(AND('Ações'!AX181="sim", 'Ações'!BI181="sim"), 1, 0)
</f>
        <v>0</v>
      </c>
      <c r="H180" s="319">
        <f>IF(AND('Ações'!AS181="sim", 'Ações'!BE181="sim"), 1, 0)
</f>
        <v>0</v>
      </c>
      <c r="I180" s="319">
        <f>IF(AND('Ações'!AS181="sim", 'Ações'!BF181="sim"), 1, 0)
</f>
        <v>0</v>
      </c>
      <c r="J180" s="319">
        <f>IF(AND('Ações'!AS181="sim", 'Ações'!BG181="sim"), 1, 0)
</f>
        <v>0</v>
      </c>
      <c r="K180" s="319">
        <f>IF(AND('Ações'!AS181="sim", 'Ações'!BH181="sim"), 1, 0)
</f>
        <v>0</v>
      </c>
      <c r="L180" s="319">
        <f>IF(AND('Ações'!AS181="sim", 'Ações'!BI181="sim"), 1, 0)
</f>
        <v>0</v>
      </c>
      <c r="M180" s="319">
        <f>IF(AND('Ações'!AT181="sim", 'Ações'!BD181="sim"), 1, 0)
</f>
        <v>1</v>
      </c>
      <c r="N180" s="319">
        <f>IF(AND('Ações'!AT181="sim", 'Ações'!BF181="sim"), 1, 0)
</f>
        <v>0</v>
      </c>
      <c r="O180" s="319">
        <f>IF(AND('Ações'!AT181="sim", 'Ações'!BG181="sim"), 1, 0)
</f>
        <v>0</v>
      </c>
      <c r="P180" s="319">
        <f>IF(AND('Ações'!AT181="sim", 'Ações'!BH181="sim"), 1, 0)
</f>
        <v>0</v>
      </c>
      <c r="Q180" s="319">
        <f>IF(AND('Ações'!AT181="sim", 'Ações'!BI181="sim"), 1, 0)
</f>
        <v>0</v>
      </c>
      <c r="R180" s="319">
        <f>IF(AND('Ações'!AU181="sim", 'Ações'!BD181="sim"), 1, 0)
</f>
        <v>1</v>
      </c>
      <c r="S180" s="319">
        <f>IF(AND('Ações'!AU181="sim", 'Ações'!BE181="sim"), 1, 0)
</f>
        <v>0</v>
      </c>
      <c r="T180" s="319">
        <f>IF(AND('Ações'!AU181="sim", 'Ações'!BG181="sim"), 1, 0)
</f>
        <v>0</v>
      </c>
      <c r="U180" s="319">
        <f>IF(AND('Ações'!AU181="sim", 'Ações'!BH181="sim"), 1, 0)
</f>
        <v>0</v>
      </c>
      <c r="V180" s="319">
        <f>IF(AND('Ações'!AU181="sim", 'Ações'!BI181="sim"), 1, 0)
</f>
        <v>0</v>
      </c>
      <c r="W180" s="319">
        <f>IF(AND('Ações'!AV181="sim", 'Ações'!BD181="sim"), 1, 0)
</f>
        <v>1</v>
      </c>
      <c r="X180" s="319">
        <f>IF(AND('Ações'!AV181="sim", 'Ações'!BE181="sim"), 1, 0)
</f>
        <v>0</v>
      </c>
      <c r="Y180" s="319">
        <f>IF(AND('Ações'!AV181="sim", 'Ações'!BF181="sim"), 1, 0)
</f>
        <v>0</v>
      </c>
      <c r="Z180" s="319">
        <f>IF(AND('Ações'!AV181="sim", 'Ações'!BH181="sim"), 1, 0)
</f>
        <v>0</v>
      </c>
      <c r="AA180" s="319">
        <f>IF(AND('Ações'!AV181="sim", 'Ações'!BI181="sim"), 1, 0)
</f>
        <v>0</v>
      </c>
      <c r="AB180" s="319">
        <f>IF(AND('Ações'!AW181="sim", 'Ações'!BD181="sim"), 1, 0)
</f>
        <v>1</v>
      </c>
      <c r="AC180" s="319">
        <f>IF(AND('Ações'!AW181="sim", 'Ações'!BE181="sim"), 1, 0)
</f>
        <v>0</v>
      </c>
      <c r="AD180" s="319">
        <f>IF(AND('Ações'!AW181="sim", 'Ações'!BF181="sim"), 1, 0)
</f>
        <v>0</v>
      </c>
      <c r="AE180" s="319">
        <f>IF(AND('Ações'!AW181="sim", 'Ações'!BG181="sim"), 1, 0)
</f>
        <v>0</v>
      </c>
      <c r="AF180" s="319">
        <f>IF(AND('Ações'!AW181="sim", 'Ações'!BI181="sim"), 1, 0)
</f>
        <v>0</v>
      </c>
      <c r="AG180" s="319">
        <f>IF(AND('Ações'!AX181="sim", 'Ações'!BD181="sim"), 1, 0)
</f>
        <v>0</v>
      </c>
      <c r="AH180" s="319">
        <f>IF(AND('Ações'!AX181="sim", 'Ações'!BE181="sim"), 1, 0)
</f>
        <v>0</v>
      </c>
      <c r="AI180" s="319">
        <f>IF(AND('Ações'!AX181="sim", 'Ações'!BF181="sim"), 1, 0)
</f>
        <v>0</v>
      </c>
      <c r="AJ180" s="319">
        <f>IF(AND('Ações'!AX181="sim", 'Ações'!BG181="sim"), 1, 0)
</f>
        <v>0</v>
      </c>
      <c r="AK180" s="319">
        <f>IF(AND('Ações'!AX181="sim", 'Ações'!BH181="sim"), 1, 0)
</f>
        <v>0</v>
      </c>
    </row>
    <row r="181">
      <c r="B181" s="319">
        <f>IF(AND('Ações'!AS182="sim", 'Ações'!BD182="sim"), 1, 0)
</f>
        <v>1</v>
      </c>
      <c r="C181" s="319">
        <f>IF(AND('Ações'!AT182="sim", 'Ações'!BE182="sim"), 1, 0)
</f>
        <v>0</v>
      </c>
      <c r="D181" s="319">
        <f>IF(AND('Ações'!AU182="sim", 'Ações'!BF182="sim"), 1, 0)
</f>
        <v>0</v>
      </c>
      <c r="E181" s="319">
        <f>IF(AND('Ações'!AV182="sim", 'Ações'!BG182="sim"), 1, 0)
</f>
        <v>0</v>
      </c>
      <c r="F181" s="319">
        <f>IF(AND('Ações'!AW182="sim", 'Ações'!BH182="sim"), 1, 0)
</f>
        <v>0</v>
      </c>
      <c r="G181" s="319">
        <f>IF(AND('Ações'!AX182="sim", 'Ações'!BI182="sim"), 1, 0)
</f>
        <v>0</v>
      </c>
      <c r="H181" s="319">
        <f>IF(AND('Ações'!AS182="sim", 'Ações'!BE182="sim"), 1, 0)
</f>
        <v>0</v>
      </c>
      <c r="I181" s="319">
        <f>IF(AND('Ações'!AS182="sim", 'Ações'!BF182="sim"), 1, 0)
</f>
        <v>0</v>
      </c>
      <c r="J181" s="319">
        <f>IF(AND('Ações'!AS182="sim", 'Ações'!BG182="sim"), 1, 0)
</f>
        <v>0</v>
      </c>
      <c r="K181" s="319">
        <f>IF(AND('Ações'!AS182="sim", 'Ações'!BH182="sim"), 1, 0)
</f>
        <v>0</v>
      </c>
      <c r="L181" s="319">
        <f>IF(AND('Ações'!AS182="sim", 'Ações'!BI182="sim"), 1, 0)
</f>
        <v>0</v>
      </c>
      <c r="M181" s="319">
        <f>IF(AND('Ações'!AT182="sim", 'Ações'!BD182="sim"), 1, 0)
</f>
        <v>1</v>
      </c>
      <c r="N181" s="319">
        <f>IF(AND('Ações'!AT182="sim", 'Ações'!BF182="sim"), 1, 0)
</f>
        <v>0</v>
      </c>
      <c r="O181" s="319">
        <f>IF(AND('Ações'!AT182="sim", 'Ações'!BG182="sim"), 1, 0)
</f>
        <v>0</v>
      </c>
      <c r="P181" s="319">
        <f>IF(AND('Ações'!AT182="sim", 'Ações'!BH182="sim"), 1, 0)
</f>
        <v>0</v>
      </c>
      <c r="Q181" s="319">
        <f>IF(AND('Ações'!AT182="sim", 'Ações'!BI182="sim"), 1, 0)
</f>
        <v>0</v>
      </c>
      <c r="R181" s="319">
        <f>IF(AND('Ações'!AU182="sim", 'Ações'!BD182="sim"), 1, 0)
</f>
        <v>1</v>
      </c>
      <c r="S181" s="319">
        <f>IF(AND('Ações'!AU182="sim", 'Ações'!BE182="sim"), 1, 0)
</f>
        <v>0</v>
      </c>
      <c r="T181" s="319">
        <f>IF(AND('Ações'!AU182="sim", 'Ações'!BG182="sim"), 1, 0)
</f>
        <v>0</v>
      </c>
      <c r="U181" s="319">
        <f>IF(AND('Ações'!AU182="sim", 'Ações'!BH182="sim"), 1, 0)
</f>
        <v>0</v>
      </c>
      <c r="V181" s="319">
        <f>IF(AND('Ações'!AU182="sim", 'Ações'!BI182="sim"), 1, 0)
</f>
        <v>0</v>
      </c>
      <c r="W181" s="319">
        <f>IF(AND('Ações'!AV182="sim", 'Ações'!BD182="sim"), 1, 0)
</f>
        <v>1</v>
      </c>
      <c r="X181" s="319">
        <f>IF(AND('Ações'!AV182="sim", 'Ações'!BE182="sim"), 1, 0)
</f>
        <v>0</v>
      </c>
      <c r="Y181" s="319">
        <f>IF(AND('Ações'!AV182="sim", 'Ações'!BF182="sim"), 1, 0)
</f>
        <v>0</v>
      </c>
      <c r="Z181" s="319">
        <f>IF(AND('Ações'!AV182="sim", 'Ações'!BH182="sim"), 1, 0)
</f>
        <v>0</v>
      </c>
      <c r="AA181" s="319">
        <f>IF(AND('Ações'!AV182="sim", 'Ações'!BI182="sim"), 1, 0)
</f>
        <v>0</v>
      </c>
      <c r="AB181" s="319">
        <f>IF(AND('Ações'!AW182="sim", 'Ações'!BD182="sim"), 1, 0)
</f>
        <v>1</v>
      </c>
      <c r="AC181" s="319">
        <f>IF(AND('Ações'!AW182="sim", 'Ações'!BE182="sim"), 1, 0)
</f>
        <v>0</v>
      </c>
      <c r="AD181" s="319">
        <f>IF(AND('Ações'!AW182="sim", 'Ações'!BF182="sim"), 1, 0)
</f>
        <v>0</v>
      </c>
      <c r="AE181" s="319">
        <f>IF(AND('Ações'!AW182="sim", 'Ações'!BG182="sim"), 1, 0)
</f>
        <v>0</v>
      </c>
      <c r="AF181" s="319">
        <f>IF(AND('Ações'!AW182="sim", 'Ações'!BI182="sim"), 1, 0)
</f>
        <v>0</v>
      </c>
      <c r="AG181" s="319">
        <f>IF(AND('Ações'!AX182="sim", 'Ações'!BD182="sim"), 1, 0)
</f>
        <v>0</v>
      </c>
      <c r="AH181" s="319">
        <f>IF(AND('Ações'!AX182="sim", 'Ações'!BE182="sim"), 1, 0)
</f>
        <v>0</v>
      </c>
      <c r="AI181" s="319">
        <f>IF(AND('Ações'!AX182="sim", 'Ações'!BF182="sim"), 1, 0)
</f>
        <v>0</v>
      </c>
      <c r="AJ181" s="319">
        <f>IF(AND('Ações'!AX182="sim", 'Ações'!BG182="sim"), 1, 0)
</f>
        <v>0</v>
      </c>
      <c r="AK181" s="319">
        <f>IF(AND('Ações'!AX182="sim", 'Ações'!BH182="sim"), 1, 0)
</f>
        <v>0</v>
      </c>
    </row>
    <row r="182">
      <c r="B182" s="319">
        <f>IF(AND('Ações'!AS183="sim", 'Ações'!BD183="sim"), 1, 0)
</f>
        <v>1</v>
      </c>
      <c r="C182" s="319">
        <f>IF(AND('Ações'!AT183="sim", 'Ações'!BE183="sim"), 1, 0)
</f>
        <v>0</v>
      </c>
      <c r="D182" s="319">
        <f>IF(AND('Ações'!AU183="sim", 'Ações'!BF183="sim"), 1, 0)
</f>
        <v>0</v>
      </c>
      <c r="E182" s="319">
        <f>IF(AND('Ações'!AV183="sim", 'Ações'!BG183="sim"), 1, 0)
</f>
        <v>0</v>
      </c>
      <c r="F182" s="319">
        <f>IF(AND('Ações'!AW183="sim", 'Ações'!BH183="sim"), 1, 0)
</f>
        <v>0</v>
      </c>
      <c r="G182" s="319">
        <f>IF(AND('Ações'!AX183="sim", 'Ações'!BI183="sim"), 1, 0)
</f>
        <v>0</v>
      </c>
      <c r="H182" s="319">
        <f>IF(AND('Ações'!AS183="sim", 'Ações'!BE183="sim"), 1, 0)
</f>
        <v>0</v>
      </c>
      <c r="I182" s="319">
        <f>IF(AND('Ações'!AS183="sim", 'Ações'!BF183="sim"), 1, 0)
</f>
        <v>0</v>
      </c>
      <c r="J182" s="319">
        <f>IF(AND('Ações'!AS183="sim", 'Ações'!BG183="sim"), 1, 0)
</f>
        <v>0</v>
      </c>
      <c r="K182" s="319">
        <f>IF(AND('Ações'!AS183="sim", 'Ações'!BH183="sim"), 1, 0)
</f>
        <v>0</v>
      </c>
      <c r="L182" s="319">
        <f>IF(AND('Ações'!AS183="sim", 'Ações'!BI183="sim"), 1, 0)
</f>
        <v>0</v>
      </c>
      <c r="M182" s="319">
        <f>IF(AND('Ações'!AT183="sim", 'Ações'!BD183="sim"), 1, 0)
</f>
        <v>1</v>
      </c>
      <c r="N182" s="319">
        <f>IF(AND('Ações'!AT183="sim", 'Ações'!BF183="sim"), 1, 0)
</f>
        <v>0</v>
      </c>
      <c r="O182" s="319">
        <f>IF(AND('Ações'!AT183="sim", 'Ações'!BG183="sim"), 1, 0)
</f>
        <v>0</v>
      </c>
      <c r="P182" s="319">
        <f>IF(AND('Ações'!AT183="sim", 'Ações'!BH183="sim"), 1, 0)
</f>
        <v>0</v>
      </c>
      <c r="Q182" s="319">
        <f>IF(AND('Ações'!AT183="sim", 'Ações'!BI183="sim"), 1, 0)
</f>
        <v>0</v>
      </c>
      <c r="R182" s="319">
        <f>IF(AND('Ações'!AU183="sim", 'Ações'!BD183="sim"), 1, 0)
</f>
        <v>1</v>
      </c>
      <c r="S182" s="319">
        <f>IF(AND('Ações'!AU183="sim", 'Ações'!BE183="sim"), 1, 0)
</f>
        <v>0</v>
      </c>
      <c r="T182" s="319">
        <f>IF(AND('Ações'!AU183="sim", 'Ações'!BG183="sim"), 1, 0)
</f>
        <v>0</v>
      </c>
      <c r="U182" s="319">
        <f>IF(AND('Ações'!AU183="sim", 'Ações'!BH183="sim"), 1, 0)
</f>
        <v>0</v>
      </c>
      <c r="V182" s="319">
        <f>IF(AND('Ações'!AU183="sim", 'Ações'!BI183="sim"), 1, 0)
</f>
        <v>0</v>
      </c>
      <c r="W182" s="319">
        <f>IF(AND('Ações'!AV183="sim", 'Ações'!BD183="sim"), 1, 0)
</f>
        <v>1</v>
      </c>
      <c r="X182" s="319">
        <f>IF(AND('Ações'!AV183="sim", 'Ações'!BE183="sim"), 1, 0)
</f>
        <v>0</v>
      </c>
      <c r="Y182" s="319">
        <f>IF(AND('Ações'!AV183="sim", 'Ações'!BF183="sim"), 1, 0)
</f>
        <v>0</v>
      </c>
      <c r="Z182" s="319">
        <f>IF(AND('Ações'!AV183="sim", 'Ações'!BH183="sim"), 1, 0)
</f>
        <v>0</v>
      </c>
      <c r="AA182" s="319">
        <f>IF(AND('Ações'!AV183="sim", 'Ações'!BI183="sim"), 1, 0)
</f>
        <v>0</v>
      </c>
      <c r="AB182" s="319">
        <f>IF(AND('Ações'!AW183="sim", 'Ações'!BD183="sim"), 1, 0)
</f>
        <v>1</v>
      </c>
      <c r="AC182" s="319">
        <f>IF(AND('Ações'!AW183="sim", 'Ações'!BE183="sim"), 1, 0)
</f>
        <v>0</v>
      </c>
      <c r="AD182" s="319">
        <f>IF(AND('Ações'!AW183="sim", 'Ações'!BF183="sim"), 1, 0)
</f>
        <v>0</v>
      </c>
      <c r="AE182" s="319">
        <f>IF(AND('Ações'!AW183="sim", 'Ações'!BG183="sim"), 1, 0)
</f>
        <v>0</v>
      </c>
      <c r="AF182" s="319">
        <f>IF(AND('Ações'!AW183="sim", 'Ações'!BI183="sim"), 1, 0)
</f>
        <v>0</v>
      </c>
      <c r="AG182" s="319">
        <f>IF(AND('Ações'!AX183="sim", 'Ações'!BD183="sim"), 1, 0)
</f>
        <v>0</v>
      </c>
      <c r="AH182" s="319">
        <f>IF(AND('Ações'!AX183="sim", 'Ações'!BE183="sim"), 1, 0)
</f>
        <v>0</v>
      </c>
      <c r="AI182" s="319">
        <f>IF(AND('Ações'!AX183="sim", 'Ações'!BF183="sim"), 1, 0)
</f>
        <v>0</v>
      </c>
      <c r="AJ182" s="319">
        <f>IF(AND('Ações'!AX183="sim", 'Ações'!BG183="sim"), 1, 0)
</f>
        <v>0</v>
      </c>
      <c r="AK182" s="319">
        <f>IF(AND('Ações'!AX183="sim", 'Ações'!BH183="sim"), 1, 0)
</f>
        <v>0</v>
      </c>
    </row>
    <row r="183">
      <c r="B183" s="319">
        <f>IF(AND('Ações'!AS184="sim", 'Ações'!BD184="sim"), 1, 0)
</f>
        <v>1</v>
      </c>
      <c r="C183" s="319">
        <f>IF(AND('Ações'!AT184="sim", 'Ações'!BE184="sim"), 1, 0)
</f>
        <v>0</v>
      </c>
      <c r="D183" s="319">
        <f>IF(AND('Ações'!AU184="sim", 'Ações'!BF184="sim"), 1, 0)
</f>
        <v>0</v>
      </c>
      <c r="E183" s="319">
        <f>IF(AND('Ações'!AV184="sim", 'Ações'!BG184="sim"), 1, 0)
</f>
        <v>0</v>
      </c>
      <c r="F183" s="319">
        <f>IF(AND('Ações'!AW184="sim", 'Ações'!BH184="sim"), 1, 0)
</f>
        <v>0</v>
      </c>
      <c r="G183" s="319">
        <f>IF(AND('Ações'!AX184="sim", 'Ações'!BI184="sim"), 1, 0)
</f>
        <v>0</v>
      </c>
      <c r="H183" s="319">
        <f>IF(AND('Ações'!AS184="sim", 'Ações'!BE184="sim"), 1, 0)
</f>
        <v>0</v>
      </c>
      <c r="I183" s="319">
        <f>IF(AND('Ações'!AS184="sim", 'Ações'!BF184="sim"), 1, 0)
</f>
        <v>0</v>
      </c>
      <c r="J183" s="319">
        <f>IF(AND('Ações'!AS184="sim", 'Ações'!BG184="sim"), 1, 0)
</f>
        <v>0</v>
      </c>
      <c r="K183" s="319">
        <f>IF(AND('Ações'!AS184="sim", 'Ações'!BH184="sim"), 1, 0)
</f>
        <v>0</v>
      </c>
      <c r="L183" s="319">
        <f>IF(AND('Ações'!AS184="sim", 'Ações'!BI184="sim"), 1, 0)
</f>
        <v>0</v>
      </c>
      <c r="M183" s="319">
        <f>IF(AND('Ações'!AT184="sim", 'Ações'!BD184="sim"), 1, 0)
</f>
        <v>1</v>
      </c>
      <c r="N183" s="319">
        <f>IF(AND('Ações'!AT184="sim", 'Ações'!BF184="sim"), 1, 0)
</f>
        <v>0</v>
      </c>
      <c r="O183" s="319">
        <f>IF(AND('Ações'!AT184="sim", 'Ações'!BG184="sim"), 1, 0)
</f>
        <v>0</v>
      </c>
      <c r="P183" s="319">
        <f>IF(AND('Ações'!AT184="sim", 'Ações'!BH184="sim"), 1, 0)
</f>
        <v>0</v>
      </c>
      <c r="Q183" s="319">
        <f>IF(AND('Ações'!AT184="sim", 'Ações'!BI184="sim"), 1, 0)
</f>
        <v>0</v>
      </c>
      <c r="R183" s="319">
        <f>IF(AND('Ações'!AU184="sim", 'Ações'!BD184="sim"), 1, 0)
</f>
        <v>1</v>
      </c>
      <c r="S183" s="319">
        <f>IF(AND('Ações'!AU184="sim", 'Ações'!BE184="sim"), 1, 0)
</f>
        <v>0</v>
      </c>
      <c r="T183" s="319">
        <f>IF(AND('Ações'!AU184="sim", 'Ações'!BG184="sim"), 1, 0)
</f>
        <v>0</v>
      </c>
      <c r="U183" s="319">
        <f>IF(AND('Ações'!AU184="sim", 'Ações'!BH184="sim"), 1, 0)
</f>
        <v>0</v>
      </c>
      <c r="V183" s="319">
        <f>IF(AND('Ações'!AU184="sim", 'Ações'!BI184="sim"), 1, 0)
</f>
        <v>0</v>
      </c>
      <c r="W183" s="319">
        <f>IF(AND('Ações'!AV184="sim", 'Ações'!BD184="sim"), 1, 0)
</f>
        <v>1</v>
      </c>
      <c r="X183" s="319">
        <f>IF(AND('Ações'!AV184="sim", 'Ações'!BE184="sim"), 1, 0)
</f>
        <v>0</v>
      </c>
      <c r="Y183" s="319">
        <f>IF(AND('Ações'!AV184="sim", 'Ações'!BF184="sim"), 1, 0)
</f>
        <v>0</v>
      </c>
      <c r="Z183" s="319">
        <f>IF(AND('Ações'!AV184="sim", 'Ações'!BH184="sim"), 1, 0)
</f>
        <v>0</v>
      </c>
      <c r="AA183" s="319">
        <f>IF(AND('Ações'!AV184="sim", 'Ações'!BI184="sim"), 1, 0)
</f>
        <v>0</v>
      </c>
      <c r="AB183" s="319">
        <f>IF(AND('Ações'!AW184="sim", 'Ações'!BD184="sim"), 1, 0)
</f>
        <v>1</v>
      </c>
      <c r="AC183" s="319">
        <f>IF(AND('Ações'!AW184="sim", 'Ações'!BE184="sim"), 1, 0)
</f>
        <v>0</v>
      </c>
      <c r="AD183" s="319">
        <f>IF(AND('Ações'!AW184="sim", 'Ações'!BF184="sim"), 1, 0)
</f>
        <v>0</v>
      </c>
      <c r="AE183" s="319">
        <f>IF(AND('Ações'!AW184="sim", 'Ações'!BG184="sim"), 1, 0)
</f>
        <v>0</v>
      </c>
      <c r="AF183" s="319">
        <f>IF(AND('Ações'!AW184="sim", 'Ações'!BI184="sim"), 1, 0)
</f>
        <v>0</v>
      </c>
      <c r="AG183" s="319">
        <f>IF(AND('Ações'!AX184="sim", 'Ações'!BD184="sim"), 1, 0)
</f>
        <v>0</v>
      </c>
      <c r="AH183" s="319">
        <f>IF(AND('Ações'!AX184="sim", 'Ações'!BE184="sim"), 1, 0)
</f>
        <v>0</v>
      </c>
      <c r="AI183" s="319">
        <f>IF(AND('Ações'!AX184="sim", 'Ações'!BF184="sim"), 1, 0)
</f>
        <v>0</v>
      </c>
      <c r="AJ183" s="319">
        <f>IF(AND('Ações'!AX184="sim", 'Ações'!BG184="sim"), 1, 0)
</f>
        <v>0</v>
      </c>
      <c r="AK183" s="319">
        <f>IF(AND('Ações'!AX184="sim", 'Ações'!BH184="sim"), 1, 0)
</f>
        <v>0</v>
      </c>
    </row>
    <row r="184">
      <c r="B184" s="319">
        <f>IF(AND('Ações'!AS185="sim", 'Ações'!BD185="sim"), 1, 0)
</f>
        <v>0</v>
      </c>
      <c r="C184" s="319">
        <f>IF(AND('Ações'!AT185="sim", 'Ações'!BE185="sim"), 1, 0)
</f>
        <v>0</v>
      </c>
      <c r="D184" s="319">
        <f>IF(AND('Ações'!AU185="sim", 'Ações'!BF185="sim"), 1, 0)
</f>
        <v>0</v>
      </c>
      <c r="E184" s="319">
        <f>IF(AND('Ações'!AV185="sim", 'Ações'!BG185="sim"), 1, 0)
</f>
        <v>1</v>
      </c>
      <c r="F184" s="319">
        <f>IF(AND('Ações'!AW185="sim", 'Ações'!BH185="sim"), 1, 0)
</f>
        <v>0</v>
      </c>
      <c r="G184" s="319">
        <f>IF(AND('Ações'!AX185="sim", 'Ações'!BI185="sim"), 1, 0)
</f>
        <v>0</v>
      </c>
      <c r="H184" s="319">
        <f>IF(AND('Ações'!AS185="sim", 'Ações'!BE185="sim"), 1, 0)
</f>
        <v>0</v>
      </c>
      <c r="I184" s="319">
        <f>IF(AND('Ações'!AS185="sim", 'Ações'!BF185="sim"), 1, 0)
</f>
        <v>0</v>
      </c>
      <c r="J184" s="319">
        <f>IF(AND('Ações'!AS185="sim", 'Ações'!BG185="sim"), 1, 0)
</f>
        <v>1</v>
      </c>
      <c r="K184" s="319">
        <f>IF(AND('Ações'!AS185="sim", 'Ações'!BH185="sim"), 1, 0)
</f>
        <v>0</v>
      </c>
      <c r="L184" s="319">
        <f>IF(AND('Ações'!AS185="sim", 'Ações'!BI185="sim"), 1, 0)
</f>
        <v>0</v>
      </c>
      <c r="M184" s="319">
        <f>IF(AND('Ações'!AT185="sim", 'Ações'!BD185="sim"), 1, 0)
</f>
        <v>0</v>
      </c>
      <c r="N184" s="319">
        <f>IF(AND('Ações'!AT185="sim", 'Ações'!BF185="sim"), 1, 0)
</f>
        <v>0</v>
      </c>
      <c r="O184" s="319">
        <f>IF(AND('Ações'!AT185="sim", 'Ações'!BG185="sim"), 1, 0)
</f>
        <v>1</v>
      </c>
      <c r="P184" s="319">
        <f>IF(AND('Ações'!AT185="sim", 'Ações'!BH185="sim"), 1, 0)
</f>
        <v>0</v>
      </c>
      <c r="Q184" s="319">
        <f>IF(AND('Ações'!AT185="sim", 'Ações'!BI185="sim"), 1, 0)
</f>
        <v>0</v>
      </c>
      <c r="R184" s="319">
        <f>IF(AND('Ações'!AU185="sim", 'Ações'!BD185="sim"), 1, 0)
</f>
        <v>0</v>
      </c>
      <c r="S184" s="319">
        <f>IF(AND('Ações'!AU185="sim", 'Ações'!BE185="sim"), 1, 0)
</f>
        <v>0</v>
      </c>
      <c r="T184" s="319">
        <f>IF(AND('Ações'!AU185="sim", 'Ações'!BG185="sim"), 1, 0)
</f>
        <v>1</v>
      </c>
      <c r="U184" s="319">
        <f>IF(AND('Ações'!AU185="sim", 'Ações'!BH185="sim"), 1, 0)
</f>
        <v>0</v>
      </c>
      <c r="V184" s="319">
        <f>IF(AND('Ações'!AU185="sim", 'Ações'!BI185="sim"), 1, 0)
</f>
        <v>0</v>
      </c>
      <c r="W184" s="319">
        <f>IF(AND('Ações'!AV185="sim", 'Ações'!BD185="sim"), 1, 0)
</f>
        <v>0</v>
      </c>
      <c r="X184" s="319">
        <f>IF(AND('Ações'!AV185="sim", 'Ações'!BE185="sim"), 1, 0)
</f>
        <v>0</v>
      </c>
      <c r="Y184" s="319">
        <f>IF(AND('Ações'!AV185="sim", 'Ações'!BF185="sim"), 1, 0)
</f>
        <v>0</v>
      </c>
      <c r="Z184" s="319">
        <f>IF(AND('Ações'!AV185="sim", 'Ações'!BH185="sim"), 1, 0)
</f>
        <v>0</v>
      </c>
      <c r="AA184" s="319">
        <f>IF(AND('Ações'!AV185="sim", 'Ações'!BI185="sim"), 1, 0)
</f>
        <v>0</v>
      </c>
      <c r="AB184" s="319">
        <f>IF(AND('Ações'!AW185="sim", 'Ações'!BD185="sim"), 1, 0)
</f>
        <v>0</v>
      </c>
      <c r="AC184" s="319">
        <f>IF(AND('Ações'!AW185="sim", 'Ações'!BE185="sim"), 1, 0)
</f>
        <v>0</v>
      </c>
      <c r="AD184" s="319">
        <f>IF(AND('Ações'!AW185="sim", 'Ações'!BF185="sim"), 1, 0)
</f>
        <v>0</v>
      </c>
      <c r="AE184" s="319">
        <f>IF(AND('Ações'!AW185="sim", 'Ações'!BG185="sim"), 1, 0)
</f>
        <v>1</v>
      </c>
      <c r="AF184" s="319">
        <f>IF(AND('Ações'!AW185="sim", 'Ações'!BI185="sim"), 1, 0)
</f>
        <v>0</v>
      </c>
      <c r="AG184" s="319">
        <f>IF(AND('Ações'!AX185="sim", 'Ações'!BD185="sim"), 1, 0)
</f>
        <v>0</v>
      </c>
      <c r="AH184" s="319">
        <f>IF(AND('Ações'!AX185="sim", 'Ações'!BE185="sim"), 1, 0)
</f>
        <v>0</v>
      </c>
      <c r="AI184" s="319">
        <f>IF(AND('Ações'!AX185="sim", 'Ações'!BF185="sim"), 1, 0)
</f>
        <v>0</v>
      </c>
      <c r="AJ184" s="319">
        <f>IF(AND('Ações'!AX185="sim", 'Ações'!BG185="sim"), 1, 0)
</f>
        <v>1</v>
      </c>
      <c r="AK184" s="319">
        <f>IF(AND('Ações'!AX185="sim", 'Ações'!BH185="sim"), 1, 0)
</f>
        <v>0</v>
      </c>
    </row>
    <row r="185">
      <c r="B185" s="319">
        <f>IF(AND('Ações'!AS186="sim", 'Ações'!BD186="sim"), 1, 0)
</f>
        <v>1</v>
      </c>
      <c r="C185" s="319">
        <f>IF(AND('Ações'!AT186="sim", 'Ações'!BE186="sim"), 1, 0)
</f>
        <v>0</v>
      </c>
      <c r="D185" s="319">
        <f>IF(AND('Ações'!AU186="sim", 'Ações'!BF186="sim"), 1, 0)
</f>
        <v>0</v>
      </c>
      <c r="E185" s="319">
        <f>IF(AND('Ações'!AV186="sim", 'Ações'!BG186="sim"), 1, 0)
</f>
        <v>0</v>
      </c>
      <c r="F185" s="319">
        <f>IF(AND('Ações'!AW186="sim", 'Ações'!BH186="sim"), 1, 0)
</f>
        <v>0</v>
      </c>
      <c r="G185" s="319">
        <f>IF(AND('Ações'!AX186="sim", 'Ações'!BI186="sim"), 1, 0)
</f>
        <v>0</v>
      </c>
      <c r="H185" s="319">
        <f>IF(AND('Ações'!AS186="sim", 'Ações'!BE186="sim"), 1, 0)
</f>
        <v>0</v>
      </c>
      <c r="I185" s="319">
        <f>IF(AND('Ações'!AS186="sim", 'Ações'!BF186="sim"), 1, 0)
</f>
        <v>0</v>
      </c>
      <c r="J185" s="319">
        <f>IF(AND('Ações'!AS186="sim", 'Ações'!BG186="sim"), 1, 0)
</f>
        <v>0</v>
      </c>
      <c r="K185" s="319">
        <f>IF(AND('Ações'!AS186="sim", 'Ações'!BH186="sim"), 1, 0)
</f>
        <v>0</v>
      </c>
      <c r="L185" s="319">
        <f>IF(AND('Ações'!AS186="sim", 'Ações'!BI186="sim"), 1, 0)
</f>
        <v>0</v>
      </c>
      <c r="M185" s="319">
        <f>IF(AND('Ações'!AT186="sim", 'Ações'!BD186="sim"), 1, 0)
</f>
        <v>1</v>
      </c>
      <c r="N185" s="319">
        <f>IF(AND('Ações'!AT186="sim", 'Ações'!BF186="sim"), 1, 0)
</f>
        <v>0</v>
      </c>
      <c r="O185" s="319">
        <f>IF(AND('Ações'!AT186="sim", 'Ações'!BG186="sim"), 1, 0)
</f>
        <v>0</v>
      </c>
      <c r="P185" s="319">
        <f>IF(AND('Ações'!AT186="sim", 'Ações'!BH186="sim"), 1, 0)
</f>
        <v>0</v>
      </c>
      <c r="Q185" s="319">
        <f>IF(AND('Ações'!AT186="sim", 'Ações'!BI186="sim"), 1, 0)
</f>
        <v>0</v>
      </c>
      <c r="R185" s="319">
        <f>IF(AND('Ações'!AU186="sim", 'Ações'!BD186="sim"), 1, 0)
</f>
        <v>1</v>
      </c>
      <c r="S185" s="319">
        <f>IF(AND('Ações'!AU186="sim", 'Ações'!BE186="sim"), 1, 0)
</f>
        <v>0</v>
      </c>
      <c r="T185" s="319">
        <f>IF(AND('Ações'!AU186="sim", 'Ações'!BG186="sim"), 1, 0)
</f>
        <v>0</v>
      </c>
      <c r="U185" s="319">
        <f>IF(AND('Ações'!AU186="sim", 'Ações'!BH186="sim"), 1, 0)
</f>
        <v>0</v>
      </c>
      <c r="V185" s="319">
        <f>IF(AND('Ações'!AU186="sim", 'Ações'!BI186="sim"), 1, 0)
</f>
        <v>0</v>
      </c>
      <c r="W185" s="319">
        <f>IF(AND('Ações'!AV186="sim", 'Ações'!BD186="sim"), 1, 0)
</f>
        <v>1</v>
      </c>
      <c r="X185" s="319">
        <f>IF(AND('Ações'!AV186="sim", 'Ações'!BE186="sim"), 1, 0)
</f>
        <v>0</v>
      </c>
      <c r="Y185" s="319">
        <f>IF(AND('Ações'!AV186="sim", 'Ações'!BF186="sim"), 1, 0)
</f>
        <v>0</v>
      </c>
      <c r="Z185" s="319">
        <f>IF(AND('Ações'!AV186="sim", 'Ações'!BH186="sim"), 1, 0)
</f>
        <v>0</v>
      </c>
      <c r="AA185" s="319">
        <f>IF(AND('Ações'!AV186="sim", 'Ações'!BI186="sim"), 1, 0)
</f>
        <v>0</v>
      </c>
      <c r="AB185" s="319">
        <f>IF(AND('Ações'!AW186="sim", 'Ações'!BD186="sim"), 1, 0)
</f>
        <v>1</v>
      </c>
      <c r="AC185" s="319">
        <f>IF(AND('Ações'!AW186="sim", 'Ações'!BE186="sim"), 1, 0)
</f>
        <v>0</v>
      </c>
      <c r="AD185" s="319">
        <f>IF(AND('Ações'!AW186="sim", 'Ações'!BF186="sim"), 1, 0)
</f>
        <v>0</v>
      </c>
      <c r="AE185" s="319">
        <f>IF(AND('Ações'!AW186="sim", 'Ações'!BG186="sim"), 1, 0)
</f>
        <v>0</v>
      </c>
      <c r="AF185" s="319">
        <f>IF(AND('Ações'!AW186="sim", 'Ações'!BI186="sim"), 1, 0)
</f>
        <v>0</v>
      </c>
      <c r="AG185" s="319">
        <f>IF(AND('Ações'!AX186="sim", 'Ações'!BD186="sim"), 1, 0)
</f>
        <v>1</v>
      </c>
      <c r="AH185" s="319">
        <f>IF(AND('Ações'!AX186="sim", 'Ações'!BE186="sim"), 1, 0)
</f>
        <v>0</v>
      </c>
      <c r="AI185" s="319">
        <f>IF(AND('Ações'!AX186="sim", 'Ações'!BF186="sim"), 1, 0)
</f>
        <v>0</v>
      </c>
      <c r="AJ185" s="319">
        <f>IF(AND('Ações'!AX186="sim", 'Ações'!BG186="sim"), 1, 0)
</f>
        <v>0</v>
      </c>
      <c r="AK185" s="319">
        <f>IF(AND('Ações'!AX186="sim", 'Ações'!BH186="sim"), 1, 0)
</f>
        <v>0</v>
      </c>
    </row>
    <row r="186">
      <c r="B186" s="319">
        <f>IF(AND('Ações'!AS187="sim", 'Ações'!BD187="sim"), 1, 0)
</f>
        <v>1</v>
      </c>
      <c r="C186" s="319">
        <f>IF(AND('Ações'!AT187="sim", 'Ações'!BE187="sim"), 1, 0)
</f>
        <v>0</v>
      </c>
      <c r="D186" s="319">
        <f>IF(AND('Ações'!AU187="sim", 'Ações'!BF187="sim"), 1, 0)
</f>
        <v>0</v>
      </c>
      <c r="E186" s="319">
        <f>IF(AND('Ações'!AV187="sim", 'Ações'!BG187="sim"), 1, 0)
</f>
        <v>0</v>
      </c>
      <c r="F186" s="319">
        <f>IF(AND('Ações'!AW187="sim", 'Ações'!BH187="sim"), 1, 0)
</f>
        <v>0</v>
      </c>
      <c r="G186" s="319">
        <f>IF(AND('Ações'!AX187="sim", 'Ações'!BI187="sim"), 1, 0)
</f>
        <v>0</v>
      </c>
      <c r="H186" s="319">
        <f>IF(AND('Ações'!AS187="sim", 'Ações'!BE187="sim"), 1, 0)
</f>
        <v>0</v>
      </c>
      <c r="I186" s="319">
        <f>IF(AND('Ações'!AS187="sim", 'Ações'!BF187="sim"), 1, 0)
</f>
        <v>0</v>
      </c>
      <c r="J186" s="319">
        <f>IF(AND('Ações'!AS187="sim", 'Ações'!BG187="sim"), 1, 0)
</f>
        <v>0</v>
      </c>
      <c r="K186" s="319">
        <f>IF(AND('Ações'!AS187="sim", 'Ações'!BH187="sim"), 1, 0)
</f>
        <v>0</v>
      </c>
      <c r="L186" s="319">
        <f>IF(AND('Ações'!AS187="sim", 'Ações'!BI187="sim"), 1, 0)
</f>
        <v>0</v>
      </c>
      <c r="M186" s="319">
        <f>IF(AND('Ações'!AT187="sim", 'Ações'!BD187="sim"), 1, 0)
</f>
        <v>1</v>
      </c>
      <c r="N186" s="319">
        <f>IF(AND('Ações'!AT187="sim", 'Ações'!BF187="sim"), 1, 0)
</f>
        <v>0</v>
      </c>
      <c r="O186" s="319">
        <f>IF(AND('Ações'!AT187="sim", 'Ações'!BG187="sim"), 1, 0)
</f>
        <v>0</v>
      </c>
      <c r="P186" s="319">
        <f>IF(AND('Ações'!AT187="sim", 'Ações'!BH187="sim"), 1, 0)
</f>
        <v>0</v>
      </c>
      <c r="Q186" s="319">
        <f>IF(AND('Ações'!AT187="sim", 'Ações'!BI187="sim"), 1, 0)
</f>
        <v>0</v>
      </c>
      <c r="R186" s="319">
        <f>IF(AND('Ações'!AU187="sim", 'Ações'!BD187="sim"), 1, 0)
</f>
        <v>1</v>
      </c>
      <c r="S186" s="319">
        <f>IF(AND('Ações'!AU187="sim", 'Ações'!BE187="sim"), 1, 0)
</f>
        <v>0</v>
      </c>
      <c r="T186" s="319">
        <f>IF(AND('Ações'!AU187="sim", 'Ações'!BG187="sim"), 1, 0)
</f>
        <v>0</v>
      </c>
      <c r="U186" s="319">
        <f>IF(AND('Ações'!AU187="sim", 'Ações'!BH187="sim"), 1, 0)
</f>
        <v>0</v>
      </c>
      <c r="V186" s="319">
        <f>IF(AND('Ações'!AU187="sim", 'Ações'!BI187="sim"), 1, 0)
</f>
        <v>0</v>
      </c>
      <c r="W186" s="319">
        <f>IF(AND('Ações'!AV187="sim", 'Ações'!BD187="sim"), 1, 0)
</f>
        <v>1</v>
      </c>
      <c r="X186" s="319">
        <f>IF(AND('Ações'!AV187="sim", 'Ações'!BE187="sim"), 1, 0)
</f>
        <v>0</v>
      </c>
      <c r="Y186" s="319">
        <f>IF(AND('Ações'!AV187="sim", 'Ações'!BF187="sim"), 1, 0)
</f>
        <v>0</v>
      </c>
      <c r="Z186" s="319">
        <f>IF(AND('Ações'!AV187="sim", 'Ações'!BH187="sim"), 1, 0)
</f>
        <v>0</v>
      </c>
      <c r="AA186" s="319">
        <f>IF(AND('Ações'!AV187="sim", 'Ações'!BI187="sim"), 1, 0)
</f>
        <v>0</v>
      </c>
      <c r="AB186" s="319">
        <f>IF(AND('Ações'!AW187="sim", 'Ações'!BD187="sim"), 1, 0)
</f>
        <v>1</v>
      </c>
      <c r="AC186" s="319">
        <f>IF(AND('Ações'!AW187="sim", 'Ações'!BE187="sim"), 1, 0)
</f>
        <v>0</v>
      </c>
      <c r="AD186" s="319">
        <f>IF(AND('Ações'!AW187="sim", 'Ações'!BF187="sim"), 1, 0)
</f>
        <v>0</v>
      </c>
      <c r="AE186" s="319">
        <f>IF(AND('Ações'!AW187="sim", 'Ações'!BG187="sim"), 1, 0)
</f>
        <v>0</v>
      </c>
      <c r="AF186" s="319">
        <f>IF(AND('Ações'!AW187="sim", 'Ações'!BI187="sim"), 1, 0)
</f>
        <v>0</v>
      </c>
      <c r="AG186" s="319">
        <f>IF(AND('Ações'!AX187="sim", 'Ações'!BD187="sim"), 1, 0)
</f>
        <v>1</v>
      </c>
      <c r="AH186" s="319">
        <f>IF(AND('Ações'!AX187="sim", 'Ações'!BE187="sim"), 1, 0)
</f>
        <v>0</v>
      </c>
      <c r="AI186" s="319">
        <f>IF(AND('Ações'!AX187="sim", 'Ações'!BF187="sim"), 1, 0)
</f>
        <v>0</v>
      </c>
      <c r="AJ186" s="319">
        <f>IF(AND('Ações'!AX187="sim", 'Ações'!BG187="sim"), 1, 0)
</f>
        <v>0</v>
      </c>
      <c r="AK186" s="319">
        <f>IF(AND('Ações'!AX187="sim", 'Ações'!BH187="sim"), 1, 0)
</f>
        <v>0</v>
      </c>
    </row>
    <row r="187">
      <c r="B187" s="319">
        <f>IF(AND('Ações'!AS188="sim", 'Ações'!BD188="sim"), 1, 0)
</f>
        <v>1</v>
      </c>
      <c r="C187" s="319">
        <f>IF(AND('Ações'!AT188="sim", 'Ações'!BE188="sim"), 1, 0)
</f>
        <v>0</v>
      </c>
      <c r="D187" s="319">
        <f>IF(AND('Ações'!AU188="sim", 'Ações'!BF188="sim"), 1, 0)
</f>
        <v>0</v>
      </c>
      <c r="E187" s="319">
        <f>IF(AND('Ações'!AV188="sim", 'Ações'!BG188="sim"), 1, 0)
</f>
        <v>0</v>
      </c>
      <c r="F187" s="319">
        <f>IF(AND('Ações'!AW188="sim", 'Ações'!BH188="sim"), 1, 0)
</f>
        <v>0</v>
      </c>
      <c r="G187" s="319">
        <f>IF(AND('Ações'!AX188="sim", 'Ações'!BI188="sim"), 1, 0)
</f>
        <v>0</v>
      </c>
      <c r="H187" s="319">
        <f>IF(AND('Ações'!AS188="sim", 'Ações'!BE188="sim"), 1, 0)
</f>
        <v>0</v>
      </c>
      <c r="I187" s="319">
        <f>IF(AND('Ações'!AS188="sim", 'Ações'!BF188="sim"), 1, 0)
</f>
        <v>0</v>
      </c>
      <c r="J187" s="319">
        <f>IF(AND('Ações'!AS188="sim", 'Ações'!BG188="sim"), 1, 0)
</f>
        <v>0</v>
      </c>
      <c r="K187" s="319">
        <f>IF(AND('Ações'!AS188="sim", 'Ações'!BH188="sim"), 1, 0)
</f>
        <v>0</v>
      </c>
      <c r="L187" s="319">
        <f>IF(AND('Ações'!AS188="sim", 'Ações'!BI188="sim"), 1, 0)
</f>
        <v>0</v>
      </c>
      <c r="M187" s="319">
        <f>IF(AND('Ações'!AT188="sim", 'Ações'!BD188="sim"), 1, 0)
</f>
        <v>1</v>
      </c>
      <c r="N187" s="319">
        <f>IF(AND('Ações'!AT188="sim", 'Ações'!BF188="sim"), 1, 0)
</f>
        <v>0</v>
      </c>
      <c r="O187" s="319">
        <f>IF(AND('Ações'!AT188="sim", 'Ações'!BG188="sim"), 1, 0)
</f>
        <v>0</v>
      </c>
      <c r="P187" s="319">
        <f>IF(AND('Ações'!AT188="sim", 'Ações'!BH188="sim"), 1, 0)
</f>
        <v>0</v>
      </c>
      <c r="Q187" s="319">
        <f>IF(AND('Ações'!AT188="sim", 'Ações'!BI188="sim"), 1, 0)
</f>
        <v>0</v>
      </c>
      <c r="R187" s="319">
        <f>IF(AND('Ações'!AU188="sim", 'Ações'!BD188="sim"), 1, 0)
</f>
        <v>0</v>
      </c>
      <c r="S187" s="319">
        <f>IF(AND('Ações'!AU188="sim", 'Ações'!BE188="sim"), 1, 0)
</f>
        <v>0</v>
      </c>
      <c r="T187" s="319">
        <f>IF(AND('Ações'!AU188="sim", 'Ações'!BG188="sim"), 1, 0)
</f>
        <v>0</v>
      </c>
      <c r="U187" s="319">
        <f>IF(AND('Ações'!AU188="sim", 'Ações'!BH188="sim"), 1, 0)
</f>
        <v>0</v>
      </c>
      <c r="V187" s="319">
        <f>IF(AND('Ações'!AU188="sim", 'Ações'!BI188="sim"), 1, 0)
</f>
        <v>0</v>
      </c>
      <c r="W187" s="319">
        <f>IF(AND('Ações'!AV188="sim", 'Ações'!BD188="sim"), 1, 0)
</f>
        <v>1</v>
      </c>
      <c r="X187" s="319">
        <f>IF(AND('Ações'!AV188="sim", 'Ações'!BE188="sim"), 1, 0)
</f>
        <v>0</v>
      </c>
      <c r="Y187" s="319">
        <f>IF(AND('Ações'!AV188="sim", 'Ações'!BF188="sim"), 1, 0)
</f>
        <v>0</v>
      </c>
      <c r="Z187" s="319">
        <f>IF(AND('Ações'!AV188="sim", 'Ações'!BH188="sim"), 1, 0)
</f>
        <v>0</v>
      </c>
      <c r="AA187" s="319">
        <f>IF(AND('Ações'!AV188="sim", 'Ações'!BI188="sim"), 1, 0)
</f>
        <v>0</v>
      </c>
      <c r="AB187" s="319">
        <f>IF(AND('Ações'!AW188="sim", 'Ações'!BD188="sim"), 1, 0)
</f>
        <v>1</v>
      </c>
      <c r="AC187" s="319">
        <f>IF(AND('Ações'!AW188="sim", 'Ações'!BE188="sim"), 1, 0)
</f>
        <v>0</v>
      </c>
      <c r="AD187" s="319">
        <f>IF(AND('Ações'!AW188="sim", 'Ações'!BF188="sim"), 1, 0)
</f>
        <v>0</v>
      </c>
      <c r="AE187" s="319">
        <f>IF(AND('Ações'!AW188="sim", 'Ações'!BG188="sim"), 1, 0)
</f>
        <v>0</v>
      </c>
      <c r="AF187" s="319">
        <f>IF(AND('Ações'!AW188="sim", 'Ações'!BI188="sim"), 1, 0)
</f>
        <v>0</v>
      </c>
      <c r="AG187" s="319">
        <f>IF(AND('Ações'!AX188="sim", 'Ações'!BD188="sim"), 1, 0)
</f>
        <v>0</v>
      </c>
      <c r="AH187" s="319">
        <f>IF(AND('Ações'!AX188="sim", 'Ações'!BE188="sim"), 1, 0)
</f>
        <v>0</v>
      </c>
      <c r="AI187" s="319">
        <f>IF(AND('Ações'!AX188="sim", 'Ações'!BF188="sim"), 1, 0)
</f>
        <v>0</v>
      </c>
      <c r="AJ187" s="319">
        <f>IF(AND('Ações'!AX188="sim", 'Ações'!BG188="sim"), 1, 0)
</f>
        <v>0</v>
      </c>
      <c r="AK187" s="319">
        <f>IF(AND('Ações'!AX188="sim", 'Ações'!BH188="sim"), 1, 0)
</f>
        <v>0</v>
      </c>
    </row>
    <row r="188">
      <c r="B188" s="319">
        <f>IF(AND('Ações'!AS189="sim", 'Ações'!BD189="sim"), 1, 0)
</f>
        <v>1</v>
      </c>
      <c r="C188" s="319">
        <f>IF(AND('Ações'!AT189="sim", 'Ações'!BE189="sim"), 1, 0)
</f>
        <v>0</v>
      </c>
      <c r="D188" s="319">
        <f>IF(AND('Ações'!AU189="sim", 'Ações'!BF189="sim"), 1, 0)
</f>
        <v>0</v>
      </c>
      <c r="E188" s="319">
        <f>IF(AND('Ações'!AV189="sim", 'Ações'!BG189="sim"), 1, 0)
</f>
        <v>0</v>
      </c>
      <c r="F188" s="319">
        <f>IF(AND('Ações'!AW189="sim", 'Ações'!BH189="sim"), 1, 0)
</f>
        <v>0</v>
      </c>
      <c r="G188" s="319">
        <f>IF(AND('Ações'!AX189="sim", 'Ações'!BI189="sim"), 1, 0)
</f>
        <v>0</v>
      </c>
      <c r="H188" s="319">
        <f>IF(AND('Ações'!AS189="sim", 'Ações'!BE189="sim"), 1, 0)
</f>
        <v>0</v>
      </c>
      <c r="I188" s="319">
        <f>IF(AND('Ações'!AS189="sim", 'Ações'!BF189="sim"), 1, 0)
</f>
        <v>0</v>
      </c>
      <c r="J188" s="319">
        <f>IF(AND('Ações'!AS189="sim", 'Ações'!BG189="sim"), 1, 0)
</f>
        <v>0</v>
      </c>
      <c r="K188" s="319">
        <f>IF(AND('Ações'!AS189="sim", 'Ações'!BH189="sim"), 1, 0)
</f>
        <v>0</v>
      </c>
      <c r="L188" s="319">
        <f>IF(AND('Ações'!AS189="sim", 'Ações'!BI189="sim"), 1, 0)
</f>
        <v>0</v>
      </c>
      <c r="M188" s="319">
        <f>IF(AND('Ações'!AT189="sim", 'Ações'!BD189="sim"), 1, 0)
</f>
        <v>1</v>
      </c>
      <c r="N188" s="319">
        <f>IF(AND('Ações'!AT189="sim", 'Ações'!BF189="sim"), 1, 0)
</f>
        <v>0</v>
      </c>
      <c r="O188" s="319">
        <f>IF(AND('Ações'!AT189="sim", 'Ações'!BG189="sim"), 1, 0)
</f>
        <v>0</v>
      </c>
      <c r="P188" s="319">
        <f>IF(AND('Ações'!AT189="sim", 'Ações'!BH189="sim"), 1, 0)
</f>
        <v>0</v>
      </c>
      <c r="Q188" s="319">
        <f>IF(AND('Ações'!AT189="sim", 'Ações'!BI189="sim"), 1, 0)
</f>
        <v>0</v>
      </c>
      <c r="R188" s="319">
        <f>IF(AND('Ações'!AU189="sim", 'Ações'!BD189="sim"), 1, 0)
</f>
        <v>0</v>
      </c>
      <c r="S188" s="319">
        <f>IF(AND('Ações'!AU189="sim", 'Ações'!BE189="sim"), 1, 0)
</f>
        <v>0</v>
      </c>
      <c r="T188" s="319">
        <f>IF(AND('Ações'!AU189="sim", 'Ações'!BG189="sim"), 1, 0)
</f>
        <v>0</v>
      </c>
      <c r="U188" s="319">
        <f>IF(AND('Ações'!AU189="sim", 'Ações'!BH189="sim"), 1, 0)
</f>
        <v>0</v>
      </c>
      <c r="V188" s="319">
        <f>IF(AND('Ações'!AU189="sim", 'Ações'!BI189="sim"), 1, 0)
</f>
        <v>0</v>
      </c>
      <c r="W188" s="319">
        <f>IF(AND('Ações'!AV189="sim", 'Ações'!BD189="sim"), 1, 0)
</f>
        <v>1</v>
      </c>
      <c r="X188" s="319">
        <f>IF(AND('Ações'!AV189="sim", 'Ações'!BE189="sim"), 1, 0)
</f>
        <v>0</v>
      </c>
      <c r="Y188" s="319">
        <f>IF(AND('Ações'!AV189="sim", 'Ações'!BF189="sim"), 1, 0)
</f>
        <v>0</v>
      </c>
      <c r="Z188" s="319">
        <f>IF(AND('Ações'!AV189="sim", 'Ações'!BH189="sim"), 1, 0)
</f>
        <v>0</v>
      </c>
      <c r="AA188" s="319">
        <f>IF(AND('Ações'!AV189="sim", 'Ações'!BI189="sim"), 1, 0)
</f>
        <v>0</v>
      </c>
      <c r="AB188" s="319">
        <f>IF(AND('Ações'!AW189="sim", 'Ações'!BD189="sim"), 1, 0)
</f>
        <v>1</v>
      </c>
      <c r="AC188" s="319">
        <f>IF(AND('Ações'!AW189="sim", 'Ações'!BE189="sim"), 1, 0)
</f>
        <v>0</v>
      </c>
      <c r="AD188" s="319">
        <f>IF(AND('Ações'!AW189="sim", 'Ações'!BF189="sim"), 1, 0)
</f>
        <v>0</v>
      </c>
      <c r="AE188" s="319">
        <f>IF(AND('Ações'!AW189="sim", 'Ações'!BG189="sim"), 1, 0)
</f>
        <v>0</v>
      </c>
      <c r="AF188" s="319">
        <f>IF(AND('Ações'!AW189="sim", 'Ações'!BI189="sim"), 1, 0)
</f>
        <v>0</v>
      </c>
      <c r="AG188" s="319">
        <f>IF(AND('Ações'!AX189="sim", 'Ações'!BD189="sim"), 1, 0)
</f>
        <v>0</v>
      </c>
      <c r="AH188" s="319">
        <f>IF(AND('Ações'!AX189="sim", 'Ações'!BE189="sim"), 1, 0)
</f>
        <v>0</v>
      </c>
      <c r="AI188" s="319">
        <f>IF(AND('Ações'!AX189="sim", 'Ações'!BF189="sim"), 1, 0)
</f>
        <v>0</v>
      </c>
      <c r="AJ188" s="319">
        <f>IF(AND('Ações'!AX189="sim", 'Ações'!BG189="sim"), 1, 0)
</f>
        <v>0</v>
      </c>
      <c r="AK188" s="319">
        <f>IF(AND('Ações'!AX189="sim", 'Ações'!BH189="sim"), 1, 0)
</f>
        <v>0</v>
      </c>
    </row>
    <row r="189">
      <c r="B189" s="319">
        <f>IF(AND('Ações'!AS190="sim", 'Ações'!BD190="sim"), 1, 0)
</f>
        <v>1</v>
      </c>
      <c r="C189" s="319">
        <f>IF(AND('Ações'!AT190="sim", 'Ações'!BE190="sim"), 1, 0)
</f>
        <v>0</v>
      </c>
      <c r="D189" s="319">
        <f>IF(AND('Ações'!AU190="sim", 'Ações'!BF190="sim"), 1, 0)
</f>
        <v>0</v>
      </c>
      <c r="E189" s="319">
        <f>IF(AND('Ações'!AV190="sim", 'Ações'!BG190="sim"), 1, 0)
</f>
        <v>0</v>
      </c>
      <c r="F189" s="319">
        <f>IF(AND('Ações'!AW190="sim", 'Ações'!BH190="sim"), 1, 0)
</f>
        <v>0</v>
      </c>
      <c r="G189" s="319">
        <f>IF(AND('Ações'!AX190="sim", 'Ações'!BI190="sim"), 1, 0)
</f>
        <v>0</v>
      </c>
      <c r="H189" s="319">
        <f>IF(AND('Ações'!AS190="sim", 'Ações'!BE190="sim"), 1, 0)
</f>
        <v>0</v>
      </c>
      <c r="I189" s="319">
        <f>IF(AND('Ações'!AS190="sim", 'Ações'!BF190="sim"), 1, 0)
</f>
        <v>0</v>
      </c>
      <c r="J189" s="319">
        <f>IF(AND('Ações'!AS190="sim", 'Ações'!BG190="sim"), 1, 0)
</f>
        <v>0</v>
      </c>
      <c r="K189" s="319">
        <f>IF(AND('Ações'!AS190="sim", 'Ações'!BH190="sim"), 1, 0)
</f>
        <v>0</v>
      </c>
      <c r="L189" s="319">
        <f>IF(AND('Ações'!AS190="sim", 'Ações'!BI190="sim"), 1, 0)
</f>
        <v>1</v>
      </c>
      <c r="M189" s="319">
        <f>IF(AND('Ações'!AT190="sim", 'Ações'!BD190="sim"), 1, 0)
</f>
        <v>1</v>
      </c>
      <c r="N189" s="319">
        <f>IF(AND('Ações'!AT190="sim", 'Ações'!BF190="sim"), 1, 0)
</f>
        <v>0</v>
      </c>
      <c r="O189" s="319">
        <f>IF(AND('Ações'!AT190="sim", 'Ações'!BG190="sim"), 1, 0)
</f>
        <v>0</v>
      </c>
      <c r="P189" s="319">
        <f>IF(AND('Ações'!AT190="sim", 'Ações'!BH190="sim"), 1, 0)
</f>
        <v>0</v>
      </c>
      <c r="Q189" s="319">
        <f>IF(AND('Ações'!AT190="sim", 'Ações'!BI190="sim"), 1, 0)
</f>
        <v>1</v>
      </c>
      <c r="R189" s="319">
        <f>IF(AND('Ações'!AU190="sim", 'Ações'!BD190="sim"), 1, 0)
</f>
        <v>0</v>
      </c>
      <c r="S189" s="319">
        <f>IF(AND('Ações'!AU190="sim", 'Ações'!BE190="sim"), 1, 0)
</f>
        <v>0</v>
      </c>
      <c r="T189" s="319">
        <f>IF(AND('Ações'!AU190="sim", 'Ações'!BG190="sim"), 1, 0)
</f>
        <v>0</v>
      </c>
      <c r="U189" s="319">
        <f>IF(AND('Ações'!AU190="sim", 'Ações'!BH190="sim"), 1, 0)
</f>
        <v>0</v>
      </c>
      <c r="V189" s="319">
        <f>IF(AND('Ações'!AU190="sim", 'Ações'!BI190="sim"), 1, 0)
</f>
        <v>0</v>
      </c>
      <c r="W189" s="319">
        <f>IF(AND('Ações'!AV190="sim", 'Ações'!BD190="sim"), 1, 0)
</f>
        <v>1</v>
      </c>
      <c r="X189" s="319">
        <f>IF(AND('Ações'!AV190="sim", 'Ações'!BE190="sim"), 1, 0)
</f>
        <v>0</v>
      </c>
      <c r="Y189" s="319">
        <f>IF(AND('Ações'!AV190="sim", 'Ações'!BF190="sim"), 1, 0)
</f>
        <v>0</v>
      </c>
      <c r="Z189" s="319">
        <f>IF(AND('Ações'!AV190="sim", 'Ações'!BH190="sim"), 1, 0)
</f>
        <v>0</v>
      </c>
      <c r="AA189" s="319">
        <f>IF(AND('Ações'!AV190="sim", 'Ações'!BI190="sim"), 1, 0)
</f>
        <v>1</v>
      </c>
      <c r="AB189" s="319">
        <f>IF(AND('Ações'!AW190="sim", 'Ações'!BD190="sim"), 1, 0)
</f>
        <v>1</v>
      </c>
      <c r="AC189" s="319">
        <f>IF(AND('Ações'!AW190="sim", 'Ações'!BE190="sim"), 1, 0)
</f>
        <v>0</v>
      </c>
      <c r="AD189" s="319">
        <f>IF(AND('Ações'!AW190="sim", 'Ações'!BF190="sim"), 1, 0)
</f>
        <v>0</v>
      </c>
      <c r="AE189" s="319">
        <f>IF(AND('Ações'!AW190="sim", 'Ações'!BG190="sim"), 1, 0)
</f>
        <v>0</v>
      </c>
      <c r="AF189" s="319">
        <f>IF(AND('Ações'!AW190="sim", 'Ações'!BI190="sim"), 1, 0)
</f>
        <v>1</v>
      </c>
      <c r="AG189" s="319">
        <f>IF(AND('Ações'!AX190="sim", 'Ações'!BD190="sim"), 1, 0)
</f>
        <v>0</v>
      </c>
      <c r="AH189" s="319">
        <f>IF(AND('Ações'!AX190="sim", 'Ações'!BE190="sim"), 1, 0)
</f>
        <v>0</v>
      </c>
      <c r="AI189" s="319">
        <f>IF(AND('Ações'!AX190="sim", 'Ações'!BF190="sim"), 1, 0)
</f>
        <v>0</v>
      </c>
      <c r="AJ189" s="319">
        <f>IF(AND('Ações'!AX190="sim", 'Ações'!BG190="sim"), 1, 0)
</f>
        <v>0</v>
      </c>
      <c r="AK189" s="319">
        <f>IF(AND('Ações'!AX190="sim", 'Ações'!BH190="sim"), 1, 0)
</f>
        <v>0</v>
      </c>
    </row>
    <row r="190">
      <c r="B190" s="319">
        <f>IF(AND('Ações'!AS191="sim", 'Ações'!BD191="sim"), 1, 0)
</f>
        <v>0</v>
      </c>
      <c r="C190" s="319">
        <f>IF(AND('Ações'!AT191="sim", 'Ações'!BE191="sim"), 1, 0)
</f>
        <v>0</v>
      </c>
      <c r="D190" s="319">
        <f>IF(AND('Ações'!AU191="sim", 'Ações'!BF191="sim"), 1, 0)
</f>
        <v>0</v>
      </c>
      <c r="E190" s="319">
        <f>IF(AND('Ações'!AV191="sim", 'Ações'!BG191="sim"), 1, 0)
</f>
        <v>0</v>
      </c>
      <c r="F190" s="319">
        <f>IF(AND('Ações'!AW191="sim", 'Ações'!BH191="sim"), 1, 0)
</f>
        <v>0</v>
      </c>
      <c r="G190" s="319">
        <f>IF(AND('Ações'!AX191="sim", 'Ações'!BI191="sim"), 1, 0)
</f>
        <v>0</v>
      </c>
      <c r="H190" s="319">
        <f>IF(AND('Ações'!AS191="sim", 'Ações'!BE191="sim"), 1, 0)
</f>
        <v>0</v>
      </c>
      <c r="I190" s="319">
        <f>IF(AND('Ações'!AS191="sim", 'Ações'!BF191="sim"), 1, 0)
</f>
        <v>0</v>
      </c>
      <c r="J190" s="319">
        <f>IF(AND('Ações'!AS191="sim", 'Ações'!BG191="sim"), 1, 0)
</f>
        <v>0</v>
      </c>
      <c r="K190" s="319">
        <f>IF(AND('Ações'!AS191="sim", 'Ações'!BH191="sim"), 1, 0)
</f>
        <v>0</v>
      </c>
      <c r="L190" s="319">
        <f>IF(AND('Ações'!AS191="sim", 'Ações'!BI191="sim"), 1, 0)
</f>
        <v>1</v>
      </c>
      <c r="M190" s="319">
        <f>IF(AND('Ações'!AT191="sim", 'Ações'!BD191="sim"), 1, 0)
</f>
        <v>0</v>
      </c>
      <c r="N190" s="319">
        <f>IF(AND('Ações'!AT191="sim", 'Ações'!BF191="sim"), 1, 0)
</f>
        <v>0</v>
      </c>
      <c r="O190" s="319">
        <f>IF(AND('Ações'!AT191="sim", 'Ações'!BG191="sim"), 1, 0)
</f>
        <v>0</v>
      </c>
      <c r="P190" s="319">
        <f>IF(AND('Ações'!AT191="sim", 'Ações'!BH191="sim"), 1, 0)
</f>
        <v>0</v>
      </c>
      <c r="Q190" s="319">
        <f>IF(AND('Ações'!AT191="sim", 'Ações'!BI191="sim"), 1, 0)
</f>
        <v>1</v>
      </c>
      <c r="R190" s="319">
        <f>IF(AND('Ações'!AU191="sim", 'Ações'!BD191="sim"), 1, 0)
</f>
        <v>0</v>
      </c>
      <c r="S190" s="319">
        <f>IF(AND('Ações'!AU191="sim", 'Ações'!BE191="sim"), 1, 0)
</f>
        <v>0</v>
      </c>
      <c r="T190" s="319">
        <f>IF(AND('Ações'!AU191="sim", 'Ações'!BG191="sim"), 1, 0)
</f>
        <v>0</v>
      </c>
      <c r="U190" s="319">
        <f>IF(AND('Ações'!AU191="sim", 'Ações'!BH191="sim"), 1, 0)
</f>
        <v>0</v>
      </c>
      <c r="V190" s="319">
        <f>IF(AND('Ações'!AU191="sim", 'Ações'!BI191="sim"), 1, 0)
</f>
        <v>0</v>
      </c>
      <c r="W190" s="319">
        <f>IF(AND('Ações'!AV191="sim", 'Ações'!BD191="sim"), 1, 0)
</f>
        <v>0</v>
      </c>
      <c r="X190" s="319">
        <f>IF(AND('Ações'!AV191="sim", 'Ações'!BE191="sim"), 1, 0)
</f>
        <v>0</v>
      </c>
      <c r="Y190" s="319">
        <f>IF(AND('Ações'!AV191="sim", 'Ações'!BF191="sim"), 1, 0)
</f>
        <v>0</v>
      </c>
      <c r="Z190" s="319">
        <f>IF(AND('Ações'!AV191="sim", 'Ações'!BH191="sim"), 1, 0)
</f>
        <v>0</v>
      </c>
      <c r="AA190" s="319">
        <f>IF(AND('Ações'!AV191="sim", 'Ações'!BI191="sim"), 1, 0)
</f>
        <v>1</v>
      </c>
      <c r="AB190" s="319">
        <f>IF(AND('Ações'!AW191="sim", 'Ações'!BD191="sim"), 1, 0)
</f>
        <v>0</v>
      </c>
      <c r="AC190" s="319">
        <f>IF(AND('Ações'!AW191="sim", 'Ações'!BE191="sim"), 1, 0)
</f>
        <v>0</v>
      </c>
      <c r="AD190" s="319">
        <f>IF(AND('Ações'!AW191="sim", 'Ações'!BF191="sim"), 1, 0)
</f>
        <v>0</v>
      </c>
      <c r="AE190" s="319">
        <f>IF(AND('Ações'!AW191="sim", 'Ações'!BG191="sim"), 1, 0)
</f>
        <v>0</v>
      </c>
      <c r="AF190" s="319">
        <f>IF(AND('Ações'!AW191="sim", 'Ações'!BI191="sim"), 1, 0)
</f>
        <v>1</v>
      </c>
      <c r="AG190" s="319">
        <f>IF(AND('Ações'!AX191="sim", 'Ações'!BD191="sim"), 1, 0)
</f>
        <v>0</v>
      </c>
      <c r="AH190" s="319">
        <f>IF(AND('Ações'!AX191="sim", 'Ações'!BE191="sim"), 1, 0)
</f>
        <v>0</v>
      </c>
      <c r="AI190" s="319">
        <f>IF(AND('Ações'!AX191="sim", 'Ações'!BF191="sim"), 1, 0)
</f>
        <v>0</v>
      </c>
      <c r="AJ190" s="319">
        <f>IF(AND('Ações'!AX191="sim", 'Ações'!BG191="sim"), 1, 0)
</f>
        <v>0</v>
      </c>
      <c r="AK190" s="319">
        <f>IF(AND('Ações'!AX191="sim", 'Ações'!BH191="sim"), 1, 0)
</f>
        <v>0</v>
      </c>
    </row>
    <row r="191">
      <c r="B191" s="319">
        <f>IF(AND('Ações'!AS192="sim", 'Ações'!BD192="sim"), 1, 0)
</f>
        <v>0</v>
      </c>
      <c r="C191" s="319">
        <f>IF(AND('Ações'!AT192="sim", 'Ações'!BE192="sim"), 1, 0)
</f>
        <v>0</v>
      </c>
      <c r="D191" s="319">
        <f>IF(AND('Ações'!AU192="sim", 'Ações'!BF192="sim"), 1, 0)
</f>
        <v>0</v>
      </c>
      <c r="E191" s="319">
        <f>IF(AND('Ações'!AV192="sim", 'Ações'!BG192="sim"), 1, 0)
</f>
        <v>0</v>
      </c>
      <c r="F191" s="319">
        <f>IF(AND('Ações'!AW192="sim", 'Ações'!BH192="sim"), 1, 0)
</f>
        <v>0</v>
      </c>
      <c r="G191" s="319">
        <f>IF(AND('Ações'!AX192="sim", 'Ações'!BI192="sim"), 1, 0)
</f>
        <v>0</v>
      </c>
      <c r="H191" s="319">
        <f>IF(AND('Ações'!AS192="sim", 'Ações'!BE192="sim"), 1, 0)
</f>
        <v>0</v>
      </c>
      <c r="I191" s="319">
        <f>IF(AND('Ações'!AS192="sim", 'Ações'!BF192="sim"), 1, 0)
</f>
        <v>0</v>
      </c>
      <c r="J191" s="319">
        <f>IF(AND('Ações'!AS192="sim", 'Ações'!BG192="sim"), 1, 0)
</f>
        <v>0</v>
      </c>
      <c r="K191" s="319">
        <f>IF(AND('Ações'!AS192="sim", 'Ações'!BH192="sim"), 1, 0)
</f>
        <v>0</v>
      </c>
      <c r="L191" s="319">
        <f>IF(AND('Ações'!AS192="sim", 'Ações'!BI192="sim"), 1, 0)
</f>
        <v>1</v>
      </c>
      <c r="M191" s="319">
        <f>IF(AND('Ações'!AT192="sim", 'Ações'!BD192="sim"), 1, 0)
</f>
        <v>0</v>
      </c>
      <c r="N191" s="319">
        <f>IF(AND('Ações'!AT192="sim", 'Ações'!BF192="sim"), 1, 0)
</f>
        <v>0</v>
      </c>
      <c r="O191" s="319">
        <f>IF(AND('Ações'!AT192="sim", 'Ações'!BG192="sim"), 1, 0)
</f>
        <v>0</v>
      </c>
      <c r="P191" s="319">
        <f>IF(AND('Ações'!AT192="sim", 'Ações'!BH192="sim"), 1, 0)
</f>
        <v>0</v>
      </c>
      <c r="Q191" s="319">
        <f>IF(AND('Ações'!AT192="sim", 'Ações'!BI192="sim"), 1, 0)
</f>
        <v>1</v>
      </c>
      <c r="R191" s="319">
        <f>IF(AND('Ações'!AU192="sim", 'Ações'!BD192="sim"), 1, 0)
</f>
        <v>0</v>
      </c>
      <c r="S191" s="319">
        <f>IF(AND('Ações'!AU192="sim", 'Ações'!BE192="sim"), 1, 0)
</f>
        <v>0</v>
      </c>
      <c r="T191" s="319">
        <f>IF(AND('Ações'!AU192="sim", 'Ações'!BG192="sim"), 1, 0)
</f>
        <v>0</v>
      </c>
      <c r="U191" s="319">
        <f>IF(AND('Ações'!AU192="sim", 'Ações'!BH192="sim"), 1, 0)
</f>
        <v>0</v>
      </c>
      <c r="V191" s="319">
        <f>IF(AND('Ações'!AU192="sim", 'Ações'!BI192="sim"), 1, 0)
</f>
        <v>0</v>
      </c>
      <c r="W191" s="319">
        <f>IF(AND('Ações'!AV192="sim", 'Ações'!BD192="sim"), 1, 0)
</f>
        <v>0</v>
      </c>
      <c r="X191" s="319">
        <f>IF(AND('Ações'!AV192="sim", 'Ações'!BE192="sim"), 1, 0)
</f>
        <v>0</v>
      </c>
      <c r="Y191" s="319">
        <f>IF(AND('Ações'!AV192="sim", 'Ações'!BF192="sim"), 1, 0)
</f>
        <v>0</v>
      </c>
      <c r="Z191" s="319">
        <f>IF(AND('Ações'!AV192="sim", 'Ações'!BH192="sim"), 1, 0)
</f>
        <v>0</v>
      </c>
      <c r="AA191" s="319">
        <f>IF(AND('Ações'!AV192="sim", 'Ações'!BI192="sim"), 1, 0)
</f>
        <v>1</v>
      </c>
      <c r="AB191" s="319">
        <f>IF(AND('Ações'!AW192="sim", 'Ações'!BD192="sim"), 1, 0)
</f>
        <v>0</v>
      </c>
      <c r="AC191" s="319">
        <f>IF(AND('Ações'!AW192="sim", 'Ações'!BE192="sim"), 1, 0)
</f>
        <v>0</v>
      </c>
      <c r="AD191" s="319">
        <f>IF(AND('Ações'!AW192="sim", 'Ações'!BF192="sim"), 1, 0)
</f>
        <v>0</v>
      </c>
      <c r="AE191" s="319">
        <f>IF(AND('Ações'!AW192="sim", 'Ações'!BG192="sim"), 1, 0)
</f>
        <v>0</v>
      </c>
      <c r="AF191" s="319">
        <f>IF(AND('Ações'!AW192="sim", 'Ações'!BI192="sim"), 1, 0)
</f>
        <v>1</v>
      </c>
      <c r="AG191" s="319">
        <f>IF(AND('Ações'!AX192="sim", 'Ações'!BD192="sim"), 1, 0)
</f>
        <v>0</v>
      </c>
      <c r="AH191" s="319">
        <f>IF(AND('Ações'!AX192="sim", 'Ações'!BE192="sim"), 1, 0)
</f>
        <v>0</v>
      </c>
      <c r="AI191" s="319">
        <f>IF(AND('Ações'!AX192="sim", 'Ações'!BF192="sim"), 1, 0)
</f>
        <v>0</v>
      </c>
      <c r="AJ191" s="319">
        <f>IF(AND('Ações'!AX192="sim", 'Ações'!BG192="sim"), 1, 0)
</f>
        <v>0</v>
      </c>
      <c r="AK191" s="319">
        <f>IF(AND('Ações'!AX192="sim", 'Ações'!BH192="sim"), 1, 0)
</f>
        <v>0</v>
      </c>
    </row>
    <row r="192">
      <c r="B192" s="319">
        <f>IF(AND('Ações'!AS193="sim", 'Ações'!BD193="sim"), 1, 0)
</f>
        <v>1</v>
      </c>
      <c r="C192" s="319">
        <f>IF(AND('Ações'!AT193="sim", 'Ações'!BE193="sim"), 1, 0)
</f>
        <v>0</v>
      </c>
      <c r="D192" s="319">
        <f>IF(AND('Ações'!AU193="sim", 'Ações'!BF193="sim"), 1, 0)
</f>
        <v>0</v>
      </c>
      <c r="E192" s="319">
        <f>IF(AND('Ações'!AV193="sim", 'Ações'!BG193="sim"), 1, 0)
</f>
        <v>0</v>
      </c>
      <c r="F192" s="319">
        <f>IF(AND('Ações'!AW193="sim", 'Ações'!BH193="sim"), 1, 0)
</f>
        <v>0</v>
      </c>
      <c r="G192" s="319">
        <f>IF(AND('Ações'!AX193="sim", 'Ações'!BI193="sim"), 1, 0)
</f>
        <v>0</v>
      </c>
      <c r="H192" s="319">
        <f>IF(AND('Ações'!AS193="sim", 'Ações'!BE193="sim"), 1, 0)
</f>
        <v>0</v>
      </c>
      <c r="I192" s="319">
        <f>IF(AND('Ações'!AS193="sim", 'Ações'!BF193="sim"), 1, 0)
</f>
        <v>0</v>
      </c>
      <c r="J192" s="319">
        <f>IF(AND('Ações'!AS193="sim", 'Ações'!BG193="sim"), 1, 0)
</f>
        <v>0</v>
      </c>
      <c r="K192" s="319">
        <f>IF(AND('Ações'!AS193="sim", 'Ações'!BH193="sim"), 1, 0)
</f>
        <v>0</v>
      </c>
      <c r="L192" s="319">
        <f>IF(AND('Ações'!AS193="sim", 'Ações'!BI193="sim"), 1, 0)
</f>
        <v>1</v>
      </c>
      <c r="M192" s="319">
        <f>IF(AND('Ações'!AT193="sim", 'Ações'!BD193="sim"), 1, 0)
</f>
        <v>1</v>
      </c>
      <c r="N192" s="319">
        <f>IF(AND('Ações'!AT193="sim", 'Ações'!BF193="sim"), 1, 0)
</f>
        <v>0</v>
      </c>
      <c r="O192" s="319">
        <f>IF(AND('Ações'!AT193="sim", 'Ações'!BG193="sim"), 1, 0)
</f>
        <v>0</v>
      </c>
      <c r="P192" s="319">
        <f>IF(AND('Ações'!AT193="sim", 'Ações'!BH193="sim"), 1, 0)
</f>
        <v>0</v>
      </c>
      <c r="Q192" s="319">
        <f>IF(AND('Ações'!AT193="sim", 'Ações'!BI193="sim"), 1, 0)
</f>
        <v>1</v>
      </c>
      <c r="R192" s="319">
        <f>IF(AND('Ações'!AU193="sim", 'Ações'!BD193="sim"), 1, 0)
</f>
        <v>0</v>
      </c>
      <c r="S192" s="319">
        <f>IF(AND('Ações'!AU193="sim", 'Ações'!BE193="sim"), 1, 0)
</f>
        <v>0</v>
      </c>
      <c r="T192" s="319">
        <f>IF(AND('Ações'!AU193="sim", 'Ações'!BG193="sim"), 1, 0)
</f>
        <v>0</v>
      </c>
      <c r="U192" s="319">
        <f>IF(AND('Ações'!AU193="sim", 'Ações'!BH193="sim"), 1, 0)
</f>
        <v>0</v>
      </c>
      <c r="V192" s="319">
        <f>IF(AND('Ações'!AU193="sim", 'Ações'!BI193="sim"), 1, 0)
</f>
        <v>0</v>
      </c>
      <c r="W192" s="319">
        <f>IF(AND('Ações'!AV193="sim", 'Ações'!BD193="sim"), 1, 0)
</f>
        <v>1</v>
      </c>
      <c r="X192" s="319">
        <f>IF(AND('Ações'!AV193="sim", 'Ações'!BE193="sim"), 1, 0)
</f>
        <v>0</v>
      </c>
      <c r="Y192" s="319">
        <f>IF(AND('Ações'!AV193="sim", 'Ações'!BF193="sim"), 1, 0)
</f>
        <v>0</v>
      </c>
      <c r="Z192" s="319">
        <f>IF(AND('Ações'!AV193="sim", 'Ações'!BH193="sim"), 1, 0)
</f>
        <v>0</v>
      </c>
      <c r="AA192" s="319">
        <f>IF(AND('Ações'!AV193="sim", 'Ações'!BI193="sim"), 1, 0)
</f>
        <v>1</v>
      </c>
      <c r="AB192" s="319">
        <f>IF(AND('Ações'!AW193="sim", 'Ações'!BD193="sim"), 1, 0)
</f>
        <v>1</v>
      </c>
      <c r="AC192" s="319">
        <f>IF(AND('Ações'!AW193="sim", 'Ações'!BE193="sim"), 1, 0)
</f>
        <v>0</v>
      </c>
      <c r="AD192" s="319">
        <f>IF(AND('Ações'!AW193="sim", 'Ações'!BF193="sim"), 1, 0)
</f>
        <v>0</v>
      </c>
      <c r="AE192" s="319">
        <f>IF(AND('Ações'!AW193="sim", 'Ações'!BG193="sim"), 1, 0)
</f>
        <v>0</v>
      </c>
      <c r="AF192" s="319">
        <f>IF(AND('Ações'!AW193="sim", 'Ações'!BI193="sim"), 1, 0)
</f>
        <v>1</v>
      </c>
      <c r="AG192" s="319">
        <f>IF(AND('Ações'!AX193="sim", 'Ações'!BD193="sim"), 1, 0)
</f>
        <v>0</v>
      </c>
      <c r="AH192" s="319">
        <f>IF(AND('Ações'!AX193="sim", 'Ações'!BE193="sim"), 1, 0)
</f>
        <v>0</v>
      </c>
      <c r="AI192" s="319">
        <f>IF(AND('Ações'!AX193="sim", 'Ações'!BF193="sim"), 1, 0)
</f>
        <v>0</v>
      </c>
      <c r="AJ192" s="319">
        <f>IF(AND('Ações'!AX193="sim", 'Ações'!BG193="sim"), 1, 0)
</f>
        <v>0</v>
      </c>
      <c r="AK192" s="319">
        <f>IF(AND('Ações'!AX193="sim", 'Ações'!BH193="sim"), 1, 0)
</f>
        <v>0</v>
      </c>
    </row>
    <row r="193">
      <c r="B193" s="319">
        <f>IF(AND('Ações'!AS194="sim", 'Ações'!BD194="sim"), 1, 0)
</f>
        <v>1</v>
      </c>
      <c r="C193" s="319">
        <f>IF(AND('Ações'!AT194="sim", 'Ações'!BE194="sim"), 1, 0)
</f>
        <v>0</v>
      </c>
      <c r="D193" s="319">
        <f>IF(AND('Ações'!AU194="sim", 'Ações'!BF194="sim"), 1, 0)
</f>
        <v>0</v>
      </c>
      <c r="E193" s="319">
        <f>IF(AND('Ações'!AV194="sim", 'Ações'!BG194="sim"), 1, 0)
</f>
        <v>0</v>
      </c>
      <c r="F193" s="319">
        <f>IF(AND('Ações'!AW194="sim", 'Ações'!BH194="sim"), 1, 0)
</f>
        <v>0</v>
      </c>
      <c r="G193" s="319">
        <f>IF(AND('Ações'!AX194="sim", 'Ações'!BI194="sim"), 1, 0)
</f>
        <v>0</v>
      </c>
      <c r="H193" s="319">
        <f>IF(AND('Ações'!AS194="sim", 'Ações'!BE194="sim"), 1, 0)
</f>
        <v>0</v>
      </c>
      <c r="I193" s="319">
        <f>IF(AND('Ações'!AS194="sim", 'Ações'!BF194="sim"), 1, 0)
</f>
        <v>0</v>
      </c>
      <c r="J193" s="319">
        <f>IF(AND('Ações'!AS194="sim", 'Ações'!BG194="sim"), 1, 0)
</f>
        <v>0</v>
      </c>
      <c r="K193" s="319">
        <f>IF(AND('Ações'!AS194="sim", 'Ações'!BH194="sim"), 1, 0)
</f>
        <v>0</v>
      </c>
      <c r="L193" s="319">
        <f>IF(AND('Ações'!AS194="sim", 'Ações'!BI194="sim"), 1, 0)
</f>
        <v>0</v>
      </c>
      <c r="M193" s="319">
        <f>IF(AND('Ações'!AT194="sim", 'Ações'!BD194="sim"), 1, 0)
</f>
        <v>1</v>
      </c>
      <c r="N193" s="319">
        <f>IF(AND('Ações'!AT194="sim", 'Ações'!BF194="sim"), 1, 0)
</f>
        <v>0</v>
      </c>
      <c r="O193" s="319">
        <f>IF(AND('Ações'!AT194="sim", 'Ações'!BG194="sim"), 1, 0)
</f>
        <v>0</v>
      </c>
      <c r="P193" s="319">
        <f>IF(AND('Ações'!AT194="sim", 'Ações'!BH194="sim"), 1, 0)
</f>
        <v>0</v>
      </c>
      <c r="Q193" s="319">
        <f>IF(AND('Ações'!AT194="sim", 'Ações'!BI194="sim"), 1, 0)
</f>
        <v>0</v>
      </c>
      <c r="R193" s="319">
        <f>IF(AND('Ações'!AU194="sim", 'Ações'!BD194="sim"), 1, 0)
</f>
        <v>0</v>
      </c>
      <c r="S193" s="319">
        <f>IF(AND('Ações'!AU194="sim", 'Ações'!BE194="sim"), 1, 0)
</f>
        <v>0</v>
      </c>
      <c r="T193" s="319">
        <f>IF(AND('Ações'!AU194="sim", 'Ações'!BG194="sim"), 1, 0)
</f>
        <v>0</v>
      </c>
      <c r="U193" s="319">
        <f>IF(AND('Ações'!AU194="sim", 'Ações'!BH194="sim"), 1, 0)
</f>
        <v>0</v>
      </c>
      <c r="V193" s="319">
        <f>IF(AND('Ações'!AU194="sim", 'Ações'!BI194="sim"), 1, 0)
</f>
        <v>0</v>
      </c>
      <c r="W193" s="319">
        <f>IF(AND('Ações'!AV194="sim", 'Ações'!BD194="sim"), 1, 0)
</f>
        <v>1</v>
      </c>
      <c r="X193" s="319">
        <f>IF(AND('Ações'!AV194="sim", 'Ações'!BE194="sim"), 1, 0)
</f>
        <v>0</v>
      </c>
      <c r="Y193" s="319">
        <f>IF(AND('Ações'!AV194="sim", 'Ações'!BF194="sim"), 1, 0)
</f>
        <v>0</v>
      </c>
      <c r="Z193" s="319">
        <f>IF(AND('Ações'!AV194="sim", 'Ações'!BH194="sim"), 1, 0)
</f>
        <v>0</v>
      </c>
      <c r="AA193" s="319">
        <f>IF(AND('Ações'!AV194="sim", 'Ações'!BI194="sim"), 1, 0)
</f>
        <v>0</v>
      </c>
      <c r="AB193" s="319">
        <f>IF(AND('Ações'!AW194="sim", 'Ações'!BD194="sim"), 1, 0)
</f>
        <v>1</v>
      </c>
      <c r="AC193" s="319">
        <f>IF(AND('Ações'!AW194="sim", 'Ações'!BE194="sim"), 1, 0)
</f>
        <v>0</v>
      </c>
      <c r="AD193" s="319">
        <f>IF(AND('Ações'!AW194="sim", 'Ações'!BF194="sim"), 1, 0)
</f>
        <v>0</v>
      </c>
      <c r="AE193" s="319">
        <f>IF(AND('Ações'!AW194="sim", 'Ações'!BG194="sim"), 1, 0)
</f>
        <v>0</v>
      </c>
      <c r="AF193" s="319">
        <f>IF(AND('Ações'!AW194="sim", 'Ações'!BI194="sim"), 1, 0)
</f>
        <v>0</v>
      </c>
      <c r="AG193" s="319">
        <f>IF(AND('Ações'!AX194="sim", 'Ações'!BD194="sim"), 1, 0)
</f>
        <v>0</v>
      </c>
      <c r="AH193" s="319">
        <f>IF(AND('Ações'!AX194="sim", 'Ações'!BE194="sim"), 1, 0)
</f>
        <v>0</v>
      </c>
      <c r="AI193" s="319">
        <f>IF(AND('Ações'!AX194="sim", 'Ações'!BF194="sim"), 1, 0)
</f>
        <v>0</v>
      </c>
      <c r="AJ193" s="319">
        <f>IF(AND('Ações'!AX194="sim", 'Ações'!BG194="sim"), 1, 0)
</f>
        <v>0</v>
      </c>
      <c r="AK193" s="319">
        <f>IF(AND('Ações'!AX194="sim", 'Ações'!BH194="sim"), 1, 0)
</f>
        <v>0</v>
      </c>
    </row>
    <row r="194">
      <c r="B194" s="319">
        <f>IF(AND('Ações'!AS195="sim", 'Ações'!BD195="sim"), 1, 0)
</f>
        <v>1</v>
      </c>
      <c r="C194" s="319">
        <f>IF(AND('Ações'!AT195="sim", 'Ações'!BE195="sim"), 1, 0)
</f>
        <v>0</v>
      </c>
      <c r="D194" s="319">
        <f>IF(AND('Ações'!AU195="sim", 'Ações'!BF195="sim"), 1, 0)
</f>
        <v>0</v>
      </c>
      <c r="E194" s="319">
        <f>IF(AND('Ações'!AV195="sim", 'Ações'!BG195="sim"), 1, 0)
</f>
        <v>0</v>
      </c>
      <c r="F194" s="319">
        <f>IF(AND('Ações'!AW195="sim", 'Ações'!BH195="sim"), 1, 0)
</f>
        <v>0</v>
      </c>
      <c r="G194" s="319">
        <f>IF(AND('Ações'!AX195="sim", 'Ações'!BI195="sim"), 1, 0)
</f>
        <v>0</v>
      </c>
      <c r="H194" s="319">
        <f>IF(AND('Ações'!AS195="sim", 'Ações'!BE195="sim"), 1, 0)
</f>
        <v>0</v>
      </c>
      <c r="I194" s="319">
        <f>IF(AND('Ações'!AS195="sim", 'Ações'!BF195="sim"), 1, 0)
</f>
        <v>0</v>
      </c>
      <c r="J194" s="319">
        <f>IF(AND('Ações'!AS195="sim", 'Ações'!BG195="sim"), 1, 0)
</f>
        <v>0</v>
      </c>
      <c r="K194" s="319">
        <f>IF(AND('Ações'!AS195="sim", 'Ações'!BH195="sim"), 1, 0)
</f>
        <v>0</v>
      </c>
      <c r="L194" s="319">
        <f>IF(AND('Ações'!AS195="sim", 'Ações'!BI195="sim"), 1, 0)
</f>
        <v>0</v>
      </c>
      <c r="M194" s="319">
        <f>IF(AND('Ações'!AT195="sim", 'Ações'!BD195="sim"), 1, 0)
</f>
        <v>1</v>
      </c>
      <c r="N194" s="319">
        <f>IF(AND('Ações'!AT195="sim", 'Ações'!BF195="sim"), 1, 0)
</f>
        <v>0</v>
      </c>
      <c r="O194" s="319">
        <f>IF(AND('Ações'!AT195="sim", 'Ações'!BG195="sim"), 1, 0)
</f>
        <v>0</v>
      </c>
      <c r="P194" s="319">
        <f>IF(AND('Ações'!AT195="sim", 'Ações'!BH195="sim"), 1, 0)
</f>
        <v>0</v>
      </c>
      <c r="Q194" s="319">
        <f>IF(AND('Ações'!AT195="sim", 'Ações'!BI195="sim"), 1, 0)
</f>
        <v>0</v>
      </c>
      <c r="R194" s="319">
        <f>IF(AND('Ações'!AU195="sim", 'Ações'!BD195="sim"), 1, 0)
</f>
        <v>0</v>
      </c>
      <c r="S194" s="319">
        <f>IF(AND('Ações'!AU195="sim", 'Ações'!BE195="sim"), 1, 0)
</f>
        <v>0</v>
      </c>
      <c r="T194" s="319">
        <f>IF(AND('Ações'!AU195="sim", 'Ações'!BG195="sim"), 1, 0)
</f>
        <v>0</v>
      </c>
      <c r="U194" s="319">
        <f>IF(AND('Ações'!AU195="sim", 'Ações'!BH195="sim"), 1, 0)
</f>
        <v>0</v>
      </c>
      <c r="V194" s="319">
        <f>IF(AND('Ações'!AU195="sim", 'Ações'!BI195="sim"), 1, 0)
</f>
        <v>0</v>
      </c>
      <c r="W194" s="319">
        <f>IF(AND('Ações'!AV195="sim", 'Ações'!BD195="sim"), 1, 0)
</f>
        <v>1</v>
      </c>
      <c r="X194" s="319">
        <f>IF(AND('Ações'!AV195="sim", 'Ações'!BE195="sim"), 1, 0)
</f>
        <v>0</v>
      </c>
      <c r="Y194" s="319">
        <f>IF(AND('Ações'!AV195="sim", 'Ações'!BF195="sim"), 1, 0)
</f>
        <v>0</v>
      </c>
      <c r="Z194" s="319">
        <f>IF(AND('Ações'!AV195="sim", 'Ações'!BH195="sim"), 1, 0)
</f>
        <v>0</v>
      </c>
      <c r="AA194" s="319">
        <f>IF(AND('Ações'!AV195="sim", 'Ações'!BI195="sim"), 1, 0)
</f>
        <v>0</v>
      </c>
      <c r="AB194" s="319">
        <f>IF(AND('Ações'!AW195="sim", 'Ações'!BD195="sim"), 1, 0)
</f>
        <v>1</v>
      </c>
      <c r="AC194" s="319">
        <f>IF(AND('Ações'!AW195="sim", 'Ações'!BE195="sim"), 1, 0)
</f>
        <v>0</v>
      </c>
      <c r="AD194" s="319">
        <f>IF(AND('Ações'!AW195="sim", 'Ações'!BF195="sim"), 1, 0)
</f>
        <v>0</v>
      </c>
      <c r="AE194" s="319">
        <f>IF(AND('Ações'!AW195="sim", 'Ações'!BG195="sim"), 1, 0)
</f>
        <v>0</v>
      </c>
      <c r="AF194" s="319">
        <f>IF(AND('Ações'!AW195="sim", 'Ações'!BI195="sim"), 1, 0)
</f>
        <v>0</v>
      </c>
      <c r="AG194" s="319">
        <f>IF(AND('Ações'!AX195="sim", 'Ações'!BD195="sim"), 1, 0)
</f>
        <v>0</v>
      </c>
      <c r="AH194" s="319">
        <f>IF(AND('Ações'!AX195="sim", 'Ações'!BE195="sim"), 1, 0)
</f>
        <v>0</v>
      </c>
      <c r="AI194" s="319">
        <f>IF(AND('Ações'!AX195="sim", 'Ações'!BF195="sim"), 1, 0)
</f>
        <v>0</v>
      </c>
      <c r="AJ194" s="319">
        <f>IF(AND('Ações'!AX195="sim", 'Ações'!BG195="sim"), 1, 0)
</f>
        <v>0</v>
      </c>
      <c r="AK194" s="319">
        <f>IF(AND('Ações'!AX195="sim", 'Ações'!BH195="sim"), 1, 0)
</f>
        <v>0</v>
      </c>
    </row>
    <row r="195">
      <c r="B195" s="319">
        <f>IF(AND('Ações'!AS196="sim", 'Ações'!BD196="sim"), 1, 0)
</f>
        <v>0</v>
      </c>
      <c r="C195" s="319">
        <f>IF(AND('Ações'!AT196="sim", 'Ações'!BE196="sim"), 1, 0)
</f>
        <v>1</v>
      </c>
      <c r="D195" s="319">
        <f>IF(AND('Ações'!AU196="sim", 'Ações'!BF196="sim"), 1, 0)
</f>
        <v>0</v>
      </c>
      <c r="E195" s="319">
        <f>IF(AND('Ações'!AV196="sim", 'Ações'!BG196="sim"), 1, 0)
</f>
        <v>0</v>
      </c>
      <c r="F195" s="319">
        <f>IF(AND('Ações'!AW196="sim", 'Ações'!BH196="sim"), 1, 0)
</f>
        <v>0</v>
      </c>
      <c r="G195" s="319">
        <f>IF(AND('Ações'!AX196="sim", 'Ações'!BI196="sim"), 1, 0)
</f>
        <v>0</v>
      </c>
      <c r="H195" s="319">
        <f>IF(AND('Ações'!AS196="sim", 'Ações'!BE196="sim"), 1, 0)
</f>
        <v>1</v>
      </c>
      <c r="I195" s="319">
        <f>IF(AND('Ações'!AS196="sim", 'Ações'!BF196="sim"), 1, 0)
</f>
        <v>0</v>
      </c>
      <c r="J195" s="319">
        <f>IF(AND('Ações'!AS196="sim", 'Ações'!BG196="sim"), 1, 0)
</f>
        <v>0</v>
      </c>
      <c r="K195" s="319">
        <f>IF(AND('Ações'!AS196="sim", 'Ações'!BH196="sim"), 1, 0)
</f>
        <v>0</v>
      </c>
      <c r="L195" s="319">
        <f>IF(AND('Ações'!AS196="sim", 'Ações'!BI196="sim"), 1, 0)
</f>
        <v>0</v>
      </c>
      <c r="M195" s="319">
        <f>IF(AND('Ações'!AT196="sim", 'Ações'!BD196="sim"), 1, 0)
</f>
        <v>0</v>
      </c>
      <c r="N195" s="319">
        <f>IF(AND('Ações'!AT196="sim", 'Ações'!BF196="sim"), 1, 0)
</f>
        <v>0</v>
      </c>
      <c r="O195" s="319">
        <f>IF(AND('Ações'!AT196="sim", 'Ações'!BG196="sim"), 1, 0)
</f>
        <v>0</v>
      </c>
      <c r="P195" s="319">
        <f>IF(AND('Ações'!AT196="sim", 'Ações'!BH196="sim"), 1, 0)
</f>
        <v>0</v>
      </c>
      <c r="Q195" s="319">
        <f>IF(AND('Ações'!AT196="sim", 'Ações'!BI196="sim"), 1, 0)
</f>
        <v>0</v>
      </c>
      <c r="R195" s="319">
        <f>IF(AND('Ações'!AU196="sim", 'Ações'!BD196="sim"), 1, 0)
</f>
        <v>0</v>
      </c>
      <c r="S195" s="319">
        <f>IF(AND('Ações'!AU196="sim", 'Ações'!BE196="sim"), 1, 0)
</f>
        <v>0</v>
      </c>
      <c r="T195" s="319">
        <f>IF(AND('Ações'!AU196="sim", 'Ações'!BG196="sim"), 1, 0)
</f>
        <v>0</v>
      </c>
      <c r="U195" s="319">
        <f>IF(AND('Ações'!AU196="sim", 'Ações'!BH196="sim"), 1, 0)
</f>
        <v>0</v>
      </c>
      <c r="V195" s="319">
        <f>IF(AND('Ações'!AU196="sim", 'Ações'!BI196="sim"), 1, 0)
</f>
        <v>0</v>
      </c>
      <c r="W195" s="319">
        <f>IF(AND('Ações'!AV196="sim", 'Ações'!BD196="sim"), 1, 0)
</f>
        <v>0</v>
      </c>
      <c r="X195" s="319">
        <f>IF(AND('Ações'!AV196="sim", 'Ações'!BE196="sim"), 1, 0)
</f>
        <v>1</v>
      </c>
      <c r="Y195" s="319">
        <f>IF(AND('Ações'!AV196="sim", 'Ações'!BF196="sim"), 1, 0)
</f>
        <v>0</v>
      </c>
      <c r="Z195" s="319">
        <f>IF(AND('Ações'!AV196="sim", 'Ações'!BH196="sim"), 1, 0)
</f>
        <v>0</v>
      </c>
      <c r="AA195" s="319">
        <f>IF(AND('Ações'!AV196="sim", 'Ações'!BI196="sim"), 1, 0)
</f>
        <v>0</v>
      </c>
      <c r="AB195" s="319">
        <f>IF(AND('Ações'!AW196="sim", 'Ações'!BD196="sim"), 1, 0)
</f>
        <v>0</v>
      </c>
      <c r="AC195" s="319">
        <f>IF(AND('Ações'!AW196="sim", 'Ações'!BE196="sim"), 1, 0)
</f>
        <v>1</v>
      </c>
      <c r="AD195" s="319">
        <f>IF(AND('Ações'!AW196="sim", 'Ações'!BF196="sim"), 1, 0)
</f>
        <v>0</v>
      </c>
      <c r="AE195" s="319">
        <f>IF(AND('Ações'!AW196="sim", 'Ações'!BG196="sim"), 1, 0)
</f>
        <v>0</v>
      </c>
      <c r="AF195" s="319">
        <f>IF(AND('Ações'!AW196="sim", 'Ações'!BI196="sim"), 1, 0)
</f>
        <v>0</v>
      </c>
      <c r="AG195" s="319">
        <f>IF(AND('Ações'!AX196="sim", 'Ações'!BD196="sim"), 1, 0)
</f>
        <v>0</v>
      </c>
      <c r="AH195" s="319">
        <f>IF(AND('Ações'!AX196="sim", 'Ações'!BE196="sim"), 1, 0)
</f>
        <v>0</v>
      </c>
      <c r="AI195" s="319">
        <f>IF(AND('Ações'!AX196="sim", 'Ações'!BF196="sim"), 1, 0)
</f>
        <v>0</v>
      </c>
      <c r="AJ195" s="319">
        <f>IF(AND('Ações'!AX196="sim", 'Ações'!BG196="sim"), 1, 0)
</f>
        <v>0</v>
      </c>
      <c r="AK195" s="319">
        <f>IF(AND('Ações'!AX196="sim", 'Ações'!BH196="sim"), 1, 0)
</f>
        <v>0</v>
      </c>
    </row>
    <row r="196">
      <c r="B196" s="319">
        <f>IF(AND('Ações'!AS197="sim", 'Ações'!BD197="sim"), 1, 0)
</f>
        <v>1</v>
      </c>
      <c r="C196" s="319">
        <f>IF(AND('Ações'!AT197="sim", 'Ações'!BE197="sim"), 1, 0)
</f>
        <v>0</v>
      </c>
      <c r="D196" s="319">
        <f>IF(AND('Ações'!AU197="sim", 'Ações'!BF197="sim"), 1, 0)
</f>
        <v>0</v>
      </c>
      <c r="E196" s="319">
        <f>IF(AND('Ações'!AV197="sim", 'Ações'!BG197="sim"), 1, 0)
</f>
        <v>0</v>
      </c>
      <c r="F196" s="319">
        <f>IF(AND('Ações'!AW197="sim", 'Ações'!BH197="sim"), 1, 0)
</f>
        <v>0</v>
      </c>
      <c r="G196" s="319">
        <f>IF(AND('Ações'!AX197="sim", 'Ações'!BI197="sim"), 1, 0)
</f>
        <v>0</v>
      </c>
      <c r="H196" s="319">
        <f>IF(AND('Ações'!AS197="sim", 'Ações'!BE197="sim"), 1, 0)
</f>
        <v>0</v>
      </c>
      <c r="I196" s="319">
        <f>IF(AND('Ações'!AS197="sim", 'Ações'!BF197="sim"), 1, 0)
</f>
        <v>0</v>
      </c>
      <c r="J196" s="319">
        <f>IF(AND('Ações'!AS197="sim", 'Ações'!BG197="sim"), 1, 0)
</f>
        <v>0</v>
      </c>
      <c r="K196" s="319">
        <f>IF(AND('Ações'!AS197="sim", 'Ações'!BH197="sim"), 1, 0)
</f>
        <v>0</v>
      </c>
      <c r="L196" s="319">
        <f>IF(AND('Ações'!AS197="sim", 'Ações'!BI197="sim"), 1, 0)
</f>
        <v>0</v>
      </c>
      <c r="M196" s="319">
        <f>IF(AND('Ações'!AT197="sim", 'Ações'!BD197="sim"), 1, 0)
</f>
        <v>1</v>
      </c>
      <c r="N196" s="319">
        <f>IF(AND('Ações'!AT197="sim", 'Ações'!BF197="sim"), 1, 0)
</f>
        <v>0</v>
      </c>
      <c r="O196" s="319">
        <f>IF(AND('Ações'!AT197="sim", 'Ações'!BG197="sim"), 1, 0)
</f>
        <v>0</v>
      </c>
      <c r="P196" s="319">
        <f>IF(AND('Ações'!AT197="sim", 'Ações'!BH197="sim"), 1, 0)
</f>
        <v>0</v>
      </c>
      <c r="Q196" s="319">
        <f>IF(AND('Ações'!AT197="sim", 'Ações'!BI197="sim"), 1, 0)
</f>
        <v>0</v>
      </c>
      <c r="R196" s="319">
        <f>IF(AND('Ações'!AU197="sim", 'Ações'!BD197="sim"), 1, 0)
</f>
        <v>0</v>
      </c>
      <c r="S196" s="319">
        <f>IF(AND('Ações'!AU197="sim", 'Ações'!BE197="sim"), 1, 0)
</f>
        <v>0</v>
      </c>
      <c r="T196" s="319">
        <f>IF(AND('Ações'!AU197="sim", 'Ações'!BG197="sim"), 1, 0)
</f>
        <v>0</v>
      </c>
      <c r="U196" s="319">
        <f>IF(AND('Ações'!AU197="sim", 'Ações'!BH197="sim"), 1, 0)
</f>
        <v>0</v>
      </c>
      <c r="V196" s="319">
        <f>IF(AND('Ações'!AU197="sim", 'Ações'!BI197="sim"), 1, 0)
</f>
        <v>0</v>
      </c>
      <c r="W196" s="319">
        <f>IF(AND('Ações'!AV197="sim", 'Ações'!BD197="sim"), 1, 0)
</f>
        <v>1</v>
      </c>
      <c r="X196" s="319">
        <f>IF(AND('Ações'!AV197="sim", 'Ações'!BE197="sim"), 1, 0)
</f>
        <v>0</v>
      </c>
      <c r="Y196" s="319">
        <f>IF(AND('Ações'!AV197="sim", 'Ações'!BF197="sim"), 1, 0)
</f>
        <v>0</v>
      </c>
      <c r="Z196" s="319">
        <f>IF(AND('Ações'!AV197="sim", 'Ações'!BH197="sim"), 1, 0)
</f>
        <v>0</v>
      </c>
      <c r="AA196" s="319">
        <f>IF(AND('Ações'!AV197="sim", 'Ações'!BI197="sim"), 1, 0)
</f>
        <v>0</v>
      </c>
      <c r="AB196" s="319">
        <f>IF(AND('Ações'!AW197="sim", 'Ações'!BD197="sim"), 1, 0)
</f>
        <v>1</v>
      </c>
      <c r="AC196" s="319">
        <f>IF(AND('Ações'!AW197="sim", 'Ações'!BE197="sim"), 1, 0)
</f>
        <v>0</v>
      </c>
      <c r="AD196" s="319">
        <f>IF(AND('Ações'!AW197="sim", 'Ações'!BF197="sim"), 1, 0)
</f>
        <v>0</v>
      </c>
      <c r="AE196" s="319">
        <f>IF(AND('Ações'!AW197="sim", 'Ações'!BG197="sim"), 1, 0)
</f>
        <v>0</v>
      </c>
      <c r="AF196" s="319">
        <f>IF(AND('Ações'!AW197="sim", 'Ações'!BI197="sim"), 1, 0)
</f>
        <v>0</v>
      </c>
      <c r="AG196" s="319">
        <f>IF(AND('Ações'!AX197="sim", 'Ações'!BD197="sim"), 1, 0)
</f>
        <v>0</v>
      </c>
      <c r="AH196" s="319">
        <f>IF(AND('Ações'!AX197="sim", 'Ações'!BE197="sim"), 1, 0)
</f>
        <v>0</v>
      </c>
      <c r="AI196" s="319">
        <f>IF(AND('Ações'!AX197="sim", 'Ações'!BF197="sim"), 1, 0)
</f>
        <v>0</v>
      </c>
      <c r="AJ196" s="319">
        <f>IF(AND('Ações'!AX197="sim", 'Ações'!BG197="sim"), 1, 0)
</f>
        <v>0</v>
      </c>
      <c r="AK196" s="319">
        <f>IF(AND('Ações'!AX197="sim", 'Ações'!BH197="sim"), 1, 0)
</f>
        <v>0</v>
      </c>
    </row>
    <row r="197">
      <c r="B197" s="319">
        <f>IF(AND('Ações'!AS198="sim", 'Ações'!BD198="sim"), 1, 0)
</f>
        <v>1</v>
      </c>
      <c r="C197" s="319">
        <f>IF(AND('Ações'!AT198="sim", 'Ações'!BE198="sim"), 1, 0)
</f>
        <v>0</v>
      </c>
      <c r="D197" s="319">
        <f>IF(AND('Ações'!AU198="sim", 'Ações'!BF198="sim"), 1, 0)
</f>
        <v>0</v>
      </c>
      <c r="E197" s="319">
        <f>IF(AND('Ações'!AV198="sim", 'Ações'!BG198="sim"), 1, 0)
</f>
        <v>0</v>
      </c>
      <c r="F197" s="319">
        <f>IF(AND('Ações'!AW198="sim", 'Ações'!BH198="sim"), 1, 0)
</f>
        <v>0</v>
      </c>
      <c r="G197" s="319">
        <f>IF(AND('Ações'!AX198="sim", 'Ações'!BI198="sim"), 1, 0)
</f>
        <v>0</v>
      </c>
      <c r="H197" s="319">
        <f>IF(AND('Ações'!AS198="sim", 'Ações'!BE198="sim"), 1, 0)
</f>
        <v>0</v>
      </c>
      <c r="I197" s="319">
        <f>IF(AND('Ações'!AS198="sim", 'Ações'!BF198="sim"), 1, 0)
</f>
        <v>0</v>
      </c>
      <c r="J197" s="319">
        <f>IF(AND('Ações'!AS198="sim", 'Ações'!BG198="sim"), 1, 0)
</f>
        <v>0</v>
      </c>
      <c r="K197" s="319">
        <f>IF(AND('Ações'!AS198="sim", 'Ações'!BH198="sim"), 1, 0)
</f>
        <v>0</v>
      </c>
      <c r="L197" s="319">
        <f>IF(AND('Ações'!AS198="sim", 'Ações'!BI198="sim"), 1, 0)
</f>
        <v>0</v>
      </c>
      <c r="M197" s="319">
        <f>IF(AND('Ações'!AT198="sim", 'Ações'!BD198="sim"), 1, 0)
</f>
        <v>1</v>
      </c>
      <c r="N197" s="319">
        <f>IF(AND('Ações'!AT198="sim", 'Ações'!BF198="sim"), 1, 0)
</f>
        <v>0</v>
      </c>
      <c r="O197" s="319">
        <f>IF(AND('Ações'!AT198="sim", 'Ações'!BG198="sim"), 1, 0)
</f>
        <v>0</v>
      </c>
      <c r="P197" s="319">
        <f>IF(AND('Ações'!AT198="sim", 'Ações'!BH198="sim"), 1, 0)
</f>
        <v>0</v>
      </c>
      <c r="Q197" s="319">
        <f>IF(AND('Ações'!AT198="sim", 'Ações'!BI198="sim"), 1, 0)
</f>
        <v>0</v>
      </c>
      <c r="R197" s="319">
        <f>IF(AND('Ações'!AU198="sim", 'Ações'!BD198="sim"), 1, 0)
</f>
        <v>0</v>
      </c>
      <c r="S197" s="319">
        <f>IF(AND('Ações'!AU198="sim", 'Ações'!BE198="sim"), 1, 0)
</f>
        <v>0</v>
      </c>
      <c r="T197" s="319">
        <f>IF(AND('Ações'!AU198="sim", 'Ações'!BG198="sim"), 1, 0)
</f>
        <v>0</v>
      </c>
      <c r="U197" s="319">
        <f>IF(AND('Ações'!AU198="sim", 'Ações'!BH198="sim"), 1, 0)
</f>
        <v>0</v>
      </c>
      <c r="V197" s="319">
        <f>IF(AND('Ações'!AU198="sim", 'Ações'!BI198="sim"), 1, 0)
</f>
        <v>0</v>
      </c>
      <c r="W197" s="319">
        <f>IF(AND('Ações'!AV198="sim", 'Ações'!BD198="sim"), 1, 0)
</f>
        <v>1</v>
      </c>
      <c r="X197" s="319">
        <f>IF(AND('Ações'!AV198="sim", 'Ações'!BE198="sim"), 1, 0)
</f>
        <v>0</v>
      </c>
      <c r="Y197" s="319">
        <f>IF(AND('Ações'!AV198="sim", 'Ações'!BF198="sim"), 1, 0)
</f>
        <v>0</v>
      </c>
      <c r="Z197" s="319">
        <f>IF(AND('Ações'!AV198="sim", 'Ações'!BH198="sim"), 1, 0)
</f>
        <v>0</v>
      </c>
      <c r="AA197" s="319">
        <f>IF(AND('Ações'!AV198="sim", 'Ações'!BI198="sim"), 1, 0)
</f>
        <v>0</v>
      </c>
      <c r="AB197" s="319">
        <f>IF(AND('Ações'!AW198="sim", 'Ações'!BD198="sim"), 1, 0)
</f>
        <v>1</v>
      </c>
      <c r="AC197" s="319">
        <f>IF(AND('Ações'!AW198="sim", 'Ações'!BE198="sim"), 1, 0)
</f>
        <v>0</v>
      </c>
      <c r="AD197" s="319">
        <f>IF(AND('Ações'!AW198="sim", 'Ações'!BF198="sim"), 1, 0)
</f>
        <v>0</v>
      </c>
      <c r="AE197" s="319">
        <f>IF(AND('Ações'!AW198="sim", 'Ações'!BG198="sim"), 1, 0)
</f>
        <v>0</v>
      </c>
      <c r="AF197" s="319">
        <f>IF(AND('Ações'!AW198="sim", 'Ações'!BI198="sim"), 1, 0)
</f>
        <v>0</v>
      </c>
      <c r="AG197" s="319">
        <f>IF(AND('Ações'!AX198="sim", 'Ações'!BD198="sim"), 1, 0)
</f>
        <v>0</v>
      </c>
      <c r="AH197" s="319">
        <f>IF(AND('Ações'!AX198="sim", 'Ações'!BE198="sim"), 1, 0)
</f>
        <v>0</v>
      </c>
      <c r="AI197" s="319">
        <f>IF(AND('Ações'!AX198="sim", 'Ações'!BF198="sim"), 1, 0)
</f>
        <v>0</v>
      </c>
      <c r="AJ197" s="319">
        <f>IF(AND('Ações'!AX198="sim", 'Ações'!BG198="sim"), 1, 0)
</f>
        <v>0</v>
      </c>
      <c r="AK197" s="319">
        <f>IF(AND('Ações'!AX198="sim", 'Ações'!BH198="sim"), 1, 0)
</f>
        <v>0</v>
      </c>
    </row>
    <row r="198">
      <c r="B198" s="319">
        <f>IF(AND('Ações'!AS199="sim", 'Ações'!BD199="sim"), 1, 0)
</f>
        <v>0</v>
      </c>
      <c r="C198" s="319">
        <f>IF(AND('Ações'!AT199="sim", 'Ações'!BE199="sim"), 1, 0)
</f>
        <v>0</v>
      </c>
      <c r="D198" s="319">
        <f>IF(AND('Ações'!AU199="sim", 'Ações'!BF199="sim"), 1, 0)
</f>
        <v>0</v>
      </c>
      <c r="E198" s="319">
        <f>IF(AND('Ações'!AV199="sim", 'Ações'!BG199="sim"), 1, 0)
</f>
        <v>0</v>
      </c>
      <c r="F198" s="319">
        <f>IF(AND('Ações'!AW199="sim", 'Ações'!BH199="sim"), 1, 0)
</f>
        <v>0</v>
      </c>
      <c r="G198" s="319">
        <f>IF(AND('Ações'!AX199="sim", 'Ações'!BI199="sim"), 1, 0)
</f>
        <v>0</v>
      </c>
      <c r="H198" s="319">
        <f>IF(AND('Ações'!AS199="sim", 'Ações'!BE199="sim"), 1, 0)
</f>
        <v>0</v>
      </c>
      <c r="I198" s="319">
        <f>IF(AND('Ações'!AS199="sim", 'Ações'!BF199="sim"), 1, 0)
</f>
        <v>0</v>
      </c>
      <c r="J198" s="319">
        <f>IF(AND('Ações'!AS199="sim", 'Ações'!BG199="sim"), 1, 0)
</f>
        <v>0</v>
      </c>
      <c r="K198" s="319">
        <f>IF(AND('Ações'!AS199="sim", 'Ações'!BH199="sim"), 1, 0)
</f>
        <v>0</v>
      </c>
      <c r="L198" s="319">
        <f>IF(AND('Ações'!AS199="sim", 'Ações'!BI199="sim"), 1, 0)
</f>
        <v>0</v>
      </c>
      <c r="M198" s="319">
        <f>IF(AND('Ações'!AT199="sim", 'Ações'!BD199="sim"), 1, 0)
</f>
        <v>0</v>
      </c>
      <c r="N198" s="319">
        <f>IF(AND('Ações'!AT199="sim", 'Ações'!BF199="sim"), 1, 0)
</f>
        <v>0</v>
      </c>
      <c r="O198" s="319">
        <f>IF(AND('Ações'!AT199="sim", 'Ações'!BG199="sim"), 1, 0)
</f>
        <v>0</v>
      </c>
      <c r="P198" s="319">
        <f>IF(AND('Ações'!AT199="sim", 'Ações'!BH199="sim"), 1, 0)
</f>
        <v>0</v>
      </c>
      <c r="Q198" s="319">
        <f>IF(AND('Ações'!AT199="sim", 'Ações'!BI199="sim"), 1, 0)
</f>
        <v>1</v>
      </c>
      <c r="R198" s="319">
        <f>IF(AND('Ações'!AU199="sim", 'Ações'!BD199="sim"), 1, 0)
</f>
        <v>0</v>
      </c>
      <c r="S198" s="319">
        <f>IF(AND('Ações'!AU199="sim", 'Ações'!BE199="sim"), 1, 0)
</f>
        <v>0</v>
      </c>
      <c r="T198" s="319">
        <f>IF(AND('Ações'!AU199="sim", 'Ações'!BG199="sim"), 1, 0)
</f>
        <v>0</v>
      </c>
      <c r="U198" s="319">
        <f>IF(AND('Ações'!AU199="sim", 'Ações'!BH199="sim"), 1, 0)
</f>
        <v>0</v>
      </c>
      <c r="V198" s="319">
        <f>IF(AND('Ações'!AU199="sim", 'Ações'!BI199="sim"), 1, 0)
</f>
        <v>1</v>
      </c>
      <c r="W198" s="319">
        <f>IF(AND('Ações'!AV199="sim", 'Ações'!BD199="sim"), 1, 0)
</f>
        <v>0</v>
      </c>
      <c r="X198" s="319">
        <f>IF(AND('Ações'!AV199="sim", 'Ações'!BE199="sim"), 1, 0)
</f>
        <v>0</v>
      </c>
      <c r="Y198" s="319">
        <f>IF(AND('Ações'!AV199="sim", 'Ações'!BF199="sim"), 1, 0)
</f>
        <v>0</v>
      </c>
      <c r="Z198" s="319">
        <f>IF(AND('Ações'!AV199="sim", 'Ações'!BH199="sim"), 1, 0)
</f>
        <v>0</v>
      </c>
      <c r="AA198" s="319">
        <f>IF(AND('Ações'!AV199="sim", 'Ações'!BI199="sim"), 1, 0)
</f>
        <v>1</v>
      </c>
      <c r="AB198" s="319">
        <f>IF(AND('Ações'!AW199="sim", 'Ações'!BD199="sim"), 1, 0)
</f>
        <v>0</v>
      </c>
      <c r="AC198" s="319">
        <f>IF(AND('Ações'!AW199="sim", 'Ações'!BE199="sim"), 1, 0)
</f>
        <v>0</v>
      </c>
      <c r="AD198" s="319">
        <f>IF(AND('Ações'!AW199="sim", 'Ações'!BF199="sim"), 1, 0)
</f>
        <v>0</v>
      </c>
      <c r="AE198" s="319">
        <f>IF(AND('Ações'!AW199="sim", 'Ações'!BG199="sim"), 1, 0)
</f>
        <v>0</v>
      </c>
      <c r="AF198" s="319">
        <f>IF(AND('Ações'!AW199="sim", 'Ações'!BI199="sim"), 1, 0)
</f>
        <v>1</v>
      </c>
      <c r="AG198" s="319">
        <f>IF(AND('Ações'!AX199="sim", 'Ações'!BD199="sim"), 1, 0)
</f>
        <v>0</v>
      </c>
      <c r="AH198" s="319">
        <f>IF(AND('Ações'!AX199="sim", 'Ações'!BE199="sim"), 1, 0)
</f>
        <v>0</v>
      </c>
      <c r="AI198" s="319">
        <f>IF(AND('Ações'!AX199="sim", 'Ações'!BF199="sim"), 1, 0)
</f>
        <v>0</v>
      </c>
      <c r="AJ198" s="319">
        <f>IF(AND('Ações'!AX199="sim", 'Ações'!BG199="sim"), 1, 0)
</f>
        <v>0</v>
      </c>
      <c r="AK198" s="319">
        <f>IF(AND('Ações'!AX199="sim", 'Ações'!BH199="sim"), 1, 0)
</f>
        <v>0</v>
      </c>
    </row>
    <row r="199">
      <c r="B199" s="319">
        <f>IF(AND('Ações'!AS200="sim", 'Ações'!BD200="sim"), 1, 0)
</f>
        <v>0</v>
      </c>
      <c r="C199" s="319">
        <f>IF(AND('Ações'!AT200="sim", 'Ações'!BE200="sim"), 1, 0)
</f>
        <v>0</v>
      </c>
      <c r="D199" s="319">
        <f>IF(AND('Ações'!AU200="sim", 'Ações'!BF200="sim"), 1, 0)
</f>
        <v>0</v>
      </c>
      <c r="E199" s="319">
        <f>IF(AND('Ações'!AV200="sim", 'Ações'!BG200="sim"), 1, 0)
</f>
        <v>0</v>
      </c>
      <c r="F199" s="319">
        <f>IF(AND('Ações'!AW200="sim", 'Ações'!BH200="sim"), 1, 0)
</f>
        <v>0</v>
      </c>
      <c r="G199" s="319">
        <f>IF(AND('Ações'!AX200="sim", 'Ações'!BI200="sim"), 1, 0)
</f>
        <v>0</v>
      </c>
      <c r="H199" s="319">
        <f>IF(AND('Ações'!AS200="sim", 'Ações'!BE200="sim"), 1, 0)
</f>
        <v>0</v>
      </c>
      <c r="I199" s="319">
        <f>IF(AND('Ações'!AS200="sim", 'Ações'!BF200="sim"), 1, 0)
</f>
        <v>0</v>
      </c>
      <c r="J199" s="319">
        <f>IF(AND('Ações'!AS200="sim", 'Ações'!BG200="sim"), 1, 0)
</f>
        <v>0</v>
      </c>
      <c r="K199" s="319">
        <f>IF(AND('Ações'!AS200="sim", 'Ações'!BH200="sim"), 1, 0)
</f>
        <v>0</v>
      </c>
      <c r="L199" s="319">
        <f>IF(AND('Ações'!AS200="sim", 'Ações'!BI200="sim"), 1, 0)
</f>
        <v>0</v>
      </c>
      <c r="M199" s="319">
        <f>IF(AND('Ações'!AT200="sim", 'Ações'!BD200="sim"), 1, 0)
</f>
        <v>0</v>
      </c>
      <c r="N199" s="319">
        <f>IF(AND('Ações'!AT200="sim", 'Ações'!BF200="sim"), 1, 0)
</f>
        <v>0</v>
      </c>
      <c r="O199" s="319">
        <f>IF(AND('Ações'!AT200="sim", 'Ações'!BG200="sim"), 1, 0)
</f>
        <v>0</v>
      </c>
      <c r="P199" s="319">
        <f>IF(AND('Ações'!AT200="sim", 'Ações'!BH200="sim"), 1, 0)
</f>
        <v>0</v>
      </c>
      <c r="Q199" s="319">
        <f>IF(AND('Ações'!AT200="sim", 'Ações'!BI200="sim"), 1, 0)
</f>
        <v>1</v>
      </c>
      <c r="R199" s="319">
        <f>IF(AND('Ações'!AU200="sim", 'Ações'!BD200="sim"), 1, 0)
</f>
        <v>0</v>
      </c>
      <c r="S199" s="319">
        <f>IF(AND('Ações'!AU200="sim", 'Ações'!BE200="sim"), 1, 0)
</f>
        <v>0</v>
      </c>
      <c r="T199" s="319">
        <f>IF(AND('Ações'!AU200="sim", 'Ações'!BG200="sim"), 1, 0)
</f>
        <v>0</v>
      </c>
      <c r="U199" s="319">
        <f>IF(AND('Ações'!AU200="sim", 'Ações'!BH200="sim"), 1, 0)
</f>
        <v>0</v>
      </c>
      <c r="V199" s="319">
        <f>IF(AND('Ações'!AU200="sim", 'Ações'!BI200="sim"), 1, 0)
</f>
        <v>1</v>
      </c>
      <c r="W199" s="319">
        <f>IF(AND('Ações'!AV200="sim", 'Ações'!BD200="sim"), 1, 0)
</f>
        <v>0</v>
      </c>
      <c r="X199" s="319">
        <f>IF(AND('Ações'!AV200="sim", 'Ações'!BE200="sim"), 1, 0)
</f>
        <v>0</v>
      </c>
      <c r="Y199" s="319">
        <f>IF(AND('Ações'!AV200="sim", 'Ações'!BF200="sim"), 1, 0)
</f>
        <v>0</v>
      </c>
      <c r="Z199" s="319">
        <f>IF(AND('Ações'!AV200="sim", 'Ações'!BH200="sim"), 1, 0)
</f>
        <v>0</v>
      </c>
      <c r="AA199" s="319">
        <f>IF(AND('Ações'!AV200="sim", 'Ações'!BI200="sim"), 1, 0)
</f>
        <v>1</v>
      </c>
      <c r="AB199" s="319">
        <f>IF(AND('Ações'!AW200="sim", 'Ações'!BD200="sim"), 1, 0)
</f>
        <v>0</v>
      </c>
      <c r="AC199" s="319">
        <f>IF(AND('Ações'!AW200="sim", 'Ações'!BE200="sim"), 1, 0)
</f>
        <v>0</v>
      </c>
      <c r="AD199" s="319">
        <f>IF(AND('Ações'!AW200="sim", 'Ações'!BF200="sim"), 1, 0)
</f>
        <v>0</v>
      </c>
      <c r="AE199" s="319">
        <f>IF(AND('Ações'!AW200="sim", 'Ações'!BG200="sim"), 1, 0)
</f>
        <v>0</v>
      </c>
      <c r="AF199" s="319">
        <f>IF(AND('Ações'!AW200="sim", 'Ações'!BI200="sim"), 1, 0)
</f>
        <v>1</v>
      </c>
      <c r="AG199" s="319">
        <f>IF(AND('Ações'!AX200="sim", 'Ações'!BD200="sim"), 1, 0)
</f>
        <v>0</v>
      </c>
      <c r="AH199" s="319">
        <f>IF(AND('Ações'!AX200="sim", 'Ações'!BE200="sim"), 1, 0)
</f>
        <v>0</v>
      </c>
      <c r="AI199" s="319">
        <f>IF(AND('Ações'!AX200="sim", 'Ações'!BF200="sim"), 1, 0)
</f>
        <v>0</v>
      </c>
      <c r="AJ199" s="319">
        <f>IF(AND('Ações'!AX200="sim", 'Ações'!BG200="sim"), 1, 0)
</f>
        <v>0</v>
      </c>
      <c r="AK199" s="319">
        <f>IF(AND('Ações'!AX200="sim", 'Ações'!BH200="sim"), 1, 0)
</f>
        <v>0</v>
      </c>
    </row>
    <row r="200">
      <c r="B200" s="319">
        <f>IF(AND('Ações'!AS201="sim", 'Ações'!BD201="sim"), 1, 0)
</f>
        <v>0</v>
      </c>
      <c r="C200" s="319">
        <f>IF(AND('Ações'!AT201="sim", 'Ações'!BE201="sim"), 1, 0)
</f>
        <v>0</v>
      </c>
      <c r="D200" s="319">
        <f>IF(AND('Ações'!AU201="sim", 'Ações'!BF201="sim"), 1, 0)
</f>
        <v>0</v>
      </c>
      <c r="E200" s="319">
        <f>IF(AND('Ações'!AV201="sim", 'Ações'!BG201="sim"), 1, 0)
</f>
        <v>0</v>
      </c>
      <c r="F200" s="319">
        <f>IF(AND('Ações'!AW201="sim", 'Ações'!BH201="sim"), 1, 0)
</f>
        <v>0</v>
      </c>
      <c r="G200" s="319">
        <f>IF(AND('Ações'!AX201="sim", 'Ações'!BI201="sim"), 1, 0)
</f>
        <v>0</v>
      </c>
      <c r="H200" s="319">
        <f>IF(AND('Ações'!AS201="sim", 'Ações'!BE201="sim"), 1, 0)
</f>
        <v>0</v>
      </c>
      <c r="I200" s="319">
        <f>IF(AND('Ações'!AS201="sim", 'Ações'!BF201="sim"), 1, 0)
</f>
        <v>0</v>
      </c>
      <c r="J200" s="319">
        <f>IF(AND('Ações'!AS201="sim", 'Ações'!BG201="sim"), 1, 0)
</f>
        <v>0</v>
      </c>
      <c r="K200" s="319">
        <f>IF(AND('Ações'!AS201="sim", 'Ações'!BH201="sim"), 1, 0)
</f>
        <v>0</v>
      </c>
      <c r="L200" s="319">
        <f>IF(AND('Ações'!AS201="sim", 'Ações'!BI201="sim"), 1, 0)
</f>
        <v>0</v>
      </c>
      <c r="M200" s="319">
        <f>IF(AND('Ações'!AT201="sim", 'Ações'!BD201="sim"), 1, 0)
</f>
        <v>0</v>
      </c>
      <c r="N200" s="319">
        <f>IF(AND('Ações'!AT201="sim", 'Ações'!BF201="sim"), 1, 0)
</f>
        <v>0</v>
      </c>
      <c r="O200" s="319">
        <f>IF(AND('Ações'!AT201="sim", 'Ações'!BG201="sim"), 1, 0)
</f>
        <v>0</v>
      </c>
      <c r="P200" s="319">
        <f>IF(AND('Ações'!AT201="sim", 'Ações'!BH201="sim"), 1, 0)
</f>
        <v>0</v>
      </c>
      <c r="Q200" s="319">
        <f>IF(AND('Ações'!AT201="sim", 'Ações'!BI201="sim"), 1, 0)
</f>
        <v>1</v>
      </c>
      <c r="R200" s="319">
        <f>IF(AND('Ações'!AU201="sim", 'Ações'!BD201="sim"), 1, 0)
</f>
        <v>0</v>
      </c>
      <c r="S200" s="319">
        <f>IF(AND('Ações'!AU201="sim", 'Ações'!BE201="sim"), 1, 0)
</f>
        <v>0</v>
      </c>
      <c r="T200" s="319">
        <f>IF(AND('Ações'!AU201="sim", 'Ações'!BG201="sim"), 1, 0)
</f>
        <v>0</v>
      </c>
      <c r="U200" s="319">
        <f>IF(AND('Ações'!AU201="sim", 'Ações'!BH201="sim"), 1, 0)
</f>
        <v>0</v>
      </c>
      <c r="V200" s="319">
        <f>IF(AND('Ações'!AU201="sim", 'Ações'!BI201="sim"), 1, 0)
</f>
        <v>1</v>
      </c>
      <c r="W200" s="319">
        <f>IF(AND('Ações'!AV201="sim", 'Ações'!BD201="sim"), 1, 0)
</f>
        <v>0</v>
      </c>
      <c r="X200" s="319">
        <f>IF(AND('Ações'!AV201="sim", 'Ações'!BE201="sim"), 1, 0)
</f>
        <v>0</v>
      </c>
      <c r="Y200" s="319">
        <f>IF(AND('Ações'!AV201="sim", 'Ações'!BF201="sim"), 1, 0)
</f>
        <v>0</v>
      </c>
      <c r="Z200" s="319">
        <f>IF(AND('Ações'!AV201="sim", 'Ações'!BH201="sim"), 1, 0)
</f>
        <v>0</v>
      </c>
      <c r="AA200" s="319">
        <f>IF(AND('Ações'!AV201="sim", 'Ações'!BI201="sim"), 1, 0)
</f>
        <v>1</v>
      </c>
      <c r="AB200" s="319">
        <f>IF(AND('Ações'!AW201="sim", 'Ações'!BD201="sim"), 1, 0)
</f>
        <v>0</v>
      </c>
      <c r="AC200" s="319">
        <f>IF(AND('Ações'!AW201="sim", 'Ações'!BE201="sim"), 1, 0)
</f>
        <v>0</v>
      </c>
      <c r="AD200" s="319">
        <f>IF(AND('Ações'!AW201="sim", 'Ações'!BF201="sim"), 1, 0)
</f>
        <v>0</v>
      </c>
      <c r="AE200" s="319">
        <f>IF(AND('Ações'!AW201="sim", 'Ações'!BG201="sim"), 1, 0)
</f>
        <v>0</v>
      </c>
      <c r="AF200" s="319">
        <f>IF(AND('Ações'!AW201="sim", 'Ações'!BI201="sim"), 1, 0)
</f>
        <v>1</v>
      </c>
      <c r="AG200" s="319">
        <f>IF(AND('Ações'!AX201="sim", 'Ações'!BD201="sim"), 1, 0)
</f>
        <v>0</v>
      </c>
      <c r="AH200" s="319">
        <f>IF(AND('Ações'!AX201="sim", 'Ações'!BE201="sim"), 1, 0)
</f>
        <v>0</v>
      </c>
      <c r="AI200" s="319">
        <f>IF(AND('Ações'!AX201="sim", 'Ações'!BF201="sim"), 1, 0)
</f>
        <v>0</v>
      </c>
      <c r="AJ200" s="319">
        <f>IF(AND('Ações'!AX201="sim", 'Ações'!BG201="sim"), 1, 0)
</f>
        <v>0</v>
      </c>
      <c r="AK200" s="319">
        <f>IF(AND('Ações'!AX201="sim", 'Ações'!BH201="sim"), 1, 0)
</f>
        <v>0</v>
      </c>
    </row>
    <row r="201">
      <c r="B201" s="319">
        <f>IF(AND('Ações'!AS202="sim", 'Ações'!BD202="sim"), 1, 0)
</f>
        <v>0</v>
      </c>
      <c r="C201" s="319">
        <f>IF(AND('Ações'!AT202="sim", 'Ações'!BE202="sim"), 1, 0)
</f>
        <v>0</v>
      </c>
      <c r="D201" s="319">
        <f>IF(AND('Ações'!AU202="sim", 'Ações'!BF202="sim"), 1, 0)
</f>
        <v>0</v>
      </c>
      <c r="E201" s="319">
        <f>IF(AND('Ações'!AV202="sim", 'Ações'!BG202="sim"), 1, 0)
</f>
        <v>0</v>
      </c>
      <c r="F201" s="319">
        <f>IF(AND('Ações'!AW202="sim", 'Ações'!BH202="sim"), 1, 0)
</f>
        <v>0</v>
      </c>
      <c r="G201" s="319">
        <f>IF(AND('Ações'!AX202="sim", 'Ações'!BI202="sim"), 1, 0)
</f>
        <v>0</v>
      </c>
      <c r="H201" s="319">
        <f>IF(AND('Ações'!AS202="sim", 'Ações'!BE202="sim"), 1, 0)
</f>
        <v>0</v>
      </c>
      <c r="I201" s="319">
        <f>IF(AND('Ações'!AS202="sim", 'Ações'!BF202="sim"), 1, 0)
</f>
        <v>0</v>
      </c>
      <c r="J201" s="319">
        <f>IF(AND('Ações'!AS202="sim", 'Ações'!BG202="sim"), 1, 0)
</f>
        <v>0</v>
      </c>
      <c r="K201" s="319">
        <f>IF(AND('Ações'!AS202="sim", 'Ações'!BH202="sim"), 1, 0)
</f>
        <v>0</v>
      </c>
      <c r="L201" s="319">
        <f>IF(AND('Ações'!AS202="sim", 'Ações'!BI202="sim"), 1, 0)
</f>
        <v>0</v>
      </c>
      <c r="M201" s="319">
        <f>IF(AND('Ações'!AT202="sim", 'Ações'!BD202="sim"), 1, 0)
</f>
        <v>0</v>
      </c>
      <c r="N201" s="319">
        <f>IF(AND('Ações'!AT202="sim", 'Ações'!BF202="sim"), 1, 0)
</f>
        <v>0</v>
      </c>
      <c r="O201" s="319">
        <f>IF(AND('Ações'!AT202="sim", 'Ações'!BG202="sim"), 1, 0)
</f>
        <v>0</v>
      </c>
      <c r="P201" s="319">
        <f>IF(AND('Ações'!AT202="sim", 'Ações'!BH202="sim"), 1, 0)
</f>
        <v>0</v>
      </c>
      <c r="Q201" s="319">
        <f>IF(AND('Ações'!AT202="sim", 'Ações'!BI202="sim"), 1, 0)
</f>
        <v>1</v>
      </c>
      <c r="R201" s="319">
        <f>IF(AND('Ações'!AU202="sim", 'Ações'!BD202="sim"), 1, 0)
</f>
        <v>0</v>
      </c>
      <c r="S201" s="319">
        <f>IF(AND('Ações'!AU202="sim", 'Ações'!BE202="sim"), 1, 0)
</f>
        <v>0</v>
      </c>
      <c r="T201" s="319">
        <f>IF(AND('Ações'!AU202="sim", 'Ações'!BG202="sim"), 1, 0)
</f>
        <v>0</v>
      </c>
      <c r="U201" s="319">
        <f>IF(AND('Ações'!AU202="sim", 'Ações'!BH202="sim"), 1, 0)
</f>
        <v>0</v>
      </c>
      <c r="V201" s="319">
        <f>IF(AND('Ações'!AU202="sim", 'Ações'!BI202="sim"), 1, 0)
</f>
        <v>1</v>
      </c>
      <c r="W201" s="319">
        <f>IF(AND('Ações'!AV202="sim", 'Ações'!BD202="sim"), 1, 0)
</f>
        <v>0</v>
      </c>
      <c r="X201" s="319">
        <f>IF(AND('Ações'!AV202="sim", 'Ações'!BE202="sim"), 1, 0)
</f>
        <v>0</v>
      </c>
      <c r="Y201" s="319">
        <f>IF(AND('Ações'!AV202="sim", 'Ações'!BF202="sim"), 1, 0)
</f>
        <v>0</v>
      </c>
      <c r="Z201" s="319">
        <f>IF(AND('Ações'!AV202="sim", 'Ações'!BH202="sim"), 1, 0)
</f>
        <v>0</v>
      </c>
      <c r="AA201" s="319">
        <f>IF(AND('Ações'!AV202="sim", 'Ações'!BI202="sim"), 1, 0)
</f>
        <v>1</v>
      </c>
      <c r="AB201" s="319">
        <f>IF(AND('Ações'!AW202="sim", 'Ações'!BD202="sim"), 1, 0)
</f>
        <v>0</v>
      </c>
      <c r="AC201" s="319">
        <f>IF(AND('Ações'!AW202="sim", 'Ações'!BE202="sim"), 1, 0)
</f>
        <v>0</v>
      </c>
      <c r="AD201" s="319">
        <f>IF(AND('Ações'!AW202="sim", 'Ações'!BF202="sim"), 1, 0)
</f>
        <v>0</v>
      </c>
      <c r="AE201" s="319">
        <f>IF(AND('Ações'!AW202="sim", 'Ações'!BG202="sim"), 1, 0)
</f>
        <v>0</v>
      </c>
      <c r="AF201" s="319">
        <f>IF(AND('Ações'!AW202="sim", 'Ações'!BI202="sim"), 1, 0)
</f>
        <v>1</v>
      </c>
      <c r="AG201" s="319">
        <f>IF(AND('Ações'!AX202="sim", 'Ações'!BD202="sim"), 1, 0)
</f>
        <v>0</v>
      </c>
      <c r="AH201" s="319">
        <f>IF(AND('Ações'!AX202="sim", 'Ações'!BE202="sim"), 1, 0)
</f>
        <v>0</v>
      </c>
      <c r="AI201" s="319">
        <f>IF(AND('Ações'!AX202="sim", 'Ações'!BF202="sim"), 1, 0)
</f>
        <v>0</v>
      </c>
      <c r="AJ201" s="319">
        <f>IF(AND('Ações'!AX202="sim", 'Ações'!BG202="sim"), 1, 0)
</f>
        <v>0</v>
      </c>
      <c r="AK201" s="319">
        <f>IF(AND('Ações'!AX202="sim", 'Ações'!BH202="sim"), 1, 0)
</f>
        <v>0</v>
      </c>
    </row>
    <row r="202">
      <c r="B202" s="319">
        <f>IF(AND('Ações'!AS203="sim", 'Ações'!BD203="sim"), 1, 0)
</f>
        <v>0</v>
      </c>
      <c r="C202" s="319">
        <f>IF(AND('Ações'!AT203="sim", 'Ações'!BE203="sim"), 1, 0)
</f>
        <v>0</v>
      </c>
      <c r="D202" s="319">
        <f>IF(AND('Ações'!AU203="sim", 'Ações'!BF203="sim"), 1, 0)
</f>
        <v>0</v>
      </c>
      <c r="E202" s="319">
        <f>IF(AND('Ações'!AV203="sim", 'Ações'!BG203="sim"), 1, 0)
</f>
        <v>0</v>
      </c>
      <c r="F202" s="319">
        <f>IF(AND('Ações'!AW203="sim", 'Ações'!BH203="sim"), 1, 0)
</f>
        <v>0</v>
      </c>
      <c r="G202" s="319">
        <f>IF(AND('Ações'!AX203="sim", 'Ações'!BI203="sim"), 1, 0)
</f>
        <v>0</v>
      </c>
      <c r="H202" s="319">
        <f>IF(AND('Ações'!AS203="sim", 'Ações'!BE203="sim"), 1, 0)
</f>
        <v>0</v>
      </c>
      <c r="I202" s="319">
        <f>IF(AND('Ações'!AS203="sim", 'Ações'!BF203="sim"), 1, 0)
</f>
        <v>0</v>
      </c>
      <c r="J202" s="319">
        <f>IF(AND('Ações'!AS203="sim", 'Ações'!BG203="sim"), 1, 0)
</f>
        <v>0</v>
      </c>
      <c r="K202" s="319">
        <f>IF(AND('Ações'!AS203="sim", 'Ações'!BH203="sim"), 1, 0)
</f>
        <v>0</v>
      </c>
      <c r="L202" s="319">
        <f>IF(AND('Ações'!AS203="sim", 'Ações'!BI203="sim"), 1, 0)
</f>
        <v>0</v>
      </c>
      <c r="M202" s="319">
        <f>IF(AND('Ações'!AT203="sim", 'Ações'!BD203="sim"), 1, 0)
</f>
        <v>0</v>
      </c>
      <c r="N202" s="319">
        <f>IF(AND('Ações'!AT203="sim", 'Ações'!BF203="sim"), 1, 0)
</f>
        <v>0</v>
      </c>
      <c r="O202" s="319">
        <f>IF(AND('Ações'!AT203="sim", 'Ações'!BG203="sim"), 1, 0)
</f>
        <v>0</v>
      </c>
      <c r="P202" s="319">
        <f>IF(AND('Ações'!AT203="sim", 'Ações'!BH203="sim"), 1, 0)
</f>
        <v>0</v>
      </c>
      <c r="Q202" s="319">
        <f>IF(AND('Ações'!AT203="sim", 'Ações'!BI203="sim"), 1, 0)
</f>
        <v>1</v>
      </c>
      <c r="R202" s="319">
        <f>IF(AND('Ações'!AU203="sim", 'Ações'!BD203="sim"), 1, 0)
</f>
        <v>0</v>
      </c>
      <c r="S202" s="319">
        <f>IF(AND('Ações'!AU203="sim", 'Ações'!BE203="sim"), 1, 0)
</f>
        <v>0</v>
      </c>
      <c r="T202" s="319">
        <f>IF(AND('Ações'!AU203="sim", 'Ações'!BG203="sim"), 1, 0)
</f>
        <v>0</v>
      </c>
      <c r="U202" s="319">
        <f>IF(AND('Ações'!AU203="sim", 'Ações'!BH203="sim"), 1, 0)
</f>
        <v>0</v>
      </c>
      <c r="V202" s="319">
        <f>IF(AND('Ações'!AU203="sim", 'Ações'!BI203="sim"), 1, 0)
</f>
        <v>1</v>
      </c>
      <c r="W202" s="319">
        <f>IF(AND('Ações'!AV203="sim", 'Ações'!BD203="sim"), 1, 0)
</f>
        <v>0</v>
      </c>
      <c r="X202" s="319">
        <f>IF(AND('Ações'!AV203="sim", 'Ações'!BE203="sim"), 1, 0)
</f>
        <v>0</v>
      </c>
      <c r="Y202" s="319">
        <f>IF(AND('Ações'!AV203="sim", 'Ações'!BF203="sim"), 1, 0)
</f>
        <v>0</v>
      </c>
      <c r="Z202" s="319">
        <f>IF(AND('Ações'!AV203="sim", 'Ações'!BH203="sim"), 1, 0)
</f>
        <v>0</v>
      </c>
      <c r="AA202" s="319">
        <f>IF(AND('Ações'!AV203="sim", 'Ações'!BI203="sim"), 1, 0)
</f>
        <v>1</v>
      </c>
      <c r="AB202" s="319">
        <f>IF(AND('Ações'!AW203="sim", 'Ações'!BD203="sim"), 1, 0)
</f>
        <v>0</v>
      </c>
      <c r="AC202" s="319">
        <f>IF(AND('Ações'!AW203="sim", 'Ações'!BE203="sim"), 1, 0)
</f>
        <v>0</v>
      </c>
      <c r="AD202" s="319">
        <f>IF(AND('Ações'!AW203="sim", 'Ações'!BF203="sim"), 1, 0)
</f>
        <v>0</v>
      </c>
      <c r="AE202" s="319">
        <f>IF(AND('Ações'!AW203="sim", 'Ações'!BG203="sim"), 1, 0)
</f>
        <v>0</v>
      </c>
      <c r="AF202" s="319">
        <f>IF(AND('Ações'!AW203="sim", 'Ações'!BI203="sim"), 1, 0)
</f>
        <v>1</v>
      </c>
      <c r="AG202" s="319">
        <f>IF(AND('Ações'!AX203="sim", 'Ações'!BD203="sim"), 1, 0)
</f>
        <v>0</v>
      </c>
      <c r="AH202" s="319">
        <f>IF(AND('Ações'!AX203="sim", 'Ações'!BE203="sim"), 1, 0)
</f>
        <v>0</v>
      </c>
      <c r="AI202" s="319">
        <f>IF(AND('Ações'!AX203="sim", 'Ações'!BF203="sim"), 1, 0)
</f>
        <v>0</v>
      </c>
      <c r="AJ202" s="319">
        <f>IF(AND('Ações'!AX203="sim", 'Ações'!BG203="sim"), 1, 0)
</f>
        <v>0</v>
      </c>
      <c r="AK202" s="319">
        <f>IF(AND('Ações'!AX203="sim", 'Ações'!BH203="sim"), 1, 0)
</f>
        <v>0</v>
      </c>
    </row>
    <row r="203">
      <c r="B203" s="319">
        <f>IF(AND('Ações'!AS204="sim", 'Ações'!BD204="sim"), 1, 0)
</f>
        <v>0</v>
      </c>
      <c r="C203" s="319">
        <f>IF(AND('Ações'!AT204="sim", 'Ações'!BE204="sim"), 1, 0)
</f>
        <v>0</v>
      </c>
      <c r="D203" s="319">
        <f>IF(AND('Ações'!AU204="sim", 'Ações'!BF204="sim"), 1, 0)
</f>
        <v>0</v>
      </c>
      <c r="E203" s="319">
        <f>IF(AND('Ações'!AV204="sim", 'Ações'!BG204="sim"), 1, 0)
</f>
        <v>0</v>
      </c>
      <c r="F203" s="319">
        <f>IF(AND('Ações'!AW204="sim", 'Ações'!BH204="sim"), 1, 0)
</f>
        <v>0</v>
      </c>
      <c r="G203" s="319">
        <f>IF(AND('Ações'!AX204="sim", 'Ações'!BI204="sim"), 1, 0)
</f>
        <v>0</v>
      </c>
      <c r="H203" s="319">
        <f>IF(AND('Ações'!AS204="sim", 'Ações'!BE204="sim"), 1, 0)
</f>
        <v>0</v>
      </c>
      <c r="I203" s="319">
        <f>IF(AND('Ações'!AS204="sim", 'Ações'!BF204="sim"), 1, 0)
</f>
        <v>0</v>
      </c>
      <c r="J203" s="319">
        <f>IF(AND('Ações'!AS204="sim", 'Ações'!BG204="sim"), 1, 0)
</f>
        <v>0</v>
      </c>
      <c r="K203" s="319">
        <f>IF(AND('Ações'!AS204="sim", 'Ações'!BH204="sim"), 1, 0)
</f>
        <v>0</v>
      </c>
      <c r="L203" s="319">
        <f>IF(AND('Ações'!AS204="sim", 'Ações'!BI204="sim"), 1, 0)
</f>
        <v>0</v>
      </c>
      <c r="M203" s="319">
        <f>IF(AND('Ações'!AT204="sim", 'Ações'!BD204="sim"), 1, 0)
</f>
        <v>1</v>
      </c>
      <c r="N203" s="319">
        <f>IF(AND('Ações'!AT204="sim", 'Ações'!BF204="sim"), 1, 0)
</f>
        <v>0</v>
      </c>
      <c r="O203" s="319">
        <f>IF(AND('Ações'!AT204="sim", 'Ações'!BG204="sim"), 1, 0)
</f>
        <v>0</v>
      </c>
      <c r="P203" s="319">
        <f>IF(AND('Ações'!AT204="sim", 'Ações'!BH204="sim"), 1, 0)
</f>
        <v>0</v>
      </c>
      <c r="Q203" s="319">
        <f>IF(AND('Ações'!AT204="sim", 'Ações'!BI204="sim"), 1, 0)
</f>
        <v>0</v>
      </c>
      <c r="R203" s="319">
        <f>IF(AND('Ações'!AU204="sim", 'Ações'!BD204="sim"), 1, 0)
</f>
        <v>1</v>
      </c>
      <c r="S203" s="319">
        <f>IF(AND('Ações'!AU204="sim", 'Ações'!BE204="sim"), 1, 0)
</f>
        <v>0</v>
      </c>
      <c r="T203" s="319">
        <f>IF(AND('Ações'!AU204="sim", 'Ações'!BG204="sim"), 1, 0)
</f>
        <v>0</v>
      </c>
      <c r="U203" s="319">
        <f>IF(AND('Ações'!AU204="sim", 'Ações'!BH204="sim"), 1, 0)
</f>
        <v>0</v>
      </c>
      <c r="V203" s="319">
        <f>IF(AND('Ações'!AU204="sim", 'Ações'!BI204="sim"), 1, 0)
</f>
        <v>0</v>
      </c>
      <c r="W203" s="319">
        <f>IF(AND('Ações'!AV204="sim", 'Ações'!BD204="sim"), 1, 0)
</f>
        <v>1</v>
      </c>
      <c r="X203" s="319">
        <f>IF(AND('Ações'!AV204="sim", 'Ações'!BE204="sim"), 1, 0)
</f>
        <v>0</v>
      </c>
      <c r="Y203" s="319">
        <f>IF(AND('Ações'!AV204="sim", 'Ações'!BF204="sim"), 1, 0)
</f>
        <v>0</v>
      </c>
      <c r="Z203" s="319">
        <f>IF(AND('Ações'!AV204="sim", 'Ações'!BH204="sim"), 1, 0)
</f>
        <v>0</v>
      </c>
      <c r="AA203" s="319">
        <f>IF(AND('Ações'!AV204="sim", 'Ações'!BI204="sim"), 1, 0)
</f>
        <v>0</v>
      </c>
      <c r="AB203" s="319">
        <f>IF(AND('Ações'!AW204="sim", 'Ações'!BD204="sim"), 1, 0)
</f>
        <v>1</v>
      </c>
      <c r="AC203" s="319">
        <f>IF(AND('Ações'!AW204="sim", 'Ações'!BE204="sim"), 1, 0)
</f>
        <v>0</v>
      </c>
      <c r="AD203" s="319">
        <f>IF(AND('Ações'!AW204="sim", 'Ações'!BF204="sim"), 1, 0)
</f>
        <v>0</v>
      </c>
      <c r="AE203" s="319">
        <f>IF(AND('Ações'!AW204="sim", 'Ações'!BG204="sim"), 1, 0)
</f>
        <v>0</v>
      </c>
      <c r="AF203" s="319">
        <f>IF(AND('Ações'!AW204="sim", 'Ações'!BI204="sim"), 1, 0)
</f>
        <v>0</v>
      </c>
      <c r="AG203" s="319">
        <f>IF(AND('Ações'!AX204="sim", 'Ações'!BD204="sim"), 1, 0)
</f>
        <v>0</v>
      </c>
      <c r="AH203" s="319">
        <f>IF(AND('Ações'!AX204="sim", 'Ações'!BE204="sim"), 1, 0)
</f>
        <v>0</v>
      </c>
      <c r="AI203" s="319">
        <f>IF(AND('Ações'!AX204="sim", 'Ações'!BF204="sim"), 1, 0)
</f>
        <v>0</v>
      </c>
      <c r="AJ203" s="319">
        <f>IF(AND('Ações'!AX204="sim", 'Ações'!BG204="sim"), 1, 0)
</f>
        <v>0</v>
      </c>
      <c r="AK203" s="319">
        <f>IF(AND('Ações'!AX204="sim", 'Ações'!BH204="sim"), 1, 0)
</f>
        <v>0</v>
      </c>
    </row>
    <row r="204">
      <c r="B204" s="319">
        <f>IF(AND('Ações'!AS205="sim", 'Ações'!BD205="sim"), 1, 0)
</f>
        <v>0</v>
      </c>
      <c r="C204" s="319">
        <f>IF(AND('Ações'!AT205="sim", 'Ações'!BE205="sim"), 1, 0)
</f>
        <v>0</v>
      </c>
      <c r="D204" s="319">
        <f>IF(AND('Ações'!AU205="sim", 'Ações'!BF205="sim"), 1, 0)
</f>
        <v>0</v>
      </c>
      <c r="E204" s="319">
        <f>IF(AND('Ações'!AV205="sim", 'Ações'!BG205="sim"), 1, 0)
</f>
        <v>0</v>
      </c>
      <c r="F204" s="319">
        <f>IF(AND('Ações'!AW205="sim", 'Ações'!BH205="sim"), 1, 0)
</f>
        <v>0</v>
      </c>
      <c r="G204" s="319">
        <f>IF(AND('Ações'!AX205="sim", 'Ações'!BI205="sim"), 1, 0)
</f>
        <v>0</v>
      </c>
      <c r="H204" s="319">
        <f>IF(AND('Ações'!AS205="sim", 'Ações'!BE205="sim"), 1, 0)
</f>
        <v>0</v>
      </c>
      <c r="I204" s="319">
        <f>IF(AND('Ações'!AS205="sim", 'Ações'!BF205="sim"), 1, 0)
</f>
        <v>0</v>
      </c>
      <c r="J204" s="319">
        <f>IF(AND('Ações'!AS205="sim", 'Ações'!BG205="sim"), 1, 0)
</f>
        <v>0</v>
      </c>
      <c r="K204" s="319">
        <f>IF(AND('Ações'!AS205="sim", 'Ações'!BH205="sim"), 1, 0)
</f>
        <v>0</v>
      </c>
      <c r="L204" s="319">
        <f>IF(AND('Ações'!AS205="sim", 'Ações'!BI205="sim"), 1, 0)
</f>
        <v>0</v>
      </c>
      <c r="M204" s="319">
        <f>IF(AND('Ações'!AT205="sim", 'Ações'!BD205="sim"), 1, 0)
</f>
        <v>1</v>
      </c>
      <c r="N204" s="319">
        <f>IF(AND('Ações'!AT205="sim", 'Ações'!BF205="sim"), 1, 0)
</f>
        <v>0</v>
      </c>
      <c r="O204" s="319">
        <f>IF(AND('Ações'!AT205="sim", 'Ações'!BG205="sim"), 1, 0)
</f>
        <v>0</v>
      </c>
      <c r="P204" s="319">
        <f>IF(AND('Ações'!AT205="sim", 'Ações'!BH205="sim"), 1, 0)
</f>
        <v>0</v>
      </c>
      <c r="Q204" s="319">
        <f>IF(AND('Ações'!AT205="sim", 'Ações'!BI205="sim"), 1, 0)
</f>
        <v>0</v>
      </c>
      <c r="R204" s="319">
        <f>IF(AND('Ações'!AU205="sim", 'Ações'!BD205="sim"), 1, 0)
</f>
        <v>1</v>
      </c>
      <c r="S204" s="319">
        <f>IF(AND('Ações'!AU205="sim", 'Ações'!BE205="sim"), 1, 0)
</f>
        <v>0</v>
      </c>
      <c r="T204" s="319">
        <f>IF(AND('Ações'!AU205="sim", 'Ações'!BG205="sim"), 1, 0)
</f>
        <v>0</v>
      </c>
      <c r="U204" s="319">
        <f>IF(AND('Ações'!AU205="sim", 'Ações'!BH205="sim"), 1, 0)
</f>
        <v>0</v>
      </c>
      <c r="V204" s="319">
        <f>IF(AND('Ações'!AU205="sim", 'Ações'!BI205="sim"), 1, 0)
</f>
        <v>0</v>
      </c>
      <c r="W204" s="319">
        <f>IF(AND('Ações'!AV205="sim", 'Ações'!BD205="sim"), 1, 0)
</f>
        <v>1</v>
      </c>
      <c r="X204" s="319">
        <f>IF(AND('Ações'!AV205="sim", 'Ações'!BE205="sim"), 1, 0)
</f>
        <v>0</v>
      </c>
      <c r="Y204" s="319">
        <f>IF(AND('Ações'!AV205="sim", 'Ações'!BF205="sim"), 1, 0)
</f>
        <v>0</v>
      </c>
      <c r="Z204" s="319">
        <f>IF(AND('Ações'!AV205="sim", 'Ações'!BH205="sim"), 1, 0)
</f>
        <v>0</v>
      </c>
      <c r="AA204" s="319">
        <f>IF(AND('Ações'!AV205="sim", 'Ações'!BI205="sim"), 1, 0)
</f>
        <v>0</v>
      </c>
      <c r="AB204" s="319">
        <f>IF(AND('Ações'!AW205="sim", 'Ações'!BD205="sim"), 1, 0)
</f>
        <v>1</v>
      </c>
      <c r="AC204" s="319">
        <f>IF(AND('Ações'!AW205="sim", 'Ações'!BE205="sim"), 1, 0)
</f>
        <v>0</v>
      </c>
      <c r="AD204" s="319">
        <f>IF(AND('Ações'!AW205="sim", 'Ações'!BF205="sim"), 1, 0)
</f>
        <v>0</v>
      </c>
      <c r="AE204" s="319">
        <f>IF(AND('Ações'!AW205="sim", 'Ações'!BG205="sim"), 1, 0)
</f>
        <v>0</v>
      </c>
      <c r="AF204" s="319">
        <f>IF(AND('Ações'!AW205="sim", 'Ações'!BI205="sim"), 1, 0)
</f>
        <v>0</v>
      </c>
      <c r="AG204" s="319">
        <f>IF(AND('Ações'!AX205="sim", 'Ações'!BD205="sim"), 1, 0)
</f>
        <v>0</v>
      </c>
      <c r="AH204" s="319">
        <f>IF(AND('Ações'!AX205="sim", 'Ações'!BE205="sim"), 1, 0)
</f>
        <v>0</v>
      </c>
      <c r="AI204" s="319">
        <f>IF(AND('Ações'!AX205="sim", 'Ações'!BF205="sim"), 1, 0)
</f>
        <v>0</v>
      </c>
      <c r="AJ204" s="319">
        <f>IF(AND('Ações'!AX205="sim", 'Ações'!BG205="sim"), 1, 0)
</f>
        <v>0</v>
      </c>
      <c r="AK204" s="319">
        <f>IF(AND('Ações'!AX205="sim", 'Ações'!BH205="sim"), 1, 0)
</f>
        <v>0</v>
      </c>
    </row>
    <row r="205">
      <c r="B205" s="319">
        <f>IF(AND('Ações'!AS206="sim", 'Ações'!BD206="sim"), 1, 0)
</f>
        <v>0</v>
      </c>
      <c r="C205" s="319">
        <f>IF(AND('Ações'!AT206="sim", 'Ações'!BE206="sim"), 1, 0)
</f>
        <v>0</v>
      </c>
      <c r="D205" s="319">
        <f>IF(AND('Ações'!AU206="sim", 'Ações'!BF206="sim"), 1, 0)
</f>
        <v>0</v>
      </c>
      <c r="E205" s="319">
        <f>IF(AND('Ações'!AV206="sim", 'Ações'!BG206="sim"), 1, 0)
</f>
        <v>1</v>
      </c>
      <c r="F205" s="319">
        <f>IF(AND('Ações'!AW206="sim", 'Ações'!BH206="sim"), 1, 0)
</f>
        <v>0</v>
      </c>
      <c r="G205" s="319">
        <f>IF(AND('Ações'!AX206="sim", 'Ações'!BI206="sim"), 1, 0)
</f>
        <v>0</v>
      </c>
      <c r="H205" s="319">
        <f>IF(AND('Ações'!AS206="sim", 'Ações'!BE206="sim"), 1, 0)
</f>
        <v>0</v>
      </c>
      <c r="I205" s="319">
        <f>IF(AND('Ações'!AS206="sim", 'Ações'!BF206="sim"), 1, 0)
</f>
        <v>0</v>
      </c>
      <c r="J205" s="319">
        <f>IF(AND('Ações'!AS206="sim", 'Ações'!BG206="sim"), 1, 0)
</f>
        <v>0</v>
      </c>
      <c r="K205" s="319">
        <f>IF(AND('Ações'!AS206="sim", 'Ações'!BH206="sim"), 1, 0)
</f>
        <v>0</v>
      </c>
      <c r="L205" s="319">
        <f>IF(AND('Ações'!AS206="sim", 'Ações'!BI206="sim"), 1, 0)
</f>
        <v>0</v>
      </c>
      <c r="M205" s="319">
        <f>IF(AND('Ações'!AT206="sim", 'Ações'!BD206="sim"), 1, 0)
</f>
        <v>0</v>
      </c>
      <c r="N205" s="319">
        <f>IF(AND('Ações'!AT206="sim", 'Ações'!BF206="sim"), 1, 0)
</f>
        <v>0</v>
      </c>
      <c r="O205" s="319">
        <f>IF(AND('Ações'!AT206="sim", 'Ações'!BG206="sim"), 1, 0)
</f>
        <v>1</v>
      </c>
      <c r="P205" s="319">
        <f>IF(AND('Ações'!AT206="sim", 'Ações'!BH206="sim"), 1, 0)
</f>
        <v>0</v>
      </c>
      <c r="Q205" s="319">
        <f>IF(AND('Ações'!AT206="sim", 'Ações'!BI206="sim"), 1, 0)
</f>
        <v>0</v>
      </c>
      <c r="R205" s="319">
        <f>IF(AND('Ações'!AU206="sim", 'Ações'!BD206="sim"), 1, 0)
</f>
        <v>0</v>
      </c>
      <c r="S205" s="319">
        <f>IF(AND('Ações'!AU206="sim", 'Ações'!BE206="sim"), 1, 0)
</f>
        <v>0</v>
      </c>
      <c r="T205" s="319">
        <f>IF(AND('Ações'!AU206="sim", 'Ações'!BG206="sim"), 1, 0)
</f>
        <v>1</v>
      </c>
      <c r="U205" s="319">
        <f>IF(AND('Ações'!AU206="sim", 'Ações'!BH206="sim"), 1, 0)
</f>
        <v>0</v>
      </c>
      <c r="V205" s="319">
        <f>IF(AND('Ações'!AU206="sim", 'Ações'!BI206="sim"), 1, 0)
</f>
        <v>0</v>
      </c>
      <c r="W205" s="319">
        <f>IF(AND('Ações'!AV206="sim", 'Ações'!BD206="sim"), 1, 0)
</f>
        <v>0</v>
      </c>
      <c r="X205" s="319">
        <f>IF(AND('Ações'!AV206="sim", 'Ações'!BE206="sim"), 1, 0)
</f>
        <v>0</v>
      </c>
      <c r="Y205" s="319">
        <f>IF(AND('Ações'!AV206="sim", 'Ações'!BF206="sim"), 1, 0)
</f>
        <v>0</v>
      </c>
      <c r="Z205" s="319">
        <f>IF(AND('Ações'!AV206="sim", 'Ações'!BH206="sim"), 1, 0)
</f>
        <v>0</v>
      </c>
      <c r="AA205" s="319">
        <f>IF(AND('Ações'!AV206="sim", 'Ações'!BI206="sim"), 1, 0)
</f>
        <v>0</v>
      </c>
      <c r="AB205" s="319">
        <f>IF(AND('Ações'!AW206="sim", 'Ações'!BD206="sim"), 1, 0)
</f>
        <v>0</v>
      </c>
      <c r="AC205" s="319">
        <f>IF(AND('Ações'!AW206="sim", 'Ações'!BE206="sim"), 1, 0)
</f>
        <v>0</v>
      </c>
      <c r="AD205" s="319">
        <f>IF(AND('Ações'!AW206="sim", 'Ações'!BF206="sim"), 1, 0)
</f>
        <v>0</v>
      </c>
      <c r="AE205" s="319">
        <f>IF(AND('Ações'!AW206="sim", 'Ações'!BG206="sim"), 1, 0)
</f>
        <v>1</v>
      </c>
      <c r="AF205" s="319">
        <f>IF(AND('Ações'!AW206="sim", 'Ações'!BI206="sim"), 1, 0)
</f>
        <v>0</v>
      </c>
      <c r="AG205" s="319">
        <f>IF(AND('Ações'!AX206="sim", 'Ações'!BD206="sim"), 1, 0)
</f>
        <v>0</v>
      </c>
      <c r="AH205" s="319">
        <f>IF(AND('Ações'!AX206="sim", 'Ações'!BE206="sim"), 1, 0)
</f>
        <v>0</v>
      </c>
      <c r="AI205" s="319">
        <f>IF(AND('Ações'!AX206="sim", 'Ações'!BF206="sim"), 1, 0)
</f>
        <v>0</v>
      </c>
      <c r="AJ205" s="319">
        <f>IF(AND('Ações'!AX206="sim", 'Ações'!BG206="sim"), 1, 0)
</f>
        <v>0</v>
      </c>
      <c r="AK205" s="319">
        <f>IF(AND('Ações'!AX206="sim", 'Ações'!BH206="sim"), 1, 0)
</f>
        <v>0</v>
      </c>
    </row>
    <row r="206">
      <c r="B206" s="319">
        <f>IF(AND('Ações'!AS207="sim", 'Ações'!BD207="sim"), 1, 0)
</f>
        <v>0</v>
      </c>
      <c r="C206" s="319">
        <f>IF(AND('Ações'!AT207="sim", 'Ações'!BE207="sim"), 1, 0)
</f>
        <v>0</v>
      </c>
      <c r="D206" s="319">
        <f>IF(AND('Ações'!AU207="sim", 'Ações'!BF207="sim"), 1, 0)
</f>
        <v>0</v>
      </c>
      <c r="E206" s="319">
        <f>IF(AND('Ações'!AV207="sim", 'Ações'!BG207="sim"), 1, 0)
</f>
        <v>0</v>
      </c>
      <c r="F206" s="319">
        <f>IF(AND('Ações'!AW207="sim", 'Ações'!BH207="sim"), 1, 0)
</f>
        <v>0</v>
      </c>
      <c r="G206" s="319">
        <f>IF(AND('Ações'!AX207="sim", 'Ações'!BI207="sim"), 1, 0)
</f>
        <v>0</v>
      </c>
      <c r="H206" s="319">
        <f>IF(AND('Ações'!AS207="sim", 'Ações'!BE207="sim"), 1, 0)
</f>
        <v>0</v>
      </c>
      <c r="I206" s="319">
        <f>IF(AND('Ações'!AS207="sim", 'Ações'!BF207="sim"), 1, 0)
</f>
        <v>0</v>
      </c>
      <c r="J206" s="319">
        <f>IF(AND('Ações'!AS207="sim", 'Ações'!BG207="sim"), 1, 0)
</f>
        <v>0</v>
      </c>
      <c r="K206" s="319">
        <f>IF(AND('Ações'!AS207="sim", 'Ações'!BH207="sim"), 1, 0)
</f>
        <v>0</v>
      </c>
      <c r="L206" s="319">
        <f>IF(AND('Ações'!AS207="sim", 'Ações'!BI207="sim"), 1, 0)
</f>
        <v>0</v>
      </c>
      <c r="M206" s="319">
        <f>IF(AND('Ações'!AT207="sim", 'Ações'!BD207="sim"), 1, 0)
</f>
        <v>0</v>
      </c>
      <c r="N206" s="319">
        <f>IF(AND('Ações'!AT207="sim", 'Ações'!BF207="sim"), 1, 0)
</f>
        <v>0</v>
      </c>
      <c r="O206" s="319">
        <f>IF(AND('Ações'!AT207="sim", 'Ações'!BG207="sim"), 1, 0)
</f>
        <v>0</v>
      </c>
      <c r="P206" s="319">
        <f>IF(AND('Ações'!AT207="sim", 'Ações'!BH207="sim"), 1, 0)
</f>
        <v>0</v>
      </c>
      <c r="Q206" s="319">
        <f>IF(AND('Ações'!AT207="sim", 'Ações'!BI207="sim"), 1, 0)
</f>
        <v>0</v>
      </c>
      <c r="R206" s="319">
        <f>IF(AND('Ações'!AU207="sim", 'Ações'!BD207="sim"), 1, 0)
</f>
        <v>0</v>
      </c>
      <c r="S206" s="319">
        <f>IF(AND('Ações'!AU207="sim", 'Ações'!BE207="sim"), 1, 0)
</f>
        <v>0</v>
      </c>
      <c r="T206" s="319">
        <f>IF(AND('Ações'!AU207="sim", 'Ações'!BG207="sim"), 1, 0)
</f>
        <v>0</v>
      </c>
      <c r="U206" s="319">
        <f>IF(AND('Ações'!AU207="sim", 'Ações'!BH207="sim"), 1, 0)
</f>
        <v>0</v>
      </c>
      <c r="V206" s="319">
        <f>IF(AND('Ações'!AU207="sim", 'Ações'!BI207="sim"), 1, 0)
</f>
        <v>0</v>
      </c>
      <c r="W206" s="319">
        <f>IF(AND('Ações'!AV207="sim", 'Ações'!BD207="sim"), 1, 0)
</f>
        <v>0</v>
      </c>
      <c r="X206" s="319">
        <f>IF(AND('Ações'!AV207="sim", 'Ações'!BE207="sim"), 1, 0)
</f>
        <v>0</v>
      </c>
      <c r="Y206" s="319">
        <f>IF(AND('Ações'!AV207="sim", 'Ações'!BF207="sim"), 1, 0)
</f>
        <v>0</v>
      </c>
      <c r="Z206" s="319">
        <f>IF(AND('Ações'!AV207="sim", 'Ações'!BH207="sim"), 1, 0)
</f>
        <v>0</v>
      </c>
      <c r="AA206" s="319">
        <f>IF(AND('Ações'!AV207="sim", 'Ações'!BI207="sim"), 1, 0)
</f>
        <v>0</v>
      </c>
      <c r="AB206" s="319">
        <f>IF(AND('Ações'!AW207="sim", 'Ações'!BD207="sim"), 1, 0)
</f>
        <v>0</v>
      </c>
      <c r="AC206" s="319">
        <f>IF(AND('Ações'!AW207="sim", 'Ações'!BE207="sim"), 1, 0)
</f>
        <v>0</v>
      </c>
      <c r="AD206" s="319">
        <f>IF(AND('Ações'!AW207="sim", 'Ações'!BF207="sim"), 1, 0)
</f>
        <v>0</v>
      </c>
      <c r="AE206" s="319">
        <f>IF(AND('Ações'!AW207="sim", 'Ações'!BG207="sim"), 1, 0)
</f>
        <v>0</v>
      </c>
      <c r="AF206" s="319">
        <f>IF(AND('Ações'!AW207="sim", 'Ações'!BI207="sim"), 1, 0)
</f>
        <v>0</v>
      </c>
      <c r="AG206" s="319">
        <f>IF(AND('Ações'!AX207="sim", 'Ações'!BD207="sim"), 1, 0)
</f>
        <v>0</v>
      </c>
      <c r="AH206" s="319">
        <f>IF(AND('Ações'!AX207="sim", 'Ações'!BE207="sim"), 1, 0)
</f>
        <v>0</v>
      </c>
      <c r="AI206" s="319">
        <f>IF(AND('Ações'!AX207="sim", 'Ações'!BF207="sim"), 1, 0)
</f>
        <v>0</v>
      </c>
      <c r="AJ206" s="319">
        <f>IF(AND('Ações'!AX207="sim", 'Ações'!BG207="sim"), 1, 0)
</f>
        <v>0</v>
      </c>
      <c r="AK206" s="319">
        <f>IF(AND('Ações'!AX207="sim", 'Ações'!BH207="sim"), 1, 0)
</f>
        <v>0</v>
      </c>
    </row>
    <row r="207">
      <c r="B207" s="319">
        <f>IF(AND('Ações'!AS208="sim", 'Ações'!BD208="sim"), 1, 0)
</f>
        <v>0</v>
      </c>
      <c r="C207" s="319">
        <f>IF(AND('Ações'!AT208="sim", 'Ações'!BE208="sim"), 1, 0)
</f>
        <v>0</v>
      </c>
      <c r="D207" s="319">
        <f>IF(AND('Ações'!AU208="sim", 'Ações'!BF208="sim"), 1, 0)
</f>
        <v>0</v>
      </c>
      <c r="E207" s="319">
        <f>IF(AND('Ações'!AV208="sim", 'Ações'!BG208="sim"), 1, 0)
</f>
        <v>0</v>
      </c>
      <c r="F207" s="319">
        <f>IF(AND('Ações'!AW208="sim", 'Ações'!BH208="sim"), 1, 0)
</f>
        <v>0</v>
      </c>
      <c r="G207" s="319">
        <f>IF(AND('Ações'!AX208="sim", 'Ações'!BI208="sim"), 1, 0)
</f>
        <v>0</v>
      </c>
      <c r="H207" s="319">
        <f>IF(AND('Ações'!AS208="sim", 'Ações'!BE208="sim"), 1, 0)
</f>
        <v>0</v>
      </c>
      <c r="I207" s="319">
        <f>IF(AND('Ações'!AS208="sim", 'Ações'!BF208="sim"), 1, 0)
</f>
        <v>0</v>
      </c>
      <c r="J207" s="319">
        <f>IF(AND('Ações'!AS208="sim", 'Ações'!BG208="sim"), 1, 0)
</f>
        <v>0</v>
      </c>
      <c r="K207" s="319">
        <f>IF(AND('Ações'!AS208="sim", 'Ações'!BH208="sim"), 1, 0)
</f>
        <v>0</v>
      </c>
      <c r="L207" s="319">
        <f>IF(AND('Ações'!AS208="sim", 'Ações'!BI208="sim"), 1, 0)
</f>
        <v>0</v>
      </c>
      <c r="M207" s="319">
        <f>IF(AND('Ações'!AT208="sim", 'Ações'!BD208="sim"), 1, 0)
</f>
        <v>0</v>
      </c>
      <c r="N207" s="319">
        <f>IF(AND('Ações'!AT208="sim", 'Ações'!BF208="sim"), 1, 0)
</f>
        <v>0</v>
      </c>
      <c r="O207" s="319">
        <f>IF(AND('Ações'!AT208="sim", 'Ações'!BG208="sim"), 1, 0)
</f>
        <v>0</v>
      </c>
      <c r="P207" s="319">
        <f>IF(AND('Ações'!AT208="sim", 'Ações'!BH208="sim"), 1, 0)
</f>
        <v>0</v>
      </c>
      <c r="Q207" s="319">
        <f>IF(AND('Ações'!AT208="sim", 'Ações'!BI208="sim"), 1, 0)
</f>
        <v>0</v>
      </c>
      <c r="R207" s="319">
        <f>IF(AND('Ações'!AU208="sim", 'Ações'!BD208="sim"), 1, 0)
</f>
        <v>0</v>
      </c>
      <c r="S207" s="319">
        <f>IF(AND('Ações'!AU208="sim", 'Ações'!BE208="sim"), 1, 0)
</f>
        <v>0</v>
      </c>
      <c r="T207" s="319">
        <f>IF(AND('Ações'!AU208="sim", 'Ações'!BG208="sim"), 1, 0)
</f>
        <v>0</v>
      </c>
      <c r="U207" s="319">
        <f>IF(AND('Ações'!AU208="sim", 'Ações'!BH208="sim"), 1, 0)
</f>
        <v>0</v>
      </c>
      <c r="V207" s="319">
        <f>IF(AND('Ações'!AU208="sim", 'Ações'!BI208="sim"), 1, 0)
</f>
        <v>0</v>
      </c>
      <c r="W207" s="319">
        <f>IF(AND('Ações'!AV208="sim", 'Ações'!BD208="sim"), 1, 0)
</f>
        <v>0</v>
      </c>
      <c r="X207" s="319">
        <f>IF(AND('Ações'!AV208="sim", 'Ações'!BE208="sim"), 1, 0)
</f>
        <v>0</v>
      </c>
      <c r="Y207" s="319">
        <f>IF(AND('Ações'!AV208="sim", 'Ações'!BF208="sim"), 1, 0)
</f>
        <v>0</v>
      </c>
      <c r="Z207" s="319">
        <f>IF(AND('Ações'!AV208="sim", 'Ações'!BH208="sim"), 1, 0)
</f>
        <v>0</v>
      </c>
      <c r="AA207" s="319">
        <f>IF(AND('Ações'!AV208="sim", 'Ações'!BI208="sim"), 1, 0)
</f>
        <v>0</v>
      </c>
      <c r="AB207" s="319">
        <f>IF(AND('Ações'!AW208="sim", 'Ações'!BD208="sim"), 1, 0)
</f>
        <v>0</v>
      </c>
      <c r="AC207" s="319">
        <f>IF(AND('Ações'!AW208="sim", 'Ações'!BE208="sim"), 1, 0)
</f>
        <v>0</v>
      </c>
      <c r="AD207" s="319">
        <f>IF(AND('Ações'!AW208="sim", 'Ações'!BF208="sim"), 1, 0)
</f>
        <v>0</v>
      </c>
      <c r="AE207" s="319">
        <f>IF(AND('Ações'!AW208="sim", 'Ações'!BG208="sim"), 1, 0)
</f>
        <v>0</v>
      </c>
      <c r="AF207" s="319">
        <f>IF(AND('Ações'!AW208="sim", 'Ações'!BI208="sim"), 1, 0)
</f>
        <v>0</v>
      </c>
      <c r="AG207" s="319">
        <f>IF(AND('Ações'!AX208="sim", 'Ações'!BD208="sim"), 1, 0)
</f>
        <v>0</v>
      </c>
      <c r="AH207" s="319">
        <f>IF(AND('Ações'!AX208="sim", 'Ações'!BE208="sim"), 1, 0)
</f>
        <v>0</v>
      </c>
      <c r="AI207" s="319">
        <f>IF(AND('Ações'!AX208="sim", 'Ações'!BF208="sim"), 1, 0)
</f>
        <v>0</v>
      </c>
      <c r="AJ207" s="319">
        <f>IF(AND('Ações'!AX208="sim", 'Ações'!BG208="sim"), 1, 0)
</f>
        <v>0</v>
      </c>
      <c r="AK207" s="319">
        <f>IF(AND('Ações'!AX208="sim", 'Ações'!BH208="sim"), 1, 0)
</f>
        <v>0</v>
      </c>
    </row>
    <row r="208">
      <c r="B208" s="319">
        <f>IF(AND('Ações'!AS209="sim", 'Ações'!BD209="sim"), 1, 0)
</f>
        <v>1</v>
      </c>
      <c r="C208" s="319">
        <f>IF(AND('Ações'!AT209="sim", 'Ações'!BE209="sim"), 1, 0)
</f>
        <v>0</v>
      </c>
      <c r="D208" s="319">
        <f>IF(AND('Ações'!AU209="sim", 'Ações'!BF209="sim"), 1, 0)
</f>
        <v>0</v>
      </c>
      <c r="E208" s="319">
        <f>IF(AND('Ações'!AV209="sim", 'Ações'!BG209="sim"), 1, 0)
</f>
        <v>0</v>
      </c>
      <c r="F208" s="319">
        <f>IF(AND('Ações'!AW209="sim", 'Ações'!BH209="sim"), 1, 0)
</f>
        <v>0</v>
      </c>
      <c r="G208" s="319">
        <f>IF(AND('Ações'!AX209="sim", 'Ações'!BI209="sim"), 1, 0)
</f>
        <v>0</v>
      </c>
      <c r="H208" s="319">
        <f>IF(AND('Ações'!AS209="sim", 'Ações'!BE209="sim"), 1, 0)
</f>
        <v>0</v>
      </c>
      <c r="I208" s="319">
        <f>IF(AND('Ações'!AS209="sim", 'Ações'!BF209="sim"), 1, 0)
</f>
        <v>0</v>
      </c>
      <c r="J208" s="319">
        <f>IF(AND('Ações'!AS209="sim", 'Ações'!BG209="sim"), 1, 0)
</f>
        <v>0</v>
      </c>
      <c r="K208" s="319">
        <f>IF(AND('Ações'!AS209="sim", 'Ações'!BH209="sim"), 1, 0)
</f>
        <v>0</v>
      </c>
      <c r="L208" s="319">
        <f>IF(AND('Ações'!AS209="sim", 'Ações'!BI209="sim"), 1, 0)
</f>
        <v>0</v>
      </c>
      <c r="M208" s="319">
        <f>IF(AND('Ações'!AT209="sim", 'Ações'!BD209="sim"), 1, 0)
</f>
        <v>1</v>
      </c>
      <c r="N208" s="319">
        <f>IF(AND('Ações'!AT209="sim", 'Ações'!BF209="sim"), 1, 0)
</f>
        <v>0</v>
      </c>
      <c r="O208" s="319">
        <f>IF(AND('Ações'!AT209="sim", 'Ações'!BG209="sim"), 1, 0)
</f>
        <v>0</v>
      </c>
      <c r="P208" s="319">
        <f>IF(AND('Ações'!AT209="sim", 'Ações'!BH209="sim"), 1, 0)
</f>
        <v>0</v>
      </c>
      <c r="Q208" s="319">
        <f>IF(AND('Ações'!AT209="sim", 'Ações'!BI209="sim"), 1, 0)
</f>
        <v>0</v>
      </c>
      <c r="R208" s="319">
        <f>IF(AND('Ações'!AU209="sim", 'Ações'!BD209="sim"), 1, 0)
</f>
        <v>1</v>
      </c>
      <c r="S208" s="319">
        <f>IF(AND('Ações'!AU209="sim", 'Ações'!BE209="sim"), 1, 0)
</f>
        <v>0</v>
      </c>
      <c r="T208" s="319">
        <f>IF(AND('Ações'!AU209="sim", 'Ações'!BG209="sim"), 1, 0)
</f>
        <v>0</v>
      </c>
      <c r="U208" s="319">
        <f>IF(AND('Ações'!AU209="sim", 'Ações'!BH209="sim"), 1, 0)
</f>
        <v>0</v>
      </c>
      <c r="V208" s="319">
        <f>IF(AND('Ações'!AU209="sim", 'Ações'!BI209="sim"), 1, 0)
</f>
        <v>0</v>
      </c>
      <c r="W208" s="319">
        <f>IF(AND('Ações'!AV209="sim", 'Ações'!BD209="sim"), 1, 0)
</f>
        <v>1</v>
      </c>
      <c r="X208" s="319">
        <f>IF(AND('Ações'!AV209="sim", 'Ações'!BE209="sim"), 1, 0)
</f>
        <v>0</v>
      </c>
      <c r="Y208" s="319">
        <f>IF(AND('Ações'!AV209="sim", 'Ações'!BF209="sim"), 1, 0)
</f>
        <v>0</v>
      </c>
      <c r="Z208" s="319">
        <f>IF(AND('Ações'!AV209="sim", 'Ações'!BH209="sim"), 1, 0)
</f>
        <v>0</v>
      </c>
      <c r="AA208" s="319">
        <f>IF(AND('Ações'!AV209="sim", 'Ações'!BI209="sim"), 1, 0)
</f>
        <v>0</v>
      </c>
      <c r="AB208" s="319">
        <f>IF(AND('Ações'!AW209="sim", 'Ações'!BD209="sim"), 1, 0)
</f>
        <v>1</v>
      </c>
      <c r="AC208" s="319">
        <f>IF(AND('Ações'!AW209="sim", 'Ações'!BE209="sim"), 1, 0)
</f>
        <v>0</v>
      </c>
      <c r="AD208" s="319">
        <f>IF(AND('Ações'!AW209="sim", 'Ações'!BF209="sim"), 1, 0)
</f>
        <v>0</v>
      </c>
      <c r="AE208" s="319">
        <f>IF(AND('Ações'!AW209="sim", 'Ações'!BG209="sim"), 1, 0)
</f>
        <v>0</v>
      </c>
      <c r="AF208" s="319">
        <f>IF(AND('Ações'!AW209="sim", 'Ações'!BI209="sim"), 1, 0)
</f>
        <v>0</v>
      </c>
      <c r="AG208" s="319">
        <f>IF(AND('Ações'!AX209="sim", 'Ações'!BD209="sim"), 1, 0)
</f>
        <v>0</v>
      </c>
      <c r="AH208" s="319">
        <f>IF(AND('Ações'!AX209="sim", 'Ações'!BE209="sim"), 1, 0)
</f>
        <v>0</v>
      </c>
      <c r="AI208" s="319">
        <f>IF(AND('Ações'!AX209="sim", 'Ações'!BF209="sim"), 1, 0)
</f>
        <v>0</v>
      </c>
      <c r="AJ208" s="319">
        <f>IF(AND('Ações'!AX209="sim", 'Ações'!BG209="sim"), 1, 0)
</f>
        <v>0</v>
      </c>
      <c r="AK208" s="319">
        <f>IF(AND('Ações'!AX209="sim", 'Ações'!BH209="sim"), 1, 0)
</f>
        <v>0</v>
      </c>
    </row>
    <row r="209">
      <c r="B209" s="319">
        <f>IF(AND('Ações'!AS210="sim", 'Ações'!BD210="sim"), 1, 0)
</f>
        <v>1</v>
      </c>
      <c r="C209" s="319">
        <f>IF(AND('Ações'!AT210="sim", 'Ações'!BE210="sim"), 1, 0)
</f>
        <v>0</v>
      </c>
      <c r="D209" s="319">
        <f>IF(AND('Ações'!AU210="sim", 'Ações'!BF210="sim"), 1, 0)
</f>
        <v>0</v>
      </c>
      <c r="E209" s="319">
        <f>IF(AND('Ações'!AV210="sim", 'Ações'!BG210="sim"), 1, 0)
</f>
        <v>0</v>
      </c>
      <c r="F209" s="319">
        <f>IF(AND('Ações'!AW210="sim", 'Ações'!BH210="sim"), 1, 0)
</f>
        <v>0</v>
      </c>
      <c r="G209" s="319">
        <f>IF(AND('Ações'!AX210="sim", 'Ações'!BI210="sim"), 1, 0)
</f>
        <v>0</v>
      </c>
      <c r="H209" s="319">
        <f>IF(AND('Ações'!AS210="sim", 'Ações'!BE210="sim"), 1, 0)
</f>
        <v>0</v>
      </c>
      <c r="I209" s="319">
        <f>IF(AND('Ações'!AS210="sim", 'Ações'!BF210="sim"), 1, 0)
</f>
        <v>0</v>
      </c>
      <c r="J209" s="319">
        <f>IF(AND('Ações'!AS210="sim", 'Ações'!BG210="sim"), 1, 0)
</f>
        <v>0</v>
      </c>
      <c r="K209" s="319">
        <f>IF(AND('Ações'!AS210="sim", 'Ações'!BH210="sim"), 1, 0)
</f>
        <v>0</v>
      </c>
      <c r="L209" s="319">
        <f>IF(AND('Ações'!AS210="sim", 'Ações'!BI210="sim"), 1, 0)
</f>
        <v>0</v>
      </c>
      <c r="M209" s="319">
        <f>IF(AND('Ações'!AT210="sim", 'Ações'!BD210="sim"), 1, 0)
</f>
        <v>1</v>
      </c>
      <c r="N209" s="319">
        <f>IF(AND('Ações'!AT210="sim", 'Ações'!BF210="sim"), 1, 0)
</f>
        <v>0</v>
      </c>
      <c r="O209" s="319">
        <f>IF(AND('Ações'!AT210="sim", 'Ações'!BG210="sim"), 1, 0)
</f>
        <v>0</v>
      </c>
      <c r="P209" s="319">
        <f>IF(AND('Ações'!AT210="sim", 'Ações'!BH210="sim"), 1, 0)
</f>
        <v>0</v>
      </c>
      <c r="Q209" s="319">
        <f>IF(AND('Ações'!AT210="sim", 'Ações'!BI210="sim"), 1, 0)
</f>
        <v>0</v>
      </c>
      <c r="R209" s="319">
        <f>IF(AND('Ações'!AU210="sim", 'Ações'!BD210="sim"), 1, 0)
</f>
        <v>1</v>
      </c>
      <c r="S209" s="319">
        <f>IF(AND('Ações'!AU210="sim", 'Ações'!BE210="sim"), 1, 0)
</f>
        <v>0</v>
      </c>
      <c r="T209" s="319">
        <f>IF(AND('Ações'!AU210="sim", 'Ações'!BG210="sim"), 1, 0)
</f>
        <v>0</v>
      </c>
      <c r="U209" s="319">
        <f>IF(AND('Ações'!AU210="sim", 'Ações'!BH210="sim"), 1, 0)
</f>
        <v>0</v>
      </c>
      <c r="V209" s="319">
        <f>IF(AND('Ações'!AU210="sim", 'Ações'!BI210="sim"), 1, 0)
</f>
        <v>0</v>
      </c>
      <c r="W209" s="319">
        <f>IF(AND('Ações'!AV210="sim", 'Ações'!BD210="sim"), 1, 0)
</f>
        <v>1</v>
      </c>
      <c r="X209" s="319">
        <f>IF(AND('Ações'!AV210="sim", 'Ações'!BE210="sim"), 1, 0)
</f>
        <v>0</v>
      </c>
      <c r="Y209" s="319">
        <f>IF(AND('Ações'!AV210="sim", 'Ações'!BF210="sim"), 1, 0)
</f>
        <v>0</v>
      </c>
      <c r="Z209" s="319">
        <f>IF(AND('Ações'!AV210="sim", 'Ações'!BH210="sim"), 1, 0)
</f>
        <v>0</v>
      </c>
      <c r="AA209" s="319">
        <f>IF(AND('Ações'!AV210="sim", 'Ações'!BI210="sim"), 1, 0)
</f>
        <v>0</v>
      </c>
      <c r="AB209" s="319">
        <f>IF(AND('Ações'!AW210="sim", 'Ações'!BD210="sim"), 1, 0)
</f>
        <v>1</v>
      </c>
      <c r="AC209" s="319">
        <f>IF(AND('Ações'!AW210="sim", 'Ações'!BE210="sim"), 1, 0)
</f>
        <v>0</v>
      </c>
      <c r="AD209" s="319">
        <f>IF(AND('Ações'!AW210="sim", 'Ações'!BF210="sim"), 1, 0)
</f>
        <v>0</v>
      </c>
      <c r="AE209" s="319">
        <f>IF(AND('Ações'!AW210="sim", 'Ações'!BG210="sim"), 1, 0)
</f>
        <v>0</v>
      </c>
      <c r="AF209" s="319">
        <f>IF(AND('Ações'!AW210="sim", 'Ações'!BI210="sim"), 1, 0)
</f>
        <v>0</v>
      </c>
      <c r="AG209" s="319">
        <f>IF(AND('Ações'!AX210="sim", 'Ações'!BD210="sim"), 1, 0)
</f>
        <v>0</v>
      </c>
      <c r="AH209" s="319">
        <f>IF(AND('Ações'!AX210="sim", 'Ações'!BE210="sim"), 1, 0)
</f>
        <v>0</v>
      </c>
      <c r="AI209" s="319">
        <f>IF(AND('Ações'!AX210="sim", 'Ações'!BF210="sim"), 1, 0)
</f>
        <v>0</v>
      </c>
      <c r="AJ209" s="319">
        <f>IF(AND('Ações'!AX210="sim", 'Ações'!BG210="sim"), 1, 0)
</f>
        <v>0</v>
      </c>
      <c r="AK209" s="319">
        <f>IF(AND('Ações'!AX210="sim", 'Ações'!BH210="sim"), 1, 0)
</f>
        <v>0</v>
      </c>
    </row>
    <row r="210">
      <c r="B210" s="319">
        <f>IF(AND('Ações'!AS211="sim", 'Ações'!BD211="sim"), 1, 0)
</f>
        <v>1</v>
      </c>
      <c r="C210" s="319">
        <f>IF(AND('Ações'!AT211="sim", 'Ações'!BE211="sim"), 1, 0)
</f>
        <v>0</v>
      </c>
      <c r="D210" s="319">
        <f>IF(AND('Ações'!AU211="sim", 'Ações'!BF211="sim"), 1, 0)
</f>
        <v>0</v>
      </c>
      <c r="E210" s="319">
        <f>IF(AND('Ações'!AV211="sim", 'Ações'!BG211="sim"), 1, 0)
</f>
        <v>0</v>
      </c>
      <c r="F210" s="319">
        <f>IF(AND('Ações'!AW211="sim", 'Ações'!BH211="sim"), 1, 0)
</f>
        <v>0</v>
      </c>
      <c r="G210" s="319">
        <f>IF(AND('Ações'!AX211="sim", 'Ações'!BI211="sim"), 1, 0)
</f>
        <v>0</v>
      </c>
      <c r="H210" s="319">
        <f>IF(AND('Ações'!AS211="sim", 'Ações'!BE211="sim"), 1, 0)
</f>
        <v>0</v>
      </c>
      <c r="I210" s="319">
        <f>IF(AND('Ações'!AS211="sim", 'Ações'!BF211="sim"), 1, 0)
</f>
        <v>0</v>
      </c>
      <c r="J210" s="319">
        <f>IF(AND('Ações'!AS211="sim", 'Ações'!BG211="sim"), 1, 0)
</f>
        <v>0</v>
      </c>
      <c r="K210" s="319">
        <f>IF(AND('Ações'!AS211="sim", 'Ações'!BH211="sim"), 1, 0)
</f>
        <v>0</v>
      </c>
      <c r="L210" s="319">
        <f>IF(AND('Ações'!AS211="sim", 'Ações'!BI211="sim"), 1, 0)
</f>
        <v>1</v>
      </c>
      <c r="M210" s="319">
        <f>IF(AND('Ações'!AT211="sim", 'Ações'!BD211="sim"), 1, 0)
</f>
        <v>1</v>
      </c>
      <c r="N210" s="319">
        <f>IF(AND('Ações'!AT211="sim", 'Ações'!BF211="sim"), 1, 0)
</f>
        <v>0</v>
      </c>
      <c r="O210" s="319">
        <f>IF(AND('Ações'!AT211="sim", 'Ações'!BG211="sim"), 1, 0)
</f>
        <v>0</v>
      </c>
      <c r="P210" s="319">
        <f>IF(AND('Ações'!AT211="sim", 'Ações'!BH211="sim"), 1, 0)
</f>
        <v>0</v>
      </c>
      <c r="Q210" s="319">
        <f>IF(AND('Ações'!AT211="sim", 'Ações'!BI211="sim"), 1, 0)
</f>
        <v>1</v>
      </c>
      <c r="R210" s="319">
        <f>IF(AND('Ações'!AU211="sim", 'Ações'!BD211="sim"), 1, 0)
</f>
        <v>1</v>
      </c>
      <c r="S210" s="319">
        <f>IF(AND('Ações'!AU211="sim", 'Ações'!BE211="sim"), 1, 0)
</f>
        <v>0</v>
      </c>
      <c r="T210" s="319">
        <f>IF(AND('Ações'!AU211="sim", 'Ações'!BG211="sim"), 1, 0)
</f>
        <v>0</v>
      </c>
      <c r="U210" s="319">
        <f>IF(AND('Ações'!AU211="sim", 'Ações'!BH211="sim"), 1, 0)
</f>
        <v>0</v>
      </c>
      <c r="V210" s="319">
        <f>IF(AND('Ações'!AU211="sim", 'Ações'!BI211="sim"), 1, 0)
</f>
        <v>1</v>
      </c>
      <c r="W210" s="319">
        <f>IF(AND('Ações'!AV211="sim", 'Ações'!BD211="sim"), 1, 0)
</f>
        <v>1</v>
      </c>
      <c r="X210" s="319">
        <f>IF(AND('Ações'!AV211="sim", 'Ações'!BE211="sim"), 1, 0)
</f>
        <v>0</v>
      </c>
      <c r="Y210" s="319">
        <f>IF(AND('Ações'!AV211="sim", 'Ações'!BF211="sim"), 1, 0)
</f>
        <v>0</v>
      </c>
      <c r="Z210" s="319">
        <f>IF(AND('Ações'!AV211="sim", 'Ações'!BH211="sim"), 1, 0)
</f>
        <v>0</v>
      </c>
      <c r="AA210" s="319">
        <f>IF(AND('Ações'!AV211="sim", 'Ações'!BI211="sim"), 1, 0)
</f>
        <v>1</v>
      </c>
      <c r="AB210" s="319">
        <f>IF(AND('Ações'!AW211="sim", 'Ações'!BD211="sim"), 1, 0)
</f>
        <v>1</v>
      </c>
      <c r="AC210" s="319">
        <f>IF(AND('Ações'!AW211="sim", 'Ações'!BE211="sim"), 1, 0)
</f>
        <v>0</v>
      </c>
      <c r="AD210" s="319">
        <f>IF(AND('Ações'!AW211="sim", 'Ações'!BF211="sim"), 1, 0)
</f>
        <v>0</v>
      </c>
      <c r="AE210" s="319">
        <f>IF(AND('Ações'!AW211="sim", 'Ações'!BG211="sim"), 1, 0)
</f>
        <v>0</v>
      </c>
      <c r="AF210" s="319">
        <f>IF(AND('Ações'!AW211="sim", 'Ações'!BI211="sim"), 1, 0)
</f>
        <v>1</v>
      </c>
      <c r="AG210" s="319">
        <f>IF(AND('Ações'!AX211="sim", 'Ações'!BD211="sim"), 1, 0)
</f>
        <v>0</v>
      </c>
      <c r="AH210" s="319">
        <f>IF(AND('Ações'!AX211="sim", 'Ações'!BE211="sim"), 1, 0)
</f>
        <v>0</v>
      </c>
      <c r="AI210" s="319">
        <f>IF(AND('Ações'!AX211="sim", 'Ações'!BF211="sim"), 1, 0)
</f>
        <v>0</v>
      </c>
      <c r="AJ210" s="319">
        <f>IF(AND('Ações'!AX211="sim", 'Ações'!BG211="sim"), 1, 0)
</f>
        <v>0</v>
      </c>
      <c r="AK210" s="319">
        <f>IF(AND('Ações'!AX211="sim", 'Ações'!BH211="sim"), 1, 0)
</f>
        <v>0</v>
      </c>
    </row>
    <row r="211">
      <c r="B211" s="319">
        <f>IF(AND('Ações'!AS212="sim", 'Ações'!BD212="sim"), 1, 0)
</f>
        <v>0</v>
      </c>
      <c r="C211" s="319">
        <f>IF(AND('Ações'!AT212="sim", 'Ações'!BE212="sim"), 1, 0)
</f>
        <v>0</v>
      </c>
      <c r="D211" s="319">
        <f>IF(AND('Ações'!AU212="sim", 'Ações'!BF212="sim"), 1, 0)
</f>
        <v>0</v>
      </c>
      <c r="E211" s="319">
        <f>IF(AND('Ações'!AV212="sim", 'Ações'!BG212="sim"), 1, 0)
</f>
        <v>0</v>
      </c>
      <c r="F211" s="319">
        <f>IF(AND('Ações'!AW212="sim", 'Ações'!BH212="sim"), 1, 0)
</f>
        <v>0</v>
      </c>
      <c r="G211" s="319">
        <f>IF(AND('Ações'!AX212="sim", 'Ações'!BI212="sim"), 1, 0)
</f>
        <v>0</v>
      </c>
      <c r="H211" s="319">
        <f>IF(AND('Ações'!AS212="sim", 'Ações'!BE212="sim"), 1, 0)
</f>
        <v>0</v>
      </c>
      <c r="I211" s="319">
        <f>IF(AND('Ações'!AS212="sim", 'Ações'!BF212="sim"), 1, 0)
</f>
        <v>0</v>
      </c>
      <c r="J211" s="319">
        <f>IF(AND('Ações'!AS212="sim", 'Ações'!BG212="sim"), 1, 0)
</f>
        <v>0</v>
      </c>
      <c r="K211" s="319">
        <f>IF(AND('Ações'!AS212="sim", 'Ações'!BH212="sim"), 1, 0)
</f>
        <v>0</v>
      </c>
      <c r="L211" s="319">
        <f>IF(AND('Ações'!AS212="sim", 'Ações'!BI212="sim"), 1, 0)
</f>
        <v>1</v>
      </c>
      <c r="M211" s="319">
        <f>IF(AND('Ações'!AT212="sim", 'Ações'!BD212="sim"), 1, 0)
</f>
        <v>0</v>
      </c>
      <c r="N211" s="319">
        <f>IF(AND('Ações'!AT212="sim", 'Ações'!BF212="sim"), 1, 0)
</f>
        <v>0</v>
      </c>
      <c r="O211" s="319">
        <f>IF(AND('Ações'!AT212="sim", 'Ações'!BG212="sim"), 1, 0)
</f>
        <v>0</v>
      </c>
      <c r="P211" s="319">
        <f>IF(AND('Ações'!AT212="sim", 'Ações'!BH212="sim"), 1, 0)
</f>
        <v>0</v>
      </c>
      <c r="Q211" s="319">
        <f>IF(AND('Ações'!AT212="sim", 'Ações'!BI212="sim"), 1, 0)
</f>
        <v>1</v>
      </c>
      <c r="R211" s="319">
        <f>IF(AND('Ações'!AU212="sim", 'Ações'!BD212="sim"), 1, 0)
</f>
        <v>0</v>
      </c>
      <c r="S211" s="319">
        <f>IF(AND('Ações'!AU212="sim", 'Ações'!BE212="sim"), 1, 0)
</f>
        <v>0</v>
      </c>
      <c r="T211" s="319">
        <f>IF(AND('Ações'!AU212="sim", 'Ações'!BG212="sim"), 1, 0)
</f>
        <v>0</v>
      </c>
      <c r="U211" s="319">
        <f>IF(AND('Ações'!AU212="sim", 'Ações'!BH212="sim"), 1, 0)
</f>
        <v>0</v>
      </c>
      <c r="V211" s="319">
        <f>IF(AND('Ações'!AU212="sim", 'Ações'!BI212="sim"), 1, 0)
</f>
        <v>1</v>
      </c>
      <c r="W211" s="319">
        <f>IF(AND('Ações'!AV212="sim", 'Ações'!BD212="sim"), 1, 0)
</f>
        <v>0</v>
      </c>
      <c r="X211" s="319">
        <f>IF(AND('Ações'!AV212="sim", 'Ações'!BE212="sim"), 1, 0)
</f>
        <v>0</v>
      </c>
      <c r="Y211" s="319">
        <f>IF(AND('Ações'!AV212="sim", 'Ações'!BF212="sim"), 1, 0)
</f>
        <v>0</v>
      </c>
      <c r="Z211" s="319">
        <f>IF(AND('Ações'!AV212="sim", 'Ações'!BH212="sim"), 1, 0)
</f>
        <v>0</v>
      </c>
      <c r="AA211" s="319">
        <f>IF(AND('Ações'!AV212="sim", 'Ações'!BI212="sim"), 1, 0)
</f>
        <v>1</v>
      </c>
      <c r="AB211" s="319">
        <f>IF(AND('Ações'!AW212="sim", 'Ações'!BD212="sim"), 1, 0)
</f>
        <v>0</v>
      </c>
      <c r="AC211" s="319">
        <f>IF(AND('Ações'!AW212="sim", 'Ações'!BE212="sim"), 1, 0)
</f>
        <v>0</v>
      </c>
      <c r="AD211" s="319">
        <f>IF(AND('Ações'!AW212="sim", 'Ações'!BF212="sim"), 1, 0)
</f>
        <v>0</v>
      </c>
      <c r="AE211" s="319">
        <f>IF(AND('Ações'!AW212="sim", 'Ações'!BG212="sim"), 1, 0)
</f>
        <v>0</v>
      </c>
      <c r="AF211" s="319">
        <f>IF(AND('Ações'!AW212="sim", 'Ações'!BI212="sim"), 1, 0)
</f>
        <v>1</v>
      </c>
      <c r="AG211" s="319">
        <f>IF(AND('Ações'!AX212="sim", 'Ações'!BD212="sim"), 1, 0)
</f>
        <v>0</v>
      </c>
      <c r="AH211" s="319">
        <f>IF(AND('Ações'!AX212="sim", 'Ações'!BE212="sim"), 1, 0)
</f>
        <v>0</v>
      </c>
      <c r="AI211" s="319">
        <f>IF(AND('Ações'!AX212="sim", 'Ações'!BF212="sim"), 1, 0)
</f>
        <v>0</v>
      </c>
      <c r="AJ211" s="319">
        <f>IF(AND('Ações'!AX212="sim", 'Ações'!BG212="sim"), 1, 0)
</f>
        <v>0</v>
      </c>
      <c r="AK211" s="319">
        <f>IF(AND('Ações'!AX212="sim", 'Ações'!BH212="sim"), 1, 0)
</f>
        <v>0</v>
      </c>
    </row>
    <row r="212">
      <c r="B212" s="319">
        <f>IF(AND('Ações'!AS213="sim", 'Ações'!BD213="sim"), 1, 0)
</f>
        <v>1</v>
      </c>
      <c r="C212" s="319">
        <f>IF(AND('Ações'!AT213="sim", 'Ações'!BE213="sim"), 1, 0)
</f>
        <v>0</v>
      </c>
      <c r="D212" s="319">
        <f>IF(AND('Ações'!AU213="sim", 'Ações'!BF213="sim"), 1, 0)
</f>
        <v>0</v>
      </c>
      <c r="E212" s="319">
        <f>IF(AND('Ações'!AV213="sim", 'Ações'!BG213="sim"), 1, 0)
</f>
        <v>0</v>
      </c>
      <c r="F212" s="319">
        <f>IF(AND('Ações'!AW213="sim", 'Ações'!BH213="sim"), 1, 0)
</f>
        <v>0</v>
      </c>
      <c r="G212" s="319">
        <f>IF(AND('Ações'!AX213="sim", 'Ações'!BI213="sim"), 1, 0)
</f>
        <v>0</v>
      </c>
      <c r="H212" s="319">
        <f>IF(AND('Ações'!AS213="sim", 'Ações'!BE213="sim"), 1, 0)
</f>
        <v>0</v>
      </c>
      <c r="I212" s="319">
        <f>IF(AND('Ações'!AS213="sim", 'Ações'!BF213="sim"), 1, 0)
</f>
        <v>0</v>
      </c>
      <c r="J212" s="319">
        <f>IF(AND('Ações'!AS213="sim", 'Ações'!BG213="sim"), 1, 0)
</f>
        <v>0</v>
      </c>
      <c r="K212" s="319">
        <f>IF(AND('Ações'!AS213="sim", 'Ações'!BH213="sim"), 1, 0)
</f>
        <v>0</v>
      </c>
      <c r="L212" s="319">
        <f>IF(AND('Ações'!AS213="sim", 'Ações'!BI213="sim"), 1, 0)
</f>
        <v>0</v>
      </c>
      <c r="M212" s="319">
        <f>IF(AND('Ações'!AT213="sim", 'Ações'!BD213="sim"), 1, 0)
</f>
        <v>1</v>
      </c>
      <c r="N212" s="319">
        <f>IF(AND('Ações'!AT213="sim", 'Ações'!BF213="sim"), 1, 0)
</f>
        <v>0</v>
      </c>
      <c r="O212" s="319">
        <f>IF(AND('Ações'!AT213="sim", 'Ações'!BG213="sim"), 1, 0)
</f>
        <v>0</v>
      </c>
      <c r="P212" s="319">
        <f>IF(AND('Ações'!AT213="sim", 'Ações'!BH213="sim"), 1, 0)
</f>
        <v>0</v>
      </c>
      <c r="Q212" s="319">
        <f>IF(AND('Ações'!AT213="sim", 'Ações'!BI213="sim"), 1, 0)
</f>
        <v>0</v>
      </c>
      <c r="R212" s="319">
        <f>IF(AND('Ações'!AU213="sim", 'Ações'!BD213="sim"), 1, 0)
</f>
        <v>1</v>
      </c>
      <c r="S212" s="319">
        <f>IF(AND('Ações'!AU213="sim", 'Ações'!BE213="sim"), 1, 0)
</f>
        <v>0</v>
      </c>
      <c r="T212" s="319">
        <f>IF(AND('Ações'!AU213="sim", 'Ações'!BG213="sim"), 1, 0)
</f>
        <v>0</v>
      </c>
      <c r="U212" s="319">
        <f>IF(AND('Ações'!AU213="sim", 'Ações'!BH213="sim"), 1, 0)
</f>
        <v>0</v>
      </c>
      <c r="V212" s="319">
        <f>IF(AND('Ações'!AU213="sim", 'Ações'!BI213="sim"), 1, 0)
</f>
        <v>0</v>
      </c>
      <c r="W212" s="319">
        <f>IF(AND('Ações'!AV213="sim", 'Ações'!BD213="sim"), 1, 0)
</f>
        <v>1</v>
      </c>
      <c r="X212" s="319">
        <f>IF(AND('Ações'!AV213="sim", 'Ações'!BE213="sim"), 1, 0)
</f>
        <v>0</v>
      </c>
      <c r="Y212" s="319">
        <f>IF(AND('Ações'!AV213="sim", 'Ações'!BF213="sim"), 1, 0)
</f>
        <v>0</v>
      </c>
      <c r="Z212" s="319">
        <f>IF(AND('Ações'!AV213="sim", 'Ações'!BH213="sim"), 1, 0)
</f>
        <v>0</v>
      </c>
      <c r="AA212" s="319">
        <f>IF(AND('Ações'!AV213="sim", 'Ações'!BI213="sim"), 1, 0)
</f>
        <v>0</v>
      </c>
      <c r="AB212" s="319">
        <f>IF(AND('Ações'!AW213="sim", 'Ações'!BD213="sim"), 1, 0)
</f>
        <v>1</v>
      </c>
      <c r="AC212" s="319">
        <f>IF(AND('Ações'!AW213="sim", 'Ações'!BE213="sim"), 1, 0)
</f>
        <v>0</v>
      </c>
      <c r="AD212" s="319">
        <f>IF(AND('Ações'!AW213="sim", 'Ações'!BF213="sim"), 1, 0)
</f>
        <v>0</v>
      </c>
      <c r="AE212" s="319">
        <f>IF(AND('Ações'!AW213="sim", 'Ações'!BG213="sim"), 1, 0)
</f>
        <v>0</v>
      </c>
      <c r="AF212" s="319">
        <f>IF(AND('Ações'!AW213="sim", 'Ações'!BI213="sim"), 1, 0)
</f>
        <v>0</v>
      </c>
      <c r="AG212" s="319">
        <f>IF(AND('Ações'!AX213="sim", 'Ações'!BD213="sim"), 1, 0)
</f>
        <v>0</v>
      </c>
      <c r="AH212" s="319">
        <f>IF(AND('Ações'!AX213="sim", 'Ações'!BE213="sim"), 1, 0)
</f>
        <v>0</v>
      </c>
      <c r="AI212" s="319">
        <f>IF(AND('Ações'!AX213="sim", 'Ações'!BF213="sim"), 1, 0)
</f>
        <v>0</v>
      </c>
      <c r="AJ212" s="319">
        <f>IF(AND('Ações'!AX213="sim", 'Ações'!BG213="sim"), 1, 0)
</f>
        <v>0</v>
      </c>
      <c r="AK212" s="319">
        <f>IF(AND('Ações'!AX213="sim", 'Ações'!BH213="sim"), 1, 0)
</f>
        <v>0</v>
      </c>
    </row>
    <row r="213">
      <c r="B213" s="319">
        <f>IF(AND('Ações'!AS214="sim", 'Ações'!BD214="sim"), 1, 0)
</f>
        <v>0</v>
      </c>
      <c r="C213" s="319">
        <f>IF(AND('Ações'!AT214="sim", 'Ações'!BE214="sim"), 1, 0)
</f>
        <v>0</v>
      </c>
      <c r="D213" s="319">
        <f>IF(AND('Ações'!AU214="sim", 'Ações'!BF214="sim"), 1, 0)
</f>
        <v>0</v>
      </c>
      <c r="E213" s="319">
        <f>IF(AND('Ações'!AV214="sim", 'Ações'!BG214="sim"), 1, 0)
</f>
        <v>0</v>
      </c>
      <c r="F213" s="319">
        <f>IF(AND('Ações'!AW214="sim", 'Ações'!BH214="sim"), 1, 0)
</f>
        <v>0</v>
      </c>
      <c r="G213" s="319">
        <f>IF(AND('Ações'!AX214="sim", 'Ações'!BI214="sim"), 1, 0)
</f>
        <v>0</v>
      </c>
      <c r="H213" s="319">
        <f>IF(AND('Ações'!AS214="sim", 'Ações'!BE214="sim"), 1, 0)
</f>
        <v>0</v>
      </c>
      <c r="I213" s="319">
        <f>IF(AND('Ações'!AS214="sim", 'Ações'!BF214="sim"), 1, 0)
</f>
        <v>0</v>
      </c>
      <c r="J213" s="319">
        <f>IF(AND('Ações'!AS214="sim", 'Ações'!BG214="sim"), 1, 0)
</f>
        <v>0</v>
      </c>
      <c r="K213" s="319">
        <f>IF(AND('Ações'!AS214="sim", 'Ações'!BH214="sim"), 1, 0)
</f>
        <v>0</v>
      </c>
      <c r="L213" s="319">
        <f>IF(AND('Ações'!AS214="sim", 'Ações'!BI214="sim"), 1, 0)
</f>
        <v>1</v>
      </c>
      <c r="M213" s="319">
        <f>IF(AND('Ações'!AT214="sim", 'Ações'!BD214="sim"), 1, 0)
</f>
        <v>0</v>
      </c>
      <c r="N213" s="319">
        <f>IF(AND('Ações'!AT214="sim", 'Ações'!BF214="sim"), 1, 0)
</f>
        <v>0</v>
      </c>
      <c r="O213" s="319">
        <f>IF(AND('Ações'!AT214="sim", 'Ações'!BG214="sim"), 1, 0)
</f>
        <v>0</v>
      </c>
      <c r="P213" s="319">
        <f>IF(AND('Ações'!AT214="sim", 'Ações'!BH214="sim"), 1, 0)
</f>
        <v>0</v>
      </c>
      <c r="Q213" s="319">
        <f>IF(AND('Ações'!AT214="sim", 'Ações'!BI214="sim"), 1, 0)
</f>
        <v>1</v>
      </c>
      <c r="R213" s="319">
        <f>IF(AND('Ações'!AU214="sim", 'Ações'!BD214="sim"), 1, 0)
</f>
        <v>0</v>
      </c>
      <c r="S213" s="319">
        <f>IF(AND('Ações'!AU214="sim", 'Ações'!BE214="sim"), 1, 0)
</f>
        <v>0</v>
      </c>
      <c r="T213" s="319">
        <f>IF(AND('Ações'!AU214="sim", 'Ações'!BG214="sim"), 1, 0)
</f>
        <v>0</v>
      </c>
      <c r="U213" s="319">
        <f>IF(AND('Ações'!AU214="sim", 'Ações'!BH214="sim"), 1, 0)
</f>
        <v>0</v>
      </c>
      <c r="V213" s="319">
        <f>IF(AND('Ações'!AU214="sim", 'Ações'!BI214="sim"), 1, 0)
</f>
        <v>1</v>
      </c>
      <c r="W213" s="319">
        <f>IF(AND('Ações'!AV214="sim", 'Ações'!BD214="sim"), 1, 0)
</f>
        <v>0</v>
      </c>
      <c r="X213" s="319">
        <f>IF(AND('Ações'!AV214="sim", 'Ações'!BE214="sim"), 1, 0)
</f>
        <v>0</v>
      </c>
      <c r="Y213" s="319">
        <f>IF(AND('Ações'!AV214="sim", 'Ações'!BF214="sim"), 1, 0)
</f>
        <v>0</v>
      </c>
      <c r="Z213" s="319">
        <f>IF(AND('Ações'!AV214="sim", 'Ações'!BH214="sim"), 1, 0)
</f>
        <v>0</v>
      </c>
      <c r="AA213" s="319">
        <f>IF(AND('Ações'!AV214="sim", 'Ações'!BI214="sim"), 1, 0)
</f>
        <v>1</v>
      </c>
      <c r="AB213" s="319">
        <f>IF(AND('Ações'!AW214="sim", 'Ações'!BD214="sim"), 1, 0)
</f>
        <v>0</v>
      </c>
      <c r="AC213" s="319">
        <f>IF(AND('Ações'!AW214="sim", 'Ações'!BE214="sim"), 1, 0)
</f>
        <v>0</v>
      </c>
      <c r="AD213" s="319">
        <f>IF(AND('Ações'!AW214="sim", 'Ações'!BF214="sim"), 1, 0)
</f>
        <v>0</v>
      </c>
      <c r="AE213" s="319">
        <f>IF(AND('Ações'!AW214="sim", 'Ações'!BG214="sim"), 1, 0)
</f>
        <v>0</v>
      </c>
      <c r="AF213" s="319">
        <f>IF(AND('Ações'!AW214="sim", 'Ações'!BI214="sim"), 1, 0)
</f>
        <v>1</v>
      </c>
      <c r="AG213" s="319">
        <f>IF(AND('Ações'!AX214="sim", 'Ações'!BD214="sim"), 1, 0)
</f>
        <v>0</v>
      </c>
      <c r="AH213" s="319">
        <f>IF(AND('Ações'!AX214="sim", 'Ações'!BE214="sim"), 1, 0)
</f>
        <v>0</v>
      </c>
      <c r="AI213" s="319">
        <f>IF(AND('Ações'!AX214="sim", 'Ações'!BF214="sim"), 1, 0)
</f>
        <v>0</v>
      </c>
      <c r="AJ213" s="319">
        <f>IF(AND('Ações'!AX214="sim", 'Ações'!BG214="sim"), 1, 0)
</f>
        <v>0</v>
      </c>
      <c r="AK213" s="319">
        <f>IF(AND('Ações'!AX214="sim", 'Ações'!BH214="sim"), 1, 0)
</f>
        <v>0</v>
      </c>
    </row>
    <row r="214">
      <c r="B214" s="319">
        <f>IF(AND('Ações'!AS215="sim", 'Ações'!BD215="sim"), 1, 0)
</f>
        <v>0</v>
      </c>
      <c r="C214" s="319">
        <f>IF(AND('Ações'!AT215="sim", 'Ações'!BE215="sim"), 1, 0)
</f>
        <v>0</v>
      </c>
      <c r="D214" s="319">
        <f>IF(AND('Ações'!AU215="sim", 'Ações'!BF215="sim"), 1, 0)
</f>
        <v>0</v>
      </c>
      <c r="E214" s="319">
        <f>IF(AND('Ações'!AV215="sim", 'Ações'!BG215="sim"), 1, 0)
</f>
        <v>0</v>
      </c>
      <c r="F214" s="319">
        <f>IF(AND('Ações'!AW215="sim", 'Ações'!BH215="sim"), 1, 0)
</f>
        <v>0</v>
      </c>
      <c r="G214" s="319">
        <f>IF(AND('Ações'!AX215="sim", 'Ações'!BI215="sim"), 1, 0)
</f>
        <v>0</v>
      </c>
      <c r="H214" s="319">
        <f>IF(AND('Ações'!AS215="sim", 'Ações'!BE215="sim"), 1, 0)
</f>
        <v>0</v>
      </c>
      <c r="I214" s="319">
        <f>IF(AND('Ações'!AS215="sim", 'Ações'!BF215="sim"), 1, 0)
</f>
        <v>0</v>
      </c>
      <c r="J214" s="319">
        <f>IF(AND('Ações'!AS215="sim", 'Ações'!BG215="sim"), 1, 0)
</f>
        <v>0</v>
      </c>
      <c r="K214" s="319">
        <f>IF(AND('Ações'!AS215="sim", 'Ações'!BH215="sim"), 1, 0)
</f>
        <v>0</v>
      </c>
      <c r="L214" s="319">
        <f>IF(AND('Ações'!AS215="sim", 'Ações'!BI215="sim"), 1, 0)
</f>
        <v>0</v>
      </c>
      <c r="M214" s="319">
        <f>IF(AND('Ações'!AT215="sim", 'Ações'!BD215="sim"), 1, 0)
</f>
        <v>0</v>
      </c>
      <c r="N214" s="319">
        <f>IF(AND('Ações'!AT215="sim", 'Ações'!BF215="sim"), 1, 0)
</f>
        <v>0</v>
      </c>
      <c r="O214" s="319">
        <f>IF(AND('Ações'!AT215="sim", 'Ações'!BG215="sim"), 1, 0)
</f>
        <v>0</v>
      </c>
      <c r="P214" s="319">
        <f>IF(AND('Ações'!AT215="sim", 'Ações'!BH215="sim"), 1, 0)
</f>
        <v>0</v>
      </c>
      <c r="Q214" s="319">
        <f>IF(AND('Ações'!AT215="sim", 'Ações'!BI215="sim"), 1, 0)
</f>
        <v>1</v>
      </c>
      <c r="R214" s="319">
        <f>IF(AND('Ações'!AU215="sim", 'Ações'!BD215="sim"), 1, 0)
</f>
        <v>0</v>
      </c>
      <c r="S214" s="319">
        <f>IF(AND('Ações'!AU215="sim", 'Ações'!BE215="sim"), 1, 0)
</f>
        <v>0</v>
      </c>
      <c r="T214" s="319">
        <f>IF(AND('Ações'!AU215="sim", 'Ações'!BG215="sim"), 1, 0)
</f>
        <v>0</v>
      </c>
      <c r="U214" s="319">
        <f>IF(AND('Ações'!AU215="sim", 'Ações'!BH215="sim"), 1, 0)
</f>
        <v>0</v>
      </c>
      <c r="V214" s="319">
        <f>IF(AND('Ações'!AU215="sim", 'Ações'!BI215="sim"), 1, 0)
</f>
        <v>1</v>
      </c>
      <c r="W214" s="319">
        <f>IF(AND('Ações'!AV215="sim", 'Ações'!BD215="sim"), 1, 0)
</f>
        <v>0</v>
      </c>
      <c r="X214" s="319">
        <f>IF(AND('Ações'!AV215="sim", 'Ações'!BE215="sim"), 1, 0)
</f>
        <v>0</v>
      </c>
      <c r="Y214" s="319">
        <f>IF(AND('Ações'!AV215="sim", 'Ações'!BF215="sim"), 1, 0)
</f>
        <v>0</v>
      </c>
      <c r="Z214" s="319">
        <f>IF(AND('Ações'!AV215="sim", 'Ações'!BH215="sim"), 1, 0)
</f>
        <v>0</v>
      </c>
      <c r="AA214" s="319">
        <f>IF(AND('Ações'!AV215="sim", 'Ações'!BI215="sim"), 1, 0)
</f>
        <v>1</v>
      </c>
      <c r="AB214" s="319">
        <f>IF(AND('Ações'!AW215="sim", 'Ações'!BD215="sim"), 1, 0)
</f>
        <v>0</v>
      </c>
      <c r="AC214" s="319">
        <f>IF(AND('Ações'!AW215="sim", 'Ações'!BE215="sim"), 1, 0)
</f>
        <v>0</v>
      </c>
      <c r="AD214" s="319">
        <f>IF(AND('Ações'!AW215="sim", 'Ações'!BF215="sim"), 1, 0)
</f>
        <v>0</v>
      </c>
      <c r="AE214" s="319">
        <f>IF(AND('Ações'!AW215="sim", 'Ações'!BG215="sim"), 1, 0)
</f>
        <v>0</v>
      </c>
      <c r="AF214" s="319">
        <f>IF(AND('Ações'!AW215="sim", 'Ações'!BI215="sim"), 1, 0)
</f>
        <v>1</v>
      </c>
      <c r="AG214" s="319">
        <f>IF(AND('Ações'!AX215="sim", 'Ações'!BD215="sim"), 1, 0)
</f>
        <v>0</v>
      </c>
      <c r="AH214" s="319">
        <f>IF(AND('Ações'!AX215="sim", 'Ações'!BE215="sim"), 1, 0)
</f>
        <v>0</v>
      </c>
      <c r="AI214" s="319">
        <f>IF(AND('Ações'!AX215="sim", 'Ações'!BF215="sim"), 1, 0)
</f>
        <v>0</v>
      </c>
      <c r="AJ214" s="319">
        <f>IF(AND('Ações'!AX215="sim", 'Ações'!BG215="sim"), 1, 0)
</f>
        <v>0</v>
      </c>
      <c r="AK214" s="319">
        <f>IF(AND('Ações'!AX215="sim", 'Ações'!BH215="sim"), 1, 0)
</f>
        <v>0</v>
      </c>
    </row>
    <row r="215">
      <c r="B215" s="319">
        <f>IF(AND('Ações'!AS216="sim", 'Ações'!BD216="sim"), 1, 0)
</f>
        <v>0</v>
      </c>
      <c r="C215" s="319">
        <f>IF(AND('Ações'!AT216="sim", 'Ações'!BE216="sim"), 1, 0)
</f>
        <v>0</v>
      </c>
      <c r="D215" s="319">
        <f>IF(AND('Ações'!AU216="sim", 'Ações'!BF216="sim"), 1, 0)
</f>
        <v>0</v>
      </c>
      <c r="E215" s="319">
        <f>IF(AND('Ações'!AV216="sim", 'Ações'!BG216="sim"), 1, 0)
</f>
        <v>0</v>
      </c>
      <c r="F215" s="319">
        <f>IF(AND('Ações'!AW216="sim", 'Ações'!BH216="sim"), 1, 0)
</f>
        <v>0</v>
      </c>
      <c r="G215" s="319">
        <f>IF(AND('Ações'!AX216="sim", 'Ações'!BI216="sim"), 1, 0)
</f>
        <v>0</v>
      </c>
      <c r="H215" s="319">
        <f>IF(AND('Ações'!AS216="sim", 'Ações'!BE216="sim"), 1, 0)
</f>
        <v>0</v>
      </c>
      <c r="I215" s="319">
        <f>IF(AND('Ações'!AS216="sim", 'Ações'!BF216="sim"), 1, 0)
</f>
        <v>0</v>
      </c>
      <c r="J215" s="319">
        <f>IF(AND('Ações'!AS216="sim", 'Ações'!BG216="sim"), 1, 0)
</f>
        <v>0</v>
      </c>
      <c r="K215" s="319">
        <f>IF(AND('Ações'!AS216="sim", 'Ações'!BH216="sim"), 1, 0)
</f>
        <v>0</v>
      </c>
      <c r="L215" s="319">
        <f>IF(AND('Ações'!AS216="sim", 'Ações'!BI216="sim"), 1, 0)
</f>
        <v>0</v>
      </c>
      <c r="M215" s="319">
        <f>IF(AND('Ações'!AT216="sim", 'Ações'!BD216="sim"), 1, 0)
</f>
        <v>0</v>
      </c>
      <c r="N215" s="319">
        <f>IF(AND('Ações'!AT216="sim", 'Ações'!BF216="sim"), 1, 0)
</f>
        <v>0</v>
      </c>
      <c r="O215" s="319">
        <f>IF(AND('Ações'!AT216="sim", 'Ações'!BG216="sim"), 1, 0)
</f>
        <v>0</v>
      </c>
      <c r="P215" s="319">
        <f>IF(AND('Ações'!AT216="sim", 'Ações'!BH216="sim"), 1, 0)
</f>
        <v>0</v>
      </c>
      <c r="Q215" s="319">
        <f>IF(AND('Ações'!AT216="sim", 'Ações'!BI216="sim"), 1, 0)
</f>
        <v>1</v>
      </c>
      <c r="R215" s="319">
        <f>IF(AND('Ações'!AU216="sim", 'Ações'!BD216="sim"), 1, 0)
</f>
        <v>0</v>
      </c>
      <c r="S215" s="319">
        <f>IF(AND('Ações'!AU216="sim", 'Ações'!BE216="sim"), 1, 0)
</f>
        <v>0</v>
      </c>
      <c r="T215" s="319">
        <f>IF(AND('Ações'!AU216="sim", 'Ações'!BG216="sim"), 1, 0)
</f>
        <v>0</v>
      </c>
      <c r="U215" s="319">
        <f>IF(AND('Ações'!AU216="sim", 'Ações'!BH216="sim"), 1, 0)
</f>
        <v>0</v>
      </c>
      <c r="V215" s="319">
        <f>IF(AND('Ações'!AU216="sim", 'Ações'!BI216="sim"), 1, 0)
</f>
        <v>1</v>
      </c>
      <c r="W215" s="319">
        <f>IF(AND('Ações'!AV216="sim", 'Ações'!BD216="sim"), 1, 0)
</f>
        <v>0</v>
      </c>
      <c r="X215" s="319">
        <f>IF(AND('Ações'!AV216="sim", 'Ações'!BE216="sim"), 1, 0)
</f>
        <v>0</v>
      </c>
      <c r="Y215" s="319">
        <f>IF(AND('Ações'!AV216="sim", 'Ações'!BF216="sim"), 1, 0)
</f>
        <v>0</v>
      </c>
      <c r="Z215" s="319">
        <f>IF(AND('Ações'!AV216="sim", 'Ações'!BH216="sim"), 1, 0)
</f>
        <v>0</v>
      </c>
      <c r="AA215" s="319">
        <f>IF(AND('Ações'!AV216="sim", 'Ações'!BI216="sim"), 1, 0)
</f>
        <v>1</v>
      </c>
      <c r="AB215" s="319">
        <f>IF(AND('Ações'!AW216="sim", 'Ações'!BD216="sim"), 1, 0)
</f>
        <v>0</v>
      </c>
      <c r="AC215" s="319">
        <f>IF(AND('Ações'!AW216="sim", 'Ações'!BE216="sim"), 1, 0)
</f>
        <v>0</v>
      </c>
      <c r="AD215" s="319">
        <f>IF(AND('Ações'!AW216="sim", 'Ações'!BF216="sim"), 1, 0)
</f>
        <v>0</v>
      </c>
      <c r="AE215" s="319">
        <f>IF(AND('Ações'!AW216="sim", 'Ações'!BG216="sim"), 1, 0)
</f>
        <v>0</v>
      </c>
      <c r="AF215" s="319">
        <f>IF(AND('Ações'!AW216="sim", 'Ações'!BI216="sim"), 1, 0)
</f>
        <v>1</v>
      </c>
      <c r="AG215" s="319">
        <f>IF(AND('Ações'!AX216="sim", 'Ações'!BD216="sim"), 1, 0)
</f>
        <v>0</v>
      </c>
      <c r="AH215" s="319">
        <f>IF(AND('Ações'!AX216="sim", 'Ações'!BE216="sim"), 1, 0)
</f>
        <v>0</v>
      </c>
      <c r="AI215" s="319">
        <f>IF(AND('Ações'!AX216="sim", 'Ações'!BF216="sim"), 1, 0)
</f>
        <v>0</v>
      </c>
      <c r="AJ215" s="319">
        <f>IF(AND('Ações'!AX216="sim", 'Ações'!BG216="sim"), 1, 0)
</f>
        <v>0</v>
      </c>
      <c r="AK215" s="319">
        <f>IF(AND('Ações'!AX216="sim", 'Ações'!BH216="sim"), 1, 0)
</f>
        <v>0</v>
      </c>
    </row>
    <row r="216">
      <c r="B216" s="319">
        <f>IF(AND('Ações'!AS217="sim", 'Ações'!BD217="sim"), 1, 0)
</f>
        <v>0</v>
      </c>
      <c r="C216" s="319">
        <f>IF(AND('Ações'!AT217="sim", 'Ações'!BE217="sim"), 1, 0)
</f>
        <v>0</v>
      </c>
      <c r="D216" s="319">
        <f>IF(AND('Ações'!AU217="sim", 'Ações'!BF217="sim"), 1, 0)
</f>
        <v>0</v>
      </c>
      <c r="E216" s="319">
        <f>IF(AND('Ações'!AV217="sim", 'Ações'!BG217="sim"), 1, 0)
</f>
        <v>0</v>
      </c>
      <c r="F216" s="319">
        <f>IF(AND('Ações'!AW217="sim", 'Ações'!BH217="sim"), 1, 0)
</f>
        <v>0</v>
      </c>
      <c r="G216" s="319">
        <f>IF(AND('Ações'!AX217="sim", 'Ações'!BI217="sim"), 1, 0)
</f>
        <v>0</v>
      </c>
      <c r="H216" s="319">
        <f>IF(AND('Ações'!AS217="sim", 'Ações'!BE217="sim"), 1, 0)
</f>
        <v>0</v>
      </c>
      <c r="I216" s="319">
        <f>IF(AND('Ações'!AS217="sim", 'Ações'!BF217="sim"), 1, 0)
</f>
        <v>0</v>
      </c>
      <c r="J216" s="319">
        <f>IF(AND('Ações'!AS217="sim", 'Ações'!BG217="sim"), 1, 0)
</f>
        <v>0</v>
      </c>
      <c r="K216" s="319">
        <f>IF(AND('Ações'!AS217="sim", 'Ações'!BH217="sim"), 1, 0)
</f>
        <v>0</v>
      </c>
      <c r="L216" s="319">
        <f>IF(AND('Ações'!AS217="sim", 'Ações'!BI217="sim"), 1, 0)
</f>
        <v>0</v>
      </c>
      <c r="M216" s="319">
        <f>IF(AND('Ações'!AT217="sim", 'Ações'!BD217="sim"), 1, 0)
</f>
        <v>0</v>
      </c>
      <c r="N216" s="319">
        <f>IF(AND('Ações'!AT217="sim", 'Ações'!BF217="sim"), 1, 0)
</f>
        <v>0</v>
      </c>
      <c r="O216" s="319">
        <f>IF(AND('Ações'!AT217="sim", 'Ações'!BG217="sim"), 1, 0)
</f>
        <v>0</v>
      </c>
      <c r="P216" s="319">
        <f>IF(AND('Ações'!AT217="sim", 'Ações'!BH217="sim"), 1, 0)
</f>
        <v>0</v>
      </c>
      <c r="Q216" s="319">
        <f>IF(AND('Ações'!AT217="sim", 'Ações'!BI217="sim"), 1, 0)
</f>
        <v>1</v>
      </c>
      <c r="R216" s="319">
        <f>IF(AND('Ações'!AU217="sim", 'Ações'!BD217="sim"), 1, 0)
</f>
        <v>0</v>
      </c>
      <c r="S216" s="319">
        <f>IF(AND('Ações'!AU217="sim", 'Ações'!BE217="sim"), 1, 0)
</f>
        <v>0</v>
      </c>
      <c r="T216" s="319">
        <f>IF(AND('Ações'!AU217="sim", 'Ações'!BG217="sim"), 1, 0)
</f>
        <v>0</v>
      </c>
      <c r="U216" s="319">
        <f>IF(AND('Ações'!AU217="sim", 'Ações'!BH217="sim"), 1, 0)
</f>
        <v>0</v>
      </c>
      <c r="V216" s="319">
        <f>IF(AND('Ações'!AU217="sim", 'Ações'!BI217="sim"), 1, 0)
</f>
        <v>1</v>
      </c>
      <c r="W216" s="319">
        <f>IF(AND('Ações'!AV217="sim", 'Ações'!BD217="sim"), 1, 0)
</f>
        <v>0</v>
      </c>
      <c r="X216" s="319">
        <f>IF(AND('Ações'!AV217="sim", 'Ações'!BE217="sim"), 1, 0)
</f>
        <v>0</v>
      </c>
      <c r="Y216" s="319">
        <f>IF(AND('Ações'!AV217="sim", 'Ações'!BF217="sim"), 1, 0)
</f>
        <v>0</v>
      </c>
      <c r="Z216" s="319">
        <f>IF(AND('Ações'!AV217="sim", 'Ações'!BH217="sim"), 1, 0)
</f>
        <v>0</v>
      </c>
      <c r="AA216" s="319">
        <f>IF(AND('Ações'!AV217="sim", 'Ações'!BI217="sim"), 1, 0)
</f>
        <v>1</v>
      </c>
      <c r="AB216" s="319">
        <f>IF(AND('Ações'!AW217="sim", 'Ações'!BD217="sim"), 1, 0)
</f>
        <v>0</v>
      </c>
      <c r="AC216" s="319">
        <f>IF(AND('Ações'!AW217="sim", 'Ações'!BE217="sim"), 1, 0)
</f>
        <v>0</v>
      </c>
      <c r="AD216" s="319">
        <f>IF(AND('Ações'!AW217="sim", 'Ações'!BF217="sim"), 1, 0)
</f>
        <v>0</v>
      </c>
      <c r="AE216" s="319">
        <f>IF(AND('Ações'!AW217="sim", 'Ações'!BG217="sim"), 1, 0)
</f>
        <v>0</v>
      </c>
      <c r="AF216" s="319">
        <f>IF(AND('Ações'!AW217="sim", 'Ações'!BI217="sim"), 1, 0)
</f>
        <v>1</v>
      </c>
      <c r="AG216" s="319">
        <f>IF(AND('Ações'!AX217="sim", 'Ações'!BD217="sim"), 1, 0)
</f>
        <v>0</v>
      </c>
      <c r="AH216" s="319">
        <f>IF(AND('Ações'!AX217="sim", 'Ações'!BE217="sim"), 1, 0)
</f>
        <v>0</v>
      </c>
      <c r="AI216" s="319">
        <f>IF(AND('Ações'!AX217="sim", 'Ações'!BF217="sim"), 1, 0)
</f>
        <v>0</v>
      </c>
      <c r="AJ216" s="319">
        <f>IF(AND('Ações'!AX217="sim", 'Ações'!BG217="sim"), 1, 0)
</f>
        <v>0</v>
      </c>
      <c r="AK216" s="319">
        <f>IF(AND('Ações'!AX217="sim", 'Ações'!BH217="sim"), 1, 0)
</f>
        <v>0</v>
      </c>
    </row>
    <row r="217">
      <c r="B217" s="319">
        <f>IF(AND('Ações'!AS218="sim", 'Ações'!BD218="sim"), 1, 0)
</f>
        <v>0</v>
      </c>
      <c r="C217" s="319">
        <f>IF(AND('Ações'!AT218="sim", 'Ações'!BE218="sim"), 1, 0)
</f>
        <v>0</v>
      </c>
      <c r="D217" s="319">
        <f>IF(AND('Ações'!AU218="sim", 'Ações'!BF218="sim"), 1, 0)
</f>
        <v>0</v>
      </c>
      <c r="E217" s="319">
        <f>IF(AND('Ações'!AV218="sim", 'Ações'!BG218="sim"), 1, 0)
</f>
        <v>0</v>
      </c>
      <c r="F217" s="319">
        <f>IF(AND('Ações'!AW218="sim", 'Ações'!BH218="sim"), 1, 0)
</f>
        <v>0</v>
      </c>
      <c r="G217" s="319">
        <f>IF(AND('Ações'!AX218="sim", 'Ações'!BI218="sim"), 1, 0)
</f>
        <v>0</v>
      </c>
      <c r="H217" s="319">
        <f>IF(AND('Ações'!AS218="sim", 'Ações'!BE218="sim"), 1, 0)
</f>
        <v>0</v>
      </c>
      <c r="I217" s="319">
        <f>IF(AND('Ações'!AS218="sim", 'Ações'!BF218="sim"), 1, 0)
</f>
        <v>0</v>
      </c>
      <c r="J217" s="319">
        <f>IF(AND('Ações'!AS218="sim", 'Ações'!BG218="sim"), 1, 0)
</f>
        <v>0</v>
      </c>
      <c r="K217" s="319">
        <f>IF(AND('Ações'!AS218="sim", 'Ações'!BH218="sim"), 1, 0)
</f>
        <v>0</v>
      </c>
      <c r="L217" s="319">
        <f>IF(AND('Ações'!AS218="sim", 'Ações'!BI218="sim"), 1, 0)
</f>
        <v>0</v>
      </c>
      <c r="M217" s="319">
        <f>IF(AND('Ações'!AT218="sim", 'Ações'!BD218="sim"), 1, 0)
</f>
        <v>0</v>
      </c>
      <c r="N217" s="319">
        <f>IF(AND('Ações'!AT218="sim", 'Ações'!BF218="sim"), 1, 0)
</f>
        <v>0</v>
      </c>
      <c r="O217" s="319">
        <f>IF(AND('Ações'!AT218="sim", 'Ações'!BG218="sim"), 1, 0)
</f>
        <v>0</v>
      </c>
      <c r="P217" s="319">
        <f>IF(AND('Ações'!AT218="sim", 'Ações'!BH218="sim"), 1, 0)
</f>
        <v>0</v>
      </c>
      <c r="Q217" s="319">
        <f>IF(AND('Ações'!AT218="sim", 'Ações'!BI218="sim"), 1, 0)
</f>
        <v>1</v>
      </c>
      <c r="R217" s="319">
        <f>IF(AND('Ações'!AU218="sim", 'Ações'!BD218="sim"), 1, 0)
</f>
        <v>0</v>
      </c>
      <c r="S217" s="319">
        <f>IF(AND('Ações'!AU218="sim", 'Ações'!BE218="sim"), 1, 0)
</f>
        <v>0</v>
      </c>
      <c r="T217" s="319">
        <f>IF(AND('Ações'!AU218="sim", 'Ações'!BG218="sim"), 1, 0)
</f>
        <v>0</v>
      </c>
      <c r="U217" s="319">
        <f>IF(AND('Ações'!AU218="sim", 'Ações'!BH218="sim"), 1, 0)
</f>
        <v>0</v>
      </c>
      <c r="V217" s="319">
        <f>IF(AND('Ações'!AU218="sim", 'Ações'!BI218="sim"), 1, 0)
</f>
        <v>1</v>
      </c>
      <c r="W217" s="319">
        <f>IF(AND('Ações'!AV218="sim", 'Ações'!BD218="sim"), 1, 0)
</f>
        <v>0</v>
      </c>
      <c r="X217" s="319">
        <f>IF(AND('Ações'!AV218="sim", 'Ações'!BE218="sim"), 1, 0)
</f>
        <v>0</v>
      </c>
      <c r="Y217" s="319">
        <f>IF(AND('Ações'!AV218="sim", 'Ações'!BF218="sim"), 1, 0)
</f>
        <v>0</v>
      </c>
      <c r="Z217" s="319">
        <f>IF(AND('Ações'!AV218="sim", 'Ações'!BH218="sim"), 1, 0)
</f>
        <v>0</v>
      </c>
      <c r="AA217" s="319">
        <f>IF(AND('Ações'!AV218="sim", 'Ações'!BI218="sim"), 1, 0)
</f>
        <v>1</v>
      </c>
      <c r="AB217" s="319">
        <f>IF(AND('Ações'!AW218="sim", 'Ações'!BD218="sim"), 1, 0)
</f>
        <v>0</v>
      </c>
      <c r="AC217" s="319">
        <f>IF(AND('Ações'!AW218="sim", 'Ações'!BE218="sim"), 1, 0)
</f>
        <v>0</v>
      </c>
      <c r="AD217" s="319">
        <f>IF(AND('Ações'!AW218="sim", 'Ações'!BF218="sim"), 1, 0)
</f>
        <v>0</v>
      </c>
      <c r="AE217" s="319">
        <f>IF(AND('Ações'!AW218="sim", 'Ações'!BG218="sim"), 1, 0)
</f>
        <v>0</v>
      </c>
      <c r="AF217" s="319">
        <f>IF(AND('Ações'!AW218="sim", 'Ações'!BI218="sim"), 1, 0)
</f>
        <v>1</v>
      </c>
      <c r="AG217" s="319">
        <f>IF(AND('Ações'!AX218="sim", 'Ações'!BD218="sim"), 1, 0)
</f>
        <v>0</v>
      </c>
      <c r="AH217" s="319">
        <f>IF(AND('Ações'!AX218="sim", 'Ações'!BE218="sim"), 1, 0)
</f>
        <v>0</v>
      </c>
      <c r="AI217" s="319">
        <f>IF(AND('Ações'!AX218="sim", 'Ações'!BF218="sim"), 1, 0)
</f>
        <v>0</v>
      </c>
      <c r="AJ217" s="319">
        <f>IF(AND('Ações'!AX218="sim", 'Ações'!BG218="sim"), 1, 0)
</f>
        <v>0</v>
      </c>
      <c r="AK217" s="319">
        <f>IF(AND('Ações'!AX218="sim", 'Ações'!BH218="sim"), 1, 0)
</f>
        <v>0</v>
      </c>
    </row>
    <row r="218">
      <c r="B218" s="319">
        <f>IF(AND('Ações'!AS219="sim", 'Ações'!BD219="sim"), 1, 0)
</f>
        <v>0</v>
      </c>
      <c r="C218" s="319">
        <f>IF(AND('Ações'!AT219="sim", 'Ações'!BE219="sim"), 1, 0)
</f>
        <v>0</v>
      </c>
      <c r="D218" s="319">
        <f>IF(AND('Ações'!AU219="sim", 'Ações'!BF219="sim"), 1, 0)
</f>
        <v>0</v>
      </c>
      <c r="E218" s="319">
        <f>IF(AND('Ações'!AV219="sim", 'Ações'!BG219="sim"), 1, 0)
</f>
        <v>0</v>
      </c>
      <c r="F218" s="319">
        <f>IF(AND('Ações'!AW219="sim", 'Ações'!BH219="sim"), 1, 0)
</f>
        <v>0</v>
      </c>
      <c r="G218" s="319">
        <f>IF(AND('Ações'!AX219="sim", 'Ações'!BI219="sim"), 1, 0)
</f>
        <v>0</v>
      </c>
      <c r="H218" s="319">
        <f>IF(AND('Ações'!AS219="sim", 'Ações'!BE219="sim"), 1, 0)
</f>
        <v>0</v>
      </c>
      <c r="I218" s="319">
        <f>IF(AND('Ações'!AS219="sim", 'Ações'!BF219="sim"), 1, 0)
</f>
        <v>0</v>
      </c>
      <c r="J218" s="319">
        <f>IF(AND('Ações'!AS219="sim", 'Ações'!BG219="sim"), 1, 0)
</f>
        <v>0</v>
      </c>
      <c r="K218" s="319">
        <f>IF(AND('Ações'!AS219="sim", 'Ações'!BH219="sim"), 1, 0)
</f>
        <v>0</v>
      </c>
      <c r="L218" s="319">
        <f>IF(AND('Ações'!AS219="sim", 'Ações'!BI219="sim"), 1, 0)
</f>
        <v>0</v>
      </c>
      <c r="M218" s="319">
        <f>IF(AND('Ações'!AT219="sim", 'Ações'!BD219="sim"), 1, 0)
</f>
        <v>1</v>
      </c>
      <c r="N218" s="319">
        <f>IF(AND('Ações'!AT219="sim", 'Ações'!BF219="sim"), 1, 0)
</f>
        <v>0</v>
      </c>
      <c r="O218" s="319">
        <f>IF(AND('Ações'!AT219="sim", 'Ações'!BG219="sim"), 1, 0)
</f>
        <v>0</v>
      </c>
      <c r="P218" s="319">
        <f>IF(AND('Ações'!AT219="sim", 'Ações'!BH219="sim"), 1, 0)
</f>
        <v>0</v>
      </c>
      <c r="Q218" s="319">
        <f>IF(AND('Ações'!AT219="sim", 'Ações'!BI219="sim"), 1, 0)
</f>
        <v>0</v>
      </c>
      <c r="R218" s="319">
        <f>IF(AND('Ações'!AU219="sim", 'Ações'!BD219="sim"), 1, 0)
</f>
        <v>1</v>
      </c>
      <c r="S218" s="319">
        <f>IF(AND('Ações'!AU219="sim", 'Ações'!BE219="sim"), 1, 0)
</f>
        <v>0</v>
      </c>
      <c r="T218" s="319">
        <f>IF(AND('Ações'!AU219="sim", 'Ações'!BG219="sim"), 1, 0)
</f>
        <v>0</v>
      </c>
      <c r="U218" s="319">
        <f>IF(AND('Ações'!AU219="sim", 'Ações'!BH219="sim"), 1, 0)
</f>
        <v>0</v>
      </c>
      <c r="V218" s="319">
        <f>IF(AND('Ações'!AU219="sim", 'Ações'!BI219="sim"), 1, 0)
</f>
        <v>0</v>
      </c>
      <c r="W218" s="319">
        <f>IF(AND('Ações'!AV219="sim", 'Ações'!BD219="sim"), 1, 0)
</f>
        <v>1</v>
      </c>
      <c r="X218" s="319">
        <f>IF(AND('Ações'!AV219="sim", 'Ações'!BE219="sim"), 1, 0)
</f>
        <v>0</v>
      </c>
      <c r="Y218" s="319">
        <f>IF(AND('Ações'!AV219="sim", 'Ações'!BF219="sim"), 1, 0)
</f>
        <v>0</v>
      </c>
      <c r="Z218" s="319">
        <f>IF(AND('Ações'!AV219="sim", 'Ações'!BH219="sim"), 1, 0)
</f>
        <v>0</v>
      </c>
      <c r="AA218" s="319">
        <f>IF(AND('Ações'!AV219="sim", 'Ações'!BI219="sim"), 1, 0)
</f>
        <v>0</v>
      </c>
      <c r="AB218" s="319">
        <f>IF(AND('Ações'!AW219="sim", 'Ações'!BD219="sim"), 1, 0)
</f>
        <v>1</v>
      </c>
      <c r="AC218" s="319">
        <f>IF(AND('Ações'!AW219="sim", 'Ações'!BE219="sim"), 1, 0)
</f>
        <v>0</v>
      </c>
      <c r="AD218" s="319">
        <f>IF(AND('Ações'!AW219="sim", 'Ações'!BF219="sim"), 1, 0)
</f>
        <v>0</v>
      </c>
      <c r="AE218" s="319">
        <f>IF(AND('Ações'!AW219="sim", 'Ações'!BG219="sim"), 1, 0)
</f>
        <v>0</v>
      </c>
      <c r="AF218" s="319">
        <f>IF(AND('Ações'!AW219="sim", 'Ações'!BI219="sim"), 1, 0)
</f>
        <v>0</v>
      </c>
      <c r="AG218" s="319">
        <f>IF(AND('Ações'!AX219="sim", 'Ações'!BD219="sim"), 1, 0)
</f>
        <v>0</v>
      </c>
      <c r="AH218" s="319">
        <f>IF(AND('Ações'!AX219="sim", 'Ações'!BE219="sim"), 1, 0)
</f>
        <v>0</v>
      </c>
      <c r="AI218" s="319">
        <f>IF(AND('Ações'!AX219="sim", 'Ações'!BF219="sim"), 1, 0)
</f>
        <v>0</v>
      </c>
      <c r="AJ218" s="319">
        <f>IF(AND('Ações'!AX219="sim", 'Ações'!BG219="sim"), 1, 0)
</f>
        <v>0</v>
      </c>
      <c r="AK218" s="319">
        <f>IF(AND('Ações'!AX219="sim", 'Ações'!BH219="sim"), 1, 0)
</f>
        <v>0</v>
      </c>
    </row>
    <row r="219">
      <c r="B219" s="319">
        <f>IF(AND('Ações'!AS220="sim", 'Ações'!BD220="sim"), 1, 0)
</f>
        <v>0</v>
      </c>
      <c r="C219" s="319">
        <f>IF(AND('Ações'!AT220="sim", 'Ações'!BE220="sim"), 1, 0)
</f>
        <v>0</v>
      </c>
      <c r="D219" s="319">
        <f>IF(AND('Ações'!AU220="sim", 'Ações'!BF220="sim"), 1, 0)
</f>
        <v>0</v>
      </c>
      <c r="E219" s="319">
        <f>IF(AND('Ações'!AV220="sim", 'Ações'!BG220="sim"), 1, 0)
</f>
        <v>0</v>
      </c>
      <c r="F219" s="319">
        <f>IF(AND('Ações'!AW220="sim", 'Ações'!BH220="sim"), 1, 0)
</f>
        <v>0</v>
      </c>
      <c r="G219" s="319">
        <f>IF(AND('Ações'!AX220="sim", 'Ações'!BI220="sim"), 1, 0)
</f>
        <v>0</v>
      </c>
      <c r="H219" s="319">
        <f>IF(AND('Ações'!AS220="sim", 'Ações'!BE220="sim"), 1, 0)
</f>
        <v>0</v>
      </c>
      <c r="I219" s="319">
        <f>IF(AND('Ações'!AS220="sim", 'Ações'!BF220="sim"), 1, 0)
</f>
        <v>0</v>
      </c>
      <c r="J219" s="319">
        <f>IF(AND('Ações'!AS220="sim", 'Ações'!BG220="sim"), 1, 0)
</f>
        <v>0</v>
      </c>
      <c r="K219" s="319">
        <f>IF(AND('Ações'!AS220="sim", 'Ações'!BH220="sim"), 1, 0)
</f>
        <v>0</v>
      </c>
      <c r="L219" s="319">
        <f>IF(AND('Ações'!AS220="sim", 'Ações'!BI220="sim"), 1, 0)
</f>
        <v>0</v>
      </c>
      <c r="M219" s="319">
        <f>IF(AND('Ações'!AT220="sim", 'Ações'!BD220="sim"), 1, 0)
</f>
        <v>1</v>
      </c>
      <c r="N219" s="319">
        <f>IF(AND('Ações'!AT220="sim", 'Ações'!BF220="sim"), 1, 0)
</f>
        <v>0</v>
      </c>
      <c r="O219" s="319">
        <f>IF(AND('Ações'!AT220="sim", 'Ações'!BG220="sim"), 1, 0)
</f>
        <v>0</v>
      </c>
      <c r="P219" s="319">
        <f>IF(AND('Ações'!AT220="sim", 'Ações'!BH220="sim"), 1, 0)
</f>
        <v>0</v>
      </c>
      <c r="Q219" s="319">
        <f>IF(AND('Ações'!AT220="sim", 'Ações'!BI220="sim"), 1, 0)
</f>
        <v>0</v>
      </c>
      <c r="R219" s="319">
        <f>IF(AND('Ações'!AU220="sim", 'Ações'!BD220="sim"), 1, 0)
</f>
        <v>1</v>
      </c>
      <c r="S219" s="319">
        <f>IF(AND('Ações'!AU220="sim", 'Ações'!BE220="sim"), 1, 0)
</f>
        <v>0</v>
      </c>
      <c r="T219" s="319">
        <f>IF(AND('Ações'!AU220="sim", 'Ações'!BG220="sim"), 1, 0)
</f>
        <v>0</v>
      </c>
      <c r="U219" s="319">
        <f>IF(AND('Ações'!AU220="sim", 'Ações'!BH220="sim"), 1, 0)
</f>
        <v>0</v>
      </c>
      <c r="V219" s="319">
        <f>IF(AND('Ações'!AU220="sim", 'Ações'!BI220="sim"), 1, 0)
</f>
        <v>0</v>
      </c>
      <c r="W219" s="319">
        <f>IF(AND('Ações'!AV220="sim", 'Ações'!BD220="sim"), 1, 0)
</f>
        <v>1</v>
      </c>
      <c r="X219" s="319">
        <f>IF(AND('Ações'!AV220="sim", 'Ações'!BE220="sim"), 1, 0)
</f>
        <v>0</v>
      </c>
      <c r="Y219" s="319">
        <f>IF(AND('Ações'!AV220="sim", 'Ações'!BF220="sim"), 1, 0)
</f>
        <v>0</v>
      </c>
      <c r="Z219" s="319">
        <f>IF(AND('Ações'!AV220="sim", 'Ações'!BH220="sim"), 1, 0)
</f>
        <v>0</v>
      </c>
      <c r="AA219" s="319">
        <f>IF(AND('Ações'!AV220="sim", 'Ações'!BI220="sim"), 1, 0)
</f>
        <v>0</v>
      </c>
      <c r="AB219" s="319">
        <f>IF(AND('Ações'!AW220="sim", 'Ações'!BD220="sim"), 1, 0)
</f>
        <v>1</v>
      </c>
      <c r="AC219" s="319">
        <f>IF(AND('Ações'!AW220="sim", 'Ações'!BE220="sim"), 1, 0)
</f>
        <v>0</v>
      </c>
      <c r="AD219" s="319">
        <f>IF(AND('Ações'!AW220="sim", 'Ações'!BF220="sim"), 1, 0)
</f>
        <v>0</v>
      </c>
      <c r="AE219" s="319">
        <f>IF(AND('Ações'!AW220="sim", 'Ações'!BG220="sim"), 1, 0)
</f>
        <v>0</v>
      </c>
      <c r="AF219" s="319">
        <f>IF(AND('Ações'!AW220="sim", 'Ações'!BI220="sim"), 1, 0)
</f>
        <v>0</v>
      </c>
      <c r="AG219" s="319">
        <f>IF(AND('Ações'!AX220="sim", 'Ações'!BD220="sim"), 1, 0)
</f>
        <v>0</v>
      </c>
      <c r="AH219" s="319">
        <f>IF(AND('Ações'!AX220="sim", 'Ações'!BE220="sim"), 1, 0)
</f>
        <v>0</v>
      </c>
      <c r="AI219" s="319">
        <f>IF(AND('Ações'!AX220="sim", 'Ações'!BF220="sim"), 1, 0)
</f>
        <v>0</v>
      </c>
      <c r="AJ219" s="319">
        <f>IF(AND('Ações'!AX220="sim", 'Ações'!BG220="sim"), 1, 0)
</f>
        <v>0</v>
      </c>
      <c r="AK219" s="319">
        <f>IF(AND('Ações'!AX220="sim", 'Ações'!BH220="sim"), 1, 0)
</f>
        <v>0</v>
      </c>
    </row>
    <row r="220">
      <c r="B220" s="319">
        <f>IF(AND('Ações'!AS221="sim", 'Ações'!BD221="sim"), 1, 0)
</f>
        <v>0</v>
      </c>
      <c r="C220" s="319">
        <f>IF(AND('Ações'!AT221="sim", 'Ações'!BE221="sim"), 1, 0)
</f>
        <v>0</v>
      </c>
      <c r="D220" s="319">
        <f>IF(AND('Ações'!AU221="sim", 'Ações'!BF221="sim"), 1, 0)
</f>
        <v>0</v>
      </c>
      <c r="E220" s="319">
        <f>IF(AND('Ações'!AV221="sim", 'Ações'!BG221="sim"), 1, 0)
</f>
        <v>0</v>
      </c>
      <c r="F220" s="319">
        <f>IF(AND('Ações'!AW221="sim", 'Ações'!BH221="sim"), 1, 0)
</f>
        <v>0</v>
      </c>
      <c r="G220" s="319">
        <f>IF(AND('Ações'!AX221="sim", 'Ações'!BI221="sim"), 1, 0)
</f>
        <v>0</v>
      </c>
      <c r="H220" s="319">
        <f>IF(AND('Ações'!AS221="sim", 'Ações'!BE221="sim"), 1, 0)
</f>
        <v>0</v>
      </c>
      <c r="I220" s="319">
        <f>IF(AND('Ações'!AS221="sim", 'Ações'!BF221="sim"), 1, 0)
</f>
        <v>0</v>
      </c>
      <c r="J220" s="319">
        <f>IF(AND('Ações'!AS221="sim", 'Ações'!BG221="sim"), 1, 0)
</f>
        <v>0</v>
      </c>
      <c r="K220" s="319">
        <f>IF(AND('Ações'!AS221="sim", 'Ações'!BH221="sim"), 1, 0)
</f>
        <v>0</v>
      </c>
      <c r="L220" s="319">
        <f>IF(AND('Ações'!AS221="sim", 'Ações'!BI221="sim"), 1, 0)
</f>
        <v>0</v>
      </c>
      <c r="M220" s="319">
        <f>IF(AND('Ações'!AT221="sim", 'Ações'!BD221="sim"), 1, 0)
</f>
        <v>1</v>
      </c>
      <c r="N220" s="319">
        <f>IF(AND('Ações'!AT221="sim", 'Ações'!BF221="sim"), 1, 0)
</f>
        <v>0</v>
      </c>
      <c r="O220" s="319">
        <f>IF(AND('Ações'!AT221="sim", 'Ações'!BG221="sim"), 1, 0)
</f>
        <v>0</v>
      </c>
      <c r="P220" s="319">
        <f>IF(AND('Ações'!AT221="sim", 'Ações'!BH221="sim"), 1, 0)
</f>
        <v>0</v>
      </c>
      <c r="Q220" s="319">
        <f>IF(AND('Ações'!AT221="sim", 'Ações'!BI221="sim"), 1, 0)
</f>
        <v>0</v>
      </c>
      <c r="R220" s="319">
        <f>IF(AND('Ações'!AU221="sim", 'Ações'!BD221="sim"), 1, 0)
</f>
        <v>1</v>
      </c>
      <c r="S220" s="319">
        <f>IF(AND('Ações'!AU221="sim", 'Ações'!BE221="sim"), 1, 0)
</f>
        <v>0</v>
      </c>
      <c r="T220" s="319">
        <f>IF(AND('Ações'!AU221="sim", 'Ações'!BG221="sim"), 1, 0)
</f>
        <v>0</v>
      </c>
      <c r="U220" s="319">
        <f>IF(AND('Ações'!AU221="sim", 'Ações'!BH221="sim"), 1, 0)
</f>
        <v>0</v>
      </c>
      <c r="V220" s="319">
        <f>IF(AND('Ações'!AU221="sim", 'Ações'!BI221="sim"), 1, 0)
</f>
        <v>0</v>
      </c>
      <c r="W220" s="319">
        <f>IF(AND('Ações'!AV221="sim", 'Ações'!BD221="sim"), 1, 0)
</f>
        <v>1</v>
      </c>
      <c r="X220" s="319">
        <f>IF(AND('Ações'!AV221="sim", 'Ações'!BE221="sim"), 1, 0)
</f>
        <v>0</v>
      </c>
      <c r="Y220" s="319">
        <f>IF(AND('Ações'!AV221="sim", 'Ações'!BF221="sim"), 1, 0)
</f>
        <v>0</v>
      </c>
      <c r="Z220" s="319">
        <f>IF(AND('Ações'!AV221="sim", 'Ações'!BH221="sim"), 1, 0)
</f>
        <v>0</v>
      </c>
      <c r="AA220" s="319">
        <f>IF(AND('Ações'!AV221="sim", 'Ações'!BI221="sim"), 1, 0)
</f>
        <v>0</v>
      </c>
      <c r="AB220" s="319">
        <f>IF(AND('Ações'!AW221="sim", 'Ações'!BD221="sim"), 1, 0)
</f>
        <v>1</v>
      </c>
      <c r="AC220" s="319">
        <f>IF(AND('Ações'!AW221="sim", 'Ações'!BE221="sim"), 1, 0)
</f>
        <v>0</v>
      </c>
      <c r="AD220" s="319">
        <f>IF(AND('Ações'!AW221="sim", 'Ações'!BF221="sim"), 1, 0)
</f>
        <v>0</v>
      </c>
      <c r="AE220" s="319">
        <f>IF(AND('Ações'!AW221="sim", 'Ações'!BG221="sim"), 1, 0)
</f>
        <v>0</v>
      </c>
      <c r="AF220" s="319">
        <f>IF(AND('Ações'!AW221="sim", 'Ações'!BI221="sim"), 1, 0)
</f>
        <v>0</v>
      </c>
      <c r="AG220" s="319">
        <f>IF(AND('Ações'!AX221="sim", 'Ações'!BD221="sim"), 1, 0)
</f>
        <v>0</v>
      </c>
      <c r="AH220" s="319">
        <f>IF(AND('Ações'!AX221="sim", 'Ações'!BE221="sim"), 1, 0)
</f>
        <v>0</v>
      </c>
      <c r="AI220" s="319">
        <f>IF(AND('Ações'!AX221="sim", 'Ações'!BF221="sim"), 1, 0)
</f>
        <v>0</v>
      </c>
      <c r="AJ220" s="319">
        <f>IF(AND('Ações'!AX221="sim", 'Ações'!BG221="sim"), 1, 0)
</f>
        <v>0</v>
      </c>
      <c r="AK220" s="319">
        <f>IF(AND('Ações'!AX221="sim", 'Ações'!BH221="sim"), 1, 0)
</f>
        <v>0</v>
      </c>
    </row>
    <row r="221">
      <c r="B221" s="319">
        <f>IF(AND('Ações'!AS222="sim", 'Ações'!BD222="sim"), 1, 0)
</f>
        <v>0</v>
      </c>
      <c r="C221" s="319">
        <f>IF(AND('Ações'!AT222="sim", 'Ações'!BE222="sim"), 1, 0)
</f>
        <v>0</v>
      </c>
      <c r="D221" s="319">
        <f>IF(AND('Ações'!AU222="sim", 'Ações'!BF222="sim"), 1, 0)
</f>
        <v>0</v>
      </c>
      <c r="E221" s="319">
        <f>IF(AND('Ações'!AV222="sim", 'Ações'!BG222="sim"), 1, 0)
</f>
        <v>0</v>
      </c>
      <c r="F221" s="319">
        <f>IF(AND('Ações'!AW222="sim", 'Ações'!BH222="sim"), 1, 0)
</f>
        <v>0</v>
      </c>
      <c r="G221" s="319">
        <f>IF(AND('Ações'!AX222="sim", 'Ações'!BI222="sim"), 1, 0)
</f>
        <v>0</v>
      </c>
      <c r="H221" s="319">
        <f>IF(AND('Ações'!AS222="sim", 'Ações'!BE222="sim"), 1, 0)
</f>
        <v>0</v>
      </c>
      <c r="I221" s="319">
        <f>IF(AND('Ações'!AS222="sim", 'Ações'!BF222="sim"), 1, 0)
</f>
        <v>0</v>
      </c>
      <c r="J221" s="319">
        <f>IF(AND('Ações'!AS222="sim", 'Ações'!BG222="sim"), 1, 0)
</f>
        <v>0</v>
      </c>
      <c r="K221" s="319">
        <f>IF(AND('Ações'!AS222="sim", 'Ações'!BH222="sim"), 1, 0)
</f>
        <v>0</v>
      </c>
      <c r="L221" s="319">
        <f>IF(AND('Ações'!AS222="sim", 'Ações'!BI222="sim"), 1, 0)
</f>
        <v>0</v>
      </c>
      <c r="M221" s="319">
        <f>IF(AND('Ações'!AT222="sim", 'Ações'!BD222="sim"), 1, 0)
</f>
        <v>0</v>
      </c>
      <c r="N221" s="319">
        <f>IF(AND('Ações'!AT222="sim", 'Ações'!BF222="sim"), 1, 0)
</f>
        <v>0</v>
      </c>
      <c r="O221" s="319">
        <f>IF(AND('Ações'!AT222="sim", 'Ações'!BG222="sim"), 1, 0)
</f>
        <v>0</v>
      </c>
      <c r="P221" s="319">
        <f>IF(AND('Ações'!AT222="sim", 'Ações'!BH222="sim"), 1, 0)
</f>
        <v>0</v>
      </c>
      <c r="Q221" s="319">
        <f>IF(AND('Ações'!AT222="sim", 'Ações'!BI222="sim"), 1, 0)
</f>
        <v>0</v>
      </c>
      <c r="R221" s="319">
        <f>IF(AND('Ações'!AU222="sim", 'Ações'!BD222="sim"), 1, 0)
</f>
        <v>0</v>
      </c>
      <c r="S221" s="319">
        <f>IF(AND('Ações'!AU222="sim", 'Ações'!BE222="sim"), 1, 0)
</f>
        <v>0</v>
      </c>
      <c r="T221" s="319">
        <f>IF(AND('Ações'!AU222="sim", 'Ações'!BG222="sim"), 1, 0)
</f>
        <v>0</v>
      </c>
      <c r="U221" s="319">
        <f>IF(AND('Ações'!AU222="sim", 'Ações'!BH222="sim"), 1, 0)
</f>
        <v>0</v>
      </c>
      <c r="V221" s="319">
        <f>IF(AND('Ações'!AU222="sim", 'Ações'!BI222="sim"), 1, 0)
</f>
        <v>0</v>
      </c>
      <c r="W221" s="319">
        <f>IF(AND('Ações'!AV222="sim", 'Ações'!BD222="sim"), 1, 0)
</f>
        <v>0</v>
      </c>
      <c r="X221" s="319">
        <f>IF(AND('Ações'!AV222="sim", 'Ações'!BE222="sim"), 1, 0)
</f>
        <v>0</v>
      </c>
      <c r="Y221" s="319">
        <f>IF(AND('Ações'!AV222="sim", 'Ações'!BF222="sim"), 1, 0)
</f>
        <v>0</v>
      </c>
      <c r="Z221" s="319">
        <f>IF(AND('Ações'!AV222="sim", 'Ações'!BH222="sim"), 1, 0)
</f>
        <v>0</v>
      </c>
      <c r="AA221" s="319">
        <f>IF(AND('Ações'!AV222="sim", 'Ações'!BI222="sim"), 1, 0)
</f>
        <v>0</v>
      </c>
      <c r="AB221" s="319">
        <f>IF(AND('Ações'!AW222="sim", 'Ações'!BD222="sim"), 1, 0)
</f>
        <v>0</v>
      </c>
      <c r="AC221" s="319">
        <f>IF(AND('Ações'!AW222="sim", 'Ações'!BE222="sim"), 1, 0)
</f>
        <v>0</v>
      </c>
      <c r="AD221" s="319">
        <f>IF(AND('Ações'!AW222="sim", 'Ações'!BF222="sim"), 1, 0)
</f>
        <v>0</v>
      </c>
      <c r="AE221" s="319">
        <f>IF(AND('Ações'!AW222="sim", 'Ações'!BG222="sim"), 1, 0)
</f>
        <v>0</v>
      </c>
      <c r="AF221" s="319">
        <f>IF(AND('Ações'!AW222="sim", 'Ações'!BI222="sim"), 1, 0)
</f>
        <v>0</v>
      </c>
      <c r="AG221" s="319">
        <f>IF(AND('Ações'!AX222="sim", 'Ações'!BD222="sim"), 1, 0)
</f>
        <v>0</v>
      </c>
      <c r="AH221" s="319">
        <f>IF(AND('Ações'!AX222="sim", 'Ações'!BE222="sim"), 1, 0)
</f>
        <v>0</v>
      </c>
      <c r="AI221" s="319">
        <f>IF(AND('Ações'!AX222="sim", 'Ações'!BF222="sim"), 1, 0)
</f>
        <v>0</v>
      </c>
      <c r="AJ221" s="319">
        <f>IF(AND('Ações'!AX222="sim", 'Ações'!BG222="sim"), 1, 0)
</f>
        <v>0</v>
      </c>
      <c r="AK221" s="319">
        <f>IF(AND('Ações'!AX222="sim", 'Ações'!BH222="sim"), 1, 0)
</f>
        <v>0</v>
      </c>
    </row>
    <row r="222">
      <c r="B222" s="319">
        <f>IF(AND('Ações'!AS223="sim", 'Ações'!BD223="sim"), 1, 0)
</f>
        <v>0</v>
      </c>
      <c r="C222" s="319">
        <f>IF(AND('Ações'!AT223="sim", 'Ações'!BE223="sim"), 1, 0)
</f>
        <v>0</v>
      </c>
      <c r="D222" s="319">
        <f>IF(AND('Ações'!AU223="sim", 'Ações'!BF223="sim"), 1, 0)
</f>
        <v>0</v>
      </c>
      <c r="E222" s="319">
        <f>IF(AND('Ações'!AV223="sim", 'Ações'!BG223="sim"), 1, 0)
</f>
        <v>0</v>
      </c>
      <c r="F222" s="319">
        <f>IF(AND('Ações'!AW223="sim", 'Ações'!BH223="sim"), 1, 0)
</f>
        <v>0</v>
      </c>
      <c r="G222" s="319">
        <f>IF(AND('Ações'!AX223="sim", 'Ações'!BI223="sim"), 1, 0)
</f>
        <v>0</v>
      </c>
      <c r="H222" s="319">
        <f>IF(AND('Ações'!AS223="sim", 'Ações'!BE223="sim"), 1, 0)
</f>
        <v>0</v>
      </c>
      <c r="I222" s="319">
        <f>IF(AND('Ações'!AS223="sim", 'Ações'!BF223="sim"), 1, 0)
</f>
        <v>0</v>
      </c>
      <c r="J222" s="319">
        <f>IF(AND('Ações'!AS223="sim", 'Ações'!BG223="sim"), 1, 0)
</f>
        <v>0</v>
      </c>
      <c r="K222" s="319">
        <f>IF(AND('Ações'!AS223="sim", 'Ações'!BH223="sim"), 1, 0)
</f>
        <v>0</v>
      </c>
      <c r="L222" s="319">
        <f>IF(AND('Ações'!AS223="sim", 'Ações'!BI223="sim"), 1, 0)
</f>
        <v>0</v>
      </c>
      <c r="M222" s="319">
        <f>IF(AND('Ações'!AT223="sim", 'Ações'!BD223="sim"), 1, 0)
</f>
        <v>1</v>
      </c>
      <c r="N222" s="319">
        <f>IF(AND('Ações'!AT223="sim", 'Ações'!BF223="sim"), 1, 0)
</f>
        <v>0</v>
      </c>
      <c r="O222" s="319">
        <f>IF(AND('Ações'!AT223="sim", 'Ações'!BG223="sim"), 1, 0)
</f>
        <v>0</v>
      </c>
      <c r="P222" s="319">
        <f>IF(AND('Ações'!AT223="sim", 'Ações'!BH223="sim"), 1, 0)
</f>
        <v>0</v>
      </c>
      <c r="Q222" s="319">
        <f>IF(AND('Ações'!AT223="sim", 'Ações'!BI223="sim"), 1, 0)
</f>
        <v>0</v>
      </c>
      <c r="R222" s="319">
        <f>IF(AND('Ações'!AU223="sim", 'Ações'!BD223="sim"), 1, 0)
</f>
        <v>1</v>
      </c>
      <c r="S222" s="319">
        <f>IF(AND('Ações'!AU223="sim", 'Ações'!BE223="sim"), 1, 0)
</f>
        <v>0</v>
      </c>
      <c r="T222" s="319">
        <f>IF(AND('Ações'!AU223="sim", 'Ações'!BG223="sim"), 1, 0)
</f>
        <v>0</v>
      </c>
      <c r="U222" s="319">
        <f>IF(AND('Ações'!AU223="sim", 'Ações'!BH223="sim"), 1, 0)
</f>
        <v>0</v>
      </c>
      <c r="V222" s="319">
        <f>IF(AND('Ações'!AU223="sim", 'Ações'!BI223="sim"), 1, 0)
</f>
        <v>0</v>
      </c>
      <c r="W222" s="319">
        <f>IF(AND('Ações'!AV223="sim", 'Ações'!BD223="sim"), 1, 0)
</f>
        <v>1</v>
      </c>
      <c r="X222" s="319">
        <f>IF(AND('Ações'!AV223="sim", 'Ações'!BE223="sim"), 1, 0)
</f>
        <v>0</v>
      </c>
      <c r="Y222" s="319">
        <f>IF(AND('Ações'!AV223="sim", 'Ações'!BF223="sim"), 1, 0)
</f>
        <v>0</v>
      </c>
      <c r="Z222" s="319">
        <f>IF(AND('Ações'!AV223="sim", 'Ações'!BH223="sim"), 1, 0)
</f>
        <v>0</v>
      </c>
      <c r="AA222" s="319">
        <f>IF(AND('Ações'!AV223="sim", 'Ações'!BI223="sim"), 1, 0)
</f>
        <v>0</v>
      </c>
      <c r="AB222" s="319">
        <f>IF(AND('Ações'!AW223="sim", 'Ações'!BD223="sim"), 1, 0)
</f>
        <v>1</v>
      </c>
      <c r="AC222" s="319">
        <f>IF(AND('Ações'!AW223="sim", 'Ações'!BE223="sim"), 1, 0)
</f>
        <v>0</v>
      </c>
      <c r="AD222" s="319">
        <f>IF(AND('Ações'!AW223="sim", 'Ações'!BF223="sim"), 1, 0)
</f>
        <v>0</v>
      </c>
      <c r="AE222" s="319">
        <f>IF(AND('Ações'!AW223="sim", 'Ações'!BG223="sim"), 1, 0)
</f>
        <v>0</v>
      </c>
      <c r="AF222" s="319">
        <f>IF(AND('Ações'!AW223="sim", 'Ações'!BI223="sim"), 1, 0)
</f>
        <v>0</v>
      </c>
      <c r="AG222" s="319">
        <f>IF(AND('Ações'!AX223="sim", 'Ações'!BD223="sim"), 1, 0)
</f>
        <v>0</v>
      </c>
      <c r="AH222" s="319">
        <f>IF(AND('Ações'!AX223="sim", 'Ações'!BE223="sim"), 1, 0)
</f>
        <v>0</v>
      </c>
      <c r="AI222" s="319">
        <f>IF(AND('Ações'!AX223="sim", 'Ações'!BF223="sim"), 1, 0)
</f>
        <v>0</v>
      </c>
      <c r="AJ222" s="319">
        <f>IF(AND('Ações'!AX223="sim", 'Ações'!BG223="sim"), 1, 0)
</f>
        <v>0</v>
      </c>
      <c r="AK222" s="319">
        <f>IF(AND('Ações'!AX223="sim", 'Ações'!BH223="sim"), 1, 0)
</f>
        <v>0</v>
      </c>
    </row>
    <row r="223">
      <c r="B223" s="319">
        <f>IF(AND('Ações'!AS224="sim", 'Ações'!BD224="sim"), 1, 0)
</f>
        <v>0</v>
      </c>
      <c r="C223" s="319">
        <f>IF(AND('Ações'!AT224="sim", 'Ações'!BE224="sim"), 1, 0)
</f>
        <v>0</v>
      </c>
      <c r="D223" s="319">
        <f>IF(AND('Ações'!AU224="sim", 'Ações'!BF224="sim"), 1, 0)
</f>
        <v>0</v>
      </c>
      <c r="E223" s="319">
        <f>IF(AND('Ações'!AV224="sim", 'Ações'!BG224="sim"), 1, 0)
</f>
        <v>0</v>
      </c>
      <c r="F223" s="319">
        <f>IF(AND('Ações'!AW224="sim", 'Ações'!BH224="sim"), 1, 0)
</f>
        <v>0</v>
      </c>
      <c r="G223" s="319">
        <f>IF(AND('Ações'!AX224="sim", 'Ações'!BI224="sim"), 1, 0)
</f>
        <v>0</v>
      </c>
      <c r="H223" s="319">
        <f>IF(AND('Ações'!AS224="sim", 'Ações'!BE224="sim"), 1, 0)
</f>
        <v>0</v>
      </c>
      <c r="I223" s="319">
        <f>IF(AND('Ações'!AS224="sim", 'Ações'!BF224="sim"), 1, 0)
</f>
        <v>0</v>
      </c>
      <c r="J223" s="319">
        <f>IF(AND('Ações'!AS224="sim", 'Ações'!BG224="sim"), 1, 0)
</f>
        <v>0</v>
      </c>
      <c r="K223" s="319">
        <f>IF(AND('Ações'!AS224="sim", 'Ações'!BH224="sim"), 1, 0)
</f>
        <v>0</v>
      </c>
      <c r="L223" s="319">
        <f>IF(AND('Ações'!AS224="sim", 'Ações'!BI224="sim"), 1, 0)
</f>
        <v>0</v>
      </c>
      <c r="M223" s="319">
        <f>IF(AND('Ações'!AT224="sim", 'Ações'!BD224="sim"), 1, 0)
</f>
        <v>1</v>
      </c>
      <c r="N223" s="319">
        <f>IF(AND('Ações'!AT224="sim", 'Ações'!BF224="sim"), 1, 0)
</f>
        <v>0</v>
      </c>
      <c r="O223" s="319">
        <f>IF(AND('Ações'!AT224="sim", 'Ações'!BG224="sim"), 1, 0)
</f>
        <v>0</v>
      </c>
      <c r="P223" s="319">
        <f>IF(AND('Ações'!AT224="sim", 'Ações'!BH224="sim"), 1, 0)
</f>
        <v>0</v>
      </c>
      <c r="Q223" s="319">
        <f>IF(AND('Ações'!AT224="sim", 'Ações'!BI224="sim"), 1, 0)
</f>
        <v>0</v>
      </c>
      <c r="R223" s="319">
        <f>IF(AND('Ações'!AU224="sim", 'Ações'!BD224="sim"), 1, 0)
</f>
        <v>1</v>
      </c>
      <c r="S223" s="319">
        <f>IF(AND('Ações'!AU224="sim", 'Ações'!BE224="sim"), 1, 0)
</f>
        <v>0</v>
      </c>
      <c r="T223" s="319">
        <f>IF(AND('Ações'!AU224="sim", 'Ações'!BG224="sim"), 1, 0)
</f>
        <v>0</v>
      </c>
      <c r="U223" s="319">
        <f>IF(AND('Ações'!AU224="sim", 'Ações'!BH224="sim"), 1, 0)
</f>
        <v>0</v>
      </c>
      <c r="V223" s="319">
        <f>IF(AND('Ações'!AU224="sim", 'Ações'!BI224="sim"), 1, 0)
</f>
        <v>0</v>
      </c>
      <c r="W223" s="319">
        <f>IF(AND('Ações'!AV224="sim", 'Ações'!BD224="sim"), 1, 0)
</f>
        <v>1</v>
      </c>
      <c r="X223" s="319">
        <f>IF(AND('Ações'!AV224="sim", 'Ações'!BE224="sim"), 1, 0)
</f>
        <v>0</v>
      </c>
      <c r="Y223" s="319">
        <f>IF(AND('Ações'!AV224="sim", 'Ações'!BF224="sim"), 1, 0)
</f>
        <v>0</v>
      </c>
      <c r="Z223" s="319">
        <f>IF(AND('Ações'!AV224="sim", 'Ações'!BH224="sim"), 1, 0)
</f>
        <v>0</v>
      </c>
      <c r="AA223" s="319">
        <f>IF(AND('Ações'!AV224="sim", 'Ações'!BI224="sim"), 1, 0)
</f>
        <v>0</v>
      </c>
      <c r="AB223" s="319">
        <f>IF(AND('Ações'!AW224="sim", 'Ações'!BD224="sim"), 1, 0)
</f>
        <v>1</v>
      </c>
      <c r="AC223" s="319">
        <f>IF(AND('Ações'!AW224="sim", 'Ações'!BE224="sim"), 1, 0)
</f>
        <v>0</v>
      </c>
      <c r="AD223" s="319">
        <f>IF(AND('Ações'!AW224="sim", 'Ações'!BF224="sim"), 1, 0)
</f>
        <v>0</v>
      </c>
      <c r="AE223" s="319">
        <f>IF(AND('Ações'!AW224="sim", 'Ações'!BG224="sim"), 1, 0)
</f>
        <v>0</v>
      </c>
      <c r="AF223" s="319">
        <f>IF(AND('Ações'!AW224="sim", 'Ações'!BI224="sim"), 1, 0)
</f>
        <v>0</v>
      </c>
      <c r="AG223" s="319">
        <f>IF(AND('Ações'!AX224="sim", 'Ações'!BD224="sim"), 1, 0)
</f>
        <v>0</v>
      </c>
      <c r="AH223" s="319">
        <f>IF(AND('Ações'!AX224="sim", 'Ações'!BE224="sim"), 1, 0)
</f>
        <v>0</v>
      </c>
      <c r="AI223" s="319">
        <f>IF(AND('Ações'!AX224="sim", 'Ações'!BF224="sim"), 1, 0)
</f>
        <v>0</v>
      </c>
      <c r="AJ223" s="319">
        <f>IF(AND('Ações'!AX224="sim", 'Ações'!BG224="sim"), 1, 0)
</f>
        <v>0</v>
      </c>
      <c r="AK223" s="319">
        <f>IF(AND('Ações'!AX224="sim", 'Ações'!BH224="sim"), 1, 0)
</f>
        <v>0</v>
      </c>
    </row>
    <row r="224">
      <c r="B224" s="319">
        <f>IF(AND('Ações'!AS225="sim", 'Ações'!BD225="sim"), 1, 0)
</f>
        <v>0</v>
      </c>
      <c r="C224" s="319">
        <f>IF(AND('Ações'!AT225="sim", 'Ações'!BE225="sim"), 1, 0)
</f>
        <v>0</v>
      </c>
      <c r="D224" s="319">
        <f>IF(AND('Ações'!AU225="sim", 'Ações'!BF225="sim"), 1, 0)
</f>
        <v>0</v>
      </c>
      <c r="E224" s="319">
        <f>IF(AND('Ações'!AV225="sim", 'Ações'!BG225="sim"), 1, 0)
</f>
        <v>0</v>
      </c>
      <c r="F224" s="319">
        <f>IF(AND('Ações'!AW225="sim", 'Ações'!BH225="sim"), 1, 0)
</f>
        <v>0</v>
      </c>
      <c r="G224" s="319">
        <f>IF(AND('Ações'!AX225="sim", 'Ações'!BI225="sim"), 1, 0)
</f>
        <v>0</v>
      </c>
      <c r="H224" s="319">
        <f>IF(AND('Ações'!AS225="sim", 'Ações'!BE225="sim"), 1, 0)
</f>
        <v>0</v>
      </c>
      <c r="I224" s="319">
        <f>IF(AND('Ações'!AS225="sim", 'Ações'!BF225="sim"), 1, 0)
</f>
        <v>0</v>
      </c>
      <c r="J224" s="319">
        <f>IF(AND('Ações'!AS225="sim", 'Ações'!BG225="sim"), 1, 0)
</f>
        <v>0</v>
      </c>
      <c r="K224" s="319">
        <f>IF(AND('Ações'!AS225="sim", 'Ações'!BH225="sim"), 1, 0)
</f>
        <v>0</v>
      </c>
      <c r="L224" s="319">
        <f>IF(AND('Ações'!AS225="sim", 'Ações'!BI225="sim"), 1, 0)
</f>
        <v>0</v>
      </c>
      <c r="M224" s="319">
        <f>IF(AND('Ações'!AT225="sim", 'Ações'!BD225="sim"), 1, 0)
</f>
        <v>1</v>
      </c>
      <c r="N224" s="319">
        <f>IF(AND('Ações'!AT225="sim", 'Ações'!BF225="sim"), 1, 0)
</f>
        <v>0</v>
      </c>
      <c r="O224" s="319">
        <f>IF(AND('Ações'!AT225="sim", 'Ações'!BG225="sim"), 1, 0)
</f>
        <v>0</v>
      </c>
      <c r="P224" s="319">
        <f>IF(AND('Ações'!AT225="sim", 'Ações'!BH225="sim"), 1, 0)
</f>
        <v>0</v>
      </c>
      <c r="Q224" s="319">
        <f>IF(AND('Ações'!AT225="sim", 'Ações'!BI225="sim"), 1, 0)
</f>
        <v>0</v>
      </c>
      <c r="R224" s="319">
        <f>IF(AND('Ações'!AU225="sim", 'Ações'!BD225="sim"), 1, 0)
</f>
        <v>1</v>
      </c>
      <c r="S224" s="319">
        <f>IF(AND('Ações'!AU225="sim", 'Ações'!BE225="sim"), 1, 0)
</f>
        <v>0</v>
      </c>
      <c r="T224" s="319">
        <f>IF(AND('Ações'!AU225="sim", 'Ações'!BG225="sim"), 1, 0)
</f>
        <v>0</v>
      </c>
      <c r="U224" s="319">
        <f>IF(AND('Ações'!AU225="sim", 'Ações'!BH225="sim"), 1, 0)
</f>
        <v>0</v>
      </c>
      <c r="V224" s="319">
        <f>IF(AND('Ações'!AU225="sim", 'Ações'!BI225="sim"), 1, 0)
</f>
        <v>0</v>
      </c>
      <c r="W224" s="319">
        <f>IF(AND('Ações'!AV225="sim", 'Ações'!BD225="sim"), 1, 0)
</f>
        <v>1</v>
      </c>
      <c r="X224" s="319">
        <f>IF(AND('Ações'!AV225="sim", 'Ações'!BE225="sim"), 1, 0)
</f>
        <v>0</v>
      </c>
      <c r="Y224" s="319">
        <f>IF(AND('Ações'!AV225="sim", 'Ações'!BF225="sim"), 1, 0)
</f>
        <v>0</v>
      </c>
      <c r="Z224" s="319">
        <f>IF(AND('Ações'!AV225="sim", 'Ações'!BH225="sim"), 1, 0)
</f>
        <v>0</v>
      </c>
      <c r="AA224" s="319">
        <f>IF(AND('Ações'!AV225="sim", 'Ações'!BI225="sim"), 1, 0)
</f>
        <v>0</v>
      </c>
      <c r="AB224" s="319">
        <f>IF(AND('Ações'!AW225="sim", 'Ações'!BD225="sim"), 1, 0)
</f>
        <v>1</v>
      </c>
      <c r="AC224" s="319">
        <f>IF(AND('Ações'!AW225="sim", 'Ações'!BE225="sim"), 1, 0)
</f>
        <v>0</v>
      </c>
      <c r="AD224" s="319">
        <f>IF(AND('Ações'!AW225="sim", 'Ações'!BF225="sim"), 1, 0)
</f>
        <v>0</v>
      </c>
      <c r="AE224" s="319">
        <f>IF(AND('Ações'!AW225="sim", 'Ações'!BG225="sim"), 1, 0)
</f>
        <v>0</v>
      </c>
      <c r="AF224" s="319">
        <f>IF(AND('Ações'!AW225="sim", 'Ações'!BI225="sim"), 1, 0)
</f>
        <v>0</v>
      </c>
      <c r="AG224" s="319">
        <f>IF(AND('Ações'!AX225="sim", 'Ações'!BD225="sim"), 1, 0)
</f>
        <v>0</v>
      </c>
      <c r="AH224" s="319">
        <f>IF(AND('Ações'!AX225="sim", 'Ações'!BE225="sim"), 1, 0)
</f>
        <v>0</v>
      </c>
      <c r="AI224" s="319">
        <f>IF(AND('Ações'!AX225="sim", 'Ações'!BF225="sim"), 1, 0)
</f>
        <v>0</v>
      </c>
      <c r="AJ224" s="319">
        <f>IF(AND('Ações'!AX225="sim", 'Ações'!BG225="sim"), 1, 0)
</f>
        <v>0</v>
      </c>
      <c r="AK224" s="319">
        <f>IF(AND('Ações'!AX225="sim", 'Ações'!BH225="sim"), 1, 0)
</f>
        <v>0</v>
      </c>
    </row>
    <row r="225">
      <c r="B225" s="319">
        <f>IF(AND('Ações'!AS226="sim", 'Ações'!BD226="sim"), 1, 0)
</f>
        <v>0</v>
      </c>
      <c r="C225" s="319">
        <f>IF(AND('Ações'!AT226="sim", 'Ações'!BE226="sim"), 1, 0)
</f>
        <v>0</v>
      </c>
      <c r="D225" s="319">
        <f>IF(AND('Ações'!AU226="sim", 'Ações'!BF226="sim"), 1, 0)
</f>
        <v>0</v>
      </c>
      <c r="E225" s="319">
        <f>IF(AND('Ações'!AV226="sim", 'Ações'!BG226="sim"), 1, 0)
</f>
        <v>0</v>
      </c>
      <c r="F225" s="319">
        <f>IF(AND('Ações'!AW226="sim", 'Ações'!BH226="sim"), 1, 0)
</f>
        <v>1</v>
      </c>
      <c r="G225" s="319">
        <f>IF(AND('Ações'!AX226="sim", 'Ações'!BI226="sim"), 1, 0)
</f>
        <v>0</v>
      </c>
      <c r="H225" s="319">
        <f>IF(AND('Ações'!AS226="sim", 'Ações'!BE226="sim"), 1, 0)
</f>
        <v>0</v>
      </c>
      <c r="I225" s="319">
        <f>IF(AND('Ações'!AS226="sim", 'Ações'!BF226="sim"), 1, 0)
</f>
        <v>0</v>
      </c>
      <c r="J225" s="319">
        <f>IF(AND('Ações'!AS226="sim", 'Ações'!BG226="sim"), 1, 0)
</f>
        <v>0</v>
      </c>
      <c r="K225" s="319">
        <f>IF(AND('Ações'!AS226="sim", 'Ações'!BH226="sim"), 1, 0)
</f>
        <v>0</v>
      </c>
      <c r="L225" s="319">
        <f>IF(AND('Ações'!AS226="sim", 'Ações'!BI226="sim"), 1, 0)
</f>
        <v>0</v>
      </c>
      <c r="M225" s="319">
        <f>IF(AND('Ações'!AT226="sim", 'Ações'!BD226="sim"), 1, 0)
</f>
        <v>1</v>
      </c>
      <c r="N225" s="319">
        <f>IF(AND('Ações'!AT226="sim", 'Ações'!BF226="sim"), 1, 0)
</f>
        <v>0</v>
      </c>
      <c r="O225" s="319">
        <f>IF(AND('Ações'!AT226="sim", 'Ações'!BG226="sim"), 1, 0)
</f>
        <v>0</v>
      </c>
      <c r="P225" s="319">
        <f>IF(AND('Ações'!AT226="sim", 'Ações'!BH226="sim"), 1, 0)
</f>
        <v>1</v>
      </c>
      <c r="Q225" s="319">
        <f>IF(AND('Ações'!AT226="sim", 'Ações'!BI226="sim"), 1, 0)
</f>
        <v>0</v>
      </c>
      <c r="R225" s="319">
        <f>IF(AND('Ações'!AU226="sim", 'Ações'!BD226="sim"), 1, 0)
</f>
        <v>0</v>
      </c>
      <c r="S225" s="319">
        <f>IF(AND('Ações'!AU226="sim", 'Ações'!BE226="sim"), 1, 0)
</f>
        <v>0</v>
      </c>
      <c r="T225" s="319">
        <f>IF(AND('Ações'!AU226="sim", 'Ações'!BG226="sim"), 1, 0)
</f>
        <v>0</v>
      </c>
      <c r="U225" s="319">
        <f>IF(AND('Ações'!AU226="sim", 'Ações'!BH226="sim"), 1, 0)
</f>
        <v>0</v>
      </c>
      <c r="V225" s="319">
        <f>IF(AND('Ações'!AU226="sim", 'Ações'!BI226="sim"), 1, 0)
</f>
        <v>0</v>
      </c>
      <c r="W225" s="319">
        <f>IF(AND('Ações'!AV226="sim", 'Ações'!BD226="sim"), 1, 0)
</f>
        <v>1</v>
      </c>
      <c r="X225" s="319">
        <f>IF(AND('Ações'!AV226="sim", 'Ações'!BE226="sim"), 1, 0)
</f>
        <v>0</v>
      </c>
      <c r="Y225" s="319">
        <f>IF(AND('Ações'!AV226="sim", 'Ações'!BF226="sim"), 1, 0)
</f>
        <v>0</v>
      </c>
      <c r="Z225" s="319">
        <f>IF(AND('Ações'!AV226="sim", 'Ações'!BH226="sim"), 1, 0)
</f>
        <v>1</v>
      </c>
      <c r="AA225" s="319">
        <f>IF(AND('Ações'!AV226="sim", 'Ações'!BI226="sim"), 1, 0)
</f>
        <v>0</v>
      </c>
      <c r="AB225" s="319">
        <f>IF(AND('Ações'!AW226="sim", 'Ações'!BD226="sim"), 1, 0)
</f>
        <v>1</v>
      </c>
      <c r="AC225" s="319">
        <f>IF(AND('Ações'!AW226="sim", 'Ações'!BE226="sim"), 1, 0)
</f>
        <v>0</v>
      </c>
      <c r="AD225" s="319">
        <f>IF(AND('Ações'!AW226="sim", 'Ações'!BF226="sim"), 1, 0)
</f>
        <v>0</v>
      </c>
      <c r="AE225" s="319">
        <f>IF(AND('Ações'!AW226="sim", 'Ações'!BG226="sim"), 1, 0)
</f>
        <v>0</v>
      </c>
      <c r="AF225" s="319">
        <f>IF(AND('Ações'!AW226="sim", 'Ações'!BI226="sim"), 1, 0)
</f>
        <v>0</v>
      </c>
      <c r="AG225" s="319">
        <f>IF(AND('Ações'!AX226="sim", 'Ações'!BD226="sim"), 1, 0)
</f>
        <v>0</v>
      </c>
      <c r="AH225" s="319">
        <f>IF(AND('Ações'!AX226="sim", 'Ações'!BE226="sim"), 1, 0)
</f>
        <v>0</v>
      </c>
      <c r="AI225" s="319">
        <f>IF(AND('Ações'!AX226="sim", 'Ações'!BF226="sim"), 1, 0)
</f>
        <v>0</v>
      </c>
      <c r="AJ225" s="319">
        <f>IF(AND('Ações'!AX226="sim", 'Ações'!BG226="sim"), 1, 0)
</f>
        <v>0</v>
      </c>
      <c r="AK225" s="319">
        <f>IF(AND('Ações'!AX226="sim", 'Ações'!BH226="sim"), 1, 0)
</f>
        <v>0</v>
      </c>
    </row>
    <row r="226">
      <c r="B226" s="319">
        <f>IF(AND('Ações'!AS227="sim", 'Ações'!BD227="sim"), 1, 0)
</f>
        <v>0</v>
      </c>
      <c r="C226" s="319">
        <f>IF(AND('Ações'!AT227="sim", 'Ações'!BE227="sim"), 1, 0)
</f>
        <v>0</v>
      </c>
      <c r="D226" s="319">
        <f>IF(AND('Ações'!AU227="sim", 'Ações'!BF227="sim"), 1, 0)
</f>
        <v>0</v>
      </c>
      <c r="E226" s="319">
        <f>IF(AND('Ações'!AV227="sim", 'Ações'!BG227="sim"), 1, 0)
</f>
        <v>0</v>
      </c>
      <c r="F226" s="319">
        <f>IF(AND('Ações'!AW227="sim", 'Ações'!BH227="sim"), 1, 0)
</f>
        <v>0</v>
      </c>
      <c r="G226" s="319">
        <f>IF(AND('Ações'!AX227="sim", 'Ações'!BI227="sim"), 1, 0)
</f>
        <v>0</v>
      </c>
      <c r="H226" s="319">
        <f>IF(AND('Ações'!AS227="sim", 'Ações'!BE227="sim"), 1, 0)
</f>
        <v>0</v>
      </c>
      <c r="I226" s="319">
        <f>IF(AND('Ações'!AS227="sim", 'Ações'!BF227="sim"), 1, 0)
</f>
        <v>0</v>
      </c>
      <c r="J226" s="319">
        <f>IF(AND('Ações'!AS227="sim", 'Ações'!BG227="sim"), 1, 0)
</f>
        <v>0</v>
      </c>
      <c r="K226" s="319">
        <f>IF(AND('Ações'!AS227="sim", 'Ações'!BH227="sim"), 1, 0)
</f>
        <v>0</v>
      </c>
      <c r="L226" s="319">
        <f>IF(AND('Ações'!AS227="sim", 'Ações'!BI227="sim"), 1, 0)
</f>
        <v>0</v>
      </c>
      <c r="M226" s="319">
        <f>IF(AND('Ações'!AT227="sim", 'Ações'!BD227="sim"), 1, 0)
</f>
        <v>0</v>
      </c>
      <c r="N226" s="319">
        <f>IF(AND('Ações'!AT227="sim", 'Ações'!BF227="sim"), 1, 0)
</f>
        <v>0</v>
      </c>
      <c r="O226" s="319">
        <f>IF(AND('Ações'!AT227="sim", 'Ações'!BG227="sim"), 1, 0)
</f>
        <v>0</v>
      </c>
      <c r="P226" s="319">
        <f>IF(AND('Ações'!AT227="sim", 'Ações'!BH227="sim"), 1, 0)
</f>
        <v>0</v>
      </c>
      <c r="Q226" s="319">
        <f>IF(AND('Ações'!AT227="sim", 'Ações'!BI227="sim"), 1, 0)
</f>
        <v>1</v>
      </c>
      <c r="R226" s="319">
        <f>IF(AND('Ações'!AU227="sim", 'Ações'!BD227="sim"), 1, 0)
</f>
        <v>0</v>
      </c>
      <c r="S226" s="319">
        <f>IF(AND('Ações'!AU227="sim", 'Ações'!BE227="sim"), 1, 0)
</f>
        <v>0</v>
      </c>
      <c r="T226" s="319">
        <f>IF(AND('Ações'!AU227="sim", 'Ações'!BG227="sim"), 1, 0)
</f>
        <v>0</v>
      </c>
      <c r="U226" s="319">
        <f>IF(AND('Ações'!AU227="sim", 'Ações'!BH227="sim"), 1, 0)
</f>
        <v>0</v>
      </c>
      <c r="V226" s="319">
        <f>IF(AND('Ações'!AU227="sim", 'Ações'!BI227="sim"), 1, 0)
</f>
        <v>0</v>
      </c>
      <c r="W226" s="319">
        <f>IF(AND('Ações'!AV227="sim", 'Ações'!BD227="sim"), 1, 0)
</f>
        <v>0</v>
      </c>
      <c r="X226" s="319">
        <f>IF(AND('Ações'!AV227="sim", 'Ações'!BE227="sim"), 1, 0)
</f>
        <v>0</v>
      </c>
      <c r="Y226" s="319">
        <f>IF(AND('Ações'!AV227="sim", 'Ações'!BF227="sim"), 1, 0)
</f>
        <v>0</v>
      </c>
      <c r="Z226" s="319">
        <f>IF(AND('Ações'!AV227="sim", 'Ações'!BH227="sim"), 1, 0)
</f>
        <v>0</v>
      </c>
      <c r="AA226" s="319">
        <f>IF(AND('Ações'!AV227="sim", 'Ações'!BI227="sim"), 1, 0)
</f>
        <v>1</v>
      </c>
      <c r="AB226" s="319">
        <f>IF(AND('Ações'!AW227="sim", 'Ações'!BD227="sim"), 1, 0)
</f>
        <v>0</v>
      </c>
      <c r="AC226" s="319">
        <f>IF(AND('Ações'!AW227="sim", 'Ações'!BE227="sim"), 1, 0)
</f>
        <v>0</v>
      </c>
      <c r="AD226" s="319">
        <f>IF(AND('Ações'!AW227="sim", 'Ações'!BF227="sim"), 1, 0)
</f>
        <v>0</v>
      </c>
      <c r="AE226" s="319">
        <f>IF(AND('Ações'!AW227="sim", 'Ações'!BG227="sim"), 1, 0)
</f>
        <v>0</v>
      </c>
      <c r="AF226" s="319">
        <f>IF(AND('Ações'!AW227="sim", 'Ações'!BI227="sim"), 1, 0)
</f>
        <v>1</v>
      </c>
      <c r="AG226" s="319">
        <f>IF(AND('Ações'!AX227="sim", 'Ações'!BD227="sim"), 1, 0)
</f>
        <v>0</v>
      </c>
      <c r="AH226" s="319">
        <f>IF(AND('Ações'!AX227="sim", 'Ações'!BE227="sim"), 1, 0)
</f>
        <v>0</v>
      </c>
      <c r="AI226" s="319">
        <f>IF(AND('Ações'!AX227="sim", 'Ações'!BF227="sim"), 1, 0)
</f>
        <v>0</v>
      </c>
      <c r="AJ226" s="319">
        <f>IF(AND('Ações'!AX227="sim", 'Ações'!BG227="sim"), 1, 0)
</f>
        <v>0</v>
      </c>
      <c r="AK226" s="319">
        <f>IF(AND('Ações'!AX227="sim", 'Ações'!BH227="sim"), 1, 0)
</f>
        <v>0</v>
      </c>
    </row>
    <row r="227">
      <c r="B227" s="319">
        <f>IF(AND('Ações'!AS228="sim", 'Ações'!BD228="sim"), 1, 0)
</f>
        <v>0</v>
      </c>
      <c r="C227" s="319">
        <f>IF(AND('Ações'!AT228="sim", 'Ações'!BE228="sim"), 1, 0)
</f>
        <v>0</v>
      </c>
      <c r="D227" s="319">
        <f>IF(AND('Ações'!AU228="sim", 'Ações'!BF228="sim"), 1, 0)
</f>
        <v>0</v>
      </c>
      <c r="E227" s="319">
        <f>IF(AND('Ações'!AV228="sim", 'Ações'!BG228="sim"), 1, 0)
</f>
        <v>0</v>
      </c>
      <c r="F227" s="319">
        <f>IF(AND('Ações'!AW228="sim", 'Ações'!BH228="sim"), 1, 0)
</f>
        <v>0</v>
      </c>
      <c r="G227" s="319">
        <f>IF(AND('Ações'!AX228="sim", 'Ações'!BI228="sim"), 1, 0)
</f>
        <v>0</v>
      </c>
      <c r="H227" s="319">
        <f>IF(AND('Ações'!AS228="sim", 'Ações'!BE228="sim"), 1, 0)
</f>
        <v>0</v>
      </c>
      <c r="I227" s="319">
        <f>IF(AND('Ações'!AS228="sim", 'Ações'!BF228="sim"), 1, 0)
</f>
        <v>0</v>
      </c>
      <c r="J227" s="319">
        <f>IF(AND('Ações'!AS228="sim", 'Ações'!BG228="sim"), 1, 0)
</f>
        <v>0</v>
      </c>
      <c r="K227" s="319">
        <f>IF(AND('Ações'!AS228="sim", 'Ações'!BH228="sim"), 1, 0)
</f>
        <v>0</v>
      </c>
      <c r="L227" s="319">
        <f>IF(AND('Ações'!AS228="sim", 'Ações'!BI228="sim"), 1, 0)
</f>
        <v>0</v>
      </c>
      <c r="M227" s="319">
        <f>IF(AND('Ações'!AT228="sim", 'Ações'!BD228="sim"), 1, 0)
</f>
        <v>1</v>
      </c>
      <c r="N227" s="319">
        <f>IF(AND('Ações'!AT228="sim", 'Ações'!BF228="sim"), 1, 0)
</f>
        <v>0</v>
      </c>
      <c r="O227" s="319">
        <f>IF(AND('Ações'!AT228="sim", 'Ações'!BG228="sim"), 1, 0)
</f>
        <v>0</v>
      </c>
      <c r="P227" s="319">
        <f>IF(AND('Ações'!AT228="sim", 'Ações'!BH228="sim"), 1, 0)
</f>
        <v>0</v>
      </c>
      <c r="Q227" s="319">
        <f>IF(AND('Ações'!AT228="sim", 'Ações'!BI228="sim"), 1, 0)
</f>
        <v>0</v>
      </c>
      <c r="R227" s="319">
        <f>IF(AND('Ações'!AU228="sim", 'Ações'!BD228="sim"), 1, 0)
</f>
        <v>0</v>
      </c>
      <c r="S227" s="319">
        <f>IF(AND('Ações'!AU228="sim", 'Ações'!BE228="sim"), 1, 0)
</f>
        <v>0</v>
      </c>
      <c r="T227" s="319">
        <f>IF(AND('Ações'!AU228="sim", 'Ações'!BG228="sim"), 1, 0)
</f>
        <v>0</v>
      </c>
      <c r="U227" s="319">
        <f>IF(AND('Ações'!AU228="sim", 'Ações'!BH228="sim"), 1, 0)
</f>
        <v>0</v>
      </c>
      <c r="V227" s="319">
        <f>IF(AND('Ações'!AU228="sim", 'Ações'!BI228="sim"), 1, 0)
</f>
        <v>0</v>
      </c>
      <c r="W227" s="319">
        <f>IF(AND('Ações'!AV228="sim", 'Ações'!BD228="sim"), 1, 0)
</f>
        <v>1</v>
      </c>
      <c r="X227" s="319">
        <f>IF(AND('Ações'!AV228="sim", 'Ações'!BE228="sim"), 1, 0)
</f>
        <v>0</v>
      </c>
      <c r="Y227" s="319">
        <f>IF(AND('Ações'!AV228="sim", 'Ações'!BF228="sim"), 1, 0)
</f>
        <v>0</v>
      </c>
      <c r="Z227" s="319">
        <f>IF(AND('Ações'!AV228="sim", 'Ações'!BH228="sim"), 1, 0)
</f>
        <v>0</v>
      </c>
      <c r="AA227" s="319">
        <f>IF(AND('Ações'!AV228="sim", 'Ações'!BI228="sim"), 1, 0)
</f>
        <v>0</v>
      </c>
      <c r="AB227" s="319">
        <f>IF(AND('Ações'!AW228="sim", 'Ações'!BD228="sim"), 1, 0)
</f>
        <v>1</v>
      </c>
      <c r="AC227" s="319">
        <f>IF(AND('Ações'!AW228="sim", 'Ações'!BE228="sim"), 1, 0)
</f>
        <v>0</v>
      </c>
      <c r="AD227" s="319">
        <f>IF(AND('Ações'!AW228="sim", 'Ações'!BF228="sim"), 1, 0)
</f>
        <v>0</v>
      </c>
      <c r="AE227" s="319">
        <f>IF(AND('Ações'!AW228="sim", 'Ações'!BG228="sim"), 1, 0)
</f>
        <v>0</v>
      </c>
      <c r="AF227" s="319">
        <f>IF(AND('Ações'!AW228="sim", 'Ações'!BI228="sim"), 1, 0)
</f>
        <v>0</v>
      </c>
      <c r="AG227" s="319">
        <f>IF(AND('Ações'!AX228="sim", 'Ações'!BD228="sim"), 1, 0)
</f>
        <v>0</v>
      </c>
      <c r="AH227" s="319">
        <f>IF(AND('Ações'!AX228="sim", 'Ações'!BE228="sim"), 1, 0)
</f>
        <v>0</v>
      </c>
      <c r="AI227" s="319">
        <f>IF(AND('Ações'!AX228="sim", 'Ações'!BF228="sim"), 1, 0)
</f>
        <v>0</v>
      </c>
      <c r="AJ227" s="319">
        <f>IF(AND('Ações'!AX228="sim", 'Ações'!BG228="sim"), 1, 0)
</f>
        <v>0</v>
      </c>
      <c r="AK227" s="319">
        <f>IF(AND('Ações'!AX228="sim", 'Ações'!BH228="sim"), 1, 0)
</f>
        <v>0</v>
      </c>
    </row>
    <row r="228">
      <c r="B228" s="319">
        <f>IF(AND('Ações'!AS229="sim", 'Ações'!BD229="sim"), 1, 0)
</f>
        <v>1</v>
      </c>
      <c r="C228" s="319">
        <f>IF(AND('Ações'!AT229="sim", 'Ações'!BE229="sim"), 1, 0)
</f>
        <v>0</v>
      </c>
      <c r="D228" s="319">
        <f>IF(AND('Ações'!AU229="sim", 'Ações'!BF229="sim"), 1, 0)
</f>
        <v>0</v>
      </c>
      <c r="E228" s="319">
        <f>IF(AND('Ações'!AV229="sim", 'Ações'!BG229="sim"), 1, 0)
</f>
        <v>0</v>
      </c>
      <c r="F228" s="319">
        <f>IF(AND('Ações'!AW229="sim", 'Ações'!BH229="sim"), 1, 0)
</f>
        <v>0</v>
      </c>
      <c r="G228" s="319">
        <f>IF(AND('Ações'!AX229="sim", 'Ações'!BI229="sim"), 1, 0)
</f>
        <v>0</v>
      </c>
      <c r="H228" s="319">
        <f>IF(AND('Ações'!AS229="sim", 'Ações'!BE229="sim"), 1, 0)
</f>
        <v>0</v>
      </c>
      <c r="I228" s="319">
        <f>IF(AND('Ações'!AS229="sim", 'Ações'!BF229="sim"), 1, 0)
</f>
        <v>0</v>
      </c>
      <c r="J228" s="319">
        <f>IF(AND('Ações'!AS229="sim", 'Ações'!BG229="sim"), 1, 0)
</f>
        <v>0</v>
      </c>
      <c r="K228" s="319">
        <f>IF(AND('Ações'!AS229="sim", 'Ações'!BH229="sim"), 1, 0)
</f>
        <v>0</v>
      </c>
      <c r="L228" s="319">
        <f>IF(AND('Ações'!AS229="sim", 'Ações'!BI229="sim"), 1, 0)
</f>
        <v>0</v>
      </c>
      <c r="M228" s="319">
        <f>IF(AND('Ações'!AT229="sim", 'Ações'!BD229="sim"), 1, 0)
</f>
        <v>1</v>
      </c>
      <c r="N228" s="319">
        <f>IF(AND('Ações'!AT229="sim", 'Ações'!BF229="sim"), 1, 0)
</f>
        <v>0</v>
      </c>
      <c r="O228" s="319">
        <f>IF(AND('Ações'!AT229="sim", 'Ações'!BG229="sim"), 1, 0)
</f>
        <v>0</v>
      </c>
      <c r="P228" s="319">
        <f>IF(AND('Ações'!AT229="sim", 'Ações'!BH229="sim"), 1, 0)
</f>
        <v>0</v>
      </c>
      <c r="Q228" s="319">
        <f>IF(AND('Ações'!AT229="sim", 'Ações'!BI229="sim"), 1, 0)
</f>
        <v>0</v>
      </c>
      <c r="R228" s="319">
        <f>IF(AND('Ações'!AU229="sim", 'Ações'!BD229="sim"), 1, 0)
</f>
        <v>1</v>
      </c>
      <c r="S228" s="319">
        <f>IF(AND('Ações'!AU229="sim", 'Ações'!BE229="sim"), 1, 0)
</f>
        <v>0</v>
      </c>
      <c r="T228" s="319">
        <f>IF(AND('Ações'!AU229="sim", 'Ações'!BG229="sim"), 1, 0)
</f>
        <v>0</v>
      </c>
      <c r="U228" s="319">
        <f>IF(AND('Ações'!AU229="sim", 'Ações'!BH229="sim"), 1, 0)
</f>
        <v>0</v>
      </c>
      <c r="V228" s="319">
        <f>IF(AND('Ações'!AU229="sim", 'Ações'!BI229="sim"), 1, 0)
</f>
        <v>0</v>
      </c>
      <c r="W228" s="319">
        <f>IF(AND('Ações'!AV229="sim", 'Ações'!BD229="sim"), 1, 0)
</f>
        <v>1</v>
      </c>
      <c r="X228" s="319">
        <f>IF(AND('Ações'!AV229="sim", 'Ações'!BE229="sim"), 1, 0)
</f>
        <v>0</v>
      </c>
      <c r="Y228" s="319">
        <f>IF(AND('Ações'!AV229="sim", 'Ações'!BF229="sim"), 1, 0)
</f>
        <v>0</v>
      </c>
      <c r="Z228" s="319">
        <f>IF(AND('Ações'!AV229="sim", 'Ações'!BH229="sim"), 1, 0)
</f>
        <v>0</v>
      </c>
      <c r="AA228" s="319">
        <f>IF(AND('Ações'!AV229="sim", 'Ações'!BI229="sim"), 1, 0)
</f>
        <v>0</v>
      </c>
      <c r="AB228" s="319">
        <f>IF(AND('Ações'!AW229="sim", 'Ações'!BD229="sim"), 1, 0)
</f>
        <v>1</v>
      </c>
      <c r="AC228" s="319">
        <f>IF(AND('Ações'!AW229="sim", 'Ações'!BE229="sim"), 1, 0)
</f>
        <v>0</v>
      </c>
      <c r="AD228" s="319">
        <f>IF(AND('Ações'!AW229="sim", 'Ações'!BF229="sim"), 1, 0)
</f>
        <v>0</v>
      </c>
      <c r="AE228" s="319">
        <f>IF(AND('Ações'!AW229="sim", 'Ações'!BG229="sim"), 1, 0)
</f>
        <v>0</v>
      </c>
      <c r="AF228" s="319">
        <f>IF(AND('Ações'!AW229="sim", 'Ações'!BI229="sim"), 1, 0)
</f>
        <v>0</v>
      </c>
      <c r="AG228" s="319">
        <f>IF(AND('Ações'!AX229="sim", 'Ações'!BD229="sim"), 1, 0)
</f>
        <v>0</v>
      </c>
      <c r="AH228" s="319">
        <f>IF(AND('Ações'!AX229="sim", 'Ações'!BE229="sim"), 1, 0)
</f>
        <v>0</v>
      </c>
      <c r="AI228" s="319">
        <f>IF(AND('Ações'!AX229="sim", 'Ações'!BF229="sim"), 1, 0)
</f>
        <v>0</v>
      </c>
      <c r="AJ228" s="319">
        <f>IF(AND('Ações'!AX229="sim", 'Ações'!BG229="sim"), 1, 0)
</f>
        <v>0</v>
      </c>
      <c r="AK228" s="319">
        <f>IF(AND('Ações'!AX229="sim", 'Ações'!BH229="sim"), 1, 0)
</f>
        <v>0</v>
      </c>
    </row>
    <row r="229">
      <c r="B229" s="319">
        <f>IF(AND('Ações'!AS230="sim", 'Ações'!BD230="sim"), 1, 0)
</f>
        <v>1</v>
      </c>
      <c r="C229" s="319">
        <f>IF(AND('Ações'!AT230="sim", 'Ações'!BE230="sim"), 1, 0)
</f>
        <v>0</v>
      </c>
      <c r="D229" s="319">
        <f>IF(AND('Ações'!AU230="sim", 'Ações'!BF230="sim"), 1, 0)
</f>
        <v>0</v>
      </c>
      <c r="E229" s="319">
        <f>IF(AND('Ações'!AV230="sim", 'Ações'!BG230="sim"), 1, 0)
</f>
        <v>0</v>
      </c>
      <c r="F229" s="319">
        <f>IF(AND('Ações'!AW230="sim", 'Ações'!BH230="sim"), 1, 0)
</f>
        <v>0</v>
      </c>
      <c r="G229" s="319">
        <f>IF(AND('Ações'!AX230="sim", 'Ações'!BI230="sim"), 1, 0)
</f>
        <v>0</v>
      </c>
      <c r="H229" s="319">
        <f>IF(AND('Ações'!AS230="sim", 'Ações'!BE230="sim"), 1, 0)
</f>
        <v>0</v>
      </c>
      <c r="I229" s="319">
        <f>IF(AND('Ações'!AS230="sim", 'Ações'!BF230="sim"), 1, 0)
</f>
        <v>0</v>
      </c>
      <c r="J229" s="319">
        <f>IF(AND('Ações'!AS230="sim", 'Ações'!BG230="sim"), 1, 0)
</f>
        <v>0</v>
      </c>
      <c r="K229" s="319">
        <f>IF(AND('Ações'!AS230="sim", 'Ações'!BH230="sim"), 1, 0)
</f>
        <v>0</v>
      </c>
      <c r="L229" s="319">
        <f>IF(AND('Ações'!AS230="sim", 'Ações'!BI230="sim"), 1, 0)
</f>
        <v>0</v>
      </c>
      <c r="M229" s="319">
        <f>IF(AND('Ações'!AT230="sim", 'Ações'!BD230="sim"), 1, 0)
</f>
        <v>1</v>
      </c>
      <c r="N229" s="319">
        <f>IF(AND('Ações'!AT230="sim", 'Ações'!BF230="sim"), 1, 0)
</f>
        <v>0</v>
      </c>
      <c r="O229" s="319">
        <f>IF(AND('Ações'!AT230="sim", 'Ações'!BG230="sim"), 1, 0)
</f>
        <v>0</v>
      </c>
      <c r="P229" s="319">
        <f>IF(AND('Ações'!AT230="sim", 'Ações'!BH230="sim"), 1, 0)
</f>
        <v>0</v>
      </c>
      <c r="Q229" s="319">
        <f>IF(AND('Ações'!AT230="sim", 'Ações'!BI230="sim"), 1, 0)
</f>
        <v>0</v>
      </c>
      <c r="R229" s="319">
        <f>IF(AND('Ações'!AU230="sim", 'Ações'!BD230="sim"), 1, 0)
</f>
        <v>1</v>
      </c>
      <c r="S229" s="319">
        <f>IF(AND('Ações'!AU230="sim", 'Ações'!BE230="sim"), 1, 0)
</f>
        <v>0</v>
      </c>
      <c r="T229" s="319">
        <f>IF(AND('Ações'!AU230="sim", 'Ações'!BG230="sim"), 1, 0)
</f>
        <v>0</v>
      </c>
      <c r="U229" s="319">
        <f>IF(AND('Ações'!AU230="sim", 'Ações'!BH230="sim"), 1, 0)
</f>
        <v>0</v>
      </c>
      <c r="V229" s="319">
        <f>IF(AND('Ações'!AU230="sim", 'Ações'!BI230="sim"), 1, 0)
</f>
        <v>0</v>
      </c>
      <c r="W229" s="319">
        <f>IF(AND('Ações'!AV230="sim", 'Ações'!BD230="sim"), 1, 0)
</f>
        <v>1</v>
      </c>
      <c r="X229" s="319">
        <f>IF(AND('Ações'!AV230="sim", 'Ações'!BE230="sim"), 1, 0)
</f>
        <v>0</v>
      </c>
      <c r="Y229" s="319">
        <f>IF(AND('Ações'!AV230="sim", 'Ações'!BF230="sim"), 1, 0)
</f>
        <v>0</v>
      </c>
      <c r="Z229" s="319">
        <f>IF(AND('Ações'!AV230="sim", 'Ações'!BH230="sim"), 1, 0)
</f>
        <v>0</v>
      </c>
      <c r="AA229" s="319">
        <f>IF(AND('Ações'!AV230="sim", 'Ações'!BI230="sim"), 1, 0)
</f>
        <v>0</v>
      </c>
      <c r="AB229" s="319">
        <f>IF(AND('Ações'!AW230="sim", 'Ações'!BD230="sim"), 1, 0)
</f>
        <v>1</v>
      </c>
      <c r="AC229" s="319">
        <f>IF(AND('Ações'!AW230="sim", 'Ações'!BE230="sim"), 1, 0)
</f>
        <v>0</v>
      </c>
      <c r="AD229" s="319">
        <f>IF(AND('Ações'!AW230="sim", 'Ações'!BF230="sim"), 1, 0)
</f>
        <v>0</v>
      </c>
      <c r="AE229" s="319">
        <f>IF(AND('Ações'!AW230="sim", 'Ações'!BG230="sim"), 1, 0)
</f>
        <v>0</v>
      </c>
      <c r="AF229" s="319">
        <f>IF(AND('Ações'!AW230="sim", 'Ações'!BI230="sim"), 1, 0)
</f>
        <v>0</v>
      </c>
      <c r="AG229" s="319">
        <f>IF(AND('Ações'!AX230="sim", 'Ações'!BD230="sim"), 1, 0)
</f>
        <v>0</v>
      </c>
      <c r="AH229" s="319">
        <f>IF(AND('Ações'!AX230="sim", 'Ações'!BE230="sim"), 1, 0)
</f>
        <v>0</v>
      </c>
      <c r="AI229" s="319">
        <f>IF(AND('Ações'!AX230="sim", 'Ações'!BF230="sim"), 1, 0)
</f>
        <v>0</v>
      </c>
      <c r="AJ229" s="319">
        <f>IF(AND('Ações'!AX230="sim", 'Ações'!BG230="sim"), 1, 0)
</f>
        <v>0</v>
      </c>
      <c r="AK229" s="319">
        <f>IF(AND('Ações'!AX230="sim", 'Ações'!BH230="sim"), 1, 0)
</f>
        <v>0</v>
      </c>
    </row>
    <row r="230">
      <c r="B230" s="319">
        <f>IF(AND('Ações'!AS231="sim", 'Ações'!BD231="sim"), 1, 0)
</f>
        <v>0</v>
      </c>
      <c r="C230" s="319">
        <f>IF(AND('Ações'!AT231="sim", 'Ações'!BE231="sim"), 1, 0)
</f>
        <v>0</v>
      </c>
      <c r="D230" s="319">
        <f>IF(AND('Ações'!AU231="sim", 'Ações'!BF231="sim"), 1, 0)
</f>
        <v>0</v>
      </c>
      <c r="E230" s="319">
        <f>IF(AND('Ações'!AV231="sim", 'Ações'!BG231="sim"), 1, 0)
</f>
        <v>1</v>
      </c>
      <c r="F230" s="319">
        <f>IF(AND('Ações'!AW231="sim", 'Ações'!BH231="sim"), 1, 0)
</f>
        <v>0</v>
      </c>
      <c r="G230" s="319">
        <f>IF(AND('Ações'!AX231="sim", 'Ações'!BI231="sim"), 1, 0)
</f>
        <v>0</v>
      </c>
      <c r="H230" s="319">
        <f>IF(AND('Ações'!AS231="sim", 'Ações'!BE231="sim"), 1, 0)
</f>
        <v>0</v>
      </c>
      <c r="I230" s="319">
        <f>IF(AND('Ações'!AS231="sim", 'Ações'!BF231="sim"), 1, 0)
</f>
        <v>0</v>
      </c>
      <c r="J230" s="319">
        <f>IF(AND('Ações'!AS231="sim", 'Ações'!BG231="sim"), 1, 0)
</f>
        <v>1</v>
      </c>
      <c r="K230" s="319">
        <f>IF(AND('Ações'!AS231="sim", 'Ações'!BH231="sim"), 1, 0)
</f>
        <v>0</v>
      </c>
      <c r="L230" s="319">
        <f>IF(AND('Ações'!AS231="sim", 'Ações'!BI231="sim"), 1, 0)
</f>
        <v>0</v>
      </c>
      <c r="M230" s="319">
        <f>IF(AND('Ações'!AT231="sim", 'Ações'!BD231="sim"), 1, 0)
</f>
        <v>0</v>
      </c>
      <c r="N230" s="319">
        <f>IF(AND('Ações'!AT231="sim", 'Ações'!BF231="sim"), 1, 0)
</f>
        <v>0</v>
      </c>
      <c r="O230" s="319">
        <f>IF(AND('Ações'!AT231="sim", 'Ações'!BG231="sim"), 1, 0)
</f>
        <v>1</v>
      </c>
      <c r="P230" s="319">
        <f>IF(AND('Ações'!AT231="sim", 'Ações'!BH231="sim"), 1, 0)
</f>
        <v>0</v>
      </c>
      <c r="Q230" s="319">
        <f>IF(AND('Ações'!AT231="sim", 'Ações'!BI231="sim"), 1, 0)
</f>
        <v>0</v>
      </c>
      <c r="R230" s="319">
        <f>IF(AND('Ações'!AU231="sim", 'Ações'!BD231="sim"), 1, 0)
</f>
        <v>0</v>
      </c>
      <c r="S230" s="319">
        <f>IF(AND('Ações'!AU231="sim", 'Ações'!BE231="sim"), 1, 0)
</f>
        <v>0</v>
      </c>
      <c r="T230" s="319">
        <f>IF(AND('Ações'!AU231="sim", 'Ações'!BG231="sim"), 1, 0)
</f>
        <v>1</v>
      </c>
      <c r="U230" s="319">
        <f>IF(AND('Ações'!AU231="sim", 'Ações'!BH231="sim"), 1, 0)
</f>
        <v>0</v>
      </c>
      <c r="V230" s="319">
        <f>IF(AND('Ações'!AU231="sim", 'Ações'!BI231="sim"), 1, 0)
</f>
        <v>0</v>
      </c>
      <c r="W230" s="319">
        <f>IF(AND('Ações'!AV231="sim", 'Ações'!BD231="sim"), 1, 0)
</f>
        <v>0</v>
      </c>
      <c r="X230" s="319">
        <f>IF(AND('Ações'!AV231="sim", 'Ações'!BE231="sim"), 1, 0)
</f>
        <v>0</v>
      </c>
      <c r="Y230" s="319">
        <f>IF(AND('Ações'!AV231="sim", 'Ações'!BF231="sim"), 1, 0)
</f>
        <v>0</v>
      </c>
      <c r="Z230" s="319">
        <f>IF(AND('Ações'!AV231="sim", 'Ações'!BH231="sim"), 1, 0)
</f>
        <v>0</v>
      </c>
      <c r="AA230" s="319">
        <f>IF(AND('Ações'!AV231="sim", 'Ações'!BI231="sim"), 1, 0)
</f>
        <v>0</v>
      </c>
      <c r="AB230" s="319">
        <f>IF(AND('Ações'!AW231="sim", 'Ações'!BD231="sim"), 1, 0)
</f>
        <v>0</v>
      </c>
      <c r="AC230" s="319">
        <f>IF(AND('Ações'!AW231="sim", 'Ações'!BE231="sim"), 1, 0)
</f>
        <v>0</v>
      </c>
      <c r="AD230" s="319">
        <f>IF(AND('Ações'!AW231="sim", 'Ações'!BF231="sim"), 1, 0)
</f>
        <v>0</v>
      </c>
      <c r="AE230" s="319">
        <f>IF(AND('Ações'!AW231="sim", 'Ações'!BG231="sim"), 1, 0)
</f>
        <v>1</v>
      </c>
      <c r="AF230" s="319">
        <f>IF(AND('Ações'!AW231="sim", 'Ações'!BI231="sim"), 1, 0)
</f>
        <v>0</v>
      </c>
      <c r="AG230" s="319">
        <f>IF(AND('Ações'!AX231="sim", 'Ações'!BD231="sim"), 1, 0)
</f>
        <v>0</v>
      </c>
      <c r="AH230" s="319">
        <f>IF(AND('Ações'!AX231="sim", 'Ações'!BE231="sim"), 1, 0)
</f>
        <v>0</v>
      </c>
      <c r="AI230" s="319">
        <f>IF(AND('Ações'!AX231="sim", 'Ações'!BF231="sim"), 1, 0)
</f>
        <v>0</v>
      </c>
      <c r="AJ230" s="319">
        <f>IF(AND('Ações'!AX231="sim", 'Ações'!BG231="sim"), 1, 0)
</f>
        <v>0</v>
      </c>
      <c r="AK230" s="319">
        <f>IF(AND('Ações'!AX231="sim", 'Ações'!BH231="sim"), 1, 0)
</f>
        <v>0</v>
      </c>
    </row>
    <row r="231">
      <c r="B231" s="319">
        <f>IF(AND('Ações'!AS232="sim", 'Ações'!BD232="sim"), 1, 0)
</f>
        <v>0</v>
      </c>
      <c r="C231" s="319">
        <f>IF(AND('Ações'!AT232="sim", 'Ações'!BE232="sim"), 1, 0)
</f>
        <v>0</v>
      </c>
      <c r="D231" s="319">
        <f>IF(AND('Ações'!AU232="sim", 'Ações'!BF232="sim"), 1, 0)
</f>
        <v>0</v>
      </c>
      <c r="E231" s="319">
        <f>IF(AND('Ações'!AV232="sim", 'Ações'!BG232="sim"), 1, 0)
</f>
        <v>0</v>
      </c>
      <c r="F231" s="319">
        <f>IF(AND('Ações'!AW232="sim", 'Ações'!BH232="sim"), 1, 0)
</f>
        <v>0</v>
      </c>
      <c r="G231" s="319">
        <f>IF(AND('Ações'!AX232="sim", 'Ações'!BI232="sim"), 1, 0)
</f>
        <v>0</v>
      </c>
      <c r="H231" s="319">
        <f>IF(AND('Ações'!AS232="sim", 'Ações'!BE232="sim"), 1, 0)
</f>
        <v>0</v>
      </c>
      <c r="I231" s="319">
        <f>IF(AND('Ações'!AS232="sim", 'Ações'!BF232="sim"), 1, 0)
</f>
        <v>0</v>
      </c>
      <c r="J231" s="319">
        <f>IF(AND('Ações'!AS232="sim", 'Ações'!BG232="sim"), 1, 0)
</f>
        <v>0</v>
      </c>
      <c r="K231" s="319">
        <f>IF(AND('Ações'!AS232="sim", 'Ações'!BH232="sim"), 1, 0)
</f>
        <v>0</v>
      </c>
      <c r="L231" s="319">
        <f>IF(AND('Ações'!AS232="sim", 'Ações'!BI232="sim"), 1, 0)
</f>
        <v>0</v>
      </c>
      <c r="M231" s="319">
        <f>IF(AND('Ações'!AT232="sim", 'Ações'!BD232="sim"), 1, 0)
</f>
        <v>1</v>
      </c>
      <c r="N231" s="319">
        <f>IF(AND('Ações'!AT232="sim", 'Ações'!BF232="sim"), 1, 0)
</f>
        <v>0</v>
      </c>
      <c r="O231" s="319">
        <f>IF(AND('Ações'!AT232="sim", 'Ações'!BG232="sim"), 1, 0)
</f>
        <v>0</v>
      </c>
      <c r="P231" s="319">
        <f>IF(AND('Ações'!AT232="sim", 'Ações'!BH232="sim"), 1, 0)
</f>
        <v>0</v>
      </c>
      <c r="Q231" s="319">
        <f>IF(AND('Ações'!AT232="sim", 'Ações'!BI232="sim"), 1, 0)
</f>
        <v>0</v>
      </c>
      <c r="R231" s="319">
        <f>IF(AND('Ações'!AU232="sim", 'Ações'!BD232="sim"), 1, 0)
</f>
        <v>1</v>
      </c>
      <c r="S231" s="319">
        <f>IF(AND('Ações'!AU232="sim", 'Ações'!BE232="sim"), 1, 0)
</f>
        <v>0</v>
      </c>
      <c r="T231" s="319">
        <f>IF(AND('Ações'!AU232="sim", 'Ações'!BG232="sim"), 1, 0)
</f>
        <v>0</v>
      </c>
      <c r="U231" s="319">
        <f>IF(AND('Ações'!AU232="sim", 'Ações'!BH232="sim"), 1, 0)
</f>
        <v>0</v>
      </c>
      <c r="V231" s="319">
        <f>IF(AND('Ações'!AU232="sim", 'Ações'!BI232="sim"), 1, 0)
</f>
        <v>0</v>
      </c>
      <c r="W231" s="319">
        <f>IF(AND('Ações'!AV232="sim", 'Ações'!BD232="sim"), 1, 0)
</f>
        <v>1</v>
      </c>
      <c r="X231" s="319">
        <f>IF(AND('Ações'!AV232="sim", 'Ações'!BE232="sim"), 1, 0)
</f>
        <v>0</v>
      </c>
      <c r="Y231" s="319">
        <f>IF(AND('Ações'!AV232="sim", 'Ações'!BF232="sim"), 1, 0)
</f>
        <v>0</v>
      </c>
      <c r="Z231" s="319">
        <f>IF(AND('Ações'!AV232="sim", 'Ações'!BH232="sim"), 1, 0)
</f>
        <v>0</v>
      </c>
      <c r="AA231" s="319">
        <f>IF(AND('Ações'!AV232="sim", 'Ações'!BI232="sim"), 1, 0)
</f>
        <v>0</v>
      </c>
      <c r="AB231" s="319">
        <f>IF(AND('Ações'!AW232="sim", 'Ações'!BD232="sim"), 1, 0)
</f>
        <v>1</v>
      </c>
      <c r="AC231" s="319">
        <f>IF(AND('Ações'!AW232="sim", 'Ações'!BE232="sim"), 1, 0)
</f>
        <v>0</v>
      </c>
      <c r="AD231" s="319">
        <f>IF(AND('Ações'!AW232="sim", 'Ações'!BF232="sim"), 1, 0)
</f>
        <v>0</v>
      </c>
      <c r="AE231" s="319">
        <f>IF(AND('Ações'!AW232="sim", 'Ações'!BG232="sim"), 1, 0)
</f>
        <v>0</v>
      </c>
      <c r="AF231" s="319">
        <f>IF(AND('Ações'!AW232="sim", 'Ações'!BI232="sim"), 1, 0)
</f>
        <v>0</v>
      </c>
      <c r="AG231" s="319">
        <f>IF(AND('Ações'!AX232="sim", 'Ações'!BD232="sim"), 1, 0)
</f>
        <v>0</v>
      </c>
      <c r="AH231" s="319">
        <f>IF(AND('Ações'!AX232="sim", 'Ações'!BE232="sim"), 1, 0)
</f>
        <v>0</v>
      </c>
      <c r="AI231" s="319">
        <f>IF(AND('Ações'!AX232="sim", 'Ações'!BF232="sim"), 1, 0)
</f>
        <v>0</v>
      </c>
      <c r="AJ231" s="319">
        <f>IF(AND('Ações'!AX232="sim", 'Ações'!BG232="sim"), 1, 0)
</f>
        <v>0</v>
      </c>
      <c r="AK231" s="319">
        <f>IF(AND('Ações'!AX232="sim", 'Ações'!BH232="sim"), 1, 0)
</f>
        <v>0</v>
      </c>
    </row>
    <row r="232">
      <c r="B232" s="319">
        <f>IF(AND('Ações'!AS233="sim", 'Ações'!BD233="sim"), 1, 0)
</f>
        <v>0</v>
      </c>
      <c r="C232" s="319">
        <f>IF(AND('Ações'!AT233="sim", 'Ações'!BE233="sim"), 1, 0)
</f>
        <v>0</v>
      </c>
      <c r="D232" s="319">
        <f>IF(AND('Ações'!AU233="sim", 'Ações'!BF233="sim"), 1, 0)
</f>
        <v>0</v>
      </c>
      <c r="E232" s="319">
        <f>IF(AND('Ações'!AV233="sim", 'Ações'!BG233="sim"), 1, 0)
</f>
        <v>0</v>
      </c>
      <c r="F232" s="319">
        <f>IF(AND('Ações'!AW233="sim", 'Ações'!BH233="sim"), 1, 0)
</f>
        <v>0</v>
      </c>
      <c r="G232" s="319">
        <f>IF(AND('Ações'!AX233="sim", 'Ações'!BI233="sim"), 1, 0)
</f>
        <v>0</v>
      </c>
      <c r="H232" s="319">
        <f>IF(AND('Ações'!AS233="sim", 'Ações'!BE233="sim"), 1, 0)
</f>
        <v>0</v>
      </c>
      <c r="I232" s="319">
        <f>IF(AND('Ações'!AS233="sim", 'Ações'!BF233="sim"), 1, 0)
</f>
        <v>0</v>
      </c>
      <c r="J232" s="319">
        <f>IF(AND('Ações'!AS233="sim", 'Ações'!BG233="sim"), 1, 0)
</f>
        <v>0</v>
      </c>
      <c r="K232" s="319">
        <f>IF(AND('Ações'!AS233="sim", 'Ações'!BH233="sim"), 1, 0)
</f>
        <v>0</v>
      </c>
      <c r="L232" s="319">
        <f>IF(AND('Ações'!AS233="sim", 'Ações'!BI233="sim"), 1, 0)
</f>
        <v>0</v>
      </c>
      <c r="M232" s="319">
        <f>IF(AND('Ações'!AT233="sim", 'Ações'!BD233="sim"), 1, 0)
</f>
        <v>1</v>
      </c>
      <c r="N232" s="319">
        <f>IF(AND('Ações'!AT233="sim", 'Ações'!BF233="sim"), 1, 0)
</f>
        <v>0</v>
      </c>
      <c r="O232" s="319">
        <f>IF(AND('Ações'!AT233="sim", 'Ações'!BG233="sim"), 1, 0)
</f>
        <v>0</v>
      </c>
      <c r="P232" s="319">
        <f>IF(AND('Ações'!AT233="sim", 'Ações'!BH233="sim"), 1, 0)
</f>
        <v>0</v>
      </c>
      <c r="Q232" s="319">
        <f>IF(AND('Ações'!AT233="sim", 'Ações'!BI233="sim"), 1, 0)
</f>
        <v>0</v>
      </c>
      <c r="R232" s="319">
        <f>IF(AND('Ações'!AU233="sim", 'Ações'!BD233="sim"), 1, 0)
</f>
        <v>1</v>
      </c>
      <c r="S232" s="319">
        <f>IF(AND('Ações'!AU233="sim", 'Ações'!BE233="sim"), 1, 0)
</f>
        <v>0</v>
      </c>
      <c r="T232" s="319">
        <f>IF(AND('Ações'!AU233="sim", 'Ações'!BG233="sim"), 1, 0)
</f>
        <v>0</v>
      </c>
      <c r="U232" s="319">
        <f>IF(AND('Ações'!AU233="sim", 'Ações'!BH233="sim"), 1, 0)
</f>
        <v>0</v>
      </c>
      <c r="V232" s="319">
        <f>IF(AND('Ações'!AU233="sim", 'Ações'!BI233="sim"), 1, 0)
</f>
        <v>0</v>
      </c>
      <c r="W232" s="319">
        <f>IF(AND('Ações'!AV233="sim", 'Ações'!BD233="sim"), 1, 0)
</f>
        <v>1</v>
      </c>
      <c r="X232" s="319">
        <f>IF(AND('Ações'!AV233="sim", 'Ações'!BE233="sim"), 1, 0)
</f>
        <v>0</v>
      </c>
      <c r="Y232" s="319">
        <f>IF(AND('Ações'!AV233="sim", 'Ações'!BF233="sim"), 1, 0)
</f>
        <v>0</v>
      </c>
      <c r="Z232" s="319">
        <f>IF(AND('Ações'!AV233="sim", 'Ações'!BH233="sim"), 1, 0)
</f>
        <v>0</v>
      </c>
      <c r="AA232" s="319">
        <f>IF(AND('Ações'!AV233="sim", 'Ações'!BI233="sim"), 1, 0)
</f>
        <v>0</v>
      </c>
      <c r="AB232" s="319">
        <f>IF(AND('Ações'!AW233="sim", 'Ações'!BD233="sim"), 1, 0)
</f>
        <v>1</v>
      </c>
      <c r="AC232" s="319">
        <f>IF(AND('Ações'!AW233="sim", 'Ações'!BE233="sim"), 1, 0)
</f>
        <v>0</v>
      </c>
      <c r="AD232" s="319">
        <f>IF(AND('Ações'!AW233="sim", 'Ações'!BF233="sim"), 1, 0)
</f>
        <v>0</v>
      </c>
      <c r="AE232" s="319">
        <f>IF(AND('Ações'!AW233="sim", 'Ações'!BG233="sim"), 1, 0)
</f>
        <v>0</v>
      </c>
      <c r="AF232" s="319">
        <f>IF(AND('Ações'!AW233="sim", 'Ações'!BI233="sim"), 1, 0)
</f>
        <v>0</v>
      </c>
      <c r="AG232" s="319">
        <f>IF(AND('Ações'!AX233="sim", 'Ações'!BD233="sim"), 1, 0)
</f>
        <v>0</v>
      </c>
      <c r="AH232" s="319">
        <f>IF(AND('Ações'!AX233="sim", 'Ações'!BE233="sim"), 1, 0)
</f>
        <v>0</v>
      </c>
      <c r="AI232" s="319">
        <f>IF(AND('Ações'!AX233="sim", 'Ações'!BF233="sim"), 1, 0)
</f>
        <v>0</v>
      </c>
      <c r="AJ232" s="319">
        <f>IF(AND('Ações'!AX233="sim", 'Ações'!BG233="sim"), 1, 0)
</f>
        <v>0</v>
      </c>
      <c r="AK232" s="319">
        <f>IF(AND('Ações'!AX233="sim", 'Ações'!BH233="sim"), 1, 0)
</f>
        <v>0</v>
      </c>
    </row>
    <row r="233">
      <c r="B233" s="319">
        <f>IF(AND('Ações'!AS234="sim", 'Ações'!BD234="sim"), 1, 0)
</f>
        <v>0</v>
      </c>
      <c r="C233" s="319">
        <f>IF(AND('Ações'!AT234="sim", 'Ações'!BE234="sim"), 1, 0)
</f>
        <v>0</v>
      </c>
      <c r="D233" s="319">
        <f>IF(AND('Ações'!AU234="sim", 'Ações'!BF234="sim"), 1, 0)
</f>
        <v>0</v>
      </c>
      <c r="E233" s="319">
        <f>IF(AND('Ações'!AV234="sim", 'Ações'!BG234="sim"), 1, 0)
</f>
        <v>0</v>
      </c>
      <c r="F233" s="319">
        <f>IF(AND('Ações'!AW234="sim", 'Ações'!BH234="sim"), 1, 0)
</f>
        <v>0</v>
      </c>
      <c r="G233" s="319">
        <f>IF(AND('Ações'!AX234="sim", 'Ações'!BI234="sim"), 1, 0)
</f>
        <v>0</v>
      </c>
      <c r="H233" s="319">
        <f>IF(AND('Ações'!AS234="sim", 'Ações'!BE234="sim"), 1, 0)
</f>
        <v>0</v>
      </c>
      <c r="I233" s="319">
        <f>IF(AND('Ações'!AS234="sim", 'Ações'!BF234="sim"), 1, 0)
</f>
        <v>0</v>
      </c>
      <c r="J233" s="319">
        <f>IF(AND('Ações'!AS234="sim", 'Ações'!BG234="sim"), 1, 0)
</f>
        <v>0</v>
      </c>
      <c r="K233" s="319">
        <f>IF(AND('Ações'!AS234="sim", 'Ações'!BH234="sim"), 1, 0)
</f>
        <v>0</v>
      </c>
      <c r="L233" s="319">
        <f>IF(AND('Ações'!AS234="sim", 'Ações'!BI234="sim"), 1, 0)
</f>
        <v>0</v>
      </c>
      <c r="M233" s="319">
        <f>IF(AND('Ações'!AT234="sim", 'Ações'!BD234="sim"), 1, 0)
</f>
        <v>1</v>
      </c>
      <c r="N233" s="319">
        <f>IF(AND('Ações'!AT234="sim", 'Ações'!BF234="sim"), 1, 0)
</f>
        <v>0</v>
      </c>
      <c r="O233" s="319">
        <f>IF(AND('Ações'!AT234="sim", 'Ações'!BG234="sim"), 1, 0)
</f>
        <v>0</v>
      </c>
      <c r="P233" s="319">
        <f>IF(AND('Ações'!AT234="sim", 'Ações'!BH234="sim"), 1, 0)
</f>
        <v>0</v>
      </c>
      <c r="Q233" s="319">
        <f>IF(AND('Ações'!AT234="sim", 'Ações'!BI234="sim"), 1, 0)
</f>
        <v>0</v>
      </c>
      <c r="R233" s="319">
        <f>IF(AND('Ações'!AU234="sim", 'Ações'!BD234="sim"), 1, 0)
</f>
        <v>1</v>
      </c>
      <c r="S233" s="319">
        <f>IF(AND('Ações'!AU234="sim", 'Ações'!BE234="sim"), 1, 0)
</f>
        <v>0</v>
      </c>
      <c r="T233" s="319">
        <f>IF(AND('Ações'!AU234="sim", 'Ações'!BG234="sim"), 1, 0)
</f>
        <v>0</v>
      </c>
      <c r="U233" s="319">
        <f>IF(AND('Ações'!AU234="sim", 'Ações'!BH234="sim"), 1, 0)
</f>
        <v>0</v>
      </c>
      <c r="V233" s="319">
        <f>IF(AND('Ações'!AU234="sim", 'Ações'!BI234="sim"), 1, 0)
</f>
        <v>0</v>
      </c>
      <c r="W233" s="319">
        <f>IF(AND('Ações'!AV234="sim", 'Ações'!BD234="sim"), 1, 0)
</f>
        <v>1</v>
      </c>
      <c r="X233" s="319">
        <f>IF(AND('Ações'!AV234="sim", 'Ações'!BE234="sim"), 1, 0)
</f>
        <v>0</v>
      </c>
      <c r="Y233" s="319">
        <f>IF(AND('Ações'!AV234="sim", 'Ações'!BF234="sim"), 1, 0)
</f>
        <v>0</v>
      </c>
      <c r="Z233" s="319">
        <f>IF(AND('Ações'!AV234="sim", 'Ações'!BH234="sim"), 1, 0)
</f>
        <v>0</v>
      </c>
      <c r="AA233" s="319">
        <f>IF(AND('Ações'!AV234="sim", 'Ações'!BI234="sim"), 1, 0)
</f>
        <v>0</v>
      </c>
      <c r="AB233" s="319">
        <f>IF(AND('Ações'!AW234="sim", 'Ações'!BD234="sim"), 1, 0)
</f>
        <v>1</v>
      </c>
      <c r="AC233" s="319">
        <f>IF(AND('Ações'!AW234="sim", 'Ações'!BE234="sim"), 1, 0)
</f>
        <v>0</v>
      </c>
      <c r="AD233" s="319">
        <f>IF(AND('Ações'!AW234="sim", 'Ações'!BF234="sim"), 1, 0)
</f>
        <v>0</v>
      </c>
      <c r="AE233" s="319">
        <f>IF(AND('Ações'!AW234="sim", 'Ações'!BG234="sim"), 1, 0)
</f>
        <v>0</v>
      </c>
      <c r="AF233" s="319">
        <f>IF(AND('Ações'!AW234="sim", 'Ações'!BI234="sim"), 1, 0)
</f>
        <v>0</v>
      </c>
      <c r="AG233" s="319">
        <f>IF(AND('Ações'!AX234="sim", 'Ações'!BD234="sim"), 1, 0)
</f>
        <v>0</v>
      </c>
      <c r="AH233" s="319">
        <f>IF(AND('Ações'!AX234="sim", 'Ações'!BE234="sim"), 1, 0)
</f>
        <v>0</v>
      </c>
      <c r="AI233" s="319">
        <f>IF(AND('Ações'!AX234="sim", 'Ações'!BF234="sim"), 1, 0)
</f>
        <v>0</v>
      </c>
      <c r="AJ233" s="319">
        <f>IF(AND('Ações'!AX234="sim", 'Ações'!BG234="sim"), 1, 0)
</f>
        <v>0</v>
      </c>
      <c r="AK233" s="319">
        <f>IF(AND('Ações'!AX234="sim", 'Ações'!BH234="sim"), 1, 0)
</f>
        <v>0</v>
      </c>
    </row>
    <row r="234">
      <c r="B234" s="319">
        <f>IF(AND('Ações'!AS235="sim", 'Ações'!BD235="sim"), 1, 0)
</f>
        <v>0</v>
      </c>
      <c r="C234" s="319">
        <f>IF(AND('Ações'!AT235="sim", 'Ações'!BE235="sim"), 1, 0)
</f>
        <v>0</v>
      </c>
      <c r="D234" s="319">
        <f>IF(AND('Ações'!AU235="sim", 'Ações'!BF235="sim"), 1, 0)
</f>
        <v>0</v>
      </c>
      <c r="E234" s="319">
        <f>IF(AND('Ações'!AV235="sim", 'Ações'!BG235="sim"), 1, 0)
</f>
        <v>0</v>
      </c>
      <c r="F234" s="319">
        <f>IF(AND('Ações'!AW235="sim", 'Ações'!BH235="sim"), 1, 0)
</f>
        <v>0</v>
      </c>
      <c r="G234" s="319">
        <f>IF(AND('Ações'!AX235="sim", 'Ações'!BI235="sim"), 1, 0)
</f>
        <v>0</v>
      </c>
      <c r="H234" s="319">
        <f>IF(AND('Ações'!AS235="sim", 'Ações'!BE235="sim"), 1, 0)
</f>
        <v>0</v>
      </c>
      <c r="I234" s="319">
        <f>IF(AND('Ações'!AS235="sim", 'Ações'!BF235="sim"), 1, 0)
</f>
        <v>0</v>
      </c>
      <c r="J234" s="319">
        <f>IF(AND('Ações'!AS235="sim", 'Ações'!BG235="sim"), 1, 0)
</f>
        <v>0</v>
      </c>
      <c r="K234" s="319">
        <f>IF(AND('Ações'!AS235="sim", 'Ações'!BH235="sim"), 1, 0)
</f>
        <v>0</v>
      </c>
      <c r="L234" s="319">
        <f>IF(AND('Ações'!AS235="sim", 'Ações'!BI235="sim"), 1, 0)
</f>
        <v>0</v>
      </c>
      <c r="M234" s="319">
        <f>IF(AND('Ações'!AT235="sim", 'Ações'!BD235="sim"), 1, 0)
</f>
        <v>0</v>
      </c>
      <c r="N234" s="319">
        <f>IF(AND('Ações'!AT235="sim", 'Ações'!BF235="sim"), 1, 0)
</f>
        <v>0</v>
      </c>
      <c r="O234" s="319">
        <f>IF(AND('Ações'!AT235="sim", 'Ações'!BG235="sim"), 1, 0)
</f>
        <v>0</v>
      </c>
      <c r="P234" s="319">
        <f>IF(AND('Ações'!AT235="sim", 'Ações'!BH235="sim"), 1, 0)
</f>
        <v>0</v>
      </c>
      <c r="Q234" s="319">
        <f>IF(AND('Ações'!AT235="sim", 'Ações'!BI235="sim"), 1, 0)
</f>
        <v>1</v>
      </c>
      <c r="R234" s="319">
        <f>IF(AND('Ações'!AU235="sim", 'Ações'!BD235="sim"), 1, 0)
</f>
        <v>0</v>
      </c>
      <c r="S234" s="319">
        <f>IF(AND('Ações'!AU235="sim", 'Ações'!BE235="sim"), 1, 0)
</f>
        <v>0</v>
      </c>
      <c r="T234" s="319">
        <f>IF(AND('Ações'!AU235="sim", 'Ações'!BG235="sim"), 1, 0)
</f>
        <v>0</v>
      </c>
      <c r="U234" s="319">
        <f>IF(AND('Ações'!AU235="sim", 'Ações'!BH235="sim"), 1, 0)
</f>
        <v>0</v>
      </c>
      <c r="V234" s="319">
        <f>IF(AND('Ações'!AU235="sim", 'Ações'!BI235="sim"), 1, 0)
</f>
        <v>1</v>
      </c>
      <c r="W234" s="319">
        <f>IF(AND('Ações'!AV235="sim", 'Ações'!BD235="sim"), 1, 0)
</f>
        <v>0</v>
      </c>
      <c r="X234" s="319">
        <f>IF(AND('Ações'!AV235="sim", 'Ações'!BE235="sim"), 1, 0)
</f>
        <v>0</v>
      </c>
      <c r="Y234" s="319">
        <f>IF(AND('Ações'!AV235="sim", 'Ações'!BF235="sim"), 1, 0)
</f>
        <v>0</v>
      </c>
      <c r="Z234" s="319">
        <f>IF(AND('Ações'!AV235="sim", 'Ações'!BH235="sim"), 1, 0)
</f>
        <v>0</v>
      </c>
      <c r="AA234" s="319">
        <f>IF(AND('Ações'!AV235="sim", 'Ações'!BI235="sim"), 1, 0)
</f>
        <v>1</v>
      </c>
      <c r="AB234" s="319">
        <f>IF(AND('Ações'!AW235="sim", 'Ações'!BD235="sim"), 1, 0)
</f>
        <v>0</v>
      </c>
      <c r="AC234" s="319">
        <f>IF(AND('Ações'!AW235="sim", 'Ações'!BE235="sim"), 1, 0)
</f>
        <v>0</v>
      </c>
      <c r="AD234" s="319">
        <f>IF(AND('Ações'!AW235="sim", 'Ações'!BF235="sim"), 1, 0)
</f>
        <v>0</v>
      </c>
      <c r="AE234" s="319">
        <f>IF(AND('Ações'!AW235="sim", 'Ações'!BG235="sim"), 1, 0)
</f>
        <v>0</v>
      </c>
      <c r="AF234" s="319">
        <f>IF(AND('Ações'!AW235="sim", 'Ações'!BI235="sim"), 1, 0)
</f>
        <v>1</v>
      </c>
      <c r="AG234" s="319">
        <f>IF(AND('Ações'!AX235="sim", 'Ações'!BD235="sim"), 1, 0)
</f>
        <v>0</v>
      </c>
      <c r="AH234" s="319">
        <f>IF(AND('Ações'!AX235="sim", 'Ações'!BE235="sim"), 1, 0)
</f>
        <v>0</v>
      </c>
      <c r="AI234" s="319">
        <f>IF(AND('Ações'!AX235="sim", 'Ações'!BF235="sim"), 1, 0)
</f>
        <v>0</v>
      </c>
      <c r="AJ234" s="319">
        <f>IF(AND('Ações'!AX235="sim", 'Ações'!BG235="sim"), 1, 0)
</f>
        <v>0</v>
      </c>
      <c r="AK234" s="319">
        <f>IF(AND('Ações'!AX235="sim", 'Ações'!BH235="sim"), 1, 0)
</f>
        <v>0</v>
      </c>
    </row>
    <row r="235">
      <c r="B235" s="319">
        <f>IF(AND('Ações'!AS236="sim", 'Ações'!BD236="sim"), 1, 0)
</f>
        <v>0</v>
      </c>
      <c r="C235" s="319">
        <f>IF(AND('Ações'!AT236="sim", 'Ações'!BE236="sim"), 1, 0)
</f>
        <v>0</v>
      </c>
      <c r="D235" s="319">
        <f>IF(AND('Ações'!AU236="sim", 'Ações'!BF236="sim"), 1, 0)
</f>
        <v>0</v>
      </c>
      <c r="E235" s="319">
        <f>IF(AND('Ações'!AV236="sim", 'Ações'!BG236="sim"), 1, 0)
</f>
        <v>0</v>
      </c>
      <c r="F235" s="319">
        <f>IF(AND('Ações'!AW236="sim", 'Ações'!BH236="sim"), 1, 0)
</f>
        <v>0</v>
      </c>
      <c r="G235" s="319">
        <f>IF(AND('Ações'!AX236="sim", 'Ações'!BI236="sim"), 1, 0)
</f>
        <v>0</v>
      </c>
      <c r="H235" s="319">
        <f>IF(AND('Ações'!AS236="sim", 'Ações'!BE236="sim"), 1, 0)
</f>
        <v>0</v>
      </c>
      <c r="I235" s="319">
        <f>IF(AND('Ações'!AS236="sim", 'Ações'!BF236="sim"), 1, 0)
</f>
        <v>0</v>
      </c>
      <c r="J235" s="319">
        <f>IF(AND('Ações'!AS236="sim", 'Ações'!BG236="sim"), 1, 0)
</f>
        <v>0</v>
      </c>
      <c r="K235" s="319">
        <f>IF(AND('Ações'!AS236="sim", 'Ações'!BH236="sim"), 1, 0)
</f>
        <v>0</v>
      </c>
      <c r="L235" s="319">
        <f>IF(AND('Ações'!AS236="sim", 'Ações'!BI236="sim"), 1, 0)
</f>
        <v>0</v>
      </c>
      <c r="M235" s="319">
        <f>IF(AND('Ações'!AT236="sim", 'Ações'!BD236="sim"), 1, 0)
</f>
        <v>1</v>
      </c>
      <c r="N235" s="319">
        <f>IF(AND('Ações'!AT236="sim", 'Ações'!BF236="sim"), 1, 0)
</f>
        <v>0</v>
      </c>
      <c r="O235" s="319">
        <f>IF(AND('Ações'!AT236="sim", 'Ações'!BG236="sim"), 1, 0)
</f>
        <v>0</v>
      </c>
      <c r="P235" s="319">
        <f>IF(AND('Ações'!AT236="sim", 'Ações'!BH236="sim"), 1, 0)
</f>
        <v>0</v>
      </c>
      <c r="Q235" s="319">
        <f>IF(AND('Ações'!AT236="sim", 'Ações'!BI236="sim"), 1, 0)
</f>
        <v>0</v>
      </c>
      <c r="R235" s="319">
        <f>IF(AND('Ações'!AU236="sim", 'Ações'!BD236="sim"), 1, 0)
</f>
        <v>1</v>
      </c>
      <c r="S235" s="319">
        <f>IF(AND('Ações'!AU236="sim", 'Ações'!BE236="sim"), 1, 0)
</f>
        <v>0</v>
      </c>
      <c r="T235" s="319">
        <f>IF(AND('Ações'!AU236="sim", 'Ações'!BG236="sim"), 1, 0)
</f>
        <v>0</v>
      </c>
      <c r="U235" s="319">
        <f>IF(AND('Ações'!AU236="sim", 'Ações'!BH236="sim"), 1, 0)
</f>
        <v>0</v>
      </c>
      <c r="V235" s="319">
        <f>IF(AND('Ações'!AU236="sim", 'Ações'!BI236="sim"), 1, 0)
</f>
        <v>0</v>
      </c>
      <c r="W235" s="319">
        <f>IF(AND('Ações'!AV236="sim", 'Ações'!BD236="sim"), 1, 0)
</f>
        <v>1</v>
      </c>
      <c r="X235" s="319">
        <f>IF(AND('Ações'!AV236="sim", 'Ações'!BE236="sim"), 1, 0)
</f>
        <v>0</v>
      </c>
      <c r="Y235" s="319">
        <f>IF(AND('Ações'!AV236="sim", 'Ações'!BF236="sim"), 1, 0)
</f>
        <v>0</v>
      </c>
      <c r="Z235" s="319">
        <f>IF(AND('Ações'!AV236="sim", 'Ações'!BH236="sim"), 1, 0)
</f>
        <v>0</v>
      </c>
      <c r="AA235" s="319">
        <f>IF(AND('Ações'!AV236="sim", 'Ações'!BI236="sim"), 1, 0)
</f>
        <v>0</v>
      </c>
      <c r="AB235" s="319">
        <f>IF(AND('Ações'!AW236="sim", 'Ações'!BD236="sim"), 1, 0)
</f>
        <v>1</v>
      </c>
      <c r="AC235" s="319">
        <f>IF(AND('Ações'!AW236="sim", 'Ações'!BE236="sim"), 1, 0)
</f>
        <v>0</v>
      </c>
      <c r="AD235" s="319">
        <f>IF(AND('Ações'!AW236="sim", 'Ações'!BF236="sim"), 1, 0)
</f>
        <v>0</v>
      </c>
      <c r="AE235" s="319">
        <f>IF(AND('Ações'!AW236="sim", 'Ações'!BG236="sim"), 1, 0)
</f>
        <v>0</v>
      </c>
      <c r="AF235" s="319">
        <f>IF(AND('Ações'!AW236="sim", 'Ações'!BI236="sim"), 1, 0)
</f>
        <v>0</v>
      </c>
      <c r="AG235" s="319">
        <f>IF(AND('Ações'!AX236="sim", 'Ações'!BD236="sim"), 1, 0)
</f>
        <v>0</v>
      </c>
      <c r="AH235" s="319">
        <f>IF(AND('Ações'!AX236="sim", 'Ações'!BE236="sim"), 1, 0)
</f>
        <v>0</v>
      </c>
      <c r="AI235" s="319">
        <f>IF(AND('Ações'!AX236="sim", 'Ações'!BF236="sim"), 1, 0)
</f>
        <v>0</v>
      </c>
      <c r="AJ235" s="319">
        <f>IF(AND('Ações'!AX236="sim", 'Ações'!BG236="sim"), 1, 0)
</f>
        <v>0</v>
      </c>
      <c r="AK235" s="319">
        <f>IF(AND('Ações'!AX236="sim", 'Ações'!BH236="sim"), 1, 0)
</f>
        <v>0</v>
      </c>
    </row>
    <row r="236">
      <c r="B236" s="319">
        <f>IF(AND('Ações'!AS237="sim", 'Ações'!BD237="sim"), 1, 0)
</f>
        <v>0</v>
      </c>
      <c r="C236" s="319">
        <f>IF(AND('Ações'!AT237="sim", 'Ações'!BE237="sim"), 1, 0)
</f>
        <v>0</v>
      </c>
      <c r="D236" s="319">
        <f>IF(AND('Ações'!AU237="sim", 'Ações'!BF237="sim"), 1, 0)
</f>
        <v>0</v>
      </c>
      <c r="E236" s="319">
        <f>IF(AND('Ações'!AV237="sim", 'Ações'!BG237="sim"), 1, 0)
</f>
        <v>0</v>
      </c>
      <c r="F236" s="319">
        <f>IF(AND('Ações'!AW237="sim", 'Ações'!BH237="sim"), 1, 0)
</f>
        <v>0</v>
      </c>
      <c r="G236" s="319">
        <f>IF(AND('Ações'!AX237="sim", 'Ações'!BI237="sim"), 1, 0)
</f>
        <v>0</v>
      </c>
      <c r="H236" s="319">
        <f>IF(AND('Ações'!AS237="sim", 'Ações'!BE237="sim"), 1, 0)
</f>
        <v>0</v>
      </c>
      <c r="I236" s="319">
        <f>IF(AND('Ações'!AS237="sim", 'Ações'!BF237="sim"), 1, 0)
</f>
        <v>0</v>
      </c>
      <c r="J236" s="319">
        <f>IF(AND('Ações'!AS237="sim", 'Ações'!BG237="sim"), 1, 0)
</f>
        <v>0</v>
      </c>
      <c r="K236" s="319">
        <f>IF(AND('Ações'!AS237="sim", 'Ações'!BH237="sim"), 1, 0)
</f>
        <v>0</v>
      </c>
      <c r="L236" s="319">
        <f>IF(AND('Ações'!AS237="sim", 'Ações'!BI237="sim"), 1, 0)
</f>
        <v>0</v>
      </c>
      <c r="M236" s="319">
        <f>IF(AND('Ações'!AT237="sim", 'Ações'!BD237="sim"), 1, 0)
</f>
        <v>0</v>
      </c>
      <c r="N236" s="319">
        <f>IF(AND('Ações'!AT237="sim", 'Ações'!BF237="sim"), 1, 0)
</f>
        <v>0</v>
      </c>
      <c r="O236" s="319">
        <f>IF(AND('Ações'!AT237="sim", 'Ações'!BG237="sim"), 1, 0)
</f>
        <v>0</v>
      </c>
      <c r="P236" s="319">
        <f>IF(AND('Ações'!AT237="sim", 'Ações'!BH237="sim"), 1, 0)
</f>
        <v>0</v>
      </c>
      <c r="Q236" s="319">
        <f>IF(AND('Ações'!AT237="sim", 'Ações'!BI237="sim"), 1, 0)
</f>
        <v>0</v>
      </c>
      <c r="R236" s="319">
        <f>IF(AND('Ações'!AU237="sim", 'Ações'!BD237="sim"), 1, 0)
</f>
        <v>0</v>
      </c>
      <c r="S236" s="319">
        <f>IF(AND('Ações'!AU237="sim", 'Ações'!BE237="sim"), 1, 0)
</f>
        <v>0</v>
      </c>
      <c r="T236" s="319">
        <f>IF(AND('Ações'!AU237="sim", 'Ações'!BG237="sim"), 1, 0)
</f>
        <v>0</v>
      </c>
      <c r="U236" s="319">
        <f>IF(AND('Ações'!AU237="sim", 'Ações'!BH237="sim"), 1, 0)
</f>
        <v>0</v>
      </c>
      <c r="V236" s="319">
        <f>IF(AND('Ações'!AU237="sim", 'Ações'!BI237="sim"), 1, 0)
</f>
        <v>0</v>
      </c>
      <c r="W236" s="319">
        <f>IF(AND('Ações'!AV237="sim", 'Ações'!BD237="sim"), 1, 0)
</f>
        <v>0</v>
      </c>
      <c r="X236" s="319">
        <f>IF(AND('Ações'!AV237="sim", 'Ações'!BE237="sim"), 1, 0)
</f>
        <v>0</v>
      </c>
      <c r="Y236" s="319">
        <f>IF(AND('Ações'!AV237="sim", 'Ações'!BF237="sim"), 1, 0)
</f>
        <v>0</v>
      </c>
      <c r="Z236" s="319">
        <f>IF(AND('Ações'!AV237="sim", 'Ações'!BH237="sim"), 1, 0)
</f>
        <v>0</v>
      </c>
      <c r="AA236" s="319">
        <f>IF(AND('Ações'!AV237="sim", 'Ações'!BI237="sim"), 1, 0)
</f>
        <v>0</v>
      </c>
      <c r="AB236" s="319">
        <f>IF(AND('Ações'!AW237="sim", 'Ações'!BD237="sim"), 1, 0)
</f>
        <v>0</v>
      </c>
      <c r="AC236" s="319">
        <f>IF(AND('Ações'!AW237="sim", 'Ações'!BE237="sim"), 1, 0)
</f>
        <v>0</v>
      </c>
      <c r="AD236" s="319">
        <f>IF(AND('Ações'!AW237="sim", 'Ações'!BF237="sim"), 1, 0)
</f>
        <v>0</v>
      </c>
      <c r="AE236" s="319">
        <f>IF(AND('Ações'!AW237="sim", 'Ações'!BG237="sim"), 1, 0)
</f>
        <v>0</v>
      </c>
      <c r="AF236" s="319">
        <f>IF(AND('Ações'!AW237="sim", 'Ações'!BI237="sim"), 1, 0)
</f>
        <v>0</v>
      </c>
      <c r="AG236" s="319">
        <f>IF(AND('Ações'!AX237="sim", 'Ações'!BD237="sim"), 1, 0)
</f>
        <v>0</v>
      </c>
      <c r="AH236" s="319">
        <f>IF(AND('Ações'!AX237="sim", 'Ações'!BE237="sim"), 1, 0)
</f>
        <v>0</v>
      </c>
      <c r="AI236" s="319">
        <f>IF(AND('Ações'!AX237="sim", 'Ações'!BF237="sim"), 1, 0)
</f>
        <v>0</v>
      </c>
      <c r="AJ236" s="319">
        <f>IF(AND('Ações'!AX237="sim", 'Ações'!BG237="sim"), 1, 0)
</f>
        <v>0</v>
      </c>
      <c r="AK236" s="319">
        <f>IF(AND('Ações'!AX237="sim", 'Ações'!BH237="sim"), 1, 0)
</f>
        <v>0</v>
      </c>
    </row>
    <row r="237">
      <c r="B237" s="319">
        <f>IF(AND('Ações'!AS238="sim", 'Ações'!BD238="sim"), 1, 0)
</f>
        <v>0</v>
      </c>
      <c r="C237" s="319">
        <f>IF(AND('Ações'!AT238="sim", 'Ações'!BE238="sim"), 1, 0)
</f>
        <v>0</v>
      </c>
      <c r="D237" s="319">
        <f>IF(AND('Ações'!AU238="sim", 'Ações'!BF238="sim"), 1, 0)
</f>
        <v>0</v>
      </c>
      <c r="E237" s="319">
        <f>IF(AND('Ações'!AV238="sim", 'Ações'!BG238="sim"), 1, 0)
</f>
        <v>0</v>
      </c>
      <c r="F237" s="319">
        <f>IF(AND('Ações'!AW238="sim", 'Ações'!BH238="sim"), 1, 0)
</f>
        <v>0</v>
      </c>
      <c r="G237" s="319">
        <f>IF(AND('Ações'!AX238="sim", 'Ações'!BI238="sim"), 1, 0)
</f>
        <v>1</v>
      </c>
      <c r="H237" s="319">
        <f>IF(AND('Ações'!AS238="sim", 'Ações'!BE238="sim"), 1, 0)
</f>
        <v>0</v>
      </c>
      <c r="I237" s="319">
        <f>IF(AND('Ações'!AS238="sim", 'Ações'!BF238="sim"), 1, 0)
</f>
        <v>0</v>
      </c>
      <c r="J237" s="319">
        <f>IF(AND('Ações'!AS238="sim", 'Ações'!BG238="sim"), 1, 0)
</f>
        <v>0</v>
      </c>
      <c r="K237" s="319">
        <f>IF(AND('Ações'!AS238="sim", 'Ações'!BH238="sim"), 1, 0)
</f>
        <v>0</v>
      </c>
      <c r="L237" s="319">
        <f>IF(AND('Ações'!AS238="sim", 'Ações'!BI238="sim"), 1, 0)
</f>
        <v>1</v>
      </c>
      <c r="M237" s="319">
        <f>IF(AND('Ações'!AT238="sim", 'Ações'!BD238="sim"), 1, 0)
</f>
        <v>0</v>
      </c>
      <c r="N237" s="319">
        <f>IF(AND('Ações'!AT238="sim", 'Ações'!BF238="sim"), 1, 0)
</f>
        <v>0</v>
      </c>
      <c r="O237" s="319">
        <f>IF(AND('Ações'!AT238="sim", 'Ações'!BG238="sim"), 1, 0)
</f>
        <v>0</v>
      </c>
      <c r="P237" s="319">
        <f>IF(AND('Ações'!AT238="sim", 'Ações'!BH238="sim"), 1, 0)
</f>
        <v>0</v>
      </c>
      <c r="Q237" s="319">
        <f>IF(AND('Ações'!AT238="sim", 'Ações'!BI238="sim"), 1, 0)
</f>
        <v>1</v>
      </c>
      <c r="R237" s="319">
        <f>IF(AND('Ações'!AU238="sim", 'Ações'!BD238="sim"), 1, 0)
</f>
        <v>0</v>
      </c>
      <c r="S237" s="319">
        <f>IF(AND('Ações'!AU238="sim", 'Ações'!BE238="sim"), 1, 0)
</f>
        <v>0</v>
      </c>
      <c r="T237" s="319">
        <f>IF(AND('Ações'!AU238="sim", 'Ações'!BG238="sim"), 1, 0)
</f>
        <v>0</v>
      </c>
      <c r="U237" s="319">
        <f>IF(AND('Ações'!AU238="sim", 'Ações'!BH238="sim"), 1, 0)
</f>
        <v>0</v>
      </c>
      <c r="V237" s="319">
        <f>IF(AND('Ações'!AU238="sim", 'Ações'!BI238="sim"), 1, 0)
</f>
        <v>0</v>
      </c>
      <c r="W237" s="319">
        <f>IF(AND('Ações'!AV238="sim", 'Ações'!BD238="sim"), 1, 0)
</f>
        <v>0</v>
      </c>
      <c r="X237" s="319">
        <f>IF(AND('Ações'!AV238="sim", 'Ações'!BE238="sim"), 1, 0)
</f>
        <v>0</v>
      </c>
      <c r="Y237" s="319">
        <f>IF(AND('Ações'!AV238="sim", 'Ações'!BF238="sim"), 1, 0)
</f>
        <v>0</v>
      </c>
      <c r="Z237" s="319">
        <f>IF(AND('Ações'!AV238="sim", 'Ações'!BH238="sim"), 1, 0)
</f>
        <v>0</v>
      </c>
      <c r="AA237" s="319">
        <f>IF(AND('Ações'!AV238="sim", 'Ações'!BI238="sim"), 1, 0)
</f>
        <v>1</v>
      </c>
      <c r="AB237" s="319">
        <f>IF(AND('Ações'!AW238="sim", 'Ações'!BD238="sim"), 1, 0)
</f>
        <v>0</v>
      </c>
      <c r="AC237" s="319">
        <f>IF(AND('Ações'!AW238="sim", 'Ações'!BE238="sim"), 1, 0)
</f>
        <v>0</v>
      </c>
      <c r="AD237" s="319">
        <f>IF(AND('Ações'!AW238="sim", 'Ações'!BF238="sim"), 1, 0)
</f>
        <v>0</v>
      </c>
      <c r="AE237" s="319">
        <f>IF(AND('Ações'!AW238="sim", 'Ações'!BG238="sim"), 1, 0)
</f>
        <v>0</v>
      </c>
      <c r="AF237" s="319">
        <f>IF(AND('Ações'!AW238="sim", 'Ações'!BI238="sim"), 1, 0)
</f>
        <v>0</v>
      </c>
      <c r="AG237" s="319">
        <f>IF(AND('Ações'!AX238="sim", 'Ações'!BD238="sim"), 1, 0)
</f>
        <v>0</v>
      </c>
      <c r="AH237" s="319">
        <f>IF(AND('Ações'!AX238="sim", 'Ações'!BE238="sim"), 1, 0)
</f>
        <v>0</v>
      </c>
      <c r="AI237" s="319">
        <f>IF(AND('Ações'!AX238="sim", 'Ações'!BF238="sim"), 1, 0)
</f>
        <v>0</v>
      </c>
      <c r="AJ237" s="319">
        <f>IF(AND('Ações'!AX238="sim", 'Ações'!BG238="sim"), 1, 0)
</f>
        <v>0</v>
      </c>
      <c r="AK237" s="319">
        <f>IF(AND('Ações'!AX238="sim", 'Ações'!BH238="sim"), 1, 0)
</f>
        <v>0</v>
      </c>
    </row>
    <row r="238">
      <c r="B238" s="319">
        <f>IF(AND('Ações'!AS239="sim", 'Ações'!BD239="sim"), 1, 0)
</f>
        <v>0</v>
      </c>
      <c r="C238" s="319">
        <f>IF(AND('Ações'!AT239="sim", 'Ações'!BE239="sim"), 1, 0)
</f>
        <v>0</v>
      </c>
      <c r="D238" s="319">
        <f>IF(AND('Ações'!AU239="sim", 'Ações'!BF239="sim"), 1, 0)
</f>
        <v>0</v>
      </c>
      <c r="E238" s="319">
        <f>IF(AND('Ações'!AV239="sim", 'Ações'!BG239="sim"), 1, 0)
</f>
        <v>0</v>
      </c>
      <c r="F238" s="319">
        <f>IF(AND('Ações'!AW239="sim", 'Ações'!BH239="sim"), 1, 0)
</f>
        <v>0</v>
      </c>
      <c r="G238" s="319">
        <f>IF(AND('Ações'!AX239="sim", 'Ações'!BI239="sim"), 1, 0)
</f>
        <v>1</v>
      </c>
      <c r="H238" s="319">
        <f>IF(AND('Ações'!AS239="sim", 'Ações'!BE239="sim"), 1, 0)
</f>
        <v>0</v>
      </c>
      <c r="I238" s="319">
        <f>IF(AND('Ações'!AS239="sim", 'Ações'!BF239="sim"), 1, 0)
</f>
        <v>0</v>
      </c>
      <c r="J238" s="319">
        <f>IF(AND('Ações'!AS239="sim", 'Ações'!BG239="sim"), 1, 0)
</f>
        <v>0</v>
      </c>
      <c r="K238" s="319">
        <f>IF(AND('Ações'!AS239="sim", 'Ações'!BH239="sim"), 1, 0)
</f>
        <v>0</v>
      </c>
      <c r="L238" s="319">
        <f>IF(AND('Ações'!AS239="sim", 'Ações'!BI239="sim"), 1, 0)
</f>
        <v>1</v>
      </c>
      <c r="M238" s="319">
        <f>IF(AND('Ações'!AT239="sim", 'Ações'!BD239="sim"), 1, 0)
</f>
        <v>0</v>
      </c>
      <c r="N238" s="319">
        <f>IF(AND('Ações'!AT239="sim", 'Ações'!BF239="sim"), 1, 0)
</f>
        <v>0</v>
      </c>
      <c r="O238" s="319">
        <f>IF(AND('Ações'!AT239="sim", 'Ações'!BG239="sim"), 1, 0)
</f>
        <v>0</v>
      </c>
      <c r="P238" s="319">
        <f>IF(AND('Ações'!AT239="sim", 'Ações'!BH239="sim"), 1, 0)
</f>
        <v>0</v>
      </c>
      <c r="Q238" s="319">
        <f>IF(AND('Ações'!AT239="sim", 'Ações'!BI239="sim"), 1, 0)
</f>
        <v>1</v>
      </c>
      <c r="R238" s="319">
        <f>IF(AND('Ações'!AU239="sim", 'Ações'!BD239="sim"), 1, 0)
</f>
        <v>0</v>
      </c>
      <c r="S238" s="319">
        <f>IF(AND('Ações'!AU239="sim", 'Ações'!BE239="sim"), 1, 0)
</f>
        <v>0</v>
      </c>
      <c r="T238" s="319">
        <f>IF(AND('Ações'!AU239="sim", 'Ações'!BG239="sim"), 1, 0)
</f>
        <v>0</v>
      </c>
      <c r="U238" s="319">
        <f>IF(AND('Ações'!AU239="sim", 'Ações'!BH239="sim"), 1, 0)
</f>
        <v>0</v>
      </c>
      <c r="V238" s="319">
        <f>IF(AND('Ações'!AU239="sim", 'Ações'!BI239="sim"), 1, 0)
</f>
        <v>0</v>
      </c>
      <c r="W238" s="319">
        <f>IF(AND('Ações'!AV239="sim", 'Ações'!BD239="sim"), 1, 0)
</f>
        <v>0</v>
      </c>
      <c r="X238" s="319">
        <f>IF(AND('Ações'!AV239="sim", 'Ações'!BE239="sim"), 1, 0)
</f>
        <v>0</v>
      </c>
      <c r="Y238" s="319">
        <f>IF(AND('Ações'!AV239="sim", 'Ações'!BF239="sim"), 1, 0)
</f>
        <v>0</v>
      </c>
      <c r="Z238" s="319">
        <f>IF(AND('Ações'!AV239="sim", 'Ações'!BH239="sim"), 1, 0)
</f>
        <v>0</v>
      </c>
      <c r="AA238" s="319">
        <f>IF(AND('Ações'!AV239="sim", 'Ações'!BI239="sim"), 1, 0)
</f>
        <v>1</v>
      </c>
      <c r="AB238" s="319">
        <f>IF(AND('Ações'!AW239="sim", 'Ações'!BD239="sim"), 1, 0)
</f>
        <v>0</v>
      </c>
      <c r="AC238" s="319">
        <f>IF(AND('Ações'!AW239="sim", 'Ações'!BE239="sim"), 1, 0)
</f>
        <v>0</v>
      </c>
      <c r="AD238" s="319">
        <f>IF(AND('Ações'!AW239="sim", 'Ações'!BF239="sim"), 1, 0)
</f>
        <v>0</v>
      </c>
      <c r="AE238" s="319">
        <f>IF(AND('Ações'!AW239="sim", 'Ações'!BG239="sim"), 1, 0)
</f>
        <v>0</v>
      </c>
      <c r="AF238" s="319">
        <f>IF(AND('Ações'!AW239="sim", 'Ações'!BI239="sim"), 1, 0)
</f>
        <v>0</v>
      </c>
      <c r="AG238" s="319">
        <f>IF(AND('Ações'!AX239="sim", 'Ações'!BD239="sim"), 1, 0)
</f>
        <v>0</v>
      </c>
      <c r="AH238" s="319">
        <f>IF(AND('Ações'!AX239="sim", 'Ações'!BE239="sim"), 1, 0)
</f>
        <v>0</v>
      </c>
      <c r="AI238" s="319">
        <f>IF(AND('Ações'!AX239="sim", 'Ações'!BF239="sim"), 1, 0)
</f>
        <v>0</v>
      </c>
      <c r="AJ238" s="319">
        <f>IF(AND('Ações'!AX239="sim", 'Ações'!BG239="sim"), 1, 0)
</f>
        <v>0</v>
      </c>
      <c r="AK238" s="319">
        <f>IF(AND('Ações'!AX239="sim", 'Ações'!BH239="sim"), 1, 0)
</f>
        <v>0</v>
      </c>
    </row>
    <row r="239">
      <c r="B239" s="319">
        <f>IF(AND('Ações'!AS241="sim", 'Ações'!BD241="sim"), 1, 0)
</f>
        <v>0</v>
      </c>
      <c r="C239" s="319">
        <f>IF(AND('Ações'!AT241="sim", 'Ações'!BE241="sim"), 1, 0)
</f>
        <v>0</v>
      </c>
      <c r="D239" s="319">
        <f>IF(AND('Ações'!AU241="sim", 'Ações'!BF241="sim"), 1, 0)
</f>
        <v>0</v>
      </c>
      <c r="E239" s="319">
        <f>IF(AND('Ações'!AV241="sim", 'Ações'!BG241="sim"), 1, 0)
</f>
        <v>0</v>
      </c>
      <c r="F239" s="319">
        <f>IF(AND('Ações'!AW241="sim", 'Ações'!BH241="sim"), 1, 0)
</f>
        <v>0</v>
      </c>
      <c r="G239" s="319">
        <f>IF(AND('Ações'!AX241="sim", 'Ações'!BI241="sim"), 1, 0)
</f>
        <v>1</v>
      </c>
      <c r="H239" s="319">
        <f>IF(AND('Ações'!AS241="sim", 'Ações'!BE241="sim"), 1, 0)
</f>
        <v>0</v>
      </c>
      <c r="I239" s="319">
        <f>IF(AND('Ações'!AS241="sim", 'Ações'!BF241="sim"), 1, 0)
</f>
        <v>0</v>
      </c>
      <c r="J239" s="319">
        <f>IF(AND('Ações'!AS241="sim", 'Ações'!BG241="sim"), 1, 0)
</f>
        <v>0</v>
      </c>
      <c r="K239" s="319">
        <f>IF(AND('Ações'!AS241="sim", 'Ações'!BH241="sim"), 1, 0)
</f>
        <v>0</v>
      </c>
      <c r="L239" s="319">
        <f>IF(AND('Ações'!AS241="sim", 'Ações'!BI241="sim"), 1, 0)
</f>
        <v>1</v>
      </c>
      <c r="M239" s="319">
        <f>IF(AND('Ações'!AT241="sim", 'Ações'!BD241="sim"), 1, 0)
</f>
        <v>0</v>
      </c>
      <c r="N239" s="319">
        <f>IF(AND('Ações'!AT241="sim", 'Ações'!BF241="sim"), 1, 0)
</f>
        <v>0</v>
      </c>
      <c r="O239" s="319">
        <f>IF(AND('Ações'!AT241="sim", 'Ações'!BG241="sim"), 1, 0)
</f>
        <v>0</v>
      </c>
      <c r="P239" s="319">
        <f>IF(AND('Ações'!AT241="sim", 'Ações'!BH241="sim"), 1, 0)
</f>
        <v>0</v>
      </c>
      <c r="Q239" s="319">
        <f>IF(AND('Ações'!AT241="sim", 'Ações'!BI241="sim"), 1, 0)
</f>
        <v>1</v>
      </c>
      <c r="R239" s="319">
        <f>IF(AND('Ações'!AU241="sim", 'Ações'!BD241="sim"), 1, 0)
</f>
        <v>0</v>
      </c>
      <c r="S239" s="319">
        <f>IF(AND('Ações'!AU241="sim", 'Ações'!BE241="sim"), 1, 0)
</f>
        <v>0</v>
      </c>
      <c r="T239" s="319">
        <f>IF(AND('Ações'!AU241="sim", 'Ações'!BG241="sim"), 1, 0)
</f>
        <v>0</v>
      </c>
      <c r="U239" s="319">
        <f>IF(AND('Ações'!AU241="sim", 'Ações'!BH241="sim"), 1, 0)
</f>
        <v>0</v>
      </c>
      <c r="V239" s="319">
        <f>IF(AND('Ações'!AU241="sim", 'Ações'!BI241="sim"), 1, 0)
</f>
        <v>0</v>
      </c>
      <c r="W239" s="319">
        <f>IF(AND('Ações'!AV241="sim", 'Ações'!BD241="sim"), 1, 0)
</f>
        <v>0</v>
      </c>
      <c r="X239" s="319">
        <f>IF(AND('Ações'!AV241="sim", 'Ações'!BE241="sim"), 1, 0)
</f>
        <v>0</v>
      </c>
      <c r="Y239" s="319">
        <f>IF(AND('Ações'!AV241="sim", 'Ações'!BF241="sim"), 1, 0)
</f>
        <v>0</v>
      </c>
      <c r="Z239" s="319">
        <f>IF(AND('Ações'!AV241="sim", 'Ações'!BH241="sim"), 1, 0)
</f>
        <v>0</v>
      </c>
      <c r="AA239" s="319">
        <f>IF(AND('Ações'!AV241="sim", 'Ações'!BI241="sim"), 1, 0)
</f>
        <v>1</v>
      </c>
      <c r="AB239" s="319">
        <f>IF(AND('Ações'!AW241="sim", 'Ações'!BD241="sim"), 1, 0)
</f>
        <v>0</v>
      </c>
      <c r="AC239" s="319">
        <f>IF(AND('Ações'!AW241="sim", 'Ações'!BE241="sim"), 1, 0)
</f>
        <v>0</v>
      </c>
      <c r="AD239" s="319">
        <f>IF(AND('Ações'!AW241="sim", 'Ações'!BF241="sim"), 1, 0)
</f>
        <v>0</v>
      </c>
      <c r="AE239" s="319">
        <f>IF(AND('Ações'!AW241="sim", 'Ações'!BG241="sim"), 1, 0)
</f>
        <v>0</v>
      </c>
      <c r="AF239" s="319">
        <f>IF(AND('Ações'!AW241="sim", 'Ações'!BI241="sim"), 1, 0)
</f>
        <v>0</v>
      </c>
      <c r="AG239" s="319">
        <f>IF(AND('Ações'!AX241="sim", 'Ações'!BD241="sim"), 1, 0)
</f>
        <v>0</v>
      </c>
      <c r="AH239" s="319">
        <f>IF(AND('Ações'!AX241="sim", 'Ações'!BE241="sim"), 1, 0)
</f>
        <v>0</v>
      </c>
      <c r="AI239" s="319">
        <f>IF(AND('Ações'!AX241="sim", 'Ações'!BF241="sim"), 1, 0)
</f>
        <v>0</v>
      </c>
      <c r="AJ239" s="319">
        <f>IF(AND('Ações'!AX241="sim", 'Ações'!BG241="sim"), 1, 0)
</f>
        <v>0</v>
      </c>
      <c r="AK239" s="319">
        <f>IF(AND('Ações'!AX241="sim", 'Ações'!BH241="sim"), 1, 0)
</f>
        <v>0</v>
      </c>
    </row>
    <row r="240">
      <c r="B240" s="319">
        <f>IF(AND('Ações'!AS242="sim", 'Ações'!BD242="sim"), 1, 0)
</f>
        <v>0</v>
      </c>
      <c r="C240" s="319">
        <f>IF(AND('Ações'!AT242="sim", 'Ações'!BE242="sim"), 1, 0)
</f>
        <v>0</v>
      </c>
      <c r="D240" s="319">
        <f>IF(AND('Ações'!AU242="sim", 'Ações'!BF242="sim"), 1, 0)
</f>
        <v>0</v>
      </c>
      <c r="E240" s="319">
        <f>IF(AND('Ações'!AV242="sim", 'Ações'!BG242="sim"), 1, 0)
</f>
        <v>0</v>
      </c>
      <c r="F240" s="319">
        <f>IF(AND('Ações'!AW242="sim", 'Ações'!BH242="sim"), 1, 0)
</f>
        <v>0</v>
      </c>
      <c r="G240" s="319">
        <f>IF(AND('Ações'!AX242="sim", 'Ações'!BI242="sim"), 1, 0)
</f>
        <v>1</v>
      </c>
      <c r="H240" s="319">
        <f>IF(AND('Ações'!AS242="sim", 'Ações'!BE242="sim"), 1, 0)
</f>
        <v>0</v>
      </c>
      <c r="I240" s="319">
        <f>IF(AND('Ações'!AS242="sim", 'Ações'!BF242="sim"), 1, 0)
</f>
        <v>0</v>
      </c>
      <c r="J240" s="319">
        <f>IF(AND('Ações'!AS242="sim", 'Ações'!BG242="sim"), 1, 0)
</f>
        <v>0</v>
      </c>
      <c r="K240" s="319">
        <f>IF(AND('Ações'!AS242="sim", 'Ações'!BH242="sim"), 1, 0)
</f>
        <v>0</v>
      </c>
      <c r="L240" s="319">
        <f>IF(AND('Ações'!AS242="sim", 'Ações'!BI242="sim"), 1, 0)
</f>
        <v>1</v>
      </c>
      <c r="M240" s="319">
        <f>IF(AND('Ações'!AT242="sim", 'Ações'!BD242="sim"), 1, 0)
</f>
        <v>0</v>
      </c>
      <c r="N240" s="319">
        <f>IF(AND('Ações'!AT242="sim", 'Ações'!BF242="sim"), 1, 0)
</f>
        <v>0</v>
      </c>
      <c r="O240" s="319">
        <f>IF(AND('Ações'!AT242="sim", 'Ações'!BG242="sim"), 1, 0)
</f>
        <v>0</v>
      </c>
      <c r="P240" s="319">
        <f>IF(AND('Ações'!AT242="sim", 'Ações'!BH242="sim"), 1, 0)
</f>
        <v>0</v>
      </c>
      <c r="Q240" s="319">
        <f>IF(AND('Ações'!AT242="sim", 'Ações'!BI242="sim"), 1, 0)
</f>
        <v>1</v>
      </c>
      <c r="R240" s="319">
        <f>IF(AND('Ações'!AU242="sim", 'Ações'!BD242="sim"), 1, 0)
</f>
        <v>0</v>
      </c>
      <c r="S240" s="319">
        <f>IF(AND('Ações'!AU242="sim", 'Ações'!BE242="sim"), 1, 0)
</f>
        <v>0</v>
      </c>
      <c r="T240" s="319">
        <f>IF(AND('Ações'!AU242="sim", 'Ações'!BG242="sim"), 1, 0)
</f>
        <v>0</v>
      </c>
      <c r="U240" s="319">
        <f>IF(AND('Ações'!AU242="sim", 'Ações'!BH242="sim"), 1, 0)
</f>
        <v>0</v>
      </c>
      <c r="V240" s="319">
        <f>IF(AND('Ações'!AU242="sim", 'Ações'!BI242="sim"), 1, 0)
</f>
        <v>0</v>
      </c>
      <c r="W240" s="319">
        <f>IF(AND('Ações'!AV242="sim", 'Ações'!BD242="sim"), 1, 0)
</f>
        <v>0</v>
      </c>
      <c r="X240" s="319">
        <f>IF(AND('Ações'!AV242="sim", 'Ações'!BE242="sim"), 1, 0)
</f>
        <v>0</v>
      </c>
      <c r="Y240" s="319">
        <f>IF(AND('Ações'!AV242="sim", 'Ações'!BF242="sim"), 1, 0)
</f>
        <v>0</v>
      </c>
      <c r="Z240" s="319">
        <f>IF(AND('Ações'!AV242="sim", 'Ações'!BH242="sim"), 1, 0)
</f>
        <v>0</v>
      </c>
      <c r="AA240" s="319">
        <f>IF(AND('Ações'!AV242="sim", 'Ações'!BI242="sim"), 1, 0)
</f>
        <v>1</v>
      </c>
      <c r="AB240" s="319">
        <f>IF(AND('Ações'!AW242="sim", 'Ações'!BD242="sim"), 1, 0)
</f>
        <v>0</v>
      </c>
      <c r="AC240" s="319">
        <f>IF(AND('Ações'!AW242="sim", 'Ações'!BE242="sim"), 1, 0)
</f>
        <v>0</v>
      </c>
      <c r="AD240" s="319">
        <f>IF(AND('Ações'!AW242="sim", 'Ações'!BF242="sim"), 1, 0)
</f>
        <v>0</v>
      </c>
      <c r="AE240" s="319">
        <f>IF(AND('Ações'!AW242="sim", 'Ações'!BG242="sim"), 1, 0)
</f>
        <v>0</v>
      </c>
      <c r="AF240" s="319">
        <f>IF(AND('Ações'!AW242="sim", 'Ações'!BI242="sim"), 1, 0)
</f>
        <v>0</v>
      </c>
      <c r="AG240" s="319">
        <f>IF(AND('Ações'!AX242="sim", 'Ações'!BD242="sim"), 1, 0)
</f>
        <v>0</v>
      </c>
      <c r="AH240" s="319">
        <f>IF(AND('Ações'!AX242="sim", 'Ações'!BE242="sim"), 1, 0)
</f>
        <v>0</v>
      </c>
      <c r="AI240" s="319">
        <f>IF(AND('Ações'!AX242="sim", 'Ações'!BF242="sim"), 1, 0)
</f>
        <v>0</v>
      </c>
      <c r="AJ240" s="319">
        <f>IF(AND('Ações'!AX242="sim", 'Ações'!BG242="sim"), 1, 0)
</f>
        <v>0</v>
      </c>
      <c r="AK240" s="319">
        <f>IF(AND('Ações'!AX242="sim", 'Ações'!BH242="sim"), 1, 0)
</f>
        <v>0</v>
      </c>
    </row>
    <row r="241">
      <c r="B241" s="319">
        <f>IF(AND('Ações'!AS243="sim", 'Ações'!BD243="sim"), 1, 0)
</f>
        <v>0</v>
      </c>
      <c r="C241" s="319">
        <f>IF(AND('Ações'!AT243="sim", 'Ações'!BE243="sim"), 1, 0)
</f>
        <v>0</v>
      </c>
      <c r="D241" s="319">
        <f>IF(AND('Ações'!AU243="sim", 'Ações'!BF243="sim"), 1, 0)
</f>
        <v>0</v>
      </c>
      <c r="E241" s="319">
        <f>IF(AND('Ações'!AV243="sim", 'Ações'!BG243="sim"), 1, 0)
</f>
        <v>0</v>
      </c>
      <c r="F241" s="319">
        <f>IF(AND('Ações'!AW243="sim", 'Ações'!BH243="sim"), 1, 0)
</f>
        <v>0</v>
      </c>
      <c r="G241" s="319">
        <f>IF(AND('Ações'!AX243="sim", 'Ações'!BI243="sim"), 1, 0)
</f>
        <v>1</v>
      </c>
      <c r="H241" s="319">
        <f>IF(AND('Ações'!AS243="sim", 'Ações'!BE243="sim"), 1, 0)
</f>
        <v>0</v>
      </c>
      <c r="I241" s="319">
        <f>IF(AND('Ações'!AS243="sim", 'Ações'!BF243="sim"), 1, 0)
</f>
        <v>0</v>
      </c>
      <c r="J241" s="319">
        <f>IF(AND('Ações'!AS243="sim", 'Ações'!BG243="sim"), 1, 0)
</f>
        <v>0</v>
      </c>
      <c r="K241" s="319">
        <f>IF(AND('Ações'!AS243="sim", 'Ações'!BH243="sim"), 1, 0)
</f>
        <v>0</v>
      </c>
      <c r="L241" s="319">
        <f>IF(AND('Ações'!AS243="sim", 'Ações'!BI243="sim"), 1, 0)
</f>
        <v>1</v>
      </c>
      <c r="M241" s="319">
        <f>IF(AND('Ações'!AT243="sim", 'Ações'!BD243="sim"), 1, 0)
</f>
        <v>0</v>
      </c>
      <c r="N241" s="319">
        <f>IF(AND('Ações'!AT243="sim", 'Ações'!BF243="sim"), 1, 0)
</f>
        <v>0</v>
      </c>
      <c r="O241" s="319">
        <f>IF(AND('Ações'!AT243="sim", 'Ações'!BG243="sim"), 1, 0)
</f>
        <v>0</v>
      </c>
      <c r="P241" s="319">
        <f>IF(AND('Ações'!AT243="sim", 'Ações'!BH243="sim"), 1, 0)
</f>
        <v>0</v>
      </c>
      <c r="Q241" s="319">
        <f>IF(AND('Ações'!AT243="sim", 'Ações'!BI243="sim"), 1, 0)
</f>
        <v>1</v>
      </c>
      <c r="R241" s="319">
        <f>IF(AND('Ações'!AU243="sim", 'Ações'!BD243="sim"), 1, 0)
</f>
        <v>0</v>
      </c>
      <c r="S241" s="319">
        <f>IF(AND('Ações'!AU243="sim", 'Ações'!BE243="sim"), 1, 0)
</f>
        <v>0</v>
      </c>
      <c r="T241" s="319">
        <f>IF(AND('Ações'!AU243="sim", 'Ações'!BG243="sim"), 1, 0)
</f>
        <v>0</v>
      </c>
      <c r="U241" s="319">
        <f>IF(AND('Ações'!AU243="sim", 'Ações'!BH243="sim"), 1, 0)
</f>
        <v>0</v>
      </c>
      <c r="V241" s="319">
        <f>IF(AND('Ações'!AU243="sim", 'Ações'!BI243="sim"), 1, 0)
</f>
        <v>0</v>
      </c>
      <c r="W241" s="319">
        <f>IF(AND('Ações'!AV243="sim", 'Ações'!BD243="sim"), 1, 0)
</f>
        <v>0</v>
      </c>
      <c r="X241" s="319">
        <f>IF(AND('Ações'!AV243="sim", 'Ações'!BE243="sim"), 1, 0)
</f>
        <v>0</v>
      </c>
      <c r="Y241" s="319">
        <f>IF(AND('Ações'!AV243="sim", 'Ações'!BF243="sim"), 1, 0)
</f>
        <v>0</v>
      </c>
      <c r="Z241" s="319">
        <f>IF(AND('Ações'!AV243="sim", 'Ações'!BH243="sim"), 1, 0)
</f>
        <v>0</v>
      </c>
      <c r="AA241" s="319">
        <f>IF(AND('Ações'!AV243="sim", 'Ações'!BI243="sim"), 1, 0)
</f>
        <v>1</v>
      </c>
      <c r="AB241" s="319">
        <f>IF(AND('Ações'!AW243="sim", 'Ações'!BD243="sim"), 1, 0)
</f>
        <v>0</v>
      </c>
      <c r="AC241" s="319">
        <f>IF(AND('Ações'!AW243="sim", 'Ações'!BE243="sim"), 1, 0)
</f>
        <v>0</v>
      </c>
      <c r="AD241" s="319">
        <f>IF(AND('Ações'!AW243="sim", 'Ações'!BF243="sim"), 1, 0)
</f>
        <v>0</v>
      </c>
      <c r="AE241" s="319">
        <f>IF(AND('Ações'!AW243="sim", 'Ações'!BG243="sim"), 1, 0)
</f>
        <v>0</v>
      </c>
      <c r="AF241" s="319">
        <f>IF(AND('Ações'!AW243="sim", 'Ações'!BI243="sim"), 1, 0)
</f>
        <v>0</v>
      </c>
      <c r="AG241" s="319">
        <f>IF(AND('Ações'!AX243="sim", 'Ações'!BD243="sim"), 1, 0)
</f>
        <v>0</v>
      </c>
      <c r="AH241" s="319">
        <f>IF(AND('Ações'!AX243="sim", 'Ações'!BE243="sim"), 1, 0)
</f>
        <v>0</v>
      </c>
      <c r="AI241" s="319">
        <f>IF(AND('Ações'!AX243="sim", 'Ações'!BF243="sim"), 1, 0)
</f>
        <v>0</v>
      </c>
      <c r="AJ241" s="319">
        <f>IF(AND('Ações'!AX243="sim", 'Ações'!BG243="sim"), 1, 0)
</f>
        <v>0</v>
      </c>
      <c r="AK241" s="319">
        <f>IF(AND('Ações'!AX243="sim", 'Ações'!BH243="sim"), 1, 0)
</f>
        <v>0</v>
      </c>
    </row>
    <row r="242">
      <c r="B242" s="319">
        <f>IF(AND('Ações'!AS244="sim", 'Ações'!BD244="sim"), 1, 0)
</f>
        <v>0</v>
      </c>
      <c r="C242" s="319">
        <f>IF(AND('Ações'!AT244="sim", 'Ações'!BE244="sim"), 1, 0)
</f>
        <v>0</v>
      </c>
      <c r="D242" s="319">
        <f>IF(AND('Ações'!AU244="sim", 'Ações'!BF244="sim"), 1, 0)
</f>
        <v>0</v>
      </c>
      <c r="E242" s="319">
        <f>IF(AND('Ações'!AV244="sim", 'Ações'!BG244="sim"), 1, 0)
</f>
        <v>0</v>
      </c>
      <c r="F242" s="319">
        <f>IF(AND('Ações'!AW244="sim", 'Ações'!BH244="sim"), 1, 0)
</f>
        <v>0</v>
      </c>
      <c r="G242" s="319">
        <f>IF(AND('Ações'!AX244="sim", 'Ações'!BI244="sim"), 1, 0)
</f>
        <v>1</v>
      </c>
      <c r="H242" s="319">
        <f>IF(AND('Ações'!AS244="sim", 'Ações'!BE244="sim"), 1, 0)
</f>
        <v>0</v>
      </c>
      <c r="I242" s="319">
        <f>IF(AND('Ações'!AS244="sim", 'Ações'!BF244="sim"), 1, 0)
</f>
        <v>0</v>
      </c>
      <c r="J242" s="319">
        <f>IF(AND('Ações'!AS244="sim", 'Ações'!BG244="sim"), 1, 0)
</f>
        <v>0</v>
      </c>
      <c r="K242" s="319">
        <f>IF(AND('Ações'!AS244="sim", 'Ações'!BH244="sim"), 1, 0)
</f>
        <v>0</v>
      </c>
      <c r="L242" s="319">
        <f>IF(AND('Ações'!AS244="sim", 'Ações'!BI244="sim"), 1, 0)
</f>
        <v>1</v>
      </c>
      <c r="M242" s="319">
        <f>IF(AND('Ações'!AT244="sim", 'Ações'!BD244="sim"), 1, 0)
</f>
        <v>0</v>
      </c>
      <c r="N242" s="319">
        <f>IF(AND('Ações'!AT244="sim", 'Ações'!BF244="sim"), 1, 0)
</f>
        <v>0</v>
      </c>
      <c r="O242" s="319">
        <f>IF(AND('Ações'!AT244="sim", 'Ações'!BG244="sim"), 1, 0)
</f>
        <v>0</v>
      </c>
      <c r="P242" s="319">
        <f>IF(AND('Ações'!AT244="sim", 'Ações'!BH244="sim"), 1, 0)
</f>
        <v>0</v>
      </c>
      <c r="Q242" s="319">
        <f>IF(AND('Ações'!AT244="sim", 'Ações'!BI244="sim"), 1, 0)
</f>
        <v>1</v>
      </c>
      <c r="R242" s="319">
        <f>IF(AND('Ações'!AU244="sim", 'Ações'!BD244="sim"), 1, 0)
</f>
        <v>0</v>
      </c>
      <c r="S242" s="319">
        <f>IF(AND('Ações'!AU244="sim", 'Ações'!BE244="sim"), 1, 0)
</f>
        <v>0</v>
      </c>
      <c r="T242" s="319">
        <f>IF(AND('Ações'!AU244="sim", 'Ações'!BG244="sim"), 1, 0)
</f>
        <v>0</v>
      </c>
      <c r="U242" s="319">
        <f>IF(AND('Ações'!AU244="sim", 'Ações'!BH244="sim"), 1, 0)
</f>
        <v>0</v>
      </c>
      <c r="V242" s="319">
        <f>IF(AND('Ações'!AU244="sim", 'Ações'!BI244="sim"), 1, 0)
</f>
        <v>0</v>
      </c>
      <c r="W242" s="319">
        <f>IF(AND('Ações'!AV244="sim", 'Ações'!BD244="sim"), 1, 0)
</f>
        <v>0</v>
      </c>
      <c r="X242" s="319">
        <f>IF(AND('Ações'!AV244="sim", 'Ações'!BE244="sim"), 1, 0)
</f>
        <v>0</v>
      </c>
      <c r="Y242" s="319">
        <f>IF(AND('Ações'!AV244="sim", 'Ações'!BF244="sim"), 1, 0)
</f>
        <v>0</v>
      </c>
      <c r="Z242" s="319">
        <f>IF(AND('Ações'!AV244="sim", 'Ações'!BH244="sim"), 1, 0)
</f>
        <v>0</v>
      </c>
      <c r="AA242" s="319">
        <f>IF(AND('Ações'!AV244="sim", 'Ações'!BI244="sim"), 1, 0)
</f>
        <v>1</v>
      </c>
      <c r="AB242" s="319">
        <f>IF(AND('Ações'!AW244="sim", 'Ações'!BD244="sim"), 1, 0)
</f>
        <v>0</v>
      </c>
      <c r="AC242" s="319">
        <f>IF(AND('Ações'!AW244="sim", 'Ações'!BE244="sim"), 1, 0)
</f>
        <v>0</v>
      </c>
      <c r="AD242" s="319">
        <f>IF(AND('Ações'!AW244="sim", 'Ações'!BF244="sim"), 1, 0)
</f>
        <v>0</v>
      </c>
      <c r="AE242" s="319">
        <f>IF(AND('Ações'!AW244="sim", 'Ações'!BG244="sim"), 1, 0)
</f>
        <v>0</v>
      </c>
      <c r="AF242" s="319">
        <f>IF(AND('Ações'!AW244="sim", 'Ações'!BI244="sim"), 1, 0)
</f>
        <v>0</v>
      </c>
      <c r="AG242" s="319">
        <f>IF(AND('Ações'!AX244="sim", 'Ações'!BD244="sim"), 1, 0)
</f>
        <v>0</v>
      </c>
      <c r="AH242" s="319">
        <f>IF(AND('Ações'!AX244="sim", 'Ações'!BE244="sim"), 1, 0)
</f>
        <v>0</v>
      </c>
      <c r="AI242" s="319">
        <f>IF(AND('Ações'!AX244="sim", 'Ações'!BF244="sim"), 1, 0)
</f>
        <v>0</v>
      </c>
      <c r="AJ242" s="319">
        <f>IF(AND('Ações'!AX244="sim", 'Ações'!BG244="sim"), 1, 0)
</f>
        <v>0</v>
      </c>
      <c r="AK242" s="319">
        <f>IF(AND('Ações'!AX244="sim", 'Ações'!BH244="sim"), 1, 0)
</f>
        <v>0</v>
      </c>
    </row>
    <row r="243">
      <c r="B243" s="319">
        <f>IF(AND('Ações'!AS245="sim", 'Ações'!BD245="sim"), 1, 0)
</f>
        <v>0</v>
      </c>
      <c r="C243" s="319">
        <f>IF(AND('Ações'!AT245="sim", 'Ações'!BE245="sim"), 1, 0)
</f>
        <v>0</v>
      </c>
      <c r="D243" s="319">
        <f>IF(AND('Ações'!AU245="sim", 'Ações'!BF245="sim"), 1, 0)
</f>
        <v>0</v>
      </c>
      <c r="E243" s="319">
        <f>IF(AND('Ações'!AV245="sim", 'Ações'!BG245="sim"), 1, 0)
</f>
        <v>0</v>
      </c>
      <c r="F243" s="319">
        <f>IF(AND('Ações'!AW245="sim", 'Ações'!BH245="sim"), 1, 0)
</f>
        <v>0</v>
      </c>
      <c r="G243" s="319">
        <f>IF(AND('Ações'!AX245="sim", 'Ações'!BI245="sim"), 1, 0)
</f>
        <v>0</v>
      </c>
      <c r="H243" s="319">
        <f>IF(AND('Ações'!AS245="sim", 'Ações'!BE245="sim"), 1, 0)
</f>
        <v>0</v>
      </c>
      <c r="I243" s="319">
        <f>IF(AND('Ações'!AS245="sim", 'Ações'!BF245="sim"), 1, 0)
</f>
        <v>0</v>
      </c>
      <c r="J243" s="319">
        <f>IF(AND('Ações'!AS245="sim", 'Ações'!BG245="sim"), 1, 0)
</f>
        <v>0</v>
      </c>
      <c r="K243" s="319">
        <f>IF(AND('Ações'!AS245="sim", 'Ações'!BH245="sim"), 1, 0)
</f>
        <v>0</v>
      </c>
      <c r="L243" s="319">
        <f>IF(AND('Ações'!AS245="sim", 'Ações'!BI245="sim"), 1, 0)
</f>
        <v>1</v>
      </c>
      <c r="M243" s="319">
        <f>IF(AND('Ações'!AT245="sim", 'Ações'!BD245="sim"), 1, 0)
</f>
        <v>0</v>
      </c>
      <c r="N243" s="319">
        <f>IF(AND('Ações'!AT245="sim", 'Ações'!BF245="sim"), 1, 0)
</f>
        <v>0</v>
      </c>
      <c r="O243" s="319">
        <f>IF(AND('Ações'!AT245="sim", 'Ações'!BG245="sim"), 1, 0)
</f>
        <v>0</v>
      </c>
      <c r="P243" s="319">
        <f>IF(AND('Ações'!AT245="sim", 'Ações'!BH245="sim"), 1, 0)
</f>
        <v>0</v>
      </c>
      <c r="Q243" s="319">
        <f>IF(AND('Ações'!AT245="sim", 'Ações'!BI245="sim"), 1, 0)
</f>
        <v>1</v>
      </c>
      <c r="R243" s="319">
        <f>IF(AND('Ações'!AU245="sim", 'Ações'!BD245="sim"), 1, 0)
</f>
        <v>0</v>
      </c>
      <c r="S243" s="319">
        <f>IF(AND('Ações'!AU245="sim", 'Ações'!BE245="sim"), 1, 0)
</f>
        <v>0</v>
      </c>
      <c r="T243" s="319">
        <f>IF(AND('Ações'!AU245="sim", 'Ações'!BG245="sim"), 1, 0)
</f>
        <v>0</v>
      </c>
      <c r="U243" s="319">
        <f>IF(AND('Ações'!AU245="sim", 'Ações'!BH245="sim"), 1, 0)
</f>
        <v>0</v>
      </c>
      <c r="V243" s="319">
        <f>IF(AND('Ações'!AU245="sim", 'Ações'!BI245="sim"), 1, 0)
</f>
        <v>1</v>
      </c>
      <c r="W243" s="319">
        <f>IF(AND('Ações'!AV245="sim", 'Ações'!BD245="sim"), 1, 0)
</f>
        <v>0</v>
      </c>
      <c r="X243" s="319">
        <f>IF(AND('Ações'!AV245="sim", 'Ações'!BE245="sim"), 1, 0)
</f>
        <v>0</v>
      </c>
      <c r="Y243" s="319">
        <f>IF(AND('Ações'!AV245="sim", 'Ações'!BF245="sim"), 1, 0)
</f>
        <v>0</v>
      </c>
      <c r="Z243" s="319">
        <f>IF(AND('Ações'!AV245="sim", 'Ações'!BH245="sim"), 1, 0)
</f>
        <v>0</v>
      </c>
      <c r="AA243" s="319">
        <f>IF(AND('Ações'!AV245="sim", 'Ações'!BI245="sim"), 1, 0)
</f>
        <v>1</v>
      </c>
      <c r="AB243" s="319">
        <f>IF(AND('Ações'!AW245="sim", 'Ações'!BD245="sim"), 1, 0)
</f>
        <v>0</v>
      </c>
      <c r="AC243" s="319">
        <f>IF(AND('Ações'!AW245="sim", 'Ações'!BE245="sim"), 1, 0)
</f>
        <v>0</v>
      </c>
      <c r="AD243" s="319">
        <f>IF(AND('Ações'!AW245="sim", 'Ações'!BF245="sim"), 1, 0)
</f>
        <v>0</v>
      </c>
      <c r="AE243" s="319">
        <f>IF(AND('Ações'!AW245="sim", 'Ações'!BG245="sim"), 1, 0)
</f>
        <v>0</v>
      </c>
      <c r="AF243" s="319">
        <f>IF(AND('Ações'!AW245="sim", 'Ações'!BI245="sim"), 1, 0)
</f>
        <v>0</v>
      </c>
      <c r="AG243" s="319">
        <f>IF(AND('Ações'!AX245="sim", 'Ações'!BD245="sim"), 1, 0)
</f>
        <v>0</v>
      </c>
      <c r="AH243" s="319">
        <f>IF(AND('Ações'!AX245="sim", 'Ações'!BE245="sim"), 1, 0)
</f>
        <v>0</v>
      </c>
      <c r="AI243" s="319">
        <f>IF(AND('Ações'!AX245="sim", 'Ações'!BF245="sim"), 1, 0)
</f>
        <v>0</v>
      </c>
      <c r="AJ243" s="319">
        <f>IF(AND('Ações'!AX245="sim", 'Ações'!BG245="sim"), 1, 0)
</f>
        <v>0</v>
      </c>
      <c r="AK243" s="319">
        <f>IF(AND('Ações'!AX245="sim", 'Ações'!BH245="sim"), 1, 0)
</f>
        <v>0</v>
      </c>
    </row>
    <row r="244">
      <c r="B244" s="319">
        <f>IF(AND('Ações'!AS246="sim", 'Ações'!BD246="sim"), 1, 0)
</f>
        <v>0</v>
      </c>
      <c r="C244" s="319">
        <f>IF(AND('Ações'!AT246="sim", 'Ações'!BE246="sim"), 1, 0)
</f>
        <v>0</v>
      </c>
      <c r="D244" s="319">
        <f>IF(AND('Ações'!AU246="sim", 'Ações'!BF246="sim"), 1, 0)
</f>
        <v>0</v>
      </c>
      <c r="E244" s="319">
        <f>IF(AND('Ações'!AV246="sim", 'Ações'!BG246="sim"), 1, 0)
</f>
        <v>0</v>
      </c>
      <c r="F244" s="319">
        <f>IF(AND('Ações'!AW246="sim", 'Ações'!BH246="sim"), 1, 0)
</f>
        <v>0</v>
      </c>
      <c r="G244" s="319">
        <f>IF(AND('Ações'!AX246="sim", 'Ações'!BI246="sim"), 1, 0)
</f>
        <v>0</v>
      </c>
      <c r="H244" s="319">
        <f>IF(AND('Ações'!AS246="sim", 'Ações'!BE246="sim"), 1, 0)
</f>
        <v>0</v>
      </c>
      <c r="I244" s="319">
        <f>IF(AND('Ações'!AS246="sim", 'Ações'!BF246="sim"), 1, 0)
</f>
        <v>0</v>
      </c>
      <c r="J244" s="319">
        <f>IF(AND('Ações'!AS246="sim", 'Ações'!BG246="sim"), 1, 0)
</f>
        <v>0</v>
      </c>
      <c r="K244" s="319">
        <f>IF(AND('Ações'!AS246="sim", 'Ações'!BH246="sim"), 1, 0)
</f>
        <v>0</v>
      </c>
      <c r="L244" s="319">
        <f>IF(AND('Ações'!AS246="sim", 'Ações'!BI246="sim"), 1, 0)
</f>
        <v>0</v>
      </c>
      <c r="M244" s="319">
        <f>IF(AND('Ações'!AT246="sim", 'Ações'!BD246="sim"), 1, 0)
</f>
        <v>0</v>
      </c>
      <c r="N244" s="319">
        <f>IF(AND('Ações'!AT246="sim", 'Ações'!BF246="sim"), 1, 0)
</f>
        <v>0</v>
      </c>
      <c r="O244" s="319">
        <f>IF(AND('Ações'!AT246="sim", 'Ações'!BG246="sim"), 1, 0)
</f>
        <v>0</v>
      </c>
      <c r="P244" s="319">
        <f>IF(AND('Ações'!AT246="sim", 'Ações'!BH246="sim"), 1, 0)
</f>
        <v>0</v>
      </c>
      <c r="Q244" s="319">
        <f>IF(AND('Ações'!AT246="sim", 'Ações'!BI246="sim"), 1, 0)
</f>
        <v>0</v>
      </c>
      <c r="R244" s="319">
        <f>IF(AND('Ações'!AU246="sim", 'Ações'!BD246="sim"), 1, 0)
</f>
        <v>0</v>
      </c>
      <c r="S244" s="319">
        <f>IF(AND('Ações'!AU246="sim", 'Ações'!BE246="sim"), 1, 0)
</f>
        <v>0</v>
      </c>
      <c r="T244" s="319">
        <f>IF(AND('Ações'!AU246="sim", 'Ações'!BG246="sim"), 1, 0)
</f>
        <v>0</v>
      </c>
      <c r="U244" s="319">
        <f>IF(AND('Ações'!AU246="sim", 'Ações'!BH246="sim"), 1, 0)
</f>
        <v>0</v>
      </c>
      <c r="V244" s="319">
        <f>IF(AND('Ações'!AU246="sim", 'Ações'!BI246="sim"), 1, 0)
</f>
        <v>0</v>
      </c>
      <c r="W244" s="319">
        <f>IF(AND('Ações'!AV246="sim", 'Ações'!BD246="sim"), 1, 0)
</f>
        <v>0</v>
      </c>
      <c r="X244" s="319">
        <f>IF(AND('Ações'!AV246="sim", 'Ações'!BE246="sim"), 1, 0)
</f>
        <v>0</v>
      </c>
      <c r="Y244" s="319">
        <f>IF(AND('Ações'!AV246="sim", 'Ações'!BF246="sim"), 1, 0)
</f>
        <v>0</v>
      </c>
      <c r="Z244" s="319">
        <f>IF(AND('Ações'!AV246="sim", 'Ações'!BH246="sim"), 1, 0)
</f>
        <v>0</v>
      </c>
      <c r="AA244" s="319">
        <f>IF(AND('Ações'!AV246="sim", 'Ações'!BI246="sim"), 1, 0)
</f>
        <v>0</v>
      </c>
      <c r="AB244" s="319">
        <f>IF(AND('Ações'!AW246="sim", 'Ações'!BD246="sim"), 1, 0)
</f>
        <v>0</v>
      </c>
      <c r="AC244" s="319">
        <f>IF(AND('Ações'!AW246="sim", 'Ações'!BE246="sim"), 1, 0)
</f>
        <v>0</v>
      </c>
      <c r="AD244" s="319">
        <f>IF(AND('Ações'!AW246="sim", 'Ações'!BF246="sim"), 1, 0)
</f>
        <v>0</v>
      </c>
      <c r="AE244" s="319">
        <f>IF(AND('Ações'!AW246="sim", 'Ações'!BG246="sim"), 1, 0)
</f>
        <v>0</v>
      </c>
      <c r="AF244" s="319">
        <f>IF(AND('Ações'!AW246="sim", 'Ações'!BI246="sim"), 1, 0)
</f>
        <v>0</v>
      </c>
      <c r="AG244" s="319">
        <f>IF(AND('Ações'!AX246="sim", 'Ações'!BD246="sim"), 1, 0)
</f>
        <v>0</v>
      </c>
      <c r="AH244" s="319">
        <f>IF(AND('Ações'!AX246="sim", 'Ações'!BE246="sim"), 1, 0)
</f>
        <v>0</v>
      </c>
      <c r="AI244" s="319">
        <f>IF(AND('Ações'!AX246="sim", 'Ações'!BF246="sim"), 1, 0)
</f>
        <v>0</v>
      </c>
      <c r="AJ244" s="319">
        <f>IF(AND('Ações'!AX246="sim", 'Ações'!BG246="sim"), 1, 0)
</f>
        <v>0</v>
      </c>
      <c r="AK244" s="319">
        <f>IF(AND('Ações'!AX246="sim", 'Ações'!BH246="sim"), 1, 0)
</f>
        <v>0</v>
      </c>
    </row>
    <row r="245">
      <c r="B245" s="319">
        <f>IF(AND('Ações'!AS247="sim", 'Ações'!BD247="sim"), 1, 0)
</f>
        <v>0</v>
      </c>
      <c r="C245" s="319">
        <f>IF(AND('Ações'!AT247="sim", 'Ações'!BE247="sim"), 1, 0)
</f>
        <v>0</v>
      </c>
      <c r="D245" s="319">
        <f>IF(AND('Ações'!AU247="sim", 'Ações'!BF247="sim"), 1, 0)
</f>
        <v>0</v>
      </c>
      <c r="E245" s="319">
        <f>IF(AND('Ações'!AV247="sim", 'Ações'!BG247="sim"), 1, 0)
</f>
        <v>0</v>
      </c>
      <c r="F245" s="319">
        <f>IF(AND('Ações'!AW247="sim", 'Ações'!BH247="sim"), 1, 0)
</f>
        <v>0</v>
      </c>
      <c r="G245" s="319">
        <f>IF(AND('Ações'!AX247="sim", 'Ações'!BI247="sim"), 1, 0)
</f>
        <v>0</v>
      </c>
      <c r="H245" s="319">
        <f>IF(AND('Ações'!AS247="sim", 'Ações'!BE247="sim"), 1, 0)
</f>
        <v>0</v>
      </c>
      <c r="I245" s="319">
        <f>IF(AND('Ações'!AS247="sim", 'Ações'!BF247="sim"), 1, 0)
</f>
        <v>0</v>
      </c>
      <c r="J245" s="319">
        <f>IF(AND('Ações'!AS247="sim", 'Ações'!BG247="sim"), 1, 0)
</f>
        <v>0</v>
      </c>
      <c r="K245" s="319">
        <f>IF(AND('Ações'!AS247="sim", 'Ações'!BH247="sim"), 1, 0)
</f>
        <v>0</v>
      </c>
      <c r="L245" s="319">
        <f>IF(AND('Ações'!AS247="sim", 'Ações'!BI247="sim"), 1, 0)
</f>
        <v>1</v>
      </c>
      <c r="M245" s="319">
        <f>IF(AND('Ações'!AT247="sim", 'Ações'!BD247="sim"), 1, 0)
</f>
        <v>0</v>
      </c>
      <c r="N245" s="319">
        <f>IF(AND('Ações'!AT247="sim", 'Ações'!BF247="sim"), 1, 0)
</f>
        <v>0</v>
      </c>
      <c r="O245" s="319">
        <f>IF(AND('Ações'!AT247="sim", 'Ações'!BG247="sim"), 1, 0)
</f>
        <v>0</v>
      </c>
      <c r="P245" s="319">
        <f>IF(AND('Ações'!AT247="sim", 'Ações'!BH247="sim"), 1, 0)
</f>
        <v>0</v>
      </c>
      <c r="Q245" s="319">
        <f>IF(AND('Ações'!AT247="sim", 'Ações'!BI247="sim"), 1, 0)
</f>
        <v>1</v>
      </c>
      <c r="R245" s="319">
        <f>IF(AND('Ações'!AU247="sim", 'Ações'!BD247="sim"), 1, 0)
</f>
        <v>0</v>
      </c>
      <c r="S245" s="319">
        <f>IF(AND('Ações'!AU247="sim", 'Ações'!BE247="sim"), 1, 0)
</f>
        <v>0</v>
      </c>
      <c r="T245" s="319">
        <f>IF(AND('Ações'!AU247="sim", 'Ações'!BG247="sim"), 1, 0)
</f>
        <v>0</v>
      </c>
      <c r="U245" s="319">
        <f>IF(AND('Ações'!AU247="sim", 'Ações'!BH247="sim"), 1, 0)
</f>
        <v>0</v>
      </c>
      <c r="V245" s="319">
        <f>IF(AND('Ações'!AU247="sim", 'Ações'!BI247="sim"), 1, 0)
</f>
        <v>1</v>
      </c>
      <c r="W245" s="319">
        <f>IF(AND('Ações'!AV247="sim", 'Ações'!BD247="sim"), 1, 0)
</f>
        <v>0</v>
      </c>
      <c r="X245" s="319">
        <f>IF(AND('Ações'!AV247="sim", 'Ações'!BE247="sim"), 1, 0)
</f>
        <v>0</v>
      </c>
      <c r="Y245" s="319">
        <f>IF(AND('Ações'!AV247="sim", 'Ações'!BF247="sim"), 1, 0)
</f>
        <v>0</v>
      </c>
      <c r="Z245" s="319">
        <f>IF(AND('Ações'!AV247="sim", 'Ações'!BH247="sim"), 1, 0)
</f>
        <v>0</v>
      </c>
      <c r="AA245" s="319">
        <f>IF(AND('Ações'!AV247="sim", 'Ações'!BI247="sim"), 1, 0)
</f>
        <v>1</v>
      </c>
      <c r="AB245" s="319">
        <f>IF(AND('Ações'!AW247="sim", 'Ações'!BD247="sim"), 1, 0)
</f>
        <v>0</v>
      </c>
      <c r="AC245" s="319">
        <f>IF(AND('Ações'!AW247="sim", 'Ações'!BE247="sim"), 1, 0)
</f>
        <v>0</v>
      </c>
      <c r="AD245" s="319">
        <f>IF(AND('Ações'!AW247="sim", 'Ações'!BF247="sim"), 1, 0)
</f>
        <v>0</v>
      </c>
      <c r="AE245" s="319">
        <f>IF(AND('Ações'!AW247="sim", 'Ações'!BG247="sim"), 1, 0)
</f>
        <v>0</v>
      </c>
      <c r="AF245" s="319">
        <f>IF(AND('Ações'!AW247="sim", 'Ações'!BI247="sim"), 1, 0)
</f>
        <v>0</v>
      </c>
      <c r="AG245" s="319">
        <f>IF(AND('Ações'!AX247="sim", 'Ações'!BD247="sim"), 1, 0)
</f>
        <v>0</v>
      </c>
      <c r="AH245" s="319">
        <f>IF(AND('Ações'!AX247="sim", 'Ações'!BE247="sim"), 1, 0)
</f>
        <v>0</v>
      </c>
      <c r="AI245" s="319">
        <f>IF(AND('Ações'!AX247="sim", 'Ações'!BF247="sim"), 1, 0)
</f>
        <v>0</v>
      </c>
      <c r="AJ245" s="319">
        <f>IF(AND('Ações'!AX247="sim", 'Ações'!BG247="sim"), 1, 0)
</f>
        <v>0</v>
      </c>
      <c r="AK245" s="319">
        <f>IF(AND('Ações'!AX247="sim", 'Ações'!BH247="sim"), 1, 0)
</f>
        <v>0</v>
      </c>
    </row>
    <row r="246">
      <c r="B246" s="319">
        <f>IF(AND('Ações'!AS248="sim", 'Ações'!BD248="sim"), 1, 0)
</f>
        <v>0</v>
      </c>
      <c r="C246" s="319">
        <f>IF(AND('Ações'!AT248="sim", 'Ações'!BE248="sim"), 1, 0)
</f>
        <v>0</v>
      </c>
      <c r="D246" s="319">
        <f>IF(AND('Ações'!AU248="sim", 'Ações'!BF248="sim"), 1, 0)
</f>
        <v>0</v>
      </c>
      <c r="E246" s="319">
        <f>IF(AND('Ações'!AV248="sim", 'Ações'!BG248="sim"), 1, 0)
</f>
        <v>0</v>
      </c>
      <c r="F246" s="319">
        <f>IF(AND('Ações'!AW248="sim", 'Ações'!BH248="sim"), 1, 0)
</f>
        <v>0</v>
      </c>
      <c r="G246" s="319">
        <f>IF(AND('Ações'!AX248="sim", 'Ações'!BI248="sim"), 1, 0)
</f>
        <v>0</v>
      </c>
      <c r="H246" s="319">
        <f>IF(AND('Ações'!AS248="sim", 'Ações'!BE248="sim"), 1, 0)
</f>
        <v>0</v>
      </c>
      <c r="I246" s="319">
        <f>IF(AND('Ações'!AS248="sim", 'Ações'!BF248="sim"), 1, 0)
</f>
        <v>0</v>
      </c>
      <c r="J246" s="319">
        <f>IF(AND('Ações'!AS248="sim", 'Ações'!BG248="sim"), 1, 0)
</f>
        <v>0</v>
      </c>
      <c r="K246" s="319">
        <f>IF(AND('Ações'!AS248="sim", 'Ações'!BH248="sim"), 1, 0)
</f>
        <v>0</v>
      </c>
      <c r="L246" s="319">
        <f>IF(AND('Ações'!AS248="sim", 'Ações'!BI248="sim"), 1, 0)
</f>
        <v>1</v>
      </c>
      <c r="M246" s="319">
        <f>IF(AND('Ações'!AT248="sim", 'Ações'!BD248="sim"), 1, 0)
</f>
        <v>0</v>
      </c>
      <c r="N246" s="319">
        <f>IF(AND('Ações'!AT248="sim", 'Ações'!BF248="sim"), 1, 0)
</f>
        <v>0</v>
      </c>
      <c r="O246" s="319">
        <f>IF(AND('Ações'!AT248="sim", 'Ações'!BG248="sim"), 1, 0)
</f>
        <v>0</v>
      </c>
      <c r="P246" s="319">
        <f>IF(AND('Ações'!AT248="sim", 'Ações'!BH248="sim"), 1, 0)
</f>
        <v>0</v>
      </c>
      <c r="Q246" s="319">
        <f>IF(AND('Ações'!AT248="sim", 'Ações'!BI248="sim"), 1, 0)
</f>
        <v>1</v>
      </c>
      <c r="R246" s="319">
        <f>IF(AND('Ações'!AU248="sim", 'Ações'!BD248="sim"), 1, 0)
</f>
        <v>0</v>
      </c>
      <c r="S246" s="319">
        <f>IF(AND('Ações'!AU248="sim", 'Ações'!BE248="sim"), 1, 0)
</f>
        <v>0</v>
      </c>
      <c r="T246" s="319">
        <f>IF(AND('Ações'!AU248="sim", 'Ações'!BG248="sim"), 1, 0)
</f>
        <v>0</v>
      </c>
      <c r="U246" s="319">
        <f>IF(AND('Ações'!AU248="sim", 'Ações'!BH248="sim"), 1, 0)
</f>
        <v>0</v>
      </c>
      <c r="V246" s="319">
        <f>IF(AND('Ações'!AU248="sim", 'Ações'!BI248="sim"), 1, 0)
</f>
        <v>1</v>
      </c>
      <c r="W246" s="319">
        <f>IF(AND('Ações'!AV248="sim", 'Ações'!BD248="sim"), 1, 0)
</f>
        <v>0</v>
      </c>
      <c r="X246" s="319">
        <f>IF(AND('Ações'!AV248="sim", 'Ações'!BE248="sim"), 1, 0)
</f>
        <v>0</v>
      </c>
      <c r="Y246" s="319">
        <f>IF(AND('Ações'!AV248="sim", 'Ações'!BF248="sim"), 1, 0)
</f>
        <v>0</v>
      </c>
      <c r="Z246" s="319">
        <f>IF(AND('Ações'!AV248="sim", 'Ações'!BH248="sim"), 1, 0)
</f>
        <v>0</v>
      </c>
      <c r="AA246" s="319">
        <f>IF(AND('Ações'!AV248="sim", 'Ações'!BI248="sim"), 1, 0)
</f>
        <v>1</v>
      </c>
      <c r="AB246" s="319">
        <f>IF(AND('Ações'!AW248="sim", 'Ações'!BD248="sim"), 1, 0)
</f>
        <v>0</v>
      </c>
      <c r="AC246" s="319">
        <f>IF(AND('Ações'!AW248="sim", 'Ações'!BE248="sim"), 1, 0)
</f>
        <v>0</v>
      </c>
      <c r="AD246" s="319">
        <f>IF(AND('Ações'!AW248="sim", 'Ações'!BF248="sim"), 1, 0)
</f>
        <v>0</v>
      </c>
      <c r="AE246" s="319">
        <f>IF(AND('Ações'!AW248="sim", 'Ações'!BG248="sim"), 1, 0)
</f>
        <v>0</v>
      </c>
      <c r="AF246" s="319">
        <f>IF(AND('Ações'!AW248="sim", 'Ações'!BI248="sim"), 1, 0)
</f>
        <v>0</v>
      </c>
      <c r="AG246" s="319">
        <f>IF(AND('Ações'!AX248="sim", 'Ações'!BD248="sim"), 1, 0)
</f>
        <v>0</v>
      </c>
      <c r="AH246" s="319">
        <f>IF(AND('Ações'!AX248="sim", 'Ações'!BE248="sim"), 1, 0)
</f>
        <v>0</v>
      </c>
      <c r="AI246" s="319">
        <f>IF(AND('Ações'!AX248="sim", 'Ações'!BF248="sim"), 1, 0)
</f>
        <v>0</v>
      </c>
      <c r="AJ246" s="319">
        <f>IF(AND('Ações'!AX248="sim", 'Ações'!BG248="sim"), 1, 0)
</f>
        <v>0</v>
      </c>
      <c r="AK246" s="319">
        <f>IF(AND('Ações'!AX248="sim", 'Ações'!BH248="sim"), 1, 0)
</f>
        <v>0</v>
      </c>
    </row>
    <row r="247">
      <c r="B247" s="319">
        <f>IF(AND('Ações'!AS249="sim", 'Ações'!BD249="sim"), 1, 0)
</f>
        <v>1</v>
      </c>
      <c r="C247" s="319">
        <f>IF(AND('Ações'!AT249="sim", 'Ações'!BE249="sim"), 1, 0)
</f>
        <v>0</v>
      </c>
      <c r="D247" s="319">
        <f>IF(AND('Ações'!AU249="sim", 'Ações'!BF249="sim"), 1, 0)
</f>
        <v>0</v>
      </c>
      <c r="E247" s="319">
        <f>IF(AND('Ações'!AV249="sim", 'Ações'!BG249="sim"), 1, 0)
</f>
        <v>0</v>
      </c>
      <c r="F247" s="319">
        <f>IF(AND('Ações'!AW249="sim", 'Ações'!BH249="sim"), 1, 0)
</f>
        <v>0</v>
      </c>
      <c r="G247" s="319">
        <f>IF(AND('Ações'!AX249="sim", 'Ações'!BI249="sim"), 1, 0)
</f>
        <v>0</v>
      </c>
      <c r="H247" s="319">
        <f>IF(AND('Ações'!AS249="sim", 'Ações'!BE249="sim"), 1, 0)
</f>
        <v>0</v>
      </c>
      <c r="I247" s="319">
        <f>IF(AND('Ações'!AS249="sim", 'Ações'!BF249="sim"), 1, 0)
</f>
        <v>0</v>
      </c>
      <c r="J247" s="319">
        <f>IF(AND('Ações'!AS249="sim", 'Ações'!BG249="sim"), 1, 0)
</f>
        <v>0</v>
      </c>
      <c r="K247" s="319">
        <f>IF(AND('Ações'!AS249="sim", 'Ações'!BH249="sim"), 1, 0)
</f>
        <v>0</v>
      </c>
      <c r="L247" s="319">
        <f>IF(AND('Ações'!AS249="sim", 'Ações'!BI249="sim"), 1, 0)
</f>
        <v>0</v>
      </c>
      <c r="M247" s="319">
        <f>IF(AND('Ações'!AT249="sim", 'Ações'!BD249="sim"), 1, 0)
</f>
        <v>1</v>
      </c>
      <c r="N247" s="319">
        <f>IF(AND('Ações'!AT249="sim", 'Ações'!BF249="sim"), 1, 0)
</f>
        <v>0</v>
      </c>
      <c r="O247" s="319">
        <f>IF(AND('Ações'!AT249="sim", 'Ações'!BG249="sim"), 1, 0)
</f>
        <v>0</v>
      </c>
      <c r="P247" s="319">
        <f>IF(AND('Ações'!AT249="sim", 'Ações'!BH249="sim"), 1, 0)
</f>
        <v>0</v>
      </c>
      <c r="Q247" s="319">
        <f>IF(AND('Ações'!AT249="sim", 'Ações'!BI249="sim"), 1, 0)
</f>
        <v>0</v>
      </c>
      <c r="R247" s="319">
        <f>IF(AND('Ações'!AU249="sim", 'Ações'!BD249="sim"), 1, 0)
</f>
        <v>1</v>
      </c>
      <c r="S247" s="319">
        <f>IF(AND('Ações'!AU249="sim", 'Ações'!BE249="sim"), 1, 0)
</f>
        <v>0</v>
      </c>
      <c r="T247" s="319">
        <f>IF(AND('Ações'!AU249="sim", 'Ações'!BG249="sim"), 1, 0)
</f>
        <v>0</v>
      </c>
      <c r="U247" s="319">
        <f>IF(AND('Ações'!AU249="sim", 'Ações'!BH249="sim"), 1, 0)
</f>
        <v>0</v>
      </c>
      <c r="V247" s="319">
        <f>IF(AND('Ações'!AU249="sim", 'Ações'!BI249="sim"), 1, 0)
</f>
        <v>0</v>
      </c>
      <c r="W247" s="319">
        <f>IF(AND('Ações'!AV249="sim", 'Ações'!BD249="sim"), 1, 0)
</f>
        <v>1</v>
      </c>
      <c r="X247" s="319">
        <f>IF(AND('Ações'!AV249="sim", 'Ações'!BE249="sim"), 1, 0)
</f>
        <v>0</v>
      </c>
      <c r="Y247" s="319">
        <f>IF(AND('Ações'!AV249="sim", 'Ações'!BF249="sim"), 1, 0)
</f>
        <v>0</v>
      </c>
      <c r="Z247" s="319">
        <f>IF(AND('Ações'!AV249="sim", 'Ações'!BH249="sim"), 1, 0)
</f>
        <v>0</v>
      </c>
      <c r="AA247" s="319">
        <f>IF(AND('Ações'!AV249="sim", 'Ações'!BI249="sim"), 1, 0)
</f>
        <v>0</v>
      </c>
      <c r="AB247" s="319">
        <f>IF(AND('Ações'!AW249="sim", 'Ações'!BD249="sim"), 1, 0)
</f>
        <v>0</v>
      </c>
      <c r="AC247" s="319">
        <f>IF(AND('Ações'!AW249="sim", 'Ações'!BE249="sim"), 1, 0)
</f>
        <v>0</v>
      </c>
      <c r="AD247" s="319">
        <f>IF(AND('Ações'!AW249="sim", 'Ações'!BF249="sim"), 1, 0)
</f>
        <v>0</v>
      </c>
      <c r="AE247" s="319">
        <f>IF(AND('Ações'!AW249="sim", 'Ações'!BG249="sim"), 1, 0)
</f>
        <v>0</v>
      </c>
      <c r="AF247" s="319">
        <f>IF(AND('Ações'!AW249="sim", 'Ações'!BI249="sim"), 1, 0)
</f>
        <v>0</v>
      </c>
      <c r="AG247" s="319">
        <f>IF(AND('Ações'!AX249="sim", 'Ações'!BD249="sim"), 1, 0)
</f>
        <v>0</v>
      </c>
      <c r="AH247" s="319">
        <f>IF(AND('Ações'!AX249="sim", 'Ações'!BE249="sim"), 1, 0)
</f>
        <v>0</v>
      </c>
      <c r="AI247" s="319">
        <f>IF(AND('Ações'!AX249="sim", 'Ações'!BF249="sim"), 1, 0)
</f>
        <v>0</v>
      </c>
      <c r="AJ247" s="319">
        <f>IF(AND('Ações'!AX249="sim", 'Ações'!BG249="sim"), 1, 0)
</f>
        <v>0</v>
      </c>
      <c r="AK247" s="319">
        <f>IF(AND('Ações'!AX249="sim", 'Ações'!BH249="sim"), 1, 0)
</f>
        <v>0</v>
      </c>
    </row>
    <row r="248">
      <c r="B248" s="319">
        <f>IF(AND('Ações'!AS250="sim", 'Ações'!BD250="sim"), 1, 0)
</f>
        <v>0</v>
      </c>
      <c r="C248" s="319">
        <f>IF(AND('Ações'!AT250="sim", 'Ações'!BE250="sim"), 1, 0)
</f>
        <v>0</v>
      </c>
      <c r="D248" s="319">
        <f>IF(AND('Ações'!AU250="sim", 'Ações'!BF250="sim"), 1, 0)
</f>
        <v>0</v>
      </c>
      <c r="E248" s="319">
        <f>IF(AND('Ações'!AV250="sim", 'Ações'!BG250="sim"), 1, 0)
</f>
        <v>0</v>
      </c>
      <c r="F248" s="319">
        <f>IF(AND('Ações'!AW250="sim", 'Ações'!BH250="sim"), 1, 0)
</f>
        <v>0</v>
      </c>
      <c r="G248" s="319">
        <f>IF(AND('Ações'!AX250="sim", 'Ações'!BI250="sim"), 1, 0)
</f>
        <v>0</v>
      </c>
      <c r="H248" s="319">
        <f>IF(AND('Ações'!AS250="sim", 'Ações'!BE250="sim"), 1, 0)
</f>
        <v>0</v>
      </c>
      <c r="I248" s="319">
        <f>IF(AND('Ações'!AS250="sim", 'Ações'!BF250="sim"), 1, 0)
</f>
        <v>0</v>
      </c>
      <c r="J248" s="319">
        <f>IF(AND('Ações'!AS250="sim", 'Ações'!BG250="sim"), 1, 0)
</f>
        <v>0</v>
      </c>
      <c r="K248" s="319">
        <f>IF(AND('Ações'!AS250="sim", 'Ações'!BH250="sim"), 1, 0)
</f>
        <v>0</v>
      </c>
      <c r="L248" s="319">
        <f>IF(AND('Ações'!AS250="sim", 'Ações'!BI250="sim"), 1, 0)
</f>
        <v>1</v>
      </c>
      <c r="M248" s="319">
        <f>IF(AND('Ações'!AT250="sim", 'Ações'!BD250="sim"), 1, 0)
</f>
        <v>0</v>
      </c>
      <c r="N248" s="319">
        <f>IF(AND('Ações'!AT250="sim", 'Ações'!BF250="sim"), 1, 0)
</f>
        <v>0</v>
      </c>
      <c r="O248" s="319">
        <f>IF(AND('Ações'!AT250="sim", 'Ações'!BG250="sim"), 1, 0)
</f>
        <v>0</v>
      </c>
      <c r="P248" s="319">
        <f>IF(AND('Ações'!AT250="sim", 'Ações'!BH250="sim"), 1, 0)
</f>
        <v>0</v>
      </c>
      <c r="Q248" s="319">
        <f>IF(AND('Ações'!AT250="sim", 'Ações'!BI250="sim"), 1, 0)
</f>
        <v>1</v>
      </c>
      <c r="R248" s="319">
        <f>IF(AND('Ações'!AU250="sim", 'Ações'!BD250="sim"), 1, 0)
</f>
        <v>0</v>
      </c>
      <c r="S248" s="319">
        <f>IF(AND('Ações'!AU250="sim", 'Ações'!BE250="sim"), 1, 0)
</f>
        <v>0</v>
      </c>
      <c r="T248" s="319">
        <f>IF(AND('Ações'!AU250="sim", 'Ações'!BG250="sim"), 1, 0)
</f>
        <v>0</v>
      </c>
      <c r="U248" s="319">
        <f>IF(AND('Ações'!AU250="sim", 'Ações'!BH250="sim"), 1, 0)
</f>
        <v>0</v>
      </c>
      <c r="V248" s="319">
        <f>IF(AND('Ações'!AU250="sim", 'Ações'!BI250="sim"), 1, 0)
</f>
        <v>1</v>
      </c>
      <c r="W248" s="319">
        <f>IF(AND('Ações'!AV250="sim", 'Ações'!BD250="sim"), 1, 0)
</f>
        <v>0</v>
      </c>
      <c r="X248" s="319">
        <f>IF(AND('Ações'!AV250="sim", 'Ações'!BE250="sim"), 1, 0)
</f>
        <v>0</v>
      </c>
      <c r="Y248" s="319">
        <f>IF(AND('Ações'!AV250="sim", 'Ações'!BF250="sim"), 1, 0)
</f>
        <v>0</v>
      </c>
      <c r="Z248" s="319">
        <f>IF(AND('Ações'!AV250="sim", 'Ações'!BH250="sim"), 1, 0)
</f>
        <v>0</v>
      </c>
      <c r="AA248" s="319">
        <f>IF(AND('Ações'!AV250="sim", 'Ações'!BI250="sim"), 1, 0)
</f>
        <v>1</v>
      </c>
      <c r="AB248" s="319">
        <f>IF(AND('Ações'!AW250="sim", 'Ações'!BD250="sim"), 1, 0)
</f>
        <v>0</v>
      </c>
      <c r="AC248" s="319">
        <f>IF(AND('Ações'!AW250="sim", 'Ações'!BE250="sim"), 1, 0)
</f>
        <v>0</v>
      </c>
      <c r="AD248" s="319">
        <f>IF(AND('Ações'!AW250="sim", 'Ações'!BF250="sim"), 1, 0)
</f>
        <v>0</v>
      </c>
      <c r="AE248" s="319">
        <f>IF(AND('Ações'!AW250="sim", 'Ações'!BG250="sim"), 1, 0)
</f>
        <v>0</v>
      </c>
      <c r="AF248" s="319">
        <f>IF(AND('Ações'!AW250="sim", 'Ações'!BI250="sim"), 1, 0)
</f>
        <v>0</v>
      </c>
      <c r="AG248" s="319">
        <f>IF(AND('Ações'!AX250="sim", 'Ações'!BD250="sim"), 1, 0)
</f>
        <v>0</v>
      </c>
      <c r="AH248" s="319">
        <f>IF(AND('Ações'!AX250="sim", 'Ações'!BE250="sim"), 1, 0)
</f>
        <v>0</v>
      </c>
      <c r="AI248" s="319">
        <f>IF(AND('Ações'!AX250="sim", 'Ações'!BF250="sim"), 1, 0)
</f>
        <v>0</v>
      </c>
      <c r="AJ248" s="319">
        <f>IF(AND('Ações'!AX250="sim", 'Ações'!BG250="sim"), 1, 0)
</f>
        <v>0</v>
      </c>
      <c r="AK248" s="319">
        <f>IF(AND('Ações'!AX250="sim", 'Ações'!BH250="sim"), 1, 0)
</f>
        <v>0</v>
      </c>
    </row>
    <row r="249">
      <c r="B249" s="319">
        <f>IF(AND('Ações'!AS251="sim", 'Ações'!BD251="sim"), 1, 0)
</f>
        <v>1</v>
      </c>
      <c r="C249" s="319">
        <f>IF(AND('Ações'!AT251="sim", 'Ações'!BE251="sim"), 1, 0)
</f>
        <v>0</v>
      </c>
      <c r="D249" s="319">
        <f>IF(AND('Ações'!AU251="sim", 'Ações'!BF251="sim"), 1, 0)
</f>
        <v>0</v>
      </c>
      <c r="E249" s="319">
        <f>IF(AND('Ações'!AV251="sim", 'Ações'!BG251="sim"), 1, 0)
</f>
        <v>0</v>
      </c>
      <c r="F249" s="319">
        <f>IF(AND('Ações'!AW251="sim", 'Ações'!BH251="sim"), 1, 0)
</f>
        <v>0</v>
      </c>
      <c r="G249" s="319">
        <f>IF(AND('Ações'!AX251="sim", 'Ações'!BI251="sim"), 1, 0)
</f>
        <v>0</v>
      </c>
      <c r="H249" s="319">
        <f>IF(AND('Ações'!AS251="sim", 'Ações'!BE251="sim"), 1, 0)
</f>
        <v>0</v>
      </c>
      <c r="I249" s="319">
        <f>IF(AND('Ações'!AS251="sim", 'Ações'!BF251="sim"), 1, 0)
</f>
        <v>0</v>
      </c>
      <c r="J249" s="319">
        <f>IF(AND('Ações'!AS251="sim", 'Ações'!BG251="sim"), 1, 0)
</f>
        <v>0</v>
      </c>
      <c r="K249" s="319">
        <f>IF(AND('Ações'!AS251="sim", 'Ações'!BH251="sim"), 1, 0)
</f>
        <v>0</v>
      </c>
      <c r="L249" s="319">
        <f>IF(AND('Ações'!AS251="sim", 'Ações'!BI251="sim"), 1, 0)
</f>
        <v>0</v>
      </c>
      <c r="M249" s="319">
        <f>IF(AND('Ações'!AT251="sim", 'Ações'!BD251="sim"), 1, 0)
</f>
        <v>1</v>
      </c>
      <c r="N249" s="319">
        <f>IF(AND('Ações'!AT251="sim", 'Ações'!BF251="sim"), 1, 0)
</f>
        <v>0</v>
      </c>
      <c r="O249" s="319">
        <f>IF(AND('Ações'!AT251="sim", 'Ações'!BG251="sim"), 1, 0)
</f>
        <v>0</v>
      </c>
      <c r="P249" s="319">
        <f>IF(AND('Ações'!AT251="sim", 'Ações'!BH251="sim"), 1, 0)
</f>
        <v>0</v>
      </c>
      <c r="Q249" s="319">
        <f>IF(AND('Ações'!AT251="sim", 'Ações'!BI251="sim"), 1, 0)
</f>
        <v>0</v>
      </c>
      <c r="R249" s="319">
        <f>IF(AND('Ações'!AU251="sim", 'Ações'!BD251="sim"), 1, 0)
</f>
        <v>1</v>
      </c>
      <c r="S249" s="319">
        <f>IF(AND('Ações'!AU251="sim", 'Ações'!BE251="sim"), 1, 0)
</f>
        <v>0</v>
      </c>
      <c r="T249" s="319">
        <f>IF(AND('Ações'!AU251="sim", 'Ações'!BG251="sim"), 1, 0)
</f>
        <v>0</v>
      </c>
      <c r="U249" s="319">
        <f>IF(AND('Ações'!AU251="sim", 'Ações'!BH251="sim"), 1, 0)
</f>
        <v>0</v>
      </c>
      <c r="V249" s="319">
        <f>IF(AND('Ações'!AU251="sim", 'Ações'!BI251="sim"), 1, 0)
</f>
        <v>0</v>
      </c>
      <c r="W249" s="319">
        <f>IF(AND('Ações'!AV251="sim", 'Ações'!BD251="sim"), 1, 0)
</f>
        <v>1</v>
      </c>
      <c r="X249" s="319">
        <f>IF(AND('Ações'!AV251="sim", 'Ações'!BE251="sim"), 1, 0)
</f>
        <v>0</v>
      </c>
      <c r="Y249" s="319">
        <f>IF(AND('Ações'!AV251="sim", 'Ações'!BF251="sim"), 1, 0)
</f>
        <v>0</v>
      </c>
      <c r="Z249" s="319">
        <f>IF(AND('Ações'!AV251="sim", 'Ações'!BH251="sim"), 1, 0)
</f>
        <v>0</v>
      </c>
      <c r="AA249" s="319">
        <f>IF(AND('Ações'!AV251="sim", 'Ações'!BI251="sim"), 1, 0)
</f>
        <v>0</v>
      </c>
      <c r="AB249" s="319">
        <f>IF(AND('Ações'!AW251="sim", 'Ações'!BD251="sim"), 1, 0)
</f>
        <v>0</v>
      </c>
      <c r="AC249" s="319">
        <f>IF(AND('Ações'!AW251="sim", 'Ações'!BE251="sim"), 1, 0)
</f>
        <v>0</v>
      </c>
      <c r="AD249" s="319">
        <f>IF(AND('Ações'!AW251="sim", 'Ações'!BF251="sim"), 1, 0)
</f>
        <v>0</v>
      </c>
      <c r="AE249" s="319">
        <f>IF(AND('Ações'!AW251="sim", 'Ações'!BG251="sim"), 1, 0)
</f>
        <v>0</v>
      </c>
      <c r="AF249" s="319">
        <f>IF(AND('Ações'!AW251="sim", 'Ações'!BI251="sim"), 1, 0)
</f>
        <v>0</v>
      </c>
      <c r="AG249" s="319">
        <f>IF(AND('Ações'!AX251="sim", 'Ações'!BD251="sim"), 1, 0)
</f>
        <v>0</v>
      </c>
      <c r="AH249" s="319">
        <f>IF(AND('Ações'!AX251="sim", 'Ações'!BE251="sim"), 1, 0)
</f>
        <v>0</v>
      </c>
      <c r="AI249" s="319">
        <f>IF(AND('Ações'!AX251="sim", 'Ações'!BF251="sim"), 1, 0)
</f>
        <v>0</v>
      </c>
      <c r="AJ249" s="319">
        <f>IF(AND('Ações'!AX251="sim", 'Ações'!BG251="sim"), 1, 0)
</f>
        <v>0</v>
      </c>
      <c r="AK249" s="319">
        <f>IF(AND('Ações'!AX251="sim", 'Ações'!BH251="sim"), 1, 0)
</f>
        <v>0</v>
      </c>
    </row>
    <row r="250">
      <c r="B250" s="319">
        <f>IF(AND('Ações'!AS252="sim", 'Ações'!BD252="sim"), 1, 0)
</f>
        <v>0</v>
      </c>
      <c r="C250" s="319">
        <f>IF(AND('Ações'!AT252="sim", 'Ações'!BE252="sim"), 1, 0)
</f>
        <v>0</v>
      </c>
      <c r="D250" s="319">
        <f>IF(AND('Ações'!AU252="sim", 'Ações'!BF252="sim"), 1, 0)
</f>
        <v>0</v>
      </c>
      <c r="E250" s="319">
        <f>IF(AND('Ações'!AV252="sim", 'Ações'!BG252="sim"), 1, 0)
</f>
        <v>0</v>
      </c>
      <c r="F250" s="319">
        <f>IF(AND('Ações'!AW252="sim", 'Ações'!BH252="sim"), 1, 0)
</f>
        <v>0</v>
      </c>
      <c r="G250" s="319">
        <f>IF(AND('Ações'!AX252="sim", 'Ações'!BI252="sim"), 1, 0)
</f>
        <v>0</v>
      </c>
      <c r="H250" s="319">
        <f>IF(AND('Ações'!AS252="sim", 'Ações'!BE252="sim"), 1, 0)
</f>
        <v>0</v>
      </c>
      <c r="I250" s="319">
        <f>IF(AND('Ações'!AS252="sim", 'Ações'!BF252="sim"), 1, 0)
</f>
        <v>0</v>
      </c>
      <c r="J250" s="319">
        <f>IF(AND('Ações'!AS252="sim", 'Ações'!BG252="sim"), 1, 0)
</f>
        <v>0</v>
      </c>
      <c r="K250" s="319">
        <f>IF(AND('Ações'!AS252="sim", 'Ações'!BH252="sim"), 1, 0)
</f>
        <v>0</v>
      </c>
      <c r="L250" s="319">
        <f>IF(AND('Ações'!AS252="sim", 'Ações'!BI252="sim"), 1, 0)
</f>
        <v>1</v>
      </c>
      <c r="M250" s="319">
        <f>IF(AND('Ações'!AT252="sim", 'Ações'!BD252="sim"), 1, 0)
</f>
        <v>0</v>
      </c>
      <c r="N250" s="319">
        <f>IF(AND('Ações'!AT252="sim", 'Ações'!BF252="sim"), 1, 0)
</f>
        <v>0</v>
      </c>
      <c r="O250" s="319">
        <f>IF(AND('Ações'!AT252="sim", 'Ações'!BG252="sim"), 1, 0)
</f>
        <v>0</v>
      </c>
      <c r="P250" s="319">
        <f>IF(AND('Ações'!AT252="sim", 'Ações'!BH252="sim"), 1, 0)
</f>
        <v>0</v>
      </c>
      <c r="Q250" s="319">
        <f>IF(AND('Ações'!AT252="sim", 'Ações'!BI252="sim"), 1, 0)
</f>
        <v>1</v>
      </c>
      <c r="R250" s="319">
        <f>IF(AND('Ações'!AU252="sim", 'Ações'!BD252="sim"), 1, 0)
</f>
        <v>0</v>
      </c>
      <c r="S250" s="319">
        <f>IF(AND('Ações'!AU252="sim", 'Ações'!BE252="sim"), 1, 0)
</f>
        <v>0</v>
      </c>
      <c r="T250" s="319">
        <f>IF(AND('Ações'!AU252="sim", 'Ações'!BG252="sim"), 1, 0)
</f>
        <v>0</v>
      </c>
      <c r="U250" s="319">
        <f>IF(AND('Ações'!AU252="sim", 'Ações'!BH252="sim"), 1, 0)
</f>
        <v>0</v>
      </c>
      <c r="V250" s="319">
        <f>IF(AND('Ações'!AU252="sim", 'Ações'!BI252="sim"), 1, 0)
</f>
        <v>1</v>
      </c>
      <c r="W250" s="319">
        <f>IF(AND('Ações'!AV252="sim", 'Ações'!BD252="sim"), 1, 0)
</f>
        <v>0</v>
      </c>
      <c r="X250" s="319">
        <f>IF(AND('Ações'!AV252="sim", 'Ações'!BE252="sim"), 1, 0)
</f>
        <v>0</v>
      </c>
      <c r="Y250" s="319">
        <f>IF(AND('Ações'!AV252="sim", 'Ações'!BF252="sim"), 1, 0)
</f>
        <v>0</v>
      </c>
      <c r="Z250" s="319">
        <f>IF(AND('Ações'!AV252="sim", 'Ações'!BH252="sim"), 1, 0)
</f>
        <v>0</v>
      </c>
      <c r="AA250" s="319">
        <f>IF(AND('Ações'!AV252="sim", 'Ações'!BI252="sim"), 1, 0)
</f>
        <v>1</v>
      </c>
      <c r="AB250" s="319">
        <f>IF(AND('Ações'!AW252="sim", 'Ações'!BD252="sim"), 1, 0)
</f>
        <v>0</v>
      </c>
      <c r="AC250" s="319">
        <f>IF(AND('Ações'!AW252="sim", 'Ações'!BE252="sim"), 1, 0)
</f>
        <v>0</v>
      </c>
      <c r="AD250" s="319">
        <f>IF(AND('Ações'!AW252="sim", 'Ações'!BF252="sim"), 1, 0)
</f>
        <v>0</v>
      </c>
      <c r="AE250" s="319">
        <f>IF(AND('Ações'!AW252="sim", 'Ações'!BG252="sim"), 1, 0)
</f>
        <v>0</v>
      </c>
      <c r="AF250" s="319">
        <f>IF(AND('Ações'!AW252="sim", 'Ações'!BI252="sim"), 1, 0)
</f>
        <v>0</v>
      </c>
      <c r="AG250" s="319">
        <f>IF(AND('Ações'!AX252="sim", 'Ações'!BD252="sim"), 1, 0)
</f>
        <v>0</v>
      </c>
      <c r="AH250" s="319">
        <f>IF(AND('Ações'!AX252="sim", 'Ações'!BE252="sim"), 1, 0)
</f>
        <v>0</v>
      </c>
      <c r="AI250" s="319">
        <f>IF(AND('Ações'!AX252="sim", 'Ações'!BF252="sim"), 1, 0)
</f>
        <v>0</v>
      </c>
      <c r="AJ250" s="319">
        <f>IF(AND('Ações'!AX252="sim", 'Ações'!BG252="sim"), 1, 0)
</f>
        <v>0</v>
      </c>
      <c r="AK250" s="319">
        <f>IF(AND('Ações'!AX252="sim", 'Ações'!BH252="sim"), 1, 0)
</f>
        <v>0</v>
      </c>
    </row>
    <row r="251">
      <c r="B251" s="319">
        <f>IF(AND('Ações'!AS253="sim", 'Ações'!BD253="sim"), 1, 0)
</f>
        <v>1</v>
      </c>
      <c r="C251" s="319">
        <f>IF(AND('Ações'!AT253="sim", 'Ações'!BE253="sim"), 1, 0)
</f>
        <v>0</v>
      </c>
      <c r="D251" s="319">
        <f>IF(AND('Ações'!AU253="sim", 'Ações'!BF253="sim"), 1, 0)
</f>
        <v>0</v>
      </c>
      <c r="E251" s="319">
        <f>IF(AND('Ações'!AV253="sim", 'Ações'!BG253="sim"), 1, 0)
</f>
        <v>0</v>
      </c>
      <c r="F251" s="319">
        <f>IF(AND('Ações'!AW253="sim", 'Ações'!BH253="sim"), 1, 0)
</f>
        <v>0</v>
      </c>
      <c r="G251" s="319">
        <f>IF(AND('Ações'!AX253="sim", 'Ações'!BI253="sim"), 1, 0)
</f>
        <v>0</v>
      </c>
      <c r="H251" s="319">
        <f>IF(AND('Ações'!AS253="sim", 'Ações'!BE253="sim"), 1, 0)
</f>
        <v>0</v>
      </c>
      <c r="I251" s="319">
        <f>IF(AND('Ações'!AS253="sim", 'Ações'!BF253="sim"), 1, 0)
</f>
        <v>0</v>
      </c>
      <c r="J251" s="319">
        <f>IF(AND('Ações'!AS253="sim", 'Ações'!BG253="sim"), 1, 0)
</f>
        <v>0</v>
      </c>
      <c r="K251" s="319">
        <f>IF(AND('Ações'!AS253="sim", 'Ações'!BH253="sim"), 1, 0)
</f>
        <v>0</v>
      </c>
      <c r="L251" s="319">
        <f>IF(AND('Ações'!AS253="sim", 'Ações'!BI253="sim"), 1, 0)
</f>
        <v>0</v>
      </c>
      <c r="M251" s="319">
        <f>IF(AND('Ações'!AT253="sim", 'Ações'!BD253="sim"), 1, 0)
</f>
        <v>1</v>
      </c>
      <c r="N251" s="319">
        <f>IF(AND('Ações'!AT253="sim", 'Ações'!BF253="sim"), 1, 0)
</f>
        <v>0</v>
      </c>
      <c r="O251" s="319">
        <f>IF(AND('Ações'!AT253="sim", 'Ações'!BG253="sim"), 1, 0)
</f>
        <v>0</v>
      </c>
      <c r="P251" s="319">
        <f>IF(AND('Ações'!AT253="sim", 'Ações'!BH253="sim"), 1, 0)
</f>
        <v>0</v>
      </c>
      <c r="Q251" s="319">
        <f>IF(AND('Ações'!AT253="sim", 'Ações'!BI253="sim"), 1, 0)
</f>
        <v>0</v>
      </c>
      <c r="R251" s="319">
        <f>IF(AND('Ações'!AU253="sim", 'Ações'!BD253="sim"), 1, 0)
</f>
        <v>1</v>
      </c>
      <c r="S251" s="319">
        <f>IF(AND('Ações'!AU253="sim", 'Ações'!BE253="sim"), 1, 0)
</f>
        <v>0</v>
      </c>
      <c r="T251" s="319">
        <f>IF(AND('Ações'!AU253="sim", 'Ações'!BG253="sim"), 1, 0)
</f>
        <v>0</v>
      </c>
      <c r="U251" s="319">
        <f>IF(AND('Ações'!AU253="sim", 'Ações'!BH253="sim"), 1, 0)
</f>
        <v>0</v>
      </c>
      <c r="V251" s="319">
        <f>IF(AND('Ações'!AU253="sim", 'Ações'!BI253="sim"), 1, 0)
</f>
        <v>0</v>
      </c>
      <c r="W251" s="319">
        <f>IF(AND('Ações'!AV253="sim", 'Ações'!BD253="sim"), 1, 0)
</f>
        <v>1</v>
      </c>
      <c r="X251" s="319">
        <f>IF(AND('Ações'!AV253="sim", 'Ações'!BE253="sim"), 1, 0)
</f>
        <v>0</v>
      </c>
      <c r="Y251" s="319">
        <f>IF(AND('Ações'!AV253="sim", 'Ações'!BF253="sim"), 1, 0)
</f>
        <v>0</v>
      </c>
      <c r="Z251" s="319">
        <f>IF(AND('Ações'!AV253="sim", 'Ações'!BH253="sim"), 1, 0)
</f>
        <v>0</v>
      </c>
      <c r="AA251" s="319">
        <f>IF(AND('Ações'!AV253="sim", 'Ações'!BI253="sim"), 1, 0)
</f>
        <v>0</v>
      </c>
      <c r="AB251" s="319">
        <f>IF(AND('Ações'!AW253="sim", 'Ações'!BD253="sim"), 1, 0)
</f>
        <v>0</v>
      </c>
      <c r="AC251" s="319">
        <f>IF(AND('Ações'!AW253="sim", 'Ações'!BE253="sim"), 1, 0)
</f>
        <v>0</v>
      </c>
      <c r="AD251" s="319">
        <f>IF(AND('Ações'!AW253="sim", 'Ações'!BF253="sim"), 1, 0)
</f>
        <v>0</v>
      </c>
      <c r="AE251" s="319">
        <f>IF(AND('Ações'!AW253="sim", 'Ações'!BG253="sim"), 1, 0)
</f>
        <v>0</v>
      </c>
      <c r="AF251" s="319">
        <f>IF(AND('Ações'!AW253="sim", 'Ações'!BI253="sim"), 1, 0)
</f>
        <v>0</v>
      </c>
      <c r="AG251" s="319">
        <f>IF(AND('Ações'!AX253="sim", 'Ações'!BD253="sim"), 1, 0)
</f>
        <v>0</v>
      </c>
      <c r="AH251" s="319">
        <f>IF(AND('Ações'!AX253="sim", 'Ações'!BE253="sim"), 1, 0)
</f>
        <v>0</v>
      </c>
      <c r="AI251" s="319">
        <f>IF(AND('Ações'!AX253="sim", 'Ações'!BF253="sim"), 1, 0)
</f>
        <v>0</v>
      </c>
      <c r="AJ251" s="319">
        <f>IF(AND('Ações'!AX253="sim", 'Ações'!BG253="sim"), 1, 0)
</f>
        <v>0</v>
      </c>
      <c r="AK251" s="319">
        <f>IF(AND('Ações'!AX253="sim", 'Ações'!BH253="sim"), 1, 0)
</f>
        <v>0</v>
      </c>
    </row>
    <row r="252">
      <c r="B252" s="319">
        <f>IF(AND('Ações'!AS254="sim", 'Ações'!BD254="sim"), 1, 0)
</f>
        <v>1</v>
      </c>
      <c r="C252" s="319">
        <f>IF(AND('Ações'!AT254="sim", 'Ações'!BE254="sim"), 1, 0)
</f>
        <v>0</v>
      </c>
      <c r="D252" s="319">
        <f>IF(AND('Ações'!AU254="sim", 'Ações'!BF254="sim"), 1, 0)
</f>
        <v>0</v>
      </c>
      <c r="E252" s="319">
        <f>IF(AND('Ações'!AV254="sim", 'Ações'!BG254="sim"), 1, 0)
</f>
        <v>0</v>
      </c>
      <c r="F252" s="319">
        <f>IF(AND('Ações'!AW254="sim", 'Ações'!BH254="sim"), 1, 0)
</f>
        <v>0</v>
      </c>
      <c r="G252" s="319">
        <f>IF(AND('Ações'!AX254="sim", 'Ações'!BI254="sim"), 1, 0)
</f>
        <v>0</v>
      </c>
      <c r="H252" s="319">
        <f>IF(AND('Ações'!AS254="sim", 'Ações'!BE254="sim"), 1, 0)
</f>
        <v>0</v>
      </c>
      <c r="I252" s="319">
        <f>IF(AND('Ações'!AS254="sim", 'Ações'!BF254="sim"), 1, 0)
</f>
        <v>0</v>
      </c>
      <c r="J252" s="319">
        <f>IF(AND('Ações'!AS254="sim", 'Ações'!BG254="sim"), 1, 0)
</f>
        <v>0</v>
      </c>
      <c r="K252" s="319">
        <f>IF(AND('Ações'!AS254="sim", 'Ações'!BH254="sim"), 1, 0)
</f>
        <v>0</v>
      </c>
      <c r="L252" s="319">
        <f>IF(AND('Ações'!AS254="sim", 'Ações'!BI254="sim"), 1, 0)
</f>
        <v>0</v>
      </c>
      <c r="M252" s="319">
        <f>IF(AND('Ações'!AT254="sim", 'Ações'!BD254="sim"), 1, 0)
</f>
        <v>1</v>
      </c>
      <c r="N252" s="319">
        <f>IF(AND('Ações'!AT254="sim", 'Ações'!BF254="sim"), 1, 0)
</f>
        <v>0</v>
      </c>
      <c r="O252" s="319">
        <f>IF(AND('Ações'!AT254="sim", 'Ações'!BG254="sim"), 1, 0)
</f>
        <v>0</v>
      </c>
      <c r="P252" s="319">
        <f>IF(AND('Ações'!AT254="sim", 'Ações'!BH254="sim"), 1, 0)
</f>
        <v>0</v>
      </c>
      <c r="Q252" s="319">
        <f>IF(AND('Ações'!AT254="sim", 'Ações'!BI254="sim"), 1, 0)
</f>
        <v>0</v>
      </c>
      <c r="R252" s="319">
        <f>IF(AND('Ações'!AU254="sim", 'Ações'!BD254="sim"), 1, 0)
</f>
        <v>1</v>
      </c>
      <c r="S252" s="319">
        <f>IF(AND('Ações'!AU254="sim", 'Ações'!BE254="sim"), 1, 0)
</f>
        <v>0</v>
      </c>
      <c r="T252" s="319">
        <f>IF(AND('Ações'!AU254="sim", 'Ações'!BG254="sim"), 1, 0)
</f>
        <v>0</v>
      </c>
      <c r="U252" s="319">
        <f>IF(AND('Ações'!AU254="sim", 'Ações'!BH254="sim"), 1, 0)
</f>
        <v>0</v>
      </c>
      <c r="V252" s="319">
        <f>IF(AND('Ações'!AU254="sim", 'Ações'!BI254="sim"), 1, 0)
</f>
        <v>0</v>
      </c>
      <c r="W252" s="319">
        <f>IF(AND('Ações'!AV254="sim", 'Ações'!BD254="sim"), 1, 0)
</f>
        <v>1</v>
      </c>
      <c r="X252" s="319">
        <f>IF(AND('Ações'!AV254="sim", 'Ações'!BE254="sim"), 1, 0)
</f>
        <v>0</v>
      </c>
      <c r="Y252" s="319">
        <f>IF(AND('Ações'!AV254="sim", 'Ações'!BF254="sim"), 1, 0)
</f>
        <v>0</v>
      </c>
      <c r="Z252" s="319">
        <f>IF(AND('Ações'!AV254="sim", 'Ações'!BH254="sim"), 1, 0)
</f>
        <v>0</v>
      </c>
      <c r="AA252" s="319">
        <f>IF(AND('Ações'!AV254="sim", 'Ações'!BI254="sim"), 1, 0)
</f>
        <v>0</v>
      </c>
      <c r="AB252" s="319">
        <f>IF(AND('Ações'!AW254="sim", 'Ações'!BD254="sim"), 1, 0)
</f>
        <v>0</v>
      </c>
      <c r="AC252" s="319">
        <f>IF(AND('Ações'!AW254="sim", 'Ações'!BE254="sim"), 1, 0)
</f>
        <v>0</v>
      </c>
      <c r="AD252" s="319">
        <f>IF(AND('Ações'!AW254="sim", 'Ações'!BF254="sim"), 1, 0)
</f>
        <v>0</v>
      </c>
      <c r="AE252" s="319">
        <f>IF(AND('Ações'!AW254="sim", 'Ações'!BG254="sim"), 1, 0)
</f>
        <v>0</v>
      </c>
      <c r="AF252" s="319">
        <f>IF(AND('Ações'!AW254="sim", 'Ações'!BI254="sim"), 1, 0)
</f>
        <v>0</v>
      </c>
      <c r="AG252" s="319">
        <f>IF(AND('Ações'!AX254="sim", 'Ações'!BD254="sim"), 1, 0)
</f>
        <v>0</v>
      </c>
      <c r="AH252" s="319">
        <f>IF(AND('Ações'!AX254="sim", 'Ações'!BE254="sim"), 1, 0)
</f>
        <v>0</v>
      </c>
      <c r="AI252" s="319">
        <f>IF(AND('Ações'!AX254="sim", 'Ações'!BF254="sim"), 1, 0)
</f>
        <v>0</v>
      </c>
      <c r="AJ252" s="319">
        <f>IF(AND('Ações'!AX254="sim", 'Ações'!BG254="sim"), 1, 0)
</f>
        <v>0</v>
      </c>
      <c r="AK252" s="319">
        <f>IF(AND('Ações'!AX254="sim", 'Ações'!BH254="sim"), 1, 0)
</f>
        <v>0</v>
      </c>
    </row>
    <row r="253">
      <c r="B253" s="319">
        <f>IF(AND('Ações'!AS255="sim", 'Ações'!BD255="sim"), 1, 0)
</f>
        <v>1</v>
      </c>
      <c r="C253" s="319">
        <f>IF(AND('Ações'!AT255="sim", 'Ações'!BE255="sim"), 1, 0)
</f>
        <v>0</v>
      </c>
      <c r="D253" s="319">
        <f>IF(AND('Ações'!AU255="sim", 'Ações'!BF255="sim"), 1, 0)
</f>
        <v>0</v>
      </c>
      <c r="E253" s="319">
        <f>IF(AND('Ações'!AV255="sim", 'Ações'!BG255="sim"), 1, 0)
</f>
        <v>0</v>
      </c>
      <c r="F253" s="319">
        <f>IF(AND('Ações'!AW255="sim", 'Ações'!BH255="sim"), 1, 0)
</f>
        <v>0</v>
      </c>
      <c r="G253" s="319">
        <f>IF(AND('Ações'!AX255="sim", 'Ações'!BI255="sim"), 1, 0)
</f>
        <v>0</v>
      </c>
      <c r="H253" s="319">
        <f>IF(AND('Ações'!AS255="sim", 'Ações'!BE255="sim"), 1, 0)
</f>
        <v>0</v>
      </c>
      <c r="I253" s="319">
        <f>IF(AND('Ações'!AS255="sim", 'Ações'!BF255="sim"), 1, 0)
</f>
        <v>0</v>
      </c>
      <c r="J253" s="319">
        <f>IF(AND('Ações'!AS255="sim", 'Ações'!BG255="sim"), 1, 0)
</f>
        <v>0</v>
      </c>
      <c r="K253" s="319">
        <f>IF(AND('Ações'!AS255="sim", 'Ações'!BH255="sim"), 1, 0)
</f>
        <v>0</v>
      </c>
      <c r="L253" s="319">
        <f>IF(AND('Ações'!AS255="sim", 'Ações'!BI255="sim"), 1, 0)
</f>
        <v>1</v>
      </c>
      <c r="M253" s="319">
        <f>IF(AND('Ações'!AT255="sim", 'Ações'!BD255="sim"), 1, 0)
</f>
        <v>1</v>
      </c>
      <c r="N253" s="319">
        <f>IF(AND('Ações'!AT255="sim", 'Ações'!BF255="sim"), 1, 0)
</f>
        <v>0</v>
      </c>
      <c r="O253" s="319">
        <f>IF(AND('Ações'!AT255="sim", 'Ações'!BG255="sim"), 1, 0)
</f>
        <v>0</v>
      </c>
      <c r="P253" s="319">
        <f>IF(AND('Ações'!AT255="sim", 'Ações'!BH255="sim"), 1, 0)
</f>
        <v>0</v>
      </c>
      <c r="Q253" s="319">
        <f>IF(AND('Ações'!AT255="sim", 'Ações'!BI255="sim"), 1, 0)
</f>
        <v>1</v>
      </c>
      <c r="R253" s="319">
        <f>IF(AND('Ações'!AU255="sim", 'Ações'!BD255="sim"), 1, 0)
</f>
        <v>1</v>
      </c>
      <c r="S253" s="319">
        <f>IF(AND('Ações'!AU255="sim", 'Ações'!BE255="sim"), 1, 0)
</f>
        <v>0</v>
      </c>
      <c r="T253" s="319">
        <f>IF(AND('Ações'!AU255="sim", 'Ações'!BG255="sim"), 1, 0)
</f>
        <v>0</v>
      </c>
      <c r="U253" s="319">
        <f>IF(AND('Ações'!AU255="sim", 'Ações'!BH255="sim"), 1, 0)
</f>
        <v>0</v>
      </c>
      <c r="V253" s="319">
        <f>IF(AND('Ações'!AU255="sim", 'Ações'!BI255="sim"), 1, 0)
</f>
        <v>1</v>
      </c>
      <c r="W253" s="319">
        <f>IF(AND('Ações'!AV255="sim", 'Ações'!BD255="sim"), 1, 0)
</f>
        <v>1</v>
      </c>
      <c r="X253" s="319">
        <f>IF(AND('Ações'!AV255="sim", 'Ações'!BE255="sim"), 1, 0)
</f>
        <v>0</v>
      </c>
      <c r="Y253" s="319">
        <f>IF(AND('Ações'!AV255="sim", 'Ações'!BF255="sim"), 1, 0)
</f>
        <v>0</v>
      </c>
      <c r="Z253" s="319">
        <f>IF(AND('Ações'!AV255="sim", 'Ações'!BH255="sim"), 1, 0)
</f>
        <v>0</v>
      </c>
      <c r="AA253" s="319">
        <f>IF(AND('Ações'!AV255="sim", 'Ações'!BI255="sim"), 1, 0)
</f>
        <v>1</v>
      </c>
      <c r="AB253" s="319">
        <f>IF(AND('Ações'!AW255="sim", 'Ações'!BD255="sim"), 1, 0)
</f>
        <v>0</v>
      </c>
      <c r="AC253" s="319">
        <f>IF(AND('Ações'!AW255="sim", 'Ações'!BE255="sim"), 1, 0)
</f>
        <v>0</v>
      </c>
      <c r="AD253" s="319">
        <f>IF(AND('Ações'!AW255="sim", 'Ações'!BF255="sim"), 1, 0)
</f>
        <v>0</v>
      </c>
      <c r="AE253" s="319">
        <f>IF(AND('Ações'!AW255="sim", 'Ações'!BG255="sim"), 1, 0)
</f>
        <v>0</v>
      </c>
      <c r="AF253" s="319">
        <f>IF(AND('Ações'!AW255="sim", 'Ações'!BI255="sim"), 1, 0)
</f>
        <v>0</v>
      </c>
      <c r="AG253" s="319">
        <f>IF(AND('Ações'!AX255="sim", 'Ações'!BD255="sim"), 1, 0)
</f>
        <v>0</v>
      </c>
      <c r="AH253" s="319">
        <f>IF(AND('Ações'!AX255="sim", 'Ações'!BE255="sim"), 1, 0)
</f>
        <v>0</v>
      </c>
      <c r="AI253" s="319">
        <f>IF(AND('Ações'!AX255="sim", 'Ações'!BF255="sim"), 1, 0)
</f>
        <v>0</v>
      </c>
      <c r="AJ253" s="319">
        <f>IF(AND('Ações'!AX255="sim", 'Ações'!BG255="sim"), 1, 0)
</f>
        <v>0</v>
      </c>
      <c r="AK253" s="319">
        <f>IF(AND('Ações'!AX255="sim", 'Ações'!BH255="sim"), 1, 0)
</f>
        <v>0</v>
      </c>
    </row>
    <row r="254">
      <c r="B254" s="319">
        <f>IF(AND('Ações'!AS256="sim", 'Ações'!BD256="sim"), 1, 0)
</f>
        <v>1</v>
      </c>
      <c r="C254" s="319">
        <f>IF(AND('Ações'!AT256="sim", 'Ações'!BE256="sim"), 1, 0)
</f>
        <v>0</v>
      </c>
      <c r="D254" s="319">
        <f>IF(AND('Ações'!AU256="sim", 'Ações'!BF256="sim"), 1, 0)
</f>
        <v>0</v>
      </c>
      <c r="E254" s="319">
        <f>IF(AND('Ações'!AV256="sim", 'Ações'!BG256="sim"), 1, 0)
</f>
        <v>0</v>
      </c>
      <c r="F254" s="319">
        <f>IF(AND('Ações'!AW256="sim", 'Ações'!BH256="sim"), 1, 0)
</f>
        <v>0</v>
      </c>
      <c r="G254" s="319">
        <f>IF(AND('Ações'!AX256="sim", 'Ações'!BI256="sim"), 1, 0)
</f>
        <v>0</v>
      </c>
      <c r="H254" s="319">
        <f>IF(AND('Ações'!AS256="sim", 'Ações'!BE256="sim"), 1, 0)
</f>
        <v>0</v>
      </c>
      <c r="I254" s="319">
        <f>IF(AND('Ações'!AS256="sim", 'Ações'!BF256="sim"), 1, 0)
</f>
        <v>0</v>
      </c>
      <c r="J254" s="319">
        <f>IF(AND('Ações'!AS256="sim", 'Ações'!BG256="sim"), 1, 0)
</f>
        <v>0</v>
      </c>
      <c r="K254" s="319">
        <f>IF(AND('Ações'!AS256="sim", 'Ações'!BH256="sim"), 1, 0)
</f>
        <v>0</v>
      </c>
      <c r="L254" s="319">
        <f>IF(AND('Ações'!AS256="sim", 'Ações'!BI256="sim"), 1, 0)
</f>
        <v>0</v>
      </c>
      <c r="M254" s="319">
        <f>IF(AND('Ações'!AT256="sim", 'Ações'!BD256="sim"), 1, 0)
</f>
        <v>1</v>
      </c>
      <c r="N254" s="319">
        <f>IF(AND('Ações'!AT256="sim", 'Ações'!BF256="sim"), 1, 0)
</f>
        <v>0</v>
      </c>
      <c r="O254" s="319">
        <f>IF(AND('Ações'!AT256="sim", 'Ações'!BG256="sim"), 1, 0)
</f>
        <v>0</v>
      </c>
      <c r="P254" s="319">
        <f>IF(AND('Ações'!AT256="sim", 'Ações'!BH256="sim"), 1, 0)
</f>
        <v>0</v>
      </c>
      <c r="Q254" s="319">
        <f>IF(AND('Ações'!AT256="sim", 'Ações'!BI256="sim"), 1, 0)
</f>
        <v>0</v>
      </c>
      <c r="R254" s="319">
        <f>IF(AND('Ações'!AU256="sim", 'Ações'!BD256="sim"), 1, 0)
</f>
        <v>1</v>
      </c>
      <c r="S254" s="319">
        <f>IF(AND('Ações'!AU256="sim", 'Ações'!BE256="sim"), 1, 0)
</f>
        <v>0</v>
      </c>
      <c r="T254" s="319">
        <f>IF(AND('Ações'!AU256="sim", 'Ações'!BG256="sim"), 1, 0)
</f>
        <v>0</v>
      </c>
      <c r="U254" s="319">
        <f>IF(AND('Ações'!AU256="sim", 'Ações'!BH256="sim"), 1, 0)
</f>
        <v>0</v>
      </c>
      <c r="V254" s="319">
        <f>IF(AND('Ações'!AU256="sim", 'Ações'!BI256="sim"), 1, 0)
</f>
        <v>0</v>
      </c>
      <c r="W254" s="319">
        <f>IF(AND('Ações'!AV256="sim", 'Ações'!BD256="sim"), 1, 0)
</f>
        <v>1</v>
      </c>
      <c r="X254" s="319">
        <f>IF(AND('Ações'!AV256="sim", 'Ações'!BE256="sim"), 1, 0)
</f>
        <v>0</v>
      </c>
      <c r="Y254" s="319">
        <f>IF(AND('Ações'!AV256="sim", 'Ações'!BF256="sim"), 1, 0)
</f>
        <v>0</v>
      </c>
      <c r="Z254" s="319">
        <f>IF(AND('Ações'!AV256="sim", 'Ações'!BH256="sim"), 1, 0)
</f>
        <v>0</v>
      </c>
      <c r="AA254" s="319">
        <f>IF(AND('Ações'!AV256="sim", 'Ações'!BI256="sim"), 1, 0)
</f>
        <v>0</v>
      </c>
      <c r="AB254" s="319">
        <f>IF(AND('Ações'!AW256="sim", 'Ações'!BD256="sim"), 1, 0)
</f>
        <v>0</v>
      </c>
      <c r="AC254" s="319">
        <f>IF(AND('Ações'!AW256="sim", 'Ações'!BE256="sim"), 1, 0)
</f>
        <v>0</v>
      </c>
      <c r="AD254" s="319">
        <f>IF(AND('Ações'!AW256="sim", 'Ações'!BF256="sim"), 1, 0)
</f>
        <v>0</v>
      </c>
      <c r="AE254" s="319">
        <f>IF(AND('Ações'!AW256="sim", 'Ações'!BG256="sim"), 1, 0)
</f>
        <v>0</v>
      </c>
      <c r="AF254" s="319">
        <f>IF(AND('Ações'!AW256="sim", 'Ações'!BI256="sim"), 1, 0)
</f>
        <v>0</v>
      </c>
      <c r="AG254" s="319">
        <f>IF(AND('Ações'!AX256="sim", 'Ações'!BD256="sim"), 1, 0)
</f>
        <v>0</v>
      </c>
      <c r="AH254" s="319">
        <f>IF(AND('Ações'!AX256="sim", 'Ações'!BE256="sim"), 1, 0)
</f>
        <v>0</v>
      </c>
      <c r="AI254" s="319">
        <f>IF(AND('Ações'!AX256="sim", 'Ações'!BF256="sim"), 1, 0)
</f>
        <v>0</v>
      </c>
      <c r="AJ254" s="319">
        <f>IF(AND('Ações'!AX256="sim", 'Ações'!BG256="sim"), 1, 0)
</f>
        <v>0</v>
      </c>
      <c r="AK254" s="319">
        <f>IF(AND('Ações'!AX256="sim", 'Ações'!BH256="sim"), 1, 0)
</f>
        <v>0</v>
      </c>
    </row>
    <row r="255">
      <c r="B255" s="319">
        <f>IF(AND('Ações'!AS257="sim", 'Ações'!BD257="sim"), 1, 0)
</f>
        <v>0</v>
      </c>
      <c r="C255" s="319">
        <f>IF(AND('Ações'!AT257="sim", 'Ações'!BE257="sim"), 1, 0)
</f>
        <v>0</v>
      </c>
      <c r="D255" s="319">
        <f>IF(AND('Ações'!AU257="sim", 'Ações'!BF257="sim"), 1, 0)
</f>
        <v>0</v>
      </c>
      <c r="E255" s="319">
        <f>IF(AND('Ações'!AV257="sim", 'Ações'!BG257="sim"), 1, 0)
</f>
        <v>0</v>
      </c>
      <c r="F255" s="319">
        <f>IF(AND('Ações'!AW257="sim", 'Ações'!BH257="sim"), 1, 0)
</f>
        <v>0</v>
      </c>
      <c r="G255" s="319">
        <f>IF(AND('Ações'!AX257="sim", 'Ações'!BI257="sim"), 1, 0)
</f>
        <v>0</v>
      </c>
      <c r="H255" s="319">
        <f>IF(AND('Ações'!AS257="sim", 'Ações'!BE257="sim"), 1, 0)
</f>
        <v>0</v>
      </c>
      <c r="I255" s="319">
        <f>IF(AND('Ações'!AS257="sim", 'Ações'!BF257="sim"), 1, 0)
</f>
        <v>0</v>
      </c>
      <c r="J255" s="319">
        <f>IF(AND('Ações'!AS257="sim", 'Ações'!BG257="sim"), 1, 0)
</f>
        <v>0</v>
      </c>
      <c r="K255" s="319">
        <f>IF(AND('Ações'!AS257="sim", 'Ações'!BH257="sim"), 1, 0)
</f>
        <v>0</v>
      </c>
      <c r="L255" s="319">
        <f>IF(AND('Ações'!AS257="sim", 'Ações'!BI257="sim"), 1, 0)
</f>
        <v>1</v>
      </c>
      <c r="M255" s="319">
        <f>IF(AND('Ações'!AT257="sim", 'Ações'!BD257="sim"), 1, 0)
</f>
        <v>0</v>
      </c>
      <c r="N255" s="319">
        <f>IF(AND('Ações'!AT257="sim", 'Ações'!BF257="sim"), 1, 0)
</f>
        <v>0</v>
      </c>
      <c r="O255" s="319">
        <f>IF(AND('Ações'!AT257="sim", 'Ações'!BG257="sim"), 1, 0)
</f>
        <v>0</v>
      </c>
      <c r="P255" s="319">
        <f>IF(AND('Ações'!AT257="sim", 'Ações'!BH257="sim"), 1, 0)
</f>
        <v>0</v>
      </c>
      <c r="Q255" s="319">
        <f>IF(AND('Ações'!AT257="sim", 'Ações'!BI257="sim"), 1, 0)
</f>
        <v>1</v>
      </c>
      <c r="R255" s="319">
        <f>IF(AND('Ações'!AU257="sim", 'Ações'!BD257="sim"), 1, 0)
</f>
        <v>0</v>
      </c>
      <c r="S255" s="319">
        <f>IF(AND('Ações'!AU257="sim", 'Ações'!BE257="sim"), 1, 0)
</f>
        <v>0</v>
      </c>
      <c r="T255" s="319">
        <f>IF(AND('Ações'!AU257="sim", 'Ações'!BG257="sim"), 1, 0)
</f>
        <v>0</v>
      </c>
      <c r="U255" s="319">
        <f>IF(AND('Ações'!AU257="sim", 'Ações'!BH257="sim"), 1, 0)
</f>
        <v>0</v>
      </c>
      <c r="V255" s="319">
        <f>IF(AND('Ações'!AU257="sim", 'Ações'!BI257="sim"), 1, 0)
</f>
        <v>1</v>
      </c>
      <c r="W255" s="319">
        <f>IF(AND('Ações'!AV257="sim", 'Ações'!BD257="sim"), 1, 0)
</f>
        <v>0</v>
      </c>
      <c r="X255" s="319">
        <f>IF(AND('Ações'!AV257="sim", 'Ações'!BE257="sim"), 1, 0)
</f>
        <v>0</v>
      </c>
      <c r="Y255" s="319">
        <f>IF(AND('Ações'!AV257="sim", 'Ações'!BF257="sim"), 1, 0)
</f>
        <v>0</v>
      </c>
      <c r="Z255" s="319">
        <f>IF(AND('Ações'!AV257="sim", 'Ações'!BH257="sim"), 1, 0)
</f>
        <v>0</v>
      </c>
      <c r="AA255" s="319">
        <f>IF(AND('Ações'!AV257="sim", 'Ações'!BI257="sim"), 1, 0)
</f>
        <v>1</v>
      </c>
      <c r="AB255" s="319">
        <f>IF(AND('Ações'!AW257="sim", 'Ações'!BD257="sim"), 1, 0)
</f>
        <v>0</v>
      </c>
      <c r="AC255" s="319">
        <f>IF(AND('Ações'!AW257="sim", 'Ações'!BE257="sim"), 1, 0)
</f>
        <v>0</v>
      </c>
      <c r="AD255" s="319">
        <f>IF(AND('Ações'!AW257="sim", 'Ações'!BF257="sim"), 1, 0)
</f>
        <v>0</v>
      </c>
      <c r="AE255" s="319">
        <f>IF(AND('Ações'!AW257="sim", 'Ações'!BG257="sim"), 1, 0)
</f>
        <v>0</v>
      </c>
      <c r="AF255" s="319">
        <f>IF(AND('Ações'!AW257="sim", 'Ações'!BI257="sim"), 1, 0)
</f>
        <v>0</v>
      </c>
      <c r="AG255" s="319">
        <f>IF(AND('Ações'!AX257="sim", 'Ações'!BD257="sim"), 1, 0)
</f>
        <v>0</v>
      </c>
      <c r="AH255" s="319">
        <f>IF(AND('Ações'!AX257="sim", 'Ações'!BE257="sim"), 1, 0)
</f>
        <v>0</v>
      </c>
      <c r="AI255" s="319">
        <f>IF(AND('Ações'!AX257="sim", 'Ações'!BF257="sim"), 1, 0)
</f>
        <v>0</v>
      </c>
      <c r="AJ255" s="319">
        <f>IF(AND('Ações'!AX257="sim", 'Ações'!BG257="sim"), 1, 0)
</f>
        <v>0</v>
      </c>
      <c r="AK255" s="319">
        <f>IF(AND('Ações'!AX257="sim", 'Ações'!BH257="sim"), 1, 0)
</f>
        <v>0</v>
      </c>
    </row>
    <row r="256">
      <c r="B256" s="319">
        <f>IF(AND('Ações'!AS258="sim", 'Ações'!BD258="sim"), 1, 0)
</f>
        <v>1</v>
      </c>
      <c r="C256" s="319">
        <f>IF(AND('Ações'!AT258="sim", 'Ações'!BE258="sim"), 1, 0)
</f>
        <v>0</v>
      </c>
      <c r="D256" s="319">
        <f>IF(AND('Ações'!AU258="sim", 'Ações'!BF258="sim"), 1, 0)
</f>
        <v>1</v>
      </c>
      <c r="E256" s="319">
        <f>IF(AND('Ações'!AV258="sim", 'Ações'!BG258="sim"), 1, 0)
</f>
        <v>0</v>
      </c>
      <c r="F256" s="319">
        <f>IF(AND('Ações'!AW258="sim", 'Ações'!BH258="sim"), 1, 0)
</f>
        <v>0</v>
      </c>
      <c r="G256" s="319">
        <f>IF(AND('Ações'!AX258="sim", 'Ações'!BI258="sim"), 1, 0)
</f>
        <v>0</v>
      </c>
      <c r="H256" s="319">
        <f>IF(AND('Ações'!AS258="sim", 'Ações'!BE258="sim"), 1, 0)
</f>
        <v>0</v>
      </c>
      <c r="I256" s="319">
        <f>IF(AND('Ações'!AS258="sim", 'Ações'!BF258="sim"), 1, 0)
</f>
        <v>1</v>
      </c>
      <c r="J256" s="319">
        <f>IF(AND('Ações'!AS258="sim", 'Ações'!BG258="sim"), 1, 0)
</f>
        <v>0</v>
      </c>
      <c r="K256" s="319">
        <f>IF(AND('Ações'!AS258="sim", 'Ações'!BH258="sim"), 1, 0)
</f>
        <v>0</v>
      </c>
      <c r="L256" s="319">
        <f>IF(AND('Ações'!AS258="sim", 'Ações'!BI258="sim"), 1, 0)
</f>
        <v>1</v>
      </c>
      <c r="M256" s="319">
        <f>IF(AND('Ações'!AT258="sim", 'Ações'!BD258="sim"), 1, 0)
</f>
        <v>1</v>
      </c>
      <c r="N256" s="319">
        <f>IF(AND('Ações'!AT258="sim", 'Ações'!BF258="sim"), 1, 0)
</f>
        <v>1</v>
      </c>
      <c r="O256" s="319">
        <f>IF(AND('Ações'!AT258="sim", 'Ações'!BG258="sim"), 1, 0)
</f>
        <v>0</v>
      </c>
      <c r="P256" s="319">
        <f>IF(AND('Ações'!AT258="sim", 'Ações'!BH258="sim"), 1, 0)
</f>
        <v>0</v>
      </c>
      <c r="Q256" s="319">
        <f>IF(AND('Ações'!AT258="sim", 'Ações'!BI258="sim"), 1, 0)
</f>
        <v>1</v>
      </c>
      <c r="R256" s="319">
        <f>IF(AND('Ações'!AU258="sim", 'Ações'!BD258="sim"), 1, 0)
</f>
        <v>1</v>
      </c>
      <c r="S256" s="319">
        <f>IF(AND('Ações'!AU258="sim", 'Ações'!BE258="sim"), 1, 0)
</f>
        <v>0</v>
      </c>
      <c r="T256" s="319">
        <f>IF(AND('Ações'!AU258="sim", 'Ações'!BG258="sim"), 1, 0)
</f>
        <v>0</v>
      </c>
      <c r="U256" s="319">
        <f>IF(AND('Ações'!AU258="sim", 'Ações'!BH258="sim"), 1, 0)
</f>
        <v>0</v>
      </c>
      <c r="V256" s="319">
        <f>IF(AND('Ações'!AU258="sim", 'Ações'!BI258="sim"), 1, 0)
</f>
        <v>1</v>
      </c>
      <c r="W256" s="319">
        <f>IF(AND('Ações'!AV258="sim", 'Ações'!BD258="sim"), 1, 0)
</f>
        <v>1</v>
      </c>
      <c r="X256" s="319">
        <f>IF(AND('Ações'!AV258="sim", 'Ações'!BE258="sim"), 1, 0)
</f>
        <v>0</v>
      </c>
      <c r="Y256" s="319">
        <f>IF(AND('Ações'!AV258="sim", 'Ações'!BF258="sim"), 1, 0)
</f>
        <v>1</v>
      </c>
      <c r="Z256" s="319">
        <f>IF(AND('Ações'!AV258="sim", 'Ações'!BH258="sim"), 1, 0)
</f>
        <v>0</v>
      </c>
      <c r="AA256" s="319">
        <f>IF(AND('Ações'!AV258="sim", 'Ações'!BI258="sim"), 1, 0)
</f>
        <v>1</v>
      </c>
      <c r="AB256" s="319">
        <f>IF(AND('Ações'!AW258="sim", 'Ações'!BD258="sim"), 1, 0)
</f>
        <v>0</v>
      </c>
      <c r="AC256" s="319">
        <f>IF(AND('Ações'!AW258="sim", 'Ações'!BE258="sim"), 1, 0)
</f>
        <v>0</v>
      </c>
      <c r="AD256" s="319">
        <f>IF(AND('Ações'!AW258="sim", 'Ações'!BF258="sim"), 1, 0)
</f>
        <v>0</v>
      </c>
      <c r="AE256" s="319">
        <f>IF(AND('Ações'!AW258="sim", 'Ações'!BG258="sim"), 1, 0)
</f>
        <v>0</v>
      </c>
      <c r="AF256" s="319">
        <f>IF(AND('Ações'!AW258="sim", 'Ações'!BI258="sim"), 1, 0)
</f>
        <v>0</v>
      </c>
      <c r="AG256" s="319">
        <f>IF(AND('Ações'!AX258="sim", 'Ações'!BD258="sim"), 1, 0)
</f>
        <v>0</v>
      </c>
      <c r="AH256" s="319">
        <f>IF(AND('Ações'!AX258="sim", 'Ações'!BE258="sim"), 1, 0)
</f>
        <v>0</v>
      </c>
      <c r="AI256" s="319">
        <f>IF(AND('Ações'!AX258="sim", 'Ações'!BF258="sim"), 1, 0)
</f>
        <v>0</v>
      </c>
      <c r="AJ256" s="319">
        <f>IF(AND('Ações'!AX258="sim", 'Ações'!BG258="sim"), 1, 0)
</f>
        <v>0</v>
      </c>
      <c r="AK256" s="319">
        <f>IF(AND('Ações'!AX258="sim", 'Ações'!BH258="sim"), 1, 0)
</f>
        <v>0</v>
      </c>
    </row>
    <row r="257">
      <c r="B257" s="319">
        <f>IF(AND('Ações'!AS259="sim", 'Ações'!BD259="sim"), 1, 0)
</f>
        <v>1</v>
      </c>
      <c r="C257" s="319">
        <f>IF(AND('Ações'!AT259="sim", 'Ações'!BE259="sim"), 1, 0)
</f>
        <v>0</v>
      </c>
      <c r="D257" s="319">
        <f>IF(AND('Ações'!AU259="sim", 'Ações'!BF259="sim"), 1, 0)
</f>
        <v>0</v>
      </c>
      <c r="E257" s="319">
        <f>IF(AND('Ações'!AV259="sim", 'Ações'!BG259="sim"), 1, 0)
</f>
        <v>0</v>
      </c>
      <c r="F257" s="319">
        <f>IF(AND('Ações'!AW259="sim", 'Ações'!BH259="sim"), 1, 0)
</f>
        <v>0</v>
      </c>
      <c r="G257" s="319">
        <f>IF(AND('Ações'!AX259="sim", 'Ações'!BI259="sim"), 1, 0)
</f>
        <v>0</v>
      </c>
      <c r="H257" s="319">
        <f>IF(AND('Ações'!AS259="sim", 'Ações'!BE259="sim"), 1, 0)
</f>
        <v>0</v>
      </c>
      <c r="I257" s="319">
        <f>IF(AND('Ações'!AS259="sim", 'Ações'!BF259="sim"), 1, 0)
</f>
        <v>0</v>
      </c>
      <c r="J257" s="319">
        <f>IF(AND('Ações'!AS259="sim", 'Ações'!BG259="sim"), 1, 0)
</f>
        <v>0</v>
      </c>
      <c r="K257" s="319">
        <f>IF(AND('Ações'!AS259="sim", 'Ações'!BH259="sim"), 1, 0)
</f>
        <v>0</v>
      </c>
      <c r="L257" s="319">
        <f>IF(AND('Ações'!AS259="sim", 'Ações'!BI259="sim"), 1, 0)
</f>
        <v>0</v>
      </c>
      <c r="M257" s="319">
        <f>IF(AND('Ações'!AT259="sim", 'Ações'!BD259="sim"), 1, 0)
</f>
        <v>1</v>
      </c>
      <c r="N257" s="319">
        <f>IF(AND('Ações'!AT259="sim", 'Ações'!BF259="sim"), 1, 0)
</f>
        <v>0</v>
      </c>
      <c r="O257" s="319">
        <f>IF(AND('Ações'!AT259="sim", 'Ações'!BG259="sim"), 1, 0)
</f>
        <v>0</v>
      </c>
      <c r="P257" s="319">
        <f>IF(AND('Ações'!AT259="sim", 'Ações'!BH259="sim"), 1, 0)
</f>
        <v>0</v>
      </c>
      <c r="Q257" s="319">
        <f>IF(AND('Ações'!AT259="sim", 'Ações'!BI259="sim"), 1, 0)
</f>
        <v>0</v>
      </c>
      <c r="R257" s="319">
        <f>IF(AND('Ações'!AU259="sim", 'Ações'!BD259="sim"), 1, 0)
</f>
        <v>1</v>
      </c>
      <c r="S257" s="319">
        <f>IF(AND('Ações'!AU259="sim", 'Ações'!BE259="sim"), 1, 0)
</f>
        <v>0</v>
      </c>
      <c r="T257" s="319">
        <f>IF(AND('Ações'!AU259="sim", 'Ações'!BG259="sim"), 1, 0)
</f>
        <v>0</v>
      </c>
      <c r="U257" s="319">
        <f>IF(AND('Ações'!AU259="sim", 'Ações'!BH259="sim"), 1, 0)
</f>
        <v>0</v>
      </c>
      <c r="V257" s="319">
        <f>IF(AND('Ações'!AU259="sim", 'Ações'!BI259="sim"), 1, 0)
</f>
        <v>0</v>
      </c>
      <c r="W257" s="319">
        <f>IF(AND('Ações'!AV259="sim", 'Ações'!BD259="sim"), 1, 0)
</f>
        <v>1</v>
      </c>
      <c r="X257" s="319">
        <f>IF(AND('Ações'!AV259="sim", 'Ações'!BE259="sim"), 1, 0)
</f>
        <v>0</v>
      </c>
      <c r="Y257" s="319">
        <f>IF(AND('Ações'!AV259="sim", 'Ações'!BF259="sim"), 1, 0)
</f>
        <v>0</v>
      </c>
      <c r="Z257" s="319">
        <f>IF(AND('Ações'!AV259="sim", 'Ações'!BH259="sim"), 1, 0)
</f>
        <v>0</v>
      </c>
      <c r="AA257" s="319">
        <f>IF(AND('Ações'!AV259="sim", 'Ações'!BI259="sim"), 1, 0)
</f>
        <v>0</v>
      </c>
      <c r="AB257" s="319">
        <f>IF(AND('Ações'!AW259="sim", 'Ações'!BD259="sim"), 1, 0)
</f>
        <v>0</v>
      </c>
      <c r="AC257" s="319">
        <f>IF(AND('Ações'!AW259="sim", 'Ações'!BE259="sim"), 1, 0)
</f>
        <v>0</v>
      </c>
      <c r="AD257" s="319">
        <f>IF(AND('Ações'!AW259="sim", 'Ações'!BF259="sim"), 1, 0)
</f>
        <v>0</v>
      </c>
      <c r="AE257" s="319">
        <f>IF(AND('Ações'!AW259="sim", 'Ações'!BG259="sim"), 1, 0)
</f>
        <v>0</v>
      </c>
      <c r="AF257" s="319">
        <f>IF(AND('Ações'!AW259="sim", 'Ações'!BI259="sim"), 1, 0)
</f>
        <v>0</v>
      </c>
      <c r="AG257" s="319">
        <f>IF(AND('Ações'!AX259="sim", 'Ações'!BD259="sim"), 1, 0)
</f>
        <v>0</v>
      </c>
      <c r="AH257" s="319">
        <f>IF(AND('Ações'!AX259="sim", 'Ações'!BE259="sim"), 1, 0)
</f>
        <v>0</v>
      </c>
      <c r="AI257" s="319">
        <f>IF(AND('Ações'!AX259="sim", 'Ações'!BF259="sim"), 1, 0)
</f>
        <v>0</v>
      </c>
      <c r="AJ257" s="319">
        <f>IF(AND('Ações'!AX259="sim", 'Ações'!BG259="sim"), 1, 0)
</f>
        <v>0</v>
      </c>
      <c r="AK257" s="319">
        <f>IF(AND('Ações'!AX259="sim", 'Ações'!BH259="sim"), 1, 0)
</f>
        <v>0</v>
      </c>
    </row>
    <row r="258">
      <c r="B258" s="319">
        <f>IF(AND('Ações'!AS260="sim", 'Ações'!BD260="sim"), 1, 0)
</f>
        <v>0</v>
      </c>
      <c r="C258" s="319">
        <f>IF(AND('Ações'!AT260="sim", 'Ações'!BE260="sim"), 1, 0)
</f>
        <v>0</v>
      </c>
      <c r="D258" s="319">
        <f>IF(AND('Ações'!AU260="sim", 'Ações'!BF260="sim"), 1, 0)
</f>
        <v>0</v>
      </c>
      <c r="E258" s="319">
        <f>IF(AND('Ações'!AV260="sim", 'Ações'!BG260="sim"), 1, 0)
</f>
        <v>0</v>
      </c>
      <c r="F258" s="319">
        <f>IF(AND('Ações'!AW260="sim", 'Ações'!BH260="sim"), 1, 0)
</f>
        <v>0</v>
      </c>
      <c r="G258" s="319">
        <f>IF(AND('Ações'!AX260="sim", 'Ações'!BI260="sim"), 1, 0)
</f>
        <v>0</v>
      </c>
      <c r="H258" s="319">
        <f>IF(AND('Ações'!AS260="sim", 'Ações'!BE260="sim"), 1, 0)
</f>
        <v>0</v>
      </c>
      <c r="I258" s="319">
        <f>IF(AND('Ações'!AS260="sim", 'Ações'!BF260="sim"), 1, 0)
</f>
        <v>0</v>
      </c>
      <c r="J258" s="319">
        <f>IF(AND('Ações'!AS260="sim", 'Ações'!BG260="sim"), 1, 0)
</f>
        <v>0</v>
      </c>
      <c r="K258" s="319">
        <f>IF(AND('Ações'!AS260="sim", 'Ações'!BH260="sim"), 1, 0)
</f>
        <v>0</v>
      </c>
      <c r="L258" s="319">
        <f>IF(AND('Ações'!AS260="sim", 'Ações'!BI260="sim"), 1, 0)
</f>
        <v>1</v>
      </c>
      <c r="M258" s="319">
        <f>IF(AND('Ações'!AT260="sim", 'Ações'!BD260="sim"), 1, 0)
</f>
        <v>0</v>
      </c>
      <c r="N258" s="319">
        <f>IF(AND('Ações'!AT260="sim", 'Ações'!BF260="sim"), 1, 0)
</f>
        <v>0</v>
      </c>
      <c r="O258" s="319">
        <f>IF(AND('Ações'!AT260="sim", 'Ações'!BG260="sim"), 1, 0)
</f>
        <v>0</v>
      </c>
      <c r="P258" s="319">
        <f>IF(AND('Ações'!AT260="sim", 'Ações'!BH260="sim"), 1, 0)
</f>
        <v>0</v>
      </c>
      <c r="Q258" s="319">
        <f>IF(AND('Ações'!AT260="sim", 'Ações'!BI260="sim"), 1, 0)
</f>
        <v>1</v>
      </c>
      <c r="R258" s="319">
        <f>IF(AND('Ações'!AU260="sim", 'Ações'!BD260="sim"), 1, 0)
</f>
        <v>0</v>
      </c>
      <c r="S258" s="319">
        <f>IF(AND('Ações'!AU260="sim", 'Ações'!BE260="sim"), 1, 0)
</f>
        <v>0</v>
      </c>
      <c r="T258" s="319">
        <f>IF(AND('Ações'!AU260="sim", 'Ações'!BG260="sim"), 1, 0)
</f>
        <v>0</v>
      </c>
      <c r="U258" s="319">
        <f>IF(AND('Ações'!AU260="sim", 'Ações'!BH260="sim"), 1, 0)
</f>
        <v>0</v>
      </c>
      <c r="V258" s="319">
        <f>IF(AND('Ações'!AU260="sim", 'Ações'!BI260="sim"), 1, 0)
</f>
        <v>1</v>
      </c>
      <c r="W258" s="319">
        <f>IF(AND('Ações'!AV260="sim", 'Ações'!BD260="sim"), 1, 0)
</f>
        <v>0</v>
      </c>
      <c r="X258" s="319">
        <f>IF(AND('Ações'!AV260="sim", 'Ações'!BE260="sim"), 1, 0)
</f>
        <v>0</v>
      </c>
      <c r="Y258" s="319">
        <f>IF(AND('Ações'!AV260="sim", 'Ações'!BF260="sim"), 1, 0)
</f>
        <v>0</v>
      </c>
      <c r="Z258" s="319">
        <f>IF(AND('Ações'!AV260="sim", 'Ações'!BH260="sim"), 1, 0)
</f>
        <v>0</v>
      </c>
      <c r="AA258" s="319">
        <f>IF(AND('Ações'!AV260="sim", 'Ações'!BI260="sim"), 1, 0)
</f>
        <v>1</v>
      </c>
      <c r="AB258" s="319">
        <f>IF(AND('Ações'!AW260="sim", 'Ações'!BD260="sim"), 1, 0)
</f>
        <v>0</v>
      </c>
      <c r="AC258" s="319">
        <f>IF(AND('Ações'!AW260="sim", 'Ações'!BE260="sim"), 1, 0)
</f>
        <v>0</v>
      </c>
      <c r="AD258" s="319">
        <f>IF(AND('Ações'!AW260="sim", 'Ações'!BF260="sim"), 1, 0)
</f>
        <v>0</v>
      </c>
      <c r="AE258" s="319">
        <f>IF(AND('Ações'!AW260="sim", 'Ações'!BG260="sim"), 1, 0)
</f>
        <v>0</v>
      </c>
      <c r="AF258" s="319">
        <f>IF(AND('Ações'!AW260="sim", 'Ações'!BI260="sim"), 1, 0)
</f>
        <v>0</v>
      </c>
      <c r="AG258" s="319">
        <f>IF(AND('Ações'!AX260="sim", 'Ações'!BD260="sim"), 1, 0)
</f>
        <v>0</v>
      </c>
      <c r="AH258" s="319">
        <f>IF(AND('Ações'!AX260="sim", 'Ações'!BE260="sim"), 1, 0)
</f>
        <v>0</v>
      </c>
      <c r="AI258" s="319">
        <f>IF(AND('Ações'!AX260="sim", 'Ações'!BF260="sim"), 1, 0)
</f>
        <v>0</v>
      </c>
      <c r="AJ258" s="319">
        <f>IF(AND('Ações'!AX260="sim", 'Ações'!BG260="sim"), 1, 0)
</f>
        <v>0</v>
      </c>
      <c r="AK258" s="319">
        <f>IF(AND('Ações'!AX260="sim", 'Ações'!BH260="sim"), 1, 0)
</f>
        <v>0</v>
      </c>
    </row>
    <row r="259">
      <c r="B259" s="319">
        <f>IF(AND('Ações'!AS261="sim", 'Ações'!BD261="sim"), 1, 0)
</f>
        <v>0</v>
      </c>
      <c r="C259" s="319">
        <f>IF(AND('Ações'!AT261="sim", 'Ações'!BE261="sim"), 1, 0)
</f>
        <v>0</v>
      </c>
      <c r="D259" s="319">
        <f>IF(AND('Ações'!AU261="sim", 'Ações'!BF261="sim"), 1, 0)
</f>
        <v>0</v>
      </c>
      <c r="E259" s="319">
        <f>IF(AND('Ações'!AV261="sim", 'Ações'!BG261="sim"), 1, 0)
</f>
        <v>0</v>
      </c>
      <c r="F259" s="319">
        <f>IF(AND('Ações'!AW261="sim", 'Ações'!BH261="sim"), 1, 0)
</f>
        <v>0</v>
      </c>
      <c r="G259" s="319">
        <f>IF(AND('Ações'!AX261="sim", 'Ações'!BI261="sim"), 1, 0)
</f>
        <v>0</v>
      </c>
      <c r="H259" s="319">
        <f>IF(AND('Ações'!AS261="sim", 'Ações'!BE261="sim"), 1, 0)
</f>
        <v>0</v>
      </c>
      <c r="I259" s="319">
        <f>IF(AND('Ações'!AS261="sim", 'Ações'!BF261="sim"), 1, 0)
</f>
        <v>0</v>
      </c>
      <c r="J259" s="319">
        <f>IF(AND('Ações'!AS261="sim", 'Ações'!BG261="sim"), 1, 0)
</f>
        <v>0</v>
      </c>
      <c r="K259" s="319">
        <f>IF(AND('Ações'!AS261="sim", 'Ações'!BH261="sim"), 1, 0)
</f>
        <v>0</v>
      </c>
      <c r="L259" s="319">
        <f>IF(AND('Ações'!AS261="sim", 'Ações'!BI261="sim"), 1, 0)
</f>
        <v>0</v>
      </c>
      <c r="M259" s="319">
        <f>IF(AND('Ações'!AT261="sim", 'Ações'!BD261="sim"), 1, 0)
</f>
        <v>0</v>
      </c>
      <c r="N259" s="319">
        <f>IF(AND('Ações'!AT261="sim", 'Ações'!BF261="sim"), 1, 0)
</f>
        <v>0</v>
      </c>
      <c r="O259" s="319">
        <f>IF(AND('Ações'!AT261="sim", 'Ações'!BG261="sim"), 1, 0)
</f>
        <v>0</v>
      </c>
      <c r="P259" s="319">
        <f>IF(AND('Ações'!AT261="sim", 'Ações'!BH261="sim"), 1, 0)
</f>
        <v>0</v>
      </c>
      <c r="Q259" s="319">
        <f>IF(AND('Ações'!AT261="sim", 'Ações'!BI261="sim"), 1, 0)
</f>
        <v>0</v>
      </c>
      <c r="R259" s="319">
        <f>IF(AND('Ações'!AU261="sim", 'Ações'!BD261="sim"), 1, 0)
</f>
        <v>0</v>
      </c>
      <c r="S259" s="319">
        <f>IF(AND('Ações'!AU261="sim", 'Ações'!BE261="sim"), 1, 0)
</f>
        <v>0</v>
      </c>
      <c r="T259" s="319">
        <f>IF(AND('Ações'!AU261="sim", 'Ações'!BG261="sim"), 1, 0)
</f>
        <v>0</v>
      </c>
      <c r="U259" s="319">
        <f>IF(AND('Ações'!AU261="sim", 'Ações'!BH261="sim"), 1, 0)
</f>
        <v>0</v>
      </c>
      <c r="V259" s="319">
        <f>IF(AND('Ações'!AU261="sim", 'Ações'!BI261="sim"), 1, 0)
</f>
        <v>0</v>
      </c>
      <c r="W259" s="319">
        <f>IF(AND('Ações'!AV261="sim", 'Ações'!BD261="sim"), 1, 0)
</f>
        <v>0</v>
      </c>
      <c r="X259" s="319">
        <f>IF(AND('Ações'!AV261="sim", 'Ações'!BE261="sim"), 1, 0)
</f>
        <v>0</v>
      </c>
      <c r="Y259" s="319">
        <f>IF(AND('Ações'!AV261="sim", 'Ações'!BF261="sim"), 1, 0)
</f>
        <v>0</v>
      </c>
      <c r="Z259" s="319">
        <f>IF(AND('Ações'!AV261="sim", 'Ações'!BH261="sim"), 1, 0)
</f>
        <v>0</v>
      </c>
      <c r="AA259" s="319">
        <f>IF(AND('Ações'!AV261="sim", 'Ações'!BI261="sim"), 1, 0)
</f>
        <v>0</v>
      </c>
      <c r="AB259" s="319">
        <f>IF(AND('Ações'!AW261="sim", 'Ações'!BD261="sim"), 1, 0)
</f>
        <v>0</v>
      </c>
      <c r="AC259" s="319">
        <f>IF(AND('Ações'!AW261="sim", 'Ações'!BE261="sim"), 1, 0)
</f>
        <v>0</v>
      </c>
      <c r="AD259" s="319">
        <f>IF(AND('Ações'!AW261="sim", 'Ações'!BF261="sim"), 1, 0)
</f>
        <v>0</v>
      </c>
      <c r="AE259" s="319">
        <f>IF(AND('Ações'!AW261="sim", 'Ações'!BG261="sim"), 1, 0)
</f>
        <v>0</v>
      </c>
      <c r="AF259" s="319">
        <f>IF(AND('Ações'!AW261="sim", 'Ações'!BI261="sim"), 1, 0)
</f>
        <v>0</v>
      </c>
      <c r="AG259" s="319">
        <f>IF(AND('Ações'!AX261="sim", 'Ações'!BD261="sim"), 1, 0)
</f>
        <v>0</v>
      </c>
      <c r="AH259" s="319">
        <f>IF(AND('Ações'!AX261="sim", 'Ações'!BE261="sim"), 1, 0)
</f>
        <v>0</v>
      </c>
      <c r="AI259" s="319">
        <f>IF(AND('Ações'!AX261="sim", 'Ações'!BF261="sim"), 1, 0)
</f>
        <v>0</v>
      </c>
      <c r="AJ259" s="319">
        <f>IF(AND('Ações'!AX261="sim", 'Ações'!BG261="sim"), 1, 0)
</f>
        <v>0</v>
      </c>
      <c r="AK259" s="319">
        <f>IF(AND('Ações'!AX261="sim", 'Ações'!BH261="sim"), 1, 0)
</f>
        <v>0</v>
      </c>
    </row>
    <row r="260">
      <c r="B260" s="319">
        <f>IF(AND('Ações'!AS262="sim", 'Ações'!BD262="sim"), 1, 0)
</f>
        <v>1</v>
      </c>
      <c r="C260" s="319">
        <f>IF(AND('Ações'!AT262="sim", 'Ações'!BE262="sim"), 1, 0)
</f>
        <v>0</v>
      </c>
      <c r="D260" s="319">
        <f>IF(AND('Ações'!AU262="sim", 'Ações'!BF262="sim"), 1, 0)
</f>
        <v>0</v>
      </c>
      <c r="E260" s="319">
        <f>IF(AND('Ações'!AV262="sim", 'Ações'!BG262="sim"), 1, 0)
</f>
        <v>0</v>
      </c>
      <c r="F260" s="319">
        <f>IF(AND('Ações'!AW262="sim", 'Ações'!BH262="sim"), 1, 0)
</f>
        <v>0</v>
      </c>
      <c r="G260" s="319">
        <f>IF(AND('Ações'!AX262="sim", 'Ações'!BI262="sim"), 1, 0)
</f>
        <v>0</v>
      </c>
      <c r="H260" s="319">
        <f>IF(AND('Ações'!AS262="sim", 'Ações'!BE262="sim"), 1, 0)
</f>
        <v>0</v>
      </c>
      <c r="I260" s="319">
        <f>IF(AND('Ações'!AS262="sim", 'Ações'!BF262="sim"), 1, 0)
</f>
        <v>0</v>
      </c>
      <c r="J260" s="319">
        <f>IF(AND('Ações'!AS262="sim", 'Ações'!BG262="sim"), 1, 0)
</f>
        <v>0</v>
      </c>
      <c r="K260" s="319">
        <f>IF(AND('Ações'!AS262="sim", 'Ações'!BH262="sim"), 1, 0)
</f>
        <v>0</v>
      </c>
      <c r="L260" s="319">
        <f>IF(AND('Ações'!AS262="sim", 'Ações'!BI262="sim"), 1, 0)
</f>
        <v>1</v>
      </c>
      <c r="M260" s="319">
        <f>IF(AND('Ações'!AT262="sim", 'Ações'!BD262="sim"), 1, 0)
</f>
        <v>1</v>
      </c>
      <c r="N260" s="319">
        <f>IF(AND('Ações'!AT262="sim", 'Ações'!BF262="sim"), 1, 0)
</f>
        <v>0</v>
      </c>
      <c r="O260" s="319">
        <f>IF(AND('Ações'!AT262="sim", 'Ações'!BG262="sim"), 1, 0)
</f>
        <v>0</v>
      </c>
      <c r="P260" s="319">
        <f>IF(AND('Ações'!AT262="sim", 'Ações'!BH262="sim"), 1, 0)
</f>
        <v>0</v>
      </c>
      <c r="Q260" s="319">
        <f>IF(AND('Ações'!AT262="sim", 'Ações'!BI262="sim"), 1, 0)
</f>
        <v>1</v>
      </c>
      <c r="R260" s="319">
        <f>IF(AND('Ações'!AU262="sim", 'Ações'!BD262="sim"), 1, 0)
</f>
        <v>1</v>
      </c>
      <c r="S260" s="319">
        <f>IF(AND('Ações'!AU262="sim", 'Ações'!BE262="sim"), 1, 0)
</f>
        <v>0</v>
      </c>
      <c r="T260" s="319">
        <f>IF(AND('Ações'!AU262="sim", 'Ações'!BG262="sim"), 1, 0)
</f>
        <v>0</v>
      </c>
      <c r="U260" s="319">
        <f>IF(AND('Ações'!AU262="sim", 'Ações'!BH262="sim"), 1, 0)
</f>
        <v>0</v>
      </c>
      <c r="V260" s="319">
        <f>IF(AND('Ações'!AU262="sim", 'Ações'!BI262="sim"), 1, 0)
</f>
        <v>1</v>
      </c>
      <c r="W260" s="319">
        <f>IF(AND('Ações'!AV262="sim", 'Ações'!BD262="sim"), 1, 0)
</f>
        <v>1</v>
      </c>
      <c r="X260" s="319">
        <f>IF(AND('Ações'!AV262="sim", 'Ações'!BE262="sim"), 1, 0)
</f>
        <v>0</v>
      </c>
      <c r="Y260" s="319">
        <f>IF(AND('Ações'!AV262="sim", 'Ações'!BF262="sim"), 1, 0)
</f>
        <v>0</v>
      </c>
      <c r="Z260" s="319">
        <f>IF(AND('Ações'!AV262="sim", 'Ações'!BH262="sim"), 1, 0)
</f>
        <v>0</v>
      </c>
      <c r="AA260" s="319">
        <f>IF(AND('Ações'!AV262="sim", 'Ações'!BI262="sim"), 1, 0)
</f>
        <v>1</v>
      </c>
      <c r="AB260" s="319">
        <f>IF(AND('Ações'!AW262="sim", 'Ações'!BD262="sim"), 1, 0)
</f>
        <v>0</v>
      </c>
      <c r="AC260" s="319">
        <f>IF(AND('Ações'!AW262="sim", 'Ações'!BE262="sim"), 1, 0)
</f>
        <v>0</v>
      </c>
      <c r="AD260" s="319">
        <f>IF(AND('Ações'!AW262="sim", 'Ações'!BF262="sim"), 1, 0)
</f>
        <v>0</v>
      </c>
      <c r="AE260" s="319">
        <f>IF(AND('Ações'!AW262="sim", 'Ações'!BG262="sim"), 1, 0)
</f>
        <v>0</v>
      </c>
      <c r="AF260" s="319">
        <f>IF(AND('Ações'!AW262="sim", 'Ações'!BI262="sim"), 1, 0)
</f>
        <v>0</v>
      </c>
      <c r="AG260" s="319">
        <f>IF(AND('Ações'!AX262="sim", 'Ações'!BD262="sim"), 1, 0)
</f>
        <v>0</v>
      </c>
      <c r="AH260" s="319">
        <f>IF(AND('Ações'!AX262="sim", 'Ações'!BE262="sim"), 1, 0)
</f>
        <v>0</v>
      </c>
      <c r="AI260" s="319">
        <f>IF(AND('Ações'!AX262="sim", 'Ações'!BF262="sim"), 1, 0)
</f>
        <v>0</v>
      </c>
      <c r="AJ260" s="319">
        <f>IF(AND('Ações'!AX262="sim", 'Ações'!BG262="sim"), 1, 0)
</f>
        <v>0</v>
      </c>
      <c r="AK260" s="319">
        <f>IF(AND('Ações'!AX262="sim", 'Ações'!BH262="sim"), 1, 0)
</f>
        <v>0</v>
      </c>
    </row>
    <row r="261">
      <c r="B261" s="319">
        <f>IF(AND('Ações'!AS263="sim", 'Ações'!BD263="sim"), 1, 0)
</f>
        <v>0</v>
      </c>
      <c r="C261" s="319">
        <f>IF(AND('Ações'!AT263="sim", 'Ações'!BE263="sim"), 1, 0)
</f>
        <v>0</v>
      </c>
      <c r="D261" s="319">
        <f>IF(AND('Ações'!AU263="sim", 'Ações'!BF263="sim"), 1, 0)
</f>
        <v>0</v>
      </c>
      <c r="E261" s="319">
        <f>IF(AND('Ações'!AV263="sim", 'Ações'!BG263="sim"), 1, 0)
</f>
        <v>0</v>
      </c>
      <c r="F261" s="319">
        <f>IF(AND('Ações'!AW263="sim", 'Ações'!BH263="sim"), 1, 0)
</f>
        <v>0</v>
      </c>
      <c r="G261" s="319">
        <f>IF(AND('Ações'!AX263="sim", 'Ações'!BI263="sim"), 1, 0)
</f>
        <v>0</v>
      </c>
      <c r="H261" s="319">
        <f>IF(AND('Ações'!AS263="sim", 'Ações'!BE263="sim"), 1, 0)
</f>
        <v>0</v>
      </c>
      <c r="I261" s="319">
        <f>IF(AND('Ações'!AS263="sim", 'Ações'!BF263="sim"), 1, 0)
</f>
        <v>0</v>
      </c>
      <c r="J261" s="319">
        <f>IF(AND('Ações'!AS263="sim", 'Ações'!BG263="sim"), 1, 0)
</f>
        <v>0</v>
      </c>
      <c r="K261" s="319">
        <f>IF(AND('Ações'!AS263="sim", 'Ações'!BH263="sim"), 1, 0)
</f>
        <v>0</v>
      </c>
      <c r="L261" s="319">
        <f>IF(AND('Ações'!AS263="sim", 'Ações'!BI263="sim"), 1, 0)
</f>
        <v>0</v>
      </c>
      <c r="M261" s="319">
        <f>IF(AND('Ações'!AT263="sim", 'Ações'!BD263="sim"), 1, 0)
</f>
        <v>0</v>
      </c>
      <c r="N261" s="319">
        <f>IF(AND('Ações'!AT263="sim", 'Ações'!BF263="sim"), 1, 0)
</f>
        <v>0</v>
      </c>
      <c r="O261" s="319">
        <f>IF(AND('Ações'!AT263="sim", 'Ações'!BG263="sim"), 1, 0)
</f>
        <v>0</v>
      </c>
      <c r="P261" s="319">
        <f>IF(AND('Ações'!AT263="sim", 'Ações'!BH263="sim"), 1, 0)
</f>
        <v>0</v>
      </c>
      <c r="Q261" s="319">
        <f>IF(AND('Ações'!AT263="sim", 'Ações'!BI263="sim"), 1, 0)
</f>
        <v>0</v>
      </c>
      <c r="R261" s="319">
        <f>IF(AND('Ações'!AU263="sim", 'Ações'!BD263="sim"), 1, 0)
</f>
        <v>0</v>
      </c>
      <c r="S261" s="319">
        <f>IF(AND('Ações'!AU263="sim", 'Ações'!BE263="sim"), 1, 0)
</f>
        <v>0</v>
      </c>
      <c r="T261" s="319">
        <f>IF(AND('Ações'!AU263="sim", 'Ações'!BG263="sim"), 1, 0)
</f>
        <v>0</v>
      </c>
      <c r="U261" s="319">
        <f>IF(AND('Ações'!AU263="sim", 'Ações'!BH263="sim"), 1, 0)
</f>
        <v>0</v>
      </c>
      <c r="V261" s="319">
        <f>IF(AND('Ações'!AU263="sim", 'Ações'!BI263="sim"), 1, 0)
</f>
        <v>0</v>
      </c>
      <c r="W261" s="319">
        <f>IF(AND('Ações'!AV263="sim", 'Ações'!BD263="sim"), 1, 0)
</f>
        <v>0</v>
      </c>
      <c r="X261" s="319">
        <f>IF(AND('Ações'!AV263="sim", 'Ações'!BE263="sim"), 1, 0)
</f>
        <v>0</v>
      </c>
      <c r="Y261" s="319">
        <f>IF(AND('Ações'!AV263="sim", 'Ações'!BF263="sim"), 1, 0)
</f>
        <v>0</v>
      </c>
      <c r="Z261" s="319">
        <f>IF(AND('Ações'!AV263="sim", 'Ações'!BH263="sim"), 1, 0)
</f>
        <v>0</v>
      </c>
      <c r="AA261" s="319">
        <f>IF(AND('Ações'!AV263="sim", 'Ações'!BI263="sim"), 1, 0)
</f>
        <v>0</v>
      </c>
      <c r="AB261" s="319">
        <f>IF(AND('Ações'!AW263="sim", 'Ações'!BD263="sim"), 1, 0)
</f>
        <v>0</v>
      </c>
      <c r="AC261" s="319">
        <f>IF(AND('Ações'!AW263="sim", 'Ações'!BE263="sim"), 1, 0)
</f>
        <v>0</v>
      </c>
      <c r="AD261" s="319">
        <f>IF(AND('Ações'!AW263="sim", 'Ações'!BF263="sim"), 1, 0)
</f>
        <v>0</v>
      </c>
      <c r="AE261" s="319">
        <f>IF(AND('Ações'!AW263="sim", 'Ações'!BG263="sim"), 1, 0)
</f>
        <v>0</v>
      </c>
      <c r="AF261" s="319">
        <f>IF(AND('Ações'!AW263="sim", 'Ações'!BI263="sim"), 1, 0)
</f>
        <v>0</v>
      </c>
      <c r="AG261" s="319">
        <f>IF(AND('Ações'!AX263="sim", 'Ações'!BD263="sim"), 1, 0)
</f>
        <v>0</v>
      </c>
      <c r="AH261" s="319">
        <f>IF(AND('Ações'!AX263="sim", 'Ações'!BE263="sim"), 1, 0)
</f>
        <v>0</v>
      </c>
      <c r="AI261" s="319">
        <f>IF(AND('Ações'!AX263="sim", 'Ações'!BF263="sim"), 1, 0)
</f>
        <v>0</v>
      </c>
      <c r="AJ261" s="319">
        <f>IF(AND('Ações'!AX263="sim", 'Ações'!BG263="sim"), 1, 0)
</f>
        <v>0</v>
      </c>
      <c r="AK261" s="319">
        <f>IF(AND('Ações'!AX263="sim", 'Ações'!BH263="sim"), 1, 0)
</f>
        <v>0</v>
      </c>
    </row>
    <row r="262">
      <c r="B262" s="319">
        <f>IF(AND('Ações'!AS264="sim", 'Ações'!BD264="sim"), 1, 0)
</f>
        <v>1</v>
      </c>
      <c r="C262" s="319">
        <f>IF(AND('Ações'!AT264="sim", 'Ações'!BE264="sim"), 1, 0)
</f>
        <v>0</v>
      </c>
      <c r="D262" s="319">
        <f>IF(AND('Ações'!AU264="sim", 'Ações'!BF264="sim"), 1, 0)
</f>
        <v>0</v>
      </c>
      <c r="E262" s="319">
        <f>IF(AND('Ações'!AV264="sim", 'Ações'!BG264="sim"), 1, 0)
</f>
        <v>0</v>
      </c>
      <c r="F262" s="319">
        <f>IF(AND('Ações'!AW264="sim", 'Ações'!BH264="sim"), 1, 0)
</f>
        <v>0</v>
      </c>
      <c r="G262" s="319">
        <f>IF(AND('Ações'!AX264="sim", 'Ações'!BI264="sim"), 1, 0)
</f>
        <v>0</v>
      </c>
      <c r="H262" s="319">
        <f>IF(AND('Ações'!AS264="sim", 'Ações'!BE264="sim"), 1, 0)
</f>
        <v>0</v>
      </c>
      <c r="I262" s="319">
        <f>IF(AND('Ações'!AS264="sim", 'Ações'!BF264="sim"), 1, 0)
</f>
        <v>0</v>
      </c>
      <c r="J262" s="319">
        <f>IF(AND('Ações'!AS264="sim", 'Ações'!BG264="sim"), 1, 0)
</f>
        <v>0</v>
      </c>
      <c r="K262" s="319">
        <f>IF(AND('Ações'!AS264="sim", 'Ações'!BH264="sim"), 1, 0)
</f>
        <v>0</v>
      </c>
      <c r="L262" s="319">
        <f>IF(AND('Ações'!AS264="sim", 'Ações'!BI264="sim"), 1, 0)
</f>
        <v>1</v>
      </c>
      <c r="M262" s="319">
        <f>IF(AND('Ações'!AT264="sim", 'Ações'!BD264="sim"), 1, 0)
</f>
        <v>1</v>
      </c>
      <c r="N262" s="319">
        <f>IF(AND('Ações'!AT264="sim", 'Ações'!BF264="sim"), 1, 0)
</f>
        <v>0</v>
      </c>
      <c r="O262" s="319">
        <f>IF(AND('Ações'!AT264="sim", 'Ações'!BG264="sim"), 1, 0)
</f>
        <v>0</v>
      </c>
      <c r="P262" s="319">
        <f>IF(AND('Ações'!AT264="sim", 'Ações'!BH264="sim"), 1, 0)
</f>
        <v>0</v>
      </c>
      <c r="Q262" s="319">
        <f>IF(AND('Ações'!AT264="sim", 'Ações'!BI264="sim"), 1, 0)
</f>
        <v>1</v>
      </c>
      <c r="R262" s="319">
        <f>IF(AND('Ações'!AU264="sim", 'Ações'!BD264="sim"), 1, 0)
</f>
        <v>1</v>
      </c>
      <c r="S262" s="319">
        <f>IF(AND('Ações'!AU264="sim", 'Ações'!BE264="sim"), 1, 0)
</f>
        <v>0</v>
      </c>
      <c r="T262" s="319">
        <f>IF(AND('Ações'!AU264="sim", 'Ações'!BG264="sim"), 1, 0)
</f>
        <v>0</v>
      </c>
      <c r="U262" s="319">
        <f>IF(AND('Ações'!AU264="sim", 'Ações'!BH264="sim"), 1, 0)
</f>
        <v>0</v>
      </c>
      <c r="V262" s="319">
        <f>IF(AND('Ações'!AU264="sim", 'Ações'!BI264="sim"), 1, 0)
</f>
        <v>1</v>
      </c>
      <c r="W262" s="319">
        <f>IF(AND('Ações'!AV264="sim", 'Ações'!BD264="sim"), 1, 0)
</f>
        <v>1</v>
      </c>
      <c r="X262" s="319">
        <f>IF(AND('Ações'!AV264="sim", 'Ações'!BE264="sim"), 1, 0)
</f>
        <v>0</v>
      </c>
      <c r="Y262" s="319">
        <f>IF(AND('Ações'!AV264="sim", 'Ações'!BF264="sim"), 1, 0)
</f>
        <v>0</v>
      </c>
      <c r="Z262" s="319">
        <f>IF(AND('Ações'!AV264="sim", 'Ações'!BH264="sim"), 1, 0)
</f>
        <v>0</v>
      </c>
      <c r="AA262" s="319">
        <f>IF(AND('Ações'!AV264="sim", 'Ações'!BI264="sim"), 1, 0)
</f>
        <v>1</v>
      </c>
      <c r="AB262" s="319">
        <f>IF(AND('Ações'!AW264="sim", 'Ações'!BD264="sim"), 1, 0)
</f>
        <v>0</v>
      </c>
      <c r="AC262" s="319">
        <f>IF(AND('Ações'!AW264="sim", 'Ações'!BE264="sim"), 1, 0)
</f>
        <v>0</v>
      </c>
      <c r="AD262" s="319">
        <f>IF(AND('Ações'!AW264="sim", 'Ações'!BF264="sim"), 1, 0)
</f>
        <v>0</v>
      </c>
      <c r="AE262" s="319">
        <f>IF(AND('Ações'!AW264="sim", 'Ações'!BG264="sim"), 1, 0)
</f>
        <v>0</v>
      </c>
      <c r="AF262" s="319">
        <f>IF(AND('Ações'!AW264="sim", 'Ações'!BI264="sim"), 1, 0)
</f>
        <v>0</v>
      </c>
      <c r="AG262" s="319">
        <f>IF(AND('Ações'!AX264="sim", 'Ações'!BD264="sim"), 1, 0)
</f>
        <v>0</v>
      </c>
      <c r="AH262" s="319">
        <f>IF(AND('Ações'!AX264="sim", 'Ações'!BE264="sim"), 1, 0)
</f>
        <v>0</v>
      </c>
      <c r="AI262" s="319">
        <f>IF(AND('Ações'!AX264="sim", 'Ações'!BF264="sim"), 1, 0)
</f>
        <v>0</v>
      </c>
      <c r="AJ262" s="319">
        <f>IF(AND('Ações'!AX264="sim", 'Ações'!BG264="sim"), 1, 0)
</f>
        <v>0</v>
      </c>
      <c r="AK262" s="319">
        <f>IF(AND('Ações'!AX264="sim", 'Ações'!BH264="sim"), 1, 0)
</f>
        <v>0</v>
      </c>
    </row>
    <row r="263">
      <c r="B263" s="319">
        <f>IF(AND('Ações'!AS265="sim", 'Ações'!BD265="sim"), 1, 0)
</f>
        <v>0</v>
      </c>
      <c r="C263" s="319">
        <f>IF(AND('Ações'!AT265="sim", 'Ações'!BE265="sim"), 1, 0)
</f>
        <v>0</v>
      </c>
      <c r="D263" s="319">
        <f>IF(AND('Ações'!AU265="sim", 'Ações'!BF265="sim"), 1, 0)
</f>
        <v>0</v>
      </c>
      <c r="E263" s="319">
        <f>IF(AND('Ações'!AV265="sim", 'Ações'!BG265="sim"), 1, 0)
</f>
        <v>0</v>
      </c>
      <c r="F263" s="319">
        <f>IF(AND('Ações'!AW265="sim", 'Ações'!BH265="sim"), 1, 0)
</f>
        <v>0</v>
      </c>
      <c r="G263" s="319">
        <f>IF(AND('Ações'!AX265="sim", 'Ações'!BI265="sim"), 1, 0)
</f>
        <v>0</v>
      </c>
      <c r="H263" s="319">
        <f>IF(AND('Ações'!AS265="sim", 'Ações'!BE265="sim"), 1, 0)
</f>
        <v>0</v>
      </c>
      <c r="I263" s="319">
        <f>IF(AND('Ações'!AS265="sim", 'Ações'!BF265="sim"), 1, 0)
</f>
        <v>0</v>
      </c>
      <c r="J263" s="319">
        <f>IF(AND('Ações'!AS265="sim", 'Ações'!BG265="sim"), 1, 0)
</f>
        <v>0</v>
      </c>
      <c r="K263" s="319">
        <f>IF(AND('Ações'!AS265="sim", 'Ações'!BH265="sim"), 1, 0)
</f>
        <v>0</v>
      </c>
      <c r="L263" s="319">
        <f>IF(AND('Ações'!AS265="sim", 'Ações'!BI265="sim"), 1, 0)
</f>
        <v>1</v>
      </c>
      <c r="M263" s="319">
        <f>IF(AND('Ações'!AT265="sim", 'Ações'!BD265="sim"), 1, 0)
</f>
        <v>0</v>
      </c>
      <c r="N263" s="319">
        <f>IF(AND('Ações'!AT265="sim", 'Ações'!BF265="sim"), 1, 0)
</f>
        <v>0</v>
      </c>
      <c r="O263" s="319">
        <f>IF(AND('Ações'!AT265="sim", 'Ações'!BG265="sim"), 1, 0)
</f>
        <v>0</v>
      </c>
      <c r="P263" s="319">
        <f>IF(AND('Ações'!AT265="sim", 'Ações'!BH265="sim"), 1, 0)
</f>
        <v>0</v>
      </c>
      <c r="Q263" s="319">
        <f>IF(AND('Ações'!AT265="sim", 'Ações'!BI265="sim"), 1, 0)
</f>
        <v>1</v>
      </c>
      <c r="R263" s="319">
        <f>IF(AND('Ações'!AU265="sim", 'Ações'!BD265="sim"), 1, 0)
</f>
        <v>0</v>
      </c>
      <c r="S263" s="319">
        <f>IF(AND('Ações'!AU265="sim", 'Ações'!BE265="sim"), 1, 0)
</f>
        <v>0</v>
      </c>
      <c r="T263" s="319">
        <f>IF(AND('Ações'!AU265="sim", 'Ações'!BG265="sim"), 1, 0)
</f>
        <v>0</v>
      </c>
      <c r="U263" s="319">
        <f>IF(AND('Ações'!AU265="sim", 'Ações'!BH265="sim"), 1, 0)
</f>
        <v>0</v>
      </c>
      <c r="V263" s="319">
        <f>IF(AND('Ações'!AU265="sim", 'Ações'!BI265="sim"), 1, 0)
</f>
        <v>1</v>
      </c>
      <c r="W263" s="319">
        <f>IF(AND('Ações'!AV265="sim", 'Ações'!BD265="sim"), 1, 0)
</f>
        <v>0</v>
      </c>
      <c r="X263" s="319">
        <f>IF(AND('Ações'!AV265="sim", 'Ações'!BE265="sim"), 1, 0)
</f>
        <v>0</v>
      </c>
      <c r="Y263" s="319">
        <f>IF(AND('Ações'!AV265="sim", 'Ações'!BF265="sim"), 1, 0)
</f>
        <v>0</v>
      </c>
      <c r="Z263" s="319">
        <f>IF(AND('Ações'!AV265="sim", 'Ações'!BH265="sim"), 1, 0)
</f>
        <v>0</v>
      </c>
      <c r="AA263" s="319">
        <f>IF(AND('Ações'!AV265="sim", 'Ações'!BI265="sim"), 1, 0)
</f>
        <v>1</v>
      </c>
      <c r="AB263" s="319">
        <f>IF(AND('Ações'!AW265="sim", 'Ações'!BD265="sim"), 1, 0)
</f>
        <v>0</v>
      </c>
      <c r="AC263" s="319">
        <f>IF(AND('Ações'!AW265="sim", 'Ações'!BE265="sim"), 1, 0)
</f>
        <v>0</v>
      </c>
      <c r="AD263" s="319">
        <f>IF(AND('Ações'!AW265="sim", 'Ações'!BF265="sim"), 1, 0)
</f>
        <v>0</v>
      </c>
      <c r="AE263" s="319">
        <f>IF(AND('Ações'!AW265="sim", 'Ações'!BG265="sim"), 1, 0)
</f>
        <v>0</v>
      </c>
      <c r="AF263" s="319">
        <f>IF(AND('Ações'!AW265="sim", 'Ações'!BI265="sim"), 1, 0)
</f>
        <v>0</v>
      </c>
      <c r="AG263" s="319">
        <f>IF(AND('Ações'!AX265="sim", 'Ações'!BD265="sim"), 1, 0)
</f>
        <v>0</v>
      </c>
      <c r="AH263" s="319">
        <f>IF(AND('Ações'!AX265="sim", 'Ações'!BE265="sim"), 1, 0)
</f>
        <v>0</v>
      </c>
      <c r="AI263" s="319">
        <f>IF(AND('Ações'!AX265="sim", 'Ações'!BF265="sim"), 1, 0)
</f>
        <v>0</v>
      </c>
      <c r="AJ263" s="319">
        <f>IF(AND('Ações'!AX265="sim", 'Ações'!BG265="sim"), 1, 0)
</f>
        <v>0</v>
      </c>
      <c r="AK263" s="319">
        <f>IF(AND('Ações'!AX265="sim", 'Ações'!BH265="sim"), 1, 0)
</f>
        <v>0</v>
      </c>
    </row>
    <row r="264">
      <c r="B264" s="319">
        <f>IF(AND('Ações'!AS266="sim", 'Ações'!BD266="sim"), 1, 0)
</f>
        <v>0</v>
      </c>
      <c r="C264" s="319">
        <f>IF(AND('Ações'!AT266="sim", 'Ações'!BE266="sim"), 1, 0)
</f>
        <v>0</v>
      </c>
      <c r="D264" s="319">
        <f>IF(AND('Ações'!AU266="sim", 'Ações'!BF266="sim"), 1, 0)
</f>
        <v>0</v>
      </c>
      <c r="E264" s="319">
        <f>IF(AND('Ações'!AV266="sim", 'Ações'!BG266="sim"), 1, 0)
</f>
        <v>0</v>
      </c>
      <c r="F264" s="319">
        <f>IF(AND('Ações'!AW266="sim", 'Ações'!BH266="sim"), 1, 0)
</f>
        <v>0</v>
      </c>
      <c r="G264" s="319">
        <f>IF(AND('Ações'!AX266="sim", 'Ações'!BI266="sim"), 1, 0)
</f>
        <v>0</v>
      </c>
      <c r="H264" s="319">
        <f>IF(AND('Ações'!AS266="sim", 'Ações'!BE266="sim"), 1, 0)
</f>
        <v>0</v>
      </c>
      <c r="I264" s="319">
        <f>IF(AND('Ações'!AS266="sim", 'Ações'!BF266="sim"), 1, 0)
</f>
        <v>0</v>
      </c>
      <c r="J264" s="319">
        <f>IF(AND('Ações'!AS266="sim", 'Ações'!BG266="sim"), 1, 0)
</f>
        <v>0</v>
      </c>
      <c r="K264" s="319">
        <f>IF(AND('Ações'!AS266="sim", 'Ações'!BH266="sim"), 1, 0)
</f>
        <v>0</v>
      </c>
      <c r="L264" s="319">
        <f>IF(AND('Ações'!AS266="sim", 'Ações'!BI266="sim"), 1, 0)
</f>
        <v>1</v>
      </c>
      <c r="M264" s="319">
        <f>IF(AND('Ações'!AT266="sim", 'Ações'!BD266="sim"), 1, 0)
</f>
        <v>0</v>
      </c>
      <c r="N264" s="319">
        <f>IF(AND('Ações'!AT266="sim", 'Ações'!BF266="sim"), 1, 0)
</f>
        <v>0</v>
      </c>
      <c r="O264" s="319">
        <f>IF(AND('Ações'!AT266="sim", 'Ações'!BG266="sim"), 1, 0)
</f>
        <v>0</v>
      </c>
      <c r="P264" s="319">
        <f>IF(AND('Ações'!AT266="sim", 'Ações'!BH266="sim"), 1, 0)
</f>
        <v>0</v>
      </c>
      <c r="Q264" s="319">
        <f>IF(AND('Ações'!AT266="sim", 'Ações'!BI266="sim"), 1, 0)
</f>
        <v>1</v>
      </c>
      <c r="R264" s="319">
        <f>IF(AND('Ações'!AU266="sim", 'Ações'!BD266="sim"), 1, 0)
</f>
        <v>0</v>
      </c>
      <c r="S264" s="319">
        <f>IF(AND('Ações'!AU266="sim", 'Ações'!BE266="sim"), 1, 0)
</f>
        <v>0</v>
      </c>
      <c r="T264" s="319">
        <f>IF(AND('Ações'!AU266="sim", 'Ações'!BG266="sim"), 1, 0)
</f>
        <v>0</v>
      </c>
      <c r="U264" s="319">
        <f>IF(AND('Ações'!AU266="sim", 'Ações'!BH266="sim"), 1, 0)
</f>
        <v>0</v>
      </c>
      <c r="V264" s="319">
        <f>IF(AND('Ações'!AU266="sim", 'Ações'!BI266="sim"), 1, 0)
</f>
        <v>1</v>
      </c>
      <c r="W264" s="319">
        <f>IF(AND('Ações'!AV266="sim", 'Ações'!BD266="sim"), 1, 0)
</f>
        <v>0</v>
      </c>
      <c r="X264" s="319">
        <f>IF(AND('Ações'!AV266="sim", 'Ações'!BE266="sim"), 1, 0)
</f>
        <v>0</v>
      </c>
      <c r="Y264" s="319">
        <f>IF(AND('Ações'!AV266="sim", 'Ações'!BF266="sim"), 1, 0)
</f>
        <v>0</v>
      </c>
      <c r="Z264" s="319">
        <f>IF(AND('Ações'!AV266="sim", 'Ações'!BH266="sim"), 1, 0)
</f>
        <v>0</v>
      </c>
      <c r="AA264" s="319">
        <f>IF(AND('Ações'!AV266="sim", 'Ações'!BI266="sim"), 1, 0)
</f>
        <v>1</v>
      </c>
      <c r="AB264" s="319">
        <f>IF(AND('Ações'!AW266="sim", 'Ações'!BD266="sim"), 1, 0)
</f>
        <v>0</v>
      </c>
      <c r="AC264" s="319">
        <f>IF(AND('Ações'!AW266="sim", 'Ações'!BE266="sim"), 1, 0)
</f>
        <v>0</v>
      </c>
      <c r="AD264" s="319">
        <f>IF(AND('Ações'!AW266="sim", 'Ações'!BF266="sim"), 1, 0)
</f>
        <v>0</v>
      </c>
      <c r="AE264" s="319">
        <f>IF(AND('Ações'!AW266="sim", 'Ações'!BG266="sim"), 1, 0)
</f>
        <v>0</v>
      </c>
      <c r="AF264" s="319">
        <f>IF(AND('Ações'!AW266="sim", 'Ações'!BI266="sim"), 1, 0)
</f>
        <v>0</v>
      </c>
      <c r="AG264" s="319">
        <f>IF(AND('Ações'!AX266="sim", 'Ações'!BD266="sim"), 1, 0)
</f>
        <v>0</v>
      </c>
      <c r="AH264" s="319">
        <f>IF(AND('Ações'!AX266="sim", 'Ações'!BE266="sim"), 1, 0)
</f>
        <v>0</v>
      </c>
      <c r="AI264" s="319">
        <f>IF(AND('Ações'!AX266="sim", 'Ações'!BF266="sim"), 1, 0)
</f>
        <v>0</v>
      </c>
      <c r="AJ264" s="319">
        <f>IF(AND('Ações'!AX266="sim", 'Ações'!BG266="sim"), 1, 0)
</f>
        <v>0</v>
      </c>
      <c r="AK264" s="319">
        <f>IF(AND('Ações'!AX266="sim", 'Ações'!BH266="sim"), 1, 0)
</f>
        <v>0</v>
      </c>
    </row>
    <row r="265">
      <c r="B265" s="319">
        <f>IF(AND('Ações'!AS267="sim", 'Ações'!BD267="sim"), 1, 0)
</f>
        <v>0</v>
      </c>
      <c r="C265" s="319">
        <f>IF(AND('Ações'!AT267="sim", 'Ações'!BE267="sim"), 1, 0)
</f>
        <v>0</v>
      </c>
      <c r="D265" s="319">
        <f>IF(AND('Ações'!AU267="sim", 'Ações'!BF267="sim"), 1, 0)
</f>
        <v>0</v>
      </c>
      <c r="E265" s="319">
        <f>IF(AND('Ações'!AV267="sim", 'Ações'!BG267="sim"), 1, 0)
</f>
        <v>0</v>
      </c>
      <c r="F265" s="319">
        <f>IF(AND('Ações'!AW267="sim", 'Ações'!BH267="sim"), 1, 0)
</f>
        <v>0</v>
      </c>
      <c r="G265" s="319">
        <f>IF(AND('Ações'!AX267="sim", 'Ações'!BI267="sim"), 1, 0)
</f>
        <v>0</v>
      </c>
      <c r="H265" s="319">
        <f>IF(AND('Ações'!AS267="sim", 'Ações'!BE267="sim"), 1, 0)
</f>
        <v>0</v>
      </c>
      <c r="I265" s="319">
        <f>IF(AND('Ações'!AS267="sim", 'Ações'!BF267="sim"), 1, 0)
</f>
        <v>0</v>
      </c>
      <c r="J265" s="319">
        <f>IF(AND('Ações'!AS267="sim", 'Ações'!BG267="sim"), 1, 0)
</f>
        <v>0</v>
      </c>
      <c r="K265" s="319">
        <f>IF(AND('Ações'!AS267="sim", 'Ações'!BH267="sim"), 1, 0)
</f>
        <v>0</v>
      </c>
      <c r="L265" s="319">
        <f>IF(AND('Ações'!AS267="sim", 'Ações'!BI267="sim"), 1, 0)
</f>
        <v>1</v>
      </c>
      <c r="M265" s="319">
        <f>IF(AND('Ações'!AT267="sim", 'Ações'!BD267="sim"), 1, 0)
</f>
        <v>0</v>
      </c>
      <c r="N265" s="319">
        <f>IF(AND('Ações'!AT267="sim", 'Ações'!BF267="sim"), 1, 0)
</f>
        <v>0</v>
      </c>
      <c r="O265" s="319">
        <f>IF(AND('Ações'!AT267="sim", 'Ações'!BG267="sim"), 1, 0)
</f>
        <v>0</v>
      </c>
      <c r="P265" s="319">
        <f>IF(AND('Ações'!AT267="sim", 'Ações'!BH267="sim"), 1, 0)
</f>
        <v>0</v>
      </c>
      <c r="Q265" s="319">
        <f>IF(AND('Ações'!AT267="sim", 'Ações'!BI267="sim"), 1, 0)
</f>
        <v>1</v>
      </c>
      <c r="R265" s="319">
        <f>IF(AND('Ações'!AU267="sim", 'Ações'!BD267="sim"), 1, 0)
</f>
        <v>0</v>
      </c>
      <c r="S265" s="319">
        <f>IF(AND('Ações'!AU267="sim", 'Ações'!BE267="sim"), 1, 0)
</f>
        <v>0</v>
      </c>
      <c r="T265" s="319">
        <f>IF(AND('Ações'!AU267="sim", 'Ações'!BG267="sim"), 1, 0)
</f>
        <v>0</v>
      </c>
      <c r="U265" s="319">
        <f>IF(AND('Ações'!AU267="sim", 'Ações'!BH267="sim"), 1, 0)
</f>
        <v>0</v>
      </c>
      <c r="V265" s="319">
        <f>IF(AND('Ações'!AU267="sim", 'Ações'!BI267="sim"), 1, 0)
</f>
        <v>1</v>
      </c>
      <c r="W265" s="319">
        <f>IF(AND('Ações'!AV267="sim", 'Ações'!BD267="sim"), 1, 0)
</f>
        <v>0</v>
      </c>
      <c r="X265" s="319">
        <f>IF(AND('Ações'!AV267="sim", 'Ações'!BE267="sim"), 1, 0)
</f>
        <v>0</v>
      </c>
      <c r="Y265" s="319">
        <f>IF(AND('Ações'!AV267="sim", 'Ações'!BF267="sim"), 1, 0)
</f>
        <v>0</v>
      </c>
      <c r="Z265" s="319">
        <f>IF(AND('Ações'!AV267="sim", 'Ações'!BH267="sim"), 1, 0)
</f>
        <v>0</v>
      </c>
      <c r="AA265" s="319">
        <f>IF(AND('Ações'!AV267="sim", 'Ações'!BI267="sim"), 1, 0)
</f>
        <v>1</v>
      </c>
      <c r="AB265" s="319">
        <f>IF(AND('Ações'!AW267="sim", 'Ações'!BD267="sim"), 1, 0)
</f>
        <v>0</v>
      </c>
      <c r="AC265" s="319">
        <f>IF(AND('Ações'!AW267="sim", 'Ações'!BE267="sim"), 1, 0)
</f>
        <v>0</v>
      </c>
      <c r="AD265" s="319">
        <f>IF(AND('Ações'!AW267="sim", 'Ações'!BF267="sim"), 1, 0)
</f>
        <v>0</v>
      </c>
      <c r="AE265" s="319">
        <f>IF(AND('Ações'!AW267="sim", 'Ações'!BG267="sim"), 1, 0)
</f>
        <v>0</v>
      </c>
      <c r="AF265" s="319">
        <f>IF(AND('Ações'!AW267="sim", 'Ações'!BI267="sim"), 1, 0)
</f>
        <v>0</v>
      </c>
      <c r="AG265" s="319">
        <f>IF(AND('Ações'!AX267="sim", 'Ações'!BD267="sim"), 1, 0)
</f>
        <v>0</v>
      </c>
      <c r="AH265" s="319">
        <f>IF(AND('Ações'!AX267="sim", 'Ações'!BE267="sim"), 1, 0)
</f>
        <v>0</v>
      </c>
      <c r="AI265" s="319">
        <f>IF(AND('Ações'!AX267="sim", 'Ações'!BF267="sim"), 1, 0)
</f>
        <v>0</v>
      </c>
      <c r="AJ265" s="319">
        <f>IF(AND('Ações'!AX267="sim", 'Ações'!BG267="sim"), 1, 0)
</f>
        <v>0</v>
      </c>
      <c r="AK265" s="319">
        <f>IF(AND('Ações'!AX267="sim", 'Ações'!BH267="sim"), 1, 0)
</f>
        <v>0</v>
      </c>
    </row>
    <row r="266">
      <c r="B266" s="319">
        <f>IF(AND('Ações'!AS268="sim", 'Ações'!BD268="sim"), 1, 0)
</f>
        <v>1</v>
      </c>
      <c r="C266" s="319">
        <f>IF(AND('Ações'!AT268="sim", 'Ações'!BE268="sim"), 1, 0)
</f>
        <v>0</v>
      </c>
      <c r="D266" s="319">
        <f>IF(AND('Ações'!AU268="sim", 'Ações'!BF268="sim"), 1, 0)
</f>
        <v>0</v>
      </c>
      <c r="E266" s="319">
        <f>IF(AND('Ações'!AV268="sim", 'Ações'!BG268="sim"), 1, 0)
</f>
        <v>0</v>
      </c>
      <c r="F266" s="319">
        <f>IF(AND('Ações'!AW268="sim", 'Ações'!BH268="sim"), 1, 0)
</f>
        <v>0</v>
      </c>
      <c r="G266" s="319">
        <f>IF(AND('Ações'!AX268="sim", 'Ações'!BI268="sim"), 1, 0)
</f>
        <v>0</v>
      </c>
      <c r="H266" s="319">
        <f>IF(AND('Ações'!AS268="sim", 'Ações'!BE268="sim"), 1, 0)
</f>
        <v>0</v>
      </c>
      <c r="I266" s="319">
        <f>IF(AND('Ações'!AS268="sim", 'Ações'!BF268="sim"), 1, 0)
</f>
        <v>0</v>
      </c>
      <c r="J266" s="319">
        <f>IF(AND('Ações'!AS268="sim", 'Ações'!BG268="sim"), 1, 0)
</f>
        <v>0</v>
      </c>
      <c r="K266" s="319">
        <f>IF(AND('Ações'!AS268="sim", 'Ações'!BH268="sim"), 1, 0)
</f>
        <v>0</v>
      </c>
      <c r="L266" s="319">
        <f>IF(AND('Ações'!AS268="sim", 'Ações'!BI268="sim"), 1, 0)
</f>
        <v>0</v>
      </c>
      <c r="M266" s="319">
        <f>IF(AND('Ações'!AT268="sim", 'Ações'!BD268="sim"), 1, 0)
</f>
        <v>1</v>
      </c>
      <c r="N266" s="319">
        <f>IF(AND('Ações'!AT268="sim", 'Ações'!BF268="sim"), 1, 0)
</f>
        <v>0</v>
      </c>
      <c r="O266" s="319">
        <f>IF(AND('Ações'!AT268="sim", 'Ações'!BG268="sim"), 1, 0)
</f>
        <v>0</v>
      </c>
      <c r="P266" s="319">
        <f>IF(AND('Ações'!AT268="sim", 'Ações'!BH268="sim"), 1, 0)
</f>
        <v>0</v>
      </c>
      <c r="Q266" s="319">
        <f>IF(AND('Ações'!AT268="sim", 'Ações'!BI268="sim"), 1, 0)
</f>
        <v>0</v>
      </c>
      <c r="R266" s="319">
        <f>IF(AND('Ações'!AU268="sim", 'Ações'!BD268="sim"), 1, 0)
</f>
        <v>1</v>
      </c>
      <c r="S266" s="319">
        <f>IF(AND('Ações'!AU268="sim", 'Ações'!BE268="sim"), 1, 0)
</f>
        <v>0</v>
      </c>
      <c r="T266" s="319">
        <f>IF(AND('Ações'!AU268="sim", 'Ações'!BG268="sim"), 1, 0)
</f>
        <v>0</v>
      </c>
      <c r="U266" s="319">
        <f>IF(AND('Ações'!AU268="sim", 'Ações'!BH268="sim"), 1, 0)
</f>
        <v>0</v>
      </c>
      <c r="V266" s="319">
        <f>IF(AND('Ações'!AU268="sim", 'Ações'!BI268="sim"), 1, 0)
</f>
        <v>0</v>
      </c>
      <c r="W266" s="319">
        <f>IF(AND('Ações'!AV268="sim", 'Ações'!BD268="sim"), 1, 0)
</f>
        <v>1</v>
      </c>
      <c r="X266" s="319">
        <f>IF(AND('Ações'!AV268="sim", 'Ações'!BE268="sim"), 1, 0)
</f>
        <v>0</v>
      </c>
      <c r="Y266" s="319">
        <f>IF(AND('Ações'!AV268="sim", 'Ações'!BF268="sim"), 1, 0)
</f>
        <v>0</v>
      </c>
      <c r="Z266" s="319">
        <f>IF(AND('Ações'!AV268="sim", 'Ações'!BH268="sim"), 1, 0)
</f>
        <v>0</v>
      </c>
      <c r="AA266" s="319">
        <f>IF(AND('Ações'!AV268="sim", 'Ações'!BI268="sim"), 1, 0)
</f>
        <v>0</v>
      </c>
      <c r="AB266" s="319">
        <f>IF(AND('Ações'!AW268="sim", 'Ações'!BD268="sim"), 1, 0)
</f>
        <v>0</v>
      </c>
      <c r="AC266" s="319">
        <f>IF(AND('Ações'!AW268="sim", 'Ações'!BE268="sim"), 1, 0)
</f>
        <v>0</v>
      </c>
      <c r="AD266" s="319">
        <f>IF(AND('Ações'!AW268="sim", 'Ações'!BF268="sim"), 1, 0)
</f>
        <v>0</v>
      </c>
      <c r="AE266" s="319">
        <f>IF(AND('Ações'!AW268="sim", 'Ações'!BG268="sim"), 1, 0)
</f>
        <v>0</v>
      </c>
      <c r="AF266" s="319">
        <f>IF(AND('Ações'!AW268="sim", 'Ações'!BI268="sim"), 1, 0)
</f>
        <v>0</v>
      </c>
      <c r="AG266" s="319">
        <f>IF(AND('Ações'!AX268="sim", 'Ações'!BD268="sim"), 1, 0)
</f>
        <v>0</v>
      </c>
      <c r="AH266" s="319">
        <f>IF(AND('Ações'!AX268="sim", 'Ações'!BE268="sim"), 1, 0)
</f>
        <v>0</v>
      </c>
      <c r="AI266" s="319">
        <f>IF(AND('Ações'!AX268="sim", 'Ações'!BF268="sim"), 1, 0)
</f>
        <v>0</v>
      </c>
      <c r="AJ266" s="319">
        <f>IF(AND('Ações'!AX268="sim", 'Ações'!BG268="sim"), 1, 0)
</f>
        <v>0</v>
      </c>
      <c r="AK266" s="319">
        <f>IF(AND('Ações'!AX268="sim", 'Ações'!BH268="sim"), 1, 0)
</f>
        <v>0</v>
      </c>
    </row>
    <row r="267">
      <c r="B267" s="319">
        <f>IF(AND('Ações'!AS269="sim", 'Ações'!BD269="sim"), 1, 0)
</f>
        <v>1</v>
      </c>
      <c r="C267" s="319">
        <f>IF(AND('Ações'!AT269="sim", 'Ações'!BE269="sim"), 1, 0)
</f>
        <v>0</v>
      </c>
      <c r="D267" s="319">
        <f>IF(AND('Ações'!AU269="sim", 'Ações'!BF269="sim"), 1, 0)
</f>
        <v>0</v>
      </c>
      <c r="E267" s="319">
        <f>IF(AND('Ações'!AV269="sim", 'Ações'!BG269="sim"), 1, 0)
</f>
        <v>0</v>
      </c>
      <c r="F267" s="319">
        <f>IF(AND('Ações'!AW269="sim", 'Ações'!BH269="sim"), 1, 0)
</f>
        <v>0</v>
      </c>
      <c r="G267" s="319">
        <f>IF(AND('Ações'!AX269="sim", 'Ações'!BI269="sim"), 1, 0)
</f>
        <v>0</v>
      </c>
      <c r="H267" s="319">
        <f>IF(AND('Ações'!AS269="sim", 'Ações'!BE269="sim"), 1, 0)
</f>
        <v>0</v>
      </c>
      <c r="I267" s="319">
        <f>IF(AND('Ações'!AS269="sim", 'Ações'!BF269="sim"), 1, 0)
</f>
        <v>0</v>
      </c>
      <c r="J267" s="319">
        <f>IF(AND('Ações'!AS269="sim", 'Ações'!BG269="sim"), 1, 0)
</f>
        <v>0</v>
      </c>
      <c r="K267" s="319">
        <f>IF(AND('Ações'!AS269="sim", 'Ações'!BH269="sim"), 1, 0)
</f>
        <v>0</v>
      </c>
      <c r="L267" s="319">
        <f>IF(AND('Ações'!AS269="sim", 'Ações'!BI269="sim"), 1, 0)
</f>
        <v>1</v>
      </c>
      <c r="M267" s="319">
        <f>IF(AND('Ações'!AT269="sim", 'Ações'!BD269="sim"), 1, 0)
</f>
        <v>1</v>
      </c>
      <c r="N267" s="319">
        <f>IF(AND('Ações'!AT269="sim", 'Ações'!BF269="sim"), 1, 0)
</f>
        <v>0</v>
      </c>
      <c r="O267" s="319">
        <f>IF(AND('Ações'!AT269="sim", 'Ações'!BG269="sim"), 1, 0)
</f>
        <v>0</v>
      </c>
      <c r="P267" s="319">
        <f>IF(AND('Ações'!AT269="sim", 'Ações'!BH269="sim"), 1, 0)
</f>
        <v>0</v>
      </c>
      <c r="Q267" s="319">
        <f>IF(AND('Ações'!AT269="sim", 'Ações'!BI269="sim"), 1, 0)
</f>
        <v>1</v>
      </c>
      <c r="R267" s="319">
        <f>IF(AND('Ações'!AU269="sim", 'Ações'!BD269="sim"), 1, 0)
</f>
        <v>1</v>
      </c>
      <c r="S267" s="319">
        <f>IF(AND('Ações'!AU269="sim", 'Ações'!BE269="sim"), 1, 0)
</f>
        <v>0</v>
      </c>
      <c r="T267" s="319">
        <f>IF(AND('Ações'!AU269="sim", 'Ações'!BG269="sim"), 1, 0)
</f>
        <v>0</v>
      </c>
      <c r="U267" s="319">
        <f>IF(AND('Ações'!AU269="sim", 'Ações'!BH269="sim"), 1, 0)
</f>
        <v>0</v>
      </c>
      <c r="V267" s="319">
        <f>IF(AND('Ações'!AU269="sim", 'Ações'!BI269="sim"), 1, 0)
</f>
        <v>1</v>
      </c>
      <c r="W267" s="319">
        <f>IF(AND('Ações'!AV269="sim", 'Ações'!BD269="sim"), 1, 0)
</f>
        <v>1</v>
      </c>
      <c r="X267" s="319">
        <f>IF(AND('Ações'!AV269="sim", 'Ações'!BE269="sim"), 1, 0)
</f>
        <v>0</v>
      </c>
      <c r="Y267" s="319">
        <f>IF(AND('Ações'!AV269="sim", 'Ações'!BF269="sim"), 1, 0)
</f>
        <v>0</v>
      </c>
      <c r="Z267" s="319">
        <f>IF(AND('Ações'!AV269="sim", 'Ações'!BH269="sim"), 1, 0)
</f>
        <v>0</v>
      </c>
      <c r="AA267" s="319">
        <f>IF(AND('Ações'!AV269="sim", 'Ações'!BI269="sim"), 1, 0)
</f>
        <v>1</v>
      </c>
      <c r="AB267" s="319">
        <f>IF(AND('Ações'!AW269="sim", 'Ações'!BD269="sim"), 1, 0)
</f>
        <v>0</v>
      </c>
      <c r="AC267" s="319">
        <f>IF(AND('Ações'!AW269="sim", 'Ações'!BE269="sim"), 1, 0)
</f>
        <v>0</v>
      </c>
      <c r="AD267" s="319">
        <f>IF(AND('Ações'!AW269="sim", 'Ações'!BF269="sim"), 1, 0)
</f>
        <v>0</v>
      </c>
      <c r="AE267" s="319">
        <f>IF(AND('Ações'!AW269="sim", 'Ações'!BG269="sim"), 1, 0)
</f>
        <v>0</v>
      </c>
      <c r="AF267" s="319">
        <f>IF(AND('Ações'!AW269="sim", 'Ações'!BI269="sim"), 1, 0)
</f>
        <v>0</v>
      </c>
      <c r="AG267" s="319">
        <f>IF(AND('Ações'!AX269="sim", 'Ações'!BD269="sim"), 1, 0)
</f>
        <v>0</v>
      </c>
      <c r="AH267" s="319">
        <f>IF(AND('Ações'!AX269="sim", 'Ações'!BE269="sim"), 1, 0)
</f>
        <v>0</v>
      </c>
      <c r="AI267" s="319">
        <f>IF(AND('Ações'!AX269="sim", 'Ações'!BF269="sim"), 1, 0)
</f>
        <v>0</v>
      </c>
      <c r="AJ267" s="319">
        <f>IF(AND('Ações'!AX269="sim", 'Ações'!BG269="sim"), 1, 0)
</f>
        <v>0</v>
      </c>
      <c r="AK267" s="319">
        <f>IF(AND('Ações'!AX269="sim", 'Ações'!BH269="sim"), 1, 0)
</f>
        <v>0</v>
      </c>
    </row>
    <row r="268">
      <c r="B268" s="319">
        <f>IF(AND('Ações'!AS270="sim", 'Ações'!BD270="sim"), 1, 0)
</f>
        <v>0</v>
      </c>
      <c r="C268" s="319">
        <f>IF(AND('Ações'!AT270="sim", 'Ações'!BE270="sim"), 1, 0)
</f>
        <v>0</v>
      </c>
      <c r="D268" s="319">
        <f>IF(AND('Ações'!AU270="sim", 'Ações'!BF270="sim"), 1, 0)
</f>
        <v>0</v>
      </c>
      <c r="E268" s="319">
        <f>IF(AND('Ações'!AV270="sim", 'Ações'!BG270="sim"), 1, 0)
</f>
        <v>0</v>
      </c>
      <c r="F268" s="319">
        <f>IF(AND('Ações'!AW270="sim", 'Ações'!BH270="sim"), 1, 0)
</f>
        <v>0</v>
      </c>
      <c r="G268" s="319">
        <f>IF(AND('Ações'!AX270="sim", 'Ações'!BI270="sim"), 1, 0)
</f>
        <v>0</v>
      </c>
      <c r="H268" s="319">
        <f>IF(AND('Ações'!AS270="sim", 'Ações'!BE270="sim"), 1, 0)
</f>
        <v>0</v>
      </c>
      <c r="I268" s="319">
        <f>IF(AND('Ações'!AS270="sim", 'Ações'!BF270="sim"), 1, 0)
</f>
        <v>0</v>
      </c>
      <c r="J268" s="319">
        <f>IF(AND('Ações'!AS270="sim", 'Ações'!BG270="sim"), 1, 0)
</f>
        <v>0</v>
      </c>
      <c r="K268" s="319">
        <f>IF(AND('Ações'!AS270="sim", 'Ações'!BH270="sim"), 1, 0)
</f>
        <v>0</v>
      </c>
      <c r="L268" s="319">
        <f>IF(AND('Ações'!AS270="sim", 'Ações'!BI270="sim"), 1, 0)
</f>
        <v>0</v>
      </c>
      <c r="M268" s="319">
        <f>IF(AND('Ações'!AT270="sim", 'Ações'!BD270="sim"), 1, 0)
</f>
        <v>0</v>
      </c>
      <c r="N268" s="319">
        <f>IF(AND('Ações'!AT270="sim", 'Ações'!BF270="sim"), 1, 0)
</f>
        <v>0</v>
      </c>
      <c r="O268" s="319">
        <f>IF(AND('Ações'!AT270="sim", 'Ações'!BG270="sim"), 1, 0)
</f>
        <v>0</v>
      </c>
      <c r="P268" s="319">
        <f>IF(AND('Ações'!AT270="sim", 'Ações'!BH270="sim"), 1, 0)
</f>
        <v>0</v>
      </c>
      <c r="Q268" s="319">
        <f>IF(AND('Ações'!AT270="sim", 'Ações'!BI270="sim"), 1, 0)
</f>
        <v>0</v>
      </c>
      <c r="R268" s="319">
        <f>IF(AND('Ações'!AU270="sim", 'Ações'!BD270="sim"), 1, 0)
</f>
        <v>1</v>
      </c>
      <c r="S268" s="319">
        <f>IF(AND('Ações'!AU270="sim", 'Ações'!BE270="sim"), 1, 0)
</f>
        <v>0</v>
      </c>
      <c r="T268" s="319">
        <f>IF(AND('Ações'!AU270="sim", 'Ações'!BG270="sim"), 1, 0)
</f>
        <v>0</v>
      </c>
      <c r="U268" s="319">
        <f>IF(AND('Ações'!AU270="sim", 'Ações'!BH270="sim"), 1, 0)
</f>
        <v>0</v>
      </c>
      <c r="V268" s="319">
        <f>IF(AND('Ações'!AU270="sim", 'Ações'!BI270="sim"), 1, 0)
</f>
        <v>0</v>
      </c>
      <c r="W268" s="319">
        <f>IF(AND('Ações'!AV270="sim", 'Ações'!BD270="sim"), 1, 0)
</f>
        <v>1</v>
      </c>
      <c r="X268" s="319">
        <f>IF(AND('Ações'!AV270="sim", 'Ações'!BE270="sim"), 1, 0)
</f>
        <v>0</v>
      </c>
      <c r="Y268" s="319">
        <f>IF(AND('Ações'!AV270="sim", 'Ações'!BF270="sim"), 1, 0)
</f>
        <v>0</v>
      </c>
      <c r="Z268" s="319">
        <f>IF(AND('Ações'!AV270="sim", 'Ações'!BH270="sim"), 1, 0)
</f>
        <v>0</v>
      </c>
      <c r="AA268" s="319">
        <f>IF(AND('Ações'!AV270="sim", 'Ações'!BI270="sim"), 1, 0)
</f>
        <v>0</v>
      </c>
      <c r="AB268" s="319">
        <f>IF(AND('Ações'!AW270="sim", 'Ações'!BD270="sim"), 1, 0)
</f>
        <v>1</v>
      </c>
      <c r="AC268" s="319">
        <f>IF(AND('Ações'!AW270="sim", 'Ações'!BE270="sim"), 1, 0)
</f>
        <v>0</v>
      </c>
      <c r="AD268" s="319">
        <f>IF(AND('Ações'!AW270="sim", 'Ações'!BF270="sim"), 1, 0)
</f>
        <v>0</v>
      </c>
      <c r="AE268" s="319">
        <f>IF(AND('Ações'!AW270="sim", 'Ações'!BG270="sim"), 1, 0)
</f>
        <v>0</v>
      </c>
      <c r="AF268" s="319">
        <f>IF(AND('Ações'!AW270="sim", 'Ações'!BI270="sim"), 1, 0)
</f>
        <v>0</v>
      </c>
      <c r="AG268" s="319">
        <f>IF(AND('Ações'!AX270="sim", 'Ações'!BD270="sim"), 1, 0)
</f>
        <v>0</v>
      </c>
      <c r="AH268" s="319">
        <f>IF(AND('Ações'!AX270="sim", 'Ações'!BE270="sim"), 1, 0)
</f>
        <v>0</v>
      </c>
      <c r="AI268" s="319">
        <f>IF(AND('Ações'!AX270="sim", 'Ações'!BF270="sim"), 1, 0)
</f>
        <v>0</v>
      </c>
      <c r="AJ268" s="319">
        <f>IF(AND('Ações'!AX270="sim", 'Ações'!BG270="sim"), 1, 0)
</f>
        <v>0</v>
      </c>
      <c r="AK268" s="319">
        <f>IF(AND('Ações'!AX270="sim", 'Ações'!BH270="sim"), 1, 0)
</f>
        <v>0</v>
      </c>
    </row>
    <row r="269">
      <c r="B269" s="319">
        <f>IF(AND('Ações'!AS271="sim", 'Ações'!BD271="sim"), 1, 0)
</f>
        <v>0</v>
      </c>
      <c r="C269" s="319">
        <f>IF(AND('Ações'!AT271="sim", 'Ações'!BE271="sim"), 1, 0)
</f>
        <v>0</v>
      </c>
      <c r="D269" s="319">
        <f>IF(AND('Ações'!AU271="sim", 'Ações'!BF271="sim"), 1, 0)
</f>
        <v>0</v>
      </c>
      <c r="E269" s="319">
        <f>IF(AND('Ações'!AV271="sim", 'Ações'!BG271="sim"), 1, 0)
</f>
        <v>0</v>
      </c>
      <c r="F269" s="319">
        <f>IF(AND('Ações'!AW271="sim", 'Ações'!BH271="sim"), 1, 0)
</f>
        <v>0</v>
      </c>
      <c r="G269" s="319">
        <f>IF(AND('Ações'!AX271="sim", 'Ações'!BI271="sim"), 1, 0)
</f>
        <v>0</v>
      </c>
      <c r="H269" s="319">
        <f>IF(AND('Ações'!AS271="sim", 'Ações'!BE271="sim"), 1, 0)
</f>
        <v>0</v>
      </c>
      <c r="I269" s="319">
        <f>IF(AND('Ações'!AS271="sim", 'Ações'!BF271="sim"), 1, 0)
</f>
        <v>0</v>
      </c>
      <c r="J269" s="319">
        <f>IF(AND('Ações'!AS271="sim", 'Ações'!BG271="sim"), 1, 0)
</f>
        <v>0</v>
      </c>
      <c r="K269" s="319">
        <f>IF(AND('Ações'!AS271="sim", 'Ações'!BH271="sim"), 1, 0)
</f>
        <v>0</v>
      </c>
      <c r="L269" s="319">
        <f>IF(AND('Ações'!AS271="sim", 'Ações'!BI271="sim"), 1, 0)
</f>
        <v>0</v>
      </c>
      <c r="M269" s="319">
        <f>IF(AND('Ações'!AT271="sim", 'Ações'!BD271="sim"), 1, 0)
</f>
        <v>0</v>
      </c>
      <c r="N269" s="319">
        <f>IF(AND('Ações'!AT271="sim", 'Ações'!BF271="sim"), 1, 0)
</f>
        <v>0</v>
      </c>
      <c r="O269" s="319">
        <f>IF(AND('Ações'!AT271="sim", 'Ações'!BG271="sim"), 1, 0)
</f>
        <v>0</v>
      </c>
      <c r="P269" s="319">
        <f>IF(AND('Ações'!AT271="sim", 'Ações'!BH271="sim"), 1, 0)
</f>
        <v>0</v>
      </c>
      <c r="Q269" s="319">
        <f>IF(AND('Ações'!AT271="sim", 'Ações'!BI271="sim"), 1, 0)
</f>
        <v>0</v>
      </c>
      <c r="R269" s="319">
        <f>IF(AND('Ações'!AU271="sim", 'Ações'!BD271="sim"), 1, 0)
</f>
        <v>1</v>
      </c>
      <c r="S269" s="319">
        <f>IF(AND('Ações'!AU271="sim", 'Ações'!BE271="sim"), 1, 0)
</f>
        <v>0</v>
      </c>
      <c r="T269" s="319">
        <f>IF(AND('Ações'!AU271="sim", 'Ações'!BG271="sim"), 1, 0)
</f>
        <v>0</v>
      </c>
      <c r="U269" s="319">
        <f>IF(AND('Ações'!AU271="sim", 'Ações'!BH271="sim"), 1, 0)
</f>
        <v>0</v>
      </c>
      <c r="V269" s="319">
        <f>IF(AND('Ações'!AU271="sim", 'Ações'!BI271="sim"), 1, 0)
</f>
        <v>0</v>
      </c>
      <c r="W269" s="319">
        <f>IF(AND('Ações'!AV271="sim", 'Ações'!BD271="sim"), 1, 0)
</f>
        <v>1</v>
      </c>
      <c r="X269" s="319">
        <f>IF(AND('Ações'!AV271="sim", 'Ações'!BE271="sim"), 1, 0)
</f>
        <v>0</v>
      </c>
      <c r="Y269" s="319">
        <f>IF(AND('Ações'!AV271="sim", 'Ações'!BF271="sim"), 1, 0)
</f>
        <v>0</v>
      </c>
      <c r="Z269" s="319">
        <f>IF(AND('Ações'!AV271="sim", 'Ações'!BH271="sim"), 1, 0)
</f>
        <v>0</v>
      </c>
      <c r="AA269" s="319">
        <f>IF(AND('Ações'!AV271="sim", 'Ações'!BI271="sim"), 1, 0)
</f>
        <v>0</v>
      </c>
      <c r="AB269" s="319">
        <f>IF(AND('Ações'!AW271="sim", 'Ações'!BD271="sim"), 1, 0)
</f>
        <v>1</v>
      </c>
      <c r="AC269" s="319">
        <f>IF(AND('Ações'!AW271="sim", 'Ações'!BE271="sim"), 1, 0)
</f>
        <v>0</v>
      </c>
      <c r="AD269" s="319">
        <f>IF(AND('Ações'!AW271="sim", 'Ações'!BF271="sim"), 1, 0)
</f>
        <v>0</v>
      </c>
      <c r="AE269" s="319">
        <f>IF(AND('Ações'!AW271="sim", 'Ações'!BG271="sim"), 1, 0)
</f>
        <v>0</v>
      </c>
      <c r="AF269" s="319">
        <f>IF(AND('Ações'!AW271="sim", 'Ações'!BI271="sim"), 1, 0)
</f>
        <v>0</v>
      </c>
      <c r="AG269" s="319">
        <f>IF(AND('Ações'!AX271="sim", 'Ações'!BD271="sim"), 1, 0)
</f>
        <v>0</v>
      </c>
      <c r="AH269" s="319">
        <f>IF(AND('Ações'!AX271="sim", 'Ações'!BE271="sim"), 1, 0)
</f>
        <v>0</v>
      </c>
      <c r="AI269" s="319">
        <f>IF(AND('Ações'!AX271="sim", 'Ações'!BF271="sim"), 1, 0)
</f>
        <v>0</v>
      </c>
      <c r="AJ269" s="319">
        <f>IF(AND('Ações'!AX271="sim", 'Ações'!BG271="sim"), 1, 0)
</f>
        <v>0</v>
      </c>
      <c r="AK269" s="319">
        <f>IF(AND('Ações'!AX271="sim", 'Ações'!BH271="sim"), 1, 0)
</f>
        <v>0</v>
      </c>
    </row>
    <row r="270">
      <c r="B270" s="319">
        <f>IF(AND('Ações'!AS272="sim", 'Ações'!BD272="sim"), 1, 0)
</f>
        <v>0</v>
      </c>
      <c r="C270" s="319">
        <f>IF(AND('Ações'!AT272="sim", 'Ações'!BE272="sim"), 1, 0)
</f>
        <v>0</v>
      </c>
      <c r="D270" s="319">
        <f>IF(AND('Ações'!AU272="sim", 'Ações'!BF272="sim"), 1, 0)
</f>
        <v>0</v>
      </c>
      <c r="E270" s="319">
        <f>IF(AND('Ações'!AV272="sim", 'Ações'!BG272="sim"), 1, 0)
</f>
        <v>0</v>
      </c>
      <c r="F270" s="319">
        <f>IF(AND('Ações'!AW272="sim", 'Ações'!BH272="sim"), 1, 0)
</f>
        <v>0</v>
      </c>
      <c r="G270" s="319">
        <f>IF(AND('Ações'!AX272="sim", 'Ações'!BI272="sim"), 1, 0)
</f>
        <v>0</v>
      </c>
      <c r="H270" s="319">
        <f>IF(AND('Ações'!AS272="sim", 'Ações'!BE272="sim"), 1, 0)
</f>
        <v>0</v>
      </c>
      <c r="I270" s="319">
        <f>IF(AND('Ações'!AS272="sim", 'Ações'!BF272="sim"), 1, 0)
</f>
        <v>0</v>
      </c>
      <c r="J270" s="319">
        <f>IF(AND('Ações'!AS272="sim", 'Ações'!BG272="sim"), 1, 0)
</f>
        <v>0</v>
      </c>
      <c r="K270" s="319">
        <f>IF(AND('Ações'!AS272="sim", 'Ações'!BH272="sim"), 1, 0)
</f>
        <v>0</v>
      </c>
      <c r="L270" s="319">
        <f>IF(AND('Ações'!AS272="sim", 'Ações'!BI272="sim"), 1, 0)
</f>
        <v>0</v>
      </c>
      <c r="M270" s="319">
        <f>IF(AND('Ações'!AT272="sim", 'Ações'!BD272="sim"), 1, 0)
</f>
        <v>0</v>
      </c>
      <c r="N270" s="319">
        <f>IF(AND('Ações'!AT272="sim", 'Ações'!BF272="sim"), 1, 0)
</f>
        <v>0</v>
      </c>
      <c r="O270" s="319">
        <f>IF(AND('Ações'!AT272="sim", 'Ações'!BG272="sim"), 1, 0)
</f>
        <v>0</v>
      </c>
      <c r="P270" s="319">
        <f>IF(AND('Ações'!AT272="sim", 'Ações'!BH272="sim"), 1, 0)
</f>
        <v>0</v>
      </c>
      <c r="Q270" s="319">
        <f>IF(AND('Ações'!AT272="sim", 'Ações'!BI272="sim"), 1, 0)
</f>
        <v>0</v>
      </c>
      <c r="R270" s="319">
        <f>IF(AND('Ações'!AU272="sim", 'Ações'!BD272="sim"), 1, 0)
</f>
        <v>1</v>
      </c>
      <c r="S270" s="319">
        <f>IF(AND('Ações'!AU272="sim", 'Ações'!BE272="sim"), 1, 0)
</f>
        <v>0</v>
      </c>
      <c r="T270" s="319">
        <f>IF(AND('Ações'!AU272="sim", 'Ações'!BG272="sim"), 1, 0)
</f>
        <v>0</v>
      </c>
      <c r="U270" s="319">
        <f>IF(AND('Ações'!AU272="sim", 'Ações'!BH272="sim"), 1, 0)
</f>
        <v>0</v>
      </c>
      <c r="V270" s="319">
        <f>IF(AND('Ações'!AU272="sim", 'Ações'!BI272="sim"), 1, 0)
</f>
        <v>0</v>
      </c>
      <c r="W270" s="319">
        <f>IF(AND('Ações'!AV272="sim", 'Ações'!BD272="sim"), 1, 0)
</f>
        <v>1</v>
      </c>
      <c r="X270" s="319">
        <f>IF(AND('Ações'!AV272="sim", 'Ações'!BE272="sim"), 1, 0)
</f>
        <v>0</v>
      </c>
      <c r="Y270" s="319">
        <f>IF(AND('Ações'!AV272="sim", 'Ações'!BF272="sim"), 1, 0)
</f>
        <v>0</v>
      </c>
      <c r="Z270" s="319">
        <f>IF(AND('Ações'!AV272="sim", 'Ações'!BH272="sim"), 1, 0)
</f>
        <v>0</v>
      </c>
      <c r="AA270" s="319">
        <f>IF(AND('Ações'!AV272="sim", 'Ações'!BI272="sim"), 1, 0)
</f>
        <v>0</v>
      </c>
      <c r="AB270" s="319">
        <f>IF(AND('Ações'!AW272="sim", 'Ações'!BD272="sim"), 1, 0)
</f>
        <v>1</v>
      </c>
      <c r="AC270" s="319">
        <f>IF(AND('Ações'!AW272="sim", 'Ações'!BE272="sim"), 1, 0)
</f>
        <v>0</v>
      </c>
      <c r="AD270" s="319">
        <f>IF(AND('Ações'!AW272="sim", 'Ações'!BF272="sim"), 1, 0)
</f>
        <v>0</v>
      </c>
      <c r="AE270" s="319">
        <f>IF(AND('Ações'!AW272="sim", 'Ações'!BG272="sim"), 1, 0)
</f>
        <v>0</v>
      </c>
      <c r="AF270" s="319">
        <f>IF(AND('Ações'!AW272="sim", 'Ações'!BI272="sim"), 1, 0)
</f>
        <v>0</v>
      </c>
      <c r="AG270" s="319">
        <f>IF(AND('Ações'!AX272="sim", 'Ações'!BD272="sim"), 1, 0)
</f>
        <v>0</v>
      </c>
      <c r="AH270" s="319">
        <f>IF(AND('Ações'!AX272="sim", 'Ações'!BE272="sim"), 1, 0)
</f>
        <v>0</v>
      </c>
      <c r="AI270" s="319">
        <f>IF(AND('Ações'!AX272="sim", 'Ações'!BF272="sim"), 1, 0)
</f>
        <v>0</v>
      </c>
      <c r="AJ270" s="319">
        <f>IF(AND('Ações'!AX272="sim", 'Ações'!BG272="sim"), 1, 0)
</f>
        <v>0</v>
      </c>
      <c r="AK270" s="319">
        <f>IF(AND('Ações'!AX272="sim", 'Ações'!BH272="sim"), 1, 0)
</f>
        <v>0</v>
      </c>
    </row>
    <row r="271">
      <c r="B271" s="319">
        <f>IF(AND('Ações'!AS273="sim", 'Ações'!BD273="sim"), 1, 0)
</f>
        <v>0</v>
      </c>
      <c r="C271" s="319">
        <f>IF(AND('Ações'!AT273="sim", 'Ações'!BE273="sim"), 1, 0)
</f>
        <v>0</v>
      </c>
      <c r="D271" s="319">
        <f>IF(AND('Ações'!AU273="sim", 'Ações'!BF273="sim"), 1, 0)
</f>
        <v>0</v>
      </c>
      <c r="E271" s="319">
        <f>IF(AND('Ações'!AV273="sim", 'Ações'!BG273="sim"), 1, 0)
</f>
        <v>0</v>
      </c>
      <c r="F271" s="319">
        <f>IF(AND('Ações'!AW273="sim", 'Ações'!BH273="sim"), 1, 0)
</f>
        <v>0</v>
      </c>
      <c r="G271" s="319">
        <f>IF(AND('Ações'!AX273="sim", 'Ações'!BI273="sim"), 1, 0)
</f>
        <v>0</v>
      </c>
      <c r="H271" s="319">
        <f>IF(AND('Ações'!AS273="sim", 'Ações'!BE273="sim"), 1, 0)
</f>
        <v>0</v>
      </c>
      <c r="I271" s="319">
        <f>IF(AND('Ações'!AS273="sim", 'Ações'!BF273="sim"), 1, 0)
</f>
        <v>0</v>
      </c>
      <c r="J271" s="319">
        <f>IF(AND('Ações'!AS273="sim", 'Ações'!BG273="sim"), 1, 0)
</f>
        <v>0</v>
      </c>
      <c r="K271" s="319">
        <f>IF(AND('Ações'!AS273="sim", 'Ações'!BH273="sim"), 1, 0)
</f>
        <v>0</v>
      </c>
      <c r="L271" s="319">
        <f>IF(AND('Ações'!AS273="sim", 'Ações'!BI273="sim"), 1, 0)
</f>
        <v>0</v>
      </c>
      <c r="M271" s="319">
        <f>IF(AND('Ações'!AT273="sim", 'Ações'!BD273="sim"), 1, 0)
</f>
        <v>0</v>
      </c>
      <c r="N271" s="319">
        <f>IF(AND('Ações'!AT273="sim", 'Ações'!BF273="sim"), 1, 0)
</f>
        <v>0</v>
      </c>
      <c r="O271" s="319">
        <f>IF(AND('Ações'!AT273="sim", 'Ações'!BG273="sim"), 1, 0)
</f>
        <v>0</v>
      </c>
      <c r="P271" s="319">
        <f>IF(AND('Ações'!AT273="sim", 'Ações'!BH273="sim"), 1, 0)
</f>
        <v>0</v>
      </c>
      <c r="Q271" s="319">
        <f>IF(AND('Ações'!AT273="sim", 'Ações'!BI273="sim"), 1, 0)
</f>
        <v>0</v>
      </c>
      <c r="R271" s="319">
        <f>IF(AND('Ações'!AU273="sim", 'Ações'!BD273="sim"), 1, 0)
</f>
        <v>1</v>
      </c>
      <c r="S271" s="319">
        <f>IF(AND('Ações'!AU273="sim", 'Ações'!BE273="sim"), 1, 0)
</f>
        <v>0</v>
      </c>
      <c r="T271" s="319">
        <f>IF(AND('Ações'!AU273="sim", 'Ações'!BG273="sim"), 1, 0)
</f>
        <v>0</v>
      </c>
      <c r="U271" s="319">
        <f>IF(AND('Ações'!AU273="sim", 'Ações'!BH273="sim"), 1, 0)
</f>
        <v>0</v>
      </c>
      <c r="V271" s="319">
        <f>IF(AND('Ações'!AU273="sim", 'Ações'!BI273="sim"), 1, 0)
</f>
        <v>0</v>
      </c>
      <c r="W271" s="319">
        <f>IF(AND('Ações'!AV273="sim", 'Ações'!BD273="sim"), 1, 0)
</f>
        <v>1</v>
      </c>
      <c r="X271" s="319">
        <f>IF(AND('Ações'!AV273="sim", 'Ações'!BE273="sim"), 1, 0)
</f>
        <v>0</v>
      </c>
      <c r="Y271" s="319">
        <f>IF(AND('Ações'!AV273="sim", 'Ações'!BF273="sim"), 1, 0)
</f>
        <v>0</v>
      </c>
      <c r="Z271" s="319">
        <f>IF(AND('Ações'!AV273="sim", 'Ações'!BH273="sim"), 1, 0)
</f>
        <v>0</v>
      </c>
      <c r="AA271" s="319">
        <f>IF(AND('Ações'!AV273="sim", 'Ações'!BI273="sim"), 1, 0)
</f>
        <v>0</v>
      </c>
      <c r="AB271" s="319">
        <f>IF(AND('Ações'!AW273="sim", 'Ações'!BD273="sim"), 1, 0)
</f>
        <v>1</v>
      </c>
      <c r="AC271" s="319">
        <f>IF(AND('Ações'!AW273="sim", 'Ações'!BE273="sim"), 1, 0)
</f>
        <v>0</v>
      </c>
      <c r="AD271" s="319">
        <f>IF(AND('Ações'!AW273="sim", 'Ações'!BF273="sim"), 1, 0)
</f>
        <v>0</v>
      </c>
      <c r="AE271" s="319">
        <f>IF(AND('Ações'!AW273="sim", 'Ações'!BG273="sim"), 1, 0)
</f>
        <v>0</v>
      </c>
      <c r="AF271" s="319">
        <f>IF(AND('Ações'!AW273="sim", 'Ações'!BI273="sim"), 1, 0)
</f>
        <v>0</v>
      </c>
      <c r="AG271" s="319">
        <f>IF(AND('Ações'!AX273="sim", 'Ações'!BD273="sim"), 1, 0)
</f>
        <v>0</v>
      </c>
      <c r="AH271" s="319">
        <f>IF(AND('Ações'!AX273="sim", 'Ações'!BE273="sim"), 1, 0)
</f>
        <v>0</v>
      </c>
      <c r="AI271" s="319">
        <f>IF(AND('Ações'!AX273="sim", 'Ações'!BF273="sim"), 1, 0)
</f>
        <v>0</v>
      </c>
      <c r="AJ271" s="319">
        <f>IF(AND('Ações'!AX273="sim", 'Ações'!BG273="sim"), 1, 0)
</f>
        <v>0</v>
      </c>
      <c r="AK271" s="319">
        <f>IF(AND('Ações'!AX273="sim", 'Ações'!BH273="sim"), 1, 0)
</f>
        <v>0</v>
      </c>
    </row>
    <row r="272">
      <c r="B272" s="319">
        <f>IF(AND('Ações'!AS274="sim", 'Ações'!BD274="sim"), 1, 0)
</f>
        <v>0</v>
      </c>
      <c r="C272" s="319">
        <f>IF(AND('Ações'!AT274="sim", 'Ações'!BE274="sim"), 1, 0)
</f>
        <v>0</v>
      </c>
      <c r="D272" s="319">
        <f>IF(AND('Ações'!AU274="sim", 'Ações'!BF274="sim"), 1, 0)
</f>
        <v>0</v>
      </c>
      <c r="E272" s="319">
        <f>IF(AND('Ações'!AV274="sim", 'Ações'!BG274="sim"), 1, 0)
</f>
        <v>0</v>
      </c>
      <c r="F272" s="319">
        <f>IF(AND('Ações'!AW274="sim", 'Ações'!BH274="sim"), 1, 0)
</f>
        <v>0</v>
      </c>
      <c r="G272" s="319">
        <f>IF(AND('Ações'!AX274="sim", 'Ações'!BI274="sim"), 1, 0)
</f>
        <v>0</v>
      </c>
      <c r="H272" s="319">
        <f>IF(AND('Ações'!AS274="sim", 'Ações'!BE274="sim"), 1, 0)
</f>
        <v>0</v>
      </c>
      <c r="I272" s="319">
        <f>IF(AND('Ações'!AS274="sim", 'Ações'!BF274="sim"), 1, 0)
</f>
        <v>0</v>
      </c>
      <c r="J272" s="319">
        <f>IF(AND('Ações'!AS274="sim", 'Ações'!BG274="sim"), 1, 0)
</f>
        <v>0</v>
      </c>
      <c r="K272" s="319">
        <f>IF(AND('Ações'!AS274="sim", 'Ações'!BH274="sim"), 1, 0)
</f>
        <v>0</v>
      </c>
      <c r="L272" s="319">
        <f>IF(AND('Ações'!AS274="sim", 'Ações'!BI274="sim"), 1, 0)
</f>
        <v>0</v>
      </c>
      <c r="M272" s="319">
        <f>IF(AND('Ações'!AT274="sim", 'Ações'!BD274="sim"), 1, 0)
</f>
        <v>0</v>
      </c>
      <c r="N272" s="319">
        <f>IF(AND('Ações'!AT274="sim", 'Ações'!BF274="sim"), 1, 0)
</f>
        <v>0</v>
      </c>
      <c r="O272" s="319">
        <f>IF(AND('Ações'!AT274="sim", 'Ações'!BG274="sim"), 1, 0)
</f>
        <v>0</v>
      </c>
      <c r="P272" s="319">
        <f>IF(AND('Ações'!AT274="sim", 'Ações'!BH274="sim"), 1, 0)
</f>
        <v>0</v>
      </c>
      <c r="Q272" s="319">
        <f>IF(AND('Ações'!AT274="sim", 'Ações'!BI274="sim"), 1, 0)
</f>
        <v>0</v>
      </c>
      <c r="R272" s="319">
        <f>IF(AND('Ações'!AU274="sim", 'Ações'!BD274="sim"), 1, 0)
</f>
        <v>1</v>
      </c>
      <c r="S272" s="319">
        <f>IF(AND('Ações'!AU274="sim", 'Ações'!BE274="sim"), 1, 0)
</f>
        <v>0</v>
      </c>
      <c r="T272" s="319">
        <f>IF(AND('Ações'!AU274="sim", 'Ações'!BG274="sim"), 1, 0)
</f>
        <v>0</v>
      </c>
      <c r="U272" s="319">
        <f>IF(AND('Ações'!AU274="sim", 'Ações'!BH274="sim"), 1, 0)
</f>
        <v>0</v>
      </c>
      <c r="V272" s="319">
        <f>IF(AND('Ações'!AU274="sim", 'Ações'!BI274="sim"), 1, 0)
</f>
        <v>0</v>
      </c>
      <c r="W272" s="319">
        <f>IF(AND('Ações'!AV274="sim", 'Ações'!BD274="sim"), 1, 0)
</f>
        <v>1</v>
      </c>
      <c r="X272" s="319">
        <f>IF(AND('Ações'!AV274="sim", 'Ações'!BE274="sim"), 1, 0)
</f>
        <v>0</v>
      </c>
      <c r="Y272" s="319">
        <f>IF(AND('Ações'!AV274="sim", 'Ações'!BF274="sim"), 1, 0)
</f>
        <v>0</v>
      </c>
      <c r="Z272" s="319">
        <f>IF(AND('Ações'!AV274="sim", 'Ações'!BH274="sim"), 1, 0)
</f>
        <v>0</v>
      </c>
      <c r="AA272" s="319">
        <f>IF(AND('Ações'!AV274="sim", 'Ações'!BI274="sim"), 1, 0)
</f>
        <v>0</v>
      </c>
      <c r="AB272" s="319">
        <f>IF(AND('Ações'!AW274="sim", 'Ações'!BD274="sim"), 1, 0)
</f>
        <v>1</v>
      </c>
      <c r="AC272" s="319">
        <f>IF(AND('Ações'!AW274="sim", 'Ações'!BE274="sim"), 1, 0)
</f>
        <v>0</v>
      </c>
      <c r="AD272" s="319">
        <f>IF(AND('Ações'!AW274="sim", 'Ações'!BF274="sim"), 1, 0)
</f>
        <v>0</v>
      </c>
      <c r="AE272" s="319">
        <f>IF(AND('Ações'!AW274="sim", 'Ações'!BG274="sim"), 1, 0)
</f>
        <v>0</v>
      </c>
      <c r="AF272" s="319">
        <f>IF(AND('Ações'!AW274="sim", 'Ações'!BI274="sim"), 1, 0)
</f>
        <v>0</v>
      </c>
      <c r="AG272" s="319">
        <f>IF(AND('Ações'!AX274="sim", 'Ações'!BD274="sim"), 1, 0)
</f>
        <v>0</v>
      </c>
      <c r="AH272" s="319">
        <f>IF(AND('Ações'!AX274="sim", 'Ações'!BE274="sim"), 1, 0)
</f>
        <v>0</v>
      </c>
      <c r="AI272" s="319">
        <f>IF(AND('Ações'!AX274="sim", 'Ações'!BF274="sim"), 1, 0)
</f>
        <v>0</v>
      </c>
      <c r="AJ272" s="319">
        <f>IF(AND('Ações'!AX274="sim", 'Ações'!BG274="sim"), 1, 0)
</f>
        <v>0</v>
      </c>
      <c r="AK272" s="319">
        <f>IF(AND('Ações'!AX274="sim", 'Ações'!BH274="sim"), 1, 0)
</f>
        <v>0</v>
      </c>
    </row>
    <row r="273">
      <c r="B273" s="319">
        <f>IF(AND('Ações'!AS275="sim", 'Ações'!BD275="sim"), 1, 0)
</f>
        <v>0</v>
      </c>
      <c r="C273" s="319">
        <f>IF(AND('Ações'!AT275="sim", 'Ações'!BE275="sim"), 1, 0)
</f>
        <v>0</v>
      </c>
      <c r="D273" s="319">
        <f>IF(AND('Ações'!AU275="sim", 'Ações'!BF275="sim"), 1, 0)
</f>
        <v>0</v>
      </c>
      <c r="E273" s="319">
        <f>IF(AND('Ações'!AV275="sim", 'Ações'!BG275="sim"), 1, 0)
</f>
        <v>0</v>
      </c>
      <c r="F273" s="319">
        <f>IF(AND('Ações'!AW275="sim", 'Ações'!BH275="sim"), 1, 0)
</f>
        <v>0</v>
      </c>
      <c r="G273" s="319">
        <f>IF(AND('Ações'!AX275="sim", 'Ações'!BI275="sim"), 1, 0)
</f>
        <v>0</v>
      </c>
      <c r="H273" s="319">
        <f>IF(AND('Ações'!AS275="sim", 'Ações'!BE275="sim"), 1, 0)
</f>
        <v>0</v>
      </c>
      <c r="I273" s="319">
        <f>IF(AND('Ações'!AS275="sim", 'Ações'!BF275="sim"), 1, 0)
</f>
        <v>0</v>
      </c>
      <c r="J273" s="319">
        <f>IF(AND('Ações'!AS275="sim", 'Ações'!BG275="sim"), 1, 0)
</f>
        <v>0</v>
      </c>
      <c r="K273" s="319">
        <f>IF(AND('Ações'!AS275="sim", 'Ações'!BH275="sim"), 1, 0)
</f>
        <v>0</v>
      </c>
      <c r="L273" s="319">
        <f>IF(AND('Ações'!AS275="sim", 'Ações'!BI275="sim"), 1, 0)
</f>
        <v>0</v>
      </c>
      <c r="M273" s="319">
        <f>IF(AND('Ações'!AT275="sim", 'Ações'!BD275="sim"), 1, 0)
</f>
        <v>0</v>
      </c>
      <c r="N273" s="319">
        <f>IF(AND('Ações'!AT275="sim", 'Ações'!BF275="sim"), 1, 0)
</f>
        <v>0</v>
      </c>
      <c r="O273" s="319">
        <f>IF(AND('Ações'!AT275="sim", 'Ações'!BG275="sim"), 1, 0)
</f>
        <v>0</v>
      </c>
      <c r="P273" s="319">
        <f>IF(AND('Ações'!AT275="sim", 'Ações'!BH275="sim"), 1, 0)
</f>
        <v>0</v>
      </c>
      <c r="Q273" s="319">
        <f>IF(AND('Ações'!AT275="sim", 'Ações'!BI275="sim"), 1, 0)
</f>
        <v>0</v>
      </c>
      <c r="R273" s="319">
        <f>IF(AND('Ações'!AU275="sim", 'Ações'!BD275="sim"), 1, 0)
</f>
        <v>1</v>
      </c>
      <c r="S273" s="319">
        <f>IF(AND('Ações'!AU275="sim", 'Ações'!BE275="sim"), 1, 0)
</f>
        <v>0</v>
      </c>
      <c r="T273" s="319">
        <f>IF(AND('Ações'!AU275="sim", 'Ações'!BG275="sim"), 1, 0)
</f>
        <v>0</v>
      </c>
      <c r="U273" s="319">
        <f>IF(AND('Ações'!AU275="sim", 'Ações'!BH275="sim"), 1, 0)
</f>
        <v>0</v>
      </c>
      <c r="V273" s="319">
        <f>IF(AND('Ações'!AU275="sim", 'Ações'!BI275="sim"), 1, 0)
</f>
        <v>0</v>
      </c>
      <c r="W273" s="319">
        <f>IF(AND('Ações'!AV275="sim", 'Ações'!BD275="sim"), 1, 0)
</f>
        <v>1</v>
      </c>
      <c r="X273" s="319">
        <f>IF(AND('Ações'!AV275="sim", 'Ações'!BE275="sim"), 1, 0)
</f>
        <v>0</v>
      </c>
      <c r="Y273" s="319">
        <f>IF(AND('Ações'!AV275="sim", 'Ações'!BF275="sim"), 1, 0)
</f>
        <v>0</v>
      </c>
      <c r="Z273" s="319">
        <f>IF(AND('Ações'!AV275="sim", 'Ações'!BH275="sim"), 1, 0)
</f>
        <v>0</v>
      </c>
      <c r="AA273" s="319">
        <f>IF(AND('Ações'!AV275="sim", 'Ações'!BI275="sim"), 1, 0)
</f>
        <v>0</v>
      </c>
      <c r="AB273" s="319">
        <f>IF(AND('Ações'!AW275="sim", 'Ações'!BD275="sim"), 1, 0)
</f>
        <v>1</v>
      </c>
      <c r="AC273" s="319">
        <f>IF(AND('Ações'!AW275="sim", 'Ações'!BE275="sim"), 1, 0)
</f>
        <v>0</v>
      </c>
      <c r="AD273" s="319">
        <f>IF(AND('Ações'!AW275="sim", 'Ações'!BF275="sim"), 1, 0)
</f>
        <v>0</v>
      </c>
      <c r="AE273" s="319">
        <f>IF(AND('Ações'!AW275="sim", 'Ações'!BG275="sim"), 1, 0)
</f>
        <v>0</v>
      </c>
      <c r="AF273" s="319">
        <f>IF(AND('Ações'!AW275="sim", 'Ações'!BI275="sim"), 1, 0)
</f>
        <v>0</v>
      </c>
      <c r="AG273" s="319">
        <f>IF(AND('Ações'!AX275="sim", 'Ações'!BD275="sim"), 1, 0)
</f>
        <v>0</v>
      </c>
      <c r="AH273" s="319">
        <f>IF(AND('Ações'!AX275="sim", 'Ações'!BE275="sim"), 1, 0)
</f>
        <v>0</v>
      </c>
      <c r="AI273" s="319">
        <f>IF(AND('Ações'!AX275="sim", 'Ações'!BF275="sim"), 1, 0)
</f>
        <v>0</v>
      </c>
      <c r="AJ273" s="319">
        <f>IF(AND('Ações'!AX275="sim", 'Ações'!BG275="sim"), 1, 0)
</f>
        <v>0</v>
      </c>
      <c r="AK273" s="319">
        <f>IF(AND('Ações'!AX275="sim", 'Ações'!BH275="sim"), 1, 0)
</f>
        <v>0</v>
      </c>
    </row>
    <row r="274">
      <c r="B274" s="319">
        <f>IF(AND('Ações'!AS276="sim", 'Ações'!BD276="sim"), 1, 0)
</f>
        <v>0</v>
      </c>
      <c r="C274" s="319">
        <f>IF(AND('Ações'!AT276="sim", 'Ações'!BE276="sim"), 1, 0)
</f>
        <v>0</v>
      </c>
      <c r="D274" s="319">
        <f>IF(AND('Ações'!AU276="sim", 'Ações'!BF276="sim"), 1, 0)
</f>
        <v>0</v>
      </c>
      <c r="E274" s="319">
        <f>IF(AND('Ações'!AV276="sim", 'Ações'!BG276="sim"), 1, 0)
</f>
        <v>0</v>
      </c>
      <c r="F274" s="319">
        <f>IF(AND('Ações'!AW276="sim", 'Ações'!BH276="sim"), 1, 0)
</f>
        <v>0</v>
      </c>
      <c r="G274" s="319">
        <f>IF(AND('Ações'!AX276="sim", 'Ações'!BI276="sim"), 1, 0)
</f>
        <v>0</v>
      </c>
      <c r="H274" s="319">
        <f>IF(AND('Ações'!AS276="sim", 'Ações'!BE276="sim"), 1, 0)
</f>
        <v>0</v>
      </c>
      <c r="I274" s="319">
        <f>IF(AND('Ações'!AS276="sim", 'Ações'!BF276="sim"), 1, 0)
</f>
        <v>0</v>
      </c>
      <c r="J274" s="319">
        <f>IF(AND('Ações'!AS276="sim", 'Ações'!BG276="sim"), 1, 0)
</f>
        <v>0</v>
      </c>
      <c r="K274" s="319">
        <f>IF(AND('Ações'!AS276="sim", 'Ações'!BH276="sim"), 1, 0)
</f>
        <v>0</v>
      </c>
      <c r="L274" s="319">
        <f>IF(AND('Ações'!AS276="sim", 'Ações'!BI276="sim"), 1, 0)
</f>
        <v>0</v>
      </c>
      <c r="M274" s="319">
        <f>IF(AND('Ações'!AT276="sim", 'Ações'!BD276="sim"), 1, 0)
</f>
        <v>0</v>
      </c>
      <c r="N274" s="319">
        <f>IF(AND('Ações'!AT276="sim", 'Ações'!BF276="sim"), 1, 0)
</f>
        <v>0</v>
      </c>
      <c r="O274" s="319">
        <f>IF(AND('Ações'!AT276="sim", 'Ações'!BG276="sim"), 1, 0)
</f>
        <v>0</v>
      </c>
      <c r="P274" s="319">
        <f>IF(AND('Ações'!AT276="sim", 'Ações'!BH276="sim"), 1, 0)
</f>
        <v>0</v>
      </c>
      <c r="Q274" s="319">
        <f>IF(AND('Ações'!AT276="sim", 'Ações'!BI276="sim"), 1, 0)
</f>
        <v>0</v>
      </c>
      <c r="R274" s="319">
        <f>IF(AND('Ações'!AU276="sim", 'Ações'!BD276="sim"), 1, 0)
</f>
        <v>1</v>
      </c>
      <c r="S274" s="319">
        <f>IF(AND('Ações'!AU276="sim", 'Ações'!BE276="sim"), 1, 0)
</f>
        <v>0</v>
      </c>
      <c r="T274" s="319">
        <f>IF(AND('Ações'!AU276="sim", 'Ações'!BG276="sim"), 1, 0)
</f>
        <v>0</v>
      </c>
      <c r="U274" s="319">
        <f>IF(AND('Ações'!AU276="sim", 'Ações'!BH276="sim"), 1, 0)
</f>
        <v>0</v>
      </c>
      <c r="V274" s="319">
        <f>IF(AND('Ações'!AU276="sim", 'Ações'!BI276="sim"), 1, 0)
</f>
        <v>0</v>
      </c>
      <c r="W274" s="319">
        <f>IF(AND('Ações'!AV276="sim", 'Ações'!BD276="sim"), 1, 0)
</f>
        <v>1</v>
      </c>
      <c r="X274" s="319">
        <f>IF(AND('Ações'!AV276="sim", 'Ações'!BE276="sim"), 1, 0)
</f>
        <v>0</v>
      </c>
      <c r="Y274" s="319">
        <f>IF(AND('Ações'!AV276="sim", 'Ações'!BF276="sim"), 1, 0)
</f>
        <v>0</v>
      </c>
      <c r="Z274" s="319">
        <f>IF(AND('Ações'!AV276="sim", 'Ações'!BH276="sim"), 1, 0)
</f>
        <v>0</v>
      </c>
      <c r="AA274" s="319">
        <f>IF(AND('Ações'!AV276="sim", 'Ações'!BI276="sim"), 1, 0)
</f>
        <v>0</v>
      </c>
      <c r="AB274" s="319">
        <f>IF(AND('Ações'!AW276="sim", 'Ações'!BD276="sim"), 1, 0)
</f>
        <v>1</v>
      </c>
      <c r="AC274" s="319">
        <f>IF(AND('Ações'!AW276="sim", 'Ações'!BE276="sim"), 1, 0)
</f>
        <v>0</v>
      </c>
      <c r="AD274" s="319">
        <f>IF(AND('Ações'!AW276="sim", 'Ações'!BF276="sim"), 1, 0)
</f>
        <v>0</v>
      </c>
      <c r="AE274" s="319">
        <f>IF(AND('Ações'!AW276="sim", 'Ações'!BG276="sim"), 1, 0)
</f>
        <v>0</v>
      </c>
      <c r="AF274" s="319">
        <f>IF(AND('Ações'!AW276="sim", 'Ações'!BI276="sim"), 1, 0)
</f>
        <v>0</v>
      </c>
      <c r="AG274" s="319">
        <f>IF(AND('Ações'!AX276="sim", 'Ações'!BD276="sim"), 1, 0)
</f>
        <v>0</v>
      </c>
      <c r="AH274" s="319">
        <f>IF(AND('Ações'!AX276="sim", 'Ações'!BE276="sim"), 1, 0)
</f>
        <v>0</v>
      </c>
      <c r="AI274" s="319">
        <f>IF(AND('Ações'!AX276="sim", 'Ações'!BF276="sim"), 1, 0)
</f>
        <v>0</v>
      </c>
      <c r="AJ274" s="319">
        <f>IF(AND('Ações'!AX276="sim", 'Ações'!BG276="sim"), 1, 0)
</f>
        <v>0</v>
      </c>
      <c r="AK274" s="319">
        <f>IF(AND('Ações'!AX276="sim", 'Ações'!BH276="sim"), 1, 0)
</f>
        <v>0</v>
      </c>
    </row>
    <row r="275">
      <c r="B275" s="319">
        <f>IF(AND('Ações'!AS277="sim", 'Ações'!BD277="sim"), 1, 0)
</f>
        <v>0</v>
      </c>
      <c r="C275" s="319">
        <f>IF(AND('Ações'!AT277="sim", 'Ações'!BE277="sim"), 1, 0)
</f>
        <v>0</v>
      </c>
      <c r="D275" s="319">
        <f>IF(AND('Ações'!AU277="sim", 'Ações'!BF277="sim"), 1, 0)
</f>
        <v>0</v>
      </c>
      <c r="E275" s="319">
        <f>IF(AND('Ações'!AV277="sim", 'Ações'!BG277="sim"), 1, 0)
</f>
        <v>0</v>
      </c>
      <c r="F275" s="319">
        <f>IF(AND('Ações'!AW277="sim", 'Ações'!BH277="sim"), 1, 0)
</f>
        <v>0</v>
      </c>
      <c r="G275" s="319">
        <f>IF(AND('Ações'!AX277="sim", 'Ações'!BI277="sim"), 1, 0)
</f>
        <v>0</v>
      </c>
      <c r="H275" s="319">
        <f>IF(AND('Ações'!AS277="sim", 'Ações'!BE277="sim"), 1, 0)
</f>
        <v>0</v>
      </c>
      <c r="I275" s="319">
        <f>IF(AND('Ações'!AS277="sim", 'Ações'!BF277="sim"), 1, 0)
</f>
        <v>0</v>
      </c>
      <c r="J275" s="319">
        <f>IF(AND('Ações'!AS277="sim", 'Ações'!BG277="sim"), 1, 0)
</f>
        <v>0</v>
      </c>
      <c r="K275" s="319">
        <f>IF(AND('Ações'!AS277="sim", 'Ações'!BH277="sim"), 1, 0)
</f>
        <v>0</v>
      </c>
      <c r="L275" s="319">
        <f>IF(AND('Ações'!AS277="sim", 'Ações'!BI277="sim"), 1, 0)
</f>
        <v>0</v>
      </c>
      <c r="M275" s="319">
        <f>IF(AND('Ações'!AT277="sim", 'Ações'!BD277="sim"), 1, 0)
</f>
        <v>0</v>
      </c>
      <c r="N275" s="319">
        <f>IF(AND('Ações'!AT277="sim", 'Ações'!BF277="sim"), 1, 0)
</f>
        <v>0</v>
      </c>
      <c r="O275" s="319">
        <f>IF(AND('Ações'!AT277="sim", 'Ações'!BG277="sim"), 1, 0)
</f>
        <v>0</v>
      </c>
      <c r="P275" s="319">
        <f>IF(AND('Ações'!AT277="sim", 'Ações'!BH277="sim"), 1, 0)
</f>
        <v>0</v>
      </c>
      <c r="Q275" s="319">
        <f>IF(AND('Ações'!AT277="sim", 'Ações'!BI277="sim"), 1, 0)
</f>
        <v>0</v>
      </c>
      <c r="R275" s="319">
        <f>IF(AND('Ações'!AU277="sim", 'Ações'!BD277="sim"), 1, 0)
</f>
        <v>1</v>
      </c>
      <c r="S275" s="319">
        <f>IF(AND('Ações'!AU277="sim", 'Ações'!BE277="sim"), 1, 0)
</f>
        <v>0</v>
      </c>
      <c r="T275" s="319">
        <f>IF(AND('Ações'!AU277="sim", 'Ações'!BG277="sim"), 1, 0)
</f>
        <v>0</v>
      </c>
      <c r="U275" s="319">
        <f>IF(AND('Ações'!AU277="sim", 'Ações'!BH277="sim"), 1, 0)
</f>
        <v>0</v>
      </c>
      <c r="V275" s="319">
        <f>IF(AND('Ações'!AU277="sim", 'Ações'!BI277="sim"), 1, 0)
</f>
        <v>0</v>
      </c>
      <c r="W275" s="319">
        <f>IF(AND('Ações'!AV277="sim", 'Ações'!BD277="sim"), 1, 0)
</f>
        <v>1</v>
      </c>
      <c r="X275" s="319">
        <f>IF(AND('Ações'!AV277="sim", 'Ações'!BE277="sim"), 1, 0)
</f>
        <v>0</v>
      </c>
      <c r="Y275" s="319">
        <f>IF(AND('Ações'!AV277="sim", 'Ações'!BF277="sim"), 1, 0)
</f>
        <v>0</v>
      </c>
      <c r="Z275" s="319">
        <f>IF(AND('Ações'!AV277="sim", 'Ações'!BH277="sim"), 1, 0)
</f>
        <v>0</v>
      </c>
      <c r="AA275" s="319">
        <f>IF(AND('Ações'!AV277="sim", 'Ações'!BI277="sim"), 1, 0)
</f>
        <v>0</v>
      </c>
      <c r="AB275" s="319">
        <f>IF(AND('Ações'!AW277="sim", 'Ações'!BD277="sim"), 1, 0)
</f>
        <v>1</v>
      </c>
      <c r="AC275" s="319">
        <f>IF(AND('Ações'!AW277="sim", 'Ações'!BE277="sim"), 1, 0)
</f>
        <v>0</v>
      </c>
      <c r="AD275" s="319">
        <f>IF(AND('Ações'!AW277="sim", 'Ações'!BF277="sim"), 1, 0)
</f>
        <v>0</v>
      </c>
      <c r="AE275" s="319">
        <f>IF(AND('Ações'!AW277="sim", 'Ações'!BG277="sim"), 1, 0)
</f>
        <v>0</v>
      </c>
      <c r="AF275" s="319">
        <f>IF(AND('Ações'!AW277="sim", 'Ações'!BI277="sim"), 1, 0)
</f>
        <v>0</v>
      </c>
      <c r="AG275" s="319">
        <f>IF(AND('Ações'!AX277="sim", 'Ações'!BD277="sim"), 1, 0)
</f>
        <v>0</v>
      </c>
      <c r="AH275" s="319">
        <f>IF(AND('Ações'!AX277="sim", 'Ações'!BE277="sim"), 1, 0)
</f>
        <v>0</v>
      </c>
      <c r="AI275" s="319">
        <f>IF(AND('Ações'!AX277="sim", 'Ações'!BF277="sim"), 1, 0)
</f>
        <v>0</v>
      </c>
      <c r="AJ275" s="319">
        <f>IF(AND('Ações'!AX277="sim", 'Ações'!BG277="sim"), 1, 0)
</f>
        <v>0</v>
      </c>
      <c r="AK275" s="319">
        <f>IF(AND('Ações'!AX277="sim", 'Ações'!BH277="sim"), 1, 0)
</f>
        <v>0</v>
      </c>
    </row>
    <row r="276">
      <c r="B276" s="319">
        <f>IF(AND('Ações'!AS278="sim", 'Ações'!BD278="sim"), 1, 0)
</f>
        <v>0</v>
      </c>
      <c r="C276" s="319">
        <f>IF(AND('Ações'!AT278="sim", 'Ações'!BE278="sim"), 1, 0)
</f>
        <v>0</v>
      </c>
      <c r="D276" s="319">
        <f>IF(AND('Ações'!AU278="sim", 'Ações'!BF278="sim"), 1, 0)
</f>
        <v>0</v>
      </c>
      <c r="E276" s="319">
        <f>IF(AND('Ações'!AV278="sim", 'Ações'!BG278="sim"), 1, 0)
</f>
        <v>0</v>
      </c>
      <c r="F276" s="319">
        <f>IF(AND('Ações'!AW278="sim", 'Ações'!BH278="sim"), 1, 0)
</f>
        <v>0</v>
      </c>
      <c r="G276" s="319">
        <f>IF(AND('Ações'!AX278="sim", 'Ações'!BI278="sim"), 1, 0)
</f>
        <v>0</v>
      </c>
      <c r="H276" s="319">
        <f>IF(AND('Ações'!AS278="sim", 'Ações'!BE278="sim"), 1, 0)
</f>
        <v>0</v>
      </c>
      <c r="I276" s="319">
        <f>IF(AND('Ações'!AS278="sim", 'Ações'!BF278="sim"), 1, 0)
</f>
        <v>0</v>
      </c>
      <c r="J276" s="319">
        <f>IF(AND('Ações'!AS278="sim", 'Ações'!BG278="sim"), 1, 0)
</f>
        <v>0</v>
      </c>
      <c r="K276" s="319">
        <f>IF(AND('Ações'!AS278="sim", 'Ações'!BH278="sim"), 1, 0)
</f>
        <v>0</v>
      </c>
      <c r="L276" s="319">
        <f>IF(AND('Ações'!AS278="sim", 'Ações'!BI278="sim"), 1, 0)
</f>
        <v>0</v>
      </c>
      <c r="M276" s="319">
        <f>IF(AND('Ações'!AT278="sim", 'Ações'!BD278="sim"), 1, 0)
</f>
        <v>0</v>
      </c>
      <c r="N276" s="319">
        <f>IF(AND('Ações'!AT278="sim", 'Ações'!BF278="sim"), 1, 0)
</f>
        <v>0</v>
      </c>
      <c r="O276" s="319">
        <f>IF(AND('Ações'!AT278="sim", 'Ações'!BG278="sim"), 1, 0)
</f>
        <v>0</v>
      </c>
      <c r="P276" s="319">
        <f>IF(AND('Ações'!AT278="sim", 'Ações'!BH278="sim"), 1, 0)
</f>
        <v>0</v>
      </c>
      <c r="Q276" s="319">
        <f>IF(AND('Ações'!AT278="sim", 'Ações'!BI278="sim"), 1, 0)
</f>
        <v>0</v>
      </c>
      <c r="R276" s="319">
        <f>IF(AND('Ações'!AU278="sim", 'Ações'!BD278="sim"), 1, 0)
</f>
        <v>1</v>
      </c>
      <c r="S276" s="319">
        <f>IF(AND('Ações'!AU278="sim", 'Ações'!BE278="sim"), 1, 0)
</f>
        <v>0</v>
      </c>
      <c r="T276" s="319">
        <f>IF(AND('Ações'!AU278="sim", 'Ações'!BG278="sim"), 1, 0)
</f>
        <v>0</v>
      </c>
      <c r="U276" s="319">
        <f>IF(AND('Ações'!AU278="sim", 'Ações'!BH278="sim"), 1, 0)
</f>
        <v>0</v>
      </c>
      <c r="V276" s="319">
        <f>IF(AND('Ações'!AU278="sim", 'Ações'!BI278="sim"), 1, 0)
</f>
        <v>0</v>
      </c>
      <c r="W276" s="319">
        <f>IF(AND('Ações'!AV278="sim", 'Ações'!BD278="sim"), 1, 0)
</f>
        <v>1</v>
      </c>
      <c r="X276" s="319">
        <f>IF(AND('Ações'!AV278="sim", 'Ações'!BE278="sim"), 1, 0)
</f>
        <v>0</v>
      </c>
      <c r="Y276" s="319">
        <f>IF(AND('Ações'!AV278="sim", 'Ações'!BF278="sim"), 1, 0)
</f>
        <v>0</v>
      </c>
      <c r="Z276" s="319">
        <f>IF(AND('Ações'!AV278="sim", 'Ações'!BH278="sim"), 1, 0)
</f>
        <v>0</v>
      </c>
      <c r="AA276" s="319">
        <f>IF(AND('Ações'!AV278="sim", 'Ações'!BI278="sim"), 1, 0)
</f>
        <v>0</v>
      </c>
      <c r="AB276" s="319">
        <f>IF(AND('Ações'!AW278="sim", 'Ações'!BD278="sim"), 1, 0)
</f>
        <v>1</v>
      </c>
      <c r="AC276" s="319">
        <f>IF(AND('Ações'!AW278="sim", 'Ações'!BE278="sim"), 1, 0)
</f>
        <v>0</v>
      </c>
      <c r="AD276" s="319">
        <f>IF(AND('Ações'!AW278="sim", 'Ações'!BF278="sim"), 1, 0)
</f>
        <v>0</v>
      </c>
      <c r="AE276" s="319">
        <f>IF(AND('Ações'!AW278="sim", 'Ações'!BG278="sim"), 1, 0)
</f>
        <v>0</v>
      </c>
      <c r="AF276" s="319">
        <f>IF(AND('Ações'!AW278="sim", 'Ações'!BI278="sim"), 1, 0)
</f>
        <v>0</v>
      </c>
      <c r="AG276" s="319">
        <f>IF(AND('Ações'!AX278="sim", 'Ações'!BD278="sim"), 1, 0)
</f>
        <v>0</v>
      </c>
      <c r="AH276" s="319">
        <f>IF(AND('Ações'!AX278="sim", 'Ações'!BE278="sim"), 1, 0)
</f>
        <v>0</v>
      </c>
      <c r="AI276" s="319">
        <f>IF(AND('Ações'!AX278="sim", 'Ações'!BF278="sim"), 1, 0)
</f>
        <v>0</v>
      </c>
      <c r="AJ276" s="319">
        <f>IF(AND('Ações'!AX278="sim", 'Ações'!BG278="sim"), 1, 0)
</f>
        <v>0</v>
      </c>
      <c r="AK276" s="319">
        <f>IF(AND('Ações'!AX278="sim", 'Ações'!BH278="sim"), 1, 0)
</f>
        <v>0</v>
      </c>
    </row>
    <row r="277">
      <c r="B277" s="319">
        <f>IF(AND('Ações'!AS279="sim", 'Ações'!BD279="sim"), 1, 0)
</f>
        <v>0</v>
      </c>
      <c r="C277" s="319">
        <f>IF(AND('Ações'!AT279="sim", 'Ações'!BE279="sim"), 1, 0)
</f>
        <v>0</v>
      </c>
      <c r="D277" s="319">
        <f>IF(AND('Ações'!AU279="sim", 'Ações'!BF279="sim"), 1, 0)
</f>
        <v>0</v>
      </c>
      <c r="E277" s="319">
        <f>IF(AND('Ações'!AV279="sim", 'Ações'!BG279="sim"), 1, 0)
</f>
        <v>0</v>
      </c>
      <c r="F277" s="319">
        <f>IF(AND('Ações'!AW279="sim", 'Ações'!BH279="sim"), 1, 0)
</f>
        <v>0</v>
      </c>
      <c r="G277" s="319">
        <f>IF(AND('Ações'!AX279="sim", 'Ações'!BI279="sim"), 1, 0)
</f>
        <v>0</v>
      </c>
      <c r="H277" s="319">
        <f>IF(AND('Ações'!AS279="sim", 'Ações'!BE279="sim"), 1, 0)
</f>
        <v>0</v>
      </c>
      <c r="I277" s="319">
        <f>IF(AND('Ações'!AS279="sim", 'Ações'!BF279="sim"), 1, 0)
</f>
        <v>0</v>
      </c>
      <c r="J277" s="319">
        <f>IF(AND('Ações'!AS279="sim", 'Ações'!BG279="sim"), 1, 0)
</f>
        <v>0</v>
      </c>
      <c r="K277" s="319">
        <f>IF(AND('Ações'!AS279="sim", 'Ações'!BH279="sim"), 1, 0)
</f>
        <v>0</v>
      </c>
      <c r="L277" s="319">
        <f>IF(AND('Ações'!AS279="sim", 'Ações'!BI279="sim"), 1, 0)
</f>
        <v>0</v>
      </c>
      <c r="M277" s="319">
        <f>IF(AND('Ações'!AT279="sim", 'Ações'!BD279="sim"), 1, 0)
</f>
        <v>0</v>
      </c>
      <c r="N277" s="319">
        <f>IF(AND('Ações'!AT279="sim", 'Ações'!BF279="sim"), 1, 0)
</f>
        <v>0</v>
      </c>
      <c r="O277" s="319">
        <f>IF(AND('Ações'!AT279="sim", 'Ações'!BG279="sim"), 1, 0)
</f>
        <v>0</v>
      </c>
      <c r="P277" s="319">
        <f>IF(AND('Ações'!AT279="sim", 'Ações'!BH279="sim"), 1, 0)
</f>
        <v>0</v>
      </c>
      <c r="Q277" s="319">
        <f>IF(AND('Ações'!AT279="sim", 'Ações'!BI279="sim"), 1, 0)
</f>
        <v>0</v>
      </c>
      <c r="R277" s="319">
        <f>IF(AND('Ações'!AU279="sim", 'Ações'!BD279="sim"), 1, 0)
</f>
        <v>1</v>
      </c>
      <c r="S277" s="319">
        <f>IF(AND('Ações'!AU279="sim", 'Ações'!BE279="sim"), 1, 0)
</f>
        <v>0</v>
      </c>
      <c r="T277" s="319">
        <f>IF(AND('Ações'!AU279="sim", 'Ações'!BG279="sim"), 1, 0)
</f>
        <v>0</v>
      </c>
      <c r="U277" s="319">
        <f>IF(AND('Ações'!AU279="sim", 'Ações'!BH279="sim"), 1, 0)
</f>
        <v>0</v>
      </c>
      <c r="V277" s="319">
        <f>IF(AND('Ações'!AU279="sim", 'Ações'!BI279="sim"), 1, 0)
</f>
        <v>0</v>
      </c>
      <c r="W277" s="319">
        <f>IF(AND('Ações'!AV279="sim", 'Ações'!BD279="sim"), 1, 0)
</f>
        <v>1</v>
      </c>
      <c r="X277" s="319">
        <f>IF(AND('Ações'!AV279="sim", 'Ações'!BE279="sim"), 1, 0)
</f>
        <v>0</v>
      </c>
      <c r="Y277" s="319">
        <f>IF(AND('Ações'!AV279="sim", 'Ações'!BF279="sim"), 1, 0)
</f>
        <v>0</v>
      </c>
      <c r="Z277" s="319">
        <f>IF(AND('Ações'!AV279="sim", 'Ações'!BH279="sim"), 1, 0)
</f>
        <v>0</v>
      </c>
      <c r="AA277" s="319">
        <f>IF(AND('Ações'!AV279="sim", 'Ações'!BI279="sim"), 1, 0)
</f>
        <v>0</v>
      </c>
      <c r="AB277" s="319">
        <f>IF(AND('Ações'!AW279="sim", 'Ações'!BD279="sim"), 1, 0)
</f>
        <v>1</v>
      </c>
      <c r="AC277" s="319">
        <f>IF(AND('Ações'!AW279="sim", 'Ações'!BE279="sim"), 1, 0)
</f>
        <v>0</v>
      </c>
      <c r="AD277" s="319">
        <f>IF(AND('Ações'!AW279="sim", 'Ações'!BF279="sim"), 1, 0)
</f>
        <v>0</v>
      </c>
      <c r="AE277" s="319">
        <f>IF(AND('Ações'!AW279="sim", 'Ações'!BG279="sim"), 1, 0)
</f>
        <v>0</v>
      </c>
      <c r="AF277" s="319">
        <f>IF(AND('Ações'!AW279="sim", 'Ações'!BI279="sim"), 1, 0)
</f>
        <v>0</v>
      </c>
      <c r="AG277" s="319">
        <f>IF(AND('Ações'!AX279="sim", 'Ações'!BD279="sim"), 1, 0)
</f>
        <v>0</v>
      </c>
      <c r="AH277" s="319">
        <f>IF(AND('Ações'!AX279="sim", 'Ações'!BE279="sim"), 1, 0)
</f>
        <v>0</v>
      </c>
      <c r="AI277" s="319">
        <f>IF(AND('Ações'!AX279="sim", 'Ações'!BF279="sim"), 1, 0)
</f>
        <v>0</v>
      </c>
      <c r="AJ277" s="319">
        <f>IF(AND('Ações'!AX279="sim", 'Ações'!BG279="sim"), 1, 0)
</f>
        <v>0</v>
      </c>
      <c r="AK277" s="319">
        <f>IF(AND('Ações'!AX279="sim", 'Ações'!BH279="sim"), 1, 0)
</f>
        <v>0</v>
      </c>
    </row>
    <row r="278">
      <c r="B278" s="319">
        <f>IF(AND('Ações'!AS280="sim", 'Ações'!BD280="sim"), 1, 0)
</f>
        <v>0</v>
      </c>
      <c r="C278" s="319">
        <f>IF(AND('Ações'!AT280="sim", 'Ações'!BE280="sim"), 1, 0)
</f>
        <v>0</v>
      </c>
      <c r="D278" s="319">
        <f>IF(AND('Ações'!AU280="sim", 'Ações'!BF280="sim"), 1, 0)
</f>
        <v>0</v>
      </c>
      <c r="E278" s="319">
        <f>IF(AND('Ações'!AV280="sim", 'Ações'!BG280="sim"), 1, 0)
</f>
        <v>0</v>
      </c>
      <c r="F278" s="319">
        <f>IF(AND('Ações'!AW280="sim", 'Ações'!BH280="sim"), 1, 0)
</f>
        <v>0</v>
      </c>
      <c r="G278" s="319">
        <f>IF(AND('Ações'!AX280="sim", 'Ações'!BI280="sim"), 1, 0)
</f>
        <v>0</v>
      </c>
      <c r="H278" s="319">
        <f>IF(AND('Ações'!AS280="sim", 'Ações'!BE280="sim"), 1, 0)
</f>
        <v>0</v>
      </c>
      <c r="I278" s="319">
        <f>IF(AND('Ações'!AS280="sim", 'Ações'!BF280="sim"), 1, 0)
</f>
        <v>0</v>
      </c>
      <c r="J278" s="319">
        <f>IF(AND('Ações'!AS280="sim", 'Ações'!BG280="sim"), 1, 0)
</f>
        <v>0</v>
      </c>
      <c r="K278" s="319">
        <f>IF(AND('Ações'!AS280="sim", 'Ações'!BH280="sim"), 1, 0)
</f>
        <v>0</v>
      </c>
      <c r="L278" s="319">
        <f>IF(AND('Ações'!AS280="sim", 'Ações'!BI280="sim"), 1, 0)
</f>
        <v>0</v>
      </c>
      <c r="M278" s="319">
        <f>IF(AND('Ações'!AT280="sim", 'Ações'!BD280="sim"), 1, 0)
</f>
        <v>0</v>
      </c>
      <c r="N278" s="319">
        <f>IF(AND('Ações'!AT280="sim", 'Ações'!BF280="sim"), 1, 0)
</f>
        <v>0</v>
      </c>
      <c r="O278" s="319">
        <f>IF(AND('Ações'!AT280="sim", 'Ações'!BG280="sim"), 1, 0)
</f>
        <v>0</v>
      </c>
      <c r="P278" s="319">
        <f>IF(AND('Ações'!AT280="sim", 'Ações'!BH280="sim"), 1, 0)
</f>
        <v>0</v>
      </c>
      <c r="Q278" s="319">
        <f>IF(AND('Ações'!AT280="sim", 'Ações'!BI280="sim"), 1, 0)
</f>
        <v>0</v>
      </c>
      <c r="R278" s="319">
        <f>IF(AND('Ações'!AU280="sim", 'Ações'!BD280="sim"), 1, 0)
</f>
        <v>1</v>
      </c>
      <c r="S278" s="319">
        <f>IF(AND('Ações'!AU280="sim", 'Ações'!BE280="sim"), 1, 0)
</f>
        <v>0</v>
      </c>
      <c r="T278" s="319">
        <f>IF(AND('Ações'!AU280="sim", 'Ações'!BG280="sim"), 1, 0)
</f>
        <v>0</v>
      </c>
      <c r="U278" s="319">
        <f>IF(AND('Ações'!AU280="sim", 'Ações'!BH280="sim"), 1, 0)
</f>
        <v>0</v>
      </c>
      <c r="V278" s="319">
        <f>IF(AND('Ações'!AU280="sim", 'Ações'!BI280="sim"), 1, 0)
</f>
        <v>0</v>
      </c>
      <c r="W278" s="319">
        <f>IF(AND('Ações'!AV280="sim", 'Ações'!BD280="sim"), 1, 0)
</f>
        <v>1</v>
      </c>
      <c r="X278" s="319">
        <f>IF(AND('Ações'!AV280="sim", 'Ações'!BE280="sim"), 1, 0)
</f>
        <v>0</v>
      </c>
      <c r="Y278" s="319">
        <f>IF(AND('Ações'!AV280="sim", 'Ações'!BF280="sim"), 1, 0)
</f>
        <v>0</v>
      </c>
      <c r="Z278" s="319">
        <f>IF(AND('Ações'!AV280="sim", 'Ações'!BH280="sim"), 1, 0)
</f>
        <v>0</v>
      </c>
      <c r="AA278" s="319">
        <f>IF(AND('Ações'!AV280="sim", 'Ações'!BI280="sim"), 1, 0)
</f>
        <v>0</v>
      </c>
      <c r="AB278" s="319">
        <f>IF(AND('Ações'!AW280="sim", 'Ações'!BD280="sim"), 1, 0)
</f>
        <v>1</v>
      </c>
      <c r="AC278" s="319">
        <f>IF(AND('Ações'!AW280="sim", 'Ações'!BE280="sim"), 1, 0)
</f>
        <v>0</v>
      </c>
      <c r="AD278" s="319">
        <f>IF(AND('Ações'!AW280="sim", 'Ações'!BF280="sim"), 1, 0)
</f>
        <v>0</v>
      </c>
      <c r="AE278" s="319">
        <f>IF(AND('Ações'!AW280="sim", 'Ações'!BG280="sim"), 1, 0)
</f>
        <v>0</v>
      </c>
      <c r="AF278" s="319">
        <f>IF(AND('Ações'!AW280="sim", 'Ações'!BI280="sim"), 1, 0)
</f>
        <v>0</v>
      </c>
      <c r="AG278" s="319">
        <f>IF(AND('Ações'!AX280="sim", 'Ações'!BD280="sim"), 1, 0)
</f>
        <v>0</v>
      </c>
      <c r="AH278" s="319">
        <f>IF(AND('Ações'!AX280="sim", 'Ações'!BE280="sim"), 1, 0)
</f>
        <v>0</v>
      </c>
      <c r="AI278" s="319">
        <f>IF(AND('Ações'!AX280="sim", 'Ações'!BF280="sim"), 1, 0)
</f>
        <v>0</v>
      </c>
      <c r="AJ278" s="319">
        <f>IF(AND('Ações'!AX280="sim", 'Ações'!BG280="sim"), 1, 0)
</f>
        <v>0</v>
      </c>
      <c r="AK278" s="319">
        <f>IF(AND('Ações'!AX280="sim", 'Ações'!BH280="sim"), 1, 0)
</f>
        <v>0</v>
      </c>
    </row>
    <row r="279">
      <c r="B279" s="319">
        <f>IF(AND('Ações'!AS281="sim", 'Ações'!BD281="sim"), 1, 0)
</f>
        <v>0</v>
      </c>
      <c r="C279" s="319">
        <f>IF(AND('Ações'!AT281="sim", 'Ações'!BE281="sim"), 1, 0)
</f>
        <v>0</v>
      </c>
      <c r="D279" s="319">
        <f>IF(AND('Ações'!AU281="sim", 'Ações'!BF281="sim"), 1, 0)
</f>
        <v>0</v>
      </c>
      <c r="E279" s="319">
        <f>IF(AND('Ações'!AV281="sim", 'Ações'!BG281="sim"), 1, 0)
</f>
        <v>0</v>
      </c>
      <c r="F279" s="319">
        <f>IF(AND('Ações'!AW281="sim", 'Ações'!BH281="sim"), 1, 0)
</f>
        <v>0</v>
      </c>
      <c r="G279" s="319">
        <f>IF(AND('Ações'!AX281="sim", 'Ações'!BI281="sim"), 1, 0)
</f>
        <v>0</v>
      </c>
      <c r="H279" s="319">
        <f>IF(AND('Ações'!AS281="sim", 'Ações'!BE281="sim"), 1, 0)
</f>
        <v>0</v>
      </c>
      <c r="I279" s="319">
        <f>IF(AND('Ações'!AS281="sim", 'Ações'!BF281="sim"), 1, 0)
</f>
        <v>0</v>
      </c>
      <c r="J279" s="319">
        <f>IF(AND('Ações'!AS281="sim", 'Ações'!BG281="sim"), 1, 0)
</f>
        <v>0</v>
      </c>
      <c r="K279" s="319">
        <f>IF(AND('Ações'!AS281="sim", 'Ações'!BH281="sim"), 1, 0)
</f>
        <v>0</v>
      </c>
      <c r="L279" s="319">
        <f>IF(AND('Ações'!AS281="sim", 'Ações'!BI281="sim"), 1, 0)
</f>
        <v>0</v>
      </c>
      <c r="M279" s="319">
        <f>IF(AND('Ações'!AT281="sim", 'Ações'!BD281="sim"), 1, 0)
</f>
        <v>0</v>
      </c>
      <c r="N279" s="319">
        <f>IF(AND('Ações'!AT281="sim", 'Ações'!BF281="sim"), 1, 0)
</f>
        <v>0</v>
      </c>
      <c r="O279" s="319">
        <f>IF(AND('Ações'!AT281="sim", 'Ações'!BG281="sim"), 1, 0)
</f>
        <v>0</v>
      </c>
      <c r="P279" s="319">
        <f>IF(AND('Ações'!AT281="sim", 'Ações'!BH281="sim"), 1, 0)
</f>
        <v>0</v>
      </c>
      <c r="Q279" s="319">
        <f>IF(AND('Ações'!AT281="sim", 'Ações'!BI281="sim"), 1, 0)
</f>
        <v>0</v>
      </c>
      <c r="R279" s="319">
        <f>IF(AND('Ações'!AU281="sim", 'Ações'!BD281="sim"), 1, 0)
</f>
        <v>1</v>
      </c>
      <c r="S279" s="319">
        <f>IF(AND('Ações'!AU281="sim", 'Ações'!BE281="sim"), 1, 0)
</f>
        <v>0</v>
      </c>
      <c r="T279" s="319">
        <f>IF(AND('Ações'!AU281="sim", 'Ações'!BG281="sim"), 1, 0)
</f>
        <v>0</v>
      </c>
      <c r="U279" s="319">
        <f>IF(AND('Ações'!AU281="sim", 'Ações'!BH281="sim"), 1, 0)
</f>
        <v>0</v>
      </c>
      <c r="V279" s="319">
        <f>IF(AND('Ações'!AU281="sim", 'Ações'!BI281="sim"), 1, 0)
</f>
        <v>0</v>
      </c>
      <c r="W279" s="319">
        <f>IF(AND('Ações'!AV281="sim", 'Ações'!BD281="sim"), 1, 0)
</f>
        <v>1</v>
      </c>
      <c r="X279" s="319">
        <f>IF(AND('Ações'!AV281="sim", 'Ações'!BE281="sim"), 1, 0)
</f>
        <v>0</v>
      </c>
      <c r="Y279" s="319">
        <f>IF(AND('Ações'!AV281="sim", 'Ações'!BF281="sim"), 1, 0)
</f>
        <v>0</v>
      </c>
      <c r="Z279" s="319">
        <f>IF(AND('Ações'!AV281="sim", 'Ações'!BH281="sim"), 1, 0)
</f>
        <v>0</v>
      </c>
      <c r="AA279" s="319">
        <f>IF(AND('Ações'!AV281="sim", 'Ações'!BI281="sim"), 1, 0)
</f>
        <v>0</v>
      </c>
      <c r="AB279" s="319">
        <f>IF(AND('Ações'!AW281="sim", 'Ações'!BD281="sim"), 1, 0)
</f>
        <v>1</v>
      </c>
      <c r="AC279" s="319">
        <f>IF(AND('Ações'!AW281="sim", 'Ações'!BE281="sim"), 1, 0)
</f>
        <v>0</v>
      </c>
      <c r="AD279" s="319">
        <f>IF(AND('Ações'!AW281="sim", 'Ações'!BF281="sim"), 1, 0)
</f>
        <v>0</v>
      </c>
      <c r="AE279" s="319">
        <f>IF(AND('Ações'!AW281="sim", 'Ações'!BG281="sim"), 1, 0)
</f>
        <v>0</v>
      </c>
      <c r="AF279" s="319">
        <f>IF(AND('Ações'!AW281="sim", 'Ações'!BI281="sim"), 1, 0)
</f>
        <v>0</v>
      </c>
      <c r="AG279" s="319">
        <f>IF(AND('Ações'!AX281="sim", 'Ações'!BD281="sim"), 1, 0)
</f>
        <v>0</v>
      </c>
      <c r="AH279" s="319">
        <f>IF(AND('Ações'!AX281="sim", 'Ações'!BE281="sim"), 1, 0)
</f>
        <v>0</v>
      </c>
      <c r="AI279" s="319">
        <f>IF(AND('Ações'!AX281="sim", 'Ações'!BF281="sim"), 1, 0)
</f>
        <v>0</v>
      </c>
      <c r="AJ279" s="319">
        <f>IF(AND('Ações'!AX281="sim", 'Ações'!BG281="sim"), 1, 0)
</f>
        <v>0</v>
      </c>
      <c r="AK279" s="319">
        <f>IF(AND('Ações'!AX281="sim", 'Ações'!BH281="sim"), 1, 0)
</f>
        <v>0</v>
      </c>
    </row>
    <row r="280">
      <c r="B280" s="319">
        <f>IF(AND('Ações'!AS282="sim", 'Ações'!BD282="sim"), 1, 0)
</f>
        <v>0</v>
      </c>
      <c r="C280" s="319">
        <f>IF(AND('Ações'!AT282="sim", 'Ações'!BE282="sim"), 1, 0)
</f>
        <v>0</v>
      </c>
      <c r="D280" s="319">
        <f>IF(AND('Ações'!AU282="sim", 'Ações'!BF282="sim"), 1, 0)
</f>
        <v>0</v>
      </c>
      <c r="E280" s="319">
        <f>IF(AND('Ações'!AV282="sim", 'Ações'!BG282="sim"), 1, 0)
</f>
        <v>0</v>
      </c>
      <c r="F280" s="319">
        <f>IF(AND('Ações'!AW282="sim", 'Ações'!BH282="sim"), 1, 0)
</f>
        <v>0</v>
      </c>
      <c r="G280" s="319">
        <f>IF(AND('Ações'!AX282="sim", 'Ações'!BI282="sim"), 1, 0)
</f>
        <v>0</v>
      </c>
      <c r="H280" s="319">
        <f>IF(AND('Ações'!AS282="sim", 'Ações'!BE282="sim"), 1, 0)
</f>
        <v>0</v>
      </c>
      <c r="I280" s="319">
        <f>IF(AND('Ações'!AS282="sim", 'Ações'!BF282="sim"), 1, 0)
</f>
        <v>0</v>
      </c>
      <c r="J280" s="319">
        <f>IF(AND('Ações'!AS282="sim", 'Ações'!BG282="sim"), 1, 0)
</f>
        <v>0</v>
      </c>
      <c r="K280" s="319">
        <f>IF(AND('Ações'!AS282="sim", 'Ações'!BH282="sim"), 1, 0)
</f>
        <v>0</v>
      </c>
      <c r="L280" s="319">
        <f>IF(AND('Ações'!AS282="sim", 'Ações'!BI282="sim"), 1, 0)
</f>
        <v>0</v>
      </c>
      <c r="M280" s="319">
        <f>IF(AND('Ações'!AT282="sim", 'Ações'!BD282="sim"), 1, 0)
</f>
        <v>0</v>
      </c>
      <c r="N280" s="319">
        <f>IF(AND('Ações'!AT282="sim", 'Ações'!BF282="sim"), 1, 0)
</f>
        <v>0</v>
      </c>
      <c r="O280" s="319">
        <f>IF(AND('Ações'!AT282="sim", 'Ações'!BG282="sim"), 1, 0)
</f>
        <v>0</v>
      </c>
      <c r="P280" s="319">
        <f>IF(AND('Ações'!AT282="sim", 'Ações'!BH282="sim"), 1, 0)
</f>
        <v>0</v>
      </c>
      <c r="Q280" s="319">
        <f>IF(AND('Ações'!AT282="sim", 'Ações'!BI282="sim"), 1, 0)
</f>
        <v>0</v>
      </c>
      <c r="R280" s="319">
        <f>IF(AND('Ações'!AU282="sim", 'Ações'!BD282="sim"), 1, 0)
</f>
        <v>0</v>
      </c>
      <c r="S280" s="319">
        <f>IF(AND('Ações'!AU282="sim", 'Ações'!BE282="sim"), 1, 0)
</f>
        <v>0</v>
      </c>
      <c r="T280" s="319">
        <f>IF(AND('Ações'!AU282="sim", 'Ações'!BG282="sim"), 1, 0)
</f>
        <v>0</v>
      </c>
      <c r="U280" s="319">
        <f>IF(AND('Ações'!AU282="sim", 'Ações'!BH282="sim"), 1, 0)
</f>
        <v>0</v>
      </c>
      <c r="V280" s="319">
        <f>IF(AND('Ações'!AU282="sim", 'Ações'!BI282="sim"), 1, 0)
</f>
        <v>0</v>
      </c>
      <c r="W280" s="319">
        <f>IF(AND('Ações'!AV282="sim", 'Ações'!BD282="sim"), 1, 0)
</f>
        <v>0</v>
      </c>
      <c r="X280" s="319">
        <f>IF(AND('Ações'!AV282="sim", 'Ações'!BE282="sim"), 1, 0)
</f>
        <v>0</v>
      </c>
      <c r="Y280" s="319">
        <f>IF(AND('Ações'!AV282="sim", 'Ações'!BF282="sim"), 1, 0)
</f>
        <v>0</v>
      </c>
      <c r="Z280" s="319">
        <f>IF(AND('Ações'!AV282="sim", 'Ações'!BH282="sim"), 1, 0)
</f>
        <v>0</v>
      </c>
      <c r="AA280" s="319">
        <f>IF(AND('Ações'!AV282="sim", 'Ações'!BI282="sim"), 1, 0)
</f>
        <v>0</v>
      </c>
      <c r="AB280" s="319">
        <f>IF(AND('Ações'!AW282="sim", 'Ações'!BD282="sim"), 1, 0)
</f>
        <v>0</v>
      </c>
      <c r="AC280" s="319">
        <f>IF(AND('Ações'!AW282="sim", 'Ações'!BE282="sim"), 1, 0)
</f>
        <v>0</v>
      </c>
      <c r="AD280" s="319">
        <f>IF(AND('Ações'!AW282="sim", 'Ações'!BF282="sim"), 1, 0)
</f>
        <v>0</v>
      </c>
      <c r="AE280" s="319">
        <f>IF(AND('Ações'!AW282="sim", 'Ações'!BG282="sim"), 1, 0)
</f>
        <v>0</v>
      </c>
      <c r="AF280" s="319">
        <f>IF(AND('Ações'!AW282="sim", 'Ações'!BI282="sim"), 1, 0)
</f>
        <v>0</v>
      </c>
      <c r="AG280" s="319">
        <f>IF(AND('Ações'!AX282="sim", 'Ações'!BD282="sim"), 1, 0)
</f>
        <v>0</v>
      </c>
      <c r="AH280" s="319">
        <f>IF(AND('Ações'!AX282="sim", 'Ações'!BE282="sim"), 1, 0)
</f>
        <v>0</v>
      </c>
      <c r="AI280" s="319">
        <f>IF(AND('Ações'!AX282="sim", 'Ações'!BF282="sim"), 1, 0)
</f>
        <v>0</v>
      </c>
      <c r="AJ280" s="319">
        <f>IF(AND('Ações'!AX282="sim", 'Ações'!BG282="sim"), 1, 0)
</f>
        <v>0</v>
      </c>
      <c r="AK280" s="319">
        <f>IF(AND('Ações'!AX282="sim", 'Ações'!BH282="sim"), 1, 0)
</f>
        <v>0</v>
      </c>
    </row>
    <row r="281">
      <c r="B281" s="319">
        <f>IF(AND('Ações'!AS283="sim", 'Ações'!BD283="sim"), 1, 0)
</f>
        <v>0</v>
      </c>
      <c r="C281" s="319">
        <f>IF(AND('Ações'!AT283="sim", 'Ações'!BE283="sim"), 1, 0)
</f>
        <v>0</v>
      </c>
      <c r="D281" s="319">
        <f>IF(AND('Ações'!AU283="sim", 'Ações'!BF283="sim"), 1, 0)
</f>
        <v>0</v>
      </c>
      <c r="E281" s="319">
        <f>IF(AND('Ações'!AV283="sim", 'Ações'!BG283="sim"), 1, 0)
</f>
        <v>0</v>
      </c>
      <c r="F281" s="319">
        <f>IF(AND('Ações'!AW283="sim", 'Ações'!BH283="sim"), 1, 0)
</f>
        <v>0</v>
      </c>
      <c r="G281" s="319">
        <f>IF(AND('Ações'!AX283="sim", 'Ações'!BI283="sim"), 1, 0)
</f>
        <v>0</v>
      </c>
      <c r="H281" s="319">
        <f>IF(AND('Ações'!AS283="sim", 'Ações'!BE283="sim"), 1, 0)
</f>
        <v>0</v>
      </c>
      <c r="I281" s="319">
        <f>IF(AND('Ações'!AS283="sim", 'Ações'!BF283="sim"), 1, 0)
</f>
        <v>0</v>
      </c>
      <c r="J281" s="319">
        <f>IF(AND('Ações'!AS283="sim", 'Ações'!BG283="sim"), 1, 0)
</f>
        <v>0</v>
      </c>
      <c r="K281" s="319">
        <f>IF(AND('Ações'!AS283="sim", 'Ações'!BH283="sim"), 1, 0)
</f>
        <v>0</v>
      </c>
      <c r="L281" s="319">
        <f>IF(AND('Ações'!AS283="sim", 'Ações'!BI283="sim"), 1, 0)
</f>
        <v>0</v>
      </c>
      <c r="M281" s="319">
        <f>IF(AND('Ações'!AT283="sim", 'Ações'!BD283="sim"), 1, 0)
</f>
        <v>0</v>
      </c>
      <c r="N281" s="319">
        <f>IF(AND('Ações'!AT283="sim", 'Ações'!BF283="sim"), 1, 0)
</f>
        <v>0</v>
      </c>
      <c r="O281" s="319">
        <f>IF(AND('Ações'!AT283="sim", 'Ações'!BG283="sim"), 1, 0)
</f>
        <v>0</v>
      </c>
      <c r="P281" s="319">
        <f>IF(AND('Ações'!AT283="sim", 'Ações'!BH283="sim"), 1, 0)
</f>
        <v>0</v>
      </c>
      <c r="Q281" s="319">
        <f>IF(AND('Ações'!AT283="sim", 'Ações'!BI283="sim"), 1, 0)
</f>
        <v>0</v>
      </c>
      <c r="R281" s="319">
        <f>IF(AND('Ações'!AU283="sim", 'Ações'!BD283="sim"), 1, 0)
</f>
        <v>0</v>
      </c>
      <c r="S281" s="319">
        <f>IF(AND('Ações'!AU283="sim", 'Ações'!BE283="sim"), 1, 0)
</f>
        <v>0</v>
      </c>
      <c r="T281" s="319">
        <f>IF(AND('Ações'!AU283="sim", 'Ações'!BG283="sim"), 1, 0)
</f>
        <v>0</v>
      </c>
      <c r="U281" s="319">
        <f>IF(AND('Ações'!AU283="sim", 'Ações'!BH283="sim"), 1, 0)
</f>
        <v>0</v>
      </c>
      <c r="V281" s="319">
        <f>IF(AND('Ações'!AU283="sim", 'Ações'!BI283="sim"), 1, 0)
</f>
        <v>0</v>
      </c>
      <c r="W281" s="319">
        <f>IF(AND('Ações'!AV283="sim", 'Ações'!BD283="sim"), 1, 0)
</f>
        <v>0</v>
      </c>
      <c r="X281" s="319">
        <f>IF(AND('Ações'!AV283="sim", 'Ações'!BE283="sim"), 1, 0)
</f>
        <v>0</v>
      </c>
      <c r="Y281" s="319">
        <f>IF(AND('Ações'!AV283="sim", 'Ações'!BF283="sim"), 1, 0)
</f>
        <v>0</v>
      </c>
      <c r="Z281" s="319">
        <f>IF(AND('Ações'!AV283="sim", 'Ações'!BH283="sim"), 1, 0)
</f>
        <v>0</v>
      </c>
      <c r="AA281" s="319">
        <f>IF(AND('Ações'!AV283="sim", 'Ações'!BI283="sim"), 1, 0)
</f>
        <v>0</v>
      </c>
      <c r="AB281" s="319">
        <f>IF(AND('Ações'!AW283="sim", 'Ações'!BD283="sim"), 1, 0)
</f>
        <v>0</v>
      </c>
      <c r="AC281" s="319">
        <f>IF(AND('Ações'!AW283="sim", 'Ações'!BE283="sim"), 1, 0)
</f>
        <v>0</v>
      </c>
      <c r="AD281" s="319">
        <f>IF(AND('Ações'!AW283="sim", 'Ações'!BF283="sim"), 1, 0)
</f>
        <v>0</v>
      </c>
      <c r="AE281" s="319">
        <f>IF(AND('Ações'!AW283="sim", 'Ações'!BG283="sim"), 1, 0)
</f>
        <v>0</v>
      </c>
      <c r="AF281" s="319">
        <f>IF(AND('Ações'!AW283="sim", 'Ações'!BI283="sim"), 1, 0)
</f>
        <v>0</v>
      </c>
      <c r="AG281" s="319">
        <f>IF(AND('Ações'!AX283="sim", 'Ações'!BD283="sim"), 1, 0)
</f>
        <v>0</v>
      </c>
      <c r="AH281" s="319">
        <f>IF(AND('Ações'!AX283="sim", 'Ações'!BE283="sim"), 1, 0)
</f>
        <v>0</v>
      </c>
      <c r="AI281" s="319">
        <f>IF(AND('Ações'!AX283="sim", 'Ações'!BF283="sim"), 1, 0)
</f>
        <v>0</v>
      </c>
      <c r="AJ281" s="319">
        <f>IF(AND('Ações'!AX283="sim", 'Ações'!BG283="sim"), 1, 0)
</f>
        <v>0</v>
      </c>
      <c r="AK281" s="319">
        <f>IF(AND('Ações'!AX283="sim", 'Ações'!BH283="sim"), 1, 0)
</f>
        <v>0</v>
      </c>
    </row>
    <row r="282">
      <c r="B282" s="319">
        <f>IF(AND('Ações'!AS284="sim", 'Ações'!BD284="sim"), 1, 0)
</f>
        <v>0</v>
      </c>
      <c r="C282" s="319">
        <f>IF(AND('Ações'!AT284="sim", 'Ações'!BE284="sim"), 1, 0)
</f>
        <v>0</v>
      </c>
      <c r="D282" s="319">
        <f>IF(AND('Ações'!AU284="sim", 'Ações'!BF284="sim"), 1, 0)
</f>
        <v>0</v>
      </c>
      <c r="E282" s="319">
        <f>IF(AND('Ações'!AV284="sim", 'Ações'!BG284="sim"), 1, 0)
</f>
        <v>0</v>
      </c>
      <c r="F282" s="319">
        <f>IF(AND('Ações'!AW284="sim", 'Ações'!BH284="sim"), 1, 0)
</f>
        <v>0</v>
      </c>
      <c r="G282" s="319">
        <f>IF(AND('Ações'!AX284="sim", 'Ações'!BI284="sim"), 1, 0)
</f>
        <v>0</v>
      </c>
      <c r="H282" s="319">
        <f>IF(AND('Ações'!AS284="sim", 'Ações'!BE284="sim"), 1, 0)
</f>
        <v>0</v>
      </c>
      <c r="I282" s="319">
        <f>IF(AND('Ações'!AS284="sim", 'Ações'!BF284="sim"), 1, 0)
</f>
        <v>0</v>
      </c>
      <c r="J282" s="319">
        <f>IF(AND('Ações'!AS284="sim", 'Ações'!BG284="sim"), 1, 0)
</f>
        <v>0</v>
      </c>
      <c r="K282" s="319">
        <f>IF(AND('Ações'!AS284="sim", 'Ações'!BH284="sim"), 1, 0)
</f>
        <v>0</v>
      </c>
      <c r="L282" s="319">
        <f>IF(AND('Ações'!AS284="sim", 'Ações'!BI284="sim"), 1, 0)
</f>
        <v>0</v>
      </c>
      <c r="M282" s="319">
        <f>IF(AND('Ações'!AT284="sim", 'Ações'!BD284="sim"), 1, 0)
</f>
        <v>0</v>
      </c>
      <c r="N282" s="319">
        <f>IF(AND('Ações'!AT284="sim", 'Ações'!BF284="sim"), 1, 0)
</f>
        <v>0</v>
      </c>
      <c r="O282" s="319">
        <f>IF(AND('Ações'!AT284="sim", 'Ações'!BG284="sim"), 1, 0)
</f>
        <v>0</v>
      </c>
      <c r="P282" s="319">
        <f>IF(AND('Ações'!AT284="sim", 'Ações'!BH284="sim"), 1, 0)
</f>
        <v>0</v>
      </c>
      <c r="Q282" s="319">
        <f>IF(AND('Ações'!AT284="sim", 'Ações'!BI284="sim"), 1, 0)
</f>
        <v>0</v>
      </c>
      <c r="R282" s="319">
        <f>IF(AND('Ações'!AU284="sim", 'Ações'!BD284="sim"), 1, 0)
</f>
        <v>0</v>
      </c>
      <c r="S282" s="319">
        <f>IF(AND('Ações'!AU284="sim", 'Ações'!BE284="sim"), 1, 0)
</f>
        <v>0</v>
      </c>
      <c r="T282" s="319">
        <f>IF(AND('Ações'!AU284="sim", 'Ações'!BG284="sim"), 1, 0)
</f>
        <v>0</v>
      </c>
      <c r="U282" s="319">
        <f>IF(AND('Ações'!AU284="sim", 'Ações'!BH284="sim"), 1, 0)
</f>
        <v>0</v>
      </c>
      <c r="V282" s="319">
        <f>IF(AND('Ações'!AU284="sim", 'Ações'!BI284="sim"), 1, 0)
</f>
        <v>0</v>
      </c>
      <c r="W282" s="319">
        <f>IF(AND('Ações'!AV284="sim", 'Ações'!BD284="sim"), 1, 0)
</f>
        <v>0</v>
      </c>
      <c r="X282" s="319">
        <f>IF(AND('Ações'!AV284="sim", 'Ações'!BE284="sim"), 1, 0)
</f>
        <v>0</v>
      </c>
      <c r="Y282" s="319">
        <f>IF(AND('Ações'!AV284="sim", 'Ações'!BF284="sim"), 1, 0)
</f>
        <v>0</v>
      </c>
      <c r="Z282" s="319">
        <f>IF(AND('Ações'!AV284="sim", 'Ações'!BH284="sim"), 1, 0)
</f>
        <v>0</v>
      </c>
      <c r="AA282" s="319">
        <f>IF(AND('Ações'!AV284="sim", 'Ações'!BI284="sim"), 1, 0)
</f>
        <v>0</v>
      </c>
      <c r="AB282" s="319">
        <f>IF(AND('Ações'!AW284="sim", 'Ações'!BD284="sim"), 1, 0)
</f>
        <v>0</v>
      </c>
      <c r="AC282" s="319">
        <f>IF(AND('Ações'!AW284="sim", 'Ações'!BE284="sim"), 1, 0)
</f>
        <v>0</v>
      </c>
      <c r="AD282" s="319">
        <f>IF(AND('Ações'!AW284="sim", 'Ações'!BF284="sim"), 1, 0)
</f>
        <v>0</v>
      </c>
      <c r="AE282" s="319">
        <f>IF(AND('Ações'!AW284="sim", 'Ações'!BG284="sim"), 1, 0)
</f>
        <v>0</v>
      </c>
      <c r="AF282" s="319">
        <f>IF(AND('Ações'!AW284="sim", 'Ações'!BI284="sim"), 1, 0)
</f>
        <v>0</v>
      </c>
      <c r="AG282" s="319">
        <f>IF(AND('Ações'!AX284="sim", 'Ações'!BD284="sim"), 1, 0)
</f>
        <v>0</v>
      </c>
      <c r="AH282" s="319">
        <f>IF(AND('Ações'!AX284="sim", 'Ações'!BE284="sim"), 1, 0)
</f>
        <v>0</v>
      </c>
      <c r="AI282" s="319">
        <f>IF(AND('Ações'!AX284="sim", 'Ações'!BF284="sim"), 1, 0)
</f>
        <v>0</v>
      </c>
      <c r="AJ282" s="319">
        <f>IF(AND('Ações'!AX284="sim", 'Ações'!BG284="sim"), 1, 0)
</f>
        <v>0</v>
      </c>
      <c r="AK282" s="319">
        <f>IF(AND('Ações'!AX284="sim", 'Ações'!BH284="sim"), 1, 0)
</f>
        <v>0</v>
      </c>
    </row>
    <row r="283">
      <c r="B283" s="319">
        <f>IF(AND('Ações'!AS292="sim", 'Ações'!BD292="sim"), 1, 0)
</f>
        <v>0</v>
      </c>
      <c r="C283" s="319">
        <f>IF(AND('Ações'!AT292="sim", 'Ações'!BE292="sim"), 1, 0)
</f>
        <v>0</v>
      </c>
      <c r="D283" s="319">
        <f>IF(AND('Ações'!AU292="sim", 'Ações'!BF292="sim"), 1, 0)
</f>
        <v>0</v>
      </c>
      <c r="E283" s="319">
        <f>IF(AND('Ações'!AV292="sim", 'Ações'!BG292="sim"), 1, 0)
</f>
        <v>0</v>
      </c>
      <c r="F283" s="319">
        <f>IF(AND('Ações'!AW292="sim", 'Ações'!BH292="sim"), 1, 0)
</f>
        <v>0</v>
      </c>
      <c r="G283" s="319">
        <f>IF(AND('Ações'!AX292="sim", 'Ações'!BI292="sim"), 1, 0)
</f>
        <v>0</v>
      </c>
      <c r="H283" s="319">
        <f>IF(AND('Ações'!AS292="sim", 'Ações'!BE292="sim"), 1, 0)
</f>
        <v>0</v>
      </c>
      <c r="I283" s="319">
        <f>IF(AND('Ações'!AS292="sim", 'Ações'!BF292="sim"), 1, 0)
</f>
        <v>0</v>
      </c>
      <c r="J283" s="319">
        <f>IF(AND('Ações'!AS292="sim", 'Ações'!BG292="sim"), 1, 0)
</f>
        <v>0</v>
      </c>
      <c r="K283" s="319">
        <f>IF(AND('Ações'!AS292="sim", 'Ações'!BH292="sim"), 1, 0)
</f>
        <v>0</v>
      </c>
      <c r="L283" s="319">
        <f>IF(AND('Ações'!AS292="sim", 'Ações'!BI292="sim"), 1, 0)
</f>
        <v>0</v>
      </c>
      <c r="M283" s="319">
        <f>IF(AND('Ações'!AT292="sim", 'Ações'!BD292="sim"), 1, 0)
</f>
        <v>0</v>
      </c>
      <c r="N283" s="319">
        <f>IF(AND('Ações'!AT292="sim", 'Ações'!BF292="sim"), 1, 0)
</f>
        <v>0</v>
      </c>
      <c r="O283" s="319">
        <f>IF(AND('Ações'!AT292="sim", 'Ações'!BG292="sim"), 1, 0)
</f>
        <v>0</v>
      </c>
      <c r="P283" s="319">
        <f>IF(AND('Ações'!AT292="sim", 'Ações'!BH292="sim"), 1, 0)
</f>
        <v>0</v>
      </c>
      <c r="Q283" s="319">
        <f>IF(AND('Ações'!AT292="sim", 'Ações'!BI292="sim"), 1, 0)
</f>
        <v>0</v>
      </c>
      <c r="R283" s="319">
        <f>IF(AND('Ações'!AU292="sim", 'Ações'!BD292="sim"), 1, 0)
</f>
        <v>0</v>
      </c>
      <c r="S283" s="319">
        <f>IF(AND('Ações'!AU292="sim", 'Ações'!BE292="sim"), 1, 0)
</f>
        <v>0</v>
      </c>
      <c r="T283" s="319">
        <f>IF(AND('Ações'!AU292="sim", 'Ações'!BG292="sim"), 1, 0)
</f>
        <v>0</v>
      </c>
      <c r="U283" s="319">
        <f>IF(AND('Ações'!AU292="sim", 'Ações'!BH292="sim"), 1, 0)
</f>
        <v>0</v>
      </c>
      <c r="V283" s="319">
        <f>IF(AND('Ações'!AU292="sim", 'Ações'!BI292="sim"), 1, 0)
</f>
        <v>0</v>
      </c>
      <c r="W283" s="319">
        <f>IF(AND('Ações'!AV292="sim", 'Ações'!BD292="sim"), 1, 0)
</f>
        <v>0</v>
      </c>
      <c r="X283" s="319">
        <f>IF(AND('Ações'!AV292="sim", 'Ações'!BE292="sim"), 1, 0)
</f>
        <v>0</v>
      </c>
      <c r="Y283" s="319">
        <f>IF(AND('Ações'!AV292="sim", 'Ações'!BF292="sim"), 1, 0)
</f>
        <v>0</v>
      </c>
      <c r="Z283" s="319">
        <f>IF(AND('Ações'!AV292="sim", 'Ações'!BH292="sim"), 1, 0)
</f>
        <v>0</v>
      </c>
      <c r="AA283" s="319">
        <f>IF(AND('Ações'!AV292="sim", 'Ações'!BI292="sim"), 1, 0)
</f>
        <v>0</v>
      </c>
      <c r="AB283" s="319">
        <f>IF(AND('Ações'!AW292="sim", 'Ações'!BD292="sim"), 1, 0)
</f>
        <v>0</v>
      </c>
      <c r="AC283" s="319">
        <f>IF(AND('Ações'!AW292="sim", 'Ações'!BE292="sim"), 1, 0)
</f>
        <v>0</v>
      </c>
      <c r="AD283" s="319">
        <f>IF(AND('Ações'!AW292="sim", 'Ações'!BF292="sim"), 1, 0)
</f>
        <v>0</v>
      </c>
      <c r="AE283" s="319">
        <f>IF(AND('Ações'!AW292="sim", 'Ações'!BG292="sim"), 1, 0)
</f>
        <v>0</v>
      </c>
      <c r="AF283" s="319">
        <f>IF(AND('Ações'!AW292="sim", 'Ações'!BI292="sim"), 1, 0)
</f>
        <v>0</v>
      </c>
      <c r="AG283" s="319">
        <f>IF(AND('Ações'!AX292="sim", 'Ações'!BD292="sim"), 1, 0)
</f>
        <v>0</v>
      </c>
      <c r="AH283" s="319">
        <f>IF(AND('Ações'!AX292="sim", 'Ações'!BE292="sim"), 1, 0)
</f>
        <v>0</v>
      </c>
      <c r="AI283" s="319">
        <f>IF(AND('Ações'!AX292="sim", 'Ações'!BF292="sim"), 1, 0)
</f>
        <v>0</v>
      </c>
      <c r="AJ283" s="319">
        <f>IF(AND('Ações'!AX292="sim", 'Ações'!BG292="sim"), 1, 0)
</f>
        <v>0</v>
      </c>
      <c r="AK283" s="319">
        <f>IF(AND('Ações'!AX292="sim", 'Ações'!BH292="sim"), 1, 0)
</f>
        <v>0</v>
      </c>
    </row>
    <row r="284">
      <c r="B284" s="319">
        <f>IF(AND('Ações'!AS293="sim", 'Ações'!BD293="sim"), 1, 0)
</f>
        <v>0</v>
      </c>
      <c r="C284" s="319">
        <f>IF(AND('Ações'!AT293="sim", 'Ações'!BE293="sim"), 1, 0)
</f>
        <v>0</v>
      </c>
      <c r="D284" s="319">
        <f>IF(AND('Ações'!AU293="sim", 'Ações'!BF293="sim"), 1, 0)
</f>
        <v>0</v>
      </c>
      <c r="E284" s="319">
        <f>IF(AND('Ações'!AV293="sim", 'Ações'!BG293="sim"), 1, 0)
</f>
        <v>0</v>
      </c>
      <c r="F284" s="319">
        <f>IF(AND('Ações'!AW293="sim", 'Ações'!BH293="sim"), 1, 0)
</f>
        <v>0</v>
      </c>
      <c r="G284" s="319">
        <f>IF(AND('Ações'!AX293="sim", 'Ações'!BI293="sim"), 1, 0)
</f>
        <v>0</v>
      </c>
      <c r="H284" s="319">
        <f>IF(AND('Ações'!AS293="sim", 'Ações'!BE293="sim"), 1, 0)
</f>
        <v>0</v>
      </c>
      <c r="I284" s="319">
        <f>IF(AND('Ações'!AS293="sim", 'Ações'!BF293="sim"), 1, 0)
</f>
        <v>0</v>
      </c>
      <c r="J284" s="319">
        <f>IF(AND('Ações'!AS293="sim", 'Ações'!BG293="sim"), 1, 0)
</f>
        <v>0</v>
      </c>
      <c r="K284" s="319">
        <f>IF(AND('Ações'!AS293="sim", 'Ações'!BH293="sim"), 1, 0)
</f>
        <v>0</v>
      </c>
      <c r="L284" s="319">
        <f>IF(AND('Ações'!AS293="sim", 'Ações'!BI293="sim"), 1, 0)
</f>
        <v>0</v>
      </c>
      <c r="M284" s="319">
        <f>IF(AND('Ações'!AT293="sim", 'Ações'!BD293="sim"), 1, 0)
</f>
        <v>0</v>
      </c>
      <c r="N284" s="319">
        <f>IF(AND('Ações'!AT293="sim", 'Ações'!BF293="sim"), 1, 0)
</f>
        <v>0</v>
      </c>
      <c r="O284" s="319">
        <f>IF(AND('Ações'!AT293="sim", 'Ações'!BG293="sim"), 1, 0)
</f>
        <v>0</v>
      </c>
      <c r="P284" s="319">
        <f>IF(AND('Ações'!AT293="sim", 'Ações'!BH293="sim"), 1, 0)
</f>
        <v>0</v>
      </c>
      <c r="Q284" s="319">
        <f>IF(AND('Ações'!AT293="sim", 'Ações'!BI293="sim"), 1, 0)
</f>
        <v>1</v>
      </c>
      <c r="R284" s="319">
        <f>IF(AND('Ações'!AU293="sim", 'Ações'!BD293="sim"), 1, 0)
</f>
        <v>0</v>
      </c>
      <c r="S284" s="319">
        <f>IF(AND('Ações'!AU293="sim", 'Ações'!BE293="sim"), 1, 0)
</f>
        <v>0</v>
      </c>
      <c r="T284" s="319">
        <f>IF(AND('Ações'!AU293="sim", 'Ações'!BG293="sim"), 1, 0)
</f>
        <v>0</v>
      </c>
      <c r="U284" s="319">
        <f>IF(AND('Ações'!AU293="sim", 'Ações'!BH293="sim"), 1, 0)
</f>
        <v>0</v>
      </c>
      <c r="V284" s="319">
        <f>IF(AND('Ações'!AU293="sim", 'Ações'!BI293="sim"), 1, 0)
</f>
        <v>0</v>
      </c>
      <c r="W284" s="319">
        <f>IF(AND('Ações'!AV293="sim", 'Ações'!BD293="sim"), 1, 0)
</f>
        <v>0</v>
      </c>
      <c r="X284" s="319">
        <f>IF(AND('Ações'!AV293="sim", 'Ações'!BE293="sim"), 1, 0)
</f>
        <v>0</v>
      </c>
      <c r="Y284" s="319">
        <f>IF(AND('Ações'!AV293="sim", 'Ações'!BF293="sim"), 1, 0)
</f>
        <v>0</v>
      </c>
      <c r="Z284" s="319">
        <f>IF(AND('Ações'!AV293="sim", 'Ações'!BH293="sim"), 1, 0)
</f>
        <v>0</v>
      </c>
      <c r="AA284" s="319">
        <f>IF(AND('Ações'!AV293="sim", 'Ações'!BI293="sim"), 1, 0)
</f>
        <v>1</v>
      </c>
      <c r="AB284" s="319">
        <f>IF(AND('Ações'!AW293="sim", 'Ações'!BD293="sim"), 1, 0)
</f>
        <v>0</v>
      </c>
      <c r="AC284" s="319">
        <f>IF(AND('Ações'!AW293="sim", 'Ações'!BE293="sim"), 1, 0)
</f>
        <v>0</v>
      </c>
      <c r="AD284" s="319">
        <f>IF(AND('Ações'!AW293="sim", 'Ações'!BF293="sim"), 1, 0)
</f>
        <v>0</v>
      </c>
      <c r="AE284" s="319">
        <f>IF(AND('Ações'!AW293="sim", 'Ações'!BG293="sim"), 1, 0)
</f>
        <v>0</v>
      </c>
      <c r="AF284" s="319">
        <f>IF(AND('Ações'!AW293="sim", 'Ações'!BI293="sim"), 1, 0)
</f>
        <v>1</v>
      </c>
      <c r="AG284" s="319">
        <f>IF(AND('Ações'!AX293="sim", 'Ações'!BD293="sim"), 1, 0)
</f>
        <v>0</v>
      </c>
      <c r="AH284" s="319">
        <f>IF(AND('Ações'!AX293="sim", 'Ações'!BE293="sim"), 1, 0)
</f>
        <v>0</v>
      </c>
      <c r="AI284" s="319">
        <f>IF(AND('Ações'!AX293="sim", 'Ações'!BF293="sim"), 1, 0)
</f>
        <v>0</v>
      </c>
      <c r="AJ284" s="319">
        <f>IF(AND('Ações'!AX293="sim", 'Ações'!BG293="sim"), 1, 0)
</f>
        <v>0</v>
      </c>
      <c r="AK284" s="319">
        <f>IF(AND('Ações'!AX293="sim", 'Ações'!BH293="sim"), 1, 0)
</f>
        <v>0</v>
      </c>
    </row>
    <row r="285">
      <c r="B285" s="319">
        <f>IF(AND('Ações'!AS294="sim", 'Ações'!BD294="sim"), 1, 0)
</f>
        <v>0</v>
      </c>
      <c r="C285" s="319">
        <f>IF(AND('Ações'!AT294="sim", 'Ações'!BE294="sim"), 1, 0)
</f>
        <v>0</v>
      </c>
      <c r="D285" s="319">
        <f>IF(AND('Ações'!AU294="sim", 'Ações'!BF294="sim"), 1, 0)
</f>
        <v>0</v>
      </c>
      <c r="E285" s="319">
        <f>IF(AND('Ações'!AV294="sim", 'Ações'!BG294="sim"), 1, 0)
</f>
        <v>0</v>
      </c>
      <c r="F285" s="319">
        <f>IF(AND('Ações'!AW294="sim", 'Ações'!BH294="sim"), 1, 0)
</f>
        <v>0</v>
      </c>
      <c r="G285" s="319">
        <f>IF(AND('Ações'!AX294="sim", 'Ações'!BI294="sim"), 1, 0)
</f>
        <v>0</v>
      </c>
      <c r="H285" s="319">
        <f>IF(AND('Ações'!AS294="sim", 'Ações'!BE294="sim"), 1, 0)
</f>
        <v>0</v>
      </c>
      <c r="I285" s="319">
        <f>IF(AND('Ações'!AS294="sim", 'Ações'!BF294="sim"), 1, 0)
</f>
        <v>0</v>
      </c>
      <c r="J285" s="319">
        <f>IF(AND('Ações'!AS294="sim", 'Ações'!BG294="sim"), 1, 0)
</f>
        <v>0</v>
      </c>
      <c r="K285" s="319">
        <f>IF(AND('Ações'!AS294="sim", 'Ações'!BH294="sim"), 1, 0)
</f>
        <v>0</v>
      </c>
      <c r="L285" s="319">
        <f>IF(AND('Ações'!AS294="sim", 'Ações'!BI294="sim"), 1, 0)
</f>
        <v>0</v>
      </c>
      <c r="M285" s="319">
        <f>IF(AND('Ações'!AT294="sim", 'Ações'!BD294="sim"), 1, 0)
</f>
        <v>1</v>
      </c>
      <c r="N285" s="319">
        <f>IF(AND('Ações'!AT294="sim", 'Ações'!BF294="sim"), 1, 0)
</f>
        <v>0</v>
      </c>
      <c r="O285" s="319">
        <f>IF(AND('Ações'!AT294="sim", 'Ações'!BG294="sim"), 1, 0)
</f>
        <v>0</v>
      </c>
      <c r="P285" s="319">
        <f>IF(AND('Ações'!AT294="sim", 'Ações'!BH294="sim"), 1, 0)
</f>
        <v>0</v>
      </c>
      <c r="Q285" s="319">
        <f>IF(AND('Ações'!AT294="sim", 'Ações'!BI294="sim"), 1, 0)
</f>
        <v>1</v>
      </c>
      <c r="R285" s="319">
        <f>IF(AND('Ações'!AU294="sim", 'Ações'!BD294="sim"), 1, 0)
</f>
        <v>0</v>
      </c>
      <c r="S285" s="319">
        <f>IF(AND('Ações'!AU294="sim", 'Ações'!BE294="sim"), 1, 0)
</f>
        <v>0</v>
      </c>
      <c r="T285" s="319">
        <f>IF(AND('Ações'!AU294="sim", 'Ações'!BG294="sim"), 1, 0)
</f>
        <v>0</v>
      </c>
      <c r="U285" s="319">
        <f>IF(AND('Ações'!AU294="sim", 'Ações'!BH294="sim"), 1, 0)
</f>
        <v>0</v>
      </c>
      <c r="V285" s="319">
        <f>IF(AND('Ações'!AU294="sim", 'Ações'!BI294="sim"), 1, 0)
</f>
        <v>0</v>
      </c>
      <c r="W285" s="319">
        <f>IF(AND('Ações'!AV294="sim", 'Ações'!BD294="sim"), 1, 0)
</f>
        <v>1</v>
      </c>
      <c r="X285" s="319">
        <f>IF(AND('Ações'!AV294="sim", 'Ações'!BE294="sim"), 1, 0)
</f>
        <v>0</v>
      </c>
      <c r="Y285" s="319">
        <f>IF(AND('Ações'!AV294="sim", 'Ações'!BF294="sim"), 1, 0)
</f>
        <v>0</v>
      </c>
      <c r="Z285" s="319">
        <f>IF(AND('Ações'!AV294="sim", 'Ações'!BH294="sim"), 1, 0)
</f>
        <v>0</v>
      </c>
      <c r="AA285" s="319">
        <f>IF(AND('Ações'!AV294="sim", 'Ações'!BI294="sim"), 1, 0)
</f>
        <v>1</v>
      </c>
      <c r="AB285" s="319">
        <f>IF(AND('Ações'!AW294="sim", 'Ações'!BD294="sim"), 1, 0)
</f>
        <v>1</v>
      </c>
      <c r="AC285" s="319">
        <f>IF(AND('Ações'!AW294="sim", 'Ações'!BE294="sim"), 1, 0)
</f>
        <v>0</v>
      </c>
      <c r="AD285" s="319">
        <f>IF(AND('Ações'!AW294="sim", 'Ações'!BF294="sim"), 1, 0)
</f>
        <v>0</v>
      </c>
      <c r="AE285" s="319">
        <f>IF(AND('Ações'!AW294="sim", 'Ações'!BG294="sim"), 1, 0)
</f>
        <v>0</v>
      </c>
      <c r="AF285" s="319">
        <f>IF(AND('Ações'!AW294="sim", 'Ações'!BI294="sim"), 1, 0)
</f>
        <v>1</v>
      </c>
      <c r="AG285" s="319">
        <f>IF(AND('Ações'!AX294="sim", 'Ações'!BD294="sim"), 1, 0)
</f>
        <v>0</v>
      </c>
      <c r="AH285" s="319">
        <f>IF(AND('Ações'!AX294="sim", 'Ações'!BE294="sim"), 1, 0)
</f>
        <v>0</v>
      </c>
      <c r="AI285" s="319">
        <f>IF(AND('Ações'!AX294="sim", 'Ações'!BF294="sim"), 1, 0)
</f>
        <v>0</v>
      </c>
      <c r="AJ285" s="319">
        <f>IF(AND('Ações'!AX294="sim", 'Ações'!BG294="sim"), 1, 0)
</f>
        <v>0</v>
      </c>
      <c r="AK285" s="319">
        <f>IF(AND('Ações'!AX294="sim", 'Ações'!BH294="sim"), 1, 0)
</f>
        <v>0</v>
      </c>
    </row>
    <row r="286">
      <c r="B286" s="319">
        <f>IF(AND('Ações'!AS295="sim", 'Ações'!BD295="sim"), 1, 0)
</f>
        <v>0</v>
      </c>
      <c r="C286" s="319">
        <f>IF(AND('Ações'!AT295="sim", 'Ações'!BE295="sim"), 1, 0)
</f>
        <v>0</v>
      </c>
      <c r="D286" s="319">
        <f>IF(AND('Ações'!AU295="sim", 'Ações'!BF295="sim"), 1, 0)
</f>
        <v>0</v>
      </c>
      <c r="E286" s="319">
        <f>IF(AND('Ações'!AV295="sim", 'Ações'!BG295="sim"), 1, 0)
</f>
        <v>0</v>
      </c>
      <c r="F286" s="319">
        <f>IF(AND('Ações'!AW295="sim", 'Ações'!BH295="sim"), 1, 0)
</f>
        <v>0</v>
      </c>
      <c r="G286" s="319">
        <f>IF(AND('Ações'!AX295="sim", 'Ações'!BI295="sim"), 1, 0)
</f>
        <v>0</v>
      </c>
      <c r="H286" s="319">
        <f>IF(AND('Ações'!AS295="sim", 'Ações'!BE295="sim"), 1, 0)
</f>
        <v>0</v>
      </c>
      <c r="I286" s="319">
        <f>IF(AND('Ações'!AS295="sim", 'Ações'!BF295="sim"), 1, 0)
</f>
        <v>0</v>
      </c>
      <c r="J286" s="319">
        <f>IF(AND('Ações'!AS295="sim", 'Ações'!BG295="sim"), 1, 0)
</f>
        <v>0</v>
      </c>
      <c r="K286" s="319">
        <f>IF(AND('Ações'!AS295="sim", 'Ações'!BH295="sim"), 1, 0)
</f>
        <v>0</v>
      </c>
      <c r="L286" s="319">
        <f>IF(AND('Ações'!AS295="sim", 'Ações'!BI295="sim"), 1, 0)
</f>
        <v>0</v>
      </c>
      <c r="M286" s="319">
        <f>IF(AND('Ações'!AT295="sim", 'Ações'!BD295="sim"), 1, 0)
</f>
        <v>1</v>
      </c>
      <c r="N286" s="319">
        <f>IF(AND('Ações'!AT295="sim", 'Ações'!BF295="sim"), 1, 0)
</f>
        <v>0</v>
      </c>
      <c r="O286" s="319">
        <f>IF(AND('Ações'!AT295="sim", 'Ações'!BG295="sim"), 1, 0)
</f>
        <v>0</v>
      </c>
      <c r="P286" s="319">
        <f>IF(AND('Ações'!AT295="sim", 'Ações'!BH295="sim"), 1, 0)
</f>
        <v>0</v>
      </c>
      <c r="Q286" s="319">
        <f>IF(AND('Ações'!AT295="sim", 'Ações'!BI295="sim"), 1, 0)
</f>
        <v>0</v>
      </c>
      <c r="R286" s="319">
        <f>IF(AND('Ações'!AU295="sim", 'Ações'!BD295="sim"), 1, 0)
</f>
        <v>0</v>
      </c>
      <c r="S286" s="319">
        <f>IF(AND('Ações'!AU295="sim", 'Ações'!BE295="sim"), 1, 0)
</f>
        <v>0</v>
      </c>
      <c r="T286" s="319">
        <f>IF(AND('Ações'!AU295="sim", 'Ações'!BG295="sim"), 1, 0)
</f>
        <v>0</v>
      </c>
      <c r="U286" s="319">
        <f>IF(AND('Ações'!AU295="sim", 'Ações'!BH295="sim"), 1, 0)
</f>
        <v>0</v>
      </c>
      <c r="V286" s="319">
        <f>IF(AND('Ações'!AU295="sim", 'Ações'!BI295="sim"), 1, 0)
</f>
        <v>0</v>
      </c>
      <c r="W286" s="319">
        <f>IF(AND('Ações'!AV295="sim", 'Ações'!BD295="sim"), 1, 0)
</f>
        <v>1</v>
      </c>
      <c r="X286" s="319">
        <f>IF(AND('Ações'!AV295="sim", 'Ações'!BE295="sim"), 1, 0)
</f>
        <v>0</v>
      </c>
      <c r="Y286" s="319">
        <f>IF(AND('Ações'!AV295="sim", 'Ações'!BF295="sim"), 1, 0)
</f>
        <v>0</v>
      </c>
      <c r="Z286" s="319">
        <f>IF(AND('Ações'!AV295="sim", 'Ações'!BH295="sim"), 1, 0)
</f>
        <v>0</v>
      </c>
      <c r="AA286" s="319">
        <f>IF(AND('Ações'!AV295="sim", 'Ações'!BI295="sim"), 1, 0)
</f>
        <v>0</v>
      </c>
      <c r="AB286" s="319">
        <f>IF(AND('Ações'!AW295="sim", 'Ações'!BD295="sim"), 1, 0)
</f>
        <v>1</v>
      </c>
      <c r="AC286" s="319">
        <f>IF(AND('Ações'!AW295="sim", 'Ações'!BE295="sim"), 1, 0)
</f>
        <v>0</v>
      </c>
      <c r="AD286" s="319">
        <f>IF(AND('Ações'!AW295="sim", 'Ações'!BF295="sim"), 1, 0)
</f>
        <v>0</v>
      </c>
      <c r="AE286" s="319">
        <f>IF(AND('Ações'!AW295="sim", 'Ações'!BG295="sim"), 1, 0)
</f>
        <v>0</v>
      </c>
      <c r="AF286" s="319">
        <f>IF(AND('Ações'!AW295="sim", 'Ações'!BI295="sim"), 1, 0)
</f>
        <v>0</v>
      </c>
      <c r="AG286" s="319">
        <f>IF(AND('Ações'!AX295="sim", 'Ações'!BD295="sim"), 1, 0)
</f>
        <v>0</v>
      </c>
      <c r="AH286" s="319">
        <f>IF(AND('Ações'!AX295="sim", 'Ações'!BE295="sim"), 1, 0)
</f>
        <v>0</v>
      </c>
      <c r="AI286" s="319">
        <f>IF(AND('Ações'!AX295="sim", 'Ações'!BF295="sim"), 1, 0)
</f>
        <v>0</v>
      </c>
      <c r="AJ286" s="319">
        <f>IF(AND('Ações'!AX295="sim", 'Ações'!BG295="sim"), 1, 0)
</f>
        <v>0</v>
      </c>
      <c r="AK286" s="319">
        <f>IF(AND('Ações'!AX295="sim", 'Ações'!BH295="sim"), 1, 0)
</f>
        <v>0</v>
      </c>
    </row>
    <row r="287">
      <c r="B287" s="319">
        <f>IF(AND('Ações'!AS296="sim", 'Ações'!BD296="sim"), 1, 0)
</f>
        <v>0</v>
      </c>
      <c r="C287" s="319">
        <f>IF(AND('Ações'!AT296="sim", 'Ações'!BE296="sim"), 1, 0)
</f>
        <v>0</v>
      </c>
      <c r="D287" s="319">
        <f>IF(AND('Ações'!AU296="sim", 'Ações'!BF296="sim"), 1, 0)
</f>
        <v>0</v>
      </c>
      <c r="E287" s="319">
        <f>IF(AND('Ações'!AV296="sim", 'Ações'!BG296="sim"), 1, 0)
</f>
        <v>0</v>
      </c>
      <c r="F287" s="319">
        <f>IF(AND('Ações'!AW296="sim", 'Ações'!BH296="sim"), 1, 0)
</f>
        <v>0</v>
      </c>
      <c r="G287" s="319">
        <f>IF(AND('Ações'!AX296="sim", 'Ações'!BI296="sim"), 1, 0)
</f>
        <v>0</v>
      </c>
      <c r="H287" s="319">
        <f>IF(AND('Ações'!AS296="sim", 'Ações'!BE296="sim"), 1, 0)
</f>
        <v>0</v>
      </c>
      <c r="I287" s="319">
        <f>IF(AND('Ações'!AS296="sim", 'Ações'!BF296="sim"), 1, 0)
</f>
        <v>0</v>
      </c>
      <c r="J287" s="319">
        <f>IF(AND('Ações'!AS296="sim", 'Ações'!BG296="sim"), 1, 0)
</f>
        <v>0</v>
      </c>
      <c r="K287" s="319">
        <f>IF(AND('Ações'!AS296="sim", 'Ações'!BH296="sim"), 1, 0)
</f>
        <v>0</v>
      </c>
      <c r="L287" s="319">
        <f>IF(AND('Ações'!AS296="sim", 'Ações'!BI296="sim"), 1, 0)
</f>
        <v>0</v>
      </c>
      <c r="M287" s="319">
        <f>IF(AND('Ações'!AT296="sim", 'Ações'!BD296="sim"), 1, 0)
</f>
        <v>1</v>
      </c>
      <c r="N287" s="319">
        <f>IF(AND('Ações'!AT296="sim", 'Ações'!BF296="sim"), 1, 0)
</f>
        <v>0</v>
      </c>
      <c r="O287" s="319">
        <f>IF(AND('Ações'!AT296="sim", 'Ações'!BG296="sim"), 1, 0)
</f>
        <v>0</v>
      </c>
      <c r="P287" s="319">
        <f>IF(AND('Ações'!AT296="sim", 'Ações'!BH296="sim"), 1, 0)
</f>
        <v>0</v>
      </c>
      <c r="Q287" s="319">
        <f>IF(AND('Ações'!AT296="sim", 'Ações'!BI296="sim"), 1, 0)
</f>
        <v>0</v>
      </c>
      <c r="R287" s="319">
        <f>IF(AND('Ações'!AU296="sim", 'Ações'!BD296="sim"), 1, 0)
</f>
        <v>0</v>
      </c>
      <c r="S287" s="319">
        <f>IF(AND('Ações'!AU296="sim", 'Ações'!BE296="sim"), 1, 0)
</f>
        <v>0</v>
      </c>
      <c r="T287" s="319">
        <f>IF(AND('Ações'!AU296="sim", 'Ações'!BG296="sim"), 1, 0)
</f>
        <v>0</v>
      </c>
      <c r="U287" s="319">
        <f>IF(AND('Ações'!AU296="sim", 'Ações'!BH296="sim"), 1, 0)
</f>
        <v>0</v>
      </c>
      <c r="V287" s="319">
        <f>IF(AND('Ações'!AU296="sim", 'Ações'!BI296="sim"), 1, 0)
</f>
        <v>0</v>
      </c>
      <c r="W287" s="319">
        <f>IF(AND('Ações'!AV296="sim", 'Ações'!BD296="sim"), 1, 0)
</f>
        <v>1</v>
      </c>
      <c r="X287" s="319">
        <f>IF(AND('Ações'!AV296="sim", 'Ações'!BE296="sim"), 1, 0)
</f>
        <v>0</v>
      </c>
      <c r="Y287" s="319">
        <f>IF(AND('Ações'!AV296="sim", 'Ações'!BF296="sim"), 1, 0)
</f>
        <v>0</v>
      </c>
      <c r="Z287" s="319">
        <f>IF(AND('Ações'!AV296="sim", 'Ações'!BH296="sim"), 1, 0)
</f>
        <v>0</v>
      </c>
      <c r="AA287" s="319">
        <f>IF(AND('Ações'!AV296="sim", 'Ações'!BI296="sim"), 1, 0)
</f>
        <v>0</v>
      </c>
      <c r="AB287" s="319">
        <f>IF(AND('Ações'!AW296="sim", 'Ações'!BD296="sim"), 1, 0)
</f>
        <v>1</v>
      </c>
      <c r="AC287" s="319">
        <f>IF(AND('Ações'!AW296="sim", 'Ações'!BE296="sim"), 1, 0)
</f>
        <v>0</v>
      </c>
      <c r="AD287" s="319">
        <f>IF(AND('Ações'!AW296="sim", 'Ações'!BF296="sim"), 1, 0)
</f>
        <v>0</v>
      </c>
      <c r="AE287" s="319">
        <f>IF(AND('Ações'!AW296="sim", 'Ações'!BG296="sim"), 1, 0)
</f>
        <v>0</v>
      </c>
      <c r="AF287" s="319">
        <f>IF(AND('Ações'!AW296="sim", 'Ações'!BI296="sim"), 1, 0)
</f>
        <v>0</v>
      </c>
      <c r="AG287" s="319">
        <f>IF(AND('Ações'!AX296="sim", 'Ações'!BD296="sim"), 1, 0)
</f>
        <v>0</v>
      </c>
      <c r="AH287" s="319">
        <f>IF(AND('Ações'!AX296="sim", 'Ações'!BE296="sim"), 1, 0)
</f>
        <v>0</v>
      </c>
      <c r="AI287" s="319">
        <f>IF(AND('Ações'!AX296="sim", 'Ações'!BF296="sim"), 1, 0)
</f>
        <v>0</v>
      </c>
      <c r="AJ287" s="319">
        <f>IF(AND('Ações'!AX296="sim", 'Ações'!BG296="sim"), 1, 0)
</f>
        <v>0</v>
      </c>
      <c r="AK287" s="319">
        <f>IF(AND('Ações'!AX296="sim", 'Ações'!BH296="sim"), 1, 0)
</f>
        <v>0</v>
      </c>
    </row>
    <row r="288">
      <c r="B288" s="319">
        <f>IF(AND('Ações'!AS297="sim", 'Ações'!BD297="sim"), 1, 0)
</f>
        <v>0</v>
      </c>
      <c r="C288" s="319">
        <f>IF(AND('Ações'!AT297="sim", 'Ações'!BE297="sim"), 1, 0)
</f>
        <v>0</v>
      </c>
      <c r="D288" s="319">
        <f>IF(AND('Ações'!AU297="sim", 'Ações'!BF297="sim"), 1, 0)
</f>
        <v>0</v>
      </c>
      <c r="E288" s="319">
        <f>IF(AND('Ações'!AV297="sim", 'Ações'!BG297="sim"), 1, 0)
</f>
        <v>1</v>
      </c>
      <c r="F288" s="319">
        <f>IF(AND('Ações'!AW297="sim", 'Ações'!BH297="sim"), 1, 0)
</f>
        <v>0</v>
      </c>
      <c r="G288" s="319">
        <f>IF(AND('Ações'!AX297="sim", 'Ações'!BI297="sim"), 1, 0)
</f>
        <v>0</v>
      </c>
      <c r="H288" s="319">
        <f>IF(AND('Ações'!AS297="sim", 'Ações'!BE297="sim"), 1, 0)
</f>
        <v>0</v>
      </c>
      <c r="I288" s="319">
        <f>IF(AND('Ações'!AS297="sim", 'Ações'!BF297="sim"), 1, 0)
</f>
        <v>0</v>
      </c>
      <c r="J288" s="319">
        <f>IF(AND('Ações'!AS297="sim", 'Ações'!BG297="sim"), 1, 0)
</f>
        <v>0</v>
      </c>
      <c r="K288" s="319">
        <f>IF(AND('Ações'!AS297="sim", 'Ações'!BH297="sim"), 1, 0)
</f>
        <v>0</v>
      </c>
      <c r="L288" s="319">
        <f>IF(AND('Ações'!AS297="sim", 'Ações'!BI297="sim"), 1, 0)
</f>
        <v>0</v>
      </c>
      <c r="M288" s="319">
        <f>IF(AND('Ações'!AT297="sim", 'Ações'!BD297="sim"), 1, 0)
</f>
        <v>0</v>
      </c>
      <c r="N288" s="319">
        <f>IF(AND('Ações'!AT297="sim", 'Ações'!BF297="sim"), 1, 0)
</f>
        <v>0</v>
      </c>
      <c r="O288" s="319">
        <f>IF(AND('Ações'!AT297="sim", 'Ações'!BG297="sim"), 1, 0)
</f>
        <v>1</v>
      </c>
      <c r="P288" s="319">
        <f>IF(AND('Ações'!AT297="sim", 'Ações'!BH297="sim"), 1, 0)
</f>
        <v>0</v>
      </c>
      <c r="Q288" s="319">
        <f>IF(AND('Ações'!AT297="sim", 'Ações'!BI297="sim"), 1, 0)
</f>
        <v>0</v>
      </c>
      <c r="R288" s="319">
        <f>IF(AND('Ações'!AU297="sim", 'Ações'!BD297="sim"), 1, 0)
</f>
        <v>0</v>
      </c>
      <c r="S288" s="319">
        <f>IF(AND('Ações'!AU297="sim", 'Ações'!BE297="sim"), 1, 0)
</f>
        <v>0</v>
      </c>
      <c r="T288" s="319">
        <f>IF(AND('Ações'!AU297="sim", 'Ações'!BG297="sim"), 1, 0)
</f>
        <v>0</v>
      </c>
      <c r="U288" s="319">
        <f>IF(AND('Ações'!AU297="sim", 'Ações'!BH297="sim"), 1, 0)
</f>
        <v>0</v>
      </c>
      <c r="V288" s="319">
        <f>IF(AND('Ações'!AU297="sim", 'Ações'!BI297="sim"), 1, 0)
</f>
        <v>0</v>
      </c>
      <c r="W288" s="319">
        <f>IF(AND('Ações'!AV297="sim", 'Ações'!BD297="sim"), 1, 0)
</f>
        <v>0</v>
      </c>
      <c r="X288" s="319">
        <f>IF(AND('Ações'!AV297="sim", 'Ações'!BE297="sim"), 1, 0)
</f>
        <v>0</v>
      </c>
      <c r="Y288" s="319">
        <f>IF(AND('Ações'!AV297="sim", 'Ações'!BF297="sim"), 1, 0)
</f>
        <v>0</v>
      </c>
      <c r="Z288" s="319">
        <f>IF(AND('Ações'!AV297="sim", 'Ações'!BH297="sim"), 1, 0)
</f>
        <v>0</v>
      </c>
      <c r="AA288" s="319">
        <f>IF(AND('Ações'!AV297="sim", 'Ações'!BI297="sim"), 1, 0)
</f>
        <v>0</v>
      </c>
      <c r="AB288" s="319">
        <f>IF(AND('Ações'!AW297="sim", 'Ações'!BD297="sim"), 1, 0)
</f>
        <v>0</v>
      </c>
      <c r="AC288" s="319">
        <f>IF(AND('Ações'!AW297="sim", 'Ações'!BE297="sim"), 1, 0)
</f>
        <v>0</v>
      </c>
      <c r="AD288" s="319">
        <f>IF(AND('Ações'!AW297="sim", 'Ações'!BF297="sim"), 1, 0)
</f>
        <v>0</v>
      </c>
      <c r="AE288" s="319">
        <f>IF(AND('Ações'!AW297="sim", 'Ações'!BG297="sim"), 1, 0)
</f>
        <v>1</v>
      </c>
      <c r="AF288" s="319">
        <f>IF(AND('Ações'!AW297="sim", 'Ações'!BI297="sim"), 1, 0)
</f>
        <v>0</v>
      </c>
      <c r="AG288" s="319">
        <f>IF(AND('Ações'!AX297="sim", 'Ações'!BD297="sim"), 1, 0)
</f>
        <v>0</v>
      </c>
      <c r="AH288" s="319">
        <f>IF(AND('Ações'!AX297="sim", 'Ações'!BE297="sim"), 1, 0)
</f>
        <v>0</v>
      </c>
      <c r="AI288" s="319">
        <f>IF(AND('Ações'!AX297="sim", 'Ações'!BF297="sim"), 1, 0)
</f>
        <v>0</v>
      </c>
      <c r="AJ288" s="319">
        <f>IF(AND('Ações'!AX297="sim", 'Ações'!BG297="sim"), 1, 0)
</f>
        <v>0</v>
      </c>
      <c r="AK288" s="319">
        <f>IF(AND('Ações'!AX297="sim", 'Ações'!BH297="sim"), 1, 0)
</f>
        <v>0</v>
      </c>
    </row>
    <row r="289">
      <c r="B289" s="319">
        <f>IF(AND('Ações'!AS298="sim", 'Ações'!BD298="sim"), 1, 0)
</f>
        <v>0</v>
      </c>
      <c r="C289" s="319">
        <f>IF(AND('Ações'!AT298="sim", 'Ações'!BE298="sim"), 1, 0)
</f>
        <v>0</v>
      </c>
      <c r="D289" s="319">
        <f>IF(AND('Ações'!AU298="sim", 'Ações'!BF298="sim"), 1, 0)
</f>
        <v>0</v>
      </c>
      <c r="E289" s="319">
        <f>IF(AND('Ações'!AV298="sim", 'Ações'!BG298="sim"), 1, 0)
</f>
        <v>0</v>
      </c>
      <c r="F289" s="319">
        <f>IF(AND('Ações'!AW298="sim", 'Ações'!BH298="sim"), 1, 0)
</f>
        <v>0</v>
      </c>
      <c r="G289" s="319">
        <f>IF(AND('Ações'!AX298="sim", 'Ações'!BI298="sim"), 1, 0)
</f>
        <v>0</v>
      </c>
      <c r="H289" s="319">
        <f>IF(AND('Ações'!AS298="sim", 'Ações'!BE298="sim"), 1, 0)
</f>
        <v>0</v>
      </c>
      <c r="I289" s="319">
        <f>IF(AND('Ações'!AS298="sim", 'Ações'!BF298="sim"), 1, 0)
</f>
        <v>0</v>
      </c>
      <c r="J289" s="319">
        <f>IF(AND('Ações'!AS298="sim", 'Ações'!BG298="sim"), 1, 0)
</f>
        <v>0</v>
      </c>
      <c r="K289" s="319">
        <f>IF(AND('Ações'!AS298="sim", 'Ações'!BH298="sim"), 1, 0)
</f>
        <v>0</v>
      </c>
      <c r="L289" s="319">
        <f>IF(AND('Ações'!AS298="sim", 'Ações'!BI298="sim"), 1, 0)
</f>
        <v>0</v>
      </c>
      <c r="M289" s="319">
        <f>IF(AND('Ações'!AT298="sim", 'Ações'!BD298="sim"), 1, 0)
</f>
        <v>0</v>
      </c>
      <c r="N289" s="319">
        <f>IF(AND('Ações'!AT298="sim", 'Ações'!BF298="sim"), 1, 0)
</f>
        <v>0</v>
      </c>
      <c r="O289" s="319">
        <f>IF(AND('Ações'!AT298="sim", 'Ações'!BG298="sim"), 1, 0)
</f>
        <v>0</v>
      </c>
      <c r="P289" s="319">
        <f>IF(AND('Ações'!AT298="sim", 'Ações'!BH298="sim"), 1, 0)
</f>
        <v>0</v>
      </c>
      <c r="Q289" s="319">
        <f>IF(AND('Ações'!AT298="sim", 'Ações'!BI298="sim"), 1, 0)
</f>
        <v>1</v>
      </c>
      <c r="R289" s="319">
        <f>IF(AND('Ações'!AU298="sim", 'Ações'!BD298="sim"), 1, 0)
</f>
        <v>0</v>
      </c>
      <c r="S289" s="319">
        <f>IF(AND('Ações'!AU298="sim", 'Ações'!BE298="sim"), 1, 0)
</f>
        <v>0</v>
      </c>
      <c r="T289" s="319">
        <f>IF(AND('Ações'!AU298="sim", 'Ações'!BG298="sim"), 1, 0)
</f>
        <v>0</v>
      </c>
      <c r="U289" s="319">
        <f>IF(AND('Ações'!AU298="sim", 'Ações'!BH298="sim"), 1, 0)
</f>
        <v>0</v>
      </c>
      <c r="V289" s="319">
        <f>IF(AND('Ações'!AU298="sim", 'Ações'!BI298="sim"), 1, 0)
</f>
        <v>0</v>
      </c>
      <c r="W289" s="319">
        <f>IF(AND('Ações'!AV298="sim", 'Ações'!BD298="sim"), 1, 0)
</f>
        <v>0</v>
      </c>
      <c r="X289" s="319">
        <f>IF(AND('Ações'!AV298="sim", 'Ações'!BE298="sim"), 1, 0)
</f>
        <v>0</v>
      </c>
      <c r="Y289" s="319">
        <f>IF(AND('Ações'!AV298="sim", 'Ações'!BF298="sim"), 1, 0)
</f>
        <v>0</v>
      </c>
      <c r="Z289" s="319">
        <f>IF(AND('Ações'!AV298="sim", 'Ações'!BH298="sim"), 1, 0)
</f>
        <v>0</v>
      </c>
      <c r="AA289" s="319">
        <f>IF(AND('Ações'!AV298="sim", 'Ações'!BI298="sim"), 1, 0)
</f>
        <v>1</v>
      </c>
      <c r="AB289" s="319">
        <f>IF(AND('Ações'!AW298="sim", 'Ações'!BD298="sim"), 1, 0)
</f>
        <v>0</v>
      </c>
      <c r="AC289" s="319">
        <f>IF(AND('Ações'!AW298="sim", 'Ações'!BE298="sim"), 1, 0)
</f>
        <v>0</v>
      </c>
      <c r="AD289" s="319">
        <f>IF(AND('Ações'!AW298="sim", 'Ações'!BF298="sim"), 1, 0)
</f>
        <v>0</v>
      </c>
      <c r="AE289" s="319">
        <f>IF(AND('Ações'!AW298="sim", 'Ações'!BG298="sim"), 1, 0)
</f>
        <v>0</v>
      </c>
      <c r="AF289" s="319">
        <f>IF(AND('Ações'!AW298="sim", 'Ações'!BI298="sim"), 1, 0)
</f>
        <v>1</v>
      </c>
      <c r="AG289" s="319">
        <f>IF(AND('Ações'!AX298="sim", 'Ações'!BD298="sim"), 1, 0)
</f>
        <v>0</v>
      </c>
      <c r="AH289" s="319">
        <f>IF(AND('Ações'!AX298="sim", 'Ações'!BE298="sim"), 1, 0)
</f>
        <v>0</v>
      </c>
      <c r="AI289" s="319">
        <f>IF(AND('Ações'!AX298="sim", 'Ações'!BF298="sim"), 1, 0)
</f>
        <v>0</v>
      </c>
      <c r="AJ289" s="319">
        <f>IF(AND('Ações'!AX298="sim", 'Ações'!BG298="sim"), 1, 0)
</f>
        <v>0</v>
      </c>
      <c r="AK289" s="319">
        <f>IF(AND('Ações'!AX298="sim", 'Ações'!BH298="sim"), 1, 0)
</f>
        <v>0</v>
      </c>
    </row>
    <row r="290">
      <c r="B290" s="319">
        <f>IF(AND('Ações'!AS299="sim", 'Ações'!BD299="sim"), 1, 0)
</f>
        <v>0</v>
      </c>
      <c r="C290" s="319">
        <f>IF(AND('Ações'!AT299="sim", 'Ações'!BE299="sim"), 1, 0)
</f>
        <v>0</v>
      </c>
      <c r="D290" s="319">
        <f>IF(AND('Ações'!AU299="sim", 'Ações'!BF299="sim"), 1, 0)
</f>
        <v>0</v>
      </c>
      <c r="E290" s="319">
        <f>IF(AND('Ações'!AV299="sim", 'Ações'!BG299="sim"), 1, 0)
</f>
        <v>0</v>
      </c>
      <c r="F290" s="319">
        <f>IF(AND('Ações'!AW299="sim", 'Ações'!BH299="sim"), 1, 0)
</f>
        <v>0</v>
      </c>
      <c r="G290" s="319">
        <f>IF(AND('Ações'!AX299="sim", 'Ações'!BI299="sim"), 1, 0)
</f>
        <v>0</v>
      </c>
      <c r="H290" s="319">
        <f>IF(AND('Ações'!AS299="sim", 'Ações'!BE299="sim"), 1, 0)
</f>
        <v>0</v>
      </c>
      <c r="I290" s="319">
        <f>IF(AND('Ações'!AS299="sim", 'Ações'!BF299="sim"), 1, 0)
</f>
        <v>0</v>
      </c>
      <c r="J290" s="319">
        <f>IF(AND('Ações'!AS299="sim", 'Ações'!BG299="sim"), 1, 0)
</f>
        <v>0</v>
      </c>
      <c r="K290" s="319">
        <f>IF(AND('Ações'!AS299="sim", 'Ações'!BH299="sim"), 1, 0)
</f>
        <v>0</v>
      </c>
      <c r="L290" s="319">
        <f>IF(AND('Ações'!AS299="sim", 'Ações'!BI299="sim"), 1, 0)
</f>
        <v>0</v>
      </c>
      <c r="M290" s="319">
        <f>IF(AND('Ações'!AT299="sim", 'Ações'!BD299="sim"), 1, 0)
</f>
        <v>0</v>
      </c>
      <c r="N290" s="319">
        <f>IF(AND('Ações'!AT299="sim", 'Ações'!BF299="sim"), 1, 0)
</f>
        <v>0</v>
      </c>
      <c r="O290" s="319">
        <f>IF(AND('Ações'!AT299="sim", 'Ações'!BG299="sim"), 1, 0)
</f>
        <v>0</v>
      </c>
      <c r="P290" s="319">
        <f>IF(AND('Ações'!AT299="sim", 'Ações'!BH299="sim"), 1, 0)
</f>
        <v>0</v>
      </c>
      <c r="Q290" s="319">
        <f>IF(AND('Ações'!AT299="sim", 'Ações'!BI299="sim"), 1, 0)
</f>
        <v>1</v>
      </c>
      <c r="R290" s="319">
        <f>IF(AND('Ações'!AU299="sim", 'Ações'!BD299="sim"), 1, 0)
</f>
        <v>0</v>
      </c>
      <c r="S290" s="319">
        <f>IF(AND('Ações'!AU299="sim", 'Ações'!BE299="sim"), 1, 0)
</f>
        <v>0</v>
      </c>
      <c r="T290" s="319">
        <f>IF(AND('Ações'!AU299="sim", 'Ações'!BG299="sim"), 1, 0)
</f>
        <v>0</v>
      </c>
      <c r="U290" s="319">
        <f>IF(AND('Ações'!AU299="sim", 'Ações'!BH299="sim"), 1, 0)
</f>
        <v>0</v>
      </c>
      <c r="V290" s="319">
        <f>IF(AND('Ações'!AU299="sim", 'Ações'!BI299="sim"), 1, 0)
</f>
        <v>0</v>
      </c>
      <c r="W290" s="319">
        <f>IF(AND('Ações'!AV299="sim", 'Ações'!BD299="sim"), 1, 0)
</f>
        <v>0</v>
      </c>
      <c r="X290" s="319">
        <f>IF(AND('Ações'!AV299="sim", 'Ações'!BE299="sim"), 1, 0)
</f>
        <v>0</v>
      </c>
      <c r="Y290" s="319">
        <f>IF(AND('Ações'!AV299="sim", 'Ações'!BF299="sim"), 1, 0)
</f>
        <v>0</v>
      </c>
      <c r="Z290" s="319">
        <f>IF(AND('Ações'!AV299="sim", 'Ações'!BH299="sim"), 1, 0)
</f>
        <v>0</v>
      </c>
      <c r="AA290" s="319">
        <f>IF(AND('Ações'!AV299="sim", 'Ações'!BI299="sim"), 1, 0)
</f>
        <v>1</v>
      </c>
      <c r="AB290" s="319">
        <f>IF(AND('Ações'!AW299="sim", 'Ações'!BD299="sim"), 1, 0)
</f>
        <v>0</v>
      </c>
      <c r="AC290" s="319">
        <f>IF(AND('Ações'!AW299="sim", 'Ações'!BE299="sim"), 1, 0)
</f>
        <v>0</v>
      </c>
      <c r="AD290" s="319">
        <f>IF(AND('Ações'!AW299="sim", 'Ações'!BF299="sim"), 1, 0)
</f>
        <v>0</v>
      </c>
      <c r="AE290" s="319">
        <f>IF(AND('Ações'!AW299="sim", 'Ações'!BG299="sim"), 1, 0)
</f>
        <v>0</v>
      </c>
      <c r="AF290" s="319">
        <f>IF(AND('Ações'!AW299="sim", 'Ações'!BI299="sim"), 1, 0)
</f>
        <v>1</v>
      </c>
      <c r="AG290" s="319">
        <f>IF(AND('Ações'!AX299="sim", 'Ações'!BD299="sim"), 1, 0)
</f>
        <v>0</v>
      </c>
      <c r="AH290" s="319">
        <f>IF(AND('Ações'!AX299="sim", 'Ações'!BE299="sim"), 1, 0)
</f>
        <v>0</v>
      </c>
      <c r="AI290" s="319">
        <f>IF(AND('Ações'!AX299="sim", 'Ações'!BF299="sim"), 1, 0)
</f>
        <v>0</v>
      </c>
      <c r="AJ290" s="319">
        <f>IF(AND('Ações'!AX299="sim", 'Ações'!BG299="sim"), 1, 0)
</f>
        <v>0</v>
      </c>
      <c r="AK290" s="319">
        <f>IF(AND('Ações'!AX299="sim", 'Ações'!BH299="sim"), 1, 0)
</f>
        <v>0</v>
      </c>
    </row>
    <row r="291">
      <c r="B291" s="319">
        <f>IF(AND('Ações'!AS300="sim", 'Ações'!BD300="sim"), 1, 0)
</f>
        <v>0</v>
      </c>
      <c r="C291" s="319">
        <f>IF(AND('Ações'!AT300="sim", 'Ações'!BE300="sim"), 1, 0)
</f>
        <v>0</v>
      </c>
      <c r="D291" s="319">
        <f>IF(AND('Ações'!AU300="sim", 'Ações'!BF300="sim"), 1, 0)
</f>
        <v>0</v>
      </c>
      <c r="E291" s="319">
        <f>IF(AND('Ações'!AV300="sim", 'Ações'!BG300="sim"), 1, 0)
</f>
        <v>0</v>
      </c>
      <c r="F291" s="319">
        <f>IF(AND('Ações'!AW300="sim", 'Ações'!BH300="sim"), 1, 0)
</f>
        <v>0</v>
      </c>
      <c r="G291" s="319">
        <f>IF(AND('Ações'!AX300="sim", 'Ações'!BI300="sim"), 1, 0)
</f>
        <v>0</v>
      </c>
      <c r="H291" s="319">
        <f>IF(AND('Ações'!AS300="sim", 'Ações'!BE300="sim"), 1, 0)
</f>
        <v>0</v>
      </c>
      <c r="I291" s="319">
        <f>IF(AND('Ações'!AS300="sim", 'Ações'!BF300="sim"), 1, 0)
</f>
        <v>0</v>
      </c>
      <c r="J291" s="319">
        <f>IF(AND('Ações'!AS300="sim", 'Ações'!BG300="sim"), 1, 0)
</f>
        <v>0</v>
      </c>
      <c r="K291" s="319">
        <f>IF(AND('Ações'!AS300="sim", 'Ações'!BH300="sim"), 1, 0)
</f>
        <v>0</v>
      </c>
      <c r="L291" s="319">
        <f>IF(AND('Ações'!AS300="sim", 'Ações'!BI300="sim"), 1, 0)
</f>
        <v>0</v>
      </c>
      <c r="M291" s="319">
        <f>IF(AND('Ações'!AT300="sim", 'Ações'!BD300="sim"), 1, 0)
</f>
        <v>0</v>
      </c>
      <c r="N291" s="319">
        <f>IF(AND('Ações'!AT300="sim", 'Ações'!BF300="sim"), 1, 0)
</f>
        <v>0</v>
      </c>
      <c r="O291" s="319">
        <f>IF(AND('Ações'!AT300="sim", 'Ações'!BG300="sim"), 1, 0)
</f>
        <v>0</v>
      </c>
      <c r="P291" s="319">
        <f>IF(AND('Ações'!AT300="sim", 'Ações'!BH300="sim"), 1, 0)
</f>
        <v>0</v>
      </c>
      <c r="Q291" s="319">
        <f>IF(AND('Ações'!AT300="sim", 'Ações'!BI300="sim"), 1, 0)
</f>
        <v>1</v>
      </c>
      <c r="R291" s="319">
        <f>IF(AND('Ações'!AU300="sim", 'Ações'!BD300="sim"), 1, 0)
</f>
        <v>0</v>
      </c>
      <c r="S291" s="319">
        <f>IF(AND('Ações'!AU300="sim", 'Ações'!BE300="sim"), 1, 0)
</f>
        <v>0</v>
      </c>
      <c r="T291" s="319">
        <f>IF(AND('Ações'!AU300="sim", 'Ações'!BG300="sim"), 1, 0)
</f>
        <v>0</v>
      </c>
      <c r="U291" s="319">
        <f>IF(AND('Ações'!AU300="sim", 'Ações'!BH300="sim"), 1, 0)
</f>
        <v>0</v>
      </c>
      <c r="V291" s="319">
        <f>IF(AND('Ações'!AU300="sim", 'Ações'!BI300="sim"), 1, 0)
</f>
        <v>0</v>
      </c>
      <c r="W291" s="319">
        <f>IF(AND('Ações'!AV300="sim", 'Ações'!BD300="sim"), 1, 0)
</f>
        <v>0</v>
      </c>
      <c r="X291" s="319">
        <f>IF(AND('Ações'!AV300="sim", 'Ações'!BE300="sim"), 1, 0)
</f>
        <v>0</v>
      </c>
      <c r="Y291" s="319">
        <f>IF(AND('Ações'!AV300="sim", 'Ações'!BF300="sim"), 1, 0)
</f>
        <v>0</v>
      </c>
      <c r="Z291" s="319">
        <f>IF(AND('Ações'!AV300="sim", 'Ações'!BH300="sim"), 1, 0)
</f>
        <v>0</v>
      </c>
      <c r="AA291" s="319">
        <f>IF(AND('Ações'!AV300="sim", 'Ações'!BI300="sim"), 1, 0)
</f>
        <v>1</v>
      </c>
      <c r="AB291" s="319">
        <f>IF(AND('Ações'!AW300="sim", 'Ações'!BD300="sim"), 1, 0)
</f>
        <v>0</v>
      </c>
      <c r="AC291" s="319">
        <f>IF(AND('Ações'!AW300="sim", 'Ações'!BE300="sim"), 1, 0)
</f>
        <v>0</v>
      </c>
      <c r="AD291" s="319">
        <f>IF(AND('Ações'!AW300="sim", 'Ações'!BF300="sim"), 1, 0)
</f>
        <v>0</v>
      </c>
      <c r="AE291" s="319">
        <f>IF(AND('Ações'!AW300="sim", 'Ações'!BG300="sim"), 1, 0)
</f>
        <v>0</v>
      </c>
      <c r="AF291" s="319">
        <f>IF(AND('Ações'!AW300="sim", 'Ações'!BI300="sim"), 1, 0)
</f>
        <v>1</v>
      </c>
      <c r="AG291" s="319">
        <f>IF(AND('Ações'!AX300="sim", 'Ações'!BD300="sim"), 1, 0)
</f>
        <v>0</v>
      </c>
      <c r="AH291" s="319">
        <f>IF(AND('Ações'!AX300="sim", 'Ações'!BE300="sim"), 1, 0)
</f>
        <v>0</v>
      </c>
      <c r="AI291" s="319">
        <f>IF(AND('Ações'!AX300="sim", 'Ações'!BF300="sim"), 1, 0)
</f>
        <v>0</v>
      </c>
      <c r="AJ291" s="319">
        <f>IF(AND('Ações'!AX300="sim", 'Ações'!BG300="sim"), 1, 0)
</f>
        <v>0</v>
      </c>
      <c r="AK291" s="319">
        <f>IF(AND('Ações'!AX300="sim", 'Ações'!BH300="sim"), 1, 0)
</f>
        <v>0</v>
      </c>
    </row>
    <row r="292">
      <c r="B292" s="319">
        <f>IF(AND('Ações'!AS301="sim", 'Ações'!BD301="sim"), 1, 0)
</f>
        <v>0</v>
      </c>
      <c r="C292" s="319">
        <f>IF(AND('Ações'!AT301="sim", 'Ações'!BE301="sim"), 1, 0)
</f>
        <v>0</v>
      </c>
      <c r="D292" s="319">
        <f>IF(AND('Ações'!AU301="sim", 'Ações'!BF301="sim"), 1, 0)
</f>
        <v>0</v>
      </c>
      <c r="E292" s="319">
        <f>IF(AND('Ações'!AV301="sim", 'Ações'!BG301="sim"), 1, 0)
</f>
        <v>0</v>
      </c>
      <c r="F292" s="319">
        <f>IF(AND('Ações'!AW301="sim", 'Ações'!BH301="sim"), 1, 0)
</f>
        <v>0</v>
      </c>
      <c r="G292" s="319">
        <f>IF(AND('Ações'!AX301="sim", 'Ações'!BI301="sim"), 1, 0)
</f>
        <v>0</v>
      </c>
      <c r="H292" s="319">
        <f>IF(AND('Ações'!AS301="sim", 'Ações'!BE301="sim"), 1, 0)
</f>
        <v>0</v>
      </c>
      <c r="I292" s="319">
        <f>IF(AND('Ações'!AS301="sim", 'Ações'!BF301="sim"), 1, 0)
</f>
        <v>0</v>
      </c>
      <c r="J292" s="319">
        <f>IF(AND('Ações'!AS301="sim", 'Ações'!BG301="sim"), 1, 0)
</f>
        <v>0</v>
      </c>
      <c r="K292" s="319">
        <f>IF(AND('Ações'!AS301="sim", 'Ações'!BH301="sim"), 1, 0)
</f>
        <v>0</v>
      </c>
      <c r="L292" s="319">
        <f>IF(AND('Ações'!AS301="sim", 'Ações'!BI301="sim"), 1, 0)
</f>
        <v>0</v>
      </c>
      <c r="M292" s="319">
        <f>IF(AND('Ações'!AT301="sim", 'Ações'!BD301="sim"), 1, 0)
</f>
        <v>1</v>
      </c>
      <c r="N292" s="319">
        <f>IF(AND('Ações'!AT301="sim", 'Ações'!BF301="sim"), 1, 0)
</f>
        <v>0</v>
      </c>
      <c r="O292" s="319">
        <f>IF(AND('Ações'!AT301="sim", 'Ações'!BG301="sim"), 1, 0)
</f>
        <v>0</v>
      </c>
      <c r="P292" s="319">
        <f>IF(AND('Ações'!AT301="sim", 'Ações'!BH301="sim"), 1, 0)
</f>
        <v>0</v>
      </c>
      <c r="Q292" s="319">
        <f>IF(AND('Ações'!AT301="sim", 'Ações'!BI301="sim"), 1, 0)
</f>
        <v>0</v>
      </c>
      <c r="R292" s="319">
        <f>IF(AND('Ações'!AU301="sim", 'Ações'!BD301="sim"), 1, 0)
</f>
        <v>0</v>
      </c>
      <c r="S292" s="319">
        <f>IF(AND('Ações'!AU301="sim", 'Ações'!BE301="sim"), 1, 0)
</f>
        <v>0</v>
      </c>
      <c r="T292" s="319">
        <f>IF(AND('Ações'!AU301="sim", 'Ações'!BG301="sim"), 1, 0)
</f>
        <v>0</v>
      </c>
      <c r="U292" s="319">
        <f>IF(AND('Ações'!AU301="sim", 'Ações'!BH301="sim"), 1, 0)
</f>
        <v>0</v>
      </c>
      <c r="V292" s="319">
        <f>IF(AND('Ações'!AU301="sim", 'Ações'!BI301="sim"), 1, 0)
</f>
        <v>0</v>
      </c>
      <c r="W292" s="319">
        <f>IF(AND('Ações'!AV301="sim", 'Ações'!BD301="sim"), 1, 0)
</f>
        <v>1</v>
      </c>
      <c r="X292" s="319">
        <f>IF(AND('Ações'!AV301="sim", 'Ações'!BE301="sim"), 1, 0)
</f>
        <v>0</v>
      </c>
      <c r="Y292" s="319">
        <f>IF(AND('Ações'!AV301="sim", 'Ações'!BF301="sim"), 1, 0)
</f>
        <v>0</v>
      </c>
      <c r="Z292" s="319">
        <f>IF(AND('Ações'!AV301="sim", 'Ações'!BH301="sim"), 1, 0)
</f>
        <v>0</v>
      </c>
      <c r="AA292" s="319">
        <f>IF(AND('Ações'!AV301="sim", 'Ações'!BI301="sim"), 1, 0)
</f>
        <v>0</v>
      </c>
      <c r="AB292" s="319">
        <f>IF(AND('Ações'!AW301="sim", 'Ações'!BD301="sim"), 1, 0)
</f>
        <v>1</v>
      </c>
      <c r="AC292" s="319">
        <f>IF(AND('Ações'!AW301="sim", 'Ações'!BE301="sim"), 1, 0)
</f>
        <v>0</v>
      </c>
      <c r="AD292" s="319">
        <f>IF(AND('Ações'!AW301="sim", 'Ações'!BF301="sim"), 1, 0)
</f>
        <v>0</v>
      </c>
      <c r="AE292" s="319">
        <f>IF(AND('Ações'!AW301="sim", 'Ações'!BG301="sim"), 1, 0)
</f>
        <v>0</v>
      </c>
      <c r="AF292" s="319">
        <f>IF(AND('Ações'!AW301="sim", 'Ações'!BI301="sim"), 1, 0)
</f>
        <v>0</v>
      </c>
      <c r="AG292" s="319">
        <f>IF(AND('Ações'!AX301="sim", 'Ações'!BD301="sim"), 1, 0)
</f>
        <v>0</v>
      </c>
      <c r="AH292" s="319">
        <f>IF(AND('Ações'!AX301="sim", 'Ações'!BE301="sim"), 1, 0)
</f>
        <v>0</v>
      </c>
      <c r="AI292" s="319">
        <f>IF(AND('Ações'!AX301="sim", 'Ações'!BF301="sim"), 1, 0)
</f>
        <v>0</v>
      </c>
      <c r="AJ292" s="319">
        <f>IF(AND('Ações'!AX301="sim", 'Ações'!BG301="sim"), 1, 0)
</f>
        <v>0</v>
      </c>
      <c r="AK292" s="319">
        <f>IF(AND('Ações'!AX301="sim", 'Ações'!BH301="sim"), 1, 0)
</f>
        <v>0</v>
      </c>
    </row>
    <row r="293">
      <c r="B293" s="319">
        <f>IF(AND('Ações'!AS302="sim", 'Ações'!BD302="sim"), 1, 0)
</f>
        <v>0</v>
      </c>
      <c r="C293" s="319">
        <f>IF(AND('Ações'!AT302="sim", 'Ações'!BE302="sim"), 1, 0)
</f>
        <v>0</v>
      </c>
      <c r="D293" s="319">
        <f>IF(AND('Ações'!AU302="sim", 'Ações'!BF302="sim"), 1, 0)
</f>
        <v>0</v>
      </c>
      <c r="E293" s="319">
        <f>IF(AND('Ações'!AV302="sim", 'Ações'!BG302="sim"), 1, 0)
</f>
        <v>0</v>
      </c>
      <c r="F293" s="319">
        <f>IF(AND('Ações'!AW302="sim", 'Ações'!BH302="sim"), 1, 0)
</f>
        <v>0</v>
      </c>
      <c r="G293" s="319">
        <f>IF(AND('Ações'!AX302="sim", 'Ações'!BI302="sim"), 1, 0)
</f>
        <v>0</v>
      </c>
      <c r="H293" s="319">
        <f>IF(AND('Ações'!AS302="sim", 'Ações'!BE302="sim"), 1, 0)
</f>
        <v>0</v>
      </c>
      <c r="I293" s="319">
        <f>IF(AND('Ações'!AS302="sim", 'Ações'!BF302="sim"), 1, 0)
</f>
        <v>0</v>
      </c>
      <c r="J293" s="319">
        <f>IF(AND('Ações'!AS302="sim", 'Ações'!BG302="sim"), 1, 0)
</f>
        <v>0</v>
      </c>
      <c r="K293" s="319">
        <f>IF(AND('Ações'!AS302="sim", 'Ações'!BH302="sim"), 1, 0)
</f>
        <v>0</v>
      </c>
      <c r="L293" s="319">
        <f>IF(AND('Ações'!AS302="sim", 'Ações'!BI302="sim"), 1, 0)
</f>
        <v>0</v>
      </c>
      <c r="M293" s="319">
        <f>IF(AND('Ações'!AT302="sim", 'Ações'!BD302="sim"), 1, 0)
</f>
        <v>0</v>
      </c>
      <c r="N293" s="319">
        <f>IF(AND('Ações'!AT302="sim", 'Ações'!BF302="sim"), 1, 0)
</f>
        <v>0</v>
      </c>
      <c r="O293" s="319">
        <f>IF(AND('Ações'!AT302="sim", 'Ações'!BG302="sim"), 1, 0)
</f>
        <v>0</v>
      </c>
      <c r="P293" s="319">
        <f>IF(AND('Ações'!AT302="sim", 'Ações'!BH302="sim"), 1, 0)
</f>
        <v>0</v>
      </c>
      <c r="Q293" s="319">
        <f>IF(AND('Ações'!AT302="sim", 'Ações'!BI302="sim"), 1, 0)
</f>
        <v>1</v>
      </c>
      <c r="R293" s="319">
        <f>IF(AND('Ações'!AU302="sim", 'Ações'!BD302="sim"), 1, 0)
</f>
        <v>0</v>
      </c>
      <c r="S293" s="319">
        <f>IF(AND('Ações'!AU302="sim", 'Ações'!BE302="sim"), 1, 0)
</f>
        <v>0</v>
      </c>
      <c r="T293" s="319">
        <f>IF(AND('Ações'!AU302="sim", 'Ações'!BG302="sim"), 1, 0)
</f>
        <v>0</v>
      </c>
      <c r="U293" s="319">
        <f>IF(AND('Ações'!AU302="sim", 'Ações'!BH302="sim"), 1, 0)
</f>
        <v>0</v>
      </c>
      <c r="V293" s="319">
        <f>IF(AND('Ações'!AU302="sim", 'Ações'!BI302="sim"), 1, 0)
</f>
        <v>0</v>
      </c>
      <c r="W293" s="319">
        <f>IF(AND('Ações'!AV302="sim", 'Ações'!BD302="sim"), 1, 0)
</f>
        <v>0</v>
      </c>
      <c r="X293" s="319">
        <f>IF(AND('Ações'!AV302="sim", 'Ações'!BE302="sim"), 1, 0)
</f>
        <v>0</v>
      </c>
      <c r="Y293" s="319">
        <f>IF(AND('Ações'!AV302="sim", 'Ações'!BF302="sim"), 1, 0)
</f>
        <v>0</v>
      </c>
      <c r="Z293" s="319">
        <f>IF(AND('Ações'!AV302="sim", 'Ações'!BH302="sim"), 1, 0)
</f>
        <v>0</v>
      </c>
      <c r="AA293" s="319">
        <f>IF(AND('Ações'!AV302="sim", 'Ações'!BI302="sim"), 1, 0)
</f>
        <v>1</v>
      </c>
      <c r="AB293" s="319">
        <f>IF(AND('Ações'!AW302="sim", 'Ações'!BD302="sim"), 1, 0)
</f>
        <v>0</v>
      </c>
      <c r="AC293" s="319">
        <f>IF(AND('Ações'!AW302="sim", 'Ações'!BE302="sim"), 1, 0)
</f>
        <v>0</v>
      </c>
      <c r="AD293" s="319">
        <f>IF(AND('Ações'!AW302="sim", 'Ações'!BF302="sim"), 1, 0)
</f>
        <v>0</v>
      </c>
      <c r="AE293" s="319">
        <f>IF(AND('Ações'!AW302="sim", 'Ações'!BG302="sim"), 1, 0)
</f>
        <v>0</v>
      </c>
      <c r="AF293" s="319">
        <f>IF(AND('Ações'!AW302="sim", 'Ações'!BI302="sim"), 1, 0)
</f>
        <v>1</v>
      </c>
      <c r="AG293" s="319">
        <f>IF(AND('Ações'!AX302="sim", 'Ações'!BD302="sim"), 1, 0)
</f>
        <v>0</v>
      </c>
      <c r="AH293" s="319">
        <f>IF(AND('Ações'!AX302="sim", 'Ações'!BE302="sim"), 1, 0)
</f>
        <v>0</v>
      </c>
      <c r="AI293" s="319">
        <f>IF(AND('Ações'!AX302="sim", 'Ações'!BF302="sim"), 1, 0)
</f>
        <v>0</v>
      </c>
      <c r="AJ293" s="319">
        <f>IF(AND('Ações'!AX302="sim", 'Ações'!BG302="sim"), 1, 0)
</f>
        <v>0</v>
      </c>
      <c r="AK293" s="319">
        <f>IF(AND('Ações'!AX302="sim", 'Ações'!BH302="sim"), 1, 0)
</f>
        <v>0</v>
      </c>
    </row>
    <row r="294">
      <c r="B294" s="319" t="str">
        <f t="shared" ref="B294:AK294" si="3">IF(AND(#REF!="sim", #REF!="sim"), 1, 0)
</f>
        <v>#REF!</v>
      </c>
      <c r="C294" s="319" t="str">
        <f t="shared" si="3"/>
        <v>#REF!</v>
      </c>
      <c r="D294" s="319" t="str">
        <f t="shared" si="3"/>
        <v>#REF!</v>
      </c>
      <c r="E294" s="319" t="str">
        <f t="shared" si="3"/>
        <v>#REF!</v>
      </c>
      <c r="F294" s="319" t="str">
        <f t="shared" si="3"/>
        <v>#REF!</v>
      </c>
      <c r="G294" s="319" t="str">
        <f t="shared" si="3"/>
        <v>#REF!</v>
      </c>
      <c r="H294" s="319" t="str">
        <f t="shared" si="3"/>
        <v>#REF!</v>
      </c>
      <c r="I294" s="319" t="str">
        <f t="shared" si="3"/>
        <v>#REF!</v>
      </c>
      <c r="J294" s="319" t="str">
        <f t="shared" si="3"/>
        <v>#REF!</v>
      </c>
      <c r="K294" s="319" t="str">
        <f t="shared" si="3"/>
        <v>#REF!</v>
      </c>
      <c r="L294" s="319" t="str">
        <f t="shared" si="3"/>
        <v>#REF!</v>
      </c>
      <c r="M294" s="319" t="str">
        <f t="shared" si="3"/>
        <v>#REF!</v>
      </c>
      <c r="N294" s="319" t="str">
        <f t="shared" si="3"/>
        <v>#REF!</v>
      </c>
      <c r="O294" s="319" t="str">
        <f t="shared" si="3"/>
        <v>#REF!</v>
      </c>
      <c r="P294" s="319" t="str">
        <f t="shared" si="3"/>
        <v>#REF!</v>
      </c>
      <c r="Q294" s="319" t="str">
        <f t="shared" si="3"/>
        <v>#REF!</v>
      </c>
      <c r="R294" s="319" t="str">
        <f t="shared" si="3"/>
        <v>#REF!</v>
      </c>
      <c r="S294" s="319" t="str">
        <f t="shared" si="3"/>
        <v>#REF!</v>
      </c>
      <c r="T294" s="319" t="str">
        <f t="shared" si="3"/>
        <v>#REF!</v>
      </c>
      <c r="U294" s="319" t="str">
        <f t="shared" si="3"/>
        <v>#REF!</v>
      </c>
      <c r="V294" s="319" t="str">
        <f t="shared" si="3"/>
        <v>#REF!</v>
      </c>
      <c r="W294" s="319" t="str">
        <f t="shared" si="3"/>
        <v>#REF!</v>
      </c>
      <c r="X294" s="319" t="str">
        <f t="shared" si="3"/>
        <v>#REF!</v>
      </c>
      <c r="Y294" s="319" t="str">
        <f t="shared" si="3"/>
        <v>#REF!</v>
      </c>
      <c r="Z294" s="319" t="str">
        <f t="shared" si="3"/>
        <v>#REF!</v>
      </c>
      <c r="AA294" s="319" t="str">
        <f t="shared" si="3"/>
        <v>#REF!</v>
      </c>
      <c r="AB294" s="319" t="str">
        <f t="shared" si="3"/>
        <v>#REF!</v>
      </c>
      <c r="AC294" s="319" t="str">
        <f t="shared" si="3"/>
        <v>#REF!</v>
      </c>
      <c r="AD294" s="319" t="str">
        <f t="shared" si="3"/>
        <v>#REF!</v>
      </c>
      <c r="AE294" s="319" t="str">
        <f t="shared" si="3"/>
        <v>#REF!</v>
      </c>
      <c r="AF294" s="319" t="str">
        <f t="shared" si="3"/>
        <v>#REF!</v>
      </c>
      <c r="AG294" s="319" t="str">
        <f t="shared" si="3"/>
        <v>#REF!</v>
      </c>
      <c r="AH294" s="319" t="str">
        <f t="shared" si="3"/>
        <v>#REF!</v>
      </c>
      <c r="AI294" s="319" t="str">
        <f t="shared" si="3"/>
        <v>#REF!</v>
      </c>
      <c r="AJ294" s="319" t="str">
        <f t="shared" si="3"/>
        <v>#REF!</v>
      </c>
      <c r="AK294" s="319" t="str">
        <f t="shared" si="3"/>
        <v>#REF!</v>
      </c>
    </row>
    <row r="295">
      <c r="B295" s="319">
        <f>IF(AND('Ações'!AS303="sim", 'Ações'!BD303="sim"), 1, 0)
</f>
        <v>0</v>
      </c>
      <c r="C295" s="319">
        <f>IF(AND('Ações'!AT303="sim", 'Ações'!BE303="sim"), 1, 0)
</f>
        <v>0</v>
      </c>
      <c r="D295" s="319">
        <f>IF(AND('Ações'!AU303="sim", 'Ações'!BF303="sim"), 1, 0)
</f>
        <v>0</v>
      </c>
      <c r="E295" s="319">
        <f>IF(AND('Ações'!AV303="sim", 'Ações'!BG303="sim"), 1, 0)
</f>
        <v>0</v>
      </c>
      <c r="F295" s="319">
        <f>IF(AND('Ações'!AW303="sim", 'Ações'!BH303="sim"), 1, 0)
</f>
        <v>0</v>
      </c>
      <c r="G295" s="319">
        <f>IF(AND('Ações'!AX303="sim", 'Ações'!BI303="sim"), 1, 0)
</f>
        <v>0</v>
      </c>
      <c r="H295" s="319">
        <f>IF(AND('Ações'!AS303="sim", 'Ações'!BE303="sim"), 1, 0)
</f>
        <v>0</v>
      </c>
      <c r="I295" s="319">
        <f>IF(AND('Ações'!AS303="sim", 'Ações'!BF303="sim"), 1, 0)
</f>
        <v>0</v>
      </c>
      <c r="J295" s="319">
        <f>IF(AND('Ações'!AS303="sim", 'Ações'!BG303="sim"), 1, 0)
</f>
        <v>0</v>
      </c>
      <c r="K295" s="319">
        <f>IF(AND('Ações'!AS303="sim", 'Ações'!BH303="sim"), 1, 0)
</f>
        <v>0</v>
      </c>
      <c r="L295" s="319">
        <f>IF(AND('Ações'!AS303="sim", 'Ações'!BI303="sim"), 1, 0)
</f>
        <v>0</v>
      </c>
      <c r="M295" s="319">
        <f>IF(AND('Ações'!AT303="sim", 'Ações'!BD303="sim"), 1, 0)
</f>
        <v>1</v>
      </c>
      <c r="N295" s="319">
        <f>IF(AND('Ações'!AT303="sim", 'Ações'!BF303="sim"), 1, 0)
</f>
        <v>0</v>
      </c>
      <c r="O295" s="319">
        <f>IF(AND('Ações'!AT303="sim", 'Ações'!BG303="sim"), 1, 0)
</f>
        <v>0</v>
      </c>
      <c r="P295" s="319">
        <f>IF(AND('Ações'!AT303="sim", 'Ações'!BH303="sim"), 1, 0)
</f>
        <v>0</v>
      </c>
      <c r="Q295" s="319">
        <f>IF(AND('Ações'!AT303="sim", 'Ações'!BI303="sim"), 1, 0)
</f>
        <v>0</v>
      </c>
      <c r="R295" s="319">
        <f>IF(AND('Ações'!AU303="sim", 'Ações'!BD303="sim"), 1, 0)
</f>
        <v>0</v>
      </c>
      <c r="S295" s="319">
        <f>IF(AND('Ações'!AU303="sim", 'Ações'!BE303="sim"), 1, 0)
</f>
        <v>0</v>
      </c>
      <c r="T295" s="319">
        <f>IF(AND('Ações'!AU303="sim", 'Ações'!BG303="sim"), 1, 0)
</f>
        <v>0</v>
      </c>
      <c r="U295" s="319">
        <f>IF(AND('Ações'!AU303="sim", 'Ações'!BH303="sim"), 1, 0)
</f>
        <v>0</v>
      </c>
      <c r="V295" s="319">
        <f>IF(AND('Ações'!AU303="sim", 'Ações'!BI303="sim"), 1, 0)
</f>
        <v>0</v>
      </c>
      <c r="W295" s="319">
        <f>IF(AND('Ações'!AV303="sim", 'Ações'!BD303="sim"), 1, 0)
</f>
        <v>1</v>
      </c>
      <c r="X295" s="319">
        <f>IF(AND('Ações'!AV303="sim", 'Ações'!BE303="sim"), 1, 0)
</f>
        <v>0</v>
      </c>
      <c r="Y295" s="319">
        <f>IF(AND('Ações'!AV303="sim", 'Ações'!BF303="sim"), 1, 0)
</f>
        <v>0</v>
      </c>
      <c r="Z295" s="319">
        <f>IF(AND('Ações'!AV303="sim", 'Ações'!BH303="sim"), 1, 0)
</f>
        <v>0</v>
      </c>
      <c r="AA295" s="319">
        <f>IF(AND('Ações'!AV303="sim", 'Ações'!BI303="sim"), 1, 0)
</f>
        <v>0</v>
      </c>
      <c r="AB295" s="319">
        <f>IF(AND('Ações'!AW303="sim", 'Ações'!BD303="sim"), 1, 0)
</f>
        <v>1</v>
      </c>
      <c r="AC295" s="319">
        <f>IF(AND('Ações'!AW303="sim", 'Ações'!BE303="sim"), 1, 0)
</f>
        <v>0</v>
      </c>
      <c r="AD295" s="319">
        <f>IF(AND('Ações'!AW303="sim", 'Ações'!BF303="sim"), 1, 0)
</f>
        <v>0</v>
      </c>
      <c r="AE295" s="319">
        <f>IF(AND('Ações'!AW303="sim", 'Ações'!BG303="sim"), 1, 0)
</f>
        <v>0</v>
      </c>
      <c r="AF295" s="319">
        <f>IF(AND('Ações'!AW303="sim", 'Ações'!BI303="sim"), 1, 0)
</f>
        <v>0</v>
      </c>
      <c r="AG295" s="319">
        <f>IF(AND('Ações'!AX303="sim", 'Ações'!BD303="sim"), 1, 0)
</f>
        <v>0</v>
      </c>
      <c r="AH295" s="319">
        <f>IF(AND('Ações'!AX303="sim", 'Ações'!BE303="sim"), 1, 0)
</f>
        <v>0</v>
      </c>
      <c r="AI295" s="319">
        <f>IF(AND('Ações'!AX303="sim", 'Ações'!BF303="sim"), 1, 0)
</f>
        <v>0</v>
      </c>
      <c r="AJ295" s="319">
        <f>IF(AND('Ações'!AX303="sim", 'Ações'!BG303="sim"), 1, 0)
</f>
        <v>0</v>
      </c>
      <c r="AK295" s="319">
        <f>IF(AND('Ações'!AX303="sim", 'Ações'!BH303="sim"), 1, 0)
</f>
        <v>0</v>
      </c>
    </row>
    <row r="296">
      <c r="B296" s="319">
        <f>IF(AND('Ações'!AS304="sim", 'Ações'!BD304="sim"), 1, 0)
</f>
        <v>0</v>
      </c>
      <c r="C296" s="319">
        <f>IF(AND('Ações'!AT304="sim", 'Ações'!BE304="sim"), 1, 0)
</f>
        <v>0</v>
      </c>
      <c r="D296" s="319">
        <f>IF(AND('Ações'!AU304="sim", 'Ações'!BF304="sim"), 1, 0)
</f>
        <v>0</v>
      </c>
      <c r="E296" s="319">
        <f>IF(AND('Ações'!AV304="sim", 'Ações'!BG304="sim"), 1, 0)
</f>
        <v>0</v>
      </c>
      <c r="F296" s="319">
        <f>IF(AND('Ações'!AW304="sim", 'Ações'!BH304="sim"), 1, 0)
</f>
        <v>0</v>
      </c>
      <c r="G296" s="319">
        <f>IF(AND('Ações'!AX304="sim", 'Ações'!BI304="sim"), 1, 0)
</f>
        <v>0</v>
      </c>
      <c r="H296" s="319">
        <f>IF(AND('Ações'!AS304="sim", 'Ações'!BE304="sim"), 1, 0)
</f>
        <v>0</v>
      </c>
      <c r="I296" s="319">
        <f>IF(AND('Ações'!AS304="sim", 'Ações'!BF304="sim"), 1, 0)
</f>
        <v>0</v>
      </c>
      <c r="J296" s="319">
        <f>IF(AND('Ações'!AS304="sim", 'Ações'!BG304="sim"), 1, 0)
</f>
        <v>0</v>
      </c>
      <c r="K296" s="319">
        <f>IF(AND('Ações'!AS304="sim", 'Ações'!BH304="sim"), 1, 0)
</f>
        <v>0</v>
      </c>
      <c r="L296" s="319">
        <f>IF(AND('Ações'!AS304="sim", 'Ações'!BI304="sim"), 1, 0)
</f>
        <v>1</v>
      </c>
      <c r="M296" s="319">
        <f>IF(AND('Ações'!AT304="sim", 'Ações'!BD304="sim"), 1, 0)
</f>
        <v>0</v>
      </c>
      <c r="N296" s="319">
        <f>IF(AND('Ações'!AT304="sim", 'Ações'!BF304="sim"), 1, 0)
</f>
        <v>0</v>
      </c>
      <c r="O296" s="319">
        <f>IF(AND('Ações'!AT304="sim", 'Ações'!BG304="sim"), 1, 0)
</f>
        <v>0</v>
      </c>
      <c r="P296" s="319">
        <f>IF(AND('Ações'!AT304="sim", 'Ações'!BH304="sim"), 1, 0)
</f>
        <v>0</v>
      </c>
      <c r="Q296" s="319">
        <f>IF(AND('Ações'!AT304="sim", 'Ações'!BI304="sim"), 1, 0)
</f>
        <v>1</v>
      </c>
      <c r="R296" s="319">
        <f>IF(AND('Ações'!AU304="sim", 'Ações'!BD304="sim"), 1, 0)
</f>
        <v>0</v>
      </c>
      <c r="S296" s="319">
        <f>IF(AND('Ações'!AU304="sim", 'Ações'!BE304="sim"), 1, 0)
</f>
        <v>0</v>
      </c>
      <c r="T296" s="319">
        <f>IF(AND('Ações'!AU304="sim", 'Ações'!BG304="sim"), 1, 0)
</f>
        <v>0</v>
      </c>
      <c r="U296" s="319">
        <f>IF(AND('Ações'!AU304="sim", 'Ações'!BH304="sim"), 1, 0)
</f>
        <v>0</v>
      </c>
      <c r="V296" s="319">
        <f>IF(AND('Ações'!AU304="sim", 'Ações'!BI304="sim"), 1, 0)
</f>
        <v>1</v>
      </c>
      <c r="W296" s="319">
        <f>IF(AND('Ações'!AV304="sim", 'Ações'!BD304="sim"), 1, 0)
</f>
        <v>0</v>
      </c>
      <c r="X296" s="319">
        <f>IF(AND('Ações'!AV304="sim", 'Ações'!BE304="sim"), 1, 0)
</f>
        <v>0</v>
      </c>
      <c r="Y296" s="319">
        <f>IF(AND('Ações'!AV304="sim", 'Ações'!BF304="sim"), 1, 0)
</f>
        <v>0</v>
      </c>
      <c r="Z296" s="319">
        <f>IF(AND('Ações'!AV304="sim", 'Ações'!BH304="sim"), 1, 0)
</f>
        <v>0</v>
      </c>
      <c r="AA296" s="319">
        <f>IF(AND('Ações'!AV304="sim", 'Ações'!BI304="sim"), 1, 0)
</f>
        <v>1</v>
      </c>
      <c r="AB296" s="319">
        <f>IF(AND('Ações'!AW304="sim", 'Ações'!BD304="sim"), 1, 0)
</f>
        <v>0</v>
      </c>
      <c r="AC296" s="319">
        <f>IF(AND('Ações'!AW304="sim", 'Ações'!BE304="sim"), 1, 0)
</f>
        <v>0</v>
      </c>
      <c r="AD296" s="319">
        <f>IF(AND('Ações'!AW304="sim", 'Ações'!BF304="sim"), 1, 0)
</f>
        <v>0</v>
      </c>
      <c r="AE296" s="319">
        <f>IF(AND('Ações'!AW304="sim", 'Ações'!BG304="sim"), 1, 0)
</f>
        <v>0</v>
      </c>
      <c r="AF296" s="319">
        <f>IF(AND('Ações'!AW304="sim", 'Ações'!BI304="sim"), 1, 0)
</f>
        <v>1</v>
      </c>
      <c r="AG296" s="319">
        <f>IF(AND('Ações'!AX304="sim", 'Ações'!BD304="sim"), 1, 0)
</f>
        <v>0</v>
      </c>
      <c r="AH296" s="319">
        <f>IF(AND('Ações'!AX304="sim", 'Ações'!BE304="sim"), 1, 0)
</f>
        <v>0</v>
      </c>
      <c r="AI296" s="319">
        <f>IF(AND('Ações'!AX304="sim", 'Ações'!BF304="sim"), 1, 0)
</f>
        <v>0</v>
      </c>
      <c r="AJ296" s="319">
        <f>IF(AND('Ações'!AX304="sim", 'Ações'!BG304="sim"), 1, 0)
</f>
        <v>0</v>
      </c>
      <c r="AK296" s="319">
        <f>IF(AND('Ações'!AX304="sim", 'Ações'!BH304="sim"), 1, 0)
</f>
        <v>0</v>
      </c>
    </row>
    <row r="297">
      <c r="B297" s="319">
        <f>IF(AND('Ações'!AS305="sim", 'Ações'!BD305="sim"), 1, 0)
</f>
        <v>0</v>
      </c>
      <c r="C297" s="319">
        <f>IF(AND('Ações'!AT305="sim", 'Ações'!BE305="sim"), 1, 0)
</f>
        <v>0</v>
      </c>
      <c r="D297" s="319">
        <f>IF(AND('Ações'!AU305="sim", 'Ações'!BF305="sim"), 1, 0)
</f>
        <v>0</v>
      </c>
      <c r="E297" s="319">
        <f>IF(AND('Ações'!AV305="sim", 'Ações'!BG305="sim"), 1, 0)
</f>
        <v>1</v>
      </c>
      <c r="F297" s="319">
        <f>IF(AND('Ações'!AW305="sim", 'Ações'!BH305="sim"), 1, 0)
</f>
        <v>0</v>
      </c>
      <c r="G297" s="319">
        <f>IF(AND('Ações'!AX305="sim", 'Ações'!BI305="sim"), 1, 0)
</f>
        <v>0</v>
      </c>
      <c r="H297" s="319">
        <f>IF(AND('Ações'!AS305="sim", 'Ações'!BE305="sim"), 1, 0)
</f>
        <v>0</v>
      </c>
      <c r="I297" s="319">
        <f>IF(AND('Ações'!AS305="sim", 'Ações'!BF305="sim"), 1, 0)
</f>
        <v>0</v>
      </c>
      <c r="J297" s="319">
        <f>IF(AND('Ações'!AS305="sim", 'Ações'!BG305="sim"), 1, 0)
</f>
        <v>1</v>
      </c>
      <c r="K297" s="319">
        <f>IF(AND('Ações'!AS305="sim", 'Ações'!BH305="sim"), 1, 0)
</f>
        <v>0</v>
      </c>
      <c r="L297" s="319">
        <f>IF(AND('Ações'!AS305="sim", 'Ações'!BI305="sim"), 1, 0)
</f>
        <v>0</v>
      </c>
      <c r="M297" s="319">
        <f>IF(AND('Ações'!AT305="sim", 'Ações'!BD305="sim"), 1, 0)
</f>
        <v>0</v>
      </c>
      <c r="N297" s="319">
        <f>IF(AND('Ações'!AT305="sim", 'Ações'!BF305="sim"), 1, 0)
</f>
        <v>0</v>
      </c>
      <c r="O297" s="319">
        <f>IF(AND('Ações'!AT305="sim", 'Ações'!BG305="sim"), 1, 0)
</f>
        <v>1</v>
      </c>
      <c r="P297" s="319">
        <f>IF(AND('Ações'!AT305="sim", 'Ações'!BH305="sim"), 1, 0)
</f>
        <v>0</v>
      </c>
      <c r="Q297" s="319">
        <f>IF(AND('Ações'!AT305="sim", 'Ações'!BI305="sim"), 1, 0)
</f>
        <v>0</v>
      </c>
      <c r="R297" s="319">
        <f>IF(AND('Ações'!AU305="sim", 'Ações'!BD305="sim"), 1, 0)
</f>
        <v>0</v>
      </c>
      <c r="S297" s="319">
        <f>IF(AND('Ações'!AU305="sim", 'Ações'!BE305="sim"), 1, 0)
</f>
        <v>0</v>
      </c>
      <c r="T297" s="319">
        <f>IF(AND('Ações'!AU305="sim", 'Ações'!BG305="sim"), 1, 0)
</f>
        <v>1</v>
      </c>
      <c r="U297" s="319">
        <f>IF(AND('Ações'!AU305="sim", 'Ações'!BH305="sim"), 1, 0)
</f>
        <v>0</v>
      </c>
      <c r="V297" s="319">
        <f>IF(AND('Ações'!AU305="sim", 'Ações'!BI305="sim"), 1, 0)
</f>
        <v>0</v>
      </c>
      <c r="W297" s="319">
        <f>IF(AND('Ações'!AV305="sim", 'Ações'!BD305="sim"), 1, 0)
</f>
        <v>0</v>
      </c>
      <c r="X297" s="319">
        <f>IF(AND('Ações'!AV305="sim", 'Ações'!BE305="sim"), 1, 0)
</f>
        <v>0</v>
      </c>
      <c r="Y297" s="319">
        <f>IF(AND('Ações'!AV305="sim", 'Ações'!BF305="sim"), 1, 0)
</f>
        <v>0</v>
      </c>
      <c r="Z297" s="319">
        <f>IF(AND('Ações'!AV305="sim", 'Ações'!BH305="sim"), 1, 0)
</f>
        <v>0</v>
      </c>
      <c r="AA297" s="319">
        <f>IF(AND('Ações'!AV305="sim", 'Ações'!BI305="sim"), 1, 0)
</f>
        <v>0</v>
      </c>
      <c r="AB297" s="319">
        <f>IF(AND('Ações'!AW305="sim", 'Ações'!BD305="sim"), 1, 0)
</f>
        <v>0</v>
      </c>
      <c r="AC297" s="319">
        <f>IF(AND('Ações'!AW305="sim", 'Ações'!BE305="sim"), 1, 0)
</f>
        <v>0</v>
      </c>
      <c r="AD297" s="319">
        <f>IF(AND('Ações'!AW305="sim", 'Ações'!BF305="sim"), 1, 0)
</f>
        <v>0</v>
      </c>
      <c r="AE297" s="319">
        <f>IF(AND('Ações'!AW305="sim", 'Ações'!BG305="sim"), 1, 0)
</f>
        <v>1</v>
      </c>
      <c r="AF297" s="319">
        <f>IF(AND('Ações'!AW305="sim", 'Ações'!BI305="sim"), 1, 0)
</f>
        <v>0</v>
      </c>
      <c r="AG297" s="319">
        <f>IF(AND('Ações'!AX305="sim", 'Ações'!BD305="sim"), 1, 0)
</f>
        <v>0</v>
      </c>
      <c r="AH297" s="319">
        <f>IF(AND('Ações'!AX305="sim", 'Ações'!BE305="sim"), 1, 0)
</f>
        <v>0</v>
      </c>
      <c r="AI297" s="319">
        <f>IF(AND('Ações'!AX305="sim", 'Ações'!BF305="sim"), 1, 0)
</f>
        <v>0</v>
      </c>
      <c r="AJ297" s="319">
        <f>IF(AND('Ações'!AX305="sim", 'Ações'!BG305="sim"), 1, 0)
</f>
        <v>0</v>
      </c>
      <c r="AK297" s="319">
        <f>IF(AND('Ações'!AX305="sim", 'Ações'!BH305="sim"), 1, 0)
</f>
        <v>0</v>
      </c>
    </row>
    <row r="298">
      <c r="B298" s="319">
        <f>IF(AND('Ações'!AS306="sim", 'Ações'!BD306="sim"), 1, 0)
</f>
        <v>1</v>
      </c>
      <c r="C298" s="319">
        <f>IF(AND('Ações'!AT306="sim", 'Ações'!BE306="sim"), 1, 0)
</f>
        <v>0</v>
      </c>
      <c r="D298" s="319">
        <f>IF(AND('Ações'!AU306="sim", 'Ações'!BF306="sim"), 1, 0)
</f>
        <v>0</v>
      </c>
      <c r="E298" s="319">
        <f>IF(AND('Ações'!AV306="sim", 'Ações'!BG306="sim"), 1, 0)
</f>
        <v>0</v>
      </c>
      <c r="F298" s="319">
        <f>IF(AND('Ações'!AW306="sim", 'Ações'!BH306="sim"), 1, 0)
</f>
        <v>0</v>
      </c>
      <c r="G298" s="319">
        <f>IF(AND('Ações'!AX306="sim", 'Ações'!BI306="sim"), 1, 0)
</f>
        <v>0</v>
      </c>
      <c r="H298" s="319">
        <f>IF(AND('Ações'!AS306="sim", 'Ações'!BE306="sim"), 1, 0)
</f>
        <v>0</v>
      </c>
      <c r="I298" s="319">
        <f>IF(AND('Ações'!AS306="sim", 'Ações'!BF306="sim"), 1, 0)
</f>
        <v>0</v>
      </c>
      <c r="J298" s="319">
        <f>IF(AND('Ações'!AS306="sim", 'Ações'!BG306="sim"), 1, 0)
</f>
        <v>0</v>
      </c>
      <c r="K298" s="319">
        <f>IF(AND('Ações'!AS306="sim", 'Ações'!BH306="sim"), 1, 0)
</f>
        <v>0</v>
      </c>
      <c r="L298" s="319">
        <f>IF(AND('Ações'!AS306="sim", 'Ações'!BI306="sim"), 1, 0)
</f>
        <v>0</v>
      </c>
      <c r="M298" s="319">
        <f>IF(AND('Ações'!AT306="sim", 'Ações'!BD306="sim"), 1, 0)
</f>
        <v>1</v>
      </c>
      <c r="N298" s="319">
        <f>IF(AND('Ações'!AT306="sim", 'Ações'!BF306="sim"), 1, 0)
</f>
        <v>0</v>
      </c>
      <c r="O298" s="319">
        <f>IF(AND('Ações'!AT306="sim", 'Ações'!BG306="sim"), 1, 0)
</f>
        <v>0</v>
      </c>
      <c r="P298" s="319">
        <f>IF(AND('Ações'!AT306="sim", 'Ações'!BH306="sim"), 1, 0)
</f>
        <v>0</v>
      </c>
      <c r="Q298" s="319">
        <f>IF(AND('Ações'!AT306="sim", 'Ações'!BI306="sim"), 1, 0)
</f>
        <v>0</v>
      </c>
      <c r="R298" s="319">
        <f>IF(AND('Ações'!AU306="sim", 'Ações'!BD306="sim"), 1, 0)
</f>
        <v>1</v>
      </c>
      <c r="S298" s="319">
        <f>IF(AND('Ações'!AU306="sim", 'Ações'!BE306="sim"), 1, 0)
</f>
        <v>0</v>
      </c>
      <c r="T298" s="319">
        <f>IF(AND('Ações'!AU306="sim", 'Ações'!BG306="sim"), 1, 0)
</f>
        <v>0</v>
      </c>
      <c r="U298" s="319">
        <f>IF(AND('Ações'!AU306="sim", 'Ações'!BH306="sim"), 1, 0)
</f>
        <v>0</v>
      </c>
      <c r="V298" s="319">
        <f>IF(AND('Ações'!AU306="sim", 'Ações'!BI306="sim"), 1, 0)
</f>
        <v>0</v>
      </c>
      <c r="W298" s="319">
        <f>IF(AND('Ações'!AV306="sim", 'Ações'!BD306="sim"), 1, 0)
</f>
        <v>1</v>
      </c>
      <c r="X298" s="319">
        <f>IF(AND('Ações'!AV306="sim", 'Ações'!BE306="sim"), 1, 0)
</f>
        <v>0</v>
      </c>
      <c r="Y298" s="319">
        <f>IF(AND('Ações'!AV306="sim", 'Ações'!BF306="sim"), 1, 0)
</f>
        <v>0</v>
      </c>
      <c r="Z298" s="319">
        <f>IF(AND('Ações'!AV306="sim", 'Ações'!BH306="sim"), 1, 0)
</f>
        <v>0</v>
      </c>
      <c r="AA298" s="319">
        <f>IF(AND('Ações'!AV306="sim", 'Ações'!BI306="sim"), 1, 0)
</f>
        <v>0</v>
      </c>
      <c r="AB298" s="319">
        <f>IF(AND('Ações'!AW306="sim", 'Ações'!BD306="sim"), 1, 0)
</f>
        <v>1</v>
      </c>
      <c r="AC298" s="319">
        <f>IF(AND('Ações'!AW306="sim", 'Ações'!BE306="sim"), 1, 0)
</f>
        <v>0</v>
      </c>
      <c r="AD298" s="319">
        <f>IF(AND('Ações'!AW306="sim", 'Ações'!BF306="sim"), 1, 0)
</f>
        <v>0</v>
      </c>
      <c r="AE298" s="319">
        <f>IF(AND('Ações'!AW306="sim", 'Ações'!BG306="sim"), 1, 0)
</f>
        <v>0</v>
      </c>
      <c r="AF298" s="319">
        <f>IF(AND('Ações'!AW306="sim", 'Ações'!BI306="sim"), 1, 0)
</f>
        <v>0</v>
      </c>
      <c r="AG298" s="319">
        <f>IF(AND('Ações'!AX306="sim", 'Ações'!BD306="sim"), 1, 0)
</f>
        <v>0</v>
      </c>
      <c r="AH298" s="319">
        <f>IF(AND('Ações'!AX306="sim", 'Ações'!BE306="sim"), 1, 0)
</f>
        <v>0</v>
      </c>
      <c r="AI298" s="319">
        <f>IF(AND('Ações'!AX306="sim", 'Ações'!BF306="sim"), 1, 0)
</f>
        <v>0</v>
      </c>
      <c r="AJ298" s="319">
        <f>IF(AND('Ações'!AX306="sim", 'Ações'!BG306="sim"), 1, 0)
</f>
        <v>0</v>
      </c>
      <c r="AK298" s="319">
        <f>IF(AND('Ações'!AX306="sim", 'Ações'!BH306="sim"), 1, 0)
</f>
        <v>0</v>
      </c>
    </row>
    <row r="299">
      <c r="B299" s="319">
        <f>IF(AND('Ações'!AS307="sim", 'Ações'!BD307="sim"), 1, 0)
</f>
        <v>0</v>
      </c>
      <c r="C299" s="319">
        <f>IF(AND('Ações'!AT307="sim", 'Ações'!BE307="sim"), 1, 0)
</f>
        <v>0</v>
      </c>
      <c r="D299" s="319">
        <f>IF(AND('Ações'!AU307="sim", 'Ações'!BF307="sim"), 1, 0)
</f>
        <v>0</v>
      </c>
      <c r="E299" s="319">
        <f>IF(AND('Ações'!AV307="sim", 'Ações'!BG307="sim"), 1, 0)
</f>
        <v>0</v>
      </c>
      <c r="F299" s="319">
        <f>IF(AND('Ações'!AW307="sim", 'Ações'!BH307="sim"), 1, 0)
</f>
        <v>0</v>
      </c>
      <c r="G299" s="319">
        <f>IF(AND('Ações'!AX307="sim", 'Ações'!BI307="sim"), 1, 0)
</f>
        <v>0</v>
      </c>
      <c r="H299" s="319">
        <f>IF(AND('Ações'!AS307="sim", 'Ações'!BE307="sim"), 1, 0)
</f>
        <v>0</v>
      </c>
      <c r="I299" s="319">
        <f>IF(AND('Ações'!AS307="sim", 'Ações'!BF307="sim"), 1, 0)
</f>
        <v>0</v>
      </c>
      <c r="J299" s="319">
        <f>IF(AND('Ações'!AS307="sim", 'Ações'!BG307="sim"), 1, 0)
</f>
        <v>0</v>
      </c>
      <c r="K299" s="319">
        <f>IF(AND('Ações'!AS307="sim", 'Ações'!BH307="sim"), 1, 0)
</f>
        <v>0</v>
      </c>
      <c r="L299" s="319">
        <f>IF(AND('Ações'!AS307="sim", 'Ações'!BI307="sim"), 1, 0)
</f>
        <v>1</v>
      </c>
      <c r="M299" s="319">
        <f>IF(AND('Ações'!AT307="sim", 'Ações'!BD307="sim"), 1, 0)
</f>
        <v>0</v>
      </c>
      <c r="N299" s="319">
        <f>IF(AND('Ações'!AT307="sim", 'Ações'!BF307="sim"), 1, 0)
</f>
        <v>0</v>
      </c>
      <c r="O299" s="319">
        <f>IF(AND('Ações'!AT307="sim", 'Ações'!BG307="sim"), 1, 0)
</f>
        <v>0</v>
      </c>
      <c r="P299" s="319">
        <f>IF(AND('Ações'!AT307="sim", 'Ações'!BH307="sim"), 1, 0)
</f>
        <v>0</v>
      </c>
      <c r="Q299" s="319">
        <f>IF(AND('Ações'!AT307="sim", 'Ações'!BI307="sim"), 1, 0)
</f>
        <v>1</v>
      </c>
      <c r="R299" s="319">
        <f>IF(AND('Ações'!AU307="sim", 'Ações'!BD307="sim"), 1, 0)
</f>
        <v>0</v>
      </c>
      <c r="S299" s="319">
        <f>IF(AND('Ações'!AU307="sim", 'Ações'!BE307="sim"), 1, 0)
</f>
        <v>0</v>
      </c>
      <c r="T299" s="319">
        <f>IF(AND('Ações'!AU307="sim", 'Ações'!BG307="sim"), 1, 0)
</f>
        <v>0</v>
      </c>
      <c r="U299" s="319">
        <f>IF(AND('Ações'!AU307="sim", 'Ações'!BH307="sim"), 1, 0)
</f>
        <v>0</v>
      </c>
      <c r="V299" s="319">
        <f>IF(AND('Ações'!AU307="sim", 'Ações'!BI307="sim"), 1, 0)
</f>
        <v>1</v>
      </c>
      <c r="W299" s="319">
        <f>IF(AND('Ações'!AV307="sim", 'Ações'!BD307="sim"), 1, 0)
</f>
        <v>0</v>
      </c>
      <c r="X299" s="319">
        <f>IF(AND('Ações'!AV307="sim", 'Ações'!BE307="sim"), 1, 0)
</f>
        <v>0</v>
      </c>
      <c r="Y299" s="319">
        <f>IF(AND('Ações'!AV307="sim", 'Ações'!BF307="sim"), 1, 0)
</f>
        <v>0</v>
      </c>
      <c r="Z299" s="319">
        <f>IF(AND('Ações'!AV307="sim", 'Ações'!BH307="sim"), 1, 0)
</f>
        <v>0</v>
      </c>
      <c r="AA299" s="319">
        <f>IF(AND('Ações'!AV307="sim", 'Ações'!BI307="sim"), 1, 0)
</f>
        <v>1</v>
      </c>
      <c r="AB299" s="319">
        <f>IF(AND('Ações'!AW307="sim", 'Ações'!BD307="sim"), 1, 0)
</f>
        <v>0</v>
      </c>
      <c r="AC299" s="319">
        <f>IF(AND('Ações'!AW307="sim", 'Ações'!BE307="sim"), 1, 0)
</f>
        <v>0</v>
      </c>
      <c r="AD299" s="319">
        <f>IF(AND('Ações'!AW307="sim", 'Ações'!BF307="sim"), 1, 0)
</f>
        <v>0</v>
      </c>
      <c r="AE299" s="319">
        <f>IF(AND('Ações'!AW307="sim", 'Ações'!BG307="sim"), 1, 0)
</f>
        <v>0</v>
      </c>
      <c r="AF299" s="319">
        <f>IF(AND('Ações'!AW307="sim", 'Ações'!BI307="sim"), 1, 0)
</f>
        <v>1</v>
      </c>
      <c r="AG299" s="319">
        <f>IF(AND('Ações'!AX307="sim", 'Ações'!BD307="sim"), 1, 0)
</f>
        <v>0</v>
      </c>
      <c r="AH299" s="319">
        <f>IF(AND('Ações'!AX307="sim", 'Ações'!BE307="sim"), 1, 0)
</f>
        <v>0</v>
      </c>
      <c r="AI299" s="319">
        <f>IF(AND('Ações'!AX307="sim", 'Ações'!BF307="sim"), 1, 0)
</f>
        <v>0</v>
      </c>
      <c r="AJ299" s="319">
        <f>IF(AND('Ações'!AX307="sim", 'Ações'!BG307="sim"), 1, 0)
</f>
        <v>0</v>
      </c>
      <c r="AK299" s="319">
        <f>IF(AND('Ações'!AX307="sim", 'Ações'!BH307="sim"), 1, 0)
</f>
        <v>0</v>
      </c>
    </row>
    <row r="300">
      <c r="B300" s="319">
        <f>IF(AND('Ações'!AS308="sim", 'Ações'!BD308="sim"), 1, 0)
</f>
        <v>0</v>
      </c>
      <c r="C300" s="319">
        <f>IF(AND('Ações'!AT308="sim", 'Ações'!BE308="sim"), 1, 0)
</f>
        <v>0</v>
      </c>
      <c r="D300" s="319">
        <f>IF(AND('Ações'!AU308="sim", 'Ações'!BF308="sim"), 1, 0)
</f>
        <v>0</v>
      </c>
      <c r="E300" s="319">
        <f>IF(AND('Ações'!AV308="sim", 'Ações'!BG308="sim"), 1, 0)
</f>
        <v>0</v>
      </c>
      <c r="F300" s="319">
        <f>IF(AND('Ações'!AW308="sim", 'Ações'!BH308="sim"), 1, 0)
</f>
        <v>0</v>
      </c>
      <c r="G300" s="319">
        <f>IF(AND('Ações'!AX308="sim", 'Ações'!BI308="sim"), 1, 0)
</f>
        <v>0</v>
      </c>
      <c r="H300" s="319">
        <f>IF(AND('Ações'!AS308="sim", 'Ações'!BE308="sim"), 1, 0)
</f>
        <v>0</v>
      </c>
      <c r="I300" s="319">
        <f>IF(AND('Ações'!AS308="sim", 'Ações'!BF308="sim"), 1, 0)
</f>
        <v>0</v>
      </c>
      <c r="J300" s="319">
        <f>IF(AND('Ações'!AS308="sim", 'Ações'!BG308="sim"), 1, 0)
</f>
        <v>0</v>
      </c>
      <c r="K300" s="319">
        <f>IF(AND('Ações'!AS308="sim", 'Ações'!BH308="sim"), 1, 0)
</f>
        <v>0</v>
      </c>
      <c r="L300" s="319">
        <f>IF(AND('Ações'!AS308="sim", 'Ações'!BI308="sim"), 1, 0)
</f>
        <v>1</v>
      </c>
      <c r="M300" s="319">
        <f>IF(AND('Ações'!AT308="sim", 'Ações'!BD308="sim"), 1, 0)
</f>
        <v>0</v>
      </c>
      <c r="N300" s="319">
        <f>IF(AND('Ações'!AT308="sim", 'Ações'!BF308="sim"), 1, 0)
</f>
        <v>0</v>
      </c>
      <c r="O300" s="319">
        <f>IF(AND('Ações'!AT308="sim", 'Ações'!BG308="sim"), 1, 0)
</f>
        <v>0</v>
      </c>
      <c r="P300" s="319">
        <f>IF(AND('Ações'!AT308="sim", 'Ações'!BH308="sim"), 1, 0)
</f>
        <v>0</v>
      </c>
      <c r="Q300" s="319">
        <f>IF(AND('Ações'!AT308="sim", 'Ações'!BI308="sim"), 1, 0)
</f>
        <v>1</v>
      </c>
      <c r="R300" s="319">
        <f>IF(AND('Ações'!AU308="sim", 'Ações'!BD308="sim"), 1, 0)
</f>
        <v>0</v>
      </c>
      <c r="S300" s="319">
        <f>IF(AND('Ações'!AU308="sim", 'Ações'!BE308="sim"), 1, 0)
</f>
        <v>0</v>
      </c>
      <c r="T300" s="319">
        <f>IF(AND('Ações'!AU308="sim", 'Ações'!BG308="sim"), 1, 0)
</f>
        <v>0</v>
      </c>
      <c r="U300" s="319">
        <f>IF(AND('Ações'!AU308="sim", 'Ações'!BH308="sim"), 1, 0)
</f>
        <v>0</v>
      </c>
      <c r="V300" s="319">
        <f>IF(AND('Ações'!AU308="sim", 'Ações'!BI308="sim"), 1, 0)
</f>
        <v>1</v>
      </c>
      <c r="W300" s="319">
        <f>IF(AND('Ações'!AV308="sim", 'Ações'!BD308="sim"), 1, 0)
</f>
        <v>0</v>
      </c>
      <c r="X300" s="319">
        <f>IF(AND('Ações'!AV308="sim", 'Ações'!BE308="sim"), 1, 0)
</f>
        <v>0</v>
      </c>
      <c r="Y300" s="319">
        <f>IF(AND('Ações'!AV308="sim", 'Ações'!BF308="sim"), 1, 0)
</f>
        <v>0</v>
      </c>
      <c r="Z300" s="319">
        <f>IF(AND('Ações'!AV308="sim", 'Ações'!BH308="sim"), 1, 0)
</f>
        <v>0</v>
      </c>
      <c r="AA300" s="319">
        <f>IF(AND('Ações'!AV308="sim", 'Ações'!BI308="sim"), 1, 0)
</f>
        <v>1</v>
      </c>
      <c r="AB300" s="319">
        <f>IF(AND('Ações'!AW308="sim", 'Ações'!BD308="sim"), 1, 0)
</f>
        <v>0</v>
      </c>
      <c r="AC300" s="319">
        <f>IF(AND('Ações'!AW308="sim", 'Ações'!BE308="sim"), 1, 0)
</f>
        <v>0</v>
      </c>
      <c r="AD300" s="319">
        <f>IF(AND('Ações'!AW308="sim", 'Ações'!BF308="sim"), 1, 0)
</f>
        <v>0</v>
      </c>
      <c r="AE300" s="319">
        <f>IF(AND('Ações'!AW308="sim", 'Ações'!BG308="sim"), 1, 0)
</f>
        <v>0</v>
      </c>
      <c r="AF300" s="319">
        <f>IF(AND('Ações'!AW308="sim", 'Ações'!BI308="sim"), 1, 0)
</f>
        <v>1</v>
      </c>
      <c r="AG300" s="319">
        <f>IF(AND('Ações'!AX308="sim", 'Ações'!BD308="sim"), 1, 0)
</f>
        <v>0</v>
      </c>
      <c r="AH300" s="319">
        <f>IF(AND('Ações'!AX308="sim", 'Ações'!BE308="sim"), 1, 0)
</f>
        <v>0</v>
      </c>
      <c r="AI300" s="319">
        <f>IF(AND('Ações'!AX308="sim", 'Ações'!BF308="sim"), 1, 0)
</f>
        <v>0</v>
      </c>
      <c r="AJ300" s="319">
        <f>IF(AND('Ações'!AX308="sim", 'Ações'!BG308="sim"), 1, 0)
</f>
        <v>0</v>
      </c>
      <c r="AK300" s="319">
        <f>IF(AND('Ações'!AX308="sim", 'Ações'!BH308="sim"), 1, 0)
</f>
        <v>0</v>
      </c>
    </row>
    <row r="301">
      <c r="B301" s="319">
        <f>IF(AND('Ações'!AS309="sim", 'Ações'!BD309="sim"), 1, 0)
</f>
        <v>0</v>
      </c>
      <c r="C301" s="319">
        <f>IF(AND('Ações'!AT309="sim", 'Ações'!BE309="sim"), 1, 0)
</f>
        <v>0</v>
      </c>
      <c r="D301" s="319">
        <f>IF(AND('Ações'!AU309="sim", 'Ações'!BF309="sim"), 1, 0)
</f>
        <v>0</v>
      </c>
      <c r="E301" s="319">
        <f>IF(AND('Ações'!AV309="sim", 'Ações'!BG309="sim"), 1, 0)
</f>
        <v>0</v>
      </c>
      <c r="F301" s="319">
        <f>IF(AND('Ações'!AW309="sim", 'Ações'!BH309="sim"), 1, 0)
</f>
        <v>0</v>
      </c>
      <c r="G301" s="319">
        <f>IF(AND('Ações'!AX309="sim", 'Ações'!BI309="sim"), 1, 0)
</f>
        <v>0</v>
      </c>
      <c r="H301" s="319">
        <f>IF(AND('Ações'!AS309="sim", 'Ações'!BE309="sim"), 1, 0)
</f>
        <v>0</v>
      </c>
      <c r="I301" s="319">
        <f>IF(AND('Ações'!AS309="sim", 'Ações'!BF309="sim"), 1, 0)
</f>
        <v>0</v>
      </c>
      <c r="J301" s="319">
        <f>IF(AND('Ações'!AS309="sim", 'Ações'!BG309="sim"), 1, 0)
</f>
        <v>0</v>
      </c>
      <c r="K301" s="319">
        <f>IF(AND('Ações'!AS309="sim", 'Ações'!BH309="sim"), 1, 0)
</f>
        <v>0</v>
      </c>
      <c r="L301" s="319">
        <f>IF(AND('Ações'!AS309="sim", 'Ações'!BI309="sim"), 1, 0)
</f>
        <v>1</v>
      </c>
      <c r="M301" s="319">
        <f>IF(AND('Ações'!AT309="sim", 'Ações'!BD309="sim"), 1, 0)
</f>
        <v>0</v>
      </c>
      <c r="N301" s="319">
        <f>IF(AND('Ações'!AT309="sim", 'Ações'!BF309="sim"), 1, 0)
</f>
        <v>0</v>
      </c>
      <c r="O301" s="319">
        <f>IF(AND('Ações'!AT309="sim", 'Ações'!BG309="sim"), 1, 0)
</f>
        <v>0</v>
      </c>
      <c r="P301" s="319">
        <f>IF(AND('Ações'!AT309="sim", 'Ações'!BH309="sim"), 1, 0)
</f>
        <v>0</v>
      </c>
      <c r="Q301" s="319">
        <f>IF(AND('Ações'!AT309="sim", 'Ações'!BI309="sim"), 1, 0)
</f>
        <v>1</v>
      </c>
      <c r="R301" s="319">
        <f>IF(AND('Ações'!AU309="sim", 'Ações'!BD309="sim"), 1, 0)
</f>
        <v>0</v>
      </c>
      <c r="S301" s="319">
        <f>IF(AND('Ações'!AU309="sim", 'Ações'!BE309="sim"), 1, 0)
</f>
        <v>0</v>
      </c>
      <c r="T301" s="319">
        <f>IF(AND('Ações'!AU309="sim", 'Ações'!BG309="sim"), 1, 0)
</f>
        <v>0</v>
      </c>
      <c r="U301" s="319">
        <f>IF(AND('Ações'!AU309="sim", 'Ações'!BH309="sim"), 1, 0)
</f>
        <v>0</v>
      </c>
      <c r="V301" s="319">
        <f>IF(AND('Ações'!AU309="sim", 'Ações'!BI309="sim"), 1, 0)
</f>
        <v>1</v>
      </c>
      <c r="W301" s="319">
        <f>IF(AND('Ações'!AV309="sim", 'Ações'!BD309="sim"), 1, 0)
</f>
        <v>0</v>
      </c>
      <c r="X301" s="319">
        <f>IF(AND('Ações'!AV309="sim", 'Ações'!BE309="sim"), 1, 0)
</f>
        <v>0</v>
      </c>
      <c r="Y301" s="319">
        <f>IF(AND('Ações'!AV309="sim", 'Ações'!BF309="sim"), 1, 0)
</f>
        <v>0</v>
      </c>
      <c r="Z301" s="319">
        <f>IF(AND('Ações'!AV309="sim", 'Ações'!BH309="sim"), 1, 0)
</f>
        <v>0</v>
      </c>
      <c r="AA301" s="319">
        <f>IF(AND('Ações'!AV309="sim", 'Ações'!BI309="sim"), 1, 0)
</f>
        <v>1</v>
      </c>
      <c r="AB301" s="319">
        <f>IF(AND('Ações'!AW309="sim", 'Ações'!BD309="sim"), 1, 0)
</f>
        <v>0</v>
      </c>
      <c r="AC301" s="319">
        <f>IF(AND('Ações'!AW309="sim", 'Ações'!BE309="sim"), 1, 0)
</f>
        <v>0</v>
      </c>
      <c r="AD301" s="319">
        <f>IF(AND('Ações'!AW309="sim", 'Ações'!BF309="sim"), 1, 0)
</f>
        <v>0</v>
      </c>
      <c r="AE301" s="319">
        <f>IF(AND('Ações'!AW309="sim", 'Ações'!BG309="sim"), 1, 0)
</f>
        <v>0</v>
      </c>
      <c r="AF301" s="319">
        <f>IF(AND('Ações'!AW309="sim", 'Ações'!BI309="sim"), 1, 0)
</f>
        <v>1</v>
      </c>
      <c r="AG301" s="319">
        <f>IF(AND('Ações'!AX309="sim", 'Ações'!BD309="sim"), 1, 0)
</f>
        <v>0</v>
      </c>
      <c r="AH301" s="319">
        <f>IF(AND('Ações'!AX309="sim", 'Ações'!BE309="sim"), 1, 0)
</f>
        <v>0</v>
      </c>
      <c r="AI301" s="319">
        <f>IF(AND('Ações'!AX309="sim", 'Ações'!BF309="sim"), 1, 0)
</f>
        <v>0</v>
      </c>
      <c r="AJ301" s="319">
        <f>IF(AND('Ações'!AX309="sim", 'Ações'!BG309="sim"), 1, 0)
</f>
        <v>0</v>
      </c>
      <c r="AK301" s="319">
        <f>IF(AND('Ações'!AX309="sim", 'Ações'!BH309="sim"), 1, 0)
</f>
        <v>0</v>
      </c>
    </row>
    <row r="302">
      <c r="B302" s="319">
        <f>IF(AND('Ações'!AS310="sim", 'Ações'!BD310="sim"), 1, 0)
</f>
        <v>0</v>
      </c>
      <c r="C302" s="319">
        <f>IF(AND('Ações'!AT310="sim", 'Ações'!BE310="sim"), 1, 0)
</f>
        <v>0</v>
      </c>
      <c r="D302" s="319">
        <f>IF(AND('Ações'!AU310="sim", 'Ações'!BF310="sim"), 1, 0)
</f>
        <v>0</v>
      </c>
      <c r="E302" s="319">
        <f>IF(AND('Ações'!AV310="sim", 'Ações'!BG310="sim"), 1, 0)
</f>
        <v>0</v>
      </c>
      <c r="F302" s="319">
        <f>IF(AND('Ações'!AW310="sim", 'Ações'!BH310="sim"), 1, 0)
</f>
        <v>0</v>
      </c>
      <c r="G302" s="319">
        <f>IF(AND('Ações'!AX310="sim", 'Ações'!BI310="sim"), 1, 0)
</f>
        <v>0</v>
      </c>
      <c r="H302" s="319">
        <f>IF(AND('Ações'!AS310="sim", 'Ações'!BE310="sim"), 1, 0)
</f>
        <v>0</v>
      </c>
      <c r="I302" s="319">
        <f>IF(AND('Ações'!AS310="sim", 'Ações'!BF310="sim"), 1, 0)
</f>
        <v>0</v>
      </c>
      <c r="J302" s="319">
        <f>IF(AND('Ações'!AS310="sim", 'Ações'!BG310="sim"), 1, 0)
</f>
        <v>0</v>
      </c>
      <c r="K302" s="319">
        <f>IF(AND('Ações'!AS310="sim", 'Ações'!BH310="sim"), 1, 0)
</f>
        <v>0</v>
      </c>
      <c r="L302" s="319">
        <f>IF(AND('Ações'!AS310="sim", 'Ações'!BI310="sim"), 1, 0)
</f>
        <v>1</v>
      </c>
      <c r="M302" s="319">
        <f>IF(AND('Ações'!AT310="sim", 'Ações'!BD310="sim"), 1, 0)
</f>
        <v>0</v>
      </c>
      <c r="N302" s="319">
        <f>IF(AND('Ações'!AT310="sim", 'Ações'!BF310="sim"), 1, 0)
</f>
        <v>0</v>
      </c>
      <c r="O302" s="319">
        <f>IF(AND('Ações'!AT310="sim", 'Ações'!BG310="sim"), 1, 0)
</f>
        <v>0</v>
      </c>
      <c r="P302" s="319">
        <f>IF(AND('Ações'!AT310="sim", 'Ações'!BH310="sim"), 1, 0)
</f>
        <v>0</v>
      </c>
      <c r="Q302" s="319">
        <f>IF(AND('Ações'!AT310="sim", 'Ações'!BI310="sim"), 1, 0)
</f>
        <v>1</v>
      </c>
      <c r="R302" s="319">
        <f>IF(AND('Ações'!AU310="sim", 'Ações'!BD310="sim"), 1, 0)
</f>
        <v>0</v>
      </c>
      <c r="S302" s="319">
        <f>IF(AND('Ações'!AU310="sim", 'Ações'!BE310="sim"), 1, 0)
</f>
        <v>0</v>
      </c>
      <c r="T302" s="319">
        <f>IF(AND('Ações'!AU310="sim", 'Ações'!BG310="sim"), 1, 0)
</f>
        <v>0</v>
      </c>
      <c r="U302" s="319">
        <f>IF(AND('Ações'!AU310="sim", 'Ações'!BH310="sim"), 1, 0)
</f>
        <v>0</v>
      </c>
      <c r="V302" s="319">
        <f>IF(AND('Ações'!AU310="sim", 'Ações'!BI310="sim"), 1, 0)
</f>
        <v>1</v>
      </c>
      <c r="W302" s="319">
        <f>IF(AND('Ações'!AV310="sim", 'Ações'!BD310="sim"), 1, 0)
</f>
        <v>0</v>
      </c>
      <c r="X302" s="319">
        <f>IF(AND('Ações'!AV310="sim", 'Ações'!BE310="sim"), 1, 0)
</f>
        <v>0</v>
      </c>
      <c r="Y302" s="319">
        <f>IF(AND('Ações'!AV310="sim", 'Ações'!BF310="sim"), 1, 0)
</f>
        <v>0</v>
      </c>
      <c r="Z302" s="319">
        <f>IF(AND('Ações'!AV310="sim", 'Ações'!BH310="sim"), 1, 0)
</f>
        <v>0</v>
      </c>
      <c r="AA302" s="319">
        <f>IF(AND('Ações'!AV310="sim", 'Ações'!BI310="sim"), 1, 0)
</f>
        <v>1</v>
      </c>
      <c r="AB302" s="319">
        <f>IF(AND('Ações'!AW310="sim", 'Ações'!BD310="sim"), 1, 0)
</f>
        <v>0</v>
      </c>
      <c r="AC302" s="319">
        <f>IF(AND('Ações'!AW310="sim", 'Ações'!BE310="sim"), 1, 0)
</f>
        <v>0</v>
      </c>
      <c r="AD302" s="319">
        <f>IF(AND('Ações'!AW310="sim", 'Ações'!BF310="sim"), 1, 0)
</f>
        <v>0</v>
      </c>
      <c r="AE302" s="319">
        <f>IF(AND('Ações'!AW310="sim", 'Ações'!BG310="sim"), 1, 0)
</f>
        <v>0</v>
      </c>
      <c r="AF302" s="319">
        <f>IF(AND('Ações'!AW310="sim", 'Ações'!BI310="sim"), 1, 0)
</f>
        <v>1</v>
      </c>
      <c r="AG302" s="319">
        <f>IF(AND('Ações'!AX310="sim", 'Ações'!BD310="sim"), 1, 0)
</f>
        <v>0</v>
      </c>
      <c r="AH302" s="319">
        <f>IF(AND('Ações'!AX310="sim", 'Ações'!BE310="sim"), 1, 0)
</f>
        <v>0</v>
      </c>
      <c r="AI302" s="319">
        <f>IF(AND('Ações'!AX310="sim", 'Ações'!BF310="sim"), 1, 0)
</f>
        <v>0</v>
      </c>
      <c r="AJ302" s="319">
        <f>IF(AND('Ações'!AX310="sim", 'Ações'!BG310="sim"), 1, 0)
</f>
        <v>0</v>
      </c>
      <c r="AK302" s="319">
        <f>IF(AND('Ações'!AX310="sim", 'Ações'!BH310="sim"), 1, 0)
</f>
        <v>0</v>
      </c>
    </row>
    <row r="303">
      <c r="B303" s="319">
        <f>IF(AND('Ações'!AS311="sim", 'Ações'!BD311="sim"), 1, 0)
</f>
        <v>0</v>
      </c>
      <c r="C303" s="319">
        <f>IF(AND('Ações'!AT311="sim", 'Ações'!BE311="sim"), 1, 0)
</f>
        <v>0</v>
      </c>
      <c r="D303" s="319">
        <f>IF(AND('Ações'!AU311="sim", 'Ações'!BF311="sim"), 1, 0)
</f>
        <v>0</v>
      </c>
      <c r="E303" s="319">
        <f>IF(AND('Ações'!AV311="sim", 'Ações'!BG311="sim"), 1, 0)
</f>
        <v>0</v>
      </c>
      <c r="F303" s="319">
        <f>IF(AND('Ações'!AW311="sim", 'Ações'!BH311="sim"), 1, 0)
</f>
        <v>0</v>
      </c>
      <c r="G303" s="319">
        <f>IF(AND('Ações'!AX311="sim", 'Ações'!BI311="sim"), 1, 0)
</f>
        <v>0</v>
      </c>
      <c r="H303" s="319">
        <f>IF(AND('Ações'!AS311="sim", 'Ações'!BE311="sim"), 1, 0)
</f>
        <v>0</v>
      </c>
      <c r="I303" s="319">
        <f>IF(AND('Ações'!AS311="sim", 'Ações'!BF311="sim"), 1, 0)
</f>
        <v>0</v>
      </c>
      <c r="J303" s="319">
        <f>IF(AND('Ações'!AS311="sim", 'Ações'!BG311="sim"), 1, 0)
</f>
        <v>0</v>
      </c>
      <c r="K303" s="319">
        <f>IF(AND('Ações'!AS311="sim", 'Ações'!BH311="sim"), 1, 0)
</f>
        <v>0</v>
      </c>
      <c r="L303" s="319">
        <f>IF(AND('Ações'!AS311="sim", 'Ações'!BI311="sim"), 1, 0)
</f>
        <v>1</v>
      </c>
      <c r="M303" s="319">
        <f>IF(AND('Ações'!AT311="sim", 'Ações'!BD311="sim"), 1, 0)
</f>
        <v>0</v>
      </c>
      <c r="N303" s="319">
        <f>IF(AND('Ações'!AT311="sim", 'Ações'!BF311="sim"), 1, 0)
</f>
        <v>0</v>
      </c>
      <c r="O303" s="319">
        <f>IF(AND('Ações'!AT311="sim", 'Ações'!BG311="sim"), 1, 0)
</f>
        <v>0</v>
      </c>
      <c r="P303" s="319">
        <f>IF(AND('Ações'!AT311="sim", 'Ações'!BH311="sim"), 1, 0)
</f>
        <v>0</v>
      </c>
      <c r="Q303" s="319">
        <f>IF(AND('Ações'!AT311="sim", 'Ações'!BI311="sim"), 1, 0)
</f>
        <v>1</v>
      </c>
      <c r="R303" s="319">
        <f>IF(AND('Ações'!AU311="sim", 'Ações'!BD311="sim"), 1, 0)
</f>
        <v>0</v>
      </c>
      <c r="S303" s="319">
        <f>IF(AND('Ações'!AU311="sim", 'Ações'!BE311="sim"), 1, 0)
</f>
        <v>0</v>
      </c>
      <c r="T303" s="319">
        <f>IF(AND('Ações'!AU311="sim", 'Ações'!BG311="sim"), 1, 0)
</f>
        <v>0</v>
      </c>
      <c r="U303" s="319">
        <f>IF(AND('Ações'!AU311="sim", 'Ações'!BH311="sim"), 1, 0)
</f>
        <v>0</v>
      </c>
      <c r="V303" s="319">
        <f>IF(AND('Ações'!AU311="sim", 'Ações'!BI311="sim"), 1, 0)
</f>
        <v>1</v>
      </c>
      <c r="W303" s="319">
        <f>IF(AND('Ações'!AV311="sim", 'Ações'!BD311="sim"), 1, 0)
</f>
        <v>0</v>
      </c>
      <c r="X303" s="319">
        <f>IF(AND('Ações'!AV311="sim", 'Ações'!BE311="sim"), 1, 0)
</f>
        <v>0</v>
      </c>
      <c r="Y303" s="319">
        <f>IF(AND('Ações'!AV311="sim", 'Ações'!BF311="sim"), 1, 0)
</f>
        <v>0</v>
      </c>
      <c r="Z303" s="319">
        <f>IF(AND('Ações'!AV311="sim", 'Ações'!BH311="sim"), 1, 0)
</f>
        <v>0</v>
      </c>
      <c r="AA303" s="319">
        <f>IF(AND('Ações'!AV311="sim", 'Ações'!BI311="sim"), 1, 0)
</f>
        <v>1</v>
      </c>
      <c r="AB303" s="319">
        <f>IF(AND('Ações'!AW311="sim", 'Ações'!BD311="sim"), 1, 0)
</f>
        <v>0</v>
      </c>
      <c r="AC303" s="319">
        <f>IF(AND('Ações'!AW311="sim", 'Ações'!BE311="sim"), 1, 0)
</f>
        <v>0</v>
      </c>
      <c r="AD303" s="319">
        <f>IF(AND('Ações'!AW311="sim", 'Ações'!BF311="sim"), 1, 0)
</f>
        <v>0</v>
      </c>
      <c r="AE303" s="319">
        <f>IF(AND('Ações'!AW311="sim", 'Ações'!BG311="sim"), 1, 0)
</f>
        <v>0</v>
      </c>
      <c r="AF303" s="319">
        <f>IF(AND('Ações'!AW311="sim", 'Ações'!BI311="sim"), 1, 0)
</f>
        <v>1</v>
      </c>
      <c r="AG303" s="319">
        <f>IF(AND('Ações'!AX311="sim", 'Ações'!BD311="sim"), 1, 0)
</f>
        <v>0</v>
      </c>
      <c r="AH303" s="319">
        <f>IF(AND('Ações'!AX311="sim", 'Ações'!BE311="sim"), 1, 0)
</f>
        <v>0</v>
      </c>
      <c r="AI303" s="319">
        <f>IF(AND('Ações'!AX311="sim", 'Ações'!BF311="sim"), 1, 0)
</f>
        <v>0</v>
      </c>
      <c r="AJ303" s="319">
        <f>IF(AND('Ações'!AX311="sim", 'Ações'!BG311="sim"), 1, 0)
</f>
        <v>0</v>
      </c>
      <c r="AK303" s="319">
        <f>IF(AND('Ações'!AX311="sim", 'Ações'!BH311="sim"), 1, 0)
</f>
        <v>0</v>
      </c>
    </row>
    <row r="304">
      <c r="B304" s="319">
        <f>IF(AND('Ações'!AS312="sim", 'Ações'!BD312="sim"), 1, 0)
</f>
        <v>1</v>
      </c>
      <c r="C304" s="319">
        <f>IF(AND('Ações'!AT312="sim", 'Ações'!BE312="sim"), 1, 0)
</f>
        <v>0</v>
      </c>
      <c r="D304" s="319">
        <f>IF(AND('Ações'!AU312="sim", 'Ações'!BF312="sim"), 1, 0)
</f>
        <v>0</v>
      </c>
      <c r="E304" s="319">
        <f>IF(AND('Ações'!AV312="sim", 'Ações'!BG312="sim"), 1, 0)
</f>
        <v>0</v>
      </c>
      <c r="F304" s="319">
        <f>IF(AND('Ações'!AW312="sim", 'Ações'!BH312="sim"), 1, 0)
</f>
        <v>0</v>
      </c>
      <c r="G304" s="319">
        <f>IF(AND('Ações'!AX312="sim", 'Ações'!BI312="sim"), 1, 0)
</f>
        <v>0</v>
      </c>
      <c r="H304" s="319">
        <f>IF(AND('Ações'!AS312="sim", 'Ações'!BE312="sim"), 1, 0)
</f>
        <v>0</v>
      </c>
      <c r="I304" s="319">
        <f>IF(AND('Ações'!AS312="sim", 'Ações'!BF312="sim"), 1, 0)
</f>
        <v>0</v>
      </c>
      <c r="J304" s="319">
        <f>IF(AND('Ações'!AS312="sim", 'Ações'!BG312="sim"), 1, 0)
</f>
        <v>0</v>
      </c>
      <c r="K304" s="319">
        <f>IF(AND('Ações'!AS312="sim", 'Ações'!BH312="sim"), 1, 0)
</f>
        <v>0</v>
      </c>
      <c r="L304" s="319">
        <f>IF(AND('Ações'!AS312="sim", 'Ações'!BI312="sim"), 1, 0)
</f>
        <v>0</v>
      </c>
      <c r="M304" s="319">
        <f>IF(AND('Ações'!AT312="sim", 'Ações'!BD312="sim"), 1, 0)
</f>
        <v>1</v>
      </c>
      <c r="N304" s="319">
        <f>IF(AND('Ações'!AT312="sim", 'Ações'!BF312="sim"), 1, 0)
</f>
        <v>0</v>
      </c>
      <c r="O304" s="319">
        <f>IF(AND('Ações'!AT312="sim", 'Ações'!BG312="sim"), 1, 0)
</f>
        <v>0</v>
      </c>
      <c r="P304" s="319">
        <f>IF(AND('Ações'!AT312="sim", 'Ações'!BH312="sim"), 1, 0)
</f>
        <v>0</v>
      </c>
      <c r="Q304" s="319">
        <f>IF(AND('Ações'!AT312="sim", 'Ações'!BI312="sim"), 1, 0)
</f>
        <v>0</v>
      </c>
      <c r="R304" s="319">
        <f>IF(AND('Ações'!AU312="sim", 'Ações'!BD312="sim"), 1, 0)
</f>
        <v>1</v>
      </c>
      <c r="S304" s="319">
        <f>IF(AND('Ações'!AU312="sim", 'Ações'!BE312="sim"), 1, 0)
</f>
        <v>0</v>
      </c>
      <c r="T304" s="319">
        <f>IF(AND('Ações'!AU312="sim", 'Ações'!BG312="sim"), 1, 0)
</f>
        <v>0</v>
      </c>
      <c r="U304" s="319">
        <f>IF(AND('Ações'!AU312="sim", 'Ações'!BH312="sim"), 1, 0)
</f>
        <v>0</v>
      </c>
      <c r="V304" s="319">
        <f>IF(AND('Ações'!AU312="sim", 'Ações'!BI312="sim"), 1, 0)
</f>
        <v>0</v>
      </c>
      <c r="W304" s="319">
        <f>IF(AND('Ações'!AV312="sim", 'Ações'!BD312="sim"), 1, 0)
</f>
        <v>1</v>
      </c>
      <c r="X304" s="319">
        <f>IF(AND('Ações'!AV312="sim", 'Ações'!BE312="sim"), 1, 0)
</f>
        <v>0</v>
      </c>
      <c r="Y304" s="319">
        <f>IF(AND('Ações'!AV312="sim", 'Ações'!BF312="sim"), 1, 0)
</f>
        <v>0</v>
      </c>
      <c r="Z304" s="319">
        <f>IF(AND('Ações'!AV312="sim", 'Ações'!BH312="sim"), 1, 0)
</f>
        <v>0</v>
      </c>
      <c r="AA304" s="319">
        <f>IF(AND('Ações'!AV312="sim", 'Ações'!BI312="sim"), 1, 0)
</f>
        <v>0</v>
      </c>
      <c r="AB304" s="319">
        <f>IF(AND('Ações'!AW312="sim", 'Ações'!BD312="sim"), 1, 0)
</f>
        <v>1</v>
      </c>
      <c r="AC304" s="319">
        <f>IF(AND('Ações'!AW312="sim", 'Ações'!BE312="sim"), 1, 0)
</f>
        <v>0</v>
      </c>
      <c r="AD304" s="319">
        <f>IF(AND('Ações'!AW312="sim", 'Ações'!BF312="sim"), 1, 0)
</f>
        <v>0</v>
      </c>
      <c r="AE304" s="319">
        <f>IF(AND('Ações'!AW312="sim", 'Ações'!BG312="sim"), 1, 0)
</f>
        <v>0</v>
      </c>
      <c r="AF304" s="319">
        <f>IF(AND('Ações'!AW312="sim", 'Ações'!BI312="sim"), 1, 0)
</f>
        <v>0</v>
      </c>
      <c r="AG304" s="319">
        <f>IF(AND('Ações'!AX312="sim", 'Ações'!BD312="sim"), 1, 0)
</f>
        <v>0</v>
      </c>
      <c r="AH304" s="319">
        <f>IF(AND('Ações'!AX312="sim", 'Ações'!BE312="sim"), 1, 0)
</f>
        <v>0</v>
      </c>
      <c r="AI304" s="319">
        <f>IF(AND('Ações'!AX312="sim", 'Ações'!BF312="sim"), 1, 0)
</f>
        <v>0</v>
      </c>
      <c r="AJ304" s="319">
        <f>IF(AND('Ações'!AX312="sim", 'Ações'!BG312="sim"), 1, 0)
</f>
        <v>0</v>
      </c>
      <c r="AK304" s="319">
        <f>IF(AND('Ações'!AX312="sim", 'Ações'!BH312="sim"), 1, 0)
</f>
        <v>0</v>
      </c>
    </row>
    <row r="305">
      <c r="B305" s="319">
        <f>IF(AND('Ações'!AS313="sim", 'Ações'!BD313="sim"), 1, 0)
</f>
        <v>0</v>
      </c>
      <c r="C305" s="319">
        <f>IF(AND('Ações'!AT313="sim", 'Ações'!BE313="sim"), 1, 0)
</f>
        <v>0</v>
      </c>
      <c r="D305" s="319">
        <f>IF(AND('Ações'!AU313="sim", 'Ações'!BF313="sim"), 1, 0)
</f>
        <v>0</v>
      </c>
      <c r="E305" s="319">
        <f>IF(AND('Ações'!AV313="sim", 'Ações'!BG313="sim"), 1, 0)
</f>
        <v>0</v>
      </c>
      <c r="F305" s="319">
        <f>IF(AND('Ações'!AW313="sim", 'Ações'!BH313="sim"), 1, 0)
</f>
        <v>0</v>
      </c>
      <c r="G305" s="319">
        <f>IF(AND('Ações'!AX313="sim", 'Ações'!BI313="sim"), 1, 0)
</f>
        <v>0</v>
      </c>
      <c r="H305" s="319">
        <f>IF(AND('Ações'!AS313="sim", 'Ações'!BE313="sim"), 1, 0)
</f>
        <v>0</v>
      </c>
      <c r="I305" s="319">
        <f>IF(AND('Ações'!AS313="sim", 'Ações'!BF313="sim"), 1, 0)
</f>
        <v>0</v>
      </c>
      <c r="J305" s="319">
        <f>IF(AND('Ações'!AS313="sim", 'Ações'!BG313="sim"), 1, 0)
</f>
        <v>0</v>
      </c>
      <c r="K305" s="319">
        <f>IF(AND('Ações'!AS313="sim", 'Ações'!BH313="sim"), 1, 0)
</f>
        <v>0</v>
      </c>
      <c r="L305" s="319">
        <f>IF(AND('Ações'!AS313="sim", 'Ações'!BI313="sim"), 1, 0)
</f>
        <v>1</v>
      </c>
      <c r="M305" s="319">
        <f>IF(AND('Ações'!AT313="sim", 'Ações'!BD313="sim"), 1, 0)
</f>
        <v>0</v>
      </c>
      <c r="N305" s="319">
        <f>IF(AND('Ações'!AT313="sim", 'Ações'!BF313="sim"), 1, 0)
</f>
        <v>0</v>
      </c>
      <c r="O305" s="319">
        <f>IF(AND('Ações'!AT313="sim", 'Ações'!BG313="sim"), 1, 0)
</f>
        <v>0</v>
      </c>
      <c r="P305" s="319">
        <f>IF(AND('Ações'!AT313="sim", 'Ações'!BH313="sim"), 1, 0)
</f>
        <v>0</v>
      </c>
      <c r="Q305" s="319">
        <f>IF(AND('Ações'!AT313="sim", 'Ações'!BI313="sim"), 1, 0)
</f>
        <v>1</v>
      </c>
      <c r="R305" s="319">
        <f>IF(AND('Ações'!AU313="sim", 'Ações'!BD313="sim"), 1, 0)
</f>
        <v>0</v>
      </c>
      <c r="S305" s="319">
        <f>IF(AND('Ações'!AU313="sim", 'Ações'!BE313="sim"), 1, 0)
</f>
        <v>0</v>
      </c>
      <c r="T305" s="319">
        <f>IF(AND('Ações'!AU313="sim", 'Ações'!BG313="sim"), 1, 0)
</f>
        <v>0</v>
      </c>
      <c r="U305" s="319">
        <f>IF(AND('Ações'!AU313="sim", 'Ações'!BH313="sim"), 1, 0)
</f>
        <v>0</v>
      </c>
      <c r="V305" s="319">
        <f>IF(AND('Ações'!AU313="sim", 'Ações'!BI313="sim"), 1, 0)
</f>
        <v>1</v>
      </c>
      <c r="W305" s="319">
        <f>IF(AND('Ações'!AV313="sim", 'Ações'!BD313="sim"), 1, 0)
</f>
        <v>0</v>
      </c>
      <c r="X305" s="319">
        <f>IF(AND('Ações'!AV313="sim", 'Ações'!BE313="sim"), 1, 0)
</f>
        <v>0</v>
      </c>
      <c r="Y305" s="319">
        <f>IF(AND('Ações'!AV313="sim", 'Ações'!BF313="sim"), 1, 0)
</f>
        <v>0</v>
      </c>
      <c r="Z305" s="319">
        <f>IF(AND('Ações'!AV313="sim", 'Ações'!BH313="sim"), 1, 0)
</f>
        <v>0</v>
      </c>
      <c r="AA305" s="319">
        <f>IF(AND('Ações'!AV313="sim", 'Ações'!BI313="sim"), 1, 0)
</f>
        <v>1</v>
      </c>
      <c r="AB305" s="319">
        <f>IF(AND('Ações'!AW313="sim", 'Ações'!BD313="sim"), 1, 0)
</f>
        <v>0</v>
      </c>
      <c r="AC305" s="319">
        <f>IF(AND('Ações'!AW313="sim", 'Ações'!BE313="sim"), 1, 0)
</f>
        <v>0</v>
      </c>
      <c r="AD305" s="319">
        <f>IF(AND('Ações'!AW313="sim", 'Ações'!BF313="sim"), 1, 0)
</f>
        <v>0</v>
      </c>
      <c r="AE305" s="319">
        <f>IF(AND('Ações'!AW313="sim", 'Ações'!BG313="sim"), 1, 0)
</f>
        <v>0</v>
      </c>
      <c r="AF305" s="319">
        <f>IF(AND('Ações'!AW313="sim", 'Ações'!BI313="sim"), 1, 0)
</f>
        <v>1</v>
      </c>
      <c r="AG305" s="319">
        <f>IF(AND('Ações'!AX313="sim", 'Ações'!BD313="sim"), 1, 0)
</f>
        <v>0</v>
      </c>
      <c r="AH305" s="319">
        <f>IF(AND('Ações'!AX313="sim", 'Ações'!BE313="sim"), 1, 0)
</f>
        <v>0</v>
      </c>
      <c r="AI305" s="319">
        <f>IF(AND('Ações'!AX313="sim", 'Ações'!BF313="sim"), 1, 0)
</f>
        <v>0</v>
      </c>
      <c r="AJ305" s="319">
        <f>IF(AND('Ações'!AX313="sim", 'Ações'!BG313="sim"), 1, 0)
</f>
        <v>0</v>
      </c>
      <c r="AK305" s="319">
        <f>IF(AND('Ações'!AX313="sim", 'Ações'!BH313="sim"), 1, 0)
</f>
        <v>0</v>
      </c>
    </row>
    <row r="306">
      <c r="B306" s="319">
        <f>IF(AND('Ações'!AS314="sim", 'Ações'!BD314="sim"), 1, 0)
</f>
        <v>0</v>
      </c>
      <c r="C306" s="319">
        <f>IF(AND('Ações'!AT314="sim", 'Ações'!BE314="sim"), 1, 0)
</f>
        <v>0</v>
      </c>
      <c r="D306" s="319">
        <f>IF(AND('Ações'!AU314="sim", 'Ações'!BF314="sim"), 1, 0)
</f>
        <v>0</v>
      </c>
      <c r="E306" s="319">
        <f>IF(AND('Ações'!AV314="sim", 'Ações'!BG314="sim"), 1, 0)
</f>
        <v>0</v>
      </c>
      <c r="F306" s="319">
        <f>IF(AND('Ações'!AW314="sim", 'Ações'!BH314="sim"), 1, 0)
</f>
        <v>0</v>
      </c>
      <c r="G306" s="319">
        <f>IF(AND('Ações'!AX314="sim", 'Ações'!BI314="sim"), 1, 0)
</f>
        <v>0</v>
      </c>
      <c r="H306" s="319">
        <f>IF(AND('Ações'!AS314="sim", 'Ações'!BE314="sim"), 1, 0)
</f>
        <v>0</v>
      </c>
      <c r="I306" s="319">
        <f>IF(AND('Ações'!AS314="sim", 'Ações'!BF314="sim"), 1, 0)
</f>
        <v>0</v>
      </c>
      <c r="J306" s="319">
        <f>IF(AND('Ações'!AS314="sim", 'Ações'!BG314="sim"), 1, 0)
</f>
        <v>0</v>
      </c>
      <c r="K306" s="319">
        <f>IF(AND('Ações'!AS314="sim", 'Ações'!BH314="sim"), 1, 0)
</f>
        <v>0</v>
      </c>
      <c r="L306" s="319">
        <f>IF(AND('Ações'!AS314="sim", 'Ações'!BI314="sim"), 1, 0)
</f>
        <v>1</v>
      </c>
      <c r="M306" s="319">
        <f>IF(AND('Ações'!AT314="sim", 'Ações'!BD314="sim"), 1, 0)
</f>
        <v>0</v>
      </c>
      <c r="N306" s="319">
        <f>IF(AND('Ações'!AT314="sim", 'Ações'!BF314="sim"), 1, 0)
</f>
        <v>0</v>
      </c>
      <c r="O306" s="319">
        <f>IF(AND('Ações'!AT314="sim", 'Ações'!BG314="sim"), 1, 0)
</f>
        <v>0</v>
      </c>
      <c r="P306" s="319">
        <f>IF(AND('Ações'!AT314="sim", 'Ações'!BH314="sim"), 1, 0)
</f>
        <v>0</v>
      </c>
      <c r="Q306" s="319">
        <f>IF(AND('Ações'!AT314="sim", 'Ações'!BI314="sim"), 1, 0)
</f>
        <v>1</v>
      </c>
      <c r="R306" s="319">
        <f>IF(AND('Ações'!AU314="sim", 'Ações'!BD314="sim"), 1, 0)
</f>
        <v>0</v>
      </c>
      <c r="S306" s="319">
        <f>IF(AND('Ações'!AU314="sim", 'Ações'!BE314="sim"), 1, 0)
</f>
        <v>0</v>
      </c>
      <c r="T306" s="319">
        <f>IF(AND('Ações'!AU314="sim", 'Ações'!BG314="sim"), 1, 0)
</f>
        <v>0</v>
      </c>
      <c r="U306" s="319">
        <f>IF(AND('Ações'!AU314="sim", 'Ações'!BH314="sim"), 1, 0)
</f>
        <v>0</v>
      </c>
      <c r="V306" s="319">
        <f>IF(AND('Ações'!AU314="sim", 'Ações'!BI314="sim"), 1, 0)
</f>
        <v>1</v>
      </c>
      <c r="W306" s="319">
        <f>IF(AND('Ações'!AV314="sim", 'Ações'!BD314="sim"), 1, 0)
</f>
        <v>0</v>
      </c>
      <c r="X306" s="319">
        <f>IF(AND('Ações'!AV314="sim", 'Ações'!BE314="sim"), 1, 0)
</f>
        <v>0</v>
      </c>
      <c r="Y306" s="319">
        <f>IF(AND('Ações'!AV314="sim", 'Ações'!BF314="sim"), 1, 0)
</f>
        <v>0</v>
      </c>
      <c r="Z306" s="319">
        <f>IF(AND('Ações'!AV314="sim", 'Ações'!BH314="sim"), 1, 0)
</f>
        <v>0</v>
      </c>
      <c r="AA306" s="319">
        <f>IF(AND('Ações'!AV314="sim", 'Ações'!BI314="sim"), 1, 0)
</f>
        <v>1</v>
      </c>
      <c r="AB306" s="319">
        <f>IF(AND('Ações'!AW314="sim", 'Ações'!BD314="sim"), 1, 0)
</f>
        <v>0</v>
      </c>
      <c r="AC306" s="319">
        <f>IF(AND('Ações'!AW314="sim", 'Ações'!BE314="sim"), 1, 0)
</f>
        <v>0</v>
      </c>
      <c r="AD306" s="319">
        <f>IF(AND('Ações'!AW314="sim", 'Ações'!BF314="sim"), 1, 0)
</f>
        <v>0</v>
      </c>
      <c r="AE306" s="319">
        <f>IF(AND('Ações'!AW314="sim", 'Ações'!BG314="sim"), 1, 0)
</f>
        <v>0</v>
      </c>
      <c r="AF306" s="319">
        <f>IF(AND('Ações'!AW314="sim", 'Ações'!BI314="sim"), 1, 0)
</f>
        <v>1</v>
      </c>
      <c r="AG306" s="319">
        <f>IF(AND('Ações'!AX314="sim", 'Ações'!BD314="sim"), 1, 0)
</f>
        <v>0</v>
      </c>
      <c r="AH306" s="319">
        <f>IF(AND('Ações'!AX314="sim", 'Ações'!BE314="sim"), 1, 0)
</f>
        <v>0</v>
      </c>
      <c r="AI306" s="319">
        <f>IF(AND('Ações'!AX314="sim", 'Ações'!BF314="sim"), 1, 0)
</f>
        <v>0</v>
      </c>
      <c r="AJ306" s="319">
        <f>IF(AND('Ações'!AX314="sim", 'Ações'!BG314="sim"), 1, 0)
</f>
        <v>0</v>
      </c>
      <c r="AK306" s="319">
        <f>IF(AND('Ações'!AX314="sim", 'Ações'!BH314="sim"), 1, 0)
</f>
        <v>0</v>
      </c>
    </row>
    <row r="307">
      <c r="B307" s="319">
        <f>IF(AND('Ações'!AS315="sim", 'Ações'!BD315="sim"), 1, 0)
</f>
        <v>1</v>
      </c>
      <c r="C307" s="319">
        <f>IF(AND('Ações'!AT315="sim", 'Ações'!BE315="sim"), 1, 0)
</f>
        <v>0</v>
      </c>
      <c r="D307" s="319">
        <f>IF(AND('Ações'!AU315="sim", 'Ações'!BF315="sim"), 1, 0)
</f>
        <v>0</v>
      </c>
      <c r="E307" s="319">
        <f>IF(AND('Ações'!AV315="sim", 'Ações'!BG315="sim"), 1, 0)
</f>
        <v>0</v>
      </c>
      <c r="F307" s="319">
        <f>IF(AND('Ações'!AW315="sim", 'Ações'!BH315="sim"), 1, 0)
</f>
        <v>0</v>
      </c>
      <c r="G307" s="319">
        <f>IF(AND('Ações'!AX315="sim", 'Ações'!BI315="sim"), 1, 0)
</f>
        <v>0</v>
      </c>
      <c r="H307" s="319">
        <f>IF(AND('Ações'!AS315="sim", 'Ações'!BE315="sim"), 1, 0)
</f>
        <v>0</v>
      </c>
      <c r="I307" s="319">
        <f>IF(AND('Ações'!AS315="sim", 'Ações'!BF315="sim"), 1, 0)
</f>
        <v>0</v>
      </c>
      <c r="J307" s="319">
        <f>IF(AND('Ações'!AS315="sim", 'Ações'!BG315="sim"), 1, 0)
</f>
        <v>0</v>
      </c>
      <c r="K307" s="319">
        <f>IF(AND('Ações'!AS315="sim", 'Ações'!BH315="sim"), 1, 0)
</f>
        <v>0</v>
      </c>
      <c r="L307" s="319">
        <f>IF(AND('Ações'!AS315="sim", 'Ações'!BI315="sim"), 1, 0)
</f>
        <v>0</v>
      </c>
      <c r="M307" s="319">
        <f>IF(AND('Ações'!AT315="sim", 'Ações'!BD315="sim"), 1, 0)
</f>
        <v>1</v>
      </c>
      <c r="N307" s="319">
        <f>IF(AND('Ações'!AT315="sim", 'Ações'!BF315="sim"), 1, 0)
</f>
        <v>0</v>
      </c>
      <c r="O307" s="319">
        <f>IF(AND('Ações'!AT315="sim", 'Ações'!BG315="sim"), 1, 0)
</f>
        <v>0</v>
      </c>
      <c r="P307" s="319">
        <f>IF(AND('Ações'!AT315="sim", 'Ações'!BH315="sim"), 1, 0)
</f>
        <v>0</v>
      </c>
      <c r="Q307" s="319">
        <f>IF(AND('Ações'!AT315="sim", 'Ações'!BI315="sim"), 1, 0)
</f>
        <v>0</v>
      </c>
      <c r="R307" s="319">
        <f>IF(AND('Ações'!AU315="sim", 'Ações'!BD315="sim"), 1, 0)
</f>
        <v>1</v>
      </c>
      <c r="S307" s="319">
        <f>IF(AND('Ações'!AU315="sim", 'Ações'!BE315="sim"), 1, 0)
</f>
        <v>0</v>
      </c>
      <c r="T307" s="319">
        <f>IF(AND('Ações'!AU315="sim", 'Ações'!BG315="sim"), 1, 0)
</f>
        <v>0</v>
      </c>
      <c r="U307" s="319">
        <f>IF(AND('Ações'!AU315="sim", 'Ações'!BH315="sim"), 1, 0)
</f>
        <v>0</v>
      </c>
      <c r="V307" s="319">
        <f>IF(AND('Ações'!AU315="sim", 'Ações'!BI315="sim"), 1, 0)
</f>
        <v>0</v>
      </c>
      <c r="W307" s="319">
        <f>IF(AND('Ações'!AV315="sim", 'Ações'!BD315="sim"), 1, 0)
</f>
        <v>1</v>
      </c>
      <c r="X307" s="319">
        <f>IF(AND('Ações'!AV315="sim", 'Ações'!BE315="sim"), 1, 0)
</f>
        <v>0</v>
      </c>
      <c r="Y307" s="319">
        <f>IF(AND('Ações'!AV315="sim", 'Ações'!BF315="sim"), 1, 0)
</f>
        <v>0</v>
      </c>
      <c r="Z307" s="319">
        <f>IF(AND('Ações'!AV315="sim", 'Ações'!BH315="sim"), 1, 0)
</f>
        <v>0</v>
      </c>
      <c r="AA307" s="319">
        <f>IF(AND('Ações'!AV315="sim", 'Ações'!BI315="sim"), 1, 0)
</f>
        <v>0</v>
      </c>
      <c r="AB307" s="319">
        <f>IF(AND('Ações'!AW315="sim", 'Ações'!BD315="sim"), 1, 0)
</f>
        <v>1</v>
      </c>
      <c r="AC307" s="319">
        <f>IF(AND('Ações'!AW315="sim", 'Ações'!BE315="sim"), 1, 0)
</f>
        <v>0</v>
      </c>
      <c r="AD307" s="319">
        <f>IF(AND('Ações'!AW315="sim", 'Ações'!BF315="sim"), 1, 0)
</f>
        <v>0</v>
      </c>
      <c r="AE307" s="319">
        <f>IF(AND('Ações'!AW315="sim", 'Ações'!BG315="sim"), 1, 0)
</f>
        <v>0</v>
      </c>
      <c r="AF307" s="319">
        <f>IF(AND('Ações'!AW315="sim", 'Ações'!BI315="sim"), 1, 0)
</f>
        <v>0</v>
      </c>
      <c r="AG307" s="319">
        <f>IF(AND('Ações'!AX315="sim", 'Ações'!BD315="sim"), 1, 0)
</f>
        <v>0</v>
      </c>
      <c r="AH307" s="319">
        <f>IF(AND('Ações'!AX315="sim", 'Ações'!BE315="sim"), 1, 0)
</f>
        <v>0</v>
      </c>
      <c r="AI307" s="319">
        <f>IF(AND('Ações'!AX315="sim", 'Ações'!BF315="sim"), 1, 0)
</f>
        <v>0</v>
      </c>
      <c r="AJ307" s="319">
        <f>IF(AND('Ações'!AX315="sim", 'Ações'!BG315="sim"), 1, 0)
</f>
        <v>0</v>
      </c>
      <c r="AK307" s="319">
        <f>IF(AND('Ações'!AX315="sim", 'Ações'!BH315="sim"), 1, 0)
</f>
        <v>0</v>
      </c>
    </row>
    <row r="308">
      <c r="B308" s="319">
        <f>IF(AND('Ações'!AS316="sim", 'Ações'!BD316="sim"), 1, 0)
</f>
        <v>0</v>
      </c>
      <c r="C308" s="319">
        <f>IF(AND('Ações'!AT316="sim", 'Ações'!BE316="sim"), 1, 0)
</f>
        <v>0</v>
      </c>
      <c r="D308" s="319">
        <f>IF(AND('Ações'!AU316="sim", 'Ações'!BF316="sim"), 1, 0)
</f>
        <v>0</v>
      </c>
      <c r="E308" s="319">
        <f>IF(AND('Ações'!AV316="sim", 'Ações'!BG316="sim"), 1, 0)
</f>
        <v>0</v>
      </c>
      <c r="F308" s="319">
        <f>IF(AND('Ações'!AW316="sim", 'Ações'!BH316="sim"), 1, 0)
</f>
        <v>0</v>
      </c>
      <c r="G308" s="319">
        <f>IF(AND('Ações'!AX316="sim", 'Ações'!BI316="sim"), 1, 0)
</f>
        <v>0</v>
      </c>
      <c r="H308" s="319">
        <f>IF(AND('Ações'!AS316="sim", 'Ações'!BE316="sim"), 1, 0)
</f>
        <v>0</v>
      </c>
      <c r="I308" s="319">
        <f>IF(AND('Ações'!AS316="sim", 'Ações'!BF316="sim"), 1, 0)
</f>
        <v>0</v>
      </c>
      <c r="J308" s="319">
        <f>IF(AND('Ações'!AS316="sim", 'Ações'!BG316="sim"), 1, 0)
</f>
        <v>0</v>
      </c>
      <c r="K308" s="319">
        <f>IF(AND('Ações'!AS316="sim", 'Ações'!BH316="sim"), 1, 0)
</f>
        <v>0</v>
      </c>
      <c r="L308" s="319">
        <f>IF(AND('Ações'!AS316="sim", 'Ações'!BI316="sim"), 1, 0)
</f>
        <v>1</v>
      </c>
      <c r="M308" s="319">
        <f>IF(AND('Ações'!AT316="sim", 'Ações'!BD316="sim"), 1, 0)
</f>
        <v>0</v>
      </c>
      <c r="N308" s="319">
        <f>IF(AND('Ações'!AT316="sim", 'Ações'!BF316="sim"), 1, 0)
</f>
        <v>0</v>
      </c>
      <c r="O308" s="319">
        <f>IF(AND('Ações'!AT316="sim", 'Ações'!BG316="sim"), 1, 0)
</f>
        <v>0</v>
      </c>
      <c r="P308" s="319">
        <f>IF(AND('Ações'!AT316="sim", 'Ações'!BH316="sim"), 1, 0)
</f>
        <v>0</v>
      </c>
      <c r="Q308" s="319">
        <f>IF(AND('Ações'!AT316="sim", 'Ações'!BI316="sim"), 1, 0)
</f>
        <v>1</v>
      </c>
      <c r="R308" s="319">
        <f>IF(AND('Ações'!AU316="sim", 'Ações'!BD316="sim"), 1, 0)
</f>
        <v>0</v>
      </c>
      <c r="S308" s="319">
        <f>IF(AND('Ações'!AU316="sim", 'Ações'!BE316="sim"), 1, 0)
</f>
        <v>0</v>
      </c>
      <c r="T308" s="319">
        <f>IF(AND('Ações'!AU316="sim", 'Ações'!BG316="sim"), 1, 0)
</f>
        <v>0</v>
      </c>
      <c r="U308" s="319">
        <f>IF(AND('Ações'!AU316="sim", 'Ações'!BH316="sim"), 1, 0)
</f>
        <v>0</v>
      </c>
      <c r="V308" s="319">
        <f>IF(AND('Ações'!AU316="sim", 'Ações'!BI316="sim"), 1, 0)
</f>
        <v>1</v>
      </c>
      <c r="W308" s="319">
        <f>IF(AND('Ações'!AV316="sim", 'Ações'!BD316="sim"), 1, 0)
</f>
        <v>0</v>
      </c>
      <c r="X308" s="319">
        <f>IF(AND('Ações'!AV316="sim", 'Ações'!BE316="sim"), 1, 0)
</f>
        <v>0</v>
      </c>
      <c r="Y308" s="319">
        <f>IF(AND('Ações'!AV316="sim", 'Ações'!BF316="sim"), 1, 0)
</f>
        <v>0</v>
      </c>
      <c r="Z308" s="319">
        <f>IF(AND('Ações'!AV316="sim", 'Ações'!BH316="sim"), 1, 0)
</f>
        <v>0</v>
      </c>
      <c r="AA308" s="319">
        <f>IF(AND('Ações'!AV316="sim", 'Ações'!BI316="sim"), 1, 0)
</f>
        <v>1</v>
      </c>
      <c r="AB308" s="319">
        <f>IF(AND('Ações'!AW316="sim", 'Ações'!BD316="sim"), 1, 0)
</f>
        <v>0</v>
      </c>
      <c r="AC308" s="319">
        <f>IF(AND('Ações'!AW316="sim", 'Ações'!BE316="sim"), 1, 0)
</f>
        <v>0</v>
      </c>
      <c r="AD308" s="319">
        <f>IF(AND('Ações'!AW316="sim", 'Ações'!BF316="sim"), 1, 0)
</f>
        <v>0</v>
      </c>
      <c r="AE308" s="319">
        <f>IF(AND('Ações'!AW316="sim", 'Ações'!BG316="sim"), 1, 0)
</f>
        <v>0</v>
      </c>
      <c r="AF308" s="319">
        <f>IF(AND('Ações'!AW316="sim", 'Ações'!BI316="sim"), 1, 0)
</f>
        <v>1</v>
      </c>
      <c r="AG308" s="319">
        <f>IF(AND('Ações'!AX316="sim", 'Ações'!BD316="sim"), 1, 0)
</f>
        <v>0</v>
      </c>
      <c r="AH308" s="319">
        <f>IF(AND('Ações'!AX316="sim", 'Ações'!BE316="sim"), 1, 0)
</f>
        <v>0</v>
      </c>
      <c r="AI308" s="319">
        <f>IF(AND('Ações'!AX316="sim", 'Ações'!BF316="sim"), 1, 0)
</f>
        <v>0</v>
      </c>
      <c r="AJ308" s="319">
        <f>IF(AND('Ações'!AX316="sim", 'Ações'!BG316="sim"), 1, 0)
</f>
        <v>0</v>
      </c>
      <c r="AK308" s="319">
        <f>IF(AND('Ações'!AX316="sim", 'Ações'!BH316="sim"), 1, 0)
</f>
        <v>0</v>
      </c>
    </row>
    <row r="309">
      <c r="B309" s="319">
        <f>IF(AND('Ações'!AS317="sim", 'Ações'!BD317="sim"), 1, 0)
</f>
        <v>0</v>
      </c>
      <c r="C309" s="319">
        <f>IF(AND('Ações'!AT317="sim", 'Ações'!BE317="sim"), 1, 0)
</f>
        <v>0</v>
      </c>
      <c r="D309" s="319">
        <f>IF(AND('Ações'!AU317="sim", 'Ações'!BF317="sim"), 1, 0)
</f>
        <v>0</v>
      </c>
      <c r="E309" s="319">
        <f>IF(AND('Ações'!AV317="sim", 'Ações'!BG317="sim"), 1, 0)
</f>
        <v>0</v>
      </c>
      <c r="F309" s="319">
        <f>IF(AND('Ações'!AW317="sim", 'Ações'!BH317="sim"), 1, 0)
</f>
        <v>0</v>
      </c>
      <c r="G309" s="319">
        <f>IF(AND('Ações'!AX317="sim", 'Ações'!BI317="sim"), 1, 0)
</f>
        <v>0</v>
      </c>
      <c r="H309" s="319">
        <f>IF(AND('Ações'!AS317="sim", 'Ações'!BE317="sim"), 1, 0)
</f>
        <v>0</v>
      </c>
      <c r="I309" s="319">
        <f>IF(AND('Ações'!AS317="sim", 'Ações'!BF317="sim"), 1, 0)
</f>
        <v>0</v>
      </c>
      <c r="J309" s="319">
        <f>IF(AND('Ações'!AS317="sim", 'Ações'!BG317="sim"), 1, 0)
</f>
        <v>0</v>
      </c>
      <c r="K309" s="319">
        <f>IF(AND('Ações'!AS317="sim", 'Ações'!BH317="sim"), 1, 0)
</f>
        <v>0</v>
      </c>
      <c r="L309" s="319">
        <f>IF(AND('Ações'!AS317="sim", 'Ações'!BI317="sim"), 1, 0)
</f>
        <v>1</v>
      </c>
      <c r="M309" s="319">
        <f>IF(AND('Ações'!AT317="sim", 'Ações'!BD317="sim"), 1, 0)
</f>
        <v>0</v>
      </c>
      <c r="N309" s="319">
        <f>IF(AND('Ações'!AT317="sim", 'Ações'!BF317="sim"), 1, 0)
</f>
        <v>0</v>
      </c>
      <c r="O309" s="319">
        <f>IF(AND('Ações'!AT317="sim", 'Ações'!BG317="sim"), 1, 0)
</f>
        <v>0</v>
      </c>
      <c r="P309" s="319">
        <f>IF(AND('Ações'!AT317="sim", 'Ações'!BH317="sim"), 1, 0)
</f>
        <v>0</v>
      </c>
      <c r="Q309" s="319">
        <f>IF(AND('Ações'!AT317="sim", 'Ações'!BI317="sim"), 1, 0)
</f>
        <v>1</v>
      </c>
      <c r="R309" s="319">
        <f>IF(AND('Ações'!AU317="sim", 'Ações'!BD317="sim"), 1, 0)
</f>
        <v>0</v>
      </c>
      <c r="S309" s="319">
        <f>IF(AND('Ações'!AU317="sim", 'Ações'!BE317="sim"), 1, 0)
</f>
        <v>0</v>
      </c>
      <c r="T309" s="319">
        <f>IF(AND('Ações'!AU317="sim", 'Ações'!BG317="sim"), 1, 0)
</f>
        <v>0</v>
      </c>
      <c r="U309" s="319">
        <f>IF(AND('Ações'!AU317="sim", 'Ações'!BH317="sim"), 1, 0)
</f>
        <v>0</v>
      </c>
      <c r="V309" s="319">
        <f>IF(AND('Ações'!AU317="sim", 'Ações'!BI317="sim"), 1, 0)
</f>
        <v>1</v>
      </c>
      <c r="W309" s="319">
        <f>IF(AND('Ações'!AV317="sim", 'Ações'!BD317="sim"), 1, 0)
</f>
        <v>0</v>
      </c>
      <c r="X309" s="319">
        <f>IF(AND('Ações'!AV317="sim", 'Ações'!BE317="sim"), 1, 0)
</f>
        <v>0</v>
      </c>
      <c r="Y309" s="319">
        <f>IF(AND('Ações'!AV317="sim", 'Ações'!BF317="sim"), 1, 0)
</f>
        <v>0</v>
      </c>
      <c r="Z309" s="319">
        <f>IF(AND('Ações'!AV317="sim", 'Ações'!BH317="sim"), 1, 0)
</f>
        <v>0</v>
      </c>
      <c r="AA309" s="319">
        <f>IF(AND('Ações'!AV317="sim", 'Ações'!BI317="sim"), 1, 0)
</f>
        <v>1</v>
      </c>
      <c r="AB309" s="319">
        <f>IF(AND('Ações'!AW317="sim", 'Ações'!BD317="sim"), 1, 0)
</f>
        <v>0</v>
      </c>
      <c r="AC309" s="319">
        <f>IF(AND('Ações'!AW317="sim", 'Ações'!BE317="sim"), 1, 0)
</f>
        <v>0</v>
      </c>
      <c r="AD309" s="319">
        <f>IF(AND('Ações'!AW317="sim", 'Ações'!BF317="sim"), 1, 0)
</f>
        <v>0</v>
      </c>
      <c r="AE309" s="319">
        <f>IF(AND('Ações'!AW317="sim", 'Ações'!BG317="sim"), 1, 0)
</f>
        <v>0</v>
      </c>
      <c r="AF309" s="319">
        <f>IF(AND('Ações'!AW317="sim", 'Ações'!BI317="sim"), 1, 0)
</f>
        <v>1</v>
      </c>
      <c r="AG309" s="319">
        <f>IF(AND('Ações'!AX317="sim", 'Ações'!BD317="sim"), 1, 0)
</f>
        <v>0</v>
      </c>
      <c r="AH309" s="319">
        <f>IF(AND('Ações'!AX317="sim", 'Ações'!BE317="sim"), 1, 0)
</f>
        <v>0</v>
      </c>
      <c r="AI309" s="319">
        <f>IF(AND('Ações'!AX317="sim", 'Ações'!BF317="sim"), 1, 0)
</f>
        <v>0</v>
      </c>
      <c r="AJ309" s="319">
        <f>IF(AND('Ações'!AX317="sim", 'Ações'!BG317="sim"), 1, 0)
</f>
        <v>0</v>
      </c>
      <c r="AK309" s="319">
        <f>IF(AND('Ações'!AX317="sim", 'Ações'!BH317="sim"), 1, 0)
</f>
        <v>0</v>
      </c>
    </row>
    <row r="310">
      <c r="B310" s="319">
        <f>IF(AND('Ações'!AS318="sim", 'Ações'!BD318="sim"), 1, 0)
</f>
        <v>1</v>
      </c>
      <c r="C310" s="319">
        <f>IF(AND('Ações'!AT318="sim", 'Ações'!BE318="sim"), 1, 0)
</f>
        <v>0</v>
      </c>
      <c r="D310" s="319">
        <f>IF(AND('Ações'!AU318="sim", 'Ações'!BF318="sim"), 1, 0)
</f>
        <v>0</v>
      </c>
      <c r="E310" s="319">
        <f>IF(AND('Ações'!AV318="sim", 'Ações'!BG318="sim"), 1, 0)
</f>
        <v>0</v>
      </c>
      <c r="F310" s="319">
        <f>IF(AND('Ações'!AW318="sim", 'Ações'!BH318="sim"), 1, 0)
</f>
        <v>0</v>
      </c>
      <c r="G310" s="319">
        <f>IF(AND('Ações'!AX318="sim", 'Ações'!BI318="sim"), 1, 0)
</f>
        <v>0</v>
      </c>
      <c r="H310" s="319">
        <f>IF(AND('Ações'!AS318="sim", 'Ações'!BE318="sim"), 1, 0)
</f>
        <v>0</v>
      </c>
      <c r="I310" s="319">
        <f>IF(AND('Ações'!AS318="sim", 'Ações'!BF318="sim"), 1, 0)
</f>
        <v>0</v>
      </c>
      <c r="J310" s="319">
        <f>IF(AND('Ações'!AS318="sim", 'Ações'!BG318="sim"), 1, 0)
</f>
        <v>0</v>
      </c>
      <c r="K310" s="319">
        <f>IF(AND('Ações'!AS318="sim", 'Ações'!BH318="sim"), 1, 0)
</f>
        <v>0</v>
      </c>
      <c r="L310" s="319">
        <f>IF(AND('Ações'!AS318="sim", 'Ações'!BI318="sim"), 1, 0)
</f>
        <v>0</v>
      </c>
      <c r="M310" s="319">
        <f>IF(AND('Ações'!AT318="sim", 'Ações'!BD318="sim"), 1, 0)
</f>
        <v>1</v>
      </c>
      <c r="N310" s="319">
        <f>IF(AND('Ações'!AT318="sim", 'Ações'!BF318="sim"), 1, 0)
</f>
        <v>0</v>
      </c>
      <c r="O310" s="319">
        <f>IF(AND('Ações'!AT318="sim", 'Ações'!BG318="sim"), 1, 0)
</f>
        <v>0</v>
      </c>
      <c r="P310" s="319">
        <f>IF(AND('Ações'!AT318="sim", 'Ações'!BH318="sim"), 1, 0)
</f>
        <v>0</v>
      </c>
      <c r="Q310" s="319">
        <f>IF(AND('Ações'!AT318="sim", 'Ações'!BI318="sim"), 1, 0)
</f>
        <v>0</v>
      </c>
      <c r="R310" s="319">
        <f>IF(AND('Ações'!AU318="sim", 'Ações'!BD318="sim"), 1, 0)
</f>
        <v>1</v>
      </c>
      <c r="S310" s="319">
        <f>IF(AND('Ações'!AU318="sim", 'Ações'!BE318="sim"), 1, 0)
</f>
        <v>0</v>
      </c>
      <c r="T310" s="319">
        <f>IF(AND('Ações'!AU318="sim", 'Ações'!BG318="sim"), 1, 0)
</f>
        <v>0</v>
      </c>
      <c r="U310" s="319">
        <f>IF(AND('Ações'!AU318="sim", 'Ações'!BH318="sim"), 1, 0)
</f>
        <v>0</v>
      </c>
      <c r="V310" s="319">
        <f>IF(AND('Ações'!AU318="sim", 'Ações'!BI318="sim"), 1, 0)
</f>
        <v>0</v>
      </c>
      <c r="W310" s="319">
        <f>IF(AND('Ações'!AV318="sim", 'Ações'!BD318="sim"), 1, 0)
</f>
        <v>1</v>
      </c>
      <c r="X310" s="319">
        <f>IF(AND('Ações'!AV318="sim", 'Ações'!BE318="sim"), 1, 0)
</f>
        <v>0</v>
      </c>
      <c r="Y310" s="319">
        <f>IF(AND('Ações'!AV318="sim", 'Ações'!BF318="sim"), 1, 0)
</f>
        <v>0</v>
      </c>
      <c r="Z310" s="319">
        <f>IF(AND('Ações'!AV318="sim", 'Ações'!BH318="sim"), 1, 0)
</f>
        <v>0</v>
      </c>
      <c r="AA310" s="319">
        <f>IF(AND('Ações'!AV318="sim", 'Ações'!BI318="sim"), 1, 0)
</f>
        <v>0</v>
      </c>
      <c r="AB310" s="319">
        <f>IF(AND('Ações'!AW318="sim", 'Ações'!BD318="sim"), 1, 0)
</f>
        <v>1</v>
      </c>
      <c r="AC310" s="319">
        <f>IF(AND('Ações'!AW318="sim", 'Ações'!BE318="sim"), 1, 0)
</f>
        <v>0</v>
      </c>
      <c r="AD310" s="319">
        <f>IF(AND('Ações'!AW318="sim", 'Ações'!BF318="sim"), 1, 0)
</f>
        <v>0</v>
      </c>
      <c r="AE310" s="319">
        <f>IF(AND('Ações'!AW318="sim", 'Ações'!BG318="sim"), 1, 0)
</f>
        <v>0</v>
      </c>
      <c r="AF310" s="319">
        <f>IF(AND('Ações'!AW318="sim", 'Ações'!BI318="sim"), 1, 0)
</f>
        <v>0</v>
      </c>
      <c r="AG310" s="319">
        <f>IF(AND('Ações'!AX318="sim", 'Ações'!BD318="sim"), 1, 0)
</f>
        <v>0</v>
      </c>
      <c r="AH310" s="319">
        <f>IF(AND('Ações'!AX318="sim", 'Ações'!BE318="sim"), 1, 0)
</f>
        <v>0</v>
      </c>
      <c r="AI310" s="319">
        <f>IF(AND('Ações'!AX318="sim", 'Ações'!BF318="sim"), 1, 0)
</f>
        <v>0</v>
      </c>
      <c r="AJ310" s="319">
        <f>IF(AND('Ações'!AX318="sim", 'Ações'!BG318="sim"), 1, 0)
</f>
        <v>0</v>
      </c>
      <c r="AK310" s="319">
        <f>IF(AND('Ações'!AX318="sim", 'Ações'!BH318="sim"), 1, 0)
</f>
        <v>0</v>
      </c>
    </row>
    <row r="311">
      <c r="B311" s="319" t="str">
        <f t="shared" ref="B311:AK311" si="4">IF(AND(#REF!="sim", #REF!="sim"), 1, 0)
</f>
        <v>#REF!</v>
      </c>
      <c r="C311" s="319" t="str">
        <f t="shared" si="4"/>
        <v>#REF!</v>
      </c>
      <c r="D311" s="319" t="str">
        <f t="shared" si="4"/>
        <v>#REF!</v>
      </c>
      <c r="E311" s="319" t="str">
        <f t="shared" si="4"/>
        <v>#REF!</v>
      </c>
      <c r="F311" s="319" t="str">
        <f t="shared" si="4"/>
        <v>#REF!</v>
      </c>
      <c r="G311" s="319" t="str">
        <f t="shared" si="4"/>
        <v>#REF!</v>
      </c>
      <c r="H311" s="319" t="str">
        <f t="shared" si="4"/>
        <v>#REF!</v>
      </c>
      <c r="I311" s="319" t="str">
        <f t="shared" si="4"/>
        <v>#REF!</v>
      </c>
      <c r="J311" s="319" t="str">
        <f t="shared" si="4"/>
        <v>#REF!</v>
      </c>
      <c r="K311" s="319" t="str">
        <f t="shared" si="4"/>
        <v>#REF!</v>
      </c>
      <c r="L311" s="319" t="str">
        <f t="shared" si="4"/>
        <v>#REF!</v>
      </c>
      <c r="M311" s="319" t="str">
        <f t="shared" si="4"/>
        <v>#REF!</v>
      </c>
      <c r="N311" s="319" t="str">
        <f t="shared" si="4"/>
        <v>#REF!</v>
      </c>
      <c r="O311" s="319" t="str">
        <f t="shared" si="4"/>
        <v>#REF!</v>
      </c>
      <c r="P311" s="319" t="str">
        <f t="shared" si="4"/>
        <v>#REF!</v>
      </c>
      <c r="Q311" s="319" t="str">
        <f t="shared" si="4"/>
        <v>#REF!</v>
      </c>
      <c r="R311" s="319" t="str">
        <f t="shared" si="4"/>
        <v>#REF!</v>
      </c>
      <c r="S311" s="319" t="str">
        <f t="shared" si="4"/>
        <v>#REF!</v>
      </c>
      <c r="T311" s="319" t="str">
        <f t="shared" si="4"/>
        <v>#REF!</v>
      </c>
      <c r="U311" s="319" t="str">
        <f t="shared" si="4"/>
        <v>#REF!</v>
      </c>
      <c r="V311" s="319" t="str">
        <f t="shared" si="4"/>
        <v>#REF!</v>
      </c>
      <c r="W311" s="319" t="str">
        <f t="shared" si="4"/>
        <v>#REF!</v>
      </c>
      <c r="X311" s="319" t="str">
        <f t="shared" si="4"/>
        <v>#REF!</v>
      </c>
      <c r="Y311" s="319" t="str">
        <f t="shared" si="4"/>
        <v>#REF!</v>
      </c>
      <c r="Z311" s="319" t="str">
        <f t="shared" si="4"/>
        <v>#REF!</v>
      </c>
      <c r="AA311" s="319" t="str">
        <f t="shared" si="4"/>
        <v>#REF!</v>
      </c>
      <c r="AB311" s="319" t="str">
        <f t="shared" si="4"/>
        <v>#REF!</v>
      </c>
      <c r="AC311" s="319" t="str">
        <f t="shared" si="4"/>
        <v>#REF!</v>
      </c>
      <c r="AD311" s="319" t="str">
        <f t="shared" si="4"/>
        <v>#REF!</v>
      </c>
      <c r="AE311" s="319" t="str">
        <f t="shared" si="4"/>
        <v>#REF!</v>
      </c>
      <c r="AF311" s="319" t="str">
        <f t="shared" si="4"/>
        <v>#REF!</v>
      </c>
      <c r="AG311" s="319" t="str">
        <f t="shared" si="4"/>
        <v>#REF!</v>
      </c>
      <c r="AH311" s="319" t="str">
        <f t="shared" si="4"/>
        <v>#REF!</v>
      </c>
      <c r="AI311" s="319" t="str">
        <f t="shared" si="4"/>
        <v>#REF!</v>
      </c>
      <c r="AJ311" s="319" t="str">
        <f t="shared" si="4"/>
        <v>#REF!</v>
      </c>
      <c r="AK311" s="319" t="str">
        <f t="shared" si="4"/>
        <v>#REF!</v>
      </c>
    </row>
    <row r="312">
      <c r="B312" s="319">
        <f>IF(AND('Ações'!AS320="sim", 'Ações'!BD320="sim"), 1, 0)
</f>
        <v>1</v>
      </c>
      <c r="C312" s="319">
        <f>IF(AND('Ações'!AT320="sim", 'Ações'!BE320="sim"), 1, 0)
</f>
        <v>0</v>
      </c>
      <c r="D312" s="319">
        <f>IF(AND('Ações'!AU320="sim", 'Ações'!BF320="sim"), 1, 0)
</f>
        <v>0</v>
      </c>
      <c r="E312" s="319">
        <f>IF(AND('Ações'!AV320="sim", 'Ações'!BG320="sim"), 1, 0)
</f>
        <v>0</v>
      </c>
      <c r="F312" s="319">
        <f>IF(AND('Ações'!AW320="sim", 'Ações'!BH320="sim"), 1, 0)
</f>
        <v>0</v>
      </c>
      <c r="G312" s="319">
        <f>IF(AND('Ações'!AX320="sim", 'Ações'!BI320="sim"), 1, 0)
</f>
        <v>0</v>
      </c>
      <c r="H312" s="319">
        <f>IF(AND('Ações'!AS320="sim", 'Ações'!BE320="sim"), 1, 0)
</f>
        <v>0</v>
      </c>
      <c r="I312" s="319">
        <f>IF(AND('Ações'!AS320="sim", 'Ações'!BF320="sim"), 1, 0)
</f>
        <v>0</v>
      </c>
      <c r="J312" s="319">
        <f>IF(AND('Ações'!AS320="sim", 'Ações'!BG320="sim"), 1, 0)
</f>
        <v>0</v>
      </c>
      <c r="K312" s="319">
        <f>IF(AND('Ações'!AS320="sim", 'Ações'!BH320="sim"), 1, 0)
</f>
        <v>0</v>
      </c>
      <c r="L312" s="319">
        <f>IF(AND('Ações'!AS320="sim", 'Ações'!BI320="sim"), 1, 0)
</f>
        <v>0</v>
      </c>
      <c r="M312" s="319">
        <f>IF(AND('Ações'!AT320="sim", 'Ações'!BD320="sim"), 1, 0)
</f>
        <v>1</v>
      </c>
      <c r="N312" s="319">
        <f>IF(AND('Ações'!AT320="sim", 'Ações'!BF320="sim"), 1, 0)
</f>
        <v>0</v>
      </c>
      <c r="O312" s="319">
        <f>IF(AND('Ações'!AT320="sim", 'Ações'!BG320="sim"), 1, 0)
</f>
        <v>0</v>
      </c>
      <c r="P312" s="319">
        <f>IF(AND('Ações'!AT320="sim", 'Ações'!BH320="sim"), 1, 0)
</f>
        <v>0</v>
      </c>
      <c r="Q312" s="319">
        <f>IF(AND('Ações'!AT320="sim", 'Ações'!BI320="sim"), 1, 0)
</f>
        <v>0</v>
      </c>
      <c r="R312" s="319">
        <f>IF(AND('Ações'!AU320="sim", 'Ações'!BD320="sim"), 1, 0)
</f>
        <v>1</v>
      </c>
      <c r="S312" s="319">
        <f>IF(AND('Ações'!AU320="sim", 'Ações'!BE320="sim"), 1, 0)
</f>
        <v>0</v>
      </c>
      <c r="T312" s="319">
        <f>IF(AND('Ações'!AU320="sim", 'Ações'!BG320="sim"), 1, 0)
</f>
        <v>0</v>
      </c>
      <c r="U312" s="319">
        <f>IF(AND('Ações'!AU320="sim", 'Ações'!BH320="sim"), 1, 0)
</f>
        <v>0</v>
      </c>
      <c r="V312" s="319">
        <f>IF(AND('Ações'!AU320="sim", 'Ações'!BI320="sim"), 1, 0)
</f>
        <v>0</v>
      </c>
      <c r="W312" s="319">
        <f>IF(AND('Ações'!AV320="sim", 'Ações'!BD320="sim"), 1, 0)
</f>
        <v>1</v>
      </c>
      <c r="X312" s="319">
        <f>IF(AND('Ações'!AV320="sim", 'Ações'!BE320="sim"), 1, 0)
</f>
        <v>0</v>
      </c>
      <c r="Y312" s="319">
        <f>IF(AND('Ações'!AV320="sim", 'Ações'!BF320="sim"), 1, 0)
</f>
        <v>0</v>
      </c>
      <c r="Z312" s="319">
        <f>IF(AND('Ações'!AV320="sim", 'Ações'!BH320="sim"), 1, 0)
</f>
        <v>0</v>
      </c>
      <c r="AA312" s="319">
        <f>IF(AND('Ações'!AV320="sim", 'Ações'!BI320="sim"), 1, 0)
</f>
        <v>0</v>
      </c>
      <c r="AB312" s="319">
        <f>IF(AND('Ações'!AW320="sim", 'Ações'!BD320="sim"), 1, 0)
</f>
        <v>1</v>
      </c>
      <c r="AC312" s="319">
        <f>IF(AND('Ações'!AW320="sim", 'Ações'!BE320="sim"), 1, 0)
</f>
        <v>0</v>
      </c>
      <c r="AD312" s="319">
        <f>IF(AND('Ações'!AW320="sim", 'Ações'!BF320="sim"), 1, 0)
</f>
        <v>0</v>
      </c>
      <c r="AE312" s="319">
        <f>IF(AND('Ações'!AW320="sim", 'Ações'!BG320="sim"), 1, 0)
</f>
        <v>0</v>
      </c>
      <c r="AF312" s="319">
        <f>IF(AND('Ações'!AW320="sim", 'Ações'!BI320="sim"), 1, 0)
</f>
        <v>0</v>
      </c>
      <c r="AG312" s="319">
        <f>IF(AND('Ações'!AX320="sim", 'Ações'!BD320="sim"), 1, 0)
</f>
        <v>0</v>
      </c>
      <c r="AH312" s="319">
        <f>IF(AND('Ações'!AX320="sim", 'Ações'!BE320="sim"), 1, 0)
</f>
        <v>0</v>
      </c>
      <c r="AI312" s="319">
        <f>IF(AND('Ações'!AX320="sim", 'Ações'!BF320="sim"), 1, 0)
</f>
        <v>0</v>
      </c>
      <c r="AJ312" s="319">
        <f>IF(AND('Ações'!AX320="sim", 'Ações'!BG320="sim"), 1, 0)
</f>
        <v>0</v>
      </c>
      <c r="AK312" s="319">
        <f>IF(AND('Ações'!AX320="sim", 'Ações'!BH320="sim"), 1, 0)
</f>
        <v>0</v>
      </c>
    </row>
    <row r="313">
      <c r="B313" s="319">
        <f>IF(AND('Ações'!AS321="sim", 'Ações'!BD321="sim"), 1, 0)
</f>
        <v>0</v>
      </c>
      <c r="C313" s="319">
        <f>IF(AND('Ações'!AT321="sim", 'Ações'!BE321="sim"), 1, 0)
</f>
        <v>0</v>
      </c>
      <c r="D313" s="319">
        <f>IF(AND('Ações'!AU321="sim", 'Ações'!BF321="sim"), 1, 0)
</f>
        <v>0</v>
      </c>
      <c r="E313" s="319">
        <f>IF(AND('Ações'!AV321="sim", 'Ações'!BG321="sim"), 1, 0)
</f>
        <v>0</v>
      </c>
      <c r="F313" s="319">
        <f>IF(AND('Ações'!AW321="sim", 'Ações'!BH321="sim"), 1, 0)
</f>
        <v>0</v>
      </c>
      <c r="G313" s="319">
        <f>IF(AND('Ações'!AX321="sim", 'Ações'!BI321="sim"), 1, 0)
</f>
        <v>1</v>
      </c>
      <c r="H313" s="319">
        <f>IF(AND('Ações'!AS321="sim", 'Ações'!BE321="sim"), 1, 0)
</f>
        <v>0</v>
      </c>
      <c r="I313" s="319">
        <f>IF(AND('Ações'!AS321="sim", 'Ações'!BF321="sim"), 1, 0)
</f>
        <v>0</v>
      </c>
      <c r="J313" s="319">
        <f>IF(AND('Ações'!AS321="sim", 'Ações'!BG321="sim"), 1, 0)
</f>
        <v>0</v>
      </c>
      <c r="K313" s="319">
        <f>IF(AND('Ações'!AS321="sim", 'Ações'!BH321="sim"), 1, 0)
</f>
        <v>0</v>
      </c>
      <c r="L313" s="319">
        <f>IF(AND('Ações'!AS321="sim", 'Ações'!BI321="sim"), 1, 0)
</f>
        <v>1</v>
      </c>
      <c r="M313" s="319">
        <f>IF(AND('Ações'!AT321="sim", 'Ações'!BD321="sim"), 1, 0)
</f>
        <v>0</v>
      </c>
      <c r="N313" s="319">
        <f>IF(AND('Ações'!AT321="sim", 'Ações'!BF321="sim"), 1, 0)
</f>
        <v>0</v>
      </c>
      <c r="O313" s="319">
        <f>IF(AND('Ações'!AT321="sim", 'Ações'!BG321="sim"), 1, 0)
</f>
        <v>0</v>
      </c>
      <c r="P313" s="319">
        <f>IF(AND('Ações'!AT321="sim", 'Ações'!BH321="sim"), 1, 0)
</f>
        <v>0</v>
      </c>
      <c r="Q313" s="319">
        <f>IF(AND('Ações'!AT321="sim", 'Ações'!BI321="sim"), 1, 0)
</f>
        <v>0</v>
      </c>
      <c r="R313" s="319">
        <f>IF(AND('Ações'!AU321="sim", 'Ações'!BD321="sim"), 1, 0)
</f>
        <v>0</v>
      </c>
      <c r="S313" s="319">
        <f>IF(AND('Ações'!AU321="sim", 'Ações'!BE321="sim"), 1, 0)
</f>
        <v>0</v>
      </c>
      <c r="T313" s="319">
        <f>IF(AND('Ações'!AU321="sim", 'Ações'!BG321="sim"), 1, 0)
</f>
        <v>0</v>
      </c>
      <c r="U313" s="319">
        <f>IF(AND('Ações'!AU321="sim", 'Ações'!BH321="sim"), 1, 0)
</f>
        <v>0</v>
      </c>
      <c r="V313" s="319">
        <f>IF(AND('Ações'!AU321="sim", 'Ações'!BI321="sim"), 1, 0)
</f>
        <v>0</v>
      </c>
      <c r="W313" s="319">
        <f>IF(AND('Ações'!AV321="sim", 'Ações'!BD321="sim"), 1, 0)
</f>
        <v>0</v>
      </c>
      <c r="X313" s="319">
        <f>IF(AND('Ações'!AV321="sim", 'Ações'!BE321="sim"), 1, 0)
</f>
        <v>0</v>
      </c>
      <c r="Y313" s="319">
        <f>IF(AND('Ações'!AV321="sim", 'Ações'!BF321="sim"), 1, 0)
</f>
        <v>0</v>
      </c>
      <c r="Z313" s="319">
        <f>IF(AND('Ações'!AV321="sim", 'Ações'!BH321="sim"), 1, 0)
</f>
        <v>0</v>
      </c>
      <c r="AA313" s="319">
        <f>IF(AND('Ações'!AV321="sim", 'Ações'!BI321="sim"), 1, 0)
</f>
        <v>0</v>
      </c>
      <c r="AB313" s="319">
        <f>IF(AND('Ações'!AW321="sim", 'Ações'!BD321="sim"), 1, 0)
</f>
        <v>0</v>
      </c>
      <c r="AC313" s="319">
        <f>IF(AND('Ações'!AW321="sim", 'Ações'!BE321="sim"), 1, 0)
</f>
        <v>0</v>
      </c>
      <c r="AD313" s="319">
        <f>IF(AND('Ações'!AW321="sim", 'Ações'!BF321="sim"), 1, 0)
</f>
        <v>0</v>
      </c>
      <c r="AE313" s="319">
        <f>IF(AND('Ações'!AW321="sim", 'Ações'!BG321="sim"), 1, 0)
</f>
        <v>0</v>
      </c>
      <c r="AF313" s="319">
        <f>IF(AND('Ações'!AW321="sim", 'Ações'!BI321="sim"), 1, 0)
</f>
        <v>0</v>
      </c>
      <c r="AG313" s="319">
        <f>IF(AND('Ações'!AX321="sim", 'Ações'!BD321="sim"), 1, 0)
</f>
        <v>0</v>
      </c>
      <c r="AH313" s="319">
        <f>IF(AND('Ações'!AX321="sim", 'Ações'!BE321="sim"), 1, 0)
</f>
        <v>0</v>
      </c>
      <c r="AI313" s="319">
        <f>IF(AND('Ações'!AX321="sim", 'Ações'!BF321="sim"), 1, 0)
</f>
        <v>0</v>
      </c>
      <c r="AJ313" s="319">
        <f>IF(AND('Ações'!AX321="sim", 'Ações'!BG321="sim"), 1, 0)
</f>
        <v>0</v>
      </c>
      <c r="AK313" s="319">
        <f>IF(AND('Ações'!AX321="sim", 'Ações'!BH321="sim"), 1, 0)
</f>
        <v>0</v>
      </c>
    </row>
    <row r="314">
      <c r="B314" s="319">
        <f>IF(AND('Ações'!AS322="sim", 'Ações'!BD322="sim"), 1, 0)
</f>
        <v>1</v>
      </c>
      <c r="C314" s="319">
        <f>IF(AND('Ações'!AT322="sim", 'Ações'!BE322="sim"), 1, 0)
</f>
        <v>0</v>
      </c>
      <c r="D314" s="319">
        <f>IF(AND('Ações'!AU322="sim", 'Ações'!BF322="sim"), 1, 0)
</f>
        <v>0</v>
      </c>
      <c r="E314" s="319">
        <f>IF(AND('Ações'!AV322="sim", 'Ações'!BG322="sim"), 1, 0)
</f>
        <v>1</v>
      </c>
      <c r="F314" s="319">
        <f>IF(AND('Ações'!AW322="sim", 'Ações'!BH322="sim"), 1, 0)
</f>
        <v>0</v>
      </c>
      <c r="G314" s="319">
        <f>IF(AND('Ações'!AX322="sim", 'Ações'!BI322="sim"), 1, 0)
</f>
        <v>0</v>
      </c>
      <c r="H314" s="319">
        <f>IF(AND('Ações'!AS322="sim", 'Ações'!BE322="sim"), 1, 0)
</f>
        <v>0</v>
      </c>
      <c r="I314" s="319">
        <f>IF(AND('Ações'!AS322="sim", 'Ações'!BF322="sim"), 1, 0)
</f>
        <v>0</v>
      </c>
      <c r="J314" s="319">
        <f>IF(AND('Ações'!AS322="sim", 'Ações'!BG322="sim"), 1, 0)
</f>
        <v>1</v>
      </c>
      <c r="K314" s="319">
        <f>IF(AND('Ações'!AS322="sim", 'Ações'!BH322="sim"), 1, 0)
</f>
        <v>0</v>
      </c>
      <c r="L314" s="319">
        <f>IF(AND('Ações'!AS322="sim", 'Ações'!BI322="sim"), 1, 0)
</f>
        <v>0</v>
      </c>
      <c r="M314" s="319">
        <f>IF(AND('Ações'!AT322="sim", 'Ações'!BD322="sim"), 1, 0)
</f>
        <v>1</v>
      </c>
      <c r="N314" s="319">
        <f>IF(AND('Ações'!AT322="sim", 'Ações'!BF322="sim"), 1, 0)
</f>
        <v>0</v>
      </c>
      <c r="O314" s="319">
        <f>IF(AND('Ações'!AT322="sim", 'Ações'!BG322="sim"), 1, 0)
</f>
        <v>1</v>
      </c>
      <c r="P314" s="319">
        <f>IF(AND('Ações'!AT322="sim", 'Ações'!BH322="sim"), 1, 0)
</f>
        <v>0</v>
      </c>
      <c r="Q314" s="319">
        <f>IF(AND('Ações'!AT322="sim", 'Ações'!BI322="sim"), 1, 0)
</f>
        <v>0</v>
      </c>
      <c r="R314" s="319">
        <f>IF(AND('Ações'!AU322="sim", 'Ações'!BD322="sim"), 1, 0)
</f>
        <v>1</v>
      </c>
      <c r="S314" s="319">
        <f>IF(AND('Ações'!AU322="sim", 'Ações'!BE322="sim"), 1, 0)
</f>
        <v>0</v>
      </c>
      <c r="T314" s="319">
        <f>IF(AND('Ações'!AU322="sim", 'Ações'!BG322="sim"), 1, 0)
</f>
        <v>1</v>
      </c>
      <c r="U314" s="319">
        <f>IF(AND('Ações'!AU322="sim", 'Ações'!BH322="sim"), 1, 0)
</f>
        <v>0</v>
      </c>
      <c r="V314" s="319">
        <f>IF(AND('Ações'!AU322="sim", 'Ações'!BI322="sim"), 1, 0)
</f>
        <v>0</v>
      </c>
      <c r="W314" s="319">
        <f>IF(AND('Ações'!AV322="sim", 'Ações'!BD322="sim"), 1, 0)
</f>
        <v>1</v>
      </c>
      <c r="X314" s="319">
        <f>IF(AND('Ações'!AV322="sim", 'Ações'!BE322="sim"), 1, 0)
</f>
        <v>0</v>
      </c>
      <c r="Y314" s="319">
        <f>IF(AND('Ações'!AV322="sim", 'Ações'!BF322="sim"), 1, 0)
</f>
        <v>0</v>
      </c>
      <c r="Z314" s="319">
        <f>IF(AND('Ações'!AV322="sim", 'Ações'!BH322="sim"), 1, 0)
</f>
        <v>0</v>
      </c>
      <c r="AA314" s="319">
        <f>IF(AND('Ações'!AV322="sim", 'Ações'!BI322="sim"), 1, 0)
</f>
        <v>0</v>
      </c>
      <c r="AB314" s="319">
        <f>IF(AND('Ações'!AW322="sim", 'Ações'!BD322="sim"), 1, 0)
</f>
        <v>1</v>
      </c>
      <c r="AC314" s="319">
        <f>IF(AND('Ações'!AW322="sim", 'Ações'!BE322="sim"), 1, 0)
</f>
        <v>0</v>
      </c>
      <c r="AD314" s="319">
        <f>IF(AND('Ações'!AW322="sim", 'Ações'!BF322="sim"), 1, 0)
</f>
        <v>0</v>
      </c>
      <c r="AE314" s="319">
        <f>IF(AND('Ações'!AW322="sim", 'Ações'!BG322="sim"), 1, 0)
</f>
        <v>1</v>
      </c>
      <c r="AF314" s="319">
        <f>IF(AND('Ações'!AW322="sim", 'Ações'!BI322="sim"), 1, 0)
</f>
        <v>0</v>
      </c>
      <c r="AG314" s="319">
        <f>IF(AND('Ações'!AX322="sim", 'Ações'!BD322="sim"), 1, 0)
</f>
        <v>0</v>
      </c>
      <c r="AH314" s="319">
        <f>IF(AND('Ações'!AX322="sim", 'Ações'!BE322="sim"), 1, 0)
</f>
        <v>0</v>
      </c>
      <c r="AI314" s="319">
        <f>IF(AND('Ações'!AX322="sim", 'Ações'!BF322="sim"), 1, 0)
</f>
        <v>0</v>
      </c>
      <c r="AJ314" s="319">
        <f>IF(AND('Ações'!AX322="sim", 'Ações'!BG322="sim"), 1, 0)
</f>
        <v>0</v>
      </c>
      <c r="AK314" s="319">
        <f>IF(AND('Ações'!AX322="sim", 'Ações'!BH322="sim"), 1, 0)
</f>
        <v>0</v>
      </c>
    </row>
    <row r="315">
      <c r="B315" s="319">
        <f>IF(AND('Ações'!AS323="sim", 'Ações'!BD323="sim"), 1, 0)
</f>
        <v>1</v>
      </c>
      <c r="C315" s="319">
        <f>IF(AND('Ações'!AT323="sim", 'Ações'!BE323="sim"), 1, 0)
</f>
        <v>0</v>
      </c>
      <c r="D315" s="319">
        <f>IF(AND('Ações'!AU323="sim", 'Ações'!BF323="sim"), 1, 0)
</f>
        <v>0</v>
      </c>
      <c r="E315" s="319">
        <f>IF(AND('Ações'!AV323="sim", 'Ações'!BG323="sim"), 1, 0)
</f>
        <v>0</v>
      </c>
      <c r="F315" s="319">
        <f>IF(AND('Ações'!AW323="sim", 'Ações'!BH323="sim"), 1, 0)
</f>
        <v>0</v>
      </c>
      <c r="G315" s="319">
        <f>IF(AND('Ações'!AX323="sim", 'Ações'!BI323="sim"), 1, 0)
</f>
        <v>0</v>
      </c>
      <c r="H315" s="319">
        <f>IF(AND('Ações'!AS323="sim", 'Ações'!BE323="sim"), 1, 0)
</f>
        <v>0</v>
      </c>
      <c r="I315" s="319">
        <f>IF(AND('Ações'!AS323="sim", 'Ações'!BF323="sim"), 1, 0)
</f>
        <v>0</v>
      </c>
      <c r="J315" s="319">
        <f>IF(AND('Ações'!AS323="sim", 'Ações'!BG323="sim"), 1, 0)
</f>
        <v>0</v>
      </c>
      <c r="K315" s="319">
        <f>IF(AND('Ações'!AS323="sim", 'Ações'!BH323="sim"), 1, 0)
</f>
        <v>0</v>
      </c>
      <c r="L315" s="319">
        <f>IF(AND('Ações'!AS323="sim", 'Ações'!BI323="sim"), 1, 0)
</f>
        <v>1</v>
      </c>
      <c r="M315" s="319">
        <f>IF(AND('Ações'!AT323="sim", 'Ações'!BD323="sim"), 1, 0)
</f>
        <v>1</v>
      </c>
      <c r="N315" s="319">
        <f>IF(AND('Ações'!AT323="sim", 'Ações'!BF323="sim"), 1, 0)
</f>
        <v>0</v>
      </c>
      <c r="O315" s="319">
        <f>IF(AND('Ações'!AT323="sim", 'Ações'!BG323="sim"), 1, 0)
</f>
        <v>0</v>
      </c>
      <c r="P315" s="319">
        <f>IF(AND('Ações'!AT323="sim", 'Ações'!BH323="sim"), 1, 0)
</f>
        <v>0</v>
      </c>
      <c r="Q315" s="319">
        <f>IF(AND('Ações'!AT323="sim", 'Ações'!BI323="sim"), 1, 0)
</f>
        <v>1</v>
      </c>
      <c r="R315" s="319">
        <f>IF(AND('Ações'!AU323="sim", 'Ações'!BD323="sim"), 1, 0)
</f>
        <v>1</v>
      </c>
      <c r="S315" s="319">
        <f>IF(AND('Ações'!AU323="sim", 'Ações'!BE323="sim"), 1, 0)
</f>
        <v>0</v>
      </c>
      <c r="T315" s="319">
        <f>IF(AND('Ações'!AU323="sim", 'Ações'!BG323="sim"), 1, 0)
</f>
        <v>0</v>
      </c>
      <c r="U315" s="319">
        <f>IF(AND('Ações'!AU323="sim", 'Ações'!BH323="sim"), 1, 0)
</f>
        <v>0</v>
      </c>
      <c r="V315" s="319">
        <f>IF(AND('Ações'!AU323="sim", 'Ações'!BI323="sim"), 1, 0)
</f>
        <v>1</v>
      </c>
      <c r="W315" s="319">
        <f>IF(AND('Ações'!AV323="sim", 'Ações'!BD323="sim"), 1, 0)
</f>
        <v>1</v>
      </c>
      <c r="X315" s="319">
        <f>IF(AND('Ações'!AV323="sim", 'Ações'!BE323="sim"), 1, 0)
</f>
        <v>0</v>
      </c>
      <c r="Y315" s="319">
        <f>IF(AND('Ações'!AV323="sim", 'Ações'!BF323="sim"), 1, 0)
</f>
        <v>0</v>
      </c>
      <c r="Z315" s="319">
        <f>IF(AND('Ações'!AV323="sim", 'Ações'!BH323="sim"), 1, 0)
</f>
        <v>0</v>
      </c>
      <c r="AA315" s="319">
        <f>IF(AND('Ações'!AV323="sim", 'Ações'!BI323="sim"), 1, 0)
</f>
        <v>1</v>
      </c>
      <c r="AB315" s="319">
        <f>IF(AND('Ações'!AW323="sim", 'Ações'!BD323="sim"), 1, 0)
</f>
        <v>1</v>
      </c>
      <c r="AC315" s="319">
        <f>IF(AND('Ações'!AW323="sim", 'Ações'!BE323="sim"), 1, 0)
</f>
        <v>0</v>
      </c>
      <c r="AD315" s="319">
        <f>IF(AND('Ações'!AW323="sim", 'Ações'!BF323="sim"), 1, 0)
</f>
        <v>0</v>
      </c>
      <c r="AE315" s="319">
        <f>IF(AND('Ações'!AW323="sim", 'Ações'!BG323="sim"), 1, 0)
</f>
        <v>0</v>
      </c>
      <c r="AF315" s="319">
        <f>IF(AND('Ações'!AW323="sim", 'Ações'!BI323="sim"), 1, 0)
</f>
        <v>1</v>
      </c>
      <c r="AG315" s="319">
        <f>IF(AND('Ações'!AX323="sim", 'Ações'!BD323="sim"), 1, 0)
</f>
        <v>0</v>
      </c>
      <c r="AH315" s="319">
        <f>IF(AND('Ações'!AX323="sim", 'Ações'!BE323="sim"), 1, 0)
</f>
        <v>0</v>
      </c>
      <c r="AI315" s="319">
        <f>IF(AND('Ações'!AX323="sim", 'Ações'!BF323="sim"), 1, 0)
</f>
        <v>0</v>
      </c>
      <c r="AJ315" s="319">
        <f>IF(AND('Ações'!AX323="sim", 'Ações'!BG323="sim"), 1, 0)
</f>
        <v>0</v>
      </c>
      <c r="AK315" s="319">
        <f>IF(AND('Ações'!AX323="sim", 'Ações'!BH323="sim"), 1, 0)
</f>
        <v>0</v>
      </c>
    </row>
    <row r="316">
      <c r="B316" s="319">
        <f>IF(AND('Ações'!AS324="sim", 'Ações'!BD324="sim"), 1, 0)
</f>
        <v>0</v>
      </c>
      <c r="C316" s="319">
        <f>IF(AND('Ações'!AT324="sim", 'Ações'!BE324="sim"), 1, 0)
</f>
        <v>1</v>
      </c>
      <c r="D316" s="319">
        <f>IF(AND('Ações'!AU324="sim", 'Ações'!BF324="sim"), 1, 0)
</f>
        <v>0</v>
      </c>
      <c r="E316" s="319">
        <f>IF(AND('Ações'!AV324="sim", 'Ações'!BG324="sim"), 1, 0)
</f>
        <v>1</v>
      </c>
      <c r="F316" s="319">
        <f>IF(AND('Ações'!AW324="sim", 'Ações'!BH324="sim"), 1, 0)
</f>
        <v>0</v>
      </c>
      <c r="G316" s="319">
        <f>IF(AND('Ações'!AX324="sim", 'Ações'!BI324="sim"), 1, 0)
</f>
        <v>0</v>
      </c>
      <c r="H316" s="319">
        <f>IF(AND('Ações'!AS324="sim", 'Ações'!BE324="sim"), 1, 0)
</f>
        <v>1</v>
      </c>
      <c r="I316" s="319">
        <f>IF(AND('Ações'!AS324="sim", 'Ações'!BF324="sim"), 1, 0)
</f>
        <v>0</v>
      </c>
      <c r="J316" s="319">
        <f>IF(AND('Ações'!AS324="sim", 'Ações'!BG324="sim"), 1, 0)
</f>
        <v>1</v>
      </c>
      <c r="K316" s="319">
        <f>IF(AND('Ações'!AS324="sim", 'Ações'!BH324="sim"), 1, 0)
</f>
        <v>0</v>
      </c>
      <c r="L316" s="319">
        <f>IF(AND('Ações'!AS324="sim", 'Ações'!BI324="sim"), 1, 0)
</f>
        <v>0</v>
      </c>
      <c r="M316" s="319">
        <f>IF(AND('Ações'!AT324="sim", 'Ações'!BD324="sim"), 1, 0)
</f>
        <v>0</v>
      </c>
      <c r="N316" s="319">
        <f>IF(AND('Ações'!AT324="sim", 'Ações'!BF324="sim"), 1, 0)
</f>
        <v>0</v>
      </c>
      <c r="O316" s="319">
        <f>IF(AND('Ações'!AT324="sim", 'Ações'!BG324="sim"), 1, 0)
</f>
        <v>1</v>
      </c>
      <c r="P316" s="319">
        <f>IF(AND('Ações'!AT324="sim", 'Ações'!BH324="sim"), 1, 0)
</f>
        <v>0</v>
      </c>
      <c r="Q316" s="319">
        <f>IF(AND('Ações'!AT324="sim", 'Ações'!BI324="sim"), 1, 0)
</f>
        <v>0</v>
      </c>
      <c r="R316" s="319">
        <f>IF(AND('Ações'!AU324="sim", 'Ações'!BD324="sim"), 1, 0)
</f>
        <v>0</v>
      </c>
      <c r="S316" s="319">
        <f>IF(AND('Ações'!AU324="sim", 'Ações'!BE324="sim"), 1, 0)
</f>
        <v>1</v>
      </c>
      <c r="T316" s="319">
        <f>IF(AND('Ações'!AU324="sim", 'Ações'!BG324="sim"), 1, 0)
</f>
        <v>1</v>
      </c>
      <c r="U316" s="319">
        <f>IF(AND('Ações'!AU324="sim", 'Ações'!BH324="sim"), 1, 0)
</f>
        <v>0</v>
      </c>
      <c r="V316" s="319">
        <f>IF(AND('Ações'!AU324="sim", 'Ações'!BI324="sim"), 1, 0)
</f>
        <v>0</v>
      </c>
      <c r="W316" s="319">
        <f>IF(AND('Ações'!AV324="sim", 'Ações'!BD324="sim"), 1, 0)
</f>
        <v>0</v>
      </c>
      <c r="X316" s="319">
        <f>IF(AND('Ações'!AV324="sim", 'Ações'!BE324="sim"), 1, 0)
</f>
        <v>1</v>
      </c>
      <c r="Y316" s="319">
        <f>IF(AND('Ações'!AV324="sim", 'Ações'!BF324="sim"), 1, 0)
</f>
        <v>0</v>
      </c>
      <c r="Z316" s="319">
        <f>IF(AND('Ações'!AV324="sim", 'Ações'!BH324="sim"), 1, 0)
</f>
        <v>0</v>
      </c>
      <c r="AA316" s="319">
        <f>IF(AND('Ações'!AV324="sim", 'Ações'!BI324="sim"), 1, 0)
</f>
        <v>0</v>
      </c>
      <c r="AB316" s="319">
        <f>IF(AND('Ações'!AW324="sim", 'Ações'!BD324="sim"), 1, 0)
</f>
        <v>0</v>
      </c>
      <c r="AC316" s="319">
        <f>IF(AND('Ações'!AW324="sim", 'Ações'!BE324="sim"), 1, 0)
</f>
        <v>1</v>
      </c>
      <c r="AD316" s="319">
        <f>IF(AND('Ações'!AW324="sim", 'Ações'!BF324="sim"), 1, 0)
</f>
        <v>0</v>
      </c>
      <c r="AE316" s="319">
        <f>IF(AND('Ações'!AW324="sim", 'Ações'!BG324="sim"), 1, 0)
</f>
        <v>1</v>
      </c>
      <c r="AF316" s="319">
        <f>IF(AND('Ações'!AW324="sim", 'Ações'!BI324="sim"), 1, 0)
</f>
        <v>0</v>
      </c>
      <c r="AG316" s="319">
        <f>IF(AND('Ações'!AX324="sim", 'Ações'!BD324="sim"), 1, 0)
</f>
        <v>0</v>
      </c>
      <c r="AH316" s="319">
        <f>IF(AND('Ações'!AX324="sim", 'Ações'!BE324="sim"), 1, 0)
</f>
        <v>0</v>
      </c>
      <c r="AI316" s="319">
        <f>IF(AND('Ações'!AX324="sim", 'Ações'!BF324="sim"), 1, 0)
</f>
        <v>0</v>
      </c>
      <c r="AJ316" s="319">
        <f>IF(AND('Ações'!AX324="sim", 'Ações'!BG324="sim"), 1, 0)
</f>
        <v>0</v>
      </c>
      <c r="AK316" s="319">
        <f>IF(AND('Ações'!AX324="sim", 'Ações'!BH324="sim"), 1, 0)
</f>
        <v>0</v>
      </c>
    </row>
    <row r="317">
      <c r="B317" s="319">
        <f>IF(AND('Ações'!AS325="sim", 'Ações'!BD325="sim"), 1, 0)
</f>
        <v>1</v>
      </c>
      <c r="C317" s="319">
        <f>IF(AND('Ações'!AT325="sim", 'Ações'!BE325="sim"), 1, 0)
</f>
        <v>0</v>
      </c>
      <c r="D317" s="319">
        <f>IF(AND('Ações'!AU325="sim", 'Ações'!BF325="sim"), 1, 0)
</f>
        <v>0</v>
      </c>
      <c r="E317" s="319">
        <f>IF(AND('Ações'!AV325="sim", 'Ações'!BG325="sim"), 1, 0)
</f>
        <v>0</v>
      </c>
      <c r="F317" s="319">
        <f>IF(AND('Ações'!AW325="sim", 'Ações'!BH325="sim"), 1, 0)
</f>
        <v>0</v>
      </c>
      <c r="G317" s="319">
        <f>IF(AND('Ações'!AX325="sim", 'Ações'!BI325="sim"), 1, 0)
</f>
        <v>0</v>
      </c>
      <c r="H317" s="319">
        <f>IF(AND('Ações'!AS325="sim", 'Ações'!BE325="sim"), 1, 0)
</f>
        <v>0</v>
      </c>
      <c r="I317" s="319">
        <f>IF(AND('Ações'!AS325="sim", 'Ações'!BF325="sim"), 1, 0)
</f>
        <v>0</v>
      </c>
      <c r="J317" s="319">
        <f>IF(AND('Ações'!AS325="sim", 'Ações'!BG325="sim"), 1, 0)
</f>
        <v>0</v>
      </c>
      <c r="K317" s="319">
        <f>IF(AND('Ações'!AS325="sim", 'Ações'!BH325="sim"), 1, 0)
</f>
        <v>0</v>
      </c>
      <c r="L317" s="319">
        <f>IF(AND('Ações'!AS325="sim", 'Ações'!BI325="sim"), 1, 0)
</f>
        <v>0</v>
      </c>
      <c r="M317" s="319">
        <f>IF(AND('Ações'!AT325="sim", 'Ações'!BD325="sim"), 1, 0)
</f>
        <v>1</v>
      </c>
      <c r="N317" s="319">
        <f>IF(AND('Ações'!AT325="sim", 'Ações'!BF325="sim"), 1, 0)
</f>
        <v>0</v>
      </c>
      <c r="O317" s="319">
        <f>IF(AND('Ações'!AT325="sim", 'Ações'!BG325="sim"), 1, 0)
</f>
        <v>0</v>
      </c>
      <c r="P317" s="319">
        <f>IF(AND('Ações'!AT325="sim", 'Ações'!BH325="sim"), 1, 0)
</f>
        <v>0</v>
      </c>
      <c r="Q317" s="319">
        <f>IF(AND('Ações'!AT325="sim", 'Ações'!BI325="sim"), 1, 0)
</f>
        <v>0</v>
      </c>
      <c r="R317" s="319">
        <f>IF(AND('Ações'!AU325="sim", 'Ações'!BD325="sim"), 1, 0)
</f>
        <v>1</v>
      </c>
      <c r="S317" s="319">
        <f>IF(AND('Ações'!AU325="sim", 'Ações'!BE325="sim"), 1, 0)
</f>
        <v>0</v>
      </c>
      <c r="T317" s="319">
        <f>IF(AND('Ações'!AU325="sim", 'Ações'!BG325="sim"), 1, 0)
</f>
        <v>0</v>
      </c>
      <c r="U317" s="319">
        <f>IF(AND('Ações'!AU325="sim", 'Ações'!BH325="sim"), 1, 0)
</f>
        <v>0</v>
      </c>
      <c r="V317" s="319">
        <f>IF(AND('Ações'!AU325="sim", 'Ações'!BI325="sim"), 1, 0)
</f>
        <v>0</v>
      </c>
      <c r="W317" s="319">
        <f>IF(AND('Ações'!AV325="sim", 'Ações'!BD325="sim"), 1, 0)
</f>
        <v>1</v>
      </c>
      <c r="X317" s="319">
        <f>IF(AND('Ações'!AV325="sim", 'Ações'!BE325="sim"), 1, 0)
</f>
        <v>0</v>
      </c>
      <c r="Y317" s="319">
        <f>IF(AND('Ações'!AV325="sim", 'Ações'!BF325="sim"), 1, 0)
</f>
        <v>0</v>
      </c>
      <c r="Z317" s="319">
        <f>IF(AND('Ações'!AV325="sim", 'Ações'!BH325="sim"), 1, 0)
</f>
        <v>0</v>
      </c>
      <c r="AA317" s="319">
        <f>IF(AND('Ações'!AV325="sim", 'Ações'!BI325="sim"), 1, 0)
</f>
        <v>0</v>
      </c>
      <c r="AB317" s="319">
        <f>IF(AND('Ações'!AW325="sim", 'Ações'!BD325="sim"), 1, 0)
</f>
        <v>1</v>
      </c>
      <c r="AC317" s="319">
        <f>IF(AND('Ações'!AW325="sim", 'Ações'!BE325="sim"), 1, 0)
</f>
        <v>0</v>
      </c>
      <c r="AD317" s="319">
        <f>IF(AND('Ações'!AW325="sim", 'Ações'!BF325="sim"), 1, 0)
</f>
        <v>0</v>
      </c>
      <c r="AE317" s="319">
        <f>IF(AND('Ações'!AW325="sim", 'Ações'!BG325="sim"), 1, 0)
</f>
        <v>0</v>
      </c>
      <c r="AF317" s="319">
        <f>IF(AND('Ações'!AW325="sim", 'Ações'!BI325="sim"), 1, 0)
</f>
        <v>0</v>
      </c>
      <c r="AG317" s="319">
        <f>IF(AND('Ações'!AX325="sim", 'Ações'!BD325="sim"), 1, 0)
</f>
        <v>0</v>
      </c>
      <c r="AH317" s="319">
        <f>IF(AND('Ações'!AX325="sim", 'Ações'!BE325="sim"), 1, 0)
</f>
        <v>0</v>
      </c>
      <c r="AI317" s="319">
        <f>IF(AND('Ações'!AX325="sim", 'Ações'!BF325="sim"), 1, 0)
</f>
        <v>0</v>
      </c>
      <c r="AJ317" s="319">
        <f>IF(AND('Ações'!AX325="sim", 'Ações'!BG325="sim"), 1, 0)
</f>
        <v>0</v>
      </c>
      <c r="AK317" s="319">
        <f>IF(AND('Ações'!AX325="sim", 'Ações'!BH325="sim"), 1, 0)
</f>
        <v>0</v>
      </c>
    </row>
    <row r="318">
      <c r="B318" s="319">
        <f>IF(AND('Ações'!AS326="sim", 'Ações'!BD326="sim"), 1, 0)
</f>
        <v>1</v>
      </c>
      <c r="C318" s="319">
        <f>IF(AND('Ações'!AT326="sim", 'Ações'!BE326="sim"), 1, 0)
</f>
        <v>0</v>
      </c>
      <c r="D318" s="319">
        <f>IF(AND('Ações'!AU326="sim", 'Ações'!BF326="sim"), 1, 0)
</f>
        <v>0</v>
      </c>
      <c r="E318" s="319">
        <f>IF(AND('Ações'!AV326="sim", 'Ações'!BG326="sim"), 1, 0)
</f>
        <v>0</v>
      </c>
      <c r="F318" s="319">
        <f>IF(AND('Ações'!AW326="sim", 'Ações'!BH326="sim"), 1, 0)
</f>
        <v>0</v>
      </c>
      <c r="G318" s="319">
        <f>IF(AND('Ações'!AX326="sim", 'Ações'!BI326="sim"), 1, 0)
</f>
        <v>0</v>
      </c>
      <c r="H318" s="319">
        <f>IF(AND('Ações'!AS326="sim", 'Ações'!BE326="sim"), 1, 0)
</f>
        <v>0</v>
      </c>
      <c r="I318" s="319">
        <f>IF(AND('Ações'!AS326="sim", 'Ações'!BF326="sim"), 1, 0)
</f>
        <v>0</v>
      </c>
      <c r="J318" s="319">
        <f>IF(AND('Ações'!AS326="sim", 'Ações'!BG326="sim"), 1, 0)
</f>
        <v>0</v>
      </c>
      <c r="K318" s="319">
        <f>IF(AND('Ações'!AS326="sim", 'Ações'!BH326="sim"), 1, 0)
</f>
        <v>0</v>
      </c>
      <c r="L318" s="319">
        <f>IF(AND('Ações'!AS326="sim", 'Ações'!BI326="sim"), 1, 0)
</f>
        <v>0</v>
      </c>
      <c r="M318" s="319">
        <f>IF(AND('Ações'!AT326="sim", 'Ações'!BD326="sim"), 1, 0)
</f>
        <v>1</v>
      </c>
      <c r="N318" s="319">
        <f>IF(AND('Ações'!AT326="sim", 'Ações'!BF326="sim"), 1, 0)
</f>
        <v>0</v>
      </c>
      <c r="O318" s="319">
        <f>IF(AND('Ações'!AT326="sim", 'Ações'!BG326="sim"), 1, 0)
</f>
        <v>0</v>
      </c>
      <c r="P318" s="319">
        <f>IF(AND('Ações'!AT326="sim", 'Ações'!BH326="sim"), 1, 0)
</f>
        <v>0</v>
      </c>
      <c r="Q318" s="319">
        <f>IF(AND('Ações'!AT326="sim", 'Ações'!BI326="sim"), 1, 0)
</f>
        <v>0</v>
      </c>
      <c r="R318" s="319">
        <f>IF(AND('Ações'!AU326="sim", 'Ações'!BD326="sim"), 1, 0)
</f>
        <v>1</v>
      </c>
      <c r="S318" s="319">
        <f>IF(AND('Ações'!AU326="sim", 'Ações'!BE326="sim"), 1, 0)
</f>
        <v>0</v>
      </c>
      <c r="T318" s="319">
        <f>IF(AND('Ações'!AU326="sim", 'Ações'!BG326="sim"), 1, 0)
</f>
        <v>0</v>
      </c>
      <c r="U318" s="319">
        <f>IF(AND('Ações'!AU326="sim", 'Ações'!BH326="sim"), 1, 0)
</f>
        <v>0</v>
      </c>
      <c r="V318" s="319">
        <f>IF(AND('Ações'!AU326="sim", 'Ações'!BI326="sim"), 1, 0)
</f>
        <v>0</v>
      </c>
      <c r="W318" s="319">
        <f>IF(AND('Ações'!AV326="sim", 'Ações'!BD326="sim"), 1, 0)
</f>
        <v>1</v>
      </c>
      <c r="X318" s="319">
        <f>IF(AND('Ações'!AV326="sim", 'Ações'!BE326="sim"), 1, 0)
</f>
        <v>0</v>
      </c>
      <c r="Y318" s="319">
        <f>IF(AND('Ações'!AV326="sim", 'Ações'!BF326="sim"), 1, 0)
</f>
        <v>0</v>
      </c>
      <c r="Z318" s="319">
        <f>IF(AND('Ações'!AV326="sim", 'Ações'!BH326="sim"), 1, 0)
</f>
        <v>0</v>
      </c>
      <c r="AA318" s="319">
        <f>IF(AND('Ações'!AV326="sim", 'Ações'!BI326="sim"), 1, 0)
</f>
        <v>0</v>
      </c>
      <c r="AB318" s="319">
        <f>IF(AND('Ações'!AW326="sim", 'Ações'!BD326="sim"), 1, 0)
</f>
        <v>1</v>
      </c>
      <c r="AC318" s="319">
        <f>IF(AND('Ações'!AW326="sim", 'Ações'!BE326="sim"), 1, 0)
</f>
        <v>0</v>
      </c>
      <c r="AD318" s="319">
        <f>IF(AND('Ações'!AW326="sim", 'Ações'!BF326="sim"), 1, 0)
</f>
        <v>0</v>
      </c>
      <c r="AE318" s="319">
        <f>IF(AND('Ações'!AW326="sim", 'Ações'!BG326="sim"), 1, 0)
</f>
        <v>0</v>
      </c>
      <c r="AF318" s="319">
        <f>IF(AND('Ações'!AW326="sim", 'Ações'!BI326="sim"), 1, 0)
</f>
        <v>0</v>
      </c>
      <c r="AG318" s="319">
        <f>IF(AND('Ações'!AX326="sim", 'Ações'!BD326="sim"), 1, 0)
</f>
        <v>0</v>
      </c>
      <c r="AH318" s="319">
        <f>IF(AND('Ações'!AX326="sim", 'Ações'!BE326="sim"), 1, 0)
</f>
        <v>0</v>
      </c>
      <c r="AI318" s="319">
        <f>IF(AND('Ações'!AX326="sim", 'Ações'!BF326="sim"), 1, 0)
</f>
        <v>0</v>
      </c>
      <c r="AJ318" s="319">
        <f>IF(AND('Ações'!AX326="sim", 'Ações'!BG326="sim"), 1, 0)
</f>
        <v>0</v>
      </c>
      <c r="AK318" s="319">
        <f>IF(AND('Ações'!AX326="sim", 'Ações'!BH326="sim"), 1, 0)
</f>
        <v>0</v>
      </c>
    </row>
    <row r="319">
      <c r="B319" s="319">
        <f>IF(AND('Ações'!AS327="sim", 'Ações'!BD327="sim"), 1, 0)
</f>
        <v>1</v>
      </c>
      <c r="C319" s="319">
        <f>IF(AND('Ações'!AT327="sim", 'Ações'!BE327="sim"), 1, 0)
</f>
        <v>0</v>
      </c>
      <c r="D319" s="319">
        <f>IF(AND('Ações'!AU327="sim", 'Ações'!BF327="sim"), 1, 0)
</f>
        <v>0</v>
      </c>
      <c r="E319" s="319">
        <f>IF(AND('Ações'!AV327="sim", 'Ações'!BG327="sim"), 1, 0)
</f>
        <v>0</v>
      </c>
      <c r="F319" s="319">
        <f>IF(AND('Ações'!AW327="sim", 'Ações'!BH327="sim"), 1, 0)
</f>
        <v>0</v>
      </c>
      <c r="G319" s="319">
        <f>IF(AND('Ações'!AX327="sim", 'Ações'!BI327="sim"), 1, 0)
</f>
        <v>0</v>
      </c>
      <c r="H319" s="319">
        <f>IF(AND('Ações'!AS327="sim", 'Ações'!BE327="sim"), 1, 0)
</f>
        <v>0</v>
      </c>
      <c r="I319" s="319">
        <f>IF(AND('Ações'!AS327="sim", 'Ações'!BF327="sim"), 1, 0)
</f>
        <v>0</v>
      </c>
      <c r="J319" s="319">
        <f>IF(AND('Ações'!AS327="sim", 'Ações'!BG327="sim"), 1, 0)
</f>
        <v>0</v>
      </c>
      <c r="K319" s="319">
        <f>IF(AND('Ações'!AS327="sim", 'Ações'!BH327="sim"), 1, 0)
</f>
        <v>0</v>
      </c>
      <c r="L319" s="319">
        <f>IF(AND('Ações'!AS327="sim", 'Ações'!BI327="sim"), 1, 0)
</f>
        <v>0</v>
      </c>
      <c r="M319" s="319">
        <f>IF(AND('Ações'!AT327="sim", 'Ações'!BD327="sim"), 1, 0)
</f>
        <v>1</v>
      </c>
      <c r="N319" s="319">
        <f>IF(AND('Ações'!AT327="sim", 'Ações'!BF327="sim"), 1, 0)
</f>
        <v>0</v>
      </c>
      <c r="O319" s="319">
        <f>IF(AND('Ações'!AT327="sim", 'Ações'!BG327="sim"), 1, 0)
</f>
        <v>0</v>
      </c>
      <c r="P319" s="319">
        <f>IF(AND('Ações'!AT327="sim", 'Ações'!BH327="sim"), 1, 0)
</f>
        <v>0</v>
      </c>
      <c r="Q319" s="319">
        <f>IF(AND('Ações'!AT327="sim", 'Ações'!BI327="sim"), 1, 0)
</f>
        <v>0</v>
      </c>
      <c r="R319" s="319">
        <f>IF(AND('Ações'!AU327="sim", 'Ações'!BD327="sim"), 1, 0)
</f>
        <v>1</v>
      </c>
      <c r="S319" s="319">
        <f>IF(AND('Ações'!AU327="sim", 'Ações'!BE327="sim"), 1, 0)
</f>
        <v>0</v>
      </c>
      <c r="T319" s="319">
        <f>IF(AND('Ações'!AU327="sim", 'Ações'!BG327="sim"), 1, 0)
</f>
        <v>0</v>
      </c>
      <c r="U319" s="319">
        <f>IF(AND('Ações'!AU327="sim", 'Ações'!BH327="sim"), 1, 0)
</f>
        <v>0</v>
      </c>
      <c r="V319" s="319">
        <f>IF(AND('Ações'!AU327="sim", 'Ações'!BI327="sim"), 1, 0)
</f>
        <v>0</v>
      </c>
      <c r="W319" s="319">
        <f>IF(AND('Ações'!AV327="sim", 'Ações'!BD327="sim"), 1, 0)
</f>
        <v>1</v>
      </c>
      <c r="X319" s="319">
        <f>IF(AND('Ações'!AV327="sim", 'Ações'!BE327="sim"), 1, 0)
</f>
        <v>0</v>
      </c>
      <c r="Y319" s="319">
        <f>IF(AND('Ações'!AV327="sim", 'Ações'!BF327="sim"), 1, 0)
</f>
        <v>0</v>
      </c>
      <c r="Z319" s="319">
        <f>IF(AND('Ações'!AV327="sim", 'Ações'!BH327="sim"), 1, 0)
</f>
        <v>0</v>
      </c>
      <c r="AA319" s="319">
        <f>IF(AND('Ações'!AV327="sim", 'Ações'!BI327="sim"), 1, 0)
</f>
        <v>0</v>
      </c>
      <c r="AB319" s="319">
        <f>IF(AND('Ações'!AW327="sim", 'Ações'!BD327="sim"), 1, 0)
</f>
        <v>1</v>
      </c>
      <c r="AC319" s="319">
        <f>IF(AND('Ações'!AW327="sim", 'Ações'!BE327="sim"), 1, 0)
</f>
        <v>0</v>
      </c>
      <c r="AD319" s="319">
        <f>IF(AND('Ações'!AW327="sim", 'Ações'!BF327="sim"), 1, 0)
</f>
        <v>0</v>
      </c>
      <c r="AE319" s="319">
        <f>IF(AND('Ações'!AW327="sim", 'Ações'!BG327="sim"), 1, 0)
</f>
        <v>0</v>
      </c>
      <c r="AF319" s="319">
        <f>IF(AND('Ações'!AW327="sim", 'Ações'!BI327="sim"), 1, 0)
</f>
        <v>0</v>
      </c>
      <c r="AG319" s="319">
        <f>IF(AND('Ações'!AX327="sim", 'Ações'!BD327="sim"), 1, 0)
</f>
        <v>0</v>
      </c>
      <c r="AH319" s="319">
        <f>IF(AND('Ações'!AX327="sim", 'Ações'!BE327="sim"), 1, 0)
</f>
        <v>0</v>
      </c>
      <c r="AI319" s="319">
        <f>IF(AND('Ações'!AX327="sim", 'Ações'!BF327="sim"), 1, 0)
</f>
        <v>0</v>
      </c>
      <c r="AJ319" s="319">
        <f>IF(AND('Ações'!AX327="sim", 'Ações'!BG327="sim"), 1, 0)
</f>
        <v>0</v>
      </c>
      <c r="AK319" s="319">
        <f>IF(AND('Ações'!AX327="sim", 'Ações'!BH327="sim"), 1, 0)
</f>
        <v>0</v>
      </c>
    </row>
    <row r="320">
      <c r="B320" s="319">
        <f>IF(AND('Ações'!AS328="sim", 'Ações'!BD328="sim"), 1, 0)
</f>
        <v>1</v>
      </c>
      <c r="C320" s="319">
        <f>IF(AND('Ações'!AT328="sim", 'Ações'!BE328="sim"), 1, 0)
</f>
        <v>0</v>
      </c>
      <c r="D320" s="319">
        <f>IF(AND('Ações'!AU328="sim", 'Ações'!BF328="sim"), 1, 0)
</f>
        <v>0</v>
      </c>
      <c r="E320" s="319">
        <f>IF(AND('Ações'!AV328="sim", 'Ações'!BG328="sim"), 1, 0)
</f>
        <v>0</v>
      </c>
      <c r="F320" s="319">
        <f>IF(AND('Ações'!AW328="sim", 'Ações'!BH328="sim"), 1, 0)
</f>
        <v>0</v>
      </c>
      <c r="G320" s="319">
        <f>IF(AND('Ações'!AX328="sim", 'Ações'!BI328="sim"), 1, 0)
</f>
        <v>0</v>
      </c>
      <c r="H320" s="319">
        <f>IF(AND('Ações'!AS328="sim", 'Ações'!BE328="sim"), 1, 0)
</f>
        <v>0</v>
      </c>
      <c r="I320" s="319">
        <f>IF(AND('Ações'!AS328="sim", 'Ações'!BF328="sim"), 1, 0)
</f>
        <v>0</v>
      </c>
      <c r="J320" s="319">
        <f>IF(AND('Ações'!AS328="sim", 'Ações'!BG328="sim"), 1, 0)
</f>
        <v>0</v>
      </c>
      <c r="K320" s="319">
        <f>IF(AND('Ações'!AS328="sim", 'Ações'!BH328="sim"), 1, 0)
</f>
        <v>0</v>
      </c>
      <c r="L320" s="319">
        <f>IF(AND('Ações'!AS328="sim", 'Ações'!BI328="sim"), 1, 0)
</f>
        <v>0</v>
      </c>
      <c r="M320" s="319">
        <f>IF(AND('Ações'!AT328="sim", 'Ações'!BD328="sim"), 1, 0)
</f>
        <v>1</v>
      </c>
      <c r="N320" s="319">
        <f>IF(AND('Ações'!AT328="sim", 'Ações'!BF328="sim"), 1, 0)
</f>
        <v>0</v>
      </c>
      <c r="O320" s="319">
        <f>IF(AND('Ações'!AT328="sim", 'Ações'!BG328="sim"), 1, 0)
</f>
        <v>0</v>
      </c>
      <c r="P320" s="319">
        <f>IF(AND('Ações'!AT328="sim", 'Ações'!BH328="sim"), 1, 0)
</f>
        <v>0</v>
      </c>
      <c r="Q320" s="319">
        <f>IF(AND('Ações'!AT328="sim", 'Ações'!BI328="sim"), 1, 0)
</f>
        <v>0</v>
      </c>
      <c r="R320" s="319">
        <f>IF(AND('Ações'!AU328="sim", 'Ações'!BD328="sim"), 1, 0)
</f>
        <v>1</v>
      </c>
      <c r="S320" s="319">
        <f>IF(AND('Ações'!AU328="sim", 'Ações'!BE328="sim"), 1, 0)
</f>
        <v>0</v>
      </c>
      <c r="T320" s="319">
        <f>IF(AND('Ações'!AU328="sim", 'Ações'!BG328="sim"), 1, 0)
</f>
        <v>0</v>
      </c>
      <c r="U320" s="319">
        <f>IF(AND('Ações'!AU328="sim", 'Ações'!BH328="sim"), 1, 0)
</f>
        <v>0</v>
      </c>
      <c r="V320" s="319">
        <f>IF(AND('Ações'!AU328="sim", 'Ações'!BI328="sim"), 1, 0)
</f>
        <v>0</v>
      </c>
      <c r="W320" s="319">
        <f>IF(AND('Ações'!AV328="sim", 'Ações'!BD328="sim"), 1, 0)
</f>
        <v>1</v>
      </c>
      <c r="X320" s="319">
        <f>IF(AND('Ações'!AV328="sim", 'Ações'!BE328="sim"), 1, 0)
</f>
        <v>0</v>
      </c>
      <c r="Y320" s="319">
        <f>IF(AND('Ações'!AV328="sim", 'Ações'!BF328="sim"), 1, 0)
</f>
        <v>0</v>
      </c>
      <c r="Z320" s="319">
        <f>IF(AND('Ações'!AV328="sim", 'Ações'!BH328="sim"), 1, 0)
</f>
        <v>0</v>
      </c>
      <c r="AA320" s="319">
        <f>IF(AND('Ações'!AV328="sim", 'Ações'!BI328="sim"), 1, 0)
</f>
        <v>0</v>
      </c>
      <c r="AB320" s="319">
        <f>IF(AND('Ações'!AW328="sim", 'Ações'!BD328="sim"), 1, 0)
</f>
        <v>1</v>
      </c>
      <c r="AC320" s="319">
        <f>IF(AND('Ações'!AW328="sim", 'Ações'!BE328="sim"), 1, 0)
</f>
        <v>0</v>
      </c>
      <c r="AD320" s="319">
        <f>IF(AND('Ações'!AW328="sim", 'Ações'!BF328="sim"), 1, 0)
</f>
        <v>0</v>
      </c>
      <c r="AE320" s="319">
        <f>IF(AND('Ações'!AW328="sim", 'Ações'!BG328="sim"), 1, 0)
</f>
        <v>0</v>
      </c>
      <c r="AF320" s="319">
        <f>IF(AND('Ações'!AW328="sim", 'Ações'!BI328="sim"), 1, 0)
</f>
        <v>0</v>
      </c>
      <c r="AG320" s="319">
        <f>IF(AND('Ações'!AX328="sim", 'Ações'!BD328="sim"), 1, 0)
</f>
        <v>0</v>
      </c>
      <c r="AH320" s="319">
        <f>IF(AND('Ações'!AX328="sim", 'Ações'!BE328="sim"), 1, 0)
</f>
        <v>0</v>
      </c>
      <c r="AI320" s="319">
        <f>IF(AND('Ações'!AX328="sim", 'Ações'!BF328="sim"), 1, 0)
</f>
        <v>0</v>
      </c>
      <c r="AJ320" s="319">
        <f>IF(AND('Ações'!AX328="sim", 'Ações'!BG328="sim"), 1, 0)
</f>
        <v>0</v>
      </c>
      <c r="AK320" s="319">
        <f>IF(AND('Ações'!AX328="sim", 'Ações'!BH328="sim"), 1, 0)
</f>
        <v>0</v>
      </c>
    </row>
    <row r="321">
      <c r="B321" s="319">
        <f>IF(AND('Ações'!AS329="sim", 'Ações'!BD329="sim"), 1, 0)
</f>
        <v>0</v>
      </c>
      <c r="C321" s="319">
        <f>IF(AND('Ações'!AT329="sim", 'Ações'!BE329="sim"), 1, 0)
</f>
        <v>0</v>
      </c>
      <c r="D321" s="319">
        <f>IF(AND('Ações'!AU329="sim", 'Ações'!BF329="sim"), 1, 0)
</f>
        <v>0</v>
      </c>
      <c r="E321" s="319">
        <f>IF(AND('Ações'!AV329="sim", 'Ações'!BG329="sim"), 1, 0)
</f>
        <v>0</v>
      </c>
      <c r="F321" s="319">
        <f>IF(AND('Ações'!AW329="sim", 'Ações'!BH329="sim"), 1, 0)
</f>
        <v>0</v>
      </c>
      <c r="G321" s="319">
        <f>IF(AND('Ações'!AX329="sim", 'Ações'!BI329="sim"), 1, 0)
</f>
        <v>0</v>
      </c>
      <c r="H321" s="319">
        <f>IF(AND('Ações'!AS329="sim", 'Ações'!BE329="sim"), 1, 0)
</f>
        <v>0</v>
      </c>
      <c r="I321" s="319">
        <f>IF(AND('Ações'!AS329="sim", 'Ações'!BF329="sim"), 1, 0)
</f>
        <v>0</v>
      </c>
      <c r="J321" s="319">
        <f>IF(AND('Ações'!AS329="sim", 'Ações'!BG329="sim"), 1, 0)
</f>
        <v>0</v>
      </c>
      <c r="K321" s="319">
        <f>IF(AND('Ações'!AS329="sim", 'Ações'!BH329="sim"), 1, 0)
</f>
        <v>0</v>
      </c>
      <c r="L321" s="319">
        <f>IF(AND('Ações'!AS329="sim", 'Ações'!BI329="sim"), 1, 0)
</f>
        <v>1</v>
      </c>
      <c r="M321" s="319">
        <f>IF(AND('Ações'!AT329="sim", 'Ações'!BD329="sim"), 1, 0)
</f>
        <v>0</v>
      </c>
      <c r="N321" s="319">
        <f>IF(AND('Ações'!AT329="sim", 'Ações'!BF329="sim"), 1, 0)
</f>
        <v>0</v>
      </c>
      <c r="O321" s="319">
        <f>IF(AND('Ações'!AT329="sim", 'Ações'!BG329="sim"), 1, 0)
</f>
        <v>0</v>
      </c>
      <c r="P321" s="319">
        <f>IF(AND('Ações'!AT329="sim", 'Ações'!BH329="sim"), 1, 0)
</f>
        <v>0</v>
      </c>
      <c r="Q321" s="319">
        <f>IF(AND('Ações'!AT329="sim", 'Ações'!BI329="sim"), 1, 0)
</f>
        <v>1</v>
      </c>
      <c r="R321" s="319">
        <f>IF(AND('Ações'!AU329="sim", 'Ações'!BD329="sim"), 1, 0)
</f>
        <v>0</v>
      </c>
      <c r="S321" s="319">
        <f>IF(AND('Ações'!AU329="sim", 'Ações'!BE329="sim"), 1, 0)
</f>
        <v>0</v>
      </c>
      <c r="T321" s="319">
        <f>IF(AND('Ações'!AU329="sim", 'Ações'!BG329="sim"), 1, 0)
</f>
        <v>0</v>
      </c>
      <c r="U321" s="319">
        <f>IF(AND('Ações'!AU329="sim", 'Ações'!BH329="sim"), 1, 0)
</f>
        <v>0</v>
      </c>
      <c r="V321" s="319">
        <f>IF(AND('Ações'!AU329="sim", 'Ações'!BI329="sim"), 1, 0)
</f>
        <v>1</v>
      </c>
      <c r="W321" s="319">
        <f>IF(AND('Ações'!AV329="sim", 'Ações'!BD329="sim"), 1, 0)
</f>
        <v>0</v>
      </c>
      <c r="X321" s="319">
        <f>IF(AND('Ações'!AV329="sim", 'Ações'!BE329="sim"), 1, 0)
</f>
        <v>0</v>
      </c>
      <c r="Y321" s="319">
        <f>IF(AND('Ações'!AV329="sim", 'Ações'!BF329="sim"), 1, 0)
</f>
        <v>0</v>
      </c>
      <c r="Z321" s="319">
        <f>IF(AND('Ações'!AV329="sim", 'Ações'!BH329="sim"), 1, 0)
</f>
        <v>0</v>
      </c>
      <c r="AA321" s="319">
        <f>IF(AND('Ações'!AV329="sim", 'Ações'!BI329="sim"), 1, 0)
</f>
        <v>1</v>
      </c>
      <c r="AB321" s="319">
        <f>IF(AND('Ações'!AW329="sim", 'Ações'!BD329="sim"), 1, 0)
</f>
        <v>0</v>
      </c>
      <c r="AC321" s="319">
        <f>IF(AND('Ações'!AW329="sim", 'Ações'!BE329="sim"), 1, 0)
</f>
        <v>0</v>
      </c>
      <c r="AD321" s="319">
        <f>IF(AND('Ações'!AW329="sim", 'Ações'!BF329="sim"), 1, 0)
</f>
        <v>0</v>
      </c>
      <c r="AE321" s="319">
        <f>IF(AND('Ações'!AW329="sim", 'Ações'!BG329="sim"), 1, 0)
</f>
        <v>0</v>
      </c>
      <c r="AF321" s="319">
        <f>IF(AND('Ações'!AW329="sim", 'Ações'!BI329="sim"), 1, 0)
</f>
        <v>1</v>
      </c>
      <c r="AG321" s="319">
        <f>IF(AND('Ações'!AX329="sim", 'Ações'!BD329="sim"), 1, 0)
</f>
        <v>0</v>
      </c>
      <c r="AH321" s="319">
        <f>IF(AND('Ações'!AX329="sim", 'Ações'!BE329="sim"), 1, 0)
</f>
        <v>0</v>
      </c>
      <c r="AI321" s="319">
        <f>IF(AND('Ações'!AX329="sim", 'Ações'!BF329="sim"), 1, 0)
</f>
        <v>0</v>
      </c>
      <c r="AJ321" s="319">
        <f>IF(AND('Ações'!AX329="sim", 'Ações'!BG329="sim"), 1, 0)
</f>
        <v>0</v>
      </c>
      <c r="AK321" s="319">
        <f>IF(AND('Ações'!AX329="sim", 'Ações'!BH329="sim"), 1, 0)
</f>
        <v>0</v>
      </c>
    </row>
    <row r="322">
      <c r="B322" s="319">
        <f>IF(AND('Ações'!AS330="sim", 'Ações'!BD330="sim"), 1, 0)
</f>
        <v>1</v>
      </c>
      <c r="C322" s="319">
        <f>IF(AND('Ações'!AT330="sim", 'Ações'!BE330="sim"), 1, 0)
</f>
        <v>0</v>
      </c>
      <c r="D322" s="319">
        <f>IF(AND('Ações'!AU330="sim", 'Ações'!BF330="sim"), 1, 0)
</f>
        <v>0</v>
      </c>
      <c r="E322" s="319">
        <f>IF(AND('Ações'!AV330="sim", 'Ações'!BG330="sim"), 1, 0)
</f>
        <v>0</v>
      </c>
      <c r="F322" s="319">
        <f>IF(AND('Ações'!AW330="sim", 'Ações'!BH330="sim"), 1, 0)
</f>
        <v>0</v>
      </c>
      <c r="G322" s="319">
        <f>IF(AND('Ações'!AX330="sim", 'Ações'!BI330="sim"), 1, 0)
</f>
        <v>0</v>
      </c>
      <c r="H322" s="319">
        <f>IF(AND('Ações'!AS330="sim", 'Ações'!BE330="sim"), 1, 0)
</f>
        <v>0</v>
      </c>
      <c r="I322" s="319">
        <f>IF(AND('Ações'!AS330="sim", 'Ações'!BF330="sim"), 1, 0)
</f>
        <v>0</v>
      </c>
      <c r="J322" s="319">
        <f>IF(AND('Ações'!AS330="sim", 'Ações'!BG330="sim"), 1, 0)
</f>
        <v>0</v>
      </c>
      <c r="K322" s="319">
        <f>IF(AND('Ações'!AS330="sim", 'Ações'!BH330="sim"), 1, 0)
</f>
        <v>0</v>
      </c>
      <c r="L322" s="319">
        <f>IF(AND('Ações'!AS330="sim", 'Ações'!BI330="sim"), 1, 0)
</f>
        <v>0</v>
      </c>
      <c r="M322" s="319">
        <f>IF(AND('Ações'!AT330="sim", 'Ações'!BD330="sim"), 1, 0)
</f>
        <v>1</v>
      </c>
      <c r="N322" s="319">
        <f>IF(AND('Ações'!AT330="sim", 'Ações'!BF330="sim"), 1, 0)
</f>
        <v>0</v>
      </c>
      <c r="O322" s="319">
        <f>IF(AND('Ações'!AT330="sim", 'Ações'!BG330="sim"), 1, 0)
</f>
        <v>0</v>
      </c>
      <c r="P322" s="319">
        <f>IF(AND('Ações'!AT330="sim", 'Ações'!BH330="sim"), 1, 0)
</f>
        <v>0</v>
      </c>
      <c r="Q322" s="319">
        <f>IF(AND('Ações'!AT330="sim", 'Ações'!BI330="sim"), 1, 0)
</f>
        <v>0</v>
      </c>
      <c r="R322" s="319">
        <f>IF(AND('Ações'!AU330="sim", 'Ações'!BD330="sim"), 1, 0)
</f>
        <v>1</v>
      </c>
      <c r="S322" s="319">
        <f>IF(AND('Ações'!AU330="sim", 'Ações'!BE330="sim"), 1, 0)
</f>
        <v>0</v>
      </c>
      <c r="T322" s="319">
        <f>IF(AND('Ações'!AU330="sim", 'Ações'!BG330="sim"), 1, 0)
</f>
        <v>0</v>
      </c>
      <c r="U322" s="319">
        <f>IF(AND('Ações'!AU330="sim", 'Ações'!BH330="sim"), 1, 0)
</f>
        <v>0</v>
      </c>
      <c r="V322" s="319">
        <f>IF(AND('Ações'!AU330="sim", 'Ações'!BI330="sim"), 1, 0)
</f>
        <v>0</v>
      </c>
      <c r="W322" s="319">
        <f>IF(AND('Ações'!AV330="sim", 'Ações'!BD330="sim"), 1, 0)
</f>
        <v>1</v>
      </c>
      <c r="X322" s="319">
        <f>IF(AND('Ações'!AV330="sim", 'Ações'!BE330="sim"), 1, 0)
</f>
        <v>0</v>
      </c>
      <c r="Y322" s="319">
        <f>IF(AND('Ações'!AV330="sim", 'Ações'!BF330="sim"), 1, 0)
</f>
        <v>0</v>
      </c>
      <c r="Z322" s="319">
        <f>IF(AND('Ações'!AV330="sim", 'Ações'!BH330="sim"), 1, 0)
</f>
        <v>0</v>
      </c>
      <c r="AA322" s="319">
        <f>IF(AND('Ações'!AV330="sim", 'Ações'!BI330="sim"), 1, 0)
</f>
        <v>0</v>
      </c>
      <c r="AB322" s="319">
        <f>IF(AND('Ações'!AW330="sim", 'Ações'!BD330="sim"), 1, 0)
</f>
        <v>1</v>
      </c>
      <c r="AC322" s="319">
        <f>IF(AND('Ações'!AW330="sim", 'Ações'!BE330="sim"), 1, 0)
</f>
        <v>0</v>
      </c>
      <c r="AD322" s="319">
        <f>IF(AND('Ações'!AW330="sim", 'Ações'!BF330="sim"), 1, 0)
</f>
        <v>0</v>
      </c>
      <c r="AE322" s="319">
        <f>IF(AND('Ações'!AW330="sim", 'Ações'!BG330="sim"), 1, 0)
</f>
        <v>0</v>
      </c>
      <c r="AF322" s="319">
        <f>IF(AND('Ações'!AW330="sim", 'Ações'!BI330="sim"), 1, 0)
</f>
        <v>0</v>
      </c>
      <c r="AG322" s="319">
        <f>IF(AND('Ações'!AX330="sim", 'Ações'!BD330="sim"), 1, 0)
</f>
        <v>0</v>
      </c>
      <c r="AH322" s="319">
        <f>IF(AND('Ações'!AX330="sim", 'Ações'!BE330="sim"), 1, 0)
</f>
        <v>0</v>
      </c>
      <c r="AI322" s="319">
        <f>IF(AND('Ações'!AX330="sim", 'Ações'!BF330="sim"), 1, 0)
</f>
        <v>0</v>
      </c>
      <c r="AJ322" s="319">
        <f>IF(AND('Ações'!AX330="sim", 'Ações'!BG330="sim"), 1, 0)
</f>
        <v>0</v>
      </c>
      <c r="AK322" s="319">
        <f>IF(AND('Ações'!AX330="sim", 'Ações'!BH330="sim"), 1, 0)
</f>
        <v>0</v>
      </c>
    </row>
    <row r="323">
      <c r="B323" s="319">
        <f>IF(AND('Ações'!AS331="sim", 'Ações'!BD331="sim"), 1, 0)
</f>
        <v>1</v>
      </c>
      <c r="C323" s="319">
        <f>IF(AND('Ações'!AT331="sim", 'Ações'!BE331="sim"), 1, 0)
</f>
        <v>0</v>
      </c>
      <c r="D323" s="319">
        <f>IF(AND('Ações'!AU331="sim", 'Ações'!BF331="sim"), 1, 0)
</f>
        <v>0</v>
      </c>
      <c r="E323" s="319">
        <f>IF(AND('Ações'!AV331="sim", 'Ações'!BG331="sim"), 1, 0)
</f>
        <v>0</v>
      </c>
      <c r="F323" s="319">
        <f>IF(AND('Ações'!AW331="sim", 'Ações'!BH331="sim"), 1, 0)
</f>
        <v>0</v>
      </c>
      <c r="G323" s="319">
        <f>IF(AND('Ações'!AX331="sim", 'Ações'!BI331="sim"), 1, 0)
</f>
        <v>0</v>
      </c>
      <c r="H323" s="319">
        <f>IF(AND('Ações'!AS331="sim", 'Ações'!BE331="sim"), 1, 0)
</f>
        <v>0</v>
      </c>
      <c r="I323" s="319">
        <f>IF(AND('Ações'!AS331="sim", 'Ações'!BF331="sim"), 1, 0)
</f>
        <v>0</v>
      </c>
      <c r="J323" s="319">
        <f>IF(AND('Ações'!AS331="sim", 'Ações'!BG331="sim"), 1, 0)
</f>
        <v>0</v>
      </c>
      <c r="K323" s="319">
        <f>IF(AND('Ações'!AS331="sim", 'Ações'!BH331="sim"), 1, 0)
</f>
        <v>0</v>
      </c>
      <c r="L323" s="319">
        <f>IF(AND('Ações'!AS331="sim", 'Ações'!BI331="sim"), 1, 0)
</f>
        <v>1</v>
      </c>
      <c r="M323" s="319">
        <f>IF(AND('Ações'!AT331="sim", 'Ações'!BD331="sim"), 1, 0)
</f>
        <v>1</v>
      </c>
      <c r="N323" s="319">
        <f>IF(AND('Ações'!AT331="sim", 'Ações'!BF331="sim"), 1, 0)
</f>
        <v>0</v>
      </c>
      <c r="O323" s="319">
        <f>IF(AND('Ações'!AT331="sim", 'Ações'!BG331="sim"), 1, 0)
</f>
        <v>0</v>
      </c>
      <c r="P323" s="319">
        <f>IF(AND('Ações'!AT331="sim", 'Ações'!BH331="sim"), 1, 0)
</f>
        <v>0</v>
      </c>
      <c r="Q323" s="319">
        <f>IF(AND('Ações'!AT331="sim", 'Ações'!BI331="sim"), 1, 0)
</f>
        <v>1</v>
      </c>
      <c r="R323" s="319">
        <f>IF(AND('Ações'!AU331="sim", 'Ações'!BD331="sim"), 1, 0)
</f>
        <v>1</v>
      </c>
      <c r="S323" s="319">
        <f>IF(AND('Ações'!AU331="sim", 'Ações'!BE331="sim"), 1, 0)
</f>
        <v>0</v>
      </c>
      <c r="T323" s="319">
        <f>IF(AND('Ações'!AU331="sim", 'Ações'!BG331="sim"), 1, 0)
</f>
        <v>0</v>
      </c>
      <c r="U323" s="319">
        <f>IF(AND('Ações'!AU331="sim", 'Ações'!BH331="sim"), 1, 0)
</f>
        <v>0</v>
      </c>
      <c r="V323" s="319">
        <f>IF(AND('Ações'!AU331="sim", 'Ações'!BI331="sim"), 1, 0)
</f>
        <v>1</v>
      </c>
      <c r="W323" s="319">
        <f>IF(AND('Ações'!AV331="sim", 'Ações'!BD331="sim"), 1, 0)
</f>
        <v>1</v>
      </c>
      <c r="X323" s="319">
        <f>IF(AND('Ações'!AV331="sim", 'Ações'!BE331="sim"), 1, 0)
</f>
        <v>0</v>
      </c>
      <c r="Y323" s="319">
        <f>IF(AND('Ações'!AV331="sim", 'Ações'!BF331="sim"), 1, 0)
</f>
        <v>0</v>
      </c>
      <c r="Z323" s="319">
        <f>IF(AND('Ações'!AV331="sim", 'Ações'!BH331="sim"), 1, 0)
</f>
        <v>0</v>
      </c>
      <c r="AA323" s="319">
        <f>IF(AND('Ações'!AV331="sim", 'Ações'!BI331="sim"), 1, 0)
</f>
        <v>1</v>
      </c>
      <c r="AB323" s="319">
        <f>IF(AND('Ações'!AW331="sim", 'Ações'!BD331="sim"), 1, 0)
</f>
        <v>1</v>
      </c>
      <c r="AC323" s="319">
        <f>IF(AND('Ações'!AW331="sim", 'Ações'!BE331="sim"), 1, 0)
</f>
        <v>0</v>
      </c>
      <c r="AD323" s="319">
        <f>IF(AND('Ações'!AW331="sim", 'Ações'!BF331="sim"), 1, 0)
</f>
        <v>0</v>
      </c>
      <c r="AE323" s="319">
        <f>IF(AND('Ações'!AW331="sim", 'Ações'!BG331="sim"), 1, 0)
</f>
        <v>0</v>
      </c>
      <c r="AF323" s="319">
        <f>IF(AND('Ações'!AW331="sim", 'Ações'!BI331="sim"), 1, 0)
</f>
        <v>1</v>
      </c>
      <c r="AG323" s="319">
        <f>IF(AND('Ações'!AX331="sim", 'Ações'!BD331="sim"), 1, 0)
</f>
        <v>0</v>
      </c>
      <c r="AH323" s="319">
        <f>IF(AND('Ações'!AX331="sim", 'Ações'!BE331="sim"), 1, 0)
</f>
        <v>0</v>
      </c>
      <c r="AI323" s="319">
        <f>IF(AND('Ações'!AX331="sim", 'Ações'!BF331="sim"), 1, 0)
</f>
        <v>0</v>
      </c>
      <c r="AJ323" s="319">
        <f>IF(AND('Ações'!AX331="sim", 'Ações'!BG331="sim"), 1, 0)
</f>
        <v>0</v>
      </c>
      <c r="AK323" s="319">
        <f>IF(AND('Ações'!AX331="sim", 'Ações'!BH331="sim"), 1, 0)
</f>
        <v>0</v>
      </c>
    </row>
    <row r="324">
      <c r="B324" s="319">
        <f>IF(AND('Ações'!AS332="sim", 'Ações'!BD332="sim"), 1, 0)
</f>
        <v>1</v>
      </c>
      <c r="C324" s="319">
        <f>IF(AND('Ações'!AT332="sim", 'Ações'!BE332="sim"), 1, 0)
</f>
        <v>0</v>
      </c>
      <c r="D324" s="319">
        <f>IF(AND('Ações'!AU332="sim", 'Ações'!BF332="sim"), 1, 0)
</f>
        <v>0</v>
      </c>
      <c r="E324" s="319">
        <f>IF(AND('Ações'!AV332="sim", 'Ações'!BG332="sim"), 1, 0)
</f>
        <v>0</v>
      </c>
      <c r="F324" s="319">
        <f>IF(AND('Ações'!AW332="sim", 'Ações'!BH332="sim"), 1, 0)
</f>
        <v>0</v>
      </c>
      <c r="G324" s="319">
        <f>IF(AND('Ações'!AX332="sim", 'Ações'!BI332="sim"), 1, 0)
</f>
        <v>0</v>
      </c>
      <c r="H324" s="319">
        <f>IF(AND('Ações'!AS332="sim", 'Ações'!BE332="sim"), 1, 0)
</f>
        <v>0</v>
      </c>
      <c r="I324" s="319">
        <f>IF(AND('Ações'!AS332="sim", 'Ações'!BF332="sim"), 1, 0)
</f>
        <v>0</v>
      </c>
      <c r="J324" s="319">
        <f>IF(AND('Ações'!AS332="sim", 'Ações'!BG332="sim"), 1, 0)
</f>
        <v>0</v>
      </c>
      <c r="K324" s="319">
        <f>IF(AND('Ações'!AS332="sim", 'Ações'!BH332="sim"), 1, 0)
</f>
        <v>0</v>
      </c>
      <c r="L324" s="319">
        <f>IF(AND('Ações'!AS332="sim", 'Ações'!BI332="sim"), 1, 0)
</f>
        <v>0</v>
      </c>
      <c r="M324" s="319">
        <f>IF(AND('Ações'!AT332="sim", 'Ações'!BD332="sim"), 1, 0)
</f>
        <v>1</v>
      </c>
      <c r="N324" s="319">
        <f>IF(AND('Ações'!AT332="sim", 'Ações'!BF332="sim"), 1, 0)
</f>
        <v>0</v>
      </c>
      <c r="O324" s="319">
        <f>IF(AND('Ações'!AT332="sim", 'Ações'!BG332="sim"), 1, 0)
</f>
        <v>0</v>
      </c>
      <c r="P324" s="319">
        <f>IF(AND('Ações'!AT332="sim", 'Ações'!BH332="sim"), 1, 0)
</f>
        <v>0</v>
      </c>
      <c r="Q324" s="319">
        <f>IF(AND('Ações'!AT332="sim", 'Ações'!BI332="sim"), 1, 0)
</f>
        <v>0</v>
      </c>
      <c r="R324" s="319">
        <f>IF(AND('Ações'!AU332="sim", 'Ações'!BD332="sim"), 1, 0)
</f>
        <v>1</v>
      </c>
      <c r="S324" s="319">
        <f>IF(AND('Ações'!AU332="sim", 'Ações'!BE332="sim"), 1, 0)
</f>
        <v>0</v>
      </c>
      <c r="T324" s="319">
        <f>IF(AND('Ações'!AU332="sim", 'Ações'!BG332="sim"), 1, 0)
</f>
        <v>0</v>
      </c>
      <c r="U324" s="319">
        <f>IF(AND('Ações'!AU332="sim", 'Ações'!BH332="sim"), 1, 0)
</f>
        <v>0</v>
      </c>
      <c r="V324" s="319">
        <f>IF(AND('Ações'!AU332="sim", 'Ações'!BI332="sim"), 1, 0)
</f>
        <v>0</v>
      </c>
      <c r="W324" s="319">
        <f>IF(AND('Ações'!AV332="sim", 'Ações'!BD332="sim"), 1, 0)
</f>
        <v>1</v>
      </c>
      <c r="X324" s="319">
        <f>IF(AND('Ações'!AV332="sim", 'Ações'!BE332="sim"), 1, 0)
</f>
        <v>0</v>
      </c>
      <c r="Y324" s="319">
        <f>IF(AND('Ações'!AV332="sim", 'Ações'!BF332="sim"), 1, 0)
</f>
        <v>0</v>
      </c>
      <c r="Z324" s="319">
        <f>IF(AND('Ações'!AV332="sim", 'Ações'!BH332="sim"), 1, 0)
</f>
        <v>0</v>
      </c>
      <c r="AA324" s="319">
        <f>IF(AND('Ações'!AV332="sim", 'Ações'!BI332="sim"), 1, 0)
</f>
        <v>0</v>
      </c>
      <c r="AB324" s="319">
        <f>IF(AND('Ações'!AW332="sim", 'Ações'!BD332="sim"), 1, 0)
</f>
        <v>1</v>
      </c>
      <c r="AC324" s="319">
        <f>IF(AND('Ações'!AW332="sim", 'Ações'!BE332="sim"), 1, 0)
</f>
        <v>0</v>
      </c>
      <c r="AD324" s="319">
        <f>IF(AND('Ações'!AW332="sim", 'Ações'!BF332="sim"), 1, 0)
</f>
        <v>0</v>
      </c>
      <c r="AE324" s="319">
        <f>IF(AND('Ações'!AW332="sim", 'Ações'!BG332="sim"), 1, 0)
</f>
        <v>0</v>
      </c>
      <c r="AF324" s="319">
        <f>IF(AND('Ações'!AW332="sim", 'Ações'!BI332="sim"), 1, 0)
</f>
        <v>0</v>
      </c>
      <c r="AG324" s="319">
        <f>IF(AND('Ações'!AX332="sim", 'Ações'!BD332="sim"), 1, 0)
</f>
        <v>0</v>
      </c>
      <c r="AH324" s="319">
        <f>IF(AND('Ações'!AX332="sim", 'Ações'!BE332="sim"), 1, 0)
</f>
        <v>0</v>
      </c>
      <c r="AI324" s="319">
        <f>IF(AND('Ações'!AX332="sim", 'Ações'!BF332="sim"), 1, 0)
</f>
        <v>0</v>
      </c>
      <c r="AJ324" s="319">
        <f>IF(AND('Ações'!AX332="sim", 'Ações'!BG332="sim"), 1, 0)
</f>
        <v>0</v>
      </c>
      <c r="AK324" s="319">
        <f>IF(AND('Ações'!AX332="sim", 'Ações'!BH332="sim"), 1, 0)
</f>
        <v>0</v>
      </c>
    </row>
    <row r="325">
      <c r="B325" s="319">
        <f>IF(AND('Ações'!AS333="sim", 'Ações'!BD333="sim"), 1, 0)
</f>
        <v>1</v>
      </c>
      <c r="C325" s="319">
        <f>IF(AND('Ações'!AT333="sim", 'Ações'!BE333="sim"), 1, 0)
</f>
        <v>0</v>
      </c>
      <c r="D325" s="319">
        <f>IF(AND('Ações'!AU333="sim", 'Ações'!BF333="sim"), 1, 0)
</f>
        <v>0</v>
      </c>
      <c r="E325" s="319">
        <f>IF(AND('Ações'!AV333="sim", 'Ações'!BG333="sim"), 1, 0)
</f>
        <v>0</v>
      </c>
      <c r="F325" s="319">
        <f>IF(AND('Ações'!AW333="sim", 'Ações'!BH333="sim"), 1, 0)
</f>
        <v>0</v>
      </c>
      <c r="G325" s="319">
        <f>IF(AND('Ações'!AX333="sim", 'Ações'!BI333="sim"), 1, 0)
</f>
        <v>0</v>
      </c>
      <c r="H325" s="319">
        <f>IF(AND('Ações'!AS333="sim", 'Ações'!BE333="sim"), 1, 0)
</f>
        <v>0</v>
      </c>
      <c r="I325" s="319">
        <f>IF(AND('Ações'!AS333="sim", 'Ações'!BF333="sim"), 1, 0)
</f>
        <v>0</v>
      </c>
      <c r="J325" s="319">
        <f>IF(AND('Ações'!AS333="sim", 'Ações'!BG333="sim"), 1, 0)
</f>
        <v>0</v>
      </c>
      <c r="K325" s="319">
        <f>IF(AND('Ações'!AS333="sim", 'Ações'!BH333="sim"), 1, 0)
</f>
        <v>0</v>
      </c>
      <c r="L325" s="319">
        <f>IF(AND('Ações'!AS333="sim", 'Ações'!BI333="sim"), 1, 0)
</f>
        <v>0</v>
      </c>
      <c r="M325" s="319">
        <f>IF(AND('Ações'!AT333="sim", 'Ações'!BD333="sim"), 1, 0)
</f>
        <v>1</v>
      </c>
      <c r="N325" s="319">
        <f>IF(AND('Ações'!AT333="sim", 'Ações'!BF333="sim"), 1, 0)
</f>
        <v>0</v>
      </c>
      <c r="O325" s="319">
        <f>IF(AND('Ações'!AT333="sim", 'Ações'!BG333="sim"), 1, 0)
</f>
        <v>0</v>
      </c>
      <c r="P325" s="319">
        <f>IF(AND('Ações'!AT333="sim", 'Ações'!BH333="sim"), 1, 0)
</f>
        <v>0</v>
      </c>
      <c r="Q325" s="319">
        <f>IF(AND('Ações'!AT333="sim", 'Ações'!BI333="sim"), 1, 0)
</f>
        <v>0</v>
      </c>
      <c r="R325" s="319">
        <f>IF(AND('Ações'!AU333="sim", 'Ações'!BD333="sim"), 1, 0)
</f>
        <v>1</v>
      </c>
      <c r="S325" s="319">
        <f>IF(AND('Ações'!AU333="sim", 'Ações'!BE333="sim"), 1, 0)
</f>
        <v>0</v>
      </c>
      <c r="T325" s="319">
        <f>IF(AND('Ações'!AU333="sim", 'Ações'!BG333="sim"), 1, 0)
</f>
        <v>0</v>
      </c>
      <c r="U325" s="319">
        <f>IF(AND('Ações'!AU333="sim", 'Ações'!BH333="sim"), 1, 0)
</f>
        <v>0</v>
      </c>
      <c r="V325" s="319">
        <f>IF(AND('Ações'!AU333="sim", 'Ações'!BI333="sim"), 1, 0)
</f>
        <v>0</v>
      </c>
      <c r="W325" s="319">
        <f>IF(AND('Ações'!AV333="sim", 'Ações'!BD333="sim"), 1, 0)
</f>
        <v>1</v>
      </c>
      <c r="X325" s="319">
        <f>IF(AND('Ações'!AV333="sim", 'Ações'!BE333="sim"), 1, 0)
</f>
        <v>0</v>
      </c>
      <c r="Y325" s="319">
        <f>IF(AND('Ações'!AV333="sim", 'Ações'!BF333="sim"), 1, 0)
</f>
        <v>0</v>
      </c>
      <c r="Z325" s="319">
        <f>IF(AND('Ações'!AV333="sim", 'Ações'!BH333="sim"), 1, 0)
</f>
        <v>0</v>
      </c>
      <c r="AA325" s="319">
        <f>IF(AND('Ações'!AV333="sim", 'Ações'!BI333="sim"), 1, 0)
</f>
        <v>0</v>
      </c>
      <c r="AB325" s="319">
        <f>IF(AND('Ações'!AW333="sim", 'Ações'!BD333="sim"), 1, 0)
</f>
        <v>1</v>
      </c>
      <c r="AC325" s="319">
        <f>IF(AND('Ações'!AW333="sim", 'Ações'!BE333="sim"), 1, 0)
</f>
        <v>0</v>
      </c>
      <c r="AD325" s="319">
        <f>IF(AND('Ações'!AW333="sim", 'Ações'!BF333="sim"), 1, 0)
</f>
        <v>0</v>
      </c>
      <c r="AE325" s="319">
        <f>IF(AND('Ações'!AW333="sim", 'Ações'!BG333="sim"), 1, 0)
</f>
        <v>0</v>
      </c>
      <c r="AF325" s="319">
        <f>IF(AND('Ações'!AW333="sim", 'Ações'!BI333="sim"), 1, 0)
</f>
        <v>0</v>
      </c>
      <c r="AG325" s="319">
        <f>IF(AND('Ações'!AX333="sim", 'Ações'!BD333="sim"), 1, 0)
</f>
        <v>0</v>
      </c>
      <c r="AH325" s="319">
        <f>IF(AND('Ações'!AX333="sim", 'Ações'!BE333="sim"), 1, 0)
</f>
        <v>0</v>
      </c>
      <c r="AI325" s="319">
        <f>IF(AND('Ações'!AX333="sim", 'Ações'!BF333="sim"), 1, 0)
</f>
        <v>0</v>
      </c>
      <c r="AJ325" s="319">
        <f>IF(AND('Ações'!AX333="sim", 'Ações'!BG333="sim"), 1, 0)
</f>
        <v>0</v>
      </c>
      <c r="AK325" s="319">
        <f>IF(AND('Ações'!AX333="sim", 'Ações'!BH333="sim"), 1, 0)
</f>
        <v>0</v>
      </c>
    </row>
    <row r="326">
      <c r="B326" s="319">
        <f>IF(AND('Ações'!AS334="sim", 'Ações'!BD334="sim"), 1, 0)
</f>
        <v>0</v>
      </c>
      <c r="C326" s="319">
        <f>IF(AND('Ações'!AT334="sim", 'Ações'!BE334="sim"), 1, 0)
</f>
        <v>0</v>
      </c>
      <c r="D326" s="319">
        <f>IF(AND('Ações'!AU334="sim", 'Ações'!BF334="sim"), 1, 0)
</f>
        <v>0</v>
      </c>
      <c r="E326" s="319">
        <f>IF(AND('Ações'!AV334="sim", 'Ações'!BG334="sim"), 1, 0)
</f>
        <v>0</v>
      </c>
      <c r="F326" s="319">
        <f>IF(AND('Ações'!AW334="sim", 'Ações'!BH334="sim"), 1, 0)
</f>
        <v>0</v>
      </c>
      <c r="G326" s="319">
        <f>IF(AND('Ações'!AX334="sim", 'Ações'!BI334="sim"), 1, 0)
</f>
        <v>1</v>
      </c>
      <c r="H326" s="319">
        <f>IF(AND('Ações'!AS334="sim", 'Ações'!BE334="sim"), 1, 0)
</f>
        <v>0</v>
      </c>
      <c r="I326" s="319">
        <f>IF(AND('Ações'!AS334="sim", 'Ações'!BF334="sim"), 1, 0)
</f>
        <v>0</v>
      </c>
      <c r="J326" s="319">
        <f>IF(AND('Ações'!AS334="sim", 'Ações'!BG334="sim"), 1, 0)
</f>
        <v>0</v>
      </c>
      <c r="K326" s="319">
        <f>IF(AND('Ações'!AS334="sim", 'Ações'!BH334="sim"), 1, 0)
</f>
        <v>0</v>
      </c>
      <c r="L326" s="319">
        <f>IF(AND('Ações'!AS334="sim", 'Ações'!BI334="sim"), 1, 0)
</f>
        <v>1</v>
      </c>
      <c r="M326" s="319">
        <f>IF(AND('Ações'!AT334="sim", 'Ações'!BD334="sim"), 1, 0)
</f>
        <v>0</v>
      </c>
      <c r="N326" s="319">
        <f>IF(AND('Ações'!AT334="sim", 'Ações'!BF334="sim"), 1, 0)
</f>
        <v>0</v>
      </c>
      <c r="O326" s="319">
        <f>IF(AND('Ações'!AT334="sim", 'Ações'!BG334="sim"), 1, 0)
</f>
        <v>0</v>
      </c>
      <c r="P326" s="319">
        <f>IF(AND('Ações'!AT334="sim", 'Ações'!BH334="sim"), 1, 0)
</f>
        <v>0</v>
      </c>
      <c r="Q326" s="319">
        <f>IF(AND('Ações'!AT334="sim", 'Ações'!BI334="sim"), 1, 0)
</f>
        <v>1</v>
      </c>
      <c r="R326" s="319">
        <f>IF(AND('Ações'!AU334="sim", 'Ações'!BD334="sim"), 1, 0)
</f>
        <v>0</v>
      </c>
      <c r="S326" s="319">
        <f>IF(AND('Ações'!AU334="sim", 'Ações'!BE334="sim"), 1, 0)
</f>
        <v>0</v>
      </c>
      <c r="T326" s="319">
        <f>IF(AND('Ações'!AU334="sim", 'Ações'!BG334="sim"), 1, 0)
</f>
        <v>0</v>
      </c>
      <c r="U326" s="319">
        <f>IF(AND('Ações'!AU334="sim", 'Ações'!BH334="sim"), 1, 0)
</f>
        <v>0</v>
      </c>
      <c r="V326" s="319">
        <f>IF(AND('Ações'!AU334="sim", 'Ações'!BI334="sim"), 1, 0)
</f>
        <v>1</v>
      </c>
      <c r="W326" s="319">
        <f>IF(AND('Ações'!AV334="sim", 'Ações'!BD334="sim"), 1, 0)
</f>
        <v>0</v>
      </c>
      <c r="X326" s="319">
        <f>IF(AND('Ações'!AV334="sim", 'Ações'!BE334="sim"), 1, 0)
</f>
        <v>0</v>
      </c>
      <c r="Y326" s="319">
        <f>IF(AND('Ações'!AV334="sim", 'Ações'!BF334="sim"), 1, 0)
</f>
        <v>0</v>
      </c>
      <c r="Z326" s="319">
        <f>IF(AND('Ações'!AV334="sim", 'Ações'!BH334="sim"), 1, 0)
</f>
        <v>0</v>
      </c>
      <c r="AA326" s="319">
        <f>IF(AND('Ações'!AV334="sim", 'Ações'!BI334="sim"), 1, 0)
</f>
        <v>1</v>
      </c>
      <c r="AB326" s="319">
        <f>IF(AND('Ações'!AW334="sim", 'Ações'!BD334="sim"), 1, 0)
</f>
        <v>0</v>
      </c>
      <c r="AC326" s="319">
        <f>IF(AND('Ações'!AW334="sim", 'Ações'!BE334="sim"), 1, 0)
</f>
        <v>0</v>
      </c>
      <c r="AD326" s="319">
        <f>IF(AND('Ações'!AW334="sim", 'Ações'!BF334="sim"), 1, 0)
</f>
        <v>0</v>
      </c>
      <c r="AE326" s="319">
        <f>IF(AND('Ações'!AW334="sim", 'Ações'!BG334="sim"), 1, 0)
</f>
        <v>0</v>
      </c>
      <c r="AF326" s="319">
        <f>IF(AND('Ações'!AW334="sim", 'Ações'!BI334="sim"), 1, 0)
</f>
        <v>1</v>
      </c>
      <c r="AG326" s="319">
        <f>IF(AND('Ações'!AX334="sim", 'Ações'!BD334="sim"), 1, 0)
</f>
        <v>0</v>
      </c>
      <c r="AH326" s="319">
        <f>IF(AND('Ações'!AX334="sim", 'Ações'!BE334="sim"), 1, 0)
</f>
        <v>0</v>
      </c>
      <c r="AI326" s="319">
        <f>IF(AND('Ações'!AX334="sim", 'Ações'!BF334="sim"), 1, 0)
</f>
        <v>0</v>
      </c>
      <c r="AJ326" s="319">
        <f>IF(AND('Ações'!AX334="sim", 'Ações'!BG334="sim"), 1, 0)
</f>
        <v>0</v>
      </c>
      <c r="AK326" s="319">
        <f>IF(AND('Ações'!AX334="sim", 'Ações'!BH334="sim"), 1, 0)
</f>
        <v>0</v>
      </c>
    </row>
    <row r="327">
      <c r="B327" s="319">
        <f>IF(AND('Ações'!AS336="sim", 'Ações'!BD336="sim"), 1, 0)
</f>
        <v>0</v>
      </c>
      <c r="C327" s="319">
        <f>IF(AND('Ações'!AT336="sim", 'Ações'!BE336="sim"), 1, 0)
</f>
        <v>0</v>
      </c>
      <c r="D327" s="319">
        <f>IF(AND('Ações'!AU336="sim", 'Ações'!BF336="sim"), 1, 0)
</f>
        <v>0</v>
      </c>
      <c r="E327" s="319">
        <f>IF(AND('Ações'!AV336="sim", 'Ações'!BG336="sim"), 1, 0)
</f>
        <v>0</v>
      </c>
      <c r="F327" s="319">
        <f>IF(AND('Ações'!AW336="sim", 'Ações'!BH336="sim"), 1, 0)
</f>
        <v>0</v>
      </c>
      <c r="G327" s="319">
        <f>IF(AND('Ações'!AX336="sim", 'Ações'!BI336="sim"), 1, 0)
</f>
        <v>1</v>
      </c>
      <c r="H327" s="319">
        <f>IF(AND('Ações'!AS336="sim", 'Ações'!BE336="sim"), 1, 0)
</f>
        <v>0</v>
      </c>
      <c r="I327" s="319">
        <f>IF(AND('Ações'!AS336="sim", 'Ações'!BF336="sim"), 1, 0)
</f>
        <v>0</v>
      </c>
      <c r="J327" s="319">
        <f>IF(AND('Ações'!AS336="sim", 'Ações'!BG336="sim"), 1, 0)
</f>
        <v>0</v>
      </c>
      <c r="K327" s="319">
        <f>IF(AND('Ações'!AS336="sim", 'Ações'!BH336="sim"), 1, 0)
</f>
        <v>0</v>
      </c>
      <c r="L327" s="319">
        <f>IF(AND('Ações'!AS336="sim", 'Ações'!BI336="sim"), 1, 0)
</f>
        <v>1</v>
      </c>
      <c r="M327" s="319">
        <f>IF(AND('Ações'!AT336="sim", 'Ações'!BD336="sim"), 1, 0)
</f>
        <v>0</v>
      </c>
      <c r="N327" s="319">
        <f>IF(AND('Ações'!AT336="sim", 'Ações'!BF336="sim"), 1, 0)
</f>
        <v>0</v>
      </c>
      <c r="O327" s="319">
        <f>IF(AND('Ações'!AT336="sim", 'Ações'!BG336="sim"), 1, 0)
</f>
        <v>0</v>
      </c>
      <c r="P327" s="319">
        <f>IF(AND('Ações'!AT336="sim", 'Ações'!BH336="sim"), 1, 0)
</f>
        <v>0</v>
      </c>
      <c r="Q327" s="319">
        <f>IF(AND('Ações'!AT336="sim", 'Ações'!BI336="sim"), 1, 0)
</f>
        <v>1</v>
      </c>
      <c r="R327" s="319">
        <f>IF(AND('Ações'!AU336="sim", 'Ações'!BD336="sim"), 1, 0)
</f>
        <v>0</v>
      </c>
      <c r="S327" s="319">
        <f>IF(AND('Ações'!AU336="sim", 'Ações'!BE336="sim"), 1, 0)
</f>
        <v>0</v>
      </c>
      <c r="T327" s="319">
        <f>IF(AND('Ações'!AU336="sim", 'Ações'!BG336="sim"), 1, 0)
</f>
        <v>0</v>
      </c>
      <c r="U327" s="319">
        <f>IF(AND('Ações'!AU336="sim", 'Ações'!BH336="sim"), 1, 0)
</f>
        <v>0</v>
      </c>
      <c r="V327" s="319">
        <f>IF(AND('Ações'!AU336="sim", 'Ações'!BI336="sim"), 1, 0)
</f>
        <v>1</v>
      </c>
      <c r="W327" s="319">
        <f>IF(AND('Ações'!AV336="sim", 'Ações'!BD336="sim"), 1, 0)
</f>
        <v>0</v>
      </c>
      <c r="X327" s="319">
        <f>IF(AND('Ações'!AV336="sim", 'Ações'!BE336="sim"), 1, 0)
</f>
        <v>0</v>
      </c>
      <c r="Y327" s="319">
        <f>IF(AND('Ações'!AV336="sim", 'Ações'!BF336="sim"), 1, 0)
</f>
        <v>0</v>
      </c>
      <c r="Z327" s="319">
        <f>IF(AND('Ações'!AV336="sim", 'Ações'!BH336="sim"), 1, 0)
</f>
        <v>0</v>
      </c>
      <c r="AA327" s="319">
        <f>IF(AND('Ações'!AV336="sim", 'Ações'!BI336="sim"), 1, 0)
</f>
        <v>1</v>
      </c>
      <c r="AB327" s="319">
        <f>IF(AND('Ações'!AW336="sim", 'Ações'!BD336="sim"), 1, 0)
</f>
        <v>0</v>
      </c>
      <c r="AC327" s="319">
        <f>IF(AND('Ações'!AW336="sim", 'Ações'!BE336="sim"), 1, 0)
</f>
        <v>0</v>
      </c>
      <c r="AD327" s="319">
        <f>IF(AND('Ações'!AW336="sim", 'Ações'!BF336="sim"), 1, 0)
</f>
        <v>0</v>
      </c>
      <c r="AE327" s="319">
        <f>IF(AND('Ações'!AW336="sim", 'Ações'!BG336="sim"), 1, 0)
</f>
        <v>0</v>
      </c>
      <c r="AF327" s="319">
        <f>IF(AND('Ações'!AW336="sim", 'Ações'!BI336="sim"), 1, 0)
</f>
        <v>1</v>
      </c>
      <c r="AG327" s="319">
        <f>IF(AND('Ações'!AX336="sim", 'Ações'!BD336="sim"), 1, 0)
</f>
        <v>0</v>
      </c>
      <c r="AH327" s="319">
        <f>IF(AND('Ações'!AX336="sim", 'Ações'!BE336="sim"), 1, 0)
</f>
        <v>0</v>
      </c>
      <c r="AI327" s="319">
        <f>IF(AND('Ações'!AX336="sim", 'Ações'!BF336="sim"), 1, 0)
</f>
        <v>0</v>
      </c>
      <c r="AJ327" s="319">
        <f>IF(AND('Ações'!AX336="sim", 'Ações'!BG336="sim"), 1, 0)
</f>
        <v>0</v>
      </c>
      <c r="AK327" s="319">
        <f>IF(AND('Ações'!AX336="sim", 'Ações'!BH336="sim"), 1, 0)
</f>
        <v>0</v>
      </c>
    </row>
    <row r="328">
      <c r="B328" s="319">
        <f>IF(AND('Ações'!AS337="sim", 'Ações'!BD337="sim"), 1, 0)
</f>
        <v>0</v>
      </c>
      <c r="C328" s="319">
        <f>IF(AND('Ações'!AT337="sim", 'Ações'!BE337="sim"), 1, 0)
</f>
        <v>0</v>
      </c>
      <c r="D328" s="319">
        <f>IF(AND('Ações'!AU337="sim", 'Ações'!BF337="sim"), 1, 0)
</f>
        <v>0</v>
      </c>
      <c r="E328" s="319">
        <f>IF(AND('Ações'!AV337="sim", 'Ações'!BG337="sim"), 1, 0)
</f>
        <v>0</v>
      </c>
      <c r="F328" s="319">
        <f>IF(AND('Ações'!AW337="sim", 'Ações'!BH337="sim"), 1, 0)
</f>
        <v>0</v>
      </c>
      <c r="G328" s="319">
        <f>IF(AND('Ações'!AX337="sim", 'Ações'!BI337="sim"), 1, 0)
</f>
        <v>1</v>
      </c>
      <c r="H328" s="319">
        <f>IF(AND('Ações'!AS337="sim", 'Ações'!BE337="sim"), 1, 0)
</f>
        <v>0</v>
      </c>
      <c r="I328" s="319">
        <f>IF(AND('Ações'!AS337="sim", 'Ações'!BF337="sim"), 1, 0)
</f>
        <v>0</v>
      </c>
      <c r="J328" s="319">
        <f>IF(AND('Ações'!AS337="sim", 'Ações'!BG337="sim"), 1, 0)
</f>
        <v>0</v>
      </c>
      <c r="K328" s="319">
        <f>IF(AND('Ações'!AS337="sim", 'Ações'!BH337="sim"), 1, 0)
</f>
        <v>0</v>
      </c>
      <c r="L328" s="319">
        <f>IF(AND('Ações'!AS337="sim", 'Ações'!BI337="sim"), 1, 0)
</f>
        <v>1</v>
      </c>
      <c r="M328" s="319">
        <f>IF(AND('Ações'!AT337="sim", 'Ações'!BD337="sim"), 1, 0)
</f>
        <v>0</v>
      </c>
      <c r="N328" s="319">
        <f>IF(AND('Ações'!AT337="sim", 'Ações'!BF337="sim"), 1, 0)
</f>
        <v>0</v>
      </c>
      <c r="O328" s="319">
        <f>IF(AND('Ações'!AT337="sim", 'Ações'!BG337="sim"), 1, 0)
</f>
        <v>0</v>
      </c>
      <c r="P328" s="319">
        <f>IF(AND('Ações'!AT337="sim", 'Ações'!BH337="sim"), 1, 0)
</f>
        <v>0</v>
      </c>
      <c r="Q328" s="319">
        <f>IF(AND('Ações'!AT337="sim", 'Ações'!BI337="sim"), 1, 0)
</f>
        <v>1</v>
      </c>
      <c r="R328" s="319">
        <f>IF(AND('Ações'!AU337="sim", 'Ações'!BD337="sim"), 1, 0)
</f>
        <v>0</v>
      </c>
      <c r="S328" s="319">
        <f>IF(AND('Ações'!AU337="sim", 'Ações'!BE337="sim"), 1, 0)
</f>
        <v>0</v>
      </c>
      <c r="T328" s="319">
        <f>IF(AND('Ações'!AU337="sim", 'Ações'!BG337="sim"), 1, 0)
</f>
        <v>0</v>
      </c>
      <c r="U328" s="319">
        <f>IF(AND('Ações'!AU337="sim", 'Ações'!BH337="sim"), 1, 0)
</f>
        <v>0</v>
      </c>
      <c r="V328" s="319">
        <f>IF(AND('Ações'!AU337="sim", 'Ações'!BI337="sim"), 1, 0)
</f>
        <v>1</v>
      </c>
      <c r="W328" s="319">
        <f>IF(AND('Ações'!AV337="sim", 'Ações'!BD337="sim"), 1, 0)
</f>
        <v>0</v>
      </c>
      <c r="X328" s="319">
        <f>IF(AND('Ações'!AV337="sim", 'Ações'!BE337="sim"), 1, 0)
</f>
        <v>0</v>
      </c>
      <c r="Y328" s="319">
        <f>IF(AND('Ações'!AV337="sim", 'Ações'!BF337="sim"), 1, 0)
</f>
        <v>0</v>
      </c>
      <c r="Z328" s="319">
        <f>IF(AND('Ações'!AV337="sim", 'Ações'!BH337="sim"), 1, 0)
</f>
        <v>0</v>
      </c>
      <c r="AA328" s="319">
        <f>IF(AND('Ações'!AV337="sim", 'Ações'!BI337="sim"), 1, 0)
</f>
        <v>1</v>
      </c>
      <c r="AB328" s="319">
        <f>IF(AND('Ações'!AW337="sim", 'Ações'!BD337="sim"), 1, 0)
</f>
        <v>0</v>
      </c>
      <c r="AC328" s="319">
        <f>IF(AND('Ações'!AW337="sim", 'Ações'!BE337="sim"), 1, 0)
</f>
        <v>0</v>
      </c>
      <c r="AD328" s="319">
        <f>IF(AND('Ações'!AW337="sim", 'Ações'!BF337="sim"), 1, 0)
</f>
        <v>0</v>
      </c>
      <c r="AE328" s="319">
        <f>IF(AND('Ações'!AW337="sim", 'Ações'!BG337="sim"), 1, 0)
</f>
        <v>0</v>
      </c>
      <c r="AF328" s="319">
        <f>IF(AND('Ações'!AW337="sim", 'Ações'!BI337="sim"), 1, 0)
</f>
        <v>1</v>
      </c>
      <c r="AG328" s="319">
        <f>IF(AND('Ações'!AX337="sim", 'Ações'!BD337="sim"), 1, 0)
</f>
        <v>0</v>
      </c>
      <c r="AH328" s="319">
        <f>IF(AND('Ações'!AX337="sim", 'Ações'!BE337="sim"), 1, 0)
</f>
        <v>0</v>
      </c>
      <c r="AI328" s="319">
        <f>IF(AND('Ações'!AX337="sim", 'Ações'!BF337="sim"), 1, 0)
</f>
        <v>0</v>
      </c>
      <c r="AJ328" s="319">
        <f>IF(AND('Ações'!AX337="sim", 'Ações'!BG337="sim"), 1, 0)
</f>
        <v>0</v>
      </c>
      <c r="AK328" s="319">
        <f>IF(AND('Ações'!AX337="sim", 'Ações'!BH337="sim"), 1, 0)
</f>
        <v>0</v>
      </c>
    </row>
    <row r="329">
      <c r="B329" s="319">
        <f>IF(AND('Ações'!AS338="sim", 'Ações'!BD338="sim"), 1, 0)
</f>
        <v>0</v>
      </c>
      <c r="C329" s="319">
        <f>IF(AND('Ações'!AT338="sim", 'Ações'!BE338="sim"), 1, 0)
</f>
        <v>0</v>
      </c>
      <c r="D329" s="319">
        <f>IF(AND('Ações'!AU338="sim", 'Ações'!BF338="sim"), 1, 0)
</f>
        <v>0</v>
      </c>
      <c r="E329" s="319">
        <f>IF(AND('Ações'!AV338="sim", 'Ações'!BG338="sim"), 1, 0)
</f>
        <v>0</v>
      </c>
      <c r="F329" s="319">
        <f>IF(AND('Ações'!AW338="sim", 'Ações'!BH338="sim"), 1, 0)
</f>
        <v>0</v>
      </c>
      <c r="G329" s="319">
        <f>IF(AND('Ações'!AX338="sim", 'Ações'!BI338="sim"), 1, 0)
</f>
        <v>1</v>
      </c>
      <c r="H329" s="319">
        <f>IF(AND('Ações'!AS338="sim", 'Ações'!BE338="sim"), 1, 0)
</f>
        <v>0</v>
      </c>
      <c r="I329" s="319">
        <f>IF(AND('Ações'!AS338="sim", 'Ações'!BF338="sim"), 1, 0)
</f>
        <v>0</v>
      </c>
      <c r="J329" s="319">
        <f>IF(AND('Ações'!AS338="sim", 'Ações'!BG338="sim"), 1, 0)
</f>
        <v>0</v>
      </c>
      <c r="K329" s="319">
        <f>IF(AND('Ações'!AS338="sim", 'Ações'!BH338="sim"), 1, 0)
</f>
        <v>0</v>
      </c>
      <c r="L329" s="319">
        <f>IF(AND('Ações'!AS338="sim", 'Ações'!BI338="sim"), 1, 0)
</f>
        <v>1</v>
      </c>
      <c r="M329" s="319">
        <f>IF(AND('Ações'!AT338="sim", 'Ações'!BD338="sim"), 1, 0)
</f>
        <v>0</v>
      </c>
      <c r="N329" s="319">
        <f>IF(AND('Ações'!AT338="sim", 'Ações'!BF338="sim"), 1, 0)
</f>
        <v>0</v>
      </c>
      <c r="O329" s="319">
        <f>IF(AND('Ações'!AT338="sim", 'Ações'!BG338="sim"), 1, 0)
</f>
        <v>0</v>
      </c>
      <c r="P329" s="319">
        <f>IF(AND('Ações'!AT338="sim", 'Ações'!BH338="sim"), 1, 0)
</f>
        <v>0</v>
      </c>
      <c r="Q329" s="319">
        <f>IF(AND('Ações'!AT338="sim", 'Ações'!BI338="sim"), 1, 0)
</f>
        <v>1</v>
      </c>
      <c r="R329" s="319">
        <f>IF(AND('Ações'!AU338="sim", 'Ações'!BD338="sim"), 1, 0)
</f>
        <v>0</v>
      </c>
      <c r="S329" s="319">
        <f>IF(AND('Ações'!AU338="sim", 'Ações'!BE338="sim"), 1, 0)
</f>
        <v>0</v>
      </c>
      <c r="T329" s="319">
        <f>IF(AND('Ações'!AU338="sim", 'Ações'!BG338="sim"), 1, 0)
</f>
        <v>0</v>
      </c>
      <c r="U329" s="319">
        <f>IF(AND('Ações'!AU338="sim", 'Ações'!BH338="sim"), 1, 0)
</f>
        <v>0</v>
      </c>
      <c r="V329" s="319">
        <f>IF(AND('Ações'!AU338="sim", 'Ações'!BI338="sim"), 1, 0)
</f>
        <v>1</v>
      </c>
      <c r="W329" s="319">
        <f>IF(AND('Ações'!AV338="sim", 'Ações'!BD338="sim"), 1, 0)
</f>
        <v>0</v>
      </c>
      <c r="X329" s="319">
        <f>IF(AND('Ações'!AV338="sim", 'Ações'!BE338="sim"), 1, 0)
</f>
        <v>0</v>
      </c>
      <c r="Y329" s="319">
        <f>IF(AND('Ações'!AV338="sim", 'Ações'!BF338="sim"), 1, 0)
</f>
        <v>0</v>
      </c>
      <c r="Z329" s="319">
        <f>IF(AND('Ações'!AV338="sim", 'Ações'!BH338="sim"), 1, 0)
</f>
        <v>0</v>
      </c>
      <c r="AA329" s="319">
        <f>IF(AND('Ações'!AV338="sim", 'Ações'!BI338="sim"), 1, 0)
</f>
        <v>1</v>
      </c>
      <c r="AB329" s="319">
        <f>IF(AND('Ações'!AW338="sim", 'Ações'!BD338="sim"), 1, 0)
</f>
        <v>0</v>
      </c>
      <c r="AC329" s="319">
        <f>IF(AND('Ações'!AW338="sim", 'Ações'!BE338="sim"), 1, 0)
</f>
        <v>0</v>
      </c>
      <c r="AD329" s="319">
        <f>IF(AND('Ações'!AW338="sim", 'Ações'!BF338="sim"), 1, 0)
</f>
        <v>0</v>
      </c>
      <c r="AE329" s="319">
        <f>IF(AND('Ações'!AW338="sim", 'Ações'!BG338="sim"), 1, 0)
</f>
        <v>0</v>
      </c>
      <c r="AF329" s="319">
        <f>IF(AND('Ações'!AW338="sim", 'Ações'!BI338="sim"), 1, 0)
</f>
        <v>1</v>
      </c>
      <c r="AG329" s="319">
        <f>IF(AND('Ações'!AX338="sim", 'Ações'!BD338="sim"), 1, 0)
</f>
        <v>0</v>
      </c>
      <c r="AH329" s="319">
        <f>IF(AND('Ações'!AX338="sim", 'Ações'!BE338="sim"), 1, 0)
</f>
        <v>0</v>
      </c>
      <c r="AI329" s="319">
        <f>IF(AND('Ações'!AX338="sim", 'Ações'!BF338="sim"), 1, 0)
</f>
        <v>0</v>
      </c>
      <c r="AJ329" s="319">
        <f>IF(AND('Ações'!AX338="sim", 'Ações'!BG338="sim"), 1, 0)
</f>
        <v>0</v>
      </c>
      <c r="AK329" s="319">
        <f>IF(AND('Ações'!AX338="sim", 'Ações'!BH338="sim"), 1, 0)
</f>
        <v>0</v>
      </c>
    </row>
    <row r="330">
      <c r="B330" s="319">
        <f>IF(AND('Ações'!AS339="sim", 'Ações'!BD339="sim"), 1, 0)
</f>
        <v>1</v>
      </c>
      <c r="C330" s="319">
        <f>IF(AND('Ações'!AT339="sim", 'Ações'!BE339="sim"), 1, 0)
</f>
        <v>0</v>
      </c>
      <c r="D330" s="319">
        <f>IF(AND('Ações'!AU339="sim", 'Ações'!BF339="sim"), 1, 0)
</f>
        <v>0</v>
      </c>
      <c r="E330" s="319">
        <f>IF(AND('Ações'!AV339="sim", 'Ações'!BG339="sim"), 1, 0)
</f>
        <v>0</v>
      </c>
      <c r="F330" s="319">
        <f>IF(AND('Ações'!AW339="sim", 'Ações'!BH339="sim"), 1, 0)
</f>
        <v>0</v>
      </c>
      <c r="G330" s="319">
        <f>IF(AND('Ações'!AX339="sim", 'Ações'!BI339="sim"), 1, 0)
</f>
        <v>0</v>
      </c>
      <c r="H330" s="319">
        <f>IF(AND('Ações'!AS339="sim", 'Ações'!BE339="sim"), 1, 0)
</f>
        <v>0</v>
      </c>
      <c r="I330" s="319">
        <f>IF(AND('Ações'!AS339="sim", 'Ações'!BF339="sim"), 1, 0)
</f>
        <v>0</v>
      </c>
      <c r="J330" s="319">
        <f>IF(AND('Ações'!AS339="sim", 'Ações'!BG339="sim"), 1, 0)
</f>
        <v>0</v>
      </c>
      <c r="K330" s="319">
        <f>IF(AND('Ações'!AS339="sim", 'Ações'!BH339="sim"), 1, 0)
</f>
        <v>0</v>
      </c>
      <c r="L330" s="319">
        <f>IF(AND('Ações'!AS339="sim", 'Ações'!BI339="sim"), 1, 0)
</f>
        <v>0</v>
      </c>
      <c r="M330" s="319">
        <f>IF(AND('Ações'!AT339="sim", 'Ações'!BD339="sim"), 1, 0)
</f>
        <v>1</v>
      </c>
      <c r="N330" s="319">
        <f>IF(AND('Ações'!AT339="sim", 'Ações'!BF339="sim"), 1, 0)
</f>
        <v>0</v>
      </c>
      <c r="O330" s="319">
        <f>IF(AND('Ações'!AT339="sim", 'Ações'!BG339="sim"), 1, 0)
</f>
        <v>0</v>
      </c>
      <c r="P330" s="319">
        <f>IF(AND('Ações'!AT339="sim", 'Ações'!BH339="sim"), 1, 0)
</f>
        <v>0</v>
      </c>
      <c r="Q330" s="319">
        <f>IF(AND('Ações'!AT339="sim", 'Ações'!BI339="sim"), 1, 0)
</f>
        <v>0</v>
      </c>
      <c r="R330" s="319">
        <f>IF(AND('Ações'!AU339="sim", 'Ações'!BD339="sim"), 1, 0)
</f>
        <v>1</v>
      </c>
      <c r="S330" s="319">
        <f>IF(AND('Ações'!AU339="sim", 'Ações'!BE339="sim"), 1, 0)
</f>
        <v>0</v>
      </c>
      <c r="T330" s="319">
        <f>IF(AND('Ações'!AU339="sim", 'Ações'!BG339="sim"), 1, 0)
</f>
        <v>0</v>
      </c>
      <c r="U330" s="319">
        <f>IF(AND('Ações'!AU339="sim", 'Ações'!BH339="sim"), 1, 0)
</f>
        <v>0</v>
      </c>
      <c r="V330" s="319">
        <f>IF(AND('Ações'!AU339="sim", 'Ações'!BI339="sim"), 1, 0)
</f>
        <v>0</v>
      </c>
      <c r="W330" s="319">
        <f>IF(AND('Ações'!AV339="sim", 'Ações'!BD339="sim"), 1, 0)
</f>
        <v>1</v>
      </c>
      <c r="X330" s="319">
        <f>IF(AND('Ações'!AV339="sim", 'Ações'!BE339="sim"), 1, 0)
</f>
        <v>0</v>
      </c>
      <c r="Y330" s="319">
        <f>IF(AND('Ações'!AV339="sim", 'Ações'!BF339="sim"), 1, 0)
</f>
        <v>0</v>
      </c>
      <c r="Z330" s="319">
        <f>IF(AND('Ações'!AV339="sim", 'Ações'!BH339="sim"), 1, 0)
</f>
        <v>0</v>
      </c>
      <c r="AA330" s="319">
        <f>IF(AND('Ações'!AV339="sim", 'Ações'!BI339="sim"), 1, 0)
</f>
        <v>0</v>
      </c>
      <c r="AB330" s="319">
        <f>IF(AND('Ações'!AW339="sim", 'Ações'!BD339="sim"), 1, 0)
</f>
        <v>1</v>
      </c>
      <c r="AC330" s="319">
        <f>IF(AND('Ações'!AW339="sim", 'Ações'!BE339="sim"), 1, 0)
</f>
        <v>0</v>
      </c>
      <c r="AD330" s="319">
        <f>IF(AND('Ações'!AW339="sim", 'Ações'!BF339="sim"), 1, 0)
</f>
        <v>0</v>
      </c>
      <c r="AE330" s="319">
        <f>IF(AND('Ações'!AW339="sim", 'Ações'!BG339="sim"), 1, 0)
</f>
        <v>0</v>
      </c>
      <c r="AF330" s="319">
        <f>IF(AND('Ações'!AW339="sim", 'Ações'!BI339="sim"), 1, 0)
</f>
        <v>0</v>
      </c>
      <c r="AG330" s="319">
        <f>IF(AND('Ações'!AX339="sim", 'Ações'!BD339="sim"), 1, 0)
</f>
        <v>1</v>
      </c>
      <c r="AH330" s="319">
        <f>IF(AND('Ações'!AX339="sim", 'Ações'!BE339="sim"), 1, 0)
</f>
        <v>0</v>
      </c>
      <c r="AI330" s="319">
        <f>IF(AND('Ações'!AX339="sim", 'Ações'!BF339="sim"), 1, 0)
</f>
        <v>0</v>
      </c>
      <c r="AJ330" s="319">
        <f>IF(AND('Ações'!AX339="sim", 'Ações'!BG339="sim"), 1, 0)
</f>
        <v>0</v>
      </c>
      <c r="AK330" s="319">
        <f>IF(AND('Ações'!AX339="sim", 'Ações'!BH339="sim"), 1, 0)
</f>
        <v>0</v>
      </c>
    </row>
    <row r="331">
      <c r="B331" s="319">
        <f>IF(AND('Ações'!AS340="sim", 'Ações'!BD340="sim"), 1, 0)
</f>
        <v>1</v>
      </c>
      <c r="C331" s="319">
        <f>IF(AND('Ações'!AT340="sim", 'Ações'!BE340="sim"), 1, 0)
</f>
        <v>0</v>
      </c>
      <c r="D331" s="319">
        <f>IF(AND('Ações'!AU340="sim", 'Ações'!BF340="sim"), 1, 0)
</f>
        <v>0</v>
      </c>
      <c r="E331" s="319">
        <f>IF(AND('Ações'!AV340="sim", 'Ações'!BG340="sim"), 1, 0)
</f>
        <v>0</v>
      </c>
      <c r="F331" s="319">
        <f>IF(AND('Ações'!AW340="sim", 'Ações'!BH340="sim"), 1, 0)
</f>
        <v>0</v>
      </c>
      <c r="G331" s="319">
        <f>IF(AND('Ações'!AX340="sim", 'Ações'!BI340="sim"), 1, 0)
</f>
        <v>0</v>
      </c>
      <c r="H331" s="319">
        <f>IF(AND('Ações'!AS340="sim", 'Ações'!BE340="sim"), 1, 0)
</f>
        <v>0</v>
      </c>
      <c r="I331" s="319">
        <f>IF(AND('Ações'!AS340="sim", 'Ações'!BF340="sim"), 1, 0)
</f>
        <v>0</v>
      </c>
      <c r="J331" s="319">
        <f>IF(AND('Ações'!AS340="sim", 'Ações'!BG340="sim"), 1, 0)
</f>
        <v>0</v>
      </c>
      <c r="K331" s="319">
        <f>IF(AND('Ações'!AS340="sim", 'Ações'!BH340="sim"), 1, 0)
</f>
        <v>0</v>
      </c>
      <c r="L331" s="319">
        <f>IF(AND('Ações'!AS340="sim", 'Ações'!BI340="sim"), 1, 0)
</f>
        <v>0</v>
      </c>
      <c r="M331" s="319">
        <f>IF(AND('Ações'!AT340="sim", 'Ações'!BD340="sim"), 1, 0)
</f>
        <v>1</v>
      </c>
      <c r="N331" s="319">
        <f>IF(AND('Ações'!AT340="sim", 'Ações'!BF340="sim"), 1, 0)
</f>
        <v>0</v>
      </c>
      <c r="O331" s="319">
        <f>IF(AND('Ações'!AT340="sim", 'Ações'!BG340="sim"), 1, 0)
</f>
        <v>0</v>
      </c>
      <c r="P331" s="319">
        <f>IF(AND('Ações'!AT340="sim", 'Ações'!BH340="sim"), 1, 0)
</f>
        <v>0</v>
      </c>
      <c r="Q331" s="319">
        <f>IF(AND('Ações'!AT340="sim", 'Ações'!BI340="sim"), 1, 0)
</f>
        <v>0</v>
      </c>
      <c r="R331" s="319">
        <f>IF(AND('Ações'!AU340="sim", 'Ações'!BD340="sim"), 1, 0)
</f>
        <v>1</v>
      </c>
      <c r="S331" s="319">
        <f>IF(AND('Ações'!AU340="sim", 'Ações'!BE340="sim"), 1, 0)
</f>
        <v>0</v>
      </c>
      <c r="T331" s="319">
        <f>IF(AND('Ações'!AU340="sim", 'Ações'!BG340="sim"), 1, 0)
</f>
        <v>0</v>
      </c>
      <c r="U331" s="319">
        <f>IF(AND('Ações'!AU340="sim", 'Ações'!BH340="sim"), 1, 0)
</f>
        <v>0</v>
      </c>
      <c r="V331" s="319">
        <f>IF(AND('Ações'!AU340="sim", 'Ações'!BI340="sim"), 1, 0)
</f>
        <v>0</v>
      </c>
      <c r="W331" s="319">
        <f>IF(AND('Ações'!AV340="sim", 'Ações'!BD340="sim"), 1, 0)
</f>
        <v>1</v>
      </c>
      <c r="X331" s="319">
        <f>IF(AND('Ações'!AV340="sim", 'Ações'!BE340="sim"), 1, 0)
</f>
        <v>0</v>
      </c>
      <c r="Y331" s="319">
        <f>IF(AND('Ações'!AV340="sim", 'Ações'!BF340="sim"), 1, 0)
</f>
        <v>0</v>
      </c>
      <c r="Z331" s="319">
        <f>IF(AND('Ações'!AV340="sim", 'Ações'!BH340="sim"), 1, 0)
</f>
        <v>0</v>
      </c>
      <c r="AA331" s="319">
        <f>IF(AND('Ações'!AV340="sim", 'Ações'!BI340="sim"), 1, 0)
</f>
        <v>0</v>
      </c>
      <c r="AB331" s="319">
        <f>IF(AND('Ações'!AW340="sim", 'Ações'!BD340="sim"), 1, 0)
</f>
        <v>1</v>
      </c>
      <c r="AC331" s="319">
        <f>IF(AND('Ações'!AW340="sim", 'Ações'!BE340="sim"), 1, 0)
</f>
        <v>0</v>
      </c>
      <c r="AD331" s="319">
        <f>IF(AND('Ações'!AW340="sim", 'Ações'!BF340="sim"), 1, 0)
</f>
        <v>0</v>
      </c>
      <c r="AE331" s="319">
        <f>IF(AND('Ações'!AW340="sim", 'Ações'!BG340="sim"), 1, 0)
</f>
        <v>0</v>
      </c>
      <c r="AF331" s="319">
        <f>IF(AND('Ações'!AW340="sim", 'Ações'!BI340="sim"), 1, 0)
</f>
        <v>0</v>
      </c>
      <c r="AG331" s="319">
        <f>IF(AND('Ações'!AX340="sim", 'Ações'!BD340="sim"), 1, 0)
</f>
        <v>1</v>
      </c>
      <c r="AH331" s="319">
        <f>IF(AND('Ações'!AX340="sim", 'Ações'!BE340="sim"), 1, 0)
</f>
        <v>0</v>
      </c>
      <c r="AI331" s="319">
        <f>IF(AND('Ações'!AX340="sim", 'Ações'!BF340="sim"), 1, 0)
</f>
        <v>0</v>
      </c>
      <c r="AJ331" s="319">
        <f>IF(AND('Ações'!AX340="sim", 'Ações'!BG340="sim"), 1, 0)
</f>
        <v>0</v>
      </c>
      <c r="AK331" s="319">
        <f>IF(AND('Ações'!AX340="sim", 'Ações'!BH340="sim"), 1, 0)
</f>
        <v>0</v>
      </c>
    </row>
    <row r="332">
      <c r="B332" s="319">
        <f>IF(AND('Ações'!AS341="sim", 'Ações'!BD341="sim"), 1, 0)
</f>
        <v>1</v>
      </c>
      <c r="C332" s="319">
        <f>IF(AND('Ações'!AT341="sim", 'Ações'!BE341="sim"), 1, 0)
</f>
        <v>0</v>
      </c>
      <c r="D332" s="319">
        <f>IF(AND('Ações'!AU341="sim", 'Ações'!BF341="sim"), 1, 0)
</f>
        <v>0</v>
      </c>
      <c r="E332" s="319">
        <f>IF(AND('Ações'!AV341="sim", 'Ações'!BG341="sim"), 1, 0)
</f>
        <v>0</v>
      </c>
      <c r="F332" s="319">
        <f>IF(AND('Ações'!AW341="sim", 'Ações'!BH341="sim"), 1, 0)
</f>
        <v>0</v>
      </c>
      <c r="G332" s="319">
        <f>IF(AND('Ações'!AX341="sim", 'Ações'!BI341="sim"), 1, 0)
</f>
        <v>0</v>
      </c>
      <c r="H332" s="319">
        <f>IF(AND('Ações'!AS341="sim", 'Ações'!BE341="sim"), 1, 0)
</f>
        <v>0</v>
      </c>
      <c r="I332" s="319">
        <f>IF(AND('Ações'!AS341="sim", 'Ações'!BF341="sim"), 1, 0)
</f>
        <v>0</v>
      </c>
      <c r="J332" s="319">
        <f>IF(AND('Ações'!AS341="sim", 'Ações'!BG341="sim"), 1, 0)
</f>
        <v>0</v>
      </c>
      <c r="K332" s="319">
        <f>IF(AND('Ações'!AS341="sim", 'Ações'!BH341="sim"), 1, 0)
</f>
        <v>0</v>
      </c>
      <c r="L332" s="319">
        <f>IF(AND('Ações'!AS341="sim", 'Ações'!BI341="sim"), 1, 0)
</f>
        <v>0</v>
      </c>
      <c r="M332" s="319">
        <f>IF(AND('Ações'!AT341="sim", 'Ações'!BD341="sim"), 1, 0)
</f>
        <v>1</v>
      </c>
      <c r="N332" s="319">
        <f>IF(AND('Ações'!AT341="sim", 'Ações'!BF341="sim"), 1, 0)
</f>
        <v>0</v>
      </c>
      <c r="O332" s="319">
        <f>IF(AND('Ações'!AT341="sim", 'Ações'!BG341="sim"), 1, 0)
</f>
        <v>0</v>
      </c>
      <c r="P332" s="319">
        <f>IF(AND('Ações'!AT341="sim", 'Ações'!BH341="sim"), 1, 0)
</f>
        <v>0</v>
      </c>
      <c r="Q332" s="319">
        <f>IF(AND('Ações'!AT341="sim", 'Ações'!BI341="sim"), 1, 0)
</f>
        <v>0</v>
      </c>
      <c r="R332" s="319">
        <f>IF(AND('Ações'!AU341="sim", 'Ações'!BD341="sim"), 1, 0)
</f>
        <v>1</v>
      </c>
      <c r="S332" s="319">
        <f>IF(AND('Ações'!AU341="sim", 'Ações'!BE341="sim"), 1, 0)
</f>
        <v>0</v>
      </c>
      <c r="T332" s="319">
        <f>IF(AND('Ações'!AU341="sim", 'Ações'!BG341="sim"), 1, 0)
</f>
        <v>0</v>
      </c>
      <c r="U332" s="319">
        <f>IF(AND('Ações'!AU341="sim", 'Ações'!BH341="sim"), 1, 0)
</f>
        <v>0</v>
      </c>
      <c r="V332" s="319">
        <f>IF(AND('Ações'!AU341="sim", 'Ações'!BI341="sim"), 1, 0)
</f>
        <v>0</v>
      </c>
      <c r="W332" s="319">
        <f>IF(AND('Ações'!AV341="sim", 'Ações'!BD341="sim"), 1, 0)
</f>
        <v>1</v>
      </c>
      <c r="X332" s="319">
        <f>IF(AND('Ações'!AV341="sim", 'Ações'!BE341="sim"), 1, 0)
</f>
        <v>0</v>
      </c>
      <c r="Y332" s="319">
        <f>IF(AND('Ações'!AV341="sim", 'Ações'!BF341="sim"), 1, 0)
</f>
        <v>0</v>
      </c>
      <c r="Z332" s="319">
        <f>IF(AND('Ações'!AV341="sim", 'Ações'!BH341="sim"), 1, 0)
</f>
        <v>0</v>
      </c>
      <c r="AA332" s="319">
        <f>IF(AND('Ações'!AV341="sim", 'Ações'!BI341="sim"), 1, 0)
</f>
        <v>0</v>
      </c>
      <c r="AB332" s="319">
        <f>IF(AND('Ações'!AW341="sim", 'Ações'!BD341="sim"), 1, 0)
</f>
        <v>1</v>
      </c>
      <c r="AC332" s="319">
        <f>IF(AND('Ações'!AW341="sim", 'Ações'!BE341="sim"), 1, 0)
</f>
        <v>0</v>
      </c>
      <c r="AD332" s="319">
        <f>IF(AND('Ações'!AW341="sim", 'Ações'!BF341="sim"), 1, 0)
</f>
        <v>0</v>
      </c>
      <c r="AE332" s="319">
        <f>IF(AND('Ações'!AW341="sim", 'Ações'!BG341="sim"), 1, 0)
</f>
        <v>0</v>
      </c>
      <c r="AF332" s="319">
        <f>IF(AND('Ações'!AW341="sim", 'Ações'!BI341="sim"), 1, 0)
</f>
        <v>0</v>
      </c>
      <c r="AG332" s="319">
        <f>IF(AND('Ações'!AX341="sim", 'Ações'!BD341="sim"), 1, 0)
</f>
        <v>1</v>
      </c>
      <c r="AH332" s="319">
        <f>IF(AND('Ações'!AX341="sim", 'Ações'!BE341="sim"), 1, 0)
</f>
        <v>0</v>
      </c>
      <c r="AI332" s="319">
        <f>IF(AND('Ações'!AX341="sim", 'Ações'!BF341="sim"), 1, 0)
</f>
        <v>0</v>
      </c>
      <c r="AJ332" s="319">
        <f>IF(AND('Ações'!AX341="sim", 'Ações'!BG341="sim"), 1, 0)
</f>
        <v>0</v>
      </c>
      <c r="AK332" s="319">
        <f>IF(AND('Ações'!AX341="sim", 'Ações'!BH341="sim"), 1, 0)
</f>
        <v>0</v>
      </c>
    </row>
    <row r="333">
      <c r="B333" s="319">
        <f>IF(AND('Ações'!AS342="sim", 'Ações'!BD342="sim"), 1, 0)
</f>
        <v>1</v>
      </c>
      <c r="C333" s="319">
        <f>IF(AND('Ações'!AT342="sim", 'Ações'!BE342="sim"), 1, 0)
</f>
        <v>0</v>
      </c>
      <c r="D333" s="319">
        <f>IF(AND('Ações'!AU342="sim", 'Ações'!BF342="sim"), 1, 0)
</f>
        <v>0</v>
      </c>
      <c r="E333" s="319">
        <f>IF(AND('Ações'!AV342="sim", 'Ações'!BG342="sim"), 1, 0)
</f>
        <v>0</v>
      </c>
      <c r="F333" s="319">
        <f>IF(AND('Ações'!AW342="sim", 'Ações'!BH342="sim"), 1, 0)
</f>
        <v>0</v>
      </c>
      <c r="G333" s="319">
        <f>IF(AND('Ações'!AX342="sim", 'Ações'!BI342="sim"), 1, 0)
</f>
        <v>0</v>
      </c>
      <c r="H333" s="319">
        <f>IF(AND('Ações'!AS342="sim", 'Ações'!BE342="sim"), 1, 0)
</f>
        <v>0</v>
      </c>
      <c r="I333" s="319">
        <f>IF(AND('Ações'!AS342="sim", 'Ações'!BF342="sim"), 1, 0)
</f>
        <v>0</v>
      </c>
      <c r="J333" s="319">
        <f>IF(AND('Ações'!AS342="sim", 'Ações'!BG342="sim"), 1, 0)
</f>
        <v>0</v>
      </c>
      <c r="K333" s="319">
        <f>IF(AND('Ações'!AS342="sim", 'Ações'!BH342="sim"), 1, 0)
</f>
        <v>0</v>
      </c>
      <c r="L333" s="319">
        <f>IF(AND('Ações'!AS342="sim", 'Ações'!BI342="sim"), 1, 0)
</f>
        <v>0</v>
      </c>
      <c r="M333" s="319">
        <f>IF(AND('Ações'!AT342="sim", 'Ações'!BD342="sim"), 1, 0)
</f>
        <v>1</v>
      </c>
      <c r="N333" s="319">
        <f>IF(AND('Ações'!AT342="sim", 'Ações'!BF342="sim"), 1, 0)
</f>
        <v>0</v>
      </c>
      <c r="O333" s="319">
        <f>IF(AND('Ações'!AT342="sim", 'Ações'!BG342="sim"), 1, 0)
</f>
        <v>0</v>
      </c>
      <c r="P333" s="319">
        <f>IF(AND('Ações'!AT342="sim", 'Ações'!BH342="sim"), 1, 0)
</f>
        <v>0</v>
      </c>
      <c r="Q333" s="319">
        <f>IF(AND('Ações'!AT342="sim", 'Ações'!BI342="sim"), 1, 0)
</f>
        <v>0</v>
      </c>
      <c r="R333" s="319">
        <f>IF(AND('Ações'!AU342="sim", 'Ações'!BD342="sim"), 1, 0)
</f>
        <v>1</v>
      </c>
      <c r="S333" s="319">
        <f>IF(AND('Ações'!AU342="sim", 'Ações'!BE342="sim"), 1, 0)
</f>
        <v>0</v>
      </c>
      <c r="T333" s="319">
        <f>IF(AND('Ações'!AU342="sim", 'Ações'!BG342="sim"), 1, 0)
</f>
        <v>0</v>
      </c>
      <c r="U333" s="319">
        <f>IF(AND('Ações'!AU342="sim", 'Ações'!BH342="sim"), 1, 0)
</f>
        <v>0</v>
      </c>
      <c r="V333" s="319">
        <f>IF(AND('Ações'!AU342="sim", 'Ações'!BI342="sim"), 1, 0)
</f>
        <v>0</v>
      </c>
      <c r="W333" s="319">
        <f>IF(AND('Ações'!AV342="sim", 'Ações'!BD342="sim"), 1, 0)
</f>
        <v>1</v>
      </c>
      <c r="X333" s="319">
        <f>IF(AND('Ações'!AV342="sim", 'Ações'!BE342="sim"), 1, 0)
</f>
        <v>0</v>
      </c>
      <c r="Y333" s="319">
        <f>IF(AND('Ações'!AV342="sim", 'Ações'!BF342="sim"), 1, 0)
</f>
        <v>0</v>
      </c>
      <c r="Z333" s="319">
        <f>IF(AND('Ações'!AV342="sim", 'Ações'!BH342="sim"), 1, 0)
</f>
        <v>0</v>
      </c>
      <c r="AA333" s="319">
        <f>IF(AND('Ações'!AV342="sim", 'Ações'!BI342="sim"), 1, 0)
</f>
        <v>0</v>
      </c>
      <c r="AB333" s="319">
        <f>IF(AND('Ações'!AW342="sim", 'Ações'!BD342="sim"), 1, 0)
</f>
        <v>1</v>
      </c>
      <c r="AC333" s="319">
        <f>IF(AND('Ações'!AW342="sim", 'Ações'!BE342="sim"), 1, 0)
</f>
        <v>0</v>
      </c>
      <c r="AD333" s="319">
        <f>IF(AND('Ações'!AW342="sim", 'Ações'!BF342="sim"), 1, 0)
</f>
        <v>0</v>
      </c>
      <c r="AE333" s="319">
        <f>IF(AND('Ações'!AW342="sim", 'Ações'!BG342="sim"), 1, 0)
</f>
        <v>0</v>
      </c>
      <c r="AF333" s="319">
        <f>IF(AND('Ações'!AW342="sim", 'Ações'!BI342="sim"), 1, 0)
</f>
        <v>0</v>
      </c>
      <c r="AG333" s="319">
        <f>IF(AND('Ações'!AX342="sim", 'Ações'!BD342="sim"), 1, 0)
</f>
        <v>1</v>
      </c>
      <c r="AH333" s="319">
        <f>IF(AND('Ações'!AX342="sim", 'Ações'!BE342="sim"), 1, 0)
</f>
        <v>0</v>
      </c>
      <c r="AI333" s="319">
        <f>IF(AND('Ações'!AX342="sim", 'Ações'!BF342="sim"), 1, 0)
</f>
        <v>0</v>
      </c>
      <c r="AJ333" s="319">
        <f>IF(AND('Ações'!AX342="sim", 'Ações'!BG342="sim"), 1, 0)
</f>
        <v>0</v>
      </c>
      <c r="AK333" s="319">
        <f>IF(AND('Ações'!AX342="sim", 'Ações'!BH342="sim"), 1, 0)
</f>
        <v>0</v>
      </c>
    </row>
    <row r="334">
      <c r="B334" s="319">
        <f>IF(AND('Ações'!AS343="sim", 'Ações'!BD343="sim"), 1, 0)
</f>
        <v>0</v>
      </c>
      <c r="C334" s="319">
        <f>IF(AND('Ações'!AT343="sim", 'Ações'!BE343="sim"), 1, 0)
</f>
        <v>0</v>
      </c>
      <c r="D334" s="319">
        <f>IF(AND('Ações'!AU343="sim", 'Ações'!BF343="sim"), 1, 0)
</f>
        <v>0</v>
      </c>
      <c r="E334" s="319">
        <f>IF(AND('Ações'!AV343="sim", 'Ações'!BG343="sim"), 1, 0)
</f>
        <v>0</v>
      </c>
      <c r="F334" s="319">
        <f>IF(AND('Ações'!AW343="sim", 'Ações'!BH343="sim"), 1, 0)
</f>
        <v>0</v>
      </c>
      <c r="G334" s="319">
        <f>IF(AND('Ações'!AX343="sim", 'Ações'!BI343="sim"), 1, 0)
</f>
        <v>0</v>
      </c>
      <c r="H334" s="319">
        <f>IF(AND('Ações'!AS343="sim", 'Ações'!BE343="sim"), 1, 0)
</f>
        <v>0</v>
      </c>
      <c r="I334" s="319">
        <f>IF(AND('Ações'!AS343="sim", 'Ações'!BF343="sim"), 1, 0)
</f>
        <v>0</v>
      </c>
      <c r="J334" s="319">
        <f>IF(AND('Ações'!AS343="sim", 'Ações'!BG343="sim"), 1, 0)
</f>
        <v>0</v>
      </c>
      <c r="K334" s="319">
        <f>IF(AND('Ações'!AS343="sim", 'Ações'!BH343="sim"), 1, 0)
</f>
        <v>0</v>
      </c>
      <c r="L334" s="319">
        <f>IF(AND('Ações'!AS343="sim", 'Ações'!BI343="sim"), 1, 0)
</f>
        <v>0</v>
      </c>
      <c r="M334" s="319">
        <f>IF(AND('Ações'!AT343="sim", 'Ações'!BD343="sim"), 1, 0)
</f>
        <v>0</v>
      </c>
      <c r="N334" s="319">
        <f>IF(AND('Ações'!AT343="sim", 'Ações'!BF343="sim"), 1, 0)
</f>
        <v>0</v>
      </c>
      <c r="O334" s="319">
        <f>IF(AND('Ações'!AT343="sim", 'Ações'!BG343="sim"), 1, 0)
</f>
        <v>0</v>
      </c>
      <c r="P334" s="319">
        <f>IF(AND('Ações'!AT343="sim", 'Ações'!BH343="sim"), 1, 0)
</f>
        <v>0</v>
      </c>
      <c r="Q334" s="319">
        <f>IF(AND('Ações'!AT343="sim", 'Ações'!BI343="sim"), 1, 0)
</f>
        <v>1</v>
      </c>
      <c r="R334" s="319">
        <f>IF(AND('Ações'!AU343="sim", 'Ações'!BD343="sim"), 1, 0)
</f>
        <v>0</v>
      </c>
      <c r="S334" s="319">
        <f>IF(AND('Ações'!AU343="sim", 'Ações'!BE343="sim"), 1, 0)
</f>
        <v>0</v>
      </c>
      <c r="T334" s="319">
        <f>IF(AND('Ações'!AU343="sim", 'Ações'!BG343="sim"), 1, 0)
</f>
        <v>0</v>
      </c>
      <c r="U334" s="319">
        <f>IF(AND('Ações'!AU343="sim", 'Ações'!BH343="sim"), 1, 0)
</f>
        <v>0</v>
      </c>
      <c r="V334" s="319">
        <f>IF(AND('Ações'!AU343="sim", 'Ações'!BI343="sim"), 1, 0)
</f>
        <v>1</v>
      </c>
      <c r="W334" s="319">
        <f>IF(AND('Ações'!AV343="sim", 'Ações'!BD343="sim"), 1, 0)
</f>
        <v>0</v>
      </c>
      <c r="X334" s="319">
        <f>IF(AND('Ações'!AV343="sim", 'Ações'!BE343="sim"), 1, 0)
</f>
        <v>0</v>
      </c>
      <c r="Y334" s="319">
        <f>IF(AND('Ações'!AV343="sim", 'Ações'!BF343="sim"), 1, 0)
</f>
        <v>0</v>
      </c>
      <c r="Z334" s="319">
        <f>IF(AND('Ações'!AV343="sim", 'Ações'!BH343="sim"), 1, 0)
</f>
        <v>0</v>
      </c>
      <c r="AA334" s="319">
        <f>IF(AND('Ações'!AV343="sim", 'Ações'!BI343="sim"), 1, 0)
</f>
        <v>0</v>
      </c>
      <c r="AB334" s="319">
        <f>IF(AND('Ações'!AW343="sim", 'Ações'!BD343="sim"), 1, 0)
</f>
        <v>0</v>
      </c>
      <c r="AC334" s="319">
        <f>IF(AND('Ações'!AW343="sim", 'Ações'!BE343="sim"), 1, 0)
</f>
        <v>0</v>
      </c>
      <c r="AD334" s="319">
        <f>IF(AND('Ações'!AW343="sim", 'Ações'!BF343="sim"), 1, 0)
</f>
        <v>0</v>
      </c>
      <c r="AE334" s="319">
        <f>IF(AND('Ações'!AW343="sim", 'Ações'!BG343="sim"), 1, 0)
</f>
        <v>0</v>
      </c>
      <c r="AF334" s="319">
        <f>IF(AND('Ações'!AW343="sim", 'Ações'!BI343="sim"), 1, 0)
</f>
        <v>0</v>
      </c>
      <c r="AG334" s="319">
        <f>IF(AND('Ações'!AX343="sim", 'Ações'!BD343="sim"), 1, 0)
</f>
        <v>0</v>
      </c>
      <c r="AH334" s="319">
        <f>IF(AND('Ações'!AX343="sim", 'Ações'!BE343="sim"), 1, 0)
</f>
        <v>0</v>
      </c>
      <c r="AI334" s="319">
        <f>IF(AND('Ações'!AX343="sim", 'Ações'!BF343="sim"), 1, 0)
</f>
        <v>0</v>
      </c>
      <c r="AJ334" s="319">
        <f>IF(AND('Ações'!AX343="sim", 'Ações'!BG343="sim"), 1, 0)
</f>
        <v>0</v>
      </c>
      <c r="AK334" s="319">
        <f>IF(AND('Ações'!AX343="sim", 'Ações'!BH343="sim"), 1, 0)
</f>
        <v>0</v>
      </c>
    </row>
    <row r="335">
      <c r="B335" s="319">
        <f>IF(AND('Ações'!AS344="sim", 'Ações'!BD344="sim"), 1, 0)
</f>
        <v>0</v>
      </c>
      <c r="C335" s="319">
        <f>IF(AND('Ações'!AT344="sim", 'Ações'!BE344="sim"), 1, 0)
</f>
        <v>0</v>
      </c>
      <c r="D335" s="319">
        <f>IF(AND('Ações'!AU344="sim", 'Ações'!BF344="sim"), 1, 0)
</f>
        <v>0</v>
      </c>
      <c r="E335" s="319">
        <f>IF(AND('Ações'!AV344="sim", 'Ações'!BG344="sim"), 1, 0)
</f>
        <v>0</v>
      </c>
      <c r="F335" s="319">
        <f>IF(AND('Ações'!AW344="sim", 'Ações'!BH344="sim"), 1, 0)
</f>
        <v>0</v>
      </c>
      <c r="G335" s="319">
        <f>IF(AND('Ações'!AX344="sim", 'Ações'!BI344="sim"), 1, 0)
</f>
        <v>0</v>
      </c>
      <c r="H335" s="319">
        <f>IF(AND('Ações'!AS344="sim", 'Ações'!BE344="sim"), 1, 0)
</f>
        <v>0</v>
      </c>
      <c r="I335" s="319">
        <f>IF(AND('Ações'!AS344="sim", 'Ações'!BF344="sim"), 1, 0)
</f>
        <v>0</v>
      </c>
      <c r="J335" s="319">
        <f>IF(AND('Ações'!AS344="sim", 'Ações'!BG344="sim"), 1, 0)
</f>
        <v>0</v>
      </c>
      <c r="K335" s="319">
        <f>IF(AND('Ações'!AS344="sim", 'Ações'!BH344="sim"), 1, 0)
</f>
        <v>0</v>
      </c>
      <c r="L335" s="319">
        <f>IF(AND('Ações'!AS344="sim", 'Ações'!BI344="sim"), 1, 0)
</f>
        <v>0</v>
      </c>
      <c r="M335" s="319">
        <f>IF(AND('Ações'!AT344="sim", 'Ações'!BD344="sim"), 1, 0)
</f>
        <v>0</v>
      </c>
      <c r="N335" s="319">
        <f>IF(AND('Ações'!AT344="sim", 'Ações'!BF344="sim"), 1, 0)
</f>
        <v>0</v>
      </c>
      <c r="O335" s="319">
        <f>IF(AND('Ações'!AT344="sim", 'Ações'!BG344="sim"), 1, 0)
</f>
        <v>0</v>
      </c>
      <c r="P335" s="319">
        <f>IF(AND('Ações'!AT344="sim", 'Ações'!BH344="sim"), 1, 0)
</f>
        <v>0</v>
      </c>
      <c r="Q335" s="319">
        <f>IF(AND('Ações'!AT344="sim", 'Ações'!BI344="sim"), 1, 0)
</f>
        <v>1</v>
      </c>
      <c r="R335" s="319">
        <f>IF(AND('Ações'!AU344="sim", 'Ações'!BD344="sim"), 1, 0)
</f>
        <v>0</v>
      </c>
      <c r="S335" s="319">
        <f>IF(AND('Ações'!AU344="sim", 'Ações'!BE344="sim"), 1, 0)
</f>
        <v>0</v>
      </c>
      <c r="T335" s="319">
        <f>IF(AND('Ações'!AU344="sim", 'Ações'!BG344="sim"), 1, 0)
</f>
        <v>0</v>
      </c>
      <c r="U335" s="319">
        <f>IF(AND('Ações'!AU344="sim", 'Ações'!BH344="sim"), 1, 0)
</f>
        <v>0</v>
      </c>
      <c r="V335" s="319">
        <f>IF(AND('Ações'!AU344="sim", 'Ações'!BI344="sim"), 1, 0)
</f>
        <v>1</v>
      </c>
      <c r="W335" s="319">
        <f>IF(AND('Ações'!AV344="sim", 'Ações'!BD344="sim"), 1, 0)
</f>
        <v>0</v>
      </c>
      <c r="X335" s="319">
        <f>IF(AND('Ações'!AV344="sim", 'Ações'!BE344="sim"), 1, 0)
</f>
        <v>0</v>
      </c>
      <c r="Y335" s="319">
        <f>IF(AND('Ações'!AV344="sim", 'Ações'!BF344="sim"), 1, 0)
</f>
        <v>0</v>
      </c>
      <c r="Z335" s="319">
        <f>IF(AND('Ações'!AV344="sim", 'Ações'!BH344="sim"), 1, 0)
</f>
        <v>0</v>
      </c>
      <c r="AA335" s="319">
        <f>IF(AND('Ações'!AV344="sim", 'Ações'!BI344="sim"), 1, 0)
</f>
        <v>0</v>
      </c>
      <c r="AB335" s="319">
        <f>IF(AND('Ações'!AW344="sim", 'Ações'!BD344="sim"), 1, 0)
</f>
        <v>0</v>
      </c>
      <c r="AC335" s="319">
        <f>IF(AND('Ações'!AW344="sim", 'Ações'!BE344="sim"), 1, 0)
</f>
        <v>0</v>
      </c>
      <c r="AD335" s="319">
        <f>IF(AND('Ações'!AW344="sim", 'Ações'!BF344="sim"), 1, 0)
</f>
        <v>0</v>
      </c>
      <c r="AE335" s="319">
        <f>IF(AND('Ações'!AW344="sim", 'Ações'!BG344="sim"), 1, 0)
</f>
        <v>0</v>
      </c>
      <c r="AF335" s="319">
        <f>IF(AND('Ações'!AW344="sim", 'Ações'!BI344="sim"), 1, 0)
</f>
        <v>0</v>
      </c>
      <c r="AG335" s="319">
        <f>IF(AND('Ações'!AX344="sim", 'Ações'!BD344="sim"), 1, 0)
</f>
        <v>0</v>
      </c>
      <c r="AH335" s="319">
        <f>IF(AND('Ações'!AX344="sim", 'Ações'!BE344="sim"), 1, 0)
</f>
        <v>0</v>
      </c>
      <c r="AI335" s="319">
        <f>IF(AND('Ações'!AX344="sim", 'Ações'!BF344="sim"), 1, 0)
</f>
        <v>0</v>
      </c>
      <c r="AJ335" s="319">
        <f>IF(AND('Ações'!AX344="sim", 'Ações'!BG344="sim"), 1, 0)
</f>
        <v>0</v>
      </c>
      <c r="AK335" s="319">
        <f>IF(AND('Ações'!AX344="sim", 'Ações'!BH344="sim"), 1, 0)
</f>
        <v>0</v>
      </c>
    </row>
    <row r="336">
      <c r="B336" s="319">
        <f>IF(AND('Ações'!AS345="sim", 'Ações'!BD345="sim"), 1, 0)
</f>
        <v>0</v>
      </c>
      <c r="C336" s="319">
        <f>IF(AND('Ações'!AT345="sim", 'Ações'!BE345="sim"), 1, 0)
</f>
        <v>0</v>
      </c>
      <c r="D336" s="319">
        <f>IF(AND('Ações'!AU345="sim", 'Ações'!BF345="sim"), 1, 0)
</f>
        <v>0</v>
      </c>
      <c r="E336" s="319">
        <f>IF(AND('Ações'!AV345="sim", 'Ações'!BG345="sim"), 1, 0)
</f>
        <v>0</v>
      </c>
      <c r="F336" s="319">
        <f>IF(AND('Ações'!AW345="sim", 'Ações'!BH345="sim"), 1, 0)
</f>
        <v>0</v>
      </c>
      <c r="G336" s="319">
        <f>IF(AND('Ações'!AX345="sim", 'Ações'!BI345="sim"), 1, 0)
</f>
        <v>0</v>
      </c>
      <c r="H336" s="319">
        <f>IF(AND('Ações'!AS345="sim", 'Ações'!BE345="sim"), 1, 0)
</f>
        <v>0</v>
      </c>
      <c r="I336" s="319">
        <f>IF(AND('Ações'!AS345="sim", 'Ações'!BF345="sim"), 1, 0)
</f>
        <v>0</v>
      </c>
      <c r="J336" s="319">
        <f>IF(AND('Ações'!AS345="sim", 'Ações'!BG345="sim"), 1, 0)
</f>
        <v>0</v>
      </c>
      <c r="K336" s="319">
        <f>IF(AND('Ações'!AS345="sim", 'Ações'!BH345="sim"), 1, 0)
</f>
        <v>0</v>
      </c>
      <c r="L336" s="319">
        <f>IF(AND('Ações'!AS345="sim", 'Ações'!BI345="sim"), 1, 0)
</f>
        <v>0</v>
      </c>
      <c r="M336" s="319">
        <f>IF(AND('Ações'!AT345="sim", 'Ações'!BD345="sim"), 1, 0)
</f>
        <v>0</v>
      </c>
      <c r="N336" s="319">
        <f>IF(AND('Ações'!AT345="sim", 'Ações'!BF345="sim"), 1, 0)
</f>
        <v>0</v>
      </c>
      <c r="O336" s="319">
        <f>IF(AND('Ações'!AT345="sim", 'Ações'!BG345="sim"), 1, 0)
</f>
        <v>0</v>
      </c>
      <c r="P336" s="319">
        <f>IF(AND('Ações'!AT345="sim", 'Ações'!BH345="sim"), 1, 0)
</f>
        <v>0</v>
      </c>
      <c r="Q336" s="319">
        <f>IF(AND('Ações'!AT345="sim", 'Ações'!BI345="sim"), 1, 0)
</f>
        <v>1</v>
      </c>
      <c r="R336" s="319">
        <f>IF(AND('Ações'!AU345="sim", 'Ações'!BD345="sim"), 1, 0)
</f>
        <v>0</v>
      </c>
      <c r="S336" s="319">
        <f>IF(AND('Ações'!AU345="sim", 'Ações'!BE345="sim"), 1, 0)
</f>
        <v>0</v>
      </c>
      <c r="T336" s="319">
        <f>IF(AND('Ações'!AU345="sim", 'Ações'!BG345="sim"), 1, 0)
</f>
        <v>0</v>
      </c>
      <c r="U336" s="319">
        <f>IF(AND('Ações'!AU345="sim", 'Ações'!BH345="sim"), 1, 0)
</f>
        <v>0</v>
      </c>
      <c r="V336" s="319">
        <f>IF(AND('Ações'!AU345="sim", 'Ações'!BI345="sim"), 1, 0)
</f>
        <v>1</v>
      </c>
      <c r="W336" s="319">
        <f>IF(AND('Ações'!AV345="sim", 'Ações'!BD345="sim"), 1, 0)
</f>
        <v>0</v>
      </c>
      <c r="X336" s="319">
        <f>IF(AND('Ações'!AV345="sim", 'Ações'!BE345="sim"), 1, 0)
</f>
        <v>0</v>
      </c>
      <c r="Y336" s="319">
        <f>IF(AND('Ações'!AV345="sim", 'Ações'!BF345="sim"), 1, 0)
</f>
        <v>0</v>
      </c>
      <c r="Z336" s="319">
        <f>IF(AND('Ações'!AV345="sim", 'Ações'!BH345="sim"), 1, 0)
</f>
        <v>0</v>
      </c>
      <c r="AA336" s="319">
        <f>IF(AND('Ações'!AV345="sim", 'Ações'!BI345="sim"), 1, 0)
</f>
        <v>0</v>
      </c>
      <c r="AB336" s="319">
        <f>IF(AND('Ações'!AW345="sim", 'Ações'!BD345="sim"), 1, 0)
</f>
        <v>0</v>
      </c>
      <c r="AC336" s="319">
        <f>IF(AND('Ações'!AW345="sim", 'Ações'!BE345="sim"), 1, 0)
</f>
        <v>0</v>
      </c>
      <c r="AD336" s="319">
        <f>IF(AND('Ações'!AW345="sim", 'Ações'!BF345="sim"), 1, 0)
</f>
        <v>0</v>
      </c>
      <c r="AE336" s="319">
        <f>IF(AND('Ações'!AW345="sim", 'Ações'!BG345="sim"), 1, 0)
</f>
        <v>0</v>
      </c>
      <c r="AF336" s="319">
        <f>IF(AND('Ações'!AW345="sim", 'Ações'!BI345="sim"), 1, 0)
</f>
        <v>0</v>
      </c>
      <c r="AG336" s="319">
        <f>IF(AND('Ações'!AX345="sim", 'Ações'!BD345="sim"), 1, 0)
</f>
        <v>0</v>
      </c>
      <c r="AH336" s="319">
        <f>IF(AND('Ações'!AX345="sim", 'Ações'!BE345="sim"), 1, 0)
</f>
        <v>0</v>
      </c>
      <c r="AI336" s="319">
        <f>IF(AND('Ações'!AX345="sim", 'Ações'!BF345="sim"), 1, 0)
</f>
        <v>0</v>
      </c>
      <c r="AJ336" s="319">
        <f>IF(AND('Ações'!AX345="sim", 'Ações'!BG345="sim"), 1, 0)
</f>
        <v>0</v>
      </c>
      <c r="AK336" s="319">
        <f>IF(AND('Ações'!AX345="sim", 'Ações'!BH345="sim"), 1, 0)
</f>
        <v>0</v>
      </c>
    </row>
    <row r="337">
      <c r="B337" s="319">
        <f>IF(AND('Ações'!AS346="sim", 'Ações'!BD346="sim"), 1, 0)
</f>
        <v>0</v>
      </c>
      <c r="C337" s="319">
        <f>IF(AND('Ações'!AT346="sim", 'Ações'!BE346="sim"), 1, 0)
</f>
        <v>0</v>
      </c>
      <c r="D337" s="319">
        <f>IF(AND('Ações'!AU346="sim", 'Ações'!BF346="sim"), 1, 0)
</f>
        <v>0</v>
      </c>
      <c r="E337" s="319">
        <f>IF(AND('Ações'!AV346="sim", 'Ações'!BG346="sim"), 1, 0)
</f>
        <v>0</v>
      </c>
      <c r="F337" s="319">
        <f>IF(AND('Ações'!AW346="sim", 'Ações'!BH346="sim"), 1, 0)
</f>
        <v>0</v>
      </c>
      <c r="G337" s="319">
        <f>IF(AND('Ações'!AX346="sim", 'Ações'!BI346="sim"), 1, 0)
</f>
        <v>0</v>
      </c>
      <c r="H337" s="319">
        <f>IF(AND('Ações'!AS346="sim", 'Ações'!BE346="sim"), 1, 0)
</f>
        <v>0</v>
      </c>
      <c r="I337" s="319">
        <f>IF(AND('Ações'!AS346="sim", 'Ações'!BF346="sim"), 1, 0)
</f>
        <v>0</v>
      </c>
      <c r="J337" s="319">
        <f>IF(AND('Ações'!AS346="sim", 'Ações'!BG346="sim"), 1, 0)
</f>
        <v>0</v>
      </c>
      <c r="K337" s="319">
        <f>IF(AND('Ações'!AS346="sim", 'Ações'!BH346="sim"), 1, 0)
</f>
        <v>0</v>
      </c>
      <c r="L337" s="319">
        <f>IF(AND('Ações'!AS346="sim", 'Ações'!BI346="sim"), 1, 0)
</f>
        <v>0</v>
      </c>
      <c r="M337" s="319">
        <f>IF(AND('Ações'!AT346="sim", 'Ações'!BD346="sim"), 1, 0)
</f>
        <v>0</v>
      </c>
      <c r="N337" s="319">
        <f>IF(AND('Ações'!AT346="sim", 'Ações'!BF346="sim"), 1, 0)
</f>
        <v>0</v>
      </c>
      <c r="O337" s="319">
        <f>IF(AND('Ações'!AT346="sim", 'Ações'!BG346="sim"), 1, 0)
</f>
        <v>0</v>
      </c>
      <c r="P337" s="319">
        <f>IF(AND('Ações'!AT346="sim", 'Ações'!BH346="sim"), 1, 0)
</f>
        <v>0</v>
      </c>
      <c r="Q337" s="319">
        <f>IF(AND('Ações'!AT346="sim", 'Ações'!BI346="sim"), 1, 0)
</f>
        <v>1</v>
      </c>
      <c r="R337" s="319">
        <f>IF(AND('Ações'!AU346="sim", 'Ações'!BD346="sim"), 1, 0)
</f>
        <v>0</v>
      </c>
      <c r="S337" s="319">
        <f>IF(AND('Ações'!AU346="sim", 'Ações'!BE346="sim"), 1, 0)
</f>
        <v>0</v>
      </c>
      <c r="T337" s="319">
        <f>IF(AND('Ações'!AU346="sim", 'Ações'!BG346="sim"), 1, 0)
</f>
        <v>0</v>
      </c>
      <c r="U337" s="319">
        <f>IF(AND('Ações'!AU346="sim", 'Ações'!BH346="sim"), 1, 0)
</f>
        <v>0</v>
      </c>
      <c r="V337" s="319">
        <f>IF(AND('Ações'!AU346="sim", 'Ações'!BI346="sim"), 1, 0)
</f>
        <v>1</v>
      </c>
      <c r="W337" s="319">
        <f>IF(AND('Ações'!AV346="sim", 'Ações'!BD346="sim"), 1, 0)
</f>
        <v>0</v>
      </c>
      <c r="X337" s="319">
        <f>IF(AND('Ações'!AV346="sim", 'Ações'!BE346="sim"), 1, 0)
</f>
        <v>0</v>
      </c>
      <c r="Y337" s="319">
        <f>IF(AND('Ações'!AV346="sim", 'Ações'!BF346="sim"), 1, 0)
</f>
        <v>0</v>
      </c>
      <c r="Z337" s="319">
        <f>IF(AND('Ações'!AV346="sim", 'Ações'!BH346="sim"), 1, 0)
</f>
        <v>0</v>
      </c>
      <c r="AA337" s="319">
        <f>IF(AND('Ações'!AV346="sim", 'Ações'!BI346="sim"), 1, 0)
</f>
        <v>0</v>
      </c>
      <c r="AB337" s="319">
        <f>IF(AND('Ações'!AW346="sim", 'Ações'!BD346="sim"), 1, 0)
</f>
        <v>0</v>
      </c>
      <c r="AC337" s="319">
        <f>IF(AND('Ações'!AW346="sim", 'Ações'!BE346="sim"), 1, 0)
</f>
        <v>0</v>
      </c>
      <c r="AD337" s="319">
        <f>IF(AND('Ações'!AW346="sim", 'Ações'!BF346="sim"), 1, 0)
</f>
        <v>0</v>
      </c>
      <c r="AE337" s="319">
        <f>IF(AND('Ações'!AW346="sim", 'Ações'!BG346="sim"), 1, 0)
</f>
        <v>0</v>
      </c>
      <c r="AF337" s="319">
        <f>IF(AND('Ações'!AW346="sim", 'Ações'!BI346="sim"), 1, 0)
</f>
        <v>0</v>
      </c>
      <c r="AG337" s="319">
        <f>IF(AND('Ações'!AX346="sim", 'Ações'!BD346="sim"), 1, 0)
</f>
        <v>0</v>
      </c>
      <c r="AH337" s="319">
        <f>IF(AND('Ações'!AX346="sim", 'Ações'!BE346="sim"), 1, 0)
</f>
        <v>0</v>
      </c>
      <c r="AI337" s="319">
        <f>IF(AND('Ações'!AX346="sim", 'Ações'!BF346="sim"), 1, 0)
</f>
        <v>0</v>
      </c>
      <c r="AJ337" s="319">
        <f>IF(AND('Ações'!AX346="sim", 'Ações'!BG346="sim"), 1, 0)
</f>
        <v>0</v>
      </c>
      <c r="AK337" s="319">
        <f>IF(AND('Ações'!AX346="sim", 'Ações'!BH346="sim"), 1, 0)
</f>
        <v>0</v>
      </c>
    </row>
    <row r="338">
      <c r="B338" s="319">
        <f>IF(AND('Ações'!AS347="sim", 'Ações'!BD347="sim"), 1, 0)
</f>
        <v>0</v>
      </c>
      <c r="C338" s="319">
        <f>IF(AND('Ações'!AT347="sim", 'Ações'!BE347="sim"), 1, 0)
</f>
        <v>0</v>
      </c>
      <c r="D338" s="319">
        <f>IF(AND('Ações'!AU347="sim", 'Ações'!BF347="sim"), 1, 0)
</f>
        <v>0</v>
      </c>
      <c r="E338" s="319">
        <f>IF(AND('Ações'!AV347="sim", 'Ações'!BG347="sim"), 1, 0)
</f>
        <v>0</v>
      </c>
      <c r="F338" s="319">
        <f>IF(AND('Ações'!AW347="sim", 'Ações'!BH347="sim"), 1, 0)
</f>
        <v>0</v>
      </c>
      <c r="G338" s="319">
        <f>IF(AND('Ações'!AX347="sim", 'Ações'!BI347="sim"), 1, 0)
</f>
        <v>0</v>
      </c>
      <c r="H338" s="319">
        <f>IF(AND('Ações'!AS347="sim", 'Ações'!BE347="sim"), 1, 0)
</f>
        <v>0</v>
      </c>
      <c r="I338" s="319">
        <f>IF(AND('Ações'!AS347="sim", 'Ações'!BF347="sim"), 1, 0)
</f>
        <v>0</v>
      </c>
      <c r="J338" s="319">
        <f>IF(AND('Ações'!AS347="sim", 'Ações'!BG347="sim"), 1, 0)
</f>
        <v>0</v>
      </c>
      <c r="K338" s="319">
        <f>IF(AND('Ações'!AS347="sim", 'Ações'!BH347="sim"), 1, 0)
</f>
        <v>0</v>
      </c>
      <c r="L338" s="319">
        <f>IF(AND('Ações'!AS347="sim", 'Ações'!BI347="sim"), 1, 0)
</f>
        <v>0</v>
      </c>
      <c r="M338" s="319">
        <f>IF(AND('Ações'!AT347="sim", 'Ações'!BD347="sim"), 1, 0)
</f>
        <v>0</v>
      </c>
      <c r="N338" s="319">
        <f>IF(AND('Ações'!AT347="sim", 'Ações'!BF347="sim"), 1, 0)
</f>
        <v>0</v>
      </c>
      <c r="O338" s="319">
        <f>IF(AND('Ações'!AT347="sim", 'Ações'!BG347="sim"), 1, 0)
</f>
        <v>0</v>
      </c>
      <c r="P338" s="319">
        <f>IF(AND('Ações'!AT347="sim", 'Ações'!BH347="sim"), 1, 0)
</f>
        <v>0</v>
      </c>
      <c r="Q338" s="319">
        <f>IF(AND('Ações'!AT347="sim", 'Ações'!BI347="sim"), 1, 0)
</f>
        <v>1</v>
      </c>
      <c r="R338" s="319">
        <f>IF(AND('Ações'!AU347="sim", 'Ações'!BD347="sim"), 1, 0)
</f>
        <v>0</v>
      </c>
      <c r="S338" s="319">
        <f>IF(AND('Ações'!AU347="sim", 'Ações'!BE347="sim"), 1, 0)
</f>
        <v>0</v>
      </c>
      <c r="T338" s="319">
        <f>IF(AND('Ações'!AU347="sim", 'Ações'!BG347="sim"), 1, 0)
</f>
        <v>0</v>
      </c>
      <c r="U338" s="319">
        <f>IF(AND('Ações'!AU347="sim", 'Ações'!BH347="sim"), 1, 0)
</f>
        <v>0</v>
      </c>
      <c r="V338" s="319">
        <f>IF(AND('Ações'!AU347="sim", 'Ações'!BI347="sim"), 1, 0)
</f>
        <v>1</v>
      </c>
      <c r="W338" s="319">
        <f>IF(AND('Ações'!AV347="sim", 'Ações'!BD347="sim"), 1, 0)
</f>
        <v>0</v>
      </c>
      <c r="X338" s="319">
        <f>IF(AND('Ações'!AV347="sim", 'Ações'!BE347="sim"), 1, 0)
</f>
        <v>0</v>
      </c>
      <c r="Y338" s="319">
        <f>IF(AND('Ações'!AV347="sim", 'Ações'!BF347="sim"), 1, 0)
</f>
        <v>0</v>
      </c>
      <c r="Z338" s="319">
        <f>IF(AND('Ações'!AV347="sim", 'Ações'!BH347="sim"), 1, 0)
</f>
        <v>0</v>
      </c>
      <c r="AA338" s="319">
        <f>IF(AND('Ações'!AV347="sim", 'Ações'!BI347="sim"), 1, 0)
</f>
        <v>0</v>
      </c>
      <c r="AB338" s="319">
        <f>IF(AND('Ações'!AW347="sim", 'Ações'!BD347="sim"), 1, 0)
</f>
        <v>0</v>
      </c>
      <c r="AC338" s="319">
        <f>IF(AND('Ações'!AW347="sim", 'Ações'!BE347="sim"), 1, 0)
</f>
        <v>0</v>
      </c>
      <c r="AD338" s="319">
        <f>IF(AND('Ações'!AW347="sim", 'Ações'!BF347="sim"), 1, 0)
</f>
        <v>0</v>
      </c>
      <c r="AE338" s="319">
        <f>IF(AND('Ações'!AW347="sim", 'Ações'!BG347="sim"), 1, 0)
</f>
        <v>0</v>
      </c>
      <c r="AF338" s="319">
        <f>IF(AND('Ações'!AW347="sim", 'Ações'!BI347="sim"), 1, 0)
</f>
        <v>0</v>
      </c>
      <c r="AG338" s="319">
        <f>IF(AND('Ações'!AX347="sim", 'Ações'!BD347="sim"), 1, 0)
</f>
        <v>0</v>
      </c>
      <c r="AH338" s="319">
        <f>IF(AND('Ações'!AX347="sim", 'Ações'!BE347="sim"), 1, 0)
</f>
        <v>0</v>
      </c>
      <c r="AI338" s="319">
        <f>IF(AND('Ações'!AX347="sim", 'Ações'!BF347="sim"), 1, 0)
</f>
        <v>0</v>
      </c>
      <c r="AJ338" s="319">
        <f>IF(AND('Ações'!AX347="sim", 'Ações'!BG347="sim"), 1, 0)
</f>
        <v>0</v>
      </c>
      <c r="AK338" s="319">
        <f>IF(AND('Ações'!AX347="sim", 'Ações'!BH347="sim"), 1, 0)
</f>
        <v>0</v>
      </c>
    </row>
    <row r="339">
      <c r="B339" s="319">
        <f>IF(AND('Ações'!AS348="sim", 'Ações'!BD348="sim"), 1, 0)
</f>
        <v>0</v>
      </c>
      <c r="C339" s="319">
        <f>IF(AND('Ações'!AT348="sim", 'Ações'!BE348="sim"), 1, 0)
</f>
        <v>0</v>
      </c>
      <c r="D339" s="319">
        <f>IF(AND('Ações'!AU348="sim", 'Ações'!BF348="sim"), 1, 0)
</f>
        <v>0</v>
      </c>
      <c r="E339" s="319">
        <f>IF(AND('Ações'!AV348="sim", 'Ações'!BG348="sim"), 1, 0)
</f>
        <v>0</v>
      </c>
      <c r="F339" s="319">
        <f>IF(AND('Ações'!AW348="sim", 'Ações'!BH348="sim"), 1, 0)
</f>
        <v>0</v>
      </c>
      <c r="G339" s="319">
        <f>IF(AND('Ações'!AX348="sim", 'Ações'!BI348="sim"), 1, 0)
</f>
        <v>0</v>
      </c>
      <c r="H339" s="319">
        <f>IF(AND('Ações'!AS348="sim", 'Ações'!BE348="sim"), 1, 0)
</f>
        <v>0</v>
      </c>
      <c r="I339" s="319">
        <f>IF(AND('Ações'!AS348="sim", 'Ações'!BF348="sim"), 1, 0)
</f>
        <v>0</v>
      </c>
      <c r="J339" s="319">
        <f>IF(AND('Ações'!AS348="sim", 'Ações'!BG348="sim"), 1, 0)
</f>
        <v>0</v>
      </c>
      <c r="K339" s="319">
        <f>IF(AND('Ações'!AS348="sim", 'Ações'!BH348="sim"), 1, 0)
</f>
        <v>0</v>
      </c>
      <c r="L339" s="319">
        <f>IF(AND('Ações'!AS348="sim", 'Ações'!BI348="sim"), 1, 0)
</f>
        <v>0</v>
      </c>
      <c r="M339" s="319">
        <f>IF(AND('Ações'!AT348="sim", 'Ações'!BD348="sim"), 1, 0)
</f>
        <v>1</v>
      </c>
      <c r="N339" s="319">
        <f>IF(AND('Ações'!AT348="sim", 'Ações'!BF348="sim"), 1, 0)
</f>
        <v>0</v>
      </c>
      <c r="O339" s="319">
        <f>IF(AND('Ações'!AT348="sim", 'Ações'!BG348="sim"), 1, 0)
</f>
        <v>0</v>
      </c>
      <c r="P339" s="319">
        <f>IF(AND('Ações'!AT348="sim", 'Ações'!BH348="sim"), 1, 0)
</f>
        <v>0</v>
      </c>
      <c r="Q339" s="319">
        <f>IF(AND('Ações'!AT348="sim", 'Ações'!BI348="sim"), 1, 0)
</f>
        <v>0</v>
      </c>
      <c r="R339" s="319">
        <f>IF(AND('Ações'!AU348="sim", 'Ações'!BD348="sim"), 1, 0)
</f>
        <v>1</v>
      </c>
      <c r="S339" s="319">
        <f>IF(AND('Ações'!AU348="sim", 'Ações'!BE348="sim"), 1, 0)
</f>
        <v>0</v>
      </c>
      <c r="T339" s="319">
        <f>IF(AND('Ações'!AU348="sim", 'Ações'!BG348="sim"), 1, 0)
</f>
        <v>0</v>
      </c>
      <c r="U339" s="319">
        <f>IF(AND('Ações'!AU348="sim", 'Ações'!BH348="sim"), 1, 0)
</f>
        <v>0</v>
      </c>
      <c r="V339" s="319">
        <f>IF(AND('Ações'!AU348="sim", 'Ações'!BI348="sim"), 1, 0)
</f>
        <v>0</v>
      </c>
      <c r="W339" s="319">
        <f>IF(AND('Ações'!AV348="sim", 'Ações'!BD348="sim"), 1, 0)
</f>
        <v>0</v>
      </c>
      <c r="X339" s="319">
        <f>IF(AND('Ações'!AV348="sim", 'Ações'!BE348="sim"), 1, 0)
</f>
        <v>0</v>
      </c>
      <c r="Y339" s="319">
        <f>IF(AND('Ações'!AV348="sim", 'Ações'!BF348="sim"), 1, 0)
</f>
        <v>0</v>
      </c>
      <c r="Z339" s="319">
        <f>IF(AND('Ações'!AV348="sim", 'Ações'!BH348="sim"), 1, 0)
</f>
        <v>0</v>
      </c>
      <c r="AA339" s="319">
        <f>IF(AND('Ações'!AV348="sim", 'Ações'!BI348="sim"), 1, 0)
</f>
        <v>0</v>
      </c>
      <c r="AB339" s="319">
        <f>IF(AND('Ações'!AW348="sim", 'Ações'!BD348="sim"), 1, 0)
</f>
        <v>0</v>
      </c>
      <c r="AC339" s="319">
        <f>IF(AND('Ações'!AW348="sim", 'Ações'!BE348="sim"), 1, 0)
</f>
        <v>0</v>
      </c>
      <c r="AD339" s="319">
        <f>IF(AND('Ações'!AW348="sim", 'Ações'!BF348="sim"), 1, 0)
</f>
        <v>0</v>
      </c>
      <c r="AE339" s="319">
        <f>IF(AND('Ações'!AW348="sim", 'Ações'!BG348="sim"), 1, 0)
</f>
        <v>0</v>
      </c>
      <c r="AF339" s="319">
        <f>IF(AND('Ações'!AW348="sim", 'Ações'!BI348="sim"), 1, 0)
</f>
        <v>0</v>
      </c>
      <c r="AG339" s="319">
        <f>IF(AND('Ações'!AX348="sim", 'Ações'!BD348="sim"), 1, 0)
</f>
        <v>0</v>
      </c>
      <c r="AH339" s="319">
        <f>IF(AND('Ações'!AX348="sim", 'Ações'!BE348="sim"), 1, 0)
</f>
        <v>0</v>
      </c>
      <c r="AI339" s="319">
        <f>IF(AND('Ações'!AX348="sim", 'Ações'!BF348="sim"), 1, 0)
</f>
        <v>0</v>
      </c>
      <c r="AJ339" s="319">
        <f>IF(AND('Ações'!AX348="sim", 'Ações'!BG348="sim"), 1, 0)
</f>
        <v>0</v>
      </c>
      <c r="AK339" s="319">
        <f>IF(AND('Ações'!AX348="sim", 'Ações'!BH348="sim"), 1, 0)
</f>
        <v>0</v>
      </c>
    </row>
    <row r="340">
      <c r="B340" s="319">
        <f>IF(AND('Ações'!AS349="sim", 'Ações'!BD349="sim"), 1, 0)
</f>
        <v>0</v>
      </c>
      <c r="C340" s="319">
        <f>IF(AND('Ações'!AT349="sim", 'Ações'!BE349="sim"), 1, 0)
</f>
        <v>1</v>
      </c>
      <c r="D340" s="319">
        <f>IF(AND('Ações'!AU349="sim", 'Ações'!BF349="sim"), 1, 0)
</f>
        <v>0</v>
      </c>
      <c r="E340" s="319">
        <f>IF(AND('Ações'!AV349="sim", 'Ações'!BG349="sim"), 1, 0)
</f>
        <v>0</v>
      </c>
      <c r="F340" s="319">
        <f>IF(AND('Ações'!AW349="sim", 'Ações'!BH349="sim"), 1, 0)
</f>
        <v>0</v>
      </c>
      <c r="G340" s="319">
        <f>IF(AND('Ações'!AX349="sim", 'Ações'!BI349="sim"), 1, 0)
</f>
        <v>0</v>
      </c>
      <c r="H340" s="319">
        <f>IF(AND('Ações'!AS349="sim", 'Ações'!BE349="sim"), 1, 0)
</f>
        <v>0</v>
      </c>
      <c r="I340" s="319">
        <f>IF(AND('Ações'!AS349="sim", 'Ações'!BF349="sim"), 1, 0)
</f>
        <v>0</v>
      </c>
      <c r="J340" s="319">
        <f>IF(AND('Ações'!AS349="sim", 'Ações'!BG349="sim"), 1, 0)
</f>
        <v>0</v>
      </c>
      <c r="K340" s="319">
        <f>IF(AND('Ações'!AS349="sim", 'Ações'!BH349="sim"), 1, 0)
</f>
        <v>0</v>
      </c>
      <c r="L340" s="319">
        <f>IF(AND('Ações'!AS349="sim", 'Ações'!BI349="sim"), 1, 0)
</f>
        <v>0</v>
      </c>
      <c r="M340" s="319">
        <f>IF(AND('Ações'!AT349="sim", 'Ações'!BD349="sim"), 1, 0)
</f>
        <v>0</v>
      </c>
      <c r="N340" s="319">
        <f>IF(AND('Ações'!AT349="sim", 'Ações'!BF349="sim"), 1, 0)
</f>
        <v>0</v>
      </c>
      <c r="O340" s="319">
        <f>IF(AND('Ações'!AT349="sim", 'Ações'!BG349="sim"), 1, 0)
</f>
        <v>0</v>
      </c>
      <c r="P340" s="319">
        <f>IF(AND('Ações'!AT349="sim", 'Ações'!BH349="sim"), 1, 0)
</f>
        <v>0</v>
      </c>
      <c r="Q340" s="319">
        <f>IF(AND('Ações'!AT349="sim", 'Ações'!BI349="sim"), 1, 0)
</f>
        <v>0</v>
      </c>
      <c r="R340" s="319">
        <f>IF(AND('Ações'!AU349="sim", 'Ações'!BD349="sim"), 1, 0)
</f>
        <v>0</v>
      </c>
      <c r="S340" s="319">
        <f>IF(AND('Ações'!AU349="sim", 'Ações'!BE349="sim"), 1, 0)
</f>
        <v>1</v>
      </c>
      <c r="T340" s="319">
        <f>IF(AND('Ações'!AU349="sim", 'Ações'!BG349="sim"), 1, 0)
</f>
        <v>0</v>
      </c>
      <c r="U340" s="319">
        <f>IF(AND('Ações'!AU349="sim", 'Ações'!BH349="sim"), 1, 0)
</f>
        <v>0</v>
      </c>
      <c r="V340" s="319">
        <f>IF(AND('Ações'!AU349="sim", 'Ações'!BI349="sim"), 1, 0)
</f>
        <v>0</v>
      </c>
      <c r="W340" s="319">
        <f>IF(AND('Ações'!AV349="sim", 'Ações'!BD349="sim"), 1, 0)
</f>
        <v>0</v>
      </c>
      <c r="X340" s="319">
        <f>IF(AND('Ações'!AV349="sim", 'Ações'!BE349="sim"), 1, 0)
</f>
        <v>0</v>
      </c>
      <c r="Y340" s="319">
        <f>IF(AND('Ações'!AV349="sim", 'Ações'!BF349="sim"), 1, 0)
</f>
        <v>0</v>
      </c>
      <c r="Z340" s="319">
        <f>IF(AND('Ações'!AV349="sim", 'Ações'!BH349="sim"), 1, 0)
</f>
        <v>0</v>
      </c>
      <c r="AA340" s="319">
        <f>IF(AND('Ações'!AV349="sim", 'Ações'!BI349="sim"), 1, 0)
</f>
        <v>0</v>
      </c>
      <c r="AB340" s="319">
        <f>IF(AND('Ações'!AW349="sim", 'Ações'!BD349="sim"), 1, 0)
</f>
        <v>0</v>
      </c>
      <c r="AC340" s="319">
        <f>IF(AND('Ações'!AW349="sim", 'Ações'!BE349="sim"), 1, 0)
</f>
        <v>0</v>
      </c>
      <c r="AD340" s="319">
        <f>IF(AND('Ações'!AW349="sim", 'Ações'!BF349="sim"), 1, 0)
</f>
        <v>0</v>
      </c>
      <c r="AE340" s="319">
        <f>IF(AND('Ações'!AW349="sim", 'Ações'!BG349="sim"), 1, 0)
</f>
        <v>0</v>
      </c>
      <c r="AF340" s="319">
        <f>IF(AND('Ações'!AW349="sim", 'Ações'!BI349="sim"), 1, 0)
</f>
        <v>0</v>
      </c>
      <c r="AG340" s="319">
        <f>IF(AND('Ações'!AX349="sim", 'Ações'!BD349="sim"), 1, 0)
</f>
        <v>0</v>
      </c>
      <c r="AH340" s="319">
        <f>IF(AND('Ações'!AX349="sim", 'Ações'!BE349="sim"), 1, 0)
</f>
        <v>0</v>
      </c>
      <c r="AI340" s="319">
        <f>IF(AND('Ações'!AX349="sim", 'Ações'!BF349="sim"), 1, 0)
</f>
        <v>0</v>
      </c>
      <c r="AJ340" s="319">
        <f>IF(AND('Ações'!AX349="sim", 'Ações'!BG349="sim"), 1, 0)
</f>
        <v>0</v>
      </c>
      <c r="AK340" s="319">
        <f>IF(AND('Ações'!AX349="sim", 'Ações'!BH349="sim"), 1, 0)
</f>
        <v>0</v>
      </c>
    </row>
    <row r="341">
      <c r="B341" s="319">
        <f>IF(AND('Ações'!AS350="sim", 'Ações'!BD350="sim"), 1, 0)
</f>
        <v>0</v>
      </c>
      <c r="C341" s="319">
        <f>IF(AND('Ações'!AT350="sim", 'Ações'!BE350="sim"), 1, 0)
</f>
        <v>0</v>
      </c>
      <c r="D341" s="319">
        <f>IF(AND('Ações'!AU350="sim", 'Ações'!BF350="sim"), 1, 0)
</f>
        <v>0</v>
      </c>
      <c r="E341" s="319">
        <f>IF(AND('Ações'!AV350="sim", 'Ações'!BG350="sim"), 1, 0)
</f>
        <v>0</v>
      </c>
      <c r="F341" s="319">
        <f>IF(AND('Ações'!AW350="sim", 'Ações'!BH350="sim"), 1, 0)
</f>
        <v>0</v>
      </c>
      <c r="G341" s="319">
        <f>IF(AND('Ações'!AX350="sim", 'Ações'!BI350="sim"), 1, 0)
</f>
        <v>0</v>
      </c>
      <c r="H341" s="319">
        <f>IF(AND('Ações'!AS350="sim", 'Ações'!BE350="sim"), 1, 0)
</f>
        <v>0</v>
      </c>
      <c r="I341" s="319">
        <f>IF(AND('Ações'!AS350="sim", 'Ações'!BF350="sim"), 1, 0)
</f>
        <v>0</v>
      </c>
      <c r="J341" s="319">
        <f>IF(AND('Ações'!AS350="sim", 'Ações'!BG350="sim"), 1, 0)
</f>
        <v>0</v>
      </c>
      <c r="K341" s="319">
        <f>IF(AND('Ações'!AS350="sim", 'Ações'!BH350="sim"), 1, 0)
</f>
        <v>0</v>
      </c>
      <c r="L341" s="319">
        <f>IF(AND('Ações'!AS350="sim", 'Ações'!BI350="sim"), 1, 0)
</f>
        <v>1</v>
      </c>
      <c r="M341" s="319">
        <f>IF(AND('Ações'!AT350="sim", 'Ações'!BD350="sim"), 1, 0)
</f>
        <v>0</v>
      </c>
      <c r="N341" s="319">
        <f>IF(AND('Ações'!AT350="sim", 'Ações'!BF350="sim"), 1, 0)
</f>
        <v>0</v>
      </c>
      <c r="O341" s="319">
        <f>IF(AND('Ações'!AT350="sim", 'Ações'!BG350="sim"), 1, 0)
</f>
        <v>0</v>
      </c>
      <c r="P341" s="319">
        <f>IF(AND('Ações'!AT350="sim", 'Ações'!BH350="sim"), 1, 0)
</f>
        <v>0</v>
      </c>
      <c r="Q341" s="319">
        <f>IF(AND('Ações'!AT350="sim", 'Ações'!BI350="sim"), 1, 0)
</f>
        <v>1</v>
      </c>
      <c r="R341" s="319">
        <f>IF(AND('Ações'!AU350="sim", 'Ações'!BD350="sim"), 1, 0)
</f>
        <v>0</v>
      </c>
      <c r="S341" s="319">
        <f>IF(AND('Ações'!AU350="sim", 'Ações'!BE350="sim"), 1, 0)
</f>
        <v>0</v>
      </c>
      <c r="T341" s="319">
        <f>IF(AND('Ações'!AU350="sim", 'Ações'!BG350="sim"), 1, 0)
</f>
        <v>0</v>
      </c>
      <c r="U341" s="319">
        <f>IF(AND('Ações'!AU350="sim", 'Ações'!BH350="sim"), 1, 0)
</f>
        <v>0</v>
      </c>
      <c r="V341" s="319">
        <f>IF(AND('Ações'!AU350="sim", 'Ações'!BI350="sim"), 1, 0)
</f>
        <v>1</v>
      </c>
      <c r="W341" s="319">
        <f>IF(AND('Ações'!AV350="sim", 'Ações'!BD350="sim"), 1, 0)
</f>
        <v>0</v>
      </c>
      <c r="X341" s="319">
        <f>IF(AND('Ações'!AV350="sim", 'Ações'!BE350="sim"), 1, 0)
</f>
        <v>0</v>
      </c>
      <c r="Y341" s="319">
        <f>IF(AND('Ações'!AV350="sim", 'Ações'!BF350="sim"), 1, 0)
</f>
        <v>0</v>
      </c>
      <c r="Z341" s="319">
        <f>IF(AND('Ações'!AV350="sim", 'Ações'!BH350="sim"), 1, 0)
</f>
        <v>0</v>
      </c>
      <c r="AA341" s="319">
        <f>IF(AND('Ações'!AV350="sim", 'Ações'!BI350="sim"), 1, 0)
</f>
        <v>1</v>
      </c>
      <c r="AB341" s="319">
        <f>IF(AND('Ações'!AW350="sim", 'Ações'!BD350="sim"), 1, 0)
</f>
        <v>0</v>
      </c>
      <c r="AC341" s="319">
        <f>IF(AND('Ações'!AW350="sim", 'Ações'!BE350="sim"), 1, 0)
</f>
        <v>0</v>
      </c>
      <c r="AD341" s="319">
        <f>IF(AND('Ações'!AW350="sim", 'Ações'!BF350="sim"), 1, 0)
</f>
        <v>0</v>
      </c>
      <c r="AE341" s="319">
        <f>IF(AND('Ações'!AW350="sim", 'Ações'!BG350="sim"), 1, 0)
</f>
        <v>0</v>
      </c>
      <c r="AF341" s="319">
        <f>IF(AND('Ações'!AW350="sim", 'Ações'!BI350="sim"), 1, 0)
</f>
        <v>0</v>
      </c>
      <c r="AG341" s="319">
        <f>IF(AND('Ações'!AX350="sim", 'Ações'!BD350="sim"), 1, 0)
</f>
        <v>0</v>
      </c>
      <c r="AH341" s="319">
        <f>IF(AND('Ações'!AX350="sim", 'Ações'!BE350="sim"), 1, 0)
</f>
        <v>0</v>
      </c>
      <c r="AI341" s="319">
        <f>IF(AND('Ações'!AX350="sim", 'Ações'!BF350="sim"), 1, 0)
</f>
        <v>0</v>
      </c>
      <c r="AJ341" s="319">
        <f>IF(AND('Ações'!AX350="sim", 'Ações'!BG350="sim"), 1, 0)
</f>
        <v>0</v>
      </c>
      <c r="AK341" s="319">
        <f>IF(AND('Ações'!AX350="sim", 'Ações'!BH350="sim"), 1, 0)
</f>
        <v>0</v>
      </c>
    </row>
    <row r="342">
      <c r="B342" s="319">
        <f>IF(AND('Ações'!AS351="sim", 'Ações'!BD351="sim"), 1, 0)
</f>
        <v>1</v>
      </c>
      <c r="C342" s="319">
        <f>IF(AND('Ações'!AT351="sim", 'Ações'!BE351="sim"), 1, 0)
</f>
        <v>0</v>
      </c>
      <c r="D342" s="319">
        <f>IF(AND('Ações'!AU351="sim", 'Ações'!BF351="sim"), 1, 0)
</f>
        <v>0</v>
      </c>
      <c r="E342" s="319">
        <f>IF(AND('Ações'!AV351="sim", 'Ações'!BG351="sim"), 1, 0)
</f>
        <v>0</v>
      </c>
      <c r="F342" s="319">
        <f>IF(AND('Ações'!AW351="sim", 'Ações'!BH351="sim"), 1, 0)
</f>
        <v>0</v>
      </c>
      <c r="G342" s="319">
        <f>IF(AND('Ações'!AX351="sim", 'Ações'!BI351="sim"), 1, 0)
</f>
        <v>0</v>
      </c>
      <c r="H342" s="319">
        <f>IF(AND('Ações'!AS351="sim", 'Ações'!BE351="sim"), 1, 0)
</f>
        <v>0</v>
      </c>
      <c r="I342" s="319">
        <f>IF(AND('Ações'!AS351="sim", 'Ações'!BF351="sim"), 1, 0)
</f>
        <v>0</v>
      </c>
      <c r="J342" s="319">
        <f>IF(AND('Ações'!AS351="sim", 'Ações'!BG351="sim"), 1, 0)
</f>
        <v>0</v>
      </c>
      <c r="K342" s="319">
        <f>IF(AND('Ações'!AS351="sim", 'Ações'!BH351="sim"), 1, 0)
</f>
        <v>0</v>
      </c>
      <c r="L342" s="319">
        <f>IF(AND('Ações'!AS351="sim", 'Ações'!BI351="sim"), 1, 0)
</f>
        <v>0</v>
      </c>
      <c r="M342" s="319">
        <f>IF(AND('Ações'!AT351="sim", 'Ações'!BD351="sim"), 1, 0)
</f>
        <v>1</v>
      </c>
      <c r="N342" s="319">
        <f>IF(AND('Ações'!AT351="sim", 'Ações'!BF351="sim"), 1, 0)
</f>
        <v>0</v>
      </c>
      <c r="O342" s="319">
        <f>IF(AND('Ações'!AT351="sim", 'Ações'!BG351="sim"), 1, 0)
</f>
        <v>0</v>
      </c>
      <c r="P342" s="319">
        <f>IF(AND('Ações'!AT351="sim", 'Ações'!BH351="sim"), 1, 0)
</f>
        <v>0</v>
      </c>
      <c r="Q342" s="319">
        <f>IF(AND('Ações'!AT351="sim", 'Ações'!BI351="sim"), 1, 0)
</f>
        <v>0</v>
      </c>
      <c r="R342" s="319">
        <f>IF(AND('Ações'!AU351="sim", 'Ações'!BD351="sim"), 1, 0)
</f>
        <v>1</v>
      </c>
      <c r="S342" s="319">
        <f>IF(AND('Ações'!AU351="sim", 'Ações'!BE351="sim"), 1, 0)
</f>
        <v>0</v>
      </c>
      <c r="T342" s="319">
        <f>IF(AND('Ações'!AU351="sim", 'Ações'!BG351="sim"), 1, 0)
</f>
        <v>0</v>
      </c>
      <c r="U342" s="319">
        <f>IF(AND('Ações'!AU351="sim", 'Ações'!BH351="sim"), 1, 0)
</f>
        <v>0</v>
      </c>
      <c r="V342" s="319">
        <f>IF(AND('Ações'!AU351="sim", 'Ações'!BI351="sim"), 1, 0)
</f>
        <v>0</v>
      </c>
      <c r="W342" s="319">
        <f>IF(AND('Ações'!AV351="sim", 'Ações'!BD351="sim"), 1, 0)
</f>
        <v>1</v>
      </c>
      <c r="X342" s="319">
        <f>IF(AND('Ações'!AV351="sim", 'Ações'!BE351="sim"), 1, 0)
</f>
        <v>0</v>
      </c>
      <c r="Y342" s="319">
        <f>IF(AND('Ações'!AV351="sim", 'Ações'!BF351="sim"), 1, 0)
</f>
        <v>0</v>
      </c>
      <c r="Z342" s="319">
        <f>IF(AND('Ações'!AV351="sim", 'Ações'!BH351="sim"), 1, 0)
</f>
        <v>0</v>
      </c>
      <c r="AA342" s="319">
        <f>IF(AND('Ações'!AV351="sim", 'Ações'!BI351="sim"), 1, 0)
</f>
        <v>0</v>
      </c>
      <c r="AB342" s="319">
        <f>IF(AND('Ações'!AW351="sim", 'Ações'!BD351="sim"), 1, 0)
</f>
        <v>0</v>
      </c>
      <c r="AC342" s="319">
        <f>IF(AND('Ações'!AW351="sim", 'Ações'!BE351="sim"), 1, 0)
</f>
        <v>0</v>
      </c>
      <c r="AD342" s="319">
        <f>IF(AND('Ações'!AW351="sim", 'Ações'!BF351="sim"), 1, 0)
</f>
        <v>0</v>
      </c>
      <c r="AE342" s="319">
        <f>IF(AND('Ações'!AW351="sim", 'Ações'!BG351="sim"), 1, 0)
</f>
        <v>0</v>
      </c>
      <c r="AF342" s="319">
        <f>IF(AND('Ações'!AW351="sim", 'Ações'!BI351="sim"), 1, 0)
</f>
        <v>0</v>
      </c>
      <c r="AG342" s="319">
        <f>IF(AND('Ações'!AX351="sim", 'Ações'!BD351="sim"), 1, 0)
</f>
        <v>0</v>
      </c>
      <c r="AH342" s="319">
        <f>IF(AND('Ações'!AX351="sim", 'Ações'!BE351="sim"), 1, 0)
</f>
        <v>0</v>
      </c>
      <c r="AI342" s="319">
        <f>IF(AND('Ações'!AX351="sim", 'Ações'!BF351="sim"), 1, 0)
</f>
        <v>0</v>
      </c>
      <c r="AJ342" s="319">
        <f>IF(AND('Ações'!AX351="sim", 'Ações'!BG351="sim"), 1, 0)
</f>
        <v>0</v>
      </c>
      <c r="AK342" s="319">
        <f>IF(AND('Ações'!AX351="sim", 'Ações'!BH351="sim"), 1, 0)
</f>
        <v>0</v>
      </c>
    </row>
    <row r="343">
      <c r="B343" s="319">
        <f>IF(AND('Ações'!AS352="sim", 'Ações'!BD352="sim"), 1, 0)
</f>
        <v>1</v>
      </c>
      <c r="C343" s="319">
        <f>IF(AND('Ações'!AT352="sim", 'Ações'!BE352="sim"), 1, 0)
</f>
        <v>0</v>
      </c>
      <c r="D343" s="319">
        <f>IF(AND('Ações'!AU352="sim", 'Ações'!BF352="sim"), 1, 0)
</f>
        <v>0</v>
      </c>
      <c r="E343" s="319">
        <f>IF(AND('Ações'!AV352="sim", 'Ações'!BG352="sim"), 1, 0)
</f>
        <v>0</v>
      </c>
      <c r="F343" s="319">
        <f>IF(AND('Ações'!AW352="sim", 'Ações'!BH352="sim"), 1, 0)
</f>
        <v>0</v>
      </c>
      <c r="G343" s="319">
        <f>IF(AND('Ações'!AX352="sim", 'Ações'!BI352="sim"), 1, 0)
</f>
        <v>0</v>
      </c>
      <c r="H343" s="319">
        <f>IF(AND('Ações'!AS352="sim", 'Ações'!BE352="sim"), 1, 0)
</f>
        <v>0</v>
      </c>
      <c r="I343" s="319">
        <f>IF(AND('Ações'!AS352="sim", 'Ações'!BF352="sim"), 1, 0)
</f>
        <v>0</v>
      </c>
      <c r="J343" s="319">
        <f>IF(AND('Ações'!AS352="sim", 'Ações'!BG352="sim"), 1, 0)
</f>
        <v>0</v>
      </c>
      <c r="K343" s="319">
        <f>IF(AND('Ações'!AS352="sim", 'Ações'!BH352="sim"), 1, 0)
</f>
        <v>0</v>
      </c>
      <c r="L343" s="319">
        <f>IF(AND('Ações'!AS352="sim", 'Ações'!BI352="sim"), 1, 0)
</f>
        <v>0</v>
      </c>
      <c r="M343" s="319">
        <f>IF(AND('Ações'!AT352="sim", 'Ações'!BD352="sim"), 1, 0)
</f>
        <v>1</v>
      </c>
      <c r="N343" s="319">
        <f>IF(AND('Ações'!AT352="sim", 'Ações'!BF352="sim"), 1, 0)
</f>
        <v>0</v>
      </c>
      <c r="O343" s="319">
        <f>IF(AND('Ações'!AT352="sim", 'Ações'!BG352="sim"), 1, 0)
</f>
        <v>0</v>
      </c>
      <c r="P343" s="319">
        <f>IF(AND('Ações'!AT352="sim", 'Ações'!BH352="sim"), 1, 0)
</f>
        <v>0</v>
      </c>
      <c r="Q343" s="319">
        <f>IF(AND('Ações'!AT352="sim", 'Ações'!BI352="sim"), 1, 0)
</f>
        <v>0</v>
      </c>
      <c r="R343" s="319">
        <f>IF(AND('Ações'!AU352="sim", 'Ações'!BD352="sim"), 1, 0)
</f>
        <v>1</v>
      </c>
      <c r="S343" s="319">
        <f>IF(AND('Ações'!AU352="sim", 'Ações'!BE352="sim"), 1, 0)
</f>
        <v>0</v>
      </c>
      <c r="T343" s="319">
        <f>IF(AND('Ações'!AU352="sim", 'Ações'!BG352="sim"), 1, 0)
</f>
        <v>0</v>
      </c>
      <c r="U343" s="319">
        <f>IF(AND('Ações'!AU352="sim", 'Ações'!BH352="sim"), 1, 0)
</f>
        <v>0</v>
      </c>
      <c r="V343" s="319">
        <f>IF(AND('Ações'!AU352="sim", 'Ações'!BI352="sim"), 1, 0)
</f>
        <v>0</v>
      </c>
      <c r="W343" s="319">
        <f>IF(AND('Ações'!AV352="sim", 'Ações'!BD352="sim"), 1, 0)
</f>
        <v>1</v>
      </c>
      <c r="X343" s="319">
        <f>IF(AND('Ações'!AV352="sim", 'Ações'!BE352="sim"), 1, 0)
</f>
        <v>0</v>
      </c>
      <c r="Y343" s="319">
        <f>IF(AND('Ações'!AV352="sim", 'Ações'!BF352="sim"), 1, 0)
</f>
        <v>0</v>
      </c>
      <c r="Z343" s="319">
        <f>IF(AND('Ações'!AV352="sim", 'Ações'!BH352="sim"), 1, 0)
</f>
        <v>0</v>
      </c>
      <c r="AA343" s="319">
        <f>IF(AND('Ações'!AV352="sim", 'Ações'!BI352="sim"), 1, 0)
</f>
        <v>0</v>
      </c>
      <c r="AB343" s="319">
        <f>IF(AND('Ações'!AW352="sim", 'Ações'!BD352="sim"), 1, 0)
</f>
        <v>0</v>
      </c>
      <c r="AC343" s="319">
        <f>IF(AND('Ações'!AW352="sim", 'Ações'!BE352="sim"), 1, 0)
</f>
        <v>0</v>
      </c>
      <c r="AD343" s="319">
        <f>IF(AND('Ações'!AW352="sim", 'Ações'!BF352="sim"), 1, 0)
</f>
        <v>0</v>
      </c>
      <c r="AE343" s="319">
        <f>IF(AND('Ações'!AW352="sim", 'Ações'!BG352="sim"), 1, 0)
</f>
        <v>0</v>
      </c>
      <c r="AF343" s="319">
        <f>IF(AND('Ações'!AW352="sim", 'Ações'!BI352="sim"), 1, 0)
</f>
        <v>0</v>
      </c>
      <c r="AG343" s="319">
        <f>IF(AND('Ações'!AX352="sim", 'Ações'!BD352="sim"), 1, 0)
</f>
        <v>0</v>
      </c>
      <c r="AH343" s="319">
        <f>IF(AND('Ações'!AX352="sim", 'Ações'!BE352="sim"), 1, 0)
</f>
        <v>0</v>
      </c>
      <c r="AI343" s="319">
        <f>IF(AND('Ações'!AX352="sim", 'Ações'!BF352="sim"), 1, 0)
</f>
        <v>0</v>
      </c>
      <c r="AJ343" s="319">
        <f>IF(AND('Ações'!AX352="sim", 'Ações'!BG352="sim"), 1, 0)
</f>
        <v>0</v>
      </c>
      <c r="AK343" s="319">
        <f>IF(AND('Ações'!AX352="sim", 'Ações'!BH352="sim"), 1, 0)
</f>
        <v>0</v>
      </c>
    </row>
    <row r="344">
      <c r="B344" s="319">
        <f>IF(AND('Ações'!AS353="sim", 'Ações'!BD353="sim"), 1, 0)
</f>
        <v>1</v>
      </c>
      <c r="C344" s="319">
        <f>IF(AND('Ações'!AT353="sim", 'Ações'!BE353="sim"), 1, 0)
</f>
        <v>0</v>
      </c>
      <c r="D344" s="319">
        <f>IF(AND('Ações'!AU353="sim", 'Ações'!BF353="sim"), 1, 0)
</f>
        <v>0</v>
      </c>
      <c r="E344" s="319">
        <f>IF(AND('Ações'!AV353="sim", 'Ações'!BG353="sim"), 1, 0)
</f>
        <v>0</v>
      </c>
      <c r="F344" s="319">
        <f>IF(AND('Ações'!AW353="sim", 'Ações'!BH353="sim"), 1, 0)
</f>
        <v>0</v>
      </c>
      <c r="G344" s="319">
        <f>IF(AND('Ações'!AX353="sim", 'Ações'!BI353="sim"), 1, 0)
</f>
        <v>0</v>
      </c>
      <c r="H344" s="319">
        <f>IF(AND('Ações'!AS353="sim", 'Ações'!BE353="sim"), 1, 0)
</f>
        <v>0</v>
      </c>
      <c r="I344" s="319">
        <f>IF(AND('Ações'!AS353="sim", 'Ações'!BF353="sim"), 1, 0)
</f>
        <v>0</v>
      </c>
      <c r="J344" s="319">
        <f>IF(AND('Ações'!AS353="sim", 'Ações'!BG353="sim"), 1, 0)
</f>
        <v>0</v>
      </c>
      <c r="K344" s="319">
        <f>IF(AND('Ações'!AS353="sim", 'Ações'!BH353="sim"), 1, 0)
</f>
        <v>0</v>
      </c>
      <c r="L344" s="319">
        <f>IF(AND('Ações'!AS353="sim", 'Ações'!BI353="sim"), 1, 0)
</f>
        <v>0</v>
      </c>
      <c r="M344" s="319">
        <f>IF(AND('Ações'!AT353="sim", 'Ações'!BD353="sim"), 1, 0)
</f>
        <v>1</v>
      </c>
      <c r="N344" s="319">
        <f>IF(AND('Ações'!AT353="sim", 'Ações'!BF353="sim"), 1, 0)
</f>
        <v>0</v>
      </c>
      <c r="O344" s="319">
        <f>IF(AND('Ações'!AT353="sim", 'Ações'!BG353="sim"), 1, 0)
</f>
        <v>0</v>
      </c>
      <c r="P344" s="319">
        <f>IF(AND('Ações'!AT353="sim", 'Ações'!BH353="sim"), 1, 0)
</f>
        <v>0</v>
      </c>
      <c r="Q344" s="319">
        <f>IF(AND('Ações'!AT353="sim", 'Ações'!BI353="sim"), 1, 0)
</f>
        <v>0</v>
      </c>
      <c r="R344" s="319">
        <f>IF(AND('Ações'!AU353="sim", 'Ações'!BD353="sim"), 1, 0)
</f>
        <v>1</v>
      </c>
      <c r="S344" s="319">
        <f>IF(AND('Ações'!AU353="sim", 'Ações'!BE353="sim"), 1, 0)
</f>
        <v>0</v>
      </c>
      <c r="T344" s="319">
        <f>IF(AND('Ações'!AU353="sim", 'Ações'!BG353="sim"), 1, 0)
</f>
        <v>0</v>
      </c>
      <c r="U344" s="319">
        <f>IF(AND('Ações'!AU353="sim", 'Ações'!BH353="sim"), 1, 0)
</f>
        <v>0</v>
      </c>
      <c r="V344" s="319">
        <f>IF(AND('Ações'!AU353="sim", 'Ações'!BI353="sim"), 1, 0)
</f>
        <v>0</v>
      </c>
      <c r="W344" s="319">
        <f>IF(AND('Ações'!AV353="sim", 'Ações'!BD353="sim"), 1, 0)
</f>
        <v>1</v>
      </c>
      <c r="X344" s="319">
        <f>IF(AND('Ações'!AV353="sim", 'Ações'!BE353="sim"), 1, 0)
</f>
        <v>0</v>
      </c>
      <c r="Y344" s="319">
        <f>IF(AND('Ações'!AV353="sim", 'Ações'!BF353="sim"), 1, 0)
</f>
        <v>0</v>
      </c>
      <c r="Z344" s="319">
        <f>IF(AND('Ações'!AV353="sim", 'Ações'!BH353="sim"), 1, 0)
</f>
        <v>0</v>
      </c>
      <c r="AA344" s="319">
        <f>IF(AND('Ações'!AV353="sim", 'Ações'!BI353="sim"), 1, 0)
</f>
        <v>0</v>
      </c>
      <c r="AB344" s="319">
        <f>IF(AND('Ações'!AW353="sim", 'Ações'!BD353="sim"), 1, 0)
</f>
        <v>0</v>
      </c>
      <c r="AC344" s="319">
        <f>IF(AND('Ações'!AW353="sim", 'Ações'!BE353="sim"), 1, 0)
</f>
        <v>0</v>
      </c>
      <c r="AD344" s="319">
        <f>IF(AND('Ações'!AW353="sim", 'Ações'!BF353="sim"), 1, 0)
</f>
        <v>0</v>
      </c>
      <c r="AE344" s="319">
        <f>IF(AND('Ações'!AW353="sim", 'Ações'!BG353="sim"), 1, 0)
</f>
        <v>0</v>
      </c>
      <c r="AF344" s="319">
        <f>IF(AND('Ações'!AW353="sim", 'Ações'!BI353="sim"), 1, 0)
</f>
        <v>0</v>
      </c>
      <c r="AG344" s="319">
        <f>IF(AND('Ações'!AX353="sim", 'Ações'!BD353="sim"), 1, 0)
</f>
        <v>0</v>
      </c>
      <c r="AH344" s="319">
        <f>IF(AND('Ações'!AX353="sim", 'Ações'!BE353="sim"), 1, 0)
</f>
        <v>0</v>
      </c>
      <c r="AI344" s="319">
        <f>IF(AND('Ações'!AX353="sim", 'Ações'!BF353="sim"), 1, 0)
</f>
        <v>0</v>
      </c>
      <c r="AJ344" s="319">
        <f>IF(AND('Ações'!AX353="sim", 'Ações'!BG353="sim"), 1, 0)
</f>
        <v>0</v>
      </c>
      <c r="AK344" s="319">
        <f>IF(AND('Ações'!AX353="sim", 'Ações'!BH353="sim"), 1, 0)
</f>
        <v>0</v>
      </c>
    </row>
    <row r="345">
      <c r="B345" s="319">
        <f>IF(AND('Ações'!AS354="sim", 'Ações'!BD354="sim"), 1, 0)
</f>
        <v>1</v>
      </c>
      <c r="C345" s="319">
        <f>IF(AND('Ações'!AT354="sim", 'Ações'!BE354="sim"), 1, 0)
</f>
        <v>1</v>
      </c>
      <c r="D345" s="319">
        <f>IF(AND('Ações'!AU354="sim", 'Ações'!BF354="sim"), 1, 0)
</f>
        <v>1</v>
      </c>
      <c r="E345" s="319">
        <f>IF(AND('Ações'!AV354="sim", 'Ações'!BG354="sim"), 1, 0)
</f>
        <v>0</v>
      </c>
      <c r="F345" s="319">
        <f>IF(AND('Ações'!AW354="sim", 'Ações'!BH354="sim"), 1, 0)
</f>
        <v>0</v>
      </c>
      <c r="G345" s="319">
        <f>IF(AND('Ações'!AX354="sim", 'Ações'!BI354="sim"), 1, 0)
</f>
        <v>0</v>
      </c>
      <c r="H345" s="319">
        <f>IF(AND('Ações'!AS354="sim", 'Ações'!BE354="sim"), 1, 0)
</f>
        <v>1</v>
      </c>
      <c r="I345" s="319">
        <f>IF(AND('Ações'!AS354="sim", 'Ações'!BF354="sim"), 1, 0)
</f>
        <v>1</v>
      </c>
      <c r="J345" s="319">
        <f>IF(AND('Ações'!AS354="sim", 'Ações'!BG354="sim"), 1, 0)
</f>
        <v>0</v>
      </c>
      <c r="K345" s="319">
        <f>IF(AND('Ações'!AS354="sim", 'Ações'!BH354="sim"), 1, 0)
</f>
        <v>1</v>
      </c>
      <c r="L345" s="319">
        <f>IF(AND('Ações'!AS354="sim", 'Ações'!BI354="sim"), 1, 0)
</f>
        <v>0</v>
      </c>
      <c r="M345" s="319">
        <f>IF(AND('Ações'!AT354="sim", 'Ações'!BD354="sim"), 1, 0)
</f>
        <v>1</v>
      </c>
      <c r="N345" s="319">
        <f>IF(AND('Ações'!AT354="sim", 'Ações'!BF354="sim"), 1, 0)
</f>
        <v>1</v>
      </c>
      <c r="O345" s="319">
        <f>IF(AND('Ações'!AT354="sim", 'Ações'!BG354="sim"), 1, 0)
</f>
        <v>0</v>
      </c>
      <c r="P345" s="319">
        <f>IF(AND('Ações'!AT354="sim", 'Ações'!BH354="sim"), 1, 0)
</f>
        <v>1</v>
      </c>
      <c r="Q345" s="319">
        <f>IF(AND('Ações'!AT354="sim", 'Ações'!BI354="sim"), 1, 0)
</f>
        <v>0</v>
      </c>
      <c r="R345" s="319">
        <f>IF(AND('Ações'!AU354="sim", 'Ações'!BD354="sim"), 1, 0)
</f>
        <v>1</v>
      </c>
      <c r="S345" s="319">
        <f>IF(AND('Ações'!AU354="sim", 'Ações'!BE354="sim"), 1, 0)
</f>
        <v>1</v>
      </c>
      <c r="T345" s="319">
        <f>IF(AND('Ações'!AU354="sim", 'Ações'!BG354="sim"), 1, 0)
</f>
        <v>0</v>
      </c>
      <c r="U345" s="319">
        <f>IF(AND('Ações'!AU354="sim", 'Ações'!BH354="sim"), 1, 0)
</f>
        <v>1</v>
      </c>
      <c r="V345" s="319">
        <f>IF(AND('Ações'!AU354="sim", 'Ações'!BI354="sim"), 1, 0)
</f>
        <v>0</v>
      </c>
      <c r="W345" s="319">
        <f>IF(AND('Ações'!AV354="sim", 'Ações'!BD354="sim"), 1, 0)
</f>
        <v>1</v>
      </c>
      <c r="X345" s="319">
        <f>IF(AND('Ações'!AV354="sim", 'Ações'!BE354="sim"), 1, 0)
</f>
        <v>1</v>
      </c>
      <c r="Y345" s="319">
        <f>IF(AND('Ações'!AV354="sim", 'Ações'!BF354="sim"), 1, 0)
</f>
        <v>1</v>
      </c>
      <c r="Z345" s="319">
        <f>IF(AND('Ações'!AV354="sim", 'Ações'!BH354="sim"), 1, 0)
</f>
        <v>1</v>
      </c>
      <c r="AA345" s="319">
        <f>IF(AND('Ações'!AV354="sim", 'Ações'!BI354="sim"), 1, 0)
</f>
        <v>0</v>
      </c>
      <c r="AB345" s="319">
        <f>IF(AND('Ações'!AW354="sim", 'Ações'!BD354="sim"), 1, 0)
</f>
        <v>0</v>
      </c>
      <c r="AC345" s="319">
        <f>IF(AND('Ações'!AW354="sim", 'Ações'!BE354="sim"), 1, 0)
</f>
        <v>0</v>
      </c>
      <c r="AD345" s="319">
        <f>IF(AND('Ações'!AW354="sim", 'Ações'!BF354="sim"), 1, 0)
</f>
        <v>0</v>
      </c>
      <c r="AE345" s="319">
        <f>IF(AND('Ações'!AW354="sim", 'Ações'!BG354="sim"), 1, 0)
</f>
        <v>0</v>
      </c>
      <c r="AF345" s="319">
        <f>IF(AND('Ações'!AW354="sim", 'Ações'!BI354="sim"), 1, 0)
</f>
        <v>0</v>
      </c>
      <c r="AG345" s="319">
        <f>IF(AND('Ações'!AX354="sim", 'Ações'!BD354="sim"), 1, 0)
</f>
        <v>0</v>
      </c>
      <c r="AH345" s="319">
        <f>IF(AND('Ações'!AX354="sim", 'Ações'!BE354="sim"), 1, 0)
</f>
        <v>0</v>
      </c>
      <c r="AI345" s="319">
        <f>IF(AND('Ações'!AX354="sim", 'Ações'!BF354="sim"), 1, 0)
</f>
        <v>0</v>
      </c>
      <c r="AJ345" s="319">
        <f>IF(AND('Ações'!AX354="sim", 'Ações'!BG354="sim"), 1, 0)
</f>
        <v>0</v>
      </c>
      <c r="AK345" s="319">
        <f>IF(AND('Ações'!AX354="sim", 'Ações'!BH354="sim"), 1, 0)
</f>
        <v>0</v>
      </c>
    </row>
    <row r="346">
      <c r="B346" s="319">
        <f>IF(AND('Ações'!AS355="sim", 'Ações'!BD355="sim"), 1, 0)
</f>
        <v>1</v>
      </c>
      <c r="C346" s="319">
        <f>IF(AND('Ações'!AT355="sim", 'Ações'!BE355="sim"), 1, 0)
</f>
        <v>0</v>
      </c>
      <c r="D346" s="319">
        <f>IF(AND('Ações'!AU355="sim", 'Ações'!BF355="sim"), 1, 0)
</f>
        <v>0</v>
      </c>
      <c r="E346" s="319">
        <f>IF(AND('Ações'!AV355="sim", 'Ações'!BG355="sim"), 1, 0)
</f>
        <v>0</v>
      </c>
      <c r="F346" s="319">
        <f>IF(AND('Ações'!AW355="sim", 'Ações'!BH355="sim"), 1, 0)
</f>
        <v>0</v>
      </c>
      <c r="G346" s="319">
        <f>IF(AND('Ações'!AX355="sim", 'Ações'!BI355="sim"), 1, 0)
</f>
        <v>0</v>
      </c>
      <c r="H346" s="319">
        <f>IF(AND('Ações'!AS355="sim", 'Ações'!BE355="sim"), 1, 0)
</f>
        <v>0</v>
      </c>
      <c r="I346" s="319">
        <f>IF(AND('Ações'!AS355="sim", 'Ações'!BF355="sim"), 1, 0)
</f>
        <v>0</v>
      </c>
      <c r="J346" s="319">
        <f>IF(AND('Ações'!AS355="sim", 'Ações'!BG355="sim"), 1, 0)
</f>
        <v>0</v>
      </c>
      <c r="K346" s="319">
        <f>IF(AND('Ações'!AS355="sim", 'Ações'!BH355="sim"), 1, 0)
</f>
        <v>0</v>
      </c>
      <c r="L346" s="319">
        <f>IF(AND('Ações'!AS355="sim", 'Ações'!BI355="sim"), 1, 0)
</f>
        <v>1</v>
      </c>
      <c r="M346" s="319">
        <f>IF(AND('Ações'!AT355="sim", 'Ações'!BD355="sim"), 1, 0)
</f>
        <v>1</v>
      </c>
      <c r="N346" s="319">
        <f>IF(AND('Ações'!AT355="sim", 'Ações'!BF355="sim"), 1, 0)
</f>
        <v>0</v>
      </c>
      <c r="O346" s="319">
        <f>IF(AND('Ações'!AT355="sim", 'Ações'!BG355="sim"), 1, 0)
</f>
        <v>0</v>
      </c>
      <c r="P346" s="319">
        <f>IF(AND('Ações'!AT355="sim", 'Ações'!BH355="sim"), 1, 0)
</f>
        <v>0</v>
      </c>
      <c r="Q346" s="319">
        <f>IF(AND('Ações'!AT355="sim", 'Ações'!BI355="sim"), 1, 0)
</f>
        <v>1</v>
      </c>
      <c r="R346" s="319">
        <f>IF(AND('Ações'!AU355="sim", 'Ações'!BD355="sim"), 1, 0)
</f>
        <v>1</v>
      </c>
      <c r="S346" s="319">
        <f>IF(AND('Ações'!AU355="sim", 'Ações'!BE355="sim"), 1, 0)
</f>
        <v>0</v>
      </c>
      <c r="T346" s="319">
        <f>IF(AND('Ações'!AU355="sim", 'Ações'!BG355="sim"), 1, 0)
</f>
        <v>0</v>
      </c>
      <c r="U346" s="319">
        <f>IF(AND('Ações'!AU355="sim", 'Ações'!BH355="sim"), 1, 0)
</f>
        <v>0</v>
      </c>
      <c r="V346" s="319">
        <f>IF(AND('Ações'!AU355="sim", 'Ações'!BI355="sim"), 1, 0)
</f>
        <v>1</v>
      </c>
      <c r="W346" s="319">
        <f>IF(AND('Ações'!AV355="sim", 'Ações'!BD355="sim"), 1, 0)
</f>
        <v>1</v>
      </c>
      <c r="X346" s="319">
        <f>IF(AND('Ações'!AV355="sim", 'Ações'!BE355="sim"), 1, 0)
</f>
        <v>0</v>
      </c>
      <c r="Y346" s="319">
        <f>IF(AND('Ações'!AV355="sim", 'Ações'!BF355="sim"), 1, 0)
</f>
        <v>0</v>
      </c>
      <c r="Z346" s="319">
        <f>IF(AND('Ações'!AV355="sim", 'Ações'!BH355="sim"), 1, 0)
</f>
        <v>0</v>
      </c>
      <c r="AA346" s="319">
        <f>IF(AND('Ações'!AV355="sim", 'Ações'!BI355="sim"), 1, 0)
</f>
        <v>1</v>
      </c>
      <c r="AB346" s="319">
        <f>IF(AND('Ações'!AW355="sim", 'Ações'!BD355="sim"), 1, 0)
</f>
        <v>0</v>
      </c>
      <c r="AC346" s="319">
        <f>IF(AND('Ações'!AW355="sim", 'Ações'!BE355="sim"), 1, 0)
</f>
        <v>0</v>
      </c>
      <c r="AD346" s="319">
        <f>IF(AND('Ações'!AW355="sim", 'Ações'!BF355="sim"), 1, 0)
</f>
        <v>0</v>
      </c>
      <c r="AE346" s="319">
        <f>IF(AND('Ações'!AW355="sim", 'Ações'!BG355="sim"), 1, 0)
</f>
        <v>0</v>
      </c>
      <c r="AF346" s="319">
        <f>IF(AND('Ações'!AW355="sim", 'Ações'!BI355="sim"), 1, 0)
</f>
        <v>0</v>
      </c>
      <c r="AG346" s="319">
        <f>IF(AND('Ações'!AX355="sim", 'Ações'!BD355="sim"), 1, 0)
</f>
        <v>0</v>
      </c>
      <c r="AH346" s="319">
        <f>IF(AND('Ações'!AX355="sim", 'Ações'!BE355="sim"), 1, 0)
</f>
        <v>0</v>
      </c>
      <c r="AI346" s="319">
        <f>IF(AND('Ações'!AX355="sim", 'Ações'!BF355="sim"), 1, 0)
</f>
        <v>0</v>
      </c>
      <c r="AJ346" s="319">
        <f>IF(AND('Ações'!AX355="sim", 'Ações'!BG355="sim"), 1, 0)
</f>
        <v>0</v>
      </c>
      <c r="AK346" s="319">
        <f>IF(AND('Ações'!AX355="sim", 'Ações'!BH355="sim"), 1, 0)
</f>
        <v>0</v>
      </c>
    </row>
    <row r="347">
      <c r="B347" s="319">
        <f>IF(AND('Ações'!AS356="sim", 'Ações'!BD356="sim"), 1, 0)
</f>
        <v>1</v>
      </c>
      <c r="C347" s="319">
        <f>IF(AND('Ações'!AT356="sim", 'Ações'!BE356="sim"), 1, 0)
</f>
        <v>0</v>
      </c>
      <c r="D347" s="319">
        <f>IF(AND('Ações'!AU356="sim", 'Ações'!BF356="sim"), 1, 0)
</f>
        <v>0</v>
      </c>
      <c r="E347" s="319">
        <f>IF(AND('Ações'!AV356="sim", 'Ações'!BG356="sim"), 1, 0)
</f>
        <v>0</v>
      </c>
      <c r="F347" s="319">
        <f>IF(AND('Ações'!AW356="sim", 'Ações'!BH356="sim"), 1, 0)
</f>
        <v>0</v>
      </c>
      <c r="G347" s="319">
        <f>IF(AND('Ações'!AX356="sim", 'Ações'!BI356="sim"), 1, 0)
</f>
        <v>0</v>
      </c>
      <c r="H347" s="319">
        <f>IF(AND('Ações'!AS356="sim", 'Ações'!BE356="sim"), 1, 0)
</f>
        <v>0</v>
      </c>
      <c r="I347" s="319">
        <f>IF(AND('Ações'!AS356="sim", 'Ações'!BF356="sim"), 1, 0)
</f>
        <v>0</v>
      </c>
      <c r="J347" s="319">
        <f>IF(AND('Ações'!AS356="sim", 'Ações'!BG356="sim"), 1, 0)
</f>
        <v>0</v>
      </c>
      <c r="K347" s="319">
        <f>IF(AND('Ações'!AS356="sim", 'Ações'!BH356="sim"), 1, 0)
</f>
        <v>0</v>
      </c>
      <c r="L347" s="319">
        <f>IF(AND('Ações'!AS356="sim", 'Ações'!BI356="sim"), 1, 0)
</f>
        <v>1</v>
      </c>
      <c r="M347" s="319">
        <f>IF(AND('Ações'!AT356="sim", 'Ações'!BD356="sim"), 1, 0)
</f>
        <v>1</v>
      </c>
      <c r="N347" s="319">
        <f>IF(AND('Ações'!AT356="sim", 'Ações'!BF356="sim"), 1, 0)
</f>
        <v>0</v>
      </c>
      <c r="O347" s="319">
        <f>IF(AND('Ações'!AT356="sim", 'Ações'!BG356="sim"), 1, 0)
</f>
        <v>0</v>
      </c>
      <c r="P347" s="319">
        <f>IF(AND('Ações'!AT356="sim", 'Ações'!BH356="sim"), 1, 0)
</f>
        <v>0</v>
      </c>
      <c r="Q347" s="319">
        <f>IF(AND('Ações'!AT356="sim", 'Ações'!BI356="sim"), 1, 0)
</f>
        <v>1</v>
      </c>
      <c r="R347" s="319">
        <f>IF(AND('Ações'!AU356="sim", 'Ações'!BD356="sim"), 1, 0)
</f>
        <v>1</v>
      </c>
      <c r="S347" s="319">
        <f>IF(AND('Ações'!AU356="sim", 'Ações'!BE356="sim"), 1, 0)
</f>
        <v>0</v>
      </c>
      <c r="T347" s="319">
        <f>IF(AND('Ações'!AU356="sim", 'Ações'!BG356="sim"), 1, 0)
</f>
        <v>0</v>
      </c>
      <c r="U347" s="319">
        <f>IF(AND('Ações'!AU356="sim", 'Ações'!BH356="sim"), 1, 0)
</f>
        <v>0</v>
      </c>
      <c r="V347" s="319">
        <f>IF(AND('Ações'!AU356="sim", 'Ações'!BI356="sim"), 1, 0)
</f>
        <v>1</v>
      </c>
      <c r="W347" s="319">
        <f>IF(AND('Ações'!AV356="sim", 'Ações'!BD356="sim"), 1, 0)
</f>
        <v>1</v>
      </c>
      <c r="X347" s="319">
        <f>IF(AND('Ações'!AV356="sim", 'Ações'!BE356="sim"), 1, 0)
</f>
        <v>0</v>
      </c>
      <c r="Y347" s="319">
        <f>IF(AND('Ações'!AV356="sim", 'Ações'!BF356="sim"), 1, 0)
</f>
        <v>0</v>
      </c>
      <c r="Z347" s="319">
        <f>IF(AND('Ações'!AV356="sim", 'Ações'!BH356="sim"), 1, 0)
</f>
        <v>0</v>
      </c>
      <c r="AA347" s="319">
        <f>IF(AND('Ações'!AV356="sim", 'Ações'!BI356="sim"), 1, 0)
</f>
        <v>1</v>
      </c>
      <c r="AB347" s="319">
        <f>IF(AND('Ações'!AW356="sim", 'Ações'!BD356="sim"), 1, 0)
</f>
        <v>0</v>
      </c>
      <c r="AC347" s="319">
        <f>IF(AND('Ações'!AW356="sim", 'Ações'!BE356="sim"), 1, 0)
</f>
        <v>0</v>
      </c>
      <c r="AD347" s="319">
        <f>IF(AND('Ações'!AW356="sim", 'Ações'!BF356="sim"), 1, 0)
</f>
        <v>0</v>
      </c>
      <c r="AE347" s="319">
        <f>IF(AND('Ações'!AW356="sim", 'Ações'!BG356="sim"), 1, 0)
</f>
        <v>0</v>
      </c>
      <c r="AF347" s="319">
        <f>IF(AND('Ações'!AW356="sim", 'Ações'!BI356="sim"), 1, 0)
</f>
        <v>0</v>
      </c>
      <c r="AG347" s="319">
        <f>IF(AND('Ações'!AX356="sim", 'Ações'!BD356="sim"), 1, 0)
</f>
        <v>0</v>
      </c>
      <c r="AH347" s="319">
        <f>IF(AND('Ações'!AX356="sim", 'Ações'!BE356="sim"), 1, 0)
</f>
        <v>0</v>
      </c>
      <c r="AI347" s="319">
        <f>IF(AND('Ações'!AX356="sim", 'Ações'!BF356="sim"), 1, 0)
</f>
        <v>0</v>
      </c>
      <c r="AJ347" s="319">
        <f>IF(AND('Ações'!AX356="sim", 'Ações'!BG356="sim"), 1, 0)
</f>
        <v>0</v>
      </c>
      <c r="AK347" s="319">
        <f>IF(AND('Ações'!AX356="sim", 'Ações'!BH356="sim"), 1, 0)
</f>
        <v>0</v>
      </c>
    </row>
    <row r="348">
      <c r="B348" s="319">
        <f>IF(AND('Ações'!AS357="sim", 'Ações'!BD357="sim"), 1, 0)
</f>
        <v>1</v>
      </c>
      <c r="C348" s="319">
        <f>IF(AND('Ações'!AT357="sim", 'Ações'!BE357="sim"), 1, 0)
</f>
        <v>0</v>
      </c>
      <c r="D348" s="319">
        <f>IF(AND('Ações'!AU357="sim", 'Ações'!BF357="sim"), 1, 0)
</f>
        <v>0</v>
      </c>
      <c r="E348" s="319">
        <f>IF(AND('Ações'!AV357="sim", 'Ações'!BG357="sim"), 1, 0)
</f>
        <v>0</v>
      </c>
      <c r="F348" s="319">
        <f>IF(AND('Ações'!AW357="sim", 'Ações'!BH357="sim"), 1, 0)
</f>
        <v>0</v>
      </c>
      <c r="G348" s="319">
        <f>IF(AND('Ações'!AX357="sim", 'Ações'!BI357="sim"), 1, 0)
</f>
        <v>0</v>
      </c>
      <c r="H348" s="319">
        <f>IF(AND('Ações'!AS357="sim", 'Ações'!BE357="sim"), 1, 0)
</f>
        <v>0</v>
      </c>
      <c r="I348" s="319">
        <f>IF(AND('Ações'!AS357="sim", 'Ações'!BF357="sim"), 1, 0)
</f>
        <v>0</v>
      </c>
      <c r="J348" s="319">
        <f>IF(AND('Ações'!AS357="sim", 'Ações'!BG357="sim"), 1, 0)
</f>
        <v>0</v>
      </c>
      <c r="K348" s="319">
        <f>IF(AND('Ações'!AS357="sim", 'Ações'!BH357="sim"), 1, 0)
</f>
        <v>0</v>
      </c>
      <c r="L348" s="319">
        <f>IF(AND('Ações'!AS357="sim", 'Ações'!BI357="sim"), 1, 0)
</f>
        <v>0</v>
      </c>
      <c r="M348" s="319">
        <f>IF(AND('Ações'!AT357="sim", 'Ações'!BD357="sim"), 1, 0)
</f>
        <v>1</v>
      </c>
      <c r="N348" s="319">
        <f>IF(AND('Ações'!AT357="sim", 'Ações'!BF357="sim"), 1, 0)
</f>
        <v>0</v>
      </c>
      <c r="O348" s="319">
        <f>IF(AND('Ações'!AT357="sim", 'Ações'!BG357="sim"), 1, 0)
</f>
        <v>0</v>
      </c>
      <c r="P348" s="319">
        <f>IF(AND('Ações'!AT357="sim", 'Ações'!BH357="sim"), 1, 0)
</f>
        <v>0</v>
      </c>
      <c r="Q348" s="319">
        <f>IF(AND('Ações'!AT357="sim", 'Ações'!BI357="sim"), 1, 0)
</f>
        <v>0</v>
      </c>
      <c r="R348" s="319">
        <f>IF(AND('Ações'!AU357="sim", 'Ações'!BD357="sim"), 1, 0)
</f>
        <v>1</v>
      </c>
      <c r="S348" s="319">
        <f>IF(AND('Ações'!AU357="sim", 'Ações'!BE357="sim"), 1, 0)
</f>
        <v>0</v>
      </c>
      <c r="T348" s="319">
        <f>IF(AND('Ações'!AU357="sim", 'Ações'!BG357="sim"), 1, 0)
</f>
        <v>0</v>
      </c>
      <c r="U348" s="319">
        <f>IF(AND('Ações'!AU357="sim", 'Ações'!BH357="sim"), 1, 0)
</f>
        <v>0</v>
      </c>
      <c r="V348" s="319">
        <f>IF(AND('Ações'!AU357="sim", 'Ações'!BI357="sim"), 1, 0)
</f>
        <v>0</v>
      </c>
      <c r="W348" s="319">
        <f>IF(AND('Ações'!AV357="sim", 'Ações'!BD357="sim"), 1, 0)
</f>
        <v>1</v>
      </c>
      <c r="X348" s="319">
        <f>IF(AND('Ações'!AV357="sim", 'Ações'!BE357="sim"), 1, 0)
</f>
        <v>0</v>
      </c>
      <c r="Y348" s="319">
        <f>IF(AND('Ações'!AV357="sim", 'Ações'!BF357="sim"), 1, 0)
</f>
        <v>0</v>
      </c>
      <c r="Z348" s="319">
        <f>IF(AND('Ações'!AV357="sim", 'Ações'!BH357="sim"), 1, 0)
</f>
        <v>0</v>
      </c>
      <c r="AA348" s="319">
        <f>IF(AND('Ações'!AV357="sim", 'Ações'!BI357="sim"), 1, 0)
</f>
        <v>0</v>
      </c>
      <c r="AB348" s="319">
        <f>IF(AND('Ações'!AW357="sim", 'Ações'!BD357="sim"), 1, 0)
</f>
        <v>0</v>
      </c>
      <c r="AC348" s="319">
        <f>IF(AND('Ações'!AW357="sim", 'Ações'!BE357="sim"), 1, 0)
</f>
        <v>0</v>
      </c>
      <c r="AD348" s="319">
        <f>IF(AND('Ações'!AW357="sim", 'Ações'!BF357="sim"), 1, 0)
</f>
        <v>0</v>
      </c>
      <c r="AE348" s="319">
        <f>IF(AND('Ações'!AW357="sim", 'Ações'!BG357="sim"), 1, 0)
</f>
        <v>0</v>
      </c>
      <c r="AF348" s="319">
        <f>IF(AND('Ações'!AW357="sim", 'Ações'!BI357="sim"), 1, 0)
</f>
        <v>0</v>
      </c>
      <c r="AG348" s="319">
        <f>IF(AND('Ações'!AX357="sim", 'Ações'!BD357="sim"), 1, 0)
</f>
        <v>0</v>
      </c>
      <c r="AH348" s="319">
        <f>IF(AND('Ações'!AX357="sim", 'Ações'!BE357="sim"), 1, 0)
</f>
        <v>0</v>
      </c>
      <c r="AI348" s="319">
        <f>IF(AND('Ações'!AX357="sim", 'Ações'!BF357="sim"), 1, 0)
</f>
        <v>0</v>
      </c>
      <c r="AJ348" s="319">
        <f>IF(AND('Ações'!AX357="sim", 'Ações'!BG357="sim"), 1, 0)
</f>
        <v>0</v>
      </c>
      <c r="AK348" s="319">
        <f>IF(AND('Ações'!AX357="sim", 'Ações'!BH357="sim"), 1, 0)
</f>
        <v>0</v>
      </c>
    </row>
    <row r="349">
      <c r="B349" s="319">
        <f>IF(AND('Ações'!AS358="sim", 'Ações'!BD358="sim"), 1, 0)
</f>
        <v>1</v>
      </c>
      <c r="C349" s="319">
        <f>IF(AND('Ações'!AT358="sim", 'Ações'!BE358="sim"), 1, 0)
</f>
        <v>0</v>
      </c>
      <c r="D349" s="319">
        <f>IF(AND('Ações'!AU358="sim", 'Ações'!BF358="sim"), 1, 0)
</f>
        <v>0</v>
      </c>
      <c r="E349" s="319">
        <f>IF(AND('Ações'!AV358="sim", 'Ações'!BG358="sim"), 1, 0)
</f>
        <v>0</v>
      </c>
      <c r="F349" s="319">
        <f>IF(AND('Ações'!AW358="sim", 'Ações'!BH358="sim"), 1, 0)
</f>
        <v>0</v>
      </c>
      <c r="G349" s="319">
        <f>IF(AND('Ações'!AX358="sim", 'Ações'!BI358="sim"), 1, 0)
</f>
        <v>0</v>
      </c>
      <c r="H349" s="319">
        <f>IF(AND('Ações'!AS358="sim", 'Ações'!BE358="sim"), 1, 0)
</f>
        <v>0</v>
      </c>
      <c r="I349" s="319">
        <f>IF(AND('Ações'!AS358="sim", 'Ações'!BF358="sim"), 1, 0)
</f>
        <v>0</v>
      </c>
      <c r="J349" s="319">
        <f>IF(AND('Ações'!AS358="sim", 'Ações'!BG358="sim"), 1, 0)
</f>
        <v>0</v>
      </c>
      <c r="K349" s="319">
        <f>IF(AND('Ações'!AS358="sim", 'Ações'!BH358="sim"), 1, 0)
</f>
        <v>0</v>
      </c>
      <c r="L349" s="319">
        <f>IF(AND('Ações'!AS358="sim", 'Ações'!BI358="sim"), 1, 0)
</f>
        <v>0</v>
      </c>
      <c r="M349" s="319">
        <f>IF(AND('Ações'!AT358="sim", 'Ações'!BD358="sim"), 1, 0)
</f>
        <v>1</v>
      </c>
      <c r="N349" s="319">
        <f>IF(AND('Ações'!AT358="sim", 'Ações'!BF358="sim"), 1, 0)
</f>
        <v>0</v>
      </c>
      <c r="O349" s="319">
        <f>IF(AND('Ações'!AT358="sim", 'Ações'!BG358="sim"), 1, 0)
</f>
        <v>0</v>
      </c>
      <c r="P349" s="319">
        <f>IF(AND('Ações'!AT358="sim", 'Ações'!BH358="sim"), 1, 0)
</f>
        <v>0</v>
      </c>
      <c r="Q349" s="319">
        <f>IF(AND('Ações'!AT358="sim", 'Ações'!BI358="sim"), 1, 0)
</f>
        <v>0</v>
      </c>
      <c r="R349" s="319">
        <f>IF(AND('Ações'!AU358="sim", 'Ações'!BD358="sim"), 1, 0)
</f>
        <v>1</v>
      </c>
      <c r="S349" s="319">
        <f>IF(AND('Ações'!AU358="sim", 'Ações'!BE358="sim"), 1, 0)
</f>
        <v>0</v>
      </c>
      <c r="T349" s="319">
        <f>IF(AND('Ações'!AU358="sim", 'Ações'!BG358="sim"), 1, 0)
</f>
        <v>0</v>
      </c>
      <c r="U349" s="319">
        <f>IF(AND('Ações'!AU358="sim", 'Ações'!BH358="sim"), 1, 0)
</f>
        <v>0</v>
      </c>
      <c r="V349" s="319">
        <f>IF(AND('Ações'!AU358="sim", 'Ações'!BI358="sim"), 1, 0)
</f>
        <v>0</v>
      </c>
      <c r="W349" s="319">
        <f>IF(AND('Ações'!AV358="sim", 'Ações'!BD358="sim"), 1, 0)
</f>
        <v>1</v>
      </c>
      <c r="X349" s="319">
        <f>IF(AND('Ações'!AV358="sim", 'Ações'!BE358="sim"), 1, 0)
</f>
        <v>0</v>
      </c>
      <c r="Y349" s="319">
        <f>IF(AND('Ações'!AV358="sim", 'Ações'!BF358="sim"), 1, 0)
</f>
        <v>0</v>
      </c>
      <c r="Z349" s="319">
        <f>IF(AND('Ações'!AV358="sim", 'Ações'!BH358="sim"), 1, 0)
</f>
        <v>0</v>
      </c>
      <c r="AA349" s="319">
        <f>IF(AND('Ações'!AV358="sim", 'Ações'!BI358="sim"), 1, 0)
</f>
        <v>0</v>
      </c>
      <c r="AB349" s="319">
        <f>IF(AND('Ações'!AW358="sim", 'Ações'!BD358="sim"), 1, 0)
</f>
        <v>0</v>
      </c>
      <c r="AC349" s="319">
        <f>IF(AND('Ações'!AW358="sim", 'Ações'!BE358="sim"), 1, 0)
</f>
        <v>0</v>
      </c>
      <c r="AD349" s="319">
        <f>IF(AND('Ações'!AW358="sim", 'Ações'!BF358="sim"), 1, 0)
</f>
        <v>0</v>
      </c>
      <c r="AE349" s="319">
        <f>IF(AND('Ações'!AW358="sim", 'Ações'!BG358="sim"), 1, 0)
</f>
        <v>0</v>
      </c>
      <c r="AF349" s="319">
        <f>IF(AND('Ações'!AW358="sim", 'Ações'!BI358="sim"), 1, 0)
</f>
        <v>0</v>
      </c>
      <c r="AG349" s="319">
        <f>IF(AND('Ações'!AX358="sim", 'Ações'!BD358="sim"), 1, 0)
</f>
        <v>0</v>
      </c>
      <c r="AH349" s="319">
        <f>IF(AND('Ações'!AX358="sim", 'Ações'!BE358="sim"), 1, 0)
</f>
        <v>0</v>
      </c>
      <c r="AI349" s="319">
        <f>IF(AND('Ações'!AX358="sim", 'Ações'!BF358="sim"), 1, 0)
</f>
        <v>0</v>
      </c>
      <c r="AJ349" s="319">
        <f>IF(AND('Ações'!AX358="sim", 'Ações'!BG358="sim"), 1, 0)
</f>
        <v>0</v>
      </c>
      <c r="AK349" s="319">
        <f>IF(AND('Ações'!AX358="sim", 'Ações'!BH358="sim"), 1, 0)
</f>
        <v>0</v>
      </c>
    </row>
    <row r="350">
      <c r="B350" s="319">
        <f>IF(AND('Ações'!AS359="sim", 'Ações'!BD359="sim"), 1, 0)
</f>
        <v>1</v>
      </c>
      <c r="C350" s="319">
        <f>IF(AND('Ações'!AT359="sim", 'Ações'!BE359="sim"), 1, 0)
</f>
        <v>0</v>
      </c>
      <c r="D350" s="319">
        <f>IF(AND('Ações'!AU359="sim", 'Ações'!BF359="sim"), 1, 0)
</f>
        <v>0</v>
      </c>
      <c r="E350" s="319">
        <f>IF(AND('Ações'!AV359="sim", 'Ações'!BG359="sim"), 1, 0)
</f>
        <v>0</v>
      </c>
      <c r="F350" s="319">
        <f>IF(AND('Ações'!AW359="sim", 'Ações'!BH359="sim"), 1, 0)
</f>
        <v>0</v>
      </c>
      <c r="G350" s="319">
        <f>IF(AND('Ações'!AX359="sim", 'Ações'!BI359="sim"), 1, 0)
</f>
        <v>0</v>
      </c>
      <c r="H350" s="319">
        <f>IF(AND('Ações'!AS359="sim", 'Ações'!BE359="sim"), 1, 0)
</f>
        <v>0</v>
      </c>
      <c r="I350" s="319">
        <f>IF(AND('Ações'!AS359="sim", 'Ações'!BF359="sim"), 1, 0)
</f>
        <v>0</v>
      </c>
      <c r="J350" s="319">
        <f>IF(AND('Ações'!AS359="sim", 'Ações'!BG359="sim"), 1, 0)
</f>
        <v>0</v>
      </c>
      <c r="K350" s="319">
        <f>IF(AND('Ações'!AS359="sim", 'Ações'!BH359="sim"), 1, 0)
</f>
        <v>0</v>
      </c>
      <c r="L350" s="319">
        <f>IF(AND('Ações'!AS359="sim", 'Ações'!BI359="sim"), 1, 0)
</f>
        <v>0</v>
      </c>
      <c r="M350" s="319">
        <f>IF(AND('Ações'!AT359="sim", 'Ações'!BD359="sim"), 1, 0)
</f>
        <v>1</v>
      </c>
      <c r="N350" s="319">
        <f>IF(AND('Ações'!AT359="sim", 'Ações'!BF359="sim"), 1, 0)
</f>
        <v>0</v>
      </c>
      <c r="O350" s="319">
        <f>IF(AND('Ações'!AT359="sim", 'Ações'!BG359="sim"), 1, 0)
</f>
        <v>0</v>
      </c>
      <c r="P350" s="319">
        <f>IF(AND('Ações'!AT359="sim", 'Ações'!BH359="sim"), 1, 0)
</f>
        <v>0</v>
      </c>
      <c r="Q350" s="319">
        <f>IF(AND('Ações'!AT359="sim", 'Ações'!BI359="sim"), 1, 0)
</f>
        <v>0</v>
      </c>
      <c r="R350" s="319">
        <f>IF(AND('Ações'!AU359="sim", 'Ações'!BD359="sim"), 1, 0)
</f>
        <v>1</v>
      </c>
      <c r="S350" s="319">
        <f>IF(AND('Ações'!AU359="sim", 'Ações'!BE359="sim"), 1, 0)
</f>
        <v>0</v>
      </c>
      <c r="T350" s="319">
        <f>IF(AND('Ações'!AU359="sim", 'Ações'!BG359="sim"), 1, 0)
</f>
        <v>0</v>
      </c>
      <c r="U350" s="319">
        <f>IF(AND('Ações'!AU359="sim", 'Ações'!BH359="sim"), 1, 0)
</f>
        <v>0</v>
      </c>
      <c r="V350" s="319">
        <f>IF(AND('Ações'!AU359="sim", 'Ações'!BI359="sim"), 1, 0)
</f>
        <v>0</v>
      </c>
      <c r="W350" s="319">
        <f>IF(AND('Ações'!AV359="sim", 'Ações'!BD359="sim"), 1, 0)
</f>
        <v>1</v>
      </c>
      <c r="X350" s="319">
        <f>IF(AND('Ações'!AV359="sim", 'Ações'!BE359="sim"), 1, 0)
</f>
        <v>0</v>
      </c>
      <c r="Y350" s="319">
        <f>IF(AND('Ações'!AV359="sim", 'Ações'!BF359="sim"), 1, 0)
</f>
        <v>0</v>
      </c>
      <c r="Z350" s="319">
        <f>IF(AND('Ações'!AV359="sim", 'Ações'!BH359="sim"), 1, 0)
</f>
        <v>0</v>
      </c>
      <c r="AA350" s="319">
        <f>IF(AND('Ações'!AV359="sim", 'Ações'!BI359="sim"), 1, 0)
</f>
        <v>0</v>
      </c>
      <c r="AB350" s="319">
        <f>IF(AND('Ações'!AW359="sim", 'Ações'!BD359="sim"), 1, 0)
</f>
        <v>0</v>
      </c>
      <c r="AC350" s="319">
        <f>IF(AND('Ações'!AW359="sim", 'Ações'!BE359="sim"), 1, 0)
</f>
        <v>0</v>
      </c>
      <c r="AD350" s="319">
        <f>IF(AND('Ações'!AW359="sim", 'Ações'!BF359="sim"), 1, 0)
</f>
        <v>0</v>
      </c>
      <c r="AE350" s="319">
        <f>IF(AND('Ações'!AW359="sim", 'Ações'!BG359="sim"), 1, 0)
</f>
        <v>0</v>
      </c>
      <c r="AF350" s="319">
        <f>IF(AND('Ações'!AW359="sim", 'Ações'!BI359="sim"), 1, 0)
</f>
        <v>0</v>
      </c>
      <c r="AG350" s="319">
        <f>IF(AND('Ações'!AX359="sim", 'Ações'!BD359="sim"), 1, 0)
</f>
        <v>0</v>
      </c>
      <c r="AH350" s="319">
        <f>IF(AND('Ações'!AX359="sim", 'Ações'!BE359="sim"), 1, 0)
</f>
        <v>0</v>
      </c>
      <c r="AI350" s="319">
        <f>IF(AND('Ações'!AX359="sim", 'Ações'!BF359="sim"), 1, 0)
</f>
        <v>0</v>
      </c>
      <c r="AJ350" s="319">
        <f>IF(AND('Ações'!AX359="sim", 'Ações'!BG359="sim"), 1, 0)
</f>
        <v>0</v>
      </c>
      <c r="AK350" s="319">
        <f>IF(AND('Ações'!AX359="sim", 'Ações'!BH359="sim"), 1, 0)
</f>
        <v>0</v>
      </c>
    </row>
    <row r="351">
      <c r="B351" s="319" t="str">
        <f t="shared" ref="B351:AK351" si="5">IF(AND(#REF!="sim", #REF!="sim"), 1, 0)
</f>
        <v>#REF!</v>
      </c>
      <c r="C351" s="319" t="str">
        <f t="shared" si="5"/>
        <v>#REF!</v>
      </c>
      <c r="D351" s="319" t="str">
        <f t="shared" si="5"/>
        <v>#REF!</v>
      </c>
      <c r="E351" s="319" t="str">
        <f t="shared" si="5"/>
        <v>#REF!</v>
      </c>
      <c r="F351" s="319" t="str">
        <f t="shared" si="5"/>
        <v>#REF!</v>
      </c>
      <c r="G351" s="319" t="str">
        <f t="shared" si="5"/>
        <v>#REF!</v>
      </c>
      <c r="H351" s="319" t="str">
        <f t="shared" si="5"/>
        <v>#REF!</v>
      </c>
      <c r="I351" s="319" t="str">
        <f t="shared" si="5"/>
        <v>#REF!</v>
      </c>
      <c r="J351" s="319" t="str">
        <f t="shared" si="5"/>
        <v>#REF!</v>
      </c>
      <c r="K351" s="319" t="str">
        <f t="shared" si="5"/>
        <v>#REF!</v>
      </c>
      <c r="L351" s="319" t="str">
        <f t="shared" si="5"/>
        <v>#REF!</v>
      </c>
      <c r="M351" s="319" t="str">
        <f t="shared" si="5"/>
        <v>#REF!</v>
      </c>
      <c r="N351" s="319" t="str">
        <f t="shared" si="5"/>
        <v>#REF!</v>
      </c>
      <c r="O351" s="319" t="str">
        <f t="shared" si="5"/>
        <v>#REF!</v>
      </c>
      <c r="P351" s="319" t="str">
        <f t="shared" si="5"/>
        <v>#REF!</v>
      </c>
      <c r="Q351" s="319" t="str">
        <f t="shared" si="5"/>
        <v>#REF!</v>
      </c>
      <c r="R351" s="319" t="str">
        <f t="shared" si="5"/>
        <v>#REF!</v>
      </c>
      <c r="S351" s="319" t="str">
        <f t="shared" si="5"/>
        <v>#REF!</v>
      </c>
      <c r="T351" s="319" t="str">
        <f t="shared" si="5"/>
        <v>#REF!</v>
      </c>
      <c r="U351" s="319" t="str">
        <f t="shared" si="5"/>
        <v>#REF!</v>
      </c>
      <c r="V351" s="319" t="str">
        <f t="shared" si="5"/>
        <v>#REF!</v>
      </c>
      <c r="W351" s="319" t="str">
        <f t="shared" si="5"/>
        <v>#REF!</v>
      </c>
      <c r="X351" s="319" t="str">
        <f t="shared" si="5"/>
        <v>#REF!</v>
      </c>
      <c r="Y351" s="319" t="str">
        <f t="shared" si="5"/>
        <v>#REF!</v>
      </c>
      <c r="Z351" s="319" t="str">
        <f t="shared" si="5"/>
        <v>#REF!</v>
      </c>
      <c r="AA351" s="319" t="str">
        <f t="shared" si="5"/>
        <v>#REF!</v>
      </c>
      <c r="AB351" s="319" t="str">
        <f t="shared" si="5"/>
        <v>#REF!</v>
      </c>
      <c r="AC351" s="319" t="str">
        <f t="shared" si="5"/>
        <v>#REF!</v>
      </c>
      <c r="AD351" s="319" t="str">
        <f t="shared" si="5"/>
        <v>#REF!</v>
      </c>
      <c r="AE351" s="319" t="str">
        <f t="shared" si="5"/>
        <v>#REF!</v>
      </c>
      <c r="AF351" s="319" t="str">
        <f t="shared" si="5"/>
        <v>#REF!</v>
      </c>
      <c r="AG351" s="319" t="str">
        <f t="shared" si="5"/>
        <v>#REF!</v>
      </c>
      <c r="AH351" s="319" t="str">
        <f t="shared" si="5"/>
        <v>#REF!</v>
      </c>
      <c r="AI351" s="319" t="str">
        <f t="shared" si="5"/>
        <v>#REF!</v>
      </c>
      <c r="AJ351" s="319" t="str">
        <f t="shared" si="5"/>
        <v>#REF!</v>
      </c>
      <c r="AK351" s="319" t="str">
        <f t="shared" si="5"/>
        <v>#REF!</v>
      </c>
    </row>
    <row r="352">
      <c r="B352" s="319">
        <f>IF(AND('Ações'!AS360="sim", 'Ações'!BD360="sim"), 1, 0)
</f>
        <v>1</v>
      </c>
      <c r="C352" s="319">
        <f>IF(AND('Ações'!AT360="sim", 'Ações'!BE360="sim"), 1, 0)
</f>
        <v>0</v>
      </c>
      <c r="D352" s="319">
        <f>IF(AND('Ações'!AU360="sim", 'Ações'!BF360="sim"), 1, 0)
</f>
        <v>0</v>
      </c>
      <c r="E352" s="319">
        <f>IF(AND('Ações'!AV360="sim", 'Ações'!BG360="sim"), 1, 0)
</f>
        <v>0</v>
      </c>
      <c r="F352" s="319">
        <f>IF(AND('Ações'!AW360="sim", 'Ações'!BH360="sim"), 1, 0)
</f>
        <v>0</v>
      </c>
      <c r="G352" s="319">
        <f>IF(AND('Ações'!AX360="sim", 'Ações'!BI360="sim"), 1, 0)
</f>
        <v>0</v>
      </c>
      <c r="H352" s="319">
        <f>IF(AND('Ações'!AS360="sim", 'Ações'!BE360="sim"), 1, 0)
</f>
        <v>0</v>
      </c>
      <c r="I352" s="319">
        <f>IF(AND('Ações'!AS360="sim", 'Ações'!BF360="sim"), 1, 0)
</f>
        <v>0</v>
      </c>
      <c r="J352" s="319">
        <f>IF(AND('Ações'!AS360="sim", 'Ações'!BG360="sim"), 1, 0)
</f>
        <v>0</v>
      </c>
      <c r="K352" s="319">
        <f>IF(AND('Ações'!AS360="sim", 'Ações'!BH360="sim"), 1, 0)
</f>
        <v>0</v>
      </c>
      <c r="L352" s="319">
        <f>IF(AND('Ações'!AS360="sim", 'Ações'!BI360="sim"), 1, 0)
</f>
        <v>0</v>
      </c>
      <c r="M352" s="319">
        <f>IF(AND('Ações'!AT360="sim", 'Ações'!BD360="sim"), 1, 0)
</f>
        <v>1</v>
      </c>
      <c r="N352" s="319">
        <f>IF(AND('Ações'!AT360="sim", 'Ações'!BF360="sim"), 1, 0)
</f>
        <v>0</v>
      </c>
      <c r="O352" s="319">
        <f>IF(AND('Ações'!AT360="sim", 'Ações'!BG360="sim"), 1, 0)
</f>
        <v>0</v>
      </c>
      <c r="P352" s="319">
        <f>IF(AND('Ações'!AT360="sim", 'Ações'!BH360="sim"), 1, 0)
</f>
        <v>0</v>
      </c>
      <c r="Q352" s="319">
        <f>IF(AND('Ações'!AT360="sim", 'Ações'!BI360="sim"), 1, 0)
</f>
        <v>0</v>
      </c>
      <c r="R352" s="319">
        <f>IF(AND('Ações'!AU360="sim", 'Ações'!BD360="sim"), 1, 0)
</f>
        <v>1</v>
      </c>
      <c r="S352" s="319">
        <f>IF(AND('Ações'!AU360="sim", 'Ações'!BE360="sim"), 1, 0)
</f>
        <v>0</v>
      </c>
      <c r="T352" s="319">
        <f>IF(AND('Ações'!AU360="sim", 'Ações'!BG360="sim"), 1, 0)
</f>
        <v>0</v>
      </c>
      <c r="U352" s="319">
        <f>IF(AND('Ações'!AU360="sim", 'Ações'!BH360="sim"), 1, 0)
</f>
        <v>0</v>
      </c>
      <c r="V352" s="319">
        <f>IF(AND('Ações'!AU360="sim", 'Ações'!BI360="sim"), 1, 0)
</f>
        <v>0</v>
      </c>
      <c r="W352" s="319">
        <f>IF(AND('Ações'!AV360="sim", 'Ações'!BD360="sim"), 1, 0)
</f>
        <v>1</v>
      </c>
      <c r="X352" s="319">
        <f>IF(AND('Ações'!AV360="sim", 'Ações'!BE360="sim"), 1, 0)
</f>
        <v>0</v>
      </c>
      <c r="Y352" s="319">
        <f>IF(AND('Ações'!AV360="sim", 'Ações'!BF360="sim"), 1, 0)
</f>
        <v>0</v>
      </c>
      <c r="Z352" s="319">
        <f>IF(AND('Ações'!AV360="sim", 'Ações'!BH360="sim"), 1, 0)
</f>
        <v>0</v>
      </c>
      <c r="AA352" s="319">
        <f>IF(AND('Ações'!AV360="sim", 'Ações'!BI360="sim"), 1, 0)
</f>
        <v>0</v>
      </c>
      <c r="AB352" s="319">
        <f>IF(AND('Ações'!AW360="sim", 'Ações'!BD360="sim"), 1, 0)
</f>
        <v>0</v>
      </c>
      <c r="AC352" s="319">
        <f>IF(AND('Ações'!AW360="sim", 'Ações'!BE360="sim"), 1, 0)
</f>
        <v>0</v>
      </c>
      <c r="AD352" s="319">
        <f>IF(AND('Ações'!AW360="sim", 'Ações'!BF360="sim"), 1, 0)
</f>
        <v>0</v>
      </c>
      <c r="AE352" s="319">
        <f>IF(AND('Ações'!AW360="sim", 'Ações'!BG360="sim"), 1, 0)
</f>
        <v>0</v>
      </c>
      <c r="AF352" s="319">
        <f>IF(AND('Ações'!AW360="sim", 'Ações'!BI360="sim"), 1, 0)
</f>
        <v>0</v>
      </c>
      <c r="AG352" s="319">
        <f>IF(AND('Ações'!AX360="sim", 'Ações'!BD360="sim"), 1, 0)
</f>
        <v>0</v>
      </c>
      <c r="AH352" s="319">
        <f>IF(AND('Ações'!AX360="sim", 'Ações'!BE360="sim"), 1, 0)
</f>
        <v>0</v>
      </c>
      <c r="AI352" s="319">
        <f>IF(AND('Ações'!AX360="sim", 'Ações'!BF360="sim"), 1, 0)
</f>
        <v>0</v>
      </c>
      <c r="AJ352" s="319">
        <f>IF(AND('Ações'!AX360="sim", 'Ações'!BG360="sim"), 1, 0)
</f>
        <v>0</v>
      </c>
      <c r="AK352" s="319">
        <f>IF(AND('Ações'!AX360="sim", 'Ações'!BH360="sim"), 1, 0)
</f>
        <v>0</v>
      </c>
    </row>
    <row r="353">
      <c r="B353" s="319">
        <f>IF(AND('Ações'!AS361="sim", 'Ações'!BD361="sim"), 1, 0)
</f>
        <v>1</v>
      </c>
      <c r="C353" s="319">
        <f>IF(AND('Ações'!AT361="sim", 'Ações'!BE361="sim"), 1, 0)
</f>
        <v>0</v>
      </c>
      <c r="D353" s="319">
        <f>IF(AND('Ações'!AU361="sim", 'Ações'!BF361="sim"), 1, 0)
</f>
        <v>0</v>
      </c>
      <c r="E353" s="319">
        <f>IF(AND('Ações'!AV361="sim", 'Ações'!BG361="sim"), 1, 0)
</f>
        <v>0</v>
      </c>
      <c r="F353" s="319">
        <f>IF(AND('Ações'!AW361="sim", 'Ações'!BH361="sim"), 1, 0)
</f>
        <v>0</v>
      </c>
      <c r="G353" s="319">
        <f>IF(AND('Ações'!AX361="sim", 'Ações'!BI361="sim"), 1, 0)
</f>
        <v>0</v>
      </c>
      <c r="H353" s="319">
        <f>IF(AND('Ações'!AS361="sim", 'Ações'!BE361="sim"), 1, 0)
</f>
        <v>0</v>
      </c>
      <c r="I353" s="319">
        <f>IF(AND('Ações'!AS361="sim", 'Ações'!BF361="sim"), 1, 0)
</f>
        <v>0</v>
      </c>
      <c r="J353" s="319">
        <f>IF(AND('Ações'!AS361="sim", 'Ações'!BG361="sim"), 1, 0)
</f>
        <v>0</v>
      </c>
      <c r="K353" s="319">
        <f>IF(AND('Ações'!AS361="sim", 'Ações'!BH361="sim"), 1, 0)
</f>
        <v>0</v>
      </c>
      <c r="L353" s="319">
        <f>IF(AND('Ações'!AS361="sim", 'Ações'!BI361="sim"), 1, 0)
</f>
        <v>0</v>
      </c>
      <c r="M353" s="319">
        <f>IF(AND('Ações'!AT361="sim", 'Ações'!BD361="sim"), 1, 0)
</f>
        <v>1</v>
      </c>
      <c r="N353" s="319">
        <f>IF(AND('Ações'!AT361="sim", 'Ações'!BF361="sim"), 1, 0)
</f>
        <v>0</v>
      </c>
      <c r="O353" s="319">
        <f>IF(AND('Ações'!AT361="sim", 'Ações'!BG361="sim"), 1, 0)
</f>
        <v>0</v>
      </c>
      <c r="P353" s="319">
        <f>IF(AND('Ações'!AT361="sim", 'Ações'!BH361="sim"), 1, 0)
</f>
        <v>0</v>
      </c>
      <c r="Q353" s="319">
        <f>IF(AND('Ações'!AT361="sim", 'Ações'!BI361="sim"), 1, 0)
</f>
        <v>0</v>
      </c>
      <c r="R353" s="319">
        <f>IF(AND('Ações'!AU361="sim", 'Ações'!BD361="sim"), 1, 0)
</f>
        <v>1</v>
      </c>
      <c r="S353" s="319">
        <f>IF(AND('Ações'!AU361="sim", 'Ações'!BE361="sim"), 1, 0)
</f>
        <v>0</v>
      </c>
      <c r="T353" s="319">
        <f>IF(AND('Ações'!AU361="sim", 'Ações'!BG361="sim"), 1, 0)
</f>
        <v>0</v>
      </c>
      <c r="U353" s="319">
        <f>IF(AND('Ações'!AU361="sim", 'Ações'!BH361="sim"), 1, 0)
</f>
        <v>0</v>
      </c>
      <c r="V353" s="319">
        <f>IF(AND('Ações'!AU361="sim", 'Ações'!BI361="sim"), 1, 0)
</f>
        <v>0</v>
      </c>
      <c r="W353" s="319">
        <f>IF(AND('Ações'!AV361="sim", 'Ações'!BD361="sim"), 1, 0)
</f>
        <v>1</v>
      </c>
      <c r="X353" s="319">
        <f>IF(AND('Ações'!AV361="sim", 'Ações'!BE361="sim"), 1, 0)
</f>
        <v>0</v>
      </c>
      <c r="Y353" s="319">
        <f>IF(AND('Ações'!AV361="sim", 'Ações'!BF361="sim"), 1, 0)
</f>
        <v>0</v>
      </c>
      <c r="Z353" s="319">
        <f>IF(AND('Ações'!AV361="sim", 'Ações'!BH361="sim"), 1, 0)
</f>
        <v>0</v>
      </c>
      <c r="AA353" s="319">
        <f>IF(AND('Ações'!AV361="sim", 'Ações'!BI361="sim"), 1, 0)
</f>
        <v>0</v>
      </c>
      <c r="AB353" s="319">
        <f>IF(AND('Ações'!AW361="sim", 'Ações'!BD361="sim"), 1, 0)
</f>
        <v>0</v>
      </c>
      <c r="AC353" s="319">
        <f>IF(AND('Ações'!AW361="sim", 'Ações'!BE361="sim"), 1, 0)
</f>
        <v>0</v>
      </c>
      <c r="AD353" s="319">
        <f>IF(AND('Ações'!AW361="sim", 'Ações'!BF361="sim"), 1, 0)
</f>
        <v>0</v>
      </c>
      <c r="AE353" s="319">
        <f>IF(AND('Ações'!AW361="sim", 'Ações'!BG361="sim"), 1, 0)
</f>
        <v>0</v>
      </c>
      <c r="AF353" s="319">
        <f>IF(AND('Ações'!AW361="sim", 'Ações'!BI361="sim"), 1, 0)
</f>
        <v>0</v>
      </c>
      <c r="AG353" s="319">
        <f>IF(AND('Ações'!AX361="sim", 'Ações'!BD361="sim"), 1, 0)
</f>
        <v>0</v>
      </c>
      <c r="AH353" s="319">
        <f>IF(AND('Ações'!AX361="sim", 'Ações'!BE361="sim"), 1, 0)
</f>
        <v>0</v>
      </c>
      <c r="AI353" s="319">
        <f>IF(AND('Ações'!AX361="sim", 'Ações'!BF361="sim"), 1, 0)
</f>
        <v>0</v>
      </c>
      <c r="AJ353" s="319">
        <f>IF(AND('Ações'!AX361="sim", 'Ações'!BG361="sim"), 1, 0)
</f>
        <v>0</v>
      </c>
      <c r="AK353" s="319">
        <f>IF(AND('Ações'!AX361="sim", 'Ações'!BH361="sim"), 1, 0)
</f>
        <v>0</v>
      </c>
    </row>
    <row r="354">
      <c r="B354" s="319">
        <f>IF(AND('Ações'!AS362="sim", 'Ações'!BD362="sim"), 1, 0)
</f>
        <v>1</v>
      </c>
      <c r="C354" s="319">
        <f>IF(AND('Ações'!AT362="sim", 'Ações'!BE362="sim"), 1, 0)
</f>
        <v>0</v>
      </c>
      <c r="D354" s="319">
        <f>IF(AND('Ações'!AU362="sim", 'Ações'!BF362="sim"), 1, 0)
</f>
        <v>0</v>
      </c>
      <c r="E354" s="319">
        <f>IF(AND('Ações'!AV362="sim", 'Ações'!BG362="sim"), 1, 0)
</f>
        <v>0</v>
      </c>
      <c r="F354" s="319">
        <f>IF(AND('Ações'!AW362="sim", 'Ações'!BH362="sim"), 1, 0)
</f>
        <v>0</v>
      </c>
      <c r="G354" s="319">
        <f>IF(AND('Ações'!AX362="sim", 'Ações'!BI362="sim"), 1, 0)
</f>
        <v>0</v>
      </c>
      <c r="H354" s="319">
        <f>IF(AND('Ações'!AS362="sim", 'Ações'!BE362="sim"), 1, 0)
</f>
        <v>0</v>
      </c>
      <c r="I354" s="319">
        <f>IF(AND('Ações'!AS362="sim", 'Ações'!BF362="sim"), 1, 0)
</f>
        <v>0</v>
      </c>
      <c r="J354" s="319">
        <f>IF(AND('Ações'!AS362="sim", 'Ações'!BG362="sim"), 1, 0)
</f>
        <v>0</v>
      </c>
      <c r="K354" s="319">
        <f>IF(AND('Ações'!AS362="sim", 'Ações'!BH362="sim"), 1, 0)
</f>
        <v>0</v>
      </c>
      <c r="L354" s="319">
        <f>IF(AND('Ações'!AS362="sim", 'Ações'!BI362="sim"), 1, 0)
</f>
        <v>0</v>
      </c>
      <c r="M354" s="319">
        <f>IF(AND('Ações'!AT362="sim", 'Ações'!BD362="sim"), 1, 0)
</f>
        <v>0</v>
      </c>
      <c r="N354" s="319">
        <f>IF(AND('Ações'!AT362="sim", 'Ações'!BF362="sim"), 1, 0)
</f>
        <v>0</v>
      </c>
      <c r="O354" s="319">
        <f>IF(AND('Ações'!AT362="sim", 'Ações'!BG362="sim"), 1, 0)
</f>
        <v>0</v>
      </c>
      <c r="P354" s="319">
        <f>IF(AND('Ações'!AT362="sim", 'Ações'!BH362="sim"), 1, 0)
</f>
        <v>0</v>
      </c>
      <c r="Q354" s="319">
        <f>IF(AND('Ações'!AT362="sim", 'Ações'!BI362="sim"), 1, 0)
</f>
        <v>0</v>
      </c>
      <c r="R354" s="319">
        <f>IF(AND('Ações'!AU362="sim", 'Ações'!BD362="sim"), 1, 0)
</f>
        <v>0</v>
      </c>
      <c r="S354" s="319">
        <f>IF(AND('Ações'!AU362="sim", 'Ações'!BE362="sim"), 1, 0)
</f>
        <v>0</v>
      </c>
      <c r="T354" s="319">
        <f>IF(AND('Ações'!AU362="sim", 'Ações'!BG362="sim"), 1, 0)
</f>
        <v>0</v>
      </c>
      <c r="U354" s="319">
        <f>IF(AND('Ações'!AU362="sim", 'Ações'!BH362="sim"), 1, 0)
</f>
        <v>0</v>
      </c>
      <c r="V354" s="319">
        <f>IF(AND('Ações'!AU362="sim", 'Ações'!BI362="sim"), 1, 0)
</f>
        <v>0</v>
      </c>
      <c r="W354" s="319">
        <f>IF(AND('Ações'!AV362="sim", 'Ações'!BD362="sim"), 1, 0)
</f>
        <v>0</v>
      </c>
      <c r="X354" s="319">
        <f>IF(AND('Ações'!AV362="sim", 'Ações'!BE362="sim"), 1, 0)
</f>
        <v>0</v>
      </c>
      <c r="Y354" s="319">
        <f>IF(AND('Ações'!AV362="sim", 'Ações'!BF362="sim"), 1, 0)
</f>
        <v>0</v>
      </c>
      <c r="Z354" s="319">
        <f>IF(AND('Ações'!AV362="sim", 'Ações'!BH362="sim"), 1, 0)
</f>
        <v>0</v>
      </c>
      <c r="AA354" s="319">
        <f>IF(AND('Ações'!AV362="sim", 'Ações'!BI362="sim"), 1, 0)
</f>
        <v>0</v>
      </c>
      <c r="AB354" s="319">
        <f>IF(AND('Ações'!AW362="sim", 'Ações'!BD362="sim"), 1, 0)
</f>
        <v>0</v>
      </c>
      <c r="AC354" s="319">
        <f>IF(AND('Ações'!AW362="sim", 'Ações'!BE362="sim"), 1, 0)
</f>
        <v>0</v>
      </c>
      <c r="AD354" s="319">
        <f>IF(AND('Ações'!AW362="sim", 'Ações'!BF362="sim"), 1, 0)
</f>
        <v>0</v>
      </c>
      <c r="AE354" s="319">
        <f>IF(AND('Ações'!AW362="sim", 'Ações'!BG362="sim"), 1, 0)
</f>
        <v>0</v>
      </c>
      <c r="AF354" s="319">
        <f>IF(AND('Ações'!AW362="sim", 'Ações'!BI362="sim"), 1, 0)
</f>
        <v>0</v>
      </c>
      <c r="AG354" s="319">
        <f>IF(AND('Ações'!AX362="sim", 'Ações'!BD362="sim"), 1, 0)
</f>
        <v>0</v>
      </c>
      <c r="AH354" s="319">
        <f>IF(AND('Ações'!AX362="sim", 'Ações'!BE362="sim"), 1, 0)
</f>
        <v>0</v>
      </c>
      <c r="AI354" s="319">
        <f>IF(AND('Ações'!AX362="sim", 'Ações'!BF362="sim"), 1, 0)
</f>
        <v>0</v>
      </c>
      <c r="AJ354" s="319">
        <f>IF(AND('Ações'!AX362="sim", 'Ações'!BG362="sim"), 1, 0)
</f>
        <v>0</v>
      </c>
      <c r="AK354" s="319">
        <f>IF(AND('Ações'!AX362="sim", 'Ações'!BH362="sim"), 1, 0)
</f>
        <v>0</v>
      </c>
    </row>
    <row r="355">
      <c r="B355" s="319">
        <f>IF(AND('Ações'!AS363="sim", 'Ações'!BD363="sim"), 1, 0)
</f>
        <v>0</v>
      </c>
      <c r="C355" s="319">
        <f>IF(AND('Ações'!AT363="sim", 'Ações'!BE363="sim"), 1, 0)
</f>
        <v>0</v>
      </c>
      <c r="D355" s="319">
        <f>IF(AND('Ações'!AU363="sim", 'Ações'!BF363="sim"), 1, 0)
</f>
        <v>0</v>
      </c>
      <c r="E355" s="319">
        <f>IF(AND('Ações'!AV363="sim", 'Ações'!BG363="sim"), 1, 0)
</f>
        <v>0</v>
      </c>
      <c r="F355" s="319">
        <f>IF(AND('Ações'!AW363="sim", 'Ações'!BH363="sim"), 1, 0)
</f>
        <v>0</v>
      </c>
      <c r="G355" s="319">
        <f>IF(AND('Ações'!AX363="sim", 'Ações'!BI363="sim"), 1, 0)
</f>
        <v>0</v>
      </c>
      <c r="H355" s="319">
        <f>IF(AND('Ações'!AS363="sim", 'Ações'!BE363="sim"), 1, 0)
</f>
        <v>0</v>
      </c>
      <c r="I355" s="319">
        <f>IF(AND('Ações'!AS363="sim", 'Ações'!BF363="sim"), 1, 0)
</f>
        <v>0</v>
      </c>
      <c r="J355" s="319">
        <f>IF(AND('Ações'!AS363="sim", 'Ações'!BG363="sim"), 1, 0)
</f>
        <v>0</v>
      </c>
      <c r="K355" s="319">
        <f>IF(AND('Ações'!AS363="sim", 'Ações'!BH363="sim"), 1, 0)
</f>
        <v>0</v>
      </c>
      <c r="L355" s="319">
        <f>IF(AND('Ações'!AS363="sim", 'Ações'!BI363="sim"), 1, 0)
</f>
        <v>1</v>
      </c>
      <c r="M355" s="319">
        <f>IF(AND('Ações'!AT363="sim", 'Ações'!BD363="sim"), 1, 0)
</f>
        <v>0</v>
      </c>
      <c r="N355" s="319">
        <f>IF(AND('Ações'!AT363="sim", 'Ações'!BF363="sim"), 1, 0)
</f>
        <v>0</v>
      </c>
      <c r="O355" s="319">
        <f>IF(AND('Ações'!AT363="sim", 'Ações'!BG363="sim"), 1, 0)
</f>
        <v>0</v>
      </c>
      <c r="P355" s="319">
        <f>IF(AND('Ações'!AT363="sim", 'Ações'!BH363="sim"), 1, 0)
</f>
        <v>0</v>
      </c>
      <c r="Q355" s="319">
        <f>IF(AND('Ações'!AT363="sim", 'Ações'!BI363="sim"), 1, 0)
</f>
        <v>0</v>
      </c>
      <c r="R355" s="319">
        <f>IF(AND('Ações'!AU363="sim", 'Ações'!BD363="sim"), 1, 0)
</f>
        <v>0</v>
      </c>
      <c r="S355" s="319">
        <f>IF(AND('Ações'!AU363="sim", 'Ações'!BE363="sim"), 1, 0)
</f>
        <v>0</v>
      </c>
      <c r="T355" s="319">
        <f>IF(AND('Ações'!AU363="sim", 'Ações'!BG363="sim"), 1, 0)
</f>
        <v>0</v>
      </c>
      <c r="U355" s="319">
        <f>IF(AND('Ações'!AU363="sim", 'Ações'!BH363="sim"), 1, 0)
</f>
        <v>0</v>
      </c>
      <c r="V355" s="319">
        <f>IF(AND('Ações'!AU363="sim", 'Ações'!BI363="sim"), 1, 0)
</f>
        <v>0</v>
      </c>
      <c r="W355" s="319">
        <f>IF(AND('Ações'!AV363="sim", 'Ações'!BD363="sim"), 1, 0)
</f>
        <v>0</v>
      </c>
      <c r="X355" s="319">
        <f>IF(AND('Ações'!AV363="sim", 'Ações'!BE363="sim"), 1, 0)
</f>
        <v>0</v>
      </c>
      <c r="Y355" s="319">
        <f>IF(AND('Ações'!AV363="sim", 'Ações'!BF363="sim"), 1, 0)
</f>
        <v>0</v>
      </c>
      <c r="Z355" s="319">
        <f>IF(AND('Ações'!AV363="sim", 'Ações'!BH363="sim"), 1, 0)
</f>
        <v>0</v>
      </c>
      <c r="AA355" s="319">
        <f>IF(AND('Ações'!AV363="sim", 'Ações'!BI363="sim"), 1, 0)
</f>
        <v>0</v>
      </c>
      <c r="AB355" s="319">
        <f>IF(AND('Ações'!AW363="sim", 'Ações'!BD363="sim"), 1, 0)
</f>
        <v>0</v>
      </c>
      <c r="AC355" s="319">
        <f>IF(AND('Ações'!AW363="sim", 'Ações'!BE363="sim"), 1, 0)
</f>
        <v>0</v>
      </c>
      <c r="AD355" s="319">
        <f>IF(AND('Ações'!AW363="sim", 'Ações'!BF363="sim"), 1, 0)
</f>
        <v>0</v>
      </c>
      <c r="AE355" s="319">
        <f>IF(AND('Ações'!AW363="sim", 'Ações'!BG363="sim"), 1, 0)
</f>
        <v>0</v>
      </c>
      <c r="AF355" s="319">
        <f>IF(AND('Ações'!AW363="sim", 'Ações'!BI363="sim"), 1, 0)
</f>
        <v>0</v>
      </c>
      <c r="AG355" s="319">
        <f>IF(AND('Ações'!AX363="sim", 'Ações'!BD363="sim"), 1, 0)
</f>
        <v>0</v>
      </c>
      <c r="AH355" s="319">
        <f>IF(AND('Ações'!AX363="sim", 'Ações'!BE363="sim"), 1, 0)
</f>
        <v>0</v>
      </c>
      <c r="AI355" s="319">
        <f>IF(AND('Ações'!AX363="sim", 'Ações'!BF363="sim"), 1, 0)
</f>
        <v>0</v>
      </c>
      <c r="AJ355" s="319">
        <f>IF(AND('Ações'!AX363="sim", 'Ações'!BG363="sim"), 1, 0)
</f>
        <v>0</v>
      </c>
      <c r="AK355" s="319">
        <f>IF(AND('Ações'!AX363="sim", 'Ações'!BH363="sim"), 1, 0)
</f>
        <v>0</v>
      </c>
    </row>
    <row r="356">
      <c r="B356" s="319">
        <f>IF(AND('Ações'!AS364="sim", 'Ações'!BD364="sim"), 1, 0)
</f>
        <v>1</v>
      </c>
      <c r="C356" s="319">
        <f>IF(AND('Ações'!AT364="sim", 'Ações'!BE364="sim"), 1, 0)
</f>
        <v>0</v>
      </c>
      <c r="D356" s="319">
        <f>IF(AND('Ações'!AU364="sim", 'Ações'!BF364="sim"), 1, 0)
</f>
        <v>0</v>
      </c>
      <c r="E356" s="319">
        <f>IF(AND('Ações'!AV364="sim", 'Ações'!BG364="sim"), 1, 0)
</f>
        <v>0</v>
      </c>
      <c r="F356" s="319">
        <f>IF(AND('Ações'!AW364="sim", 'Ações'!BH364="sim"), 1, 0)
</f>
        <v>0</v>
      </c>
      <c r="G356" s="319">
        <f>IF(AND('Ações'!AX364="sim", 'Ações'!BI364="sim"), 1, 0)
</f>
        <v>0</v>
      </c>
      <c r="H356" s="319">
        <f>IF(AND('Ações'!AS364="sim", 'Ações'!BE364="sim"), 1, 0)
</f>
        <v>0</v>
      </c>
      <c r="I356" s="319">
        <f>IF(AND('Ações'!AS364="sim", 'Ações'!BF364="sim"), 1, 0)
</f>
        <v>0</v>
      </c>
      <c r="J356" s="319">
        <f>IF(AND('Ações'!AS364="sim", 'Ações'!BG364="sim"), 1, 0)
</f>
        <v>0</v>
      </c>
      <c r="K356" s="319">
        <f>IF(AND('Ações'!AS364="sim", 'Ações'!BH364="sim"), 1, 0)
</f>
        <v>0</v>
      </c>
      <c r="L356" s="319">
        <f>IF(AND('Ações'!AS364="sim", 'Ações'!BI364="sim"), 1, 0)
</f>
        <v>0</v>
      </c>
      <c r="M356" s="319">
        <f>IF(AND('Ações'!AT364="sim", 'Ações'!BD364="sim"), 1, 0)
</f>
        <v>0</v>
      </c>
      <c r="N356" s="319">
        <f>IF(AND('Ações'!AT364="sim", 'Ações'!BF364="sim"), 1, 0)
</f>
        <v>0</v>
      </c>
      <c r="O356" s="319">
        <f>IF(AND('Ações'!AT364="sim", 'Ações'!BG364="sim"), 1, 0)
</f>
        <v>0</v>
      </c>
      <c r="P356" s="319">
        <f>IF(AND('Ações'!AT364="sim", 'Ações'!BH364="sim"), 1, 0)
</f>
        <v>0</v>
      </c>
      <c r="Q356" s="319">
        <f>IF(AND('Ações'!AT364="sim", 'Ações'!BI364="sim"), 1, 0)
</f>
        <v>0</v>
      </c>
      <c r="R356" s="319">
        <f>IF(AND('Ações'!AU364="sim", 'Ações'!BD364="sim"), 1, 0)
</f>
        <v>0</v>
      </c>
      <c r="S356" s="319">
        <f>IF(AND('Ações'!AU364="sim", 'Ações'!BE364="sim"), 1, 0)
</f>
        <v>0</v>
      </c>
      <c r="T356" s="319">
        <f>IF(AND('Ações'!AU364="sim", 'Ações'!BG364="sim"), 1, 0)
</f>
        <v>0</v>
      </c>
      <c r="U356" s="319">
        <f>IF(AND('Ações'!AU364="sim", 'Ações'!BH364="sim"), 1, 0)
</f>
        <v>0</v>
      </c>
      <c r="V356" s="319">
        <f>IF(AND('Ações'!AU364="sim", 'Ações'!BI364="sim"), 1, 0)
</f>
        <v>0</v>
      </c>
      <c r="W356" s="319">
        <f>IF(AND('Ações'!AV364="sim", 'Ações'!BD364="sim"), 1, 0)
</f>
        <v>0</v>
      </c>
      <c r="X356" s="319">
        <f>IF(AND('Ações'!AV364="sim", 'Ações'!BE364="sim"), 1, 0)
</f>
        <v>0</v>
      </c>
      <c r="Y356" s="319">
        <f>IF(AND('Ações'!AV364="sim", 'Ações'!BF364="sim"), 1, 0)
</f>
        <v>0</v>
      </c>
      <c r="Z356" s="319">
        <f>IF(AND('Ações'!AV364="sim", 'Ações'!BH364="sim"), 1, 0)
</f>
        <v>0</v>
      </c>
      <c r="AA356" s="319">
        <f>IF(AND('Ações'!AV364="sim", 'Ações'!BI364="sim"), 1, 0)
</f>
        <v>0</v>
      </c>
      <c r="AB356" s="319">
        <f>IF(AND('Ações'!AW364="sim", 'Ações'!BD364="sim"), 1, 0)
</f>
        <v>0</v>
      </c>
      <c r="AC356" s="319">
        <f>IF(AND('Ações'!AW364="sim", 'Ações'!BE364="sim"), 1, 0)
</f>
        <v>0</v>
      </c>
      <c r="AD356" s="319">
        <f>IF(AND('Ações'!AW364="sim", 'Ações'!BF364="sim"), 1, 0)
</f>
        <v>0</v>
      </c>
      <c r="AE356" s="319">
        <f>IF(AND('Ações'!AW364="sim", 'Ações'!BG364="sim"), 1, 0)
</f>
        <v>0</v>
      </c>
      <c r="AF356" s="319">
        <f>IF(AND('Ações'!AW364="sim", 'Ações'!BI364="sim"), 1, 0)
</f>
        <v>0</v>
      </c>
      <c r="AG356" s="319">
        <f>IF(AND('Ações'!AX364="sim", 'Ações'!BD364="sim"), 1, 0)
</f>
        <v>0</v>
      </c>
      <c r="AH356" s="319">
        <f>IF(AND('Ações'!AX364="sim", 'Ações'!BE364="sim"), 1, 0)
</f>
        <v>0</v>
      </c>
      <c r="AI356" s="319">
        <f>IF(AND('Ações'!AX364="sim", 'Ações'!BF364="sim"), 1, 0)
</f>
        <v>0</v>
      </c>
      <c r="AJ356" s="319">
        <f>IF(AND('Ações'!AX364="sim", 'Ações'!BG364="sim"), 1, 0)
</f>
        <v>0</v>
      </c>
      <c r="AK356" s="319">
        <f>IF(AND('Ações'!AX364="sim", 'Ações'!BH364="sim"), 1, 0)
</f>
        <v>0</v>
      </c>
    </row>
    <row r="357">
      <c r="B357" s="319">
        <f>IF(AND('Ações'!AS365="sim", 'Ações'!BD365="sim"), 1, 0)
</f>
        <v>1</v>
      </c>
      <c r="C357" s="319">
        <f>IF(AND('Ações'!AT365="sim", 'Ações'!BE365="sim"), 1, 0)
</f>
        <v>0</v>
      </c>
      <c r="D357" s="319">
        <f>IF(AND('Ações'!AU365="sim", 'Ações'!BF365="sim"), 1, 0)
</f>
        <v>0</v>
      </c>
      <c r="E357" s="319">
        <f>IF(AND('Ações'!AV365="sim", 'Ações'!BG365="sim"), 1, 0)
</f>
        <v>0</v>
      </c>
      <c r="F357" s="319">
        <f>IF(AND('Ações'!AW365="sim", 'Ações'!BH365="sim"), 1, 0)
</f>
        <v>0</v>
      </c>
      <c r="G357" s="319">
        <f>IF(AND('Ações'!AX365="sim", 'Ações'!BI365="sim"), 1, 0)
</f>
        <v>0</v>
      </c>
      <c r="H357" s="319">
        <f>IF(AND('Ações'!AS365="sim", 'Ações'!BE365="sim"), 1, 0)
</f>
        <v>0</v>
      </c>
      <c r="I357" s="319">
        <f>IF(AND('Ações'!AS365="sim", 'Ações'!BF365="sim"), 1, 0)
</f>
        <v>0</v>
      </c>
      <c r="J357" s="319">
        <f>IF(AND('Ações'!AS365="sim", 'Ações'!BG365="sim"), 1, 0)
</f>
        <v>0</v>
      </c>
      <c r="K357" s="319">
        <f>IF(AND('Ações'!AS365="sim", 'Ações'!BH365="sim"), 1, 0)
</f>
        <v>0</v>
      </c>
      <c r="L357" s="319">
        <f>IF(AND('Ações'!AS365="sim", 'Ações'!BI365="sim"), 1, 0)
</f>
        <v>0</v>
      </c>
      <c r="M357" s="319">
        <f>IF(AND('Ações'!AT365="sim", 'Ações'!BD365="sim"), 1, 0)
</f>
        <v>0</v>
      </c>
      <c r="N357" s="319">
        <f>IF(AND('Ações'!AT365="sim", 'Ações'!BF365="sim"), 1, 0)
</f>
        <v>0</v>
      </c>
      <c r="O357" s="319">
        <f>IF(AND('Ações'!AT365="sim", 'Ações'!BG365="sim"), 1, 0)
</f>
        <v>0</v>
      </c>
      <c r="P357" s="319">
        <f>IF(AND('Ações'!AT365="sim", 'Ações'!BH365="sim"), 1, 0)
</f>
        <v>0</v>
      </c>
      <c r="Q357" s="319">
        <f>IF(AND('Ações'!AT365="sim", 'Ações'!BI365="sim"), 1, 0)
</f>
        <v>0</v>
      </c>
      <c r="R357" s="319">
        <f>IF(AND('Ações'!AU365="sim", 'Ações'!BD365="sim"), 1, 0)
</f>
        <v>0</v>
      </c>
      <c r="S357" s="319">
        <f>IF(AND('Ações'!AU365="sim", 'Ações'!BE365="sim"), 1, 0)
</f>
        <v>0</v>
      </c>
      <c r="T357" s="319">
        <f>IF(AND('Ações'!AU365="sim", 'Ações'!BG365="sim"), 1, 0)
</f>
        <v>0</v>
      </c>
      <c r="U357" s="319">
        <f>IF(AND('Ações'!AU365="sim", 'Ações'!BH365="sim"), 1, 0)
</f>
        <v>0</v>
      </c>
      <c r="V357" s="319">
        <f>IF(AND('Ações'!AU365="sim", 'Ações'!BI365="sim"), 1, 0)
</f>
        <v>0</v>
      </c>
      <c r="W357" s="319">
        <f>IF(AND('Ações'!AV365="sim", 'Ações'!BD365="sim"), 1, 0)
</f>
        <v>0</v>
      </c>
      <c r="X357" s="319">
        <f>IF(AND('Ações'!AV365="sim", 'Ações'!BE365="sim"), 1, 0)
</f>
        <v>0</v>
      </c>
      <c r="Y357" s="319">
        <f>IF(AND('Ações'!AV365="sim", 'Ações'!BF365="sim"), 1, 0)
</f>
        <v>0</v>
      </c>
      <c r="Z357" s="319">
        <f>IF(AND('Ações'!AV365="sim", 'Ações'!BH365="sim"), 1, 0)
</f>
        <v>0</v>
      </c>
      <c r="AA357" s="319">
        <f>IF(AND('Ações'!AV365="sim", 'Ações'!BI365="sim"), 1, 0)
</f>
        <v>0</v>
      </c>
      <c r="AB357" s="319">
        <f>IF(AND('Ações'!AW365="sim", 'Ações'!BD365="sim"), 1, 0)
</f>
        <v>0</v>
      </c>
      <c r="AC357" s="319">
        <f>IF(AND('Ações'!AW365="sim", 'Ações'!BE365="sim"), 1, 0)
</f>
        <v>0</v>
      </c>
      <c r="AD357" s="319">
        <f>IF(AND('Ações'!AW365="sim", 'Ações'!BF365="sim"), 1, 0)
</f>
        <v>0</v>
      </c>
      <c r="AE357" s="319">
        <f>IF(AND('Ações'!AW365="sim", 'Ações'!BG365="sim"), 1, 0)
</f>
        <v>0</v>
      </c>
      <c r="AF357" s="319">
        <f>IF(AND('Ações'!AW365="sim", 'Ações'!BI365="sim"), 1, 0)
</f>
        <v>0</v>
      </c>
      <c r="AG357" s="319">
        <f>IF(AND('Ações'!AX365="sim", 'Ações'!BD365="sim"), 1, 0)
</f>
        <v>0</v>
      </c>
      <c r="AH357" s="319">
        <f>IF(AND('Ações'!AX365="sim", 'Ações'!BE365="sim"), 1, 0)
</f>
        <v>0</v>
      </c>
      <c r="AI357" s="319">
        <f>IF(AND('Ações'!AX365="sim", 'Ações'!BF365="sim"), 1, 0)
</f>
        <v>0</v>
      </c>
      <c r="AJ357" s="319">
        <f>IF(AND('Ações'!AX365="sim", 'Ações'!BG365="sim"), 1, 0)
</f>
        <v>0</v>
      </c>
      <c r="AK357" s="319">
        <f>IF(AND('Ações'!AX365="sim", 'Ações'!BH365="sim"), 1, 0)
</f>
        <v>0</v>
      </c>
    </row>
    <row r="358">
      <c r="B358" s="319">
        <f>IF(AND('Ações'!AS366="sim", 'Ações'!BD366="sim"), 1, 0)
</f>
        <v>1</v>
      </c>
      <c r="C358" s="319">
        <f>IF(AND('Ações'!AT366="sim", 'Ações'!BE366="sim"), 1, 0)
</f>
        <v>0</v>
      </c>
      <c r="D358" s="319">
        <f>IF(AND('Ações'!AU366="sim", 'Ações'!BF366="sim"), 1, 0)
</f>
        <v>0</v>
      </c>
      <c r="E358" s="319">
        <f>IF(AND('Ações'!AV366="sim", 'Ações'!BG366="sim"), 1, 0)
</f>
        <v>0</v>
      </c>
      <c r="F358" s="319">
        <f>IF(AND('Ações'!AW366="sim", 'Ações'!BH366="sim"), 1, 0)
</f>
        <v>0</v>
      </c>
      <c r="G358" s="319">
        <f>IF(AND('Ações'!AX366="sim", 'Ações'!BI366="sim"), 1, 0)
</f>
        <v>0</v>
      </c>
      <c r="H358" s="319">
        <f>IF(AND('Ações'!AS366="sim", 'Ações'!BE366="sim"), 1, 0)
</f>
        <v>0</v>
      </c>
      <c r="I358" s="319">
        <f>IF(AND('Ações'!AS366="sim", 'Ações'!BF366="sim"), 1, 0)
</f>
        <v>0</v>
      </c>
      <c r="J358" s="319">
        <f>IF(AND('Ações'!AS366="sim", 'Ações'!BG366="sim"), 1, 0)
</f>
        <v>0</v>
      </c>
      <c r="K358" s="319">
        <f>IF(AND('Ações'!AS366="sim", 'Ações'!BH366="sim"), 1, 0)
</f>
        <v>0</v>
      </c>
      <c r="L358" s="319">
        <f>IF(AND('Ações'!AS366="sim", 'Ações'!BI366="sim"), 1, 0)
</f>
        <v>0</v>
      </c>
      <c r="M358" s="319">
        <f>IF(AND('Ações'!AT366="sim", 'Ações'!BD366="sim"), 1, 0)
</f>
        <v>0</v>
      </c>
      <c r="N358" s="319">
        <f>IF(AND('Ações'!AT366="sim", 'Ações'!BF366="sim"), 1, 0)
</f>
        <v>0</v>
      </c>
      <c r="O358" s="319">
        <f>IF(AND('Ações'!AT366="sim", 'Ações'!BG366="sim"), 1, 0)
</f>
        <v>0</v>
      </c>
      <c r="P358" s="319">
        <f>IF(AND('Ações'!AT366="sim", 'Ações'!BH366="sim"), 1, 0)
</f>
        <v>0</v>
      </c>
      <c r="Q358" s="319">
        <f>IF(AND('Ações'!AT366="sim", 'Ações'!BI366="sim"), 1, 0)
</f>
        <v>0</v>
      </c>
      <c r="R358" s="319">
        <f>IF(AND('Ações'!AU366="sim", 'Ações'!BD366="sim"), 1, 0)
</f>
        <v>0</v>
      </c>
      <c r="S358" s="319">
        <f>IF(AND('Ações'!AU366="sim", 'Ações'!BE366="sim"), 1, 0)
</f>
        <v>0</v>
      </c>
      <c r="T358" s="319">
        <f>IF(AND('Ações'!AU366="sim", 'Ações'!BG366="sim"), 1, 0)
</f>
        <v>0</v>
      </c>
      <c r="U358" s="319">
        <f>IF(AND('Ações'!AU366="sim", 'Ações'!BH366="sim"), 1, 0)
</f>
        <v>0</v>
      </c>
      <c r="V358" s="319">
        <f>IF(AND('Ações'!AU366="sim", 'Ações'!BI366="sim"), 1, 0)
</f>
        <v>0</v>
      </c>
      <c r="W358" s="319">
        <f>IF(AND('Ações'!AV366="sim", 'Ações'!BD366="sim"), 1, 0)
</f>
        <v>0</v>
      </c>
      <c r="X358" s="319">
        <f>IF(AND('Ações'!AV366="sim", 'Ações'!BE366="sim"), 1, 0)
</f>
        <v>0</v>
      </c>
      <c r="Y358" s="319">
        <f>IF(AND('Ações'!AV366="sim", 'Ações'!BF366="sim"), 1, 0)
</f>
        <v>0</v>
      </c>
      <c r="Z358" s="319">
        <f>IF(AND('Ações'!AV366="sim", 'Ações'!BH366="sim"), 1, 0)
</f>
        <v>0</v>
      </c>
      <c r="AA358" s="319">
        <f>IF(AND('Ações'!AV366="sim", 'Ações'!BI366="sim"), 1, 0)
</f>
        <v>0</v>
      </c>
      <c r="AB358" s="319">
        <f>IF(AND('Ações'!AW366="sim", 'Ações'!BD366="sim"), 1, 0)
</f>
        <v>0</v>
      </c>
      <c r="AC358" s="319">
        <f>IF(AND('Ações'!AW366="sim", 'Ações'!BE366="sim"), 1, 0)
</f>
        <v>0</v>
      </c>
      <c r="AD358" s="319">
        <f>IF(AND('Ações'!AW366="sim", 'Ações'!BF366="sim"), 1, 0)
</f>
        <v>0</v>
      </c>
      <c r="AE358" s="319">
        <f>IF(AND('Ações'!AW366="sim", 'Ações'!BG366="sim"), 1, 0)
</f>
        <v>0</v>
      </c>
      <c r="AF358" s="319">
        <f>IF(AND('Ações'!AW366="sim", 'Ações'!BI366="sim"), 1, 0)
</f>
        <v>0</v>
      </c>
      <c r="AG358" s="319">
        <f>IF(AND('Ações'!AX366="sim", 'Ações'!BD366="sim"), 1, 0)
</f>
        <v>0</v>
      </c>
      <c r="AH358" s="319">
        <f>IF(AND('Ações'!AX366="sim", 'Ações'!BE366="sim"), 1, 0)
</f>
        <v>0</v>
      </c>
      <c r="AI358" s="319">
        <f>IF(AND('Ações'!AX366="sim", 'Ações'!BF366="sim"), 1, 0)
</f>
        <v>0</v>
      </c>
      <c r="AJ358" s="319">
        <f>IF(AND('Ações'!AX366="sim", 'Ações'!BG366="sim"), 1, 0)
</f>
        <v>0</v>
      </c>
      <c r="AK358" s="319">
        <f>IF(AND('Ações'!AX366="sim", 'Ações'!BH366="sim"), 1, 0)
</f>
        <v>0</v>
      </c>
    </row>
    <row r="359">
      <c r="B359" s="319">
        <f>IF(AND('Ações'!AS367="sim", 'Ações'!BD367="sim"), 1, 0)
</f>
        <v>1</v>
      </c>
      <c r="C359" s="319">
        <f>IF(AND('Ações'!AT367="sim", 'Ações'!BE367="sim"), 1, 0)
</f>
        <v>0</v>
      </c>
      <c r="D359" s="319">
        <f>IF(AND('Ações'!AU367="sim", 'Ações'!BF367="sim"), 1, 0)
</f>
        <v>0</v>
      </c>
      <c r="E359" s="319">
        <f>IF(AND('Ações'!AV367="sim", 'Ações'!BG367="sim"), 1, 0)
</f>
        <v>0</v>
      </c>
      <c r="F359" s="319">
        <f>IF(AND('Ações'!AW367="sim", 'Ações'!BH367="sim"), 1, 0)
</f>
        <v>0</v>
      </c>
      <c r="G359" s="319">
        <f>IF(AND('Ações'!AX367="sim", 'Ações'!BI367="sim"), 1, 0)
</f>
        <v>0</v>
      </c>
      <c r="H359" s="319">
        <f>IF(AND('Ações'!AS367="sim", 'Ações'!BE367="sim"), 1, 0)
</f>
        <v>0</v>
      </c>
      <c r="I359" s="319">
        <f>IF(AND('Ações'!AS367="sim", 'Ações'!BF367="sim"), 1, 0)
</f>
        <v>0</v>
      </c>
      <c r="J359" s="319">
        <f>IF(AND('Ações'!AS367="sim", 'Ações'!BG367="sim"), 1, 0)
</f>
        <v>0</v>
      </c>
      <c r="K359" s="319">
        <f>IF(AND('Ações'!AS367="sim", 'Ações'!BH367="sim"), 1, 0)
</f>
        <v>0</v>
      </c>
      <c r="L359" s="319">
        <f>IF(AND('Ações'!AS367="sim", 'Ações'!BI367="sim"), 1, 0)
</f>
        <v>1</v>
      </c>
      <c r="M359" s="319">
        <f>IF(AND('Ações'!AT367="sim", 'Ações'!BD367="sim"), 1, 0)
</f>
        <v>0</v>
      </c>
      <c r="N359" s="319">
        <f>IF(AND('Ações'!AT367="sim", 'Ações'!BF367="sim"), 1, 0)
</f>
        <v>0</v>
      </c>
      <c r="O359" s="319">
        <f>IF(AND('Ações'!AT367="sim", 'Ações'!BG367="sim"), 1, 0)
</f>
        <v>0</v>
      </c>
      <c r="P359" s="319">
        <f>IF(AND('Ações'!AT367="sim", 'Ações'!BH367="sim"), 1, 0)
</f>
        <v>0</v>
      </c>
      <c r="Q359" s="319">
        <f>IF(AND('Ações'!AT367="sim", 'Ações'!BI367="sim"), 1, 0)
</f>
        <v>0</v>
      </c>
      <c r="R359" s="319">
        <f>IF(AND('Ações'!AU367="sim", 'Ações'!BD367="sim"), 1, 0)
</f>
        <v>0</v>
      </c>
      <c r="S359" s="319">
        <f>IF(AND('Ações'!AU367="sim", 'Ações'!BE367="sim"), 1, 0)
</f>
        <v>0</v>
      </c>
      <c r="T359" s="319">
        <f>IF(AND('Ações'!AU367="sim", 'Ações'!BG367="sim"), 1, 0)
</f>
        <v>0</v>
      </c>
      <c r="U359" s="319">
        <f>IF(AND('Ações'!AU367="sim", 'Ações'!BH367="sim"), 1, 0)
</f>
        <v>0</v>
      </c>
      <c r="V359" s="319">
        <f>IF(AND('Ações'!AU367="sim", 'Ações'!BI367="sim"), 1, 0)
</f>
        <v>0</v>
      </c>
      <c r="W359" s="319">
        <f>IF(AND('Ações'!AV367="sim", 'Ações'!BD367="sim"), 1, 0)
</f>
        <v>0</v>
      </c>
      <c r="X359" s="319">
        <f>IF(AND('Ações'!AV367="sim", 'Ações'!BE367="sim"), 1, 0)
</f>
        <v>0</v>
      </c>
      <c r="Y359" s="319">
        <f>IF(AND('Ações'!AV367="sim", 'Ações'!BF367="sim"), 1, 0)
</f>
        <v>0</v>
      </c>
      <c r="Z359" s="319">
        <f>IF(AND('Ações'!AV367="sim", 'Ações'!BH367="sim"), 1, 0)
</f>
        <v>0</v>
      </c>
      <c r="AA359" s="319">
        <f>IF(AND('Ações'!AV367="sim", 'Ações'!BI367="sim"), 1, 0)
</f>
        <v>0</v>
      </c>
      <c r="AB359" s="319">
        <f>IF(AND('Ações'!AW367="sim", 'Ações'!BD367="sim"), 1, 0)
</f>
        <v>0</v>
      </c>
      <c r="AC359" s="319">
        <f>IF(AND('Ações'!AW367="sim", 'Ações'!BE367="sim"), 1, 0)
</f>
        <v>0</v>
      </c>
      <c r="AD359" s="319">
        <f>IF(AND('Ações'!AW367="sim", 'Ações'!BF367="sim"), 1, 0)
</f>
        <v>0</v>
      </c>
      <c r="AE359" s="319">
        <f>IF(AND('Ações'!AW367="sim", 'Ações'!BG367="sim"), 1, 0)
</f>
        <v>0</v>
      </c>
      <c r="AF359" s="319">
        <f>IF(AND('Ações'!AW367="sim", 'Ações'!BI367="sim"), 1, 0)
</f>
        <v>0</v>
      </c>
      <c r="AG359" s="319">
        <f>IF(AND('Ações'!AX367="sim", 'Ações'!BD367="sim"), 1, 0)
</f>
        <v>0</v>
      </c>
      <c r="AH359" s="319">
        <f>IF(AND('Ações'!AX367="sim", 'Ações'!BE367="sim"), 1, 0)
</f>
        <v>0</v>
      </c>
      <c r="AI359" s="319">
        <f>IF(AND('Ações'!AX367="sim", 'Ações'!BF367="sim"), 1, 0)
</f>
        <v>0</v>
      </c>
      <c r="AJ359" s="319">
        <f>IF(AND('Ações'!AX367="sim", 'Ações'!BG367="sim"), 1, 0)
</f>
        <v>0</v>
      </c>
      <c r="AK359" s="319">
        <f>IF(AND('Ações'!AX367="sim", 'Ações'!BH367="sim"), 1, 0)
</f>
        <v>0</v>
      </c>
    </row>
    <row r="360">
      <c r="B360" s="319">
        <f>IF(AND('Ações'!AS368="sim", 'Ações'!BD368="sim"), 1, 0)
</f>
        <v>1</v>
      </c>
      <c r="C360" s="319">
        <f>IF(AND('Ações'!AT368="sim", 'Ações'!BE368="sim"), 1, 0)
</f>
        <v>0</v>
      </c>
      <c r="D360" s="319">
        <f>IF(AND('Ações'!AU368="sim", 'Ações'!BF368="sim"), 1, 0)
</f>
        <v>0</v>
      </c>
      <c r="E360" s="319">
        <f>IF(AND('Ações'!AV368="sim", 'Ações'!BG368="sim"), 1, 0)
</f>
        <v>0</v>
      </c>
      <c r="F360" s="319">
        <f>IF(AND('Ações'!AW368="sim", 'Ações'!BH368="sim"), 1, 0)
</f>
        <v>0</v>
      </c>
      <c r="G360" s="319">
        <f>IF(AND('Ações'!AX368="sim", 'Ações'!BI368="sim"), 1, 0)
</f>
        <v>0</v>
      </c>
      <c r="H360" s="319">
        <f>IF(AND('Ações'!AS368="sim", 'Ações'!BE368="sim"), 1, 0)
</f>
        <v>0</v>
      </c>
      <c r="I360" s="319">
        <f>IF(AND('Ações'!AS368="sim", 'Ações'!BF368="sim"), 1, 0)
</f>
        <v>0</v>
      </c>
      <c r="J360" s="319">
        <f>IF(AND('Ações'!AS368="sim", 'Ações'!BG368="sim"), 1, 0)
</f>
        <v>0</v>
      </c>
      <c r="K360" s="319">
        <f>IF(AND('Ações'!AS368="sim", 'Ações'!BH368="sim"), 1, 0)
</f>
        <v>0</v>
      </c>
      <c r="L360" s="319">
        <f>IF(AND('Ações'!AS368="sim", 'Ações'!BI368="sim"), 1, 0)
</f>
        <v>0</v>
      </c>
      <c r="M360" s="319">
        <f>IF(AND('Ações'!AT368="sim", 'Ações'!BD368="sim"), 1, 0)
</f>
        <v>0</v>
      </c>
      <c r="N360" s="319">
        <f>IF(AND('Ações'!AT368="sim", 'Ações'!BF368="sim"), 1, 0)
</f>
        <v>0</v>
      </c>
      <c r="O360" s="319">
        <f>IF(AND('Ações'!AT368="sim", 'Ações'!BG368="sim"), 1, 0)
</f>
        <v>0</v>
      </c>
      <c r="P360" s="319">
        <f>IF(AND('Ações'!AT368="sim", 'Ações'!BH368="sim"), 1, 0)
</f>
        <v>0</v>
      </c>
      <c r="Q360" s="319">
        <f>IF(AND('Ações'!AT368="sim", 'Ações'!BI368="sim"), 1, 0)
</f>
        <v>0</v>
      </c>
      <c r="R360" s="319">
        <f>IF(AND('Ações'!AU368="sim", 'Ações'!BD368="sim"), 1, 0)
</f>
        <v>0</v>
      </c>
      <c r="S360" s="319">
        <f>IF(AND('Ações'!AU368="sim", 'Ações'!BE368="sim"), 1, 0)
</f>
        <v>0</v>
      </c>
      <c r="T360" s="319">
        <f>IF(AND('Ações'!AU368="sim", 'Ações'!BG368="sim"), 1, 0)
</f>
        <v>0</v>
      </c>
      <c r="U360" s="319">
        <f>IF(AND('Ações'!AU368="sim", 'Ações'!BH368="sim"), 1, 0)
</f>
        <v>0</v>
      </c>
      <c r="V360" s="319">
        <f>IF(AND('Ações'!AU368="sim", 'Ações'!BI368="sim"), 1, 0)
</f>
        <v>0</v>
      </c>
      <c r="W360" s="319">
        <f>IF(AND('Ações'!AV368="sim", 'Ações'!BD368="sim"), 1, 0)
</f>
        <v>0</v>
      </c>
      <c r="X360" s="319">
        <f>IF(AND('Ações'!AV368="sim", 'Ações'!BE368="sim"), 1, 0)
</f>
        <v>0</v>
      </c>
      <c r="Y360" s="319">
        <f>IF(AND('Ações'!AV368="sim", 'Ações'!BF368="sim"), 1, 0)
</f>
        <v>0</v>
      </c>
      <c r="Z360" s="319">
        <f>IF(AND('Ações'!AV368="sim", 'Ações'!BH368="sim"), 1, 0)
</f>
        <v>0</v>
      </c>
      <c r="AA360" s="319">
        <f>IF(AND('Ações'!AV368="sim", 'Ações'!BI368="sim"), 1, 0)
</f>
        <v>0</v>
      </c>
      <c r="AB360" s="319">
        <f>IF(AND('Ações'!AW368="sim", 'Ações'!BD368="sim"), 1, 0)
</f>
        <v>0</v>
      </c>
      <c r="AC360" s="319">
        <f>IF(AND('Ações'!AW368="sim", 'Ações'!BE368="sim"), 1, 0)
</f>
        <v>0</v>
      </c>
      <c r="AD360" s="319">
        <f>IF(AND('Ações'!AW368="sim", 'Ações'!BF368="sim"), 1, 0)
</f>
        <v>0</v>
      </c>
      <c r="AE360" s="319">
        <f>IF(AND('Ações'!AW368="sim", 'Ações'!BG368="sim"), 1, 0)
</f>
        <v>0</v>
      </c>
      <c r="AF360" s="319">
        <f>IF(AND('Ações'!AW368="sim", 'Ações'!BI368="sim"), 1, 0)
</f>
        <v>0</v>
      </c>
      <c r="AG360" s="319">
        <f>IF(AND('Ações'!AX368="sim", 'Ações'!BD368="sim"), 1, 0)
</f>
        <v>0</v>
      </c>
      <c r="AH360" s="319">
        <f>IF(AND('Ações'!AX368="sim", 'Ações'!BE368="sim"), 1, 0)
</f>
        <v>0</v>
      </c>
      <c r="AI360" s="319">
        <f>IF(AND('Ações'!AX368="sim", 'Ações'!BF368="sim"), 1, 0)
</f>
        <v>0</v>
      </c>
      <c r="AJ360" s="319">
        <f>IF(AND('Ações'!AX368="sim", 'Ações'!BG368="sim"), 1, 0)
</f>
        <v>0</v>
      </c>
      <c r="AK360" s="319">
        <f>IF(AND('Ações'!AX368="sim", 'Ações'!BH368="sim"), 1, 0)
</f>
        <v>0</v>
      </c>
    </row>
    <row r="361">
      <c r="B361" s="319">
        <f>IF(AND('Ações'!AS369="sim", 'Ações'!BD369="sim"), 1, 0)
</f>
        <v>1</v>
      </c>
      <c r="C361" s="319">
        <f>IF(AND('Ações'!AT369="sim", 'Ações'!BE369="sim"), 1, 0)
</f>
        <v>0</v>
      </c>
      <c r="D361" s="319">
        <f>IF(AND('Ações'!AU369="sim", 'Ações'!BF369="sim"), 1, 0)
</f>
        <v>0</v>
      </c>
      <c r="E361" s="319">
        <f>IF(AND('Ações'!AV369="sim", 'Ações'!BG369="sim"), 1, 0)
</f>
        <v>0</v>
      </c>
      <c r="F361" s="319">
        <f>IF(AND('Ações'!AW369="sim", 'Ações'!BH369="sim"), 1, 0)
</f>
        <v>0</v>
      </c>
      <c r="G361" s="319">
        <f>IF(AND('Ações'!AX369="sim", 'Ações'!BI369="sim"), 1, 0)
</f>
        <v>0</v>
      </c>
      <c r="H361" s="319">
        <f>IF(AND('Ações'!AS369="sim", 'Ações'!BE369="sim"), 1, 0)
</f>
        <v>0</v>
      </c>
      <c r="I361" s="319">
        <f>IF(AND('Ações'!AS369="sim", 'Ações'!BF369="sim"), 1, 0)
</f>
        <v>0</v>
      </c>
      <c r="J361" s="319">
        <f>IF(AND('Ações'!AS369="sim", 'Ações'!BG369="sim"), 1, 0)
</f>
        <v>0</v>
      </c>
      <c r="K361" s="319">
        <f>IF(AND('Ações'!AS369="sim", 'Ações'!BH369="sim"), 1, 0)
</f>
        <v>0</v>
      </c>
      <c r="L361" s="319">
        <f>IF(AND('Ações'!AS369="sim", 'Ações'!BI369="sim"), 1, 0)
</f>
        <v>0</v>
      </c>
      <c r="M361" s="319">
        <f>IF(AND('Ações'!AT369="sim", 'Ações'!BD369="sim"), 1, 0)
</f>
        <v>0</v>
      </c>
      <c r="N361" s="319">
        <f>IF(AND('Ações'!AT369="sim", 'Ações'!BF369="sim"), 1, 0)
</f>
        <v>0</v>
      </c>
      <c r="O361" s="319">
        <f>IF(AND('Ações'!AT369="sim", 'Ações'!BG369="sim"), 1, 0)
</f>
        <v>0</v>
      </c>
      <c r="P361" s="319">
        <f>IF(AND('Ações'!AT369="sim", 'Ações'!BH369="sim"), 1, 0)
</f>
        <v>0</v>
      </c>
      <c r="Q361" s="319">
        <f>IF(AND('Ações'!AT369="sim", 'Ações'!BI369="sim"), 1, 0)
</f>
        <v>0</v>
      </c>
      <c r="R361" s="319">
        <f>IF(AND('Ações'!AU369="sim", 'Ações'!BD369="sim"), 1, 0)
</f>
        <v>0</v>
      </c>
      <c r="S361" s="319">
        <f>IF(AND('Ações'!AU369="sim", 'Ações'!BE369="sim"), 1, 0)
</f>
        <v>0</v>
      </c>
      <c r="T361" s="319">
        <f>IF(AND('Ações'!AU369="sim", 'Ações'!BG369="sim"), 1, 0)
</f>
        <v>0</v>
      </c>
      <c r="U361" s="319">
        <f>IF(AND('Ações'!AU369="sim", 'Ações'!BH369="sim"), 1, 0)
</f>
        <v>0</v>
      </c>
      <c r="V361" s="319">
        <f>IF(AND('Ações'!AU369="sim", 'Ações'!BI369="sim"), 1, 0)
</f>
        <v>0</v>
      </c>
      <c r="W361" s="319">
        <f>IF(AND('Ações'!AV369="sim", 'Ações'!BD369="sim"), 1, 0)
</f>
        <v>0</v>
      </c>
      <c r="X361" s="319">
        <f>IF(AND('Ações'!AV369="sim", 'Ações'!BE369="sim"), 1, 0)
</f>
        <v>0</v>
      </c>
      <c r="Y361" s="319">
        <f>IF(AND('Ações'!AV369="sim", 'Ações'!BF369="sim"), 1, 0)
</f>
        <v>0</v>
      </c>
      <c r="Z361" s="319">
        <f>IF(AND('Ações'!AV369="sim", 'Ações'!BH369="sim"), 1, 0)
</f>
        <v>0</v>
      </c>
      <c r="AA361" s="319">
        <f>IF(AND('Ações'!AV369="sim", 'Ações'!BI369="sim"), 1, 0)
</f>
        <v>0</v>
      </c>
      <c r="AB361" s="319">
        <f>IF(AND('Ações'!AW369="sim", 'Ações'!BD369="sim"), 1, 0)
</f>
        <v>0</v>
      </c>
      <c r="AC361" s="319">
        <f>IF(AND('Ações'!AW369="sim", 'Ações'!BE369="sim"), 1, 0)
</f>
        <v>0</v>
      </c>
      <c r="AD361" s="319">
        <f>IF(AND('Ações'!AW369="sim", 'Ações'!BF369="sim"), 1, 0)
</f>
        <v>0</v>
      </c>
      <c r="AE361" s="319">
        <f>IF(AND('Ações'!AW369="sim", 'Ações'!BG369="sim"), 1, 0)
</f>
        <v>0</v>
      </c>
      <c r="AF361" s="319">
        <f>IF(AND('Ações'!AW369="sim", 'Ações'!BI369="sim"), 1, 0)
</f>
        <v>0</v>
      </c>
      <c r="AG361" s="319">
        <f>IF(AND('Ações'!AX369="sim", 'Ações'!BD369="sim"), 1, 0)
</f>
        <v>0</v>
      </c>
      <c r="AH361" s="319">
        <f>IF(AND('Ações'!AX369="sim", 'Ações'!BE369="sim"), 1, 0)
</f>
        <v>0</v>
      </c>
      <c r="AI361" s="319">
        <f>IF(AND('Ações'!AX369="sim", 'Ações'!BF369="sim"), 1, 0)
</f>
        <v>0</v>
      </c>
      <c r="AJ361" s="319">
        <f>IF(AND('Ações'!AX369="sim", 'Ações'!BG369="sim"), 1, 0)
</f>
        <v>0</v>
      </c>
      <c r="AK361" s="319">
        <f>IF(AND('Ações'!AX369="sim", 'Ações'!BH369="sim"), 1, 0)
</f>
        <v>0</v>
      </c>
    </row>
    <row r="362">
      <c r="B362" s="319">
        <f>IF(AND('Ações'!AS370="sim", 'Ações'!BD370="sim"), 1, 0)
</f>
        <v>0</v>
      </c>
      <c r="C362" s="319">
        <f>IF(AND('Ações'!AT370="sim", 'Ações'!BE370="sim"), 1, 0)
</f>
        <v>0</v>
      </c>
      <c r="D362" s="319">
        <f>IF(AND('Ações'!AU370="sim", 'Ações'!BF370="sim"), 1, 0)
</f>
        <v>0</v>
      </c>
      <c r="E362" s="319">
        <f>IF(AND('Ações'!AV370="sim", 'Ações'!BG370="sim"), 1, 0)
</f>
        <v>0</v>
      </c>
      <c r="F362" s="319">
        <f>IF(AND('Ações'!AW370="sim", 'Ações'!BH370="sim"), 1, 0)
</f>
        <v>0</v>
      </c>
      <c r="G362" s="319">
        <f>IF(AND('Ações'!AX370="sim", 'Ações'!BI370="sim"), 1, 0)
</f>
        <v>0</v>
      </c>
      <c r="H362" s="319">
        <f>IF(AND('Ações'!AS370="sim", 'Ações'!BE370="sim"), 1, 0)
</f>
        <v>0</v>
      </c>
      <c r="I362" s="319">
        <f>IF(AND('Ações'!AS370="sim", 'Ações'!BF370="sim"), 1, 0)
</f>
        <v>0</v>
      </c>
      <c r="J362" s="319">
        <f>IF(AND('Ações'!AS370="sim", 'Ações'!BG370="sim"), 1, 0)
</f>
        <v>0</v>
      </c>
      <c r="K362" s="319">
        <f>IF(AND('Ações'!AS370="sim", 'Ações'!BH370="sim"), 1, 0)
</f>
        <v>0</v>
      </c>
      <c r="L362" s="319">
        <f>IF(AND('Ações'!AS370="sim", 'Ações'!BI370="sim"), 1, 0)
</f>
        <v>0</v>
      </c>
      <c r="M362" s="319">
        <f>IF(AND('Ações'!AT370="sim", 'Ações'!BD370="sim"), 1, 0)
</f>
        <v>0</v>
      </c>
      <c r="N362" s="319">
        <f>IF(AND('Ações'!AT370="sim", 'Ações'!BF370="sim"), 1, 0)
</f>
        <v>0</v>
      </c>
      <c r="O362" s="319">
        <f>IF(AND('Ações'!AT370="sim", 'Ações'!BG370="sim"), 1, 0)
</f>
        <v>0</v>
      </c>
      <c r="P362" s="319">
        <f>IF(AND('Ações'!AT370="sim", 'Ações'!BH370="sim"), 1, 0)
</f>
        <v>0</v>
      </c>
      <c r="Q362" s="319">
        <f>IF(AND('Ações'!AT370="sim", 'Ações'!BI370="sim"), 1, 0)
</f>
        <v>1</v>
      </c>
      <c r="R362" s="319">
        <f>IF(AND('Ações'!AU370="sim", 'Ações'!BD370="sim"), 1, 0)
</f>
        <v>0</v>
      </c>
      <c r="S362" s="319">
        <f>IF(AND('Ações'!AU370="sim", 'Ações'!BE370="sim"), 1, 0)
</f>
        <v>0</v>
      </c>
      <c r="T362" s="319">
        <f>IF(AND('Ações'!AU370="sim", 'Ações'!BG370="sim"), 1, 0)
</f>
        <v>0</v>
      </c>
      <c r="U362" s="319">
        <f>IF(AND('Ações'!AU370="sim", 'Ações'!BH370="sim"), 1, 0)
</f>
        <v>0</v>
      </c>
      <c r="V362" s="319">
        <f>IF(AND('Ações'!AU370="sim", 'Ações'!BI370="sim"), 1, 0)
</f>
        <v>1</v>
      </c>
      <c r="W362" s="319">
        <f>IF(AND('Ações'!AV370="sim", 'Ações'!BD370="sim"), 1, 0)
</f>
        <v>0</v>
      </c>
      <c r="X362" s="319">
        <f>IF(AND('Ações'!AV370="sim", 'Ações'!BE370="sim"), 1, 0)
</f>
        <v>0</v>
      </c>
      <c r="Y362" s="319">
        <f>IF(AND('Ações'!AV370="sim", 'Ações'!BF370="sim"), 1, 0)
</f>
        <v>0</v>
      </c>
      <c r="Z362" s="319">
        <f>IF(AND('Ações'!AV370="sim", 'Ações'!BH370="sim"), 1, 0)
</f>
        <v>0</v>
      </c>
      <c r="AA362" s="319">
        <f>IF(AND('Ações'!AV370="sim", 'Ações'!BI370="sim"), 1, 0)
</f>
        <v>1</v>
      </c>
      <c r="AB362" s="319">
        <f>IF(AND('Ações'!AW370="sim", 'Ações'!BD370="sim"), 1, 0)
</f>
        <v>0</v>
      </c>
      <c r="AC362" s="319">
        <f>IF(AND('Ações'!AW370="sim", 'Ações'!BE370="sim"), 1, 0)
</f>
        <v>0</v>
      </c>
      <c r="AD362" s="319">
        <f>IF(AND('Ações'!AW370="sim", 'Ações'!BF370="sim"), 1, 0)
</f>
        <v>0</v>
      </c>
      <c r="AE362" s="319">
        <f>IF(AND('Ações'!AW370="sim", 'Ações'!BG370="sim"), 1, 0)
</f>
        <v>0</v>
      </c>
      <c r="AF362" s="319">
        <f>IF(AND('Ações'!AW370="sim", 'Ações'!BI370="sim"), 1, 0)
</f>
        <v>1</v>
      </c>
      <c r="AG362" s="319">
        <f>IF(AND('Ações'!AX370="sim", 'Ações'!BD370="sim"), 1, 0)
</f>
        <v>0</v>
      </c>
      <c r="AH362" s="319">
        <f>IF(AND('Ações'!AX370="sim", 'Ações'!BE370="sim"), 1, 0)
</f>
        <v>0</v>
      </c>
      <c r="AI362" s="319">
        <f>IF(AND('Ações'!AX370="sim", 'Ações'!BF370="sim"), 1, 0)
</f>
        <v>0</v>
      </c>
      <c r="AJ362" s="319">
        <f>IF(AND('Ações'!AX370="sim", 'Ações'!BG370="sim"), 1, 0)
</f>
        <v>0</v>
      </c>
      <c r="AK362" s="319">
        <f>IF(AND('Ações'!AX370="sim", 'Ações'!BH370="sim"), 1, 0)
</f>
        <v>0</v>
      </c>
    </row>
    <row r="363">
      <c r="B363" s="319">
        <f>IF(AND('Ações'!AS371="sim", 'Ações'!BD371="sim"), 1, 0)
</f>
        <v>0</v>
      </c>
      <c r="C363" s="319">
        <f>IF(AND('Ações'!AT371="sim", 'Ações'!BE371="sim"), 1, 0)
</f>
        <v>0</v>
      </c>
      <c r="D363" s="319">
        <f>IF(AND('Ações'!AU371="sim", 'Ações'!BF371="sim"), 1, 0)
</f>
        <v>0</v>
      </c>
      <c r="E363" s="319">
        <f>IF(AND('Ações'!AV371="sim", 'Ações'!BG371="sim"), 1, 0)
</f>
        <v>0</v>
      </c>
      <c r="F363" s="319">
        <f>IF(AND('Ações'!AW371="sim", 'Ações'!BH371="sim"), 1, 0)
</f>
        <v>0</v>
      </c>
      <c r="G363" s="319">
        <f>IF(AND('Ações'!AX371="sim", 'Ações'!BI371="sim"), 1, 0)
</f>
        <v>0</v>
      </c>
      <c r="H363" s="319">
        <f>IF(AND('Ações'!AS371="sim", 'Ações'!BE371="sim"), 1, 0)
</f>
        <v>0</v>
      </c>
      <c r="I363" s="319">
        <f>IF(AND('Ações'!AS371="sim", 'Ações'!BF371="sim"), 1, 0)
</f>
        <v>0</v>
      </c>
      <c r="J363" s="319">
        <f>IF(AND('Ações'!AS371="sim", 'Ações'!BG371="sim"), 1, 0)
</f>
        <v>0</v>
      </c>
      <c r="K363" s="319">
        <f>IF(AND('Ações'!AS371="sim", 'Ações'!BH371="sim"), 1, 0)
</f>
        <v>0</v>
      </c>
      <c r="L363" s="319">
        <f>IF(AND('Ações'!AS371="sim", 'Ações'!BI371="sim"), 1, 0)
</f>
        <v>0</v>
      </c>
      <c r="M363" s="319">
        <f>IF(AND('Ações'!AT371="sim", 'Ações'!BD371="sim"), 1, 0)
</f>
        <v>0</v>
      </c>
      <c r="N363" s="319">
        <f>IF(AND('Ações'!AT371="sim", 'Ações'!BF371="sim"), 1, 0)
</f>
        <v>0</v>
      </c>
      <c r="O363" s="319">
        <f>IF(AND('Ações'!AT371="sim", 'Ações'!BG371="sim"), 1, 0)
</f>
        <v>0</v>
      </c>
      <c r="P363" s="319">
        <f>IF(AND('Ações'!AT371="sim", 'Ações'!BH371="sim"), 1, 0)
</f>
        <v>0</v>
      </c>
      <c r="Q363" s="319">
        <f>IF(AND('Ações'!AT371="sim", 'Ações'!BI371="sim"), 1, 0)
</f>
        <v>1</v>
      </c>
      <c r="R363" s="319">
        <f>IF(AND('Ações'!AU371="sim", 'Ações'!BD371="sim"), 1, 0)
</f>
        <v>0</v>
      </c>
      <c r="S363" s="319">
        <f>IF(AND('Ações'!AU371="sim", 'Ações'!BE371="sim"), 1, 0)
</f>
        <v>0</v>
      </c>
      <c r="T363" s="319">
        <f>IF(AND('Ações'!AU371="sim", 'Ações'!BG371="sim"), 1, 0)
</f>
        <v>0</v>
      </c>
      <c r="U363" s="319">
        <f>IF(AND('Ações'!AU371="sim", 'Ações'!BH371="sim"), 1, 0)
</f>
        <v>0</v>
      </c>
      <c r="V363" s="319">
        <f>IF(AND('Ações'!AU371="sim", 'Ações'!BI371="sim"), 1, 0)
</f>
        <v>1</v>
      </c>
      <c r="W363" s="319">
        <f>IF(AND('Ações'!AV371="sim", 'Ações'!BD371="sim"), 1, 0)
</f>
        <v>0</v>
      </c>
      <c r="X363" s="319">
        <f>IF(AND('Ações'!AV371="sim", 'Ações'!BE371="sim"), 1, 0)
</f>
        <v>0</v>
      </c>
      <c r="Y363" s="319">
        <f>IF(AND('Ações'!AV371="sim", 'Ações'!BF371="sim"), 1, 0)
</f>
        <v>0</v>
      </c>
      <c r="Z363" s="319">
        <f>IF(AND('Ações'!AV371="sim", 'Ações'!BH371="sim"), 1, 0)
</f>
        <v>0</v>
      </c>
      <c r="AA363" s="319">
        <f>IF(AND('Ações'!AV371="sim", 'Ações'!BI371="sim"), 1, 0)
</f>
        <v>1</v>
      </c>
      <c r="AB363" s="319">
        <f>IF(AND('Ações'!AW371="sim", 'Ações'!BD371="sim"), 1, 0)
</f>
        <v>0</v>
      </c>
      <c r="AC363" s="319">
        <f>IF(AND('Ações'!AW371="sim", 'Ações'!BE371="sim"), 1, 0)
</f>
        <v>0</v>
      </c>
      <c r="AD363" s="319">
        <f>IF(AND('Ações'!AW371="sim", 'Ações'!BF371="sim"), 1, 0)
</f>
        <v>0</v>
      </c>
      <c r="AE363" s="319">
        <f>IF(AND('Ações'!AW371="sim", 'Ações'!BG371="sim"), 1, 0)
</f>
        <v>0</v>
      </c>
      <c r="AF363" s="319">
        <f>IF(AND('Ações'!AW371="sim", 'Ações'!BI371="sim"), 1, 0)
</f>
        <v>1</v>
      </c>
      <c r="AG363" s="319">
        <f>IF(AND('Ações'!AX371="sim", 'Ações'!BD371="sim"), 1, 0)
</f>
        <v>0</v>
      </c>
      <c r="AH363" s="319">
        <f>IF(AND('Ações'!AX371="sim", 'Ações'!BE371="sim"), 1, 0)
</f>
        <v>0</v>
      </c>
      <c r="AI363" s="319">
        <f>IF(AND('Ações'!AX371="sim", 'Ações'!BF371="sim"), 1, 0)
</f>
        <v>0</v>
      </c>
      <c r="AJ363" s="319">
        <f>IF(AND('Ações'!AX371="sim", 'Ações'!BG371="sim"), 1, 0)
</f>
        <v>0</v>
      </c>
      <c r="AK363" s="319">
        <f>IF(AND('Ações'!AX371="sim", 'Ações'!BH371="sim"), 1, 0)
</f>
        <v>0</v>
      </c>
    </row>
    <row r="364">
      <c r="B364" s="319">
        <f>IF(AND('Ações'!AS372="sim", 'Ações'!BD372="sim"), 1, 0)
</f>
        <v>0</v>
      </c>
      <c r="C364" s="319">
        <f>IF(AND('Ações'!AT372="sim", 'Ações'!BE372="sim"), 1, 0)
</f>
        <v>0</v>
      </c>
      <c r="D364" s="319">
        <f>IF(AND('Ações'!AU372="sim", 'Ações'!BF372="sim"), 1, 0)
</f>
        <v>0</v>
      </c>
      <c r="E364" s="319">
        <f>IF(AND('Ações'!AV372="sim", 'Ações'!BG372="sim"), 1, 0)
</f>
        <v>0</v>
      </c>
      <c r="F364" s="319">
        <f>IF(AND('Ações'!AW372="sim", 'Ações'!BH372="sim"), 1, 0)
</f>
        <v>0</v>
      </c>
      <c r="G364" s="319">
        <f>IF(AND('Ações'!AX372="sim", 'Ações'!BI372="sim"), 1, 0)
</f>
        <v>0</v>
      </c>
      <c r="H364" s="319">
        <f>IF(AND('Ações'!AS372="sim", 'Ações'!BE372="sim"), 1, 0)
</f>
        <v>0</v>
      </c>
      <c r="I364" s="319">
        <f>IF(AND('Ações'!AS372="sim", 'Ações'!BF372="sim"), 1, 0)
</f>
        <v>0</v>
      </c>
      <c r="J364" s="319">
        <f>IF(AND('Ações'!AS372="sim", 'Ações'!BG372="sim"), 1, 0)
</f>
        <v>0</v>
      </c>
      <c r="K364" s="319">
        <f>IF(AND('Ações'!AS372="sim", 'Ações'!BH372="sim"), 1, 0)
</f>
        <v>0</v>
      </c>
      <c r="L364" s="319">
        <f>IF(AND('Ações'!AS372="sim", 'Ações'!BI372="sim"), 1, 0)
</f>
        <v>0</v>
      </c>
      <c r="M364" s="319">
        <f>IF(AND('Ações'!AT372="sim", 'Ações'!BD372="sim"), 1, 0)
</f>
        <v>1</v>
      </c>
      <c r="N364" s="319">
        <f>IF(AND('Ações'!AT372="sim", 'Ações'!BF372="sim"), 1, 0)
</f>
        <v>0</v>
      </c>
      <c r="O364" s="319">
        <f>IF(AND('Ações'!AT372="sim", 'Ações'!BG372="sim"), 1, 0)
</f>
        <v>0</v>
      </c>
      <c r="P364" s="319">
        <f>IF(AND('Ações'!AT372="sim", 'Ações'!BH372="sim"), 1, 0)
</f>
        <v>0</v>
      </c>
      <c r="Q364" s="319">
        <f>IF(AND('Ações'!AT372="sim", 'Ações'!BI372="sim"), 1, 0)
</f>
        <v>0</v>
      </c>
      <c r="R364" s="319">
        <f>IF(AND('Ações'!AU372="sim", 'Ações'!BD372="sim"), 1, 0)
</f>
        <v>1</v>
      </c>
      <c r="S364" s="319">
        <f>IF(AND('Ações'!AU372="sim", 'Ações'!BE372="sim"), 1, 0)
</f>
        <v>0</v>
      </c>
      <c r="T364" s="319">
        <f>IF(AND('Ações'!AU372="sim", 'Ações'!BG372="sim"), 1, 0)
</f>
        <v>0</v>
      </c>
      <c r="U364" s="319">
        <f>IF(AND('Ações'!AU372="sim", 'Ações'!BH372="sim"), 1, 0)
</f>
        <v>0</v>
      </c>
      <c r="V364" s="319">
        <f>IF(AND('Ações'!AU372="sim", 'Ações'!BI372="sim"), 1, 0)
</f>
        <v>0</v>
      </c>
      <c r="W364" s="319">
        <f>IF(AND('Ações'!AV372="sim", 'Ações'!BD372="sim"), 1, 0)
</f>
        <v>1</v>
      </c>
      <c r="X364" s="319">
        <f>IF(AND('Ações'!AV372="sim", 'Ações'!BE372="sim"), 1, 0)
</f>
        <v>0</v>
      </c>
      <c r="Y364" s="319">
        <f>IF(AND('Ações'!AV372="sim", 'Ações'!BF372="sim"), 1, 0)
</f>
        <v>0</v>
      </c>
      <c r="Z364" s="319">
        <f>IF(AND('Ações'!AV372="sim", 'Ações'!BH372="sim"), 1, 0)
</f>
        <v>0</v>
      </c>
      <c r="AA364" s="319">
        <f>IF(AND('Ações'!AV372="sim", 'Ações'!BI372="sim"), 1, 0)
</f>
        <v>0</v>
      </c>
      <c r="AB364" s="319">
        <f>IF(AND('Ações'!AW372="sim", 'Ações'!BD372="sim"), 1, 0)
</f>
        <v>1</v>
      </c>
      <c r="AC364" s="319">
        <f>IF(AND('Ações'!AW372="sim", 'Ações'!BE372="sim"), 1, 0)
</f>
        <v>0</v>
      </c>
      <c r="AD364" s="319">
        <f>IF(AND('Ações'!AW372="sim", 'Ações'!BF372="sim"), 1, 0)
</f>
        <v>0</v>
      </c>
      <c r="AE364" s="319">
        <f>IF(AND('Ações'!AW372="sim", 'Ações'!BG372="sim"), 1, 0)
</f>
        <v>0</v>
      </c>
      <c r="AF364" s="319">
        <f>IF(AND('Ações'!AW372="sim", 'Ações'!BI372="sim"), 1, 0)
</f>
        <v>0</v>
      </c>
      <c r="AG364" s="319">
        <f>IF(AND('Ações'!AX372="sim", 'Ações'!BD372="sim"), 1, 0)
</f>
        <v>0</v>
      </c>
      <c r="AH364" s="319">
        <f>IF(AND('Ações'!AX372="sim", 'Ações'!BE372="sim"), 1, 0)
</f>
        <v>0</v>
      </c>
      <c r="AI364" s="319">
        <f>IF(AND('Ações'!AX372="sim", 'Ações'!BF372="sim"), 1, 0)
</f>
        <v>0</v>
      </c>
      <c r="AJ364" s="319">
        <f>IF(AND('Ações'!AX372="sim", 'Ações'!BG372="sim"), 1, 0)
</f>
        <v>0</v>
      </c>
      <c r="AK364" s="319">
        <f>IF(AND('Ações'!AX372="sim", 'Ações'!BH372="sim"), 1, 0)
</f>
        <v>0</v>
      </c>
    </row>
    <row r="365">
      <c r="B365" s="319">
        <f>IF(AND('Ações'!AS373="sim", 'Ações'!BD373="sim"), 1, 0)
</f>
        <v>0</v>
      </c>
      <c r="C365" s="319">
        <f>IF(AND('Ações'!AT373="sim", 'Ações'!BE373="sim"), 1, 0)
</f>
        <v>0</v>
      </c>
      <c r="D365" s="319">
        <f>IF(AND('Ações'!AU373="sim", 'Ações'!BF373="sim"), 1, 0)
</f>
        <v>0</v>
      </c>
      <c r="E365" s="319">
        <f>IF(AND('Ações'!AV373="sim", 'Ações'!BG373="sim"), 1, 0)
</f>
        <v>0</v>
      </c>
      <c r="F365" s="319">
        <f>IF(AND('Ações'!AW373="sim", 'Ações'!BH373="sim"), 1, 0)
</f>
        <v>0</v>
      </c>
      <c r="G365" s="319">
        <f>IF(AND('Ações'!AX373="sim", 'Ações'!BI373="sim"), 1, 0)
</f>
        <v>0</v>
      </c>
      <c r="H365" s="319">
        <f>IF(AND('Ações'!AS373="sim", 'Ações'!BE373="sim"), 1, 0)
</f>
        <v>0</v>
      </c>
      <c r="I365" s="319">
        <f>IF(AND('Ações'!AS373="sim", 'Ações'!BF373="sim"), 1, 0)
</f>
        <v>0</v>
      </c>
      <c r="J365" s="319">
        <f>IF(AND('Ações'!AS373="sim", 'Ações'!BG373="sim"), 1, 0)
</f>
        <v>0</v>
      </c>
      <c r="K365" s="319">
        <f>IF(AND('Ações'!AS373="sim", 'Ações'!BH373="sim"), 1, 0)
</f>
        <v>0</v>
      </c>
      <c r="L365" s="319">
        <f>IF(AND('Ações'!AS373="sim", 'Ações'!BI373="sim"), 1, 0)
</f>
        <v>0</v>
      </c>
      <c r="M365" s="319">
        <f>IF(AND('Ações'!AT373="sim", 'Ações'!BD373="sim"), 1, 0)
</f>
        <v>1</v>
      </c>
      <c r="N365" s="319">
        <f>IF(AND('Ações'!AT373="sim", 'Ações'!BF373="sim"), 1, 0)
</f>
        <v>0</v>
      </c>
      <c r="O365" s="319">
        <f>IF(AND('Ações'!AT373="sim", 'Ações'!BG373="sim"), 1, 0)
</f>
        <v>0</v>
      </c>
      <c r="P365" s="319">
        <f>IF(AND('Ações'!AT373="sim", 'Ações'!BH373="sim"), 1, 0)
</f>
        <v>0</v>
      </c>
      <c r="Q365" s="319">
        <f>IF(AND('Ações'!AT373="sim", 'Ações'!BI373="sim"), 1, 0)
</f>
        <v>0</v>
      </c>
      <c r="R365" s="319">
        <f>IF(AND('Ações'!AU373="sim", 'Ações'!BD373="sim"), 1, 0)
</f>
        <v>1</v>
      </c>
      <c r="S365" s="319">
        <f>IF(AND('Ações'!AU373="sim", 'Ações'!BE373="sim"), 1, 0)
</f>
        <v>0</v>
      </c>
      <c r="T365" s="319">
        <f>IF(AND('Ações'!AU373="sim", 'Ações'!BG373="sim"), 1, 0)
</f>
        <v>0</v>
      </c>
      <c r="U365" s="319">
        <f>IF(AND('Ações'!AU373="sim", 'Ações'!BH373="sim"), 1, 0)
</f>
        <v>0</v>
      </c>
      <c r="V365" s="319">
        <f>IF(AND('Ações'!AU373="sim", 'Ações'!BI373="sim"), 1, 0)
</f>
        <v>0</v>
      </c>
      <c r="W365" s="319">
        <f>IF(AND('Ações'!AV373="sim", 'Ações'!BD373="sim"), 1, 0)
</f>
        <v>1</v>
      </c>
      <c r="X365" s="319">
        <f>IF(AND('Ações'!AV373="sim", 'Ações'!BE373="sim"), 1, 0)
</f>
        <v>0</v>
      </c>
      <c r="Y365" s="319">
        <f>IF(AND('Ações'!AV373="sim", 'Ações'!BF373="sim"), 1, 0)
</f>
        <v>0</v>
      </c>
      <c r="Z365" s="319">
        <f>IF(AND('Ações'!AV373="sim", 'Ações'!BH373="sim"), 1, 0)
</f>
        <v>0</v>
      </c>
      <c r="AA365" s="319">
        <f>IF(AND('Ações'!AV373="sim", 'Ações'!BI373="sim"), 1, 0)
</f>
        <v>0</v>
      </c>
      <c r="AB365" s="319">
        <f>IF(AND('Ações'!AW373="sim", 'Ações'!BD373="sim"), 1, 0)
</f>
        <v>1</v>
      </c>
      <c r="AC365" s="319">
        <f>IF(AND('Ações'!AW373="sim", 'Ações'!BE373="sim"), 1, 0)
</f>
        <v>0</v>
      </c>
      <c r="AD365" s="319">
        <f>IF(AND('Ações'!AW373="sim", 'Ações'!BF373="sim"), 1, 0)
</f>
        <v>0</v>
      </c>
      <c r="AE365" s="319">
        <f>IF(AND('Ações'!AW373="sim", 'Ações'!BG373="sim"), 1, 0)
</f>
        <v>0</v>
      </c>
      <c r="AF365" s="319">
        <f>IF(AND('Ações'!AW373="sim", 'Ações'!BI373="sim"), 1, 0)
</f>
        <v>0</v>
      </c>
      <c r="AG365" s="319">
        <f>IF(AND('Ações'!AX373="sim", 'Ações'!BD373="sim"), 1, 0)
</f>
        <v>0</v>
      </c>
      <c r="AH365" s="319">
        <f>IF(AND('Ações'!AX373="sim", 'Ações'!BE373="sim"), 1, 0)
</f>
        <v>0</v>
      </c>
      <c r="AI365" s="319">
        <f>IF(AND('Ações'!AX373="sim", 'Ações'!BF373="sim"), 1, 0)
</f>
        <v>0</v>
      </c>
      <c r="AJ365" s="319">
        <f>IF(AND('Ações'!AX373="sim", 'Ações'!BG373="sim"), 1, 0)
</f>
        <v>0</v>
      </c>
      <c r="AK365" s="319">
        <f>IF(AND('Ações'!AX373="sim", 'Ações'!BH373="sim"), 1, 0)
</f>
        <v>0</v>
      </c>
    </row>
    <row r="366">
      <c r="B366" s="319">
        <f>IF(AND('Ações'!AS374="sim", 'Ações'!BD374="sim"), 1, 0)
</f>
        <v>1</v>
      </c>
      <c r="C366" s="319">
        <f>IF(AND('Ações'!AT374="sim", 'Ações'!BE374="sim"), 1, 0)
</f>
        <v>0</v>
      </c>
      <c r="D366" s="319">
        <f>IF(AND('Ações'!AU374="sim", 'Ações'!BF374="sim"), 1, 0)
</f>
        <v>0</v>
      </c>
      <c r="E366" s="319">
        <f>IF(AND('Ações'!AV374="sim", 'Ações'!BG374="sim"), 1, 0)
</f>
        <v>0</v>
      </c>
      <c r="F366" s="319">
        <f>IF(AND('Ações'!AW374="sim", 'Ações'!BH374="sim"), 1, 0)
</f>
        <v>0</v>
      </c>
      <c r="G366" s="319">
        <f>IF(AND('Ações'!AX374="sim", 'Ações'!BI374="sim"), 1, 0)
</f>
        <v>0</v>
      </c>
      <c r="H366" s="319">
        <f>IF(AND('Ações'!AS374="sim", 'Ações'!BE374="sim"), 1, 0)
</f>
        <v>0</v>
      </c>
      <c r="I366" s="319">
        <f>IF(AND('Ações'!AS374="sim", 'Ações'!BF374="sim"), 1, 0)
</f>
        <v>0</v>
      </c>
      <c r="J366" s="319">
        <f>IF(AND('Ações'!AS374="sim", 'Ações'!BG374="sim"), 1, 0)
</f>
        <v>0</v>
      </c>
      <c r="K366" s="319">
        <f>IF(AND('Ações'!AS374="sim", 'Ações'!BH374="sim"), 1, 0)
</f>
        <v>0</v>
      </c>
      <c r="L366" s="319">
        <f>IF(AND('Ações'!AS374="sim", 'Ações'!BI374="sim"), 1, 0)
</f>
        <v>0</v>
      </c>
      <c r="M366" s="319">
        <f>IF(AND('Ações'!AT374="sim", 'Ações'!BD374="sim"), 1, 0)
</f>
        <v>1</v>
      </c>
      <c r="N366" s="319">
        <f>IF(AND('Ações'!AT374="sim", 'Ações'!BF374="sim"), 1, 0)
</f>
        <v>0</v>
      </c>
      <c r="O366" s="319">
        <f>IF(AND('Ações'!AT374="sim", 'Ações'!BG374="sim"), 1, 0)
</f>
        <v>0</v>
      </c>
      <c r="P366" s="319">
        <f>IF(AND('Ações'!AT374="sim", 'Ações'!BH374="sim"), 1, 0)
</f>
        <v>0</v>
      </c>
      <c r="Q366" s="319">
        <f>IF(AND('Ações'!AT374="sim", 'Ações'!BI374="sim"), 1, 0)
</f>
        <v>0</v>
      </c>
      <c r="R366" s="319">
        <f>IF(AND('Ações'!AU374="sim", 'Ações'!BD374="sim"), 1, 0)
</f>
        <v>1</v>
      </c>
      <c r="S366" s="319">
        <f>IF(AND('Ações'!AU374="sim", 'Ações'!BE374="sim"), 1, 0)
</f>
        <v>0</v>
      </c>
      <c r="T366" s="319">
        <f>IF(AND('Ações'!AU374="sim", 'Ações'!BG374="sim"), 1, 0)
</f>
        <v>0</v>
      </c>
      <c r="U366" s="319">
        <f>IF(AND('Ações'!AU374="sim", 'Ações'!BH374="sim"), 1, 0)
</f>
        <v>0</v>
      </c>
      <c r="V366" s="319">
        <f>IF(AND('Ações'!AU374="sim", 'Ações'!BI374="sim"), 1, 0)
</f>
        <v>0</v>
      </c>
      <c r="W366" s="319">
        <f>IF(AND('Ações'!AV374="sim", 'Ações'!BD374="sim"), 1, 0)
</f>
        <v>1</v>
      </c>
      <c r="X366" s="319">
        <f>IF(AND('Ações'!AV374="sim", 'Ações'!BE374="sim"), 1, 0)
</f>
        <v>0</v>
      </c>
      <c r="Y366" s="319">
        <f>IF(AND('Ações'!AV374="sim", 'Ações'!BF374="sim"), 1, 0)
</f>
        <v>0</v>
      </c>
      <c r="Z366" s="319">
        <f>IF(AND('Ações'!AV374="sim", 'Ações'!BH374="sim"), 1, 0)
</f>
        <v>0</v>
      </c>
      <c r="AA366" s="319">
        <f>IF(AND('Ações'!AV374="sim", 'Ações'!BI374="sim"), 1, 0)
</f>
        <v>0</v>
      </c>
      <c r="AB366" s="319">
        <f>IF(AND('Ações'!AW374="sim", 'Ações'!BD374="sim"), 1, 0)
</f>
        <v>1</v>
      </c>
      <c r="AC366" s="319">
        <f>IF(AND('Ações'!AW374="sim", 'Ações'!BE374="sim"), 1, 0)
</f>
        <v>0</v>
      </c>
      <c r="AD366" s="319">
        <f>IF(AND('Ações'!AW374="sim", 'Ações'!BF374="sim"), 1, 0)
</f>
        <v>0</v>
      </c>
      <c r="AE366" s="319">
        <f>IF(AND('Ações'!AW374="sim", 'Ações'!BG374="sim"), 1, 0)
</f>
        <v>0</v>
      </c>
      <c r="AF366" s="319">
        <f>IF(AND('Ações'!AW374="sim", 'Ações'!BI374="sim"), 1, 0)
</f>
        <v>0</v>
      </c>
      <c r="AG366" s="319">
        <f>IF(AND('Ações'!AX374="sim", 'Ações'!BD374="sim"), 1, 0)
</f>
        <v>1</v>
      </c>
      <c r="AH366" s="319">
        <f>IF(AND('Ações'!AX374="sim", 'Ações'!BE374="sim"), 1, 0)
</f>
        <v>0</v>
      </c>
      <c r="AI366" s="319">
        <f>IF(AND('Ações'!AX374="sim", 'Ações'!BF374="sim"), 1, 0)
</f>
        <v>0</v>
      </c>
      <c r="AJ366" s="319">
        <f>IF(AND('Ações'!AX374="sim", 'Ações'!BG374="sim"), 1, 0)
</f>
        <v>0</v>
      </c>
      <c r="AK366" s="319">
        <f>IF(AND('Ações'!AX374="sim", 'Ações'!BH374="sim"), 1, 0)
</f>
        <v>0</v>
      </c>
    </row>
    <row r="367">
      <c r="B367" s="319">
        <f>IF(AND('Ações'!AS375="sim", 'Ações'!BD375="sim"), 1, 0)
</f>
        <v>1</v>
      </c>
      <c r="C367" s="319">
        <f>IF(AND('Ações'!AT375="sim", 'Ações'!BE375="sim"), 1, 0)
</f>
        <v>0</v>
      </c>
      <c r="D367" s="319">
        <f>IF(AND('Ações'!AU375="sim", 'Ações'!BF375="sim"), 1, 0)
</f>
        <v>0</v>
      </c>
      <c r="E367" s="319">
        <f>IF(AND('Ações'!AV375="sim", 'Ações'!BG375="sim"), 1, 0)
</f>
        <v>0</v>
      </c>
      <c r="F367" s="319">
        <f>IF(AND('Ações'!AW375="sim", 'Ações'!BH375="sim"), 1, 0)
</f>
        <v>0</v>
      </c>
      <c r="G367" s="319">
        <f>IF(AND('Ações'!AX375="sim", 'Ações'!BI375="sim"), 1, 0)
</f>
        <v>0</v>
      </c>
      <c r="H367" s="319">
        <f>IF(AND('Ações'!AS375="sim", 'Ações'!BE375="sim"), 1, 0)
</f>
        <v>0</v>
      </c>
      <c r="I367" s="319">
        <f>IF(AND('Ações'!AS375="sim", 'Ações'!BF375="sim"), 1, 0)
</f>
        <v>0</v>
      </c>
      <c r="J367" s="319">
        <f>IF(AND('Ações'!AS375="sim", 'Ações'!BG375="sim"), 1, 0)
</f>
        <v>0</v>
      </c>
      <c r="K367" s="319">
        <f>IF(AND('Ações'!AS375="sim", 'Ações'!BH375="sim"), 1, 0)
</f>
        <v>0</v>
      </c>
      <c r="L367" s="319">
        <f>IF(AND('Ações'!AS375="sim", 'Ações'!BI375="sim"), 1, 0)
</f>
        <v>0</v>
      </c>
      <c r="M367" s="319">
        <f>IF(AND('Ações'!AT375="sim", 'Ações'!BD375="sim"), 1, 0)
</f>
        <v>1</v>
      </c>
      <c r="N367" s="319">
        <f>IF(AND('Ações'!AT375="sim", 'Ações'!BF375="sim"), 1, 0)
</f>
        <v>0</v>
      </c>
      <c r="O367" s="319">
        <f>IF(AND('Ações'!AT375="sim", 'Ações'!BG375="sim"), 1, 0)
</f>
        <v>0</v>
      </c>
      <c r="P367" s="319">
        <f>IF(AND('Ações'!AT375="sim", 'Ações'!BH375="sim"), 1, 0)
</f>
        <v>0</v>
      </c>
      <c r="Q367" s="319">
        <f>IF(AND('Ações'!AT375="sim", 'Ações'!BI375="sim"), 1, 0)
</f>
        <v>0</v>
      </c>
      <c r="R367" s="319">
        <f>IF(AND('Ações'!AU375="sim", 'Ações'!BD375="sim"), 1, 0)
</f>
        <v>1</v>
      </c>
      <c r="S367" s="319">
        <f>IF(AND('Ações'!AU375="sim", 'Ações'!BE375="sim"), 1, 0)
</f>
        <v>0</v>
      </c>
      <c r="T367" s="319">
        <f>IF(AND('Ações'!AU375="sim", 'Ações'!BG375="sim"), 1, 0)
</f>
        <v>0</v>
      </c>
      <c r="U367" s="319">
        <f>IF(AND('Ações'!AU375="sim", 'Ações'!BH375="sim"), 1, 0)
</f>
        <v>0</v>
      </c>
      <c r="V367" s="319">
        <f>IF(AND('Ações'!AU375="sim", 'Ações'!BI375="sim"), 1, 0)
</f>
        <v>0</v>
      </c>
      <c r="W367" s="319">
        <f>IF(AND('Ações'!AV375="sim", 'Ações'!BD375="sim"), 1, 0)
</f>
        <v>1</v>
      </c>
      <c r="X367" s="319">
        <f>IF(AND('Ações'!AV375="sim", 'Ações'!BE375="sim"), 1, 0)
</f>
        <v>0</v>
      </c>
      <c r="Y367" s="319">
        <f>IF(AND('Ações'!AV375="sim", 'Ações'!BF375="sim"), 1, 0)
</f>
        <v>0</v>
      </c>
      <c r="Z367" s="319">
        <f>IF(AND('Ações'!AV375="sim", 'Ações'!BH375="sim"), 1, 0)
</f>
        <v>0</v>
      </c>
      <c r="AA367" s="319">
        <f>IF(AND('Ações'!AV375="sim", 'Ações'!BI375="sim"), 1, 0)
</f>
        <v>0</v>
      </c>
      <c r="AB367" s="319">
        <f>IF(AND('Ações'!AW375="sim", 'Ações'!BD375="sim"), 1, 0)
</f>
        <v>1</v>
      </c>
      <c r="AC367" s="319">
        <f>IF(AND('Ações'!AW375="sim", 'Ações'!BE375="sim"), 1, 0)
</f>
        <v>0</v>
      </c>
      <c r="AD367" s="319">
        <f>IF(AND('Ações'!AW375="sim", 'Ações'!BF375="sim"), 1, 0)
</f>
        <v>0</v>
      </c>
      <c r="AE367" s="319">
        <f>IF(AND('Ações'!AW375="sim", 'Ações'!BG375="sim"), 1, 0)
</f>
        <v>0</v>
      </c>
      <c r="AF367" s="319">
        <f>IF(AND('Ações'!AW375="sim", 'Ações'!BI375="sim"), 1, 0)
</f>
        <v>0</v>
      </c>
      <c r="AG367" s="319">
        <f>IF(AND('Ações'!AX375="sim", 'Ações'!BD375="sim"), 1, 0)
</f>
        <v>1</v>
      </c>
      <c r="AH367" s="319">
        <f>IF(AND('Ações'!AX375="sim", 'Ações'!BE375="sim"), 1, 0)
</f>
        <v>0</v>
      </c>
      <c r="AI367" s="319">
        <f>IF(AND('Ações'!AX375="sim", 'Ações'!BF375="sim"), 1, 0)
</f>
        <v>0</v>
      </c>
      <c r="AJ367" s="319">
        <f>IF(AND('Ações'!AX375="sim", 'Ações'!BG375="sim"), 1, 0)
</f>
        <v>0</v>
      </c>
      <c r="AK367" s="319">
        <f>IF(AND('Ações'!AX375="sim", 'Ações'!BH375="sim"), 1, 0)
</f>
        <v>0</v>
      </c>
    </row>
    <row r="368">
      <c r="B368" s="319">
        <f>IF(AND('Ações'!AS376="sim", 'Ações'!BD376="sim"), 1, 0)
</f>
        <v>1</v>
      </c>
      <c r="C368" s="319">
        <f>IF(AND('Ações'!AT376="sim", 'Ações'!BE376="sim"), 1, 0)
</f>
        <v>0</v>
      </c>
      <c r="D368" s="319">
        <f>IF(AND('Ações'!AU376="sim", 'Ações'!BF376="sim"), 1, 0)
</f>
        <v>0</v>
      </c>
      <c r="E368" s="319">
        <f>IF(AND('Ações'!AV376="sim", 'Ações'!BG376="sim"), 1, 0)
</f>
        <v>0</v>
      </c>
      <c r="F368" s="319">
        <f>IF(AND('Ações'!AW376="sim", 'Ações'!BH376="sim"), 1, 0)
</f>
        <v>0</v>
      </c>
      <c r="G368" s="319">
        <f>IF(AND('Ações'!AX376="sim", 'Ações'!BI376="sim"), 1, 0)
</f>
        <v>1</v>
      </c>
      <c r="H368" s="319">
        <f>IF(AND('Ações'!AS376="sim", 'Ações'!BE376="sim"), 1, 0)
</f>
        <v>0</v>
      </c>
      <c r="I368" s="319">
        <f>IF(AND('Ações'!AS376="sim", 'Ações'!BF376="sim"), 1, 0)
</f>
        <v>0</v>
      </c>
      <c r="J368" s="319">
        <f>IF(AND('Ações'!AS376="sim", 'Ações'!BG376="sim"), 1, 0)
</f>
        <v>0</v>
      </c>
      <c r="K368" s="319">
        <f>IF(AND('Ações'!AS376="sim", 'Ações'!BH376="sim"), 1, 0)
</f>
        <v>0</v>
      </c>
      <c r="L368" s="319">
        <f>IF(AND('Ações'!AS376="sim", 'Ações'!BI376="sim"), 1, 0)
</f>
        <v>1</v>
      </c>
      <c r="M368" s="319">
        <f>IF(AND('Ações'!AT376="sim", 'Ações'!BD376="sim"), 1, 0)
</f>
        <v>1</v>
      </c>
      <c r="N368" s="319">
        <f>IF(AND('Ações'!AT376="sim", 'Ações'!BF376="sim"), 1, 0)
</f>
        <v>0</v>
      </c>
      <c r="O368" s="319">
        <f>IF(AND('Ações'!AT376="sim", 'Ações'!BG376="sim"), 1, 0)
</f>
        <v>0</v>
      </c>
      <c r="P368" s="319">
        <f>IF(AND('Ações'!AT376="sim", 'Ações'!BH376="sim"), 1, 0)
</f>
        <v>0</v>
      </c>
      <c r="Q368" s="319">
        <f>IF(AND('Ações'!AT376="sim", 'Ações'!BI376="sim"), 1, 0)
</f>
        <v>1</v>
      </c>
      <c r="R368" s="319">
        <f>IF(AND('Ações'!AU376="sim", 'Ações'!BD376="sim"), 1, 0)
</f>
        <v>1</v>
      </c>
      <c r="S368" s="319">
        <f>IF(AND('Ações'!AU376="sim", 'Ações'!BE376="sim"), 1, 0)
</f>
        <v>0</v>
      </c>
      <c r="T368" s="319">
        <f>IF(AND('Ações'!AU376="sim", 'Ações'!BG376="sim"), 1, 0)
</f>
        <v>0</v>
      </c>
      <c r="U368" s="319">
        <f>IF(AND('Ações'!AU376="sim", 'Ações'!BH376="sim"), 1, 0)
</f>
        <v>0</v>
      </c>
      <c r="V368" s="319">
        <f>IF(AND('Ações'!AU376="sim", 'Ações'!BI376="sim"), 1, 0)
</f>
        <v>1</v>
      </c>
      <c r="W368" s="319">
        <f>IF(AND('Ações'!AV376="sim", 'Ações'!BD376="sim"), 1, 0)
</f>
        <v>1</v>
      </c>
      <c r="X368" s="319">
        <f>IF(AND('Ações'!AV376="sim", 'Ações'!BE376="sim"), 1, 0)
</f>
        <v>0</v>
      </c>
      <c r="Y368" s="319">
        <f>IF(AND('Ações'!AV376="sim", 'Ações'!BF376="sim"), 1, 0)
</f>
        <v>0</v>
      </c>
      <c r="Z368" s="319">
        <f>IF(AND('Ações'!AV376="sim", 'Ações'!BH376="sim"), 1, 0)
</f>
        <v>0</v>
      </c>
      <c r="AA368" s="319">
        <f>IF(AND('Ações'!AV376="sim", 'Ações'!BI376="sim"), 1, 0)
</f>
        <v>1</v>
      </c>
      <c r="AB368" s="319">
        <f>IF(AND('Ações'!AW376="sim", 'Ações'!BD376="sim"), 1, 0)
</f>
        <v>1</v>
      </c>
      <c r="AC368" s="319">
        <f>IF(AND('Ações'!AW376="sim", 'Ações'!BE376="sim"), 1, 0)
</f>
        <v>0</v>
      </c>
      <c r="AD368" s="319">
        <f>IF(AND('Ações'!AW376="sim", 'Ações'!BF376="sim"), 1, 0)
</f>
        <v>0</v>
      </c>
      <c r="AE368" s="319">
        <f>IF(AND('Ações'!AW376="sim", 'Ações'!BG376="sim"), 1, 0)
</f>
        <v>0</v>
      </c>
      <c r="AF368" s="319">
        <f>IF(AND('Ações'!AW376="sim", 'Ações'!BI376="sim"), 1, 0)
</f>
        <v>1</v>
      </c>
      <c r="AG368" s="319">
        <f>IF(AND('Ações'!AX376="sim", 'Ações'!BD376="sim"), 1, 0)
</f>
        <v>1</v>
      </c>
      <c r="AH368" s="319">
        <f>IF(AND('Ações'!AX376="sim", 'Ações'!BE376="sim"), 1, 0)
</f>
        <v>0</v>
      </c>
      <c r="AI368" s="319">
        <f>IF(AND('Ações'!AX376="sim", 'Ações'!BF376="sim"), 1, 0)
</f>
        <v>0</v>
      </c>
      <c r="AJ368" s="319">
        <f>IF(AND('Ações'!AX376="sim", 'Ações'!BG376="sim"), 1, 0)
</f>
        <v>0</v>
      </c>
      <c r="AK368" s="319">
        <f>IF(AND('Ações'!AX376="sim", 'Ações'!BH376="sim"), 1, 0)
</f>
        <v>0</v>
      </c>
    </row>
    <row r="369">
      <c r="B369" s="319">
        <f>IF(AND('Ações'!AS377="sim", 'Ações'!BD377="sim"), 1, 0)
</f>
        <v>1</v>
      </c>
      <c r="C369" s="319">
        <f>IF(AND('Ações'!AT377="sim", 'Ações'!BE377="sim"), 1, 0)
</f>
        <v>0</v>
      </c>
      <c r="D369" s="319">
        <f>IF(AND('Ações'!AU377="sim", 'Ações'!BF377="sim"), 1, 0)
</f>
        <v>0</v>
      </c>
      <c r="E369" s="319">
        <f>IF(AND('Ações'!AV377="sim", 'Ações'!BG377="sim"), 1, 0)
</f>
        <v>0</v>
      </c>
      <c r="F369" s="319">
        <f>IF(AND('Ações'!AW377="sim", 'Ações'!BH377="sim"), 1, 0)
</f>
        <v>0</v>
      </c>
      <c r="G369" s="319">
        <f>IF(AND('Ações'!AX377="sim", 'Ações'!BI377="sim"), 1, 0)
</f>
        <v>0</v>
      </c>
      <c r="H369" s="319">
        <f>IF(AND('Ações'!AS377="sim", 'Ações'!BE377="sim"), 1, 0)
</f>
        <v>0</v>
      </c>
      <c r="I369" s="319">
        <f>IF(AND('Ações'!AS377="sim", 'Ações'!BF377="sim"), 1, 0)
</f>
        <v>0</v>
      </c>
      <c r="J369" s="319">
        <f>IF(AND('Ações'!AS377="sim", 'Ações'!BG377="sim"), 1, 0)
</f>
        <v>0</v>
      </c>
      <c r="K369" s="319">
        <f>IF(AND('Ações'!AS377="sim", 'Ações'!BH377="sim"), 1, 0)
</f>
        <v>0</v>
      </c>
      <c r="L369" s="319">
        <f>IF(AND('Ações'!AS377="sim", 'Ações'!BI377="sim"), 1, 0)
</f>
        <v>0</v>
      </c>
      <c r="M369" s="319">
        <f>IF(AND('Ações'!AT377="sim", 'Ações'!BD377="sim"), 1, 0)
</f>
        <v>1</v>
      </c>
      <c r="N369" s="319">
        <f>IF(AND('Ações'!AT377="sim", 'Ações'!BF377="sim"), 1, 0)
</f>
        <v>0</v>
      </c>
      <c r="O369" s="319">
        <f>IF(AND('Ações'!AT377="sim", 'Ações'!BG377="sim"), 1, 0)
</f>
        <v>0</v>
      </c>
      <c r="P369" s="319">
        <f>IF(AND('Ações'!AT377="sim", 'Ações'!BH377="sim"), 1, 0)
</f>
        <v>0</v>
      </c>
      <c r="Q369" s="319">
        <f>IF(AND('Ações'!AT377="sim", 'Ações'!BI377="sim"), 1, 0)
</f>
        <v>0</v>
      </c>
      <c r="R369" s="319">
        <f>IF(AND('Ações'!AU377="sim", 'Ações'!BD377="sim"), 1, 0)
</f>
        <v>1</v>
      </c>
      <c r="S369" s="319">
        <f>IF(AND('Ações'!AU377="sim", 'Ações'!BE377="sim"), 1, 0)
</f>
        <v>0</v>
      </c>
      <c r="T369" s="319">
        <f>IF(AND('Ações'!AU377="sim", 'Ações'!BG377="sim"), 1, 0)
</f>
        <v>0</v>
      </c>
      <c r="U369" s="319">
        <f>IF(AND('Ações'!AU377="sim", 'Ações'!BH377="sim"), 1, 0)
</f>
        <v>0</v>
      </c>
      <c r="V369" s="319">
        <f>IF(AND('Ações'!AU377="sim", 'Ações'!BI377="sim"), 1, 0)
</f>
        <v>0</v>
      </c>
      <c r="W369" s="319">
        <f>IF(AND('Ações'!AV377="sim", 'Ações'!BD377="sim"), 1, 0)
</f>
        <v>1</v>
      </c>
      <c r="X369" s="319">
        <f>IF(AND('Ações'!AV377="sim", 'Ações'!BE377="sim"), 1, 0)
</f>
        <v>0</v>
      </c>
      <c r="Y369" s="319">
        <f>IF(AND('Ações'!AV377="sim", 'Ações'!BF377="sim"), 1, 0)
</f>
        <v>0</v>
      </c>
      <c r="Z369" s="319">
        <f>IF(AND('Ações'!AV377="sim", 'Ações'!BH377="sim"), 1, 0)
</f>
        <v>0</v>
      </c>
      <c r="AA369" s="319">
        <f>IF(AND('Ações'!AV377="sim", 'Ações'!BI377="sim"), 1, 0)
</f>
        <v>0</v>
      </c>
      <c r="AB369" s="319">
        <f>IF(AND('Ações'!AW377="sim", 'Ações'!BD377="sim"), 1, 0)
</f>
        <v>1</v>
      </c>
      <c r="AC369" s="319">
        <f>IF(AND('Ações'!AW377="sim", 'Ações'!BE377="sim"), 1, 0)
</f>
        <v>0</v>
      </c>
      <c r="AD369" s="319">
        <f>IF(AND('Ações'!AW377="sim", 'Ações'!BF377="sim"), 1, 0)
</f>
        <v>0</v>
      </c>
      <c r="AE369" s="319">
        <f>IF(AND('Ações'!AW377="sim", 'Ações'!BG377="sim"), 1, 0)
</f>
        <v>0</v>
      </c>
      <c r="AF369" s="319">
        <f>IF(AND('Ações'!AW377="sim", 'Ações'!BI377="sim"), 1, 0)
</f>
        <v>0</v>
      </c>
      <c r="AG369" s="319">
        <f>IF(AND('Ações'!AX377="sim", 'Ações'!BD377="sim"), 1, 0)
</f>
        <v>1</v>
      </c>
      <c r="AH369" s="319">
        <f>IF(AND('Ações'!AX377="sim", 'Ações'!BE377="sim"), 1, 0)
</f>
        <v>0</v>
      </c>
      <c r="AI369" s="319">
        <f>IF(AND('Ações'!AX377="sim", 'Ações'!BF377="sim"), 1, 0)
</f>
        <v>0</v>
      </c>
      <c r="AJ369" s="319">
        <f>IF(AND('Ações'!AX377="sim", 'Ações'!BG377="sim"), 1, 0)
</f>
        <v>0</v>
      </c>
      <c r="AK369" s="319">
        <f>IF(AND('Ações'!AX377="sim", 'Ações'!BH377="sim"), 1, 0)
</f>
        <v>0</v>
      </c>
    </row>
    <row r="370">
      <c r="B370" s="319">
        <f>IF(AND('Ações'!AS378="sim", 'Ações'!BD378="sim"), 1, 0)
</f>
        <v>1</v>
      </c>
      <c r="C370" s="319">
        <f>IF(AND('Ações'!AT378="sim", 'Ações'!BE378="sim"), 1, 0)
</f>
        <v>0</v>
      </c>
      <c r="D370" s="319">
        <f>IF(AND('Ações'!AU378="sim", 'Ações'!BF378="sim"), 1, 0)
</f>
        <v>0</v>
      </c>
      <c r="E370" s="319">
        <f>IF(AND('Ações'!AV378="sim", 'Ações'!BG378="sim"), 1, 0)
</f>
        <v>0</v>
      </c>
      <c r="F370" s="319">
        <f>IF(AND('Ações'!AW378="sim", 'Ações'!BH378="sim"), 1, 0)
</f>
        <v>0</v>
      </c>
      <c r="G370" s="319">
        <f>IF(AND('Ações'!AX378="sim", 'Ações'!BI378="sim"), 1, 0)
</f>
        <v>0</v>
      </c>
      <c r="H370" s="319">
        <f>IF(AND('Ações'!AS378="sim", 'Ações'!BE378="sim"), 1, 0)
</f>
        <v>0</v>
      </c>
      <c r="I370" s="319">
        <f>IF(AND('Ações'!AS378="sim", 'Ações'!BF378="sim"), 1, 0)
</f>
        <v>0</v>
      </c>
      <c r="J370" s="319">
        <f>IF(AND('Ações'!AS378="sim", 'Ações'!BG378="sim"), 1, 0)
</f>
        <v>0</v>
      </c>
      <c r="K370" s="319">
        <f>IF(AND('Ações'!AS378="sim", 'Ações'!BH378="sim"), 1, 0)
</f>
        <v>0</v>
      </c>
      <c r="L370" s="319">
        <f>IF(AND('Ações'!AS378="sim", 'Ações'!BI378="sim"), 1, 0)
</f>
        <v>0</v>
      </c>
      <c r="M370" s="319">
        <f>IF(AND('Ações'!AT378="sim", 'Ações'!BD378="sim"), 1, 0)
</f>
        <v>1</v>
      </c>
      <c r="N370" s="319">
        <f>IF(AND('Ações'!AT378="sim", 'Ações'!BF378="sim"), 1, 0)
</f>
        <v>0</v>
      </c>
      <c r="O370" s="319">
        <f>IF(AND('Ações'!AT378="sim", 'Ações'!BG378="sim"), 1, 0)
</f>
        <v>0</v>
      </c>
      <c r="P370" s="319">
        <f>IF(AND('Ações'!AT378="sim", 'Ações'!BH378="sim"), 1, 0)
</f>
        <v>0</v>
      </c>
      <c r="Q370" s="319">
        <f>IF(AND('Ações'!AT378="sim", 'Ações'!BI378="sim"), 1, 0)
</f>
        <v>0</v>
      </c>
      <c r="R370" s="319">
        <f>IF(AND('Ações'!AU378="sim", 'Ações'!BD378="sim"), 1, 0)
</f>
        <v>1</v>
      </c>
      <c r="S370" s="319">
        <f>IF(AND('Ações'!AU378="sim", 'Ações'!BE378="sim"), 1, 0)
</f>
        <v>0</v>
      </c>
      <c r="T370" s="319">
        <f>IF(AND('Ações'!AU378="sim", 'Ações'!BG378="sim"), 1, 0)
</f>
        <v>0</v>
      </c>
      <c r="U370" s="319">
        <f>IF(AND('Ações'!AU378="sim", 'Ações'!BH378="sim"), 1, 0)
</f>
        <v>0</v>
      </c>
      <c r="V370" s="319">
        <f>IF(AND('Ações'!AU378="sim", 'Ações'!BI378="sim"), 1, 0)
</f>
        <v>0</v>
      </c>
      <c r="W370" s="319">
        <f>IF(AND('Ações'!AV378="sim", 'Ações'!BD378="sim"), 1, 0)
</f>
        <v>1</v>
      </c>
      <c r="X370" s="319">
        <f>IF(AND('Ações'!AV378="sim", 'Ações'!BE378="sim"), 1, 0)
</f>
        <v>0</v>
      </c>
      <c r="Y370" s="319">
        <f>IF(AND('Ações'!AV378="sim", 'Ações'!BF378="sim"), 1, 0)
</f>
        <v>0</v>
      </c>
      <c r="Z370" s="319">
        <f>IF(AND('Ações'!AV378="sim", 'Ações'!BH378="sim"), 1, 0)
</f>
        <v>0</v>
      </c>
      <c r="AA370" s="319">
        <f>IF(AND('Ações'!AV378="sim", 'Ações'!BI378="sim"), 1, 0)
</f>
        <v>0</v>
      </c>
      <c r="AB370" s="319">
        <f>IF(AND('Ações'!AW378="sim", 'Ações'!BD378="sim"), 1, 0)
</f>
        <v>1</v>
      </c>
      <c r="AC370" s="319">
        <f>IF(AND('Ações'!AW378="sim", 'Ações'!BE378="sim"), 1, 0)
</f>
        <v>0</v>
      </c>
      <c r="AD370" s="319">
        <f>IF(AND('Ações'!AW378="sim", 'Ações'!BF378="sim"), 1, 0)
</f>
        <v>0</v>
      </c>
      <c r="AE370" s="319">
        <f>IF(AND('Ações'!AW378="sim", 'Ações'!BG378="sim"), 1, 0)
</f>
        <v>0</v>
      </c>
      <c r="AF370" s="319">
        <f>IF(AND('Ações'!AW378="sim", 'Ações'!BI378="sim"), 1, 0)
</f>
        <v>0</v>
      </c>
      <c r="AG370" s="319">
        <f>IF(AND('Ações'!AX378="sim", 'Ações'!BD378="sim"), 1, 0)
</f>
        <v>1</v>
      </c>
      <c r="AH370" s="319">
        <f>IF(AND('Ações'!AX378="sim", 'Ações'!BE378="sim"), 1, 0)
</f>
        <v>0</v>
      </c>
      <c r="AI370" s="319">
        <f>IF(AND('Ações'!AX378="sim", 'Ações'!BF378="sim"), 1, 0)
</f>
        <v>0</v>
      </c>
      <c r="AJ370" s="319">
        <f>IF(AND('Ações'!AX378="sim", 'Ações'!BG378="sim"), 1, 0)
</f>
        <v>0</v>
      </c>
      <c r="AK370" s="319">
        <f>IF(AND('Ações'!AX378="sim", 'Ações'!BH378="sim"), 1, 0)
</f>
        <v>0</v>
      </c>
    </row>
    <row r="371">
      <c r="B371" s="319">
        <f>IF(AND('Ações'!AS379="sim", 'Ações'!BD379="sim"), 1, 0)
</f>
        <v>1</v>
      </c>
      <c r="C371" s="319">
        <f>IF(AND('Ações'!AT379="sim", 'Ações'!BE379="sim"), 1, 0)
</f>
        <v>0</v>
      </c>
      <c r="D371" s="319">
        <f>IF(AND('Ações'!AU379="sim", 'Ações'!BF379="sim"), 1, 0)
</f>
        <v>0</v>
      </c>
      <c r="E371" s="319">
        <f>IF(AND('Ações'!AV379="sim", 'Ações'!BG379="sim"), 1, 0)
</f>
        <v>1</v>
      </c>
      <c r="F371" s="319">
        <f>IF(AND('Ações'!AW379="sim", 'Ações'!BH379="sim"), 1, 0)
</f>
        <v>0</v>
      </c>
      <c r="G371" s="319">
        <f>IF(AND('Ações'!AX379="sim", 'Ações'!BI379="sim"), 1, 0)
</f>
        <v>1</v>
      </c>
      <c r="H371" s="319">
        <f>IF(AND('Ações'!AS379="sim", 'Ações'!BE379="sim"), 1, 0)
</f>
        <v>0</v>
      </c>
      <c r="I371" s="319">
        <f>IF(AND('Ações'!AS379="sim", 'Ações'!BF379="sim"), 1, 0)
</f>
        <v>0</v>
      </c>
      <c r="J371" s="319">
        <f>IF(AND('Ações'!AS379="sim", 'Ações'!BG379="sim"), 1, 0)
</f>
        <v>1</v>
      </c>
      <c r="K371" s="319">
        <f>IF(AND('Ações'!AS379="sim", 'Ações'!BH379="sim"), 1, 0)
</f>
        <v>0</v>
      </c>
      <c r="L371" s="319">
        <f>IF(AND('Ações'!AS379="sim", 'Ações'!BI379="sim"), 1, 0)
</f>
        <v>1</v>
      </c>
      <c r="M371" s="319">
        <f>IF(AND('Ações'!AT379="sim", 'Ações'!BD379="sim"), 1, 0)
</f>
        <v>1</v>
      </c>
      <c r="N371" s="319">
        <f>IF(AND('Ações'!AT379="sim", 'Ações'!BF379="sim"), 1, 0)
</f>
        <v>0</v>
      </c>
      <c r="O371" s="319">
        <f>IF(AND('Ações'!AT379="sim", 'Ações'!BG379="sim"), 1, 0)
</f>
        <v>1</v>
      </c>
      <c r="P371" s="319">
        <f>IF(AND('Ações'!AT379="sim", 'Ações'!BH379="sim"), 1, 0)
</f>
        <v>0</v>
      </c>
      <c r="Q371" s="319">
        <f>IF(AND('Ações'!AT379="sim", 'Ações'!BI379="sim"), 1, 0)
</f>
        <v>1</v>
      </c>
      <c r="R371" s="319">
        <f>IF(AND('Ações'!AU379="sim", 'Ações'!BD379="sim"), 1, 0)
</f>
        <v>1</v>
      </c>
      <c r="S371" s="319">
        <f>IF(AND('Ações'!AU379="sim", 'Ações'!BE379="sim"), 1, 0)
</f>
        <v>0</v>
      </c>
      <c r="T371" s="319">
        <f>IF(AND('Ações'!AU379="sim", 'Ações'!BG379="sim"), 1, 0)
</f>
        <v>1</v>
      </c>
      <c r="U371" s="319">
        <f>IF(AND('Ações'!AU379="sim", 'Ações'!BH379="sim"), 1, 0)
</f>
        <v>0</v>
      </c>
      <c r="V371" s="319">
        <f>IF(AND('Ações'!AU379="sim", 'Ações'!BI379="sim"), 1, 0)
</f>
        <v>1</v>
      </c>
      <c r="W371" s="319">
        <f>IF(AND('Ações'!AV379="sim", 'Ações'!BD379="sim"), 1, 0)
</f>
        <v>1</v>
      </c>
      <c r="X371" s="319">
        <f>IF(AND('Ações'!AV379="sim", 'Ações'!BE379="sim"), 1, 0)
</f>
        <v>0</v>
      </c>
      <c r="Y371" s="319">
        <f>IF(AND('Ações'!AV379="sim", 'Ações'!BF379="sim"), 1, 0)
</f>
        <v>0</v>
      </c>
      <c r="Z371" s="319">
        <f>IF(AND('Ações'!AV379="sim", 'Ações'!BH379="sim"), 1, 0)
</f>
        <v>0</v>
      </c>
      <c r="AA371" s="319">
        <f>IF(AND('Ações'!AV379="sim", 'Ações'!BI379="sim"), 1, 0)
</f>
        <v>1</v>
      </c>
      <c r="AB371" s="319">
        <f>IF(AND('Ações'!AW379="sim", 'Ações'!BD379="sim"), 1, 0)
</f>
        <v>1</v>
      </c>
      <c r="AC371" s="319">
        <f>IF(AND('Ações'!AW379="sim", 'Ações'!BE379="sim"), 1, 0)
</f>
        <v>0</v>
      </c>
      <c r="AD371" s="319">
        <f>IF(AND('Ações'!AW379="sim", 'Ações'!BF379="sim"), 1, 0)
</f>
        <v>0</v>
      </c>
      <c r="AE371" s="319">
        <f>IF(AND('Ações'!AW379="sim", 'Ações'!BG379="sim"), 1, 0)
</f>
        <v>1</v>
      </c>
      <c r="AF371" s="319">
        <f>IF(AND('Ações'!AW379="sim", 'Ações'!BI379="sim"), 1, 0)
</f>
        <v>1</v>
      </c>
      <c r="AG371" s="319">
        <f>IF(AND('Ações'!AX379="sim", 'Ações'!BD379="sim"), 1, 0)
</f>
        <v>1</v>
      </c>
      <c r="AH371" s="319">
        <f>IF(AND('Ações'!AX379="sim", 'Ações'!BE379="sim"), 1, 0)
</f>
        <v>0</v>
      </c>
      <c r="AI371" s="319">
        <f>IF(AND('Ações'!AX379="sim", 'Ações'!BF379="sim"), 1, 0)
</f>
        <v>0</v>
      </c>
      <c r="AJ371" s="319">
        <f>IF(AND('Ações'!AX379="sim", 'Ações'!BG379="sim"), 1, 0)
</f>
        <v>1</v>
      </c>
      <c r="AK371" s="319">
        <f>IF(AND('Ações'!AX379="sim", 'Ações'!BH379="sim"), 1, 0)
</f>
        <v>0</v>
      </c>
    </row>
    <row r="372">
      <c r="B372" s="319">
        <f>IF(AND('Ações'!AS380="sim", 'Ações'!BD380="sim"), 1, 0)
</f>
        <v>0</v>
      </c>
      <c r="C372" s="319">
        <f>IF(AND('Ações'!AT380="sim", 'Ações'!BE380="sim"), 1, 0)
</f>
        <v>0</v>
      </c>
      <c r="D372" s="319">
        <f>IF(AND('Ações'!AU380="sim", 'Ações'!BF380="sim"), 1, 0)
</f>
        <v>0</v>
      </c>
      <c r="E372" s="319">
        <f>IF(AND('Ações'!AV380="sim", 'Ações'!BG380="sim"), 1, 0)
</f>
        <v>0</v>
      </c>
      <c r="F372" s="319">
        <f>IF(AND('Ações'!AW380="sim", 'Ações'!BH380="sim"), 1, 0)
</f>
        <v>0</v>
      </c>
      <c r="G372" s="319">
        <f>IF(AND('Ações'!AX380="sim", 'Ações'!BI380="sim"), 1, 0)
</f>
        <v>1</v>
      </c>
      <c r="H372" s="319">
        <f>IF(AND('Ações'!AS380="sim", 'Ações'!BE380="sim"), 1, 0)
</f>
        <v>0</v>
      </c>
      <c r="I372" s="319">
        <f>IF(AND('Ações'!AS380="sim", 'Ações'!BF380="sim"), 1, 0)
</f>
        <v>0</v>
      </c>
      <c r="J372" s="319">
        <f>IF(AND('Ações'!AS380="sim", 'Ações'!BG380="sim"), 1, 0)
</f>
        <v>0</v>
      </c>
      <c r="K372" s="319">
        <f>IF(AND('Ações'!AS380="sim", 'Ações'!BH380="sim"), 1, 0)
</f>
        <v>0</v>
      </c>
      <c r="L372" s="319">
        <f>IF(AND('Ações'!AS380="sim", 'Ações'!BI380="sim"), 1, 0)
</f>
        <v>1</v>
      </c>
      <c r="M372" s="319">
        <f>IF(AND('Ações'!AT380="sim", 'Ações'!BD380="sim"), 1, 0)
</f>
        <v>0</v>
      </c>
      <c r="N372" s="319">
        <f>IF(AND('Ações'!AT380="sim", 'Ações'!BF380="sim"), 1, 0)
</f>
        <v>0</v>
      </c>
      <c r="O372" s="319">
        <f>IF(AND('Ações'!AT380="sim", 'Ações'!BG380="sim"), 1, 0)
</f>
        <v>0</v>
      </c>
      <c r="P372" s="319">
        <f>IF(AND('Ações'!AT380="sim", 'Ações'!BH380="sim"), 1, 0)
</f>
        <v>0</v>
      </c>
      <c r="Q372" s="319">
        <f>IF(AND('Ações'!AT380="sim", 'Ações'!BI380="sim"), 1, 0)
</f>
        <v>1</v>
      </c>
      <c r="R372" s="319">
        <f>IF(AND('Ações'!AU380="sim", 'Ações'!BD380="sim"), 1, 0)
</f>
        <v>0</v>
      </c>
      <c r="S372" s="319">
        <f>IF(AND('Ações'!AU380="sim", 'Ações'!BE380="sim"), 1, 0)
</f>
        <v>0</v>
      </c>
      <c r="T372" s="319">
        <f>IF(AND('Ações'!AU380="sim", 'Ações'!BG380="sim"), 1, 0)
</f>
        <v>0</v>
      </c>
      <c r="U372" s="319">
        <f>IF(AND('Ações'!AU380="sim", 'Ações'!BH380="sim"), 1, 0)
</f>
        <v>0</v>
      </c>
      <c r="V372" s="319">
        <f>IF(AND('Ações'!AU380="sim", 'Ações'!BI380="sim"), 1, 0)
</f>
        <v>1</v>
      </c>
      <c r="W372" s="319">
        <f>IF(AND('Ações'!AV380="sim", 'Ações'!BD380="sim"), 1, 0)
</f>
        <v>0</v>
      </c>
      <c r="X372" s="319">
        <f>IF(AND('Ações'!AV380="sim", 'Ações'!BE380="sim"), 1, 0)
</f>
        <v>0</v>
      </c>
      <c r="Y372" s="319">
        <f>IF(AND('Ações'!AV380="sim", 'Ações'!BF380="sim"), 1, 0)
</f>
        <v>0</v>
      </c>
      <c r="Z372" s="319">
        <f>IF(AND('Ações'!AV380="sim", 'Ações'!BH380="sim"), 1, 0)
</f>
        <v>0</v>
      </c>
      <c r="AA372" s="319">
        <f>IF(AND('Ações'!AV380="sim", 'Ações'!BI380="sim"), 1, 0)
</f>
        <v>1</v>
      </c>
      <c r="AB372" s="319">
        <f>IF(AND('Ações'!AW380="sim", 'Ações'!BD380="sim"), 1, 0)
</f>
        <v>0</v>
      </c>
      <c r="AC372" s="319">
        <f>IF(AND('Ações'!AW380="sim", 'Ações'!BE380="sim"), 1, 0)
</f>
        <v>0</v>
      </c>
      <c r="AD372" s="319">
        <f>IF(AND('Ações'!AW380="sim", 'Ações'!BF380="sim"), 1, 0)
</f>
        <v>0</v>
      </c>
      <c r="AE372" s="319">
        <f>IF(AND('Ações'!AW380="sim", 'Ações'!BG380="sim"), 1, 0)
</f>
        <v>0</v>
      </c>
      <c r="AF372" s="319">
        <f>IF(AND('Ações'!AW380="sim", 'Ações'!BI380="sim"), 1, 0)
</f>
        <v>1</v>
      </c>
      <c r="AG372" s="319">
        <f>IF(AND('Ações'!AX380="sim", 'Ações'!BD380="sim"), 1, 0)
</f>
        <v>0</v>
      </c>
      <c r="AH372" s="319">
        <f>IF(AND('Ações'!AX380="sim", 'Ações'!BE380="sim"), 1, 0)
</f>
        <v>0</v>
      </c>
      <c r="AI372" s="319">
        <f>IF(AND('Ações'!AX380="sim", 'Ações'!BF380="sim"), 1, 0)
</f>
        <v>0</v>
      </c>
      <c r="AJ372" s="319">
        <f>IF(AND('Ações'!AX380="sim", 'Ações'!BG380="sim"), 1, 0)
</f>
        <v>0</v>
      </c>
      <c r="AK372" s="319">
        <f>IF(AND('Ações'!AX380="sim", 'Ações'!BH380="sim"), 1, 0)
</f>
        <v>0</v>
      </c>
    </row>
    <row r="373">
      <c r="B373" s="319">
        <f>IF(AND('Ações'!AS381="sim", 'Ações'!BD381="sim"), 1, 0)
</f>
        <v>0</v>
      </c>
      <c r="C373" s="319">
        <f>IF(AND('Ações'!AT381="sim", 'Ações'!BE381="sim"), 1, 0)
</f>
        <v>0</v>
      </c>
      <c r="D373" s="319">
        <f>IF(AND('Ações'!AU381="sim", 'Ações'!BF381="sim"), 1, 0)
</f>
        <v>0</v>
      </c>
      <c r="E373" s="319">
        <f>IF(AND('Ações'!AV381="sim", 'Ações'!BG381="sim"), 1, 0)
</f>
        <v>0</v>
      </c>
      <c r="F373" s="319">
        <f>IF(AND('Ações'!AW381="sim", 'Ações'!BH381="sim"), 1, 0)
</f>
        <v>0</v>
      </c>
      <c r="G373" s="319">
        <f>IF(AND('Ações'!AX381="sim", 'Ações'!BI381="sim"), 1, 0)
</f>
        <v>1</v>
      </c>
      <c r="H373" s="319">
        <f>IF(AND('Ações'!AS381="sim", 'Ações'!BE381="sim"), 1, 0)
</f>
        <v>0</v>
      </c>
      <c r="I373" s="319">
        <f>IF(AND('Ações'!AS381="sim", 'Ações'!BF381="sim"), 1, 0)
</f>
        <v>0</v>
      </c>
      <c r="J373" s="319">
        <f>IF(AND('Ações'!AS381="sim", 'Ações'!BG381="sim"), 1, 0)
</f>
        <v>0</v>
      </c>
      <c r="K373" s="319">
        <f>IF(AND('Ações'!AS381="sim", 'Ações'!BH381="sim"), 1, 0)
</f>
        <v>0</v>
      </c>
      <c r="L373" s="319">
        <f>IF(AND('Ações'!AS381="sim", 'Ações'!BI381="sim"), 1, 0)
</f>
        <v>1</v>
      </c>
      <c r="M373" s="319">
        <f>IF(AND('Ações'!AT381="sim", 'Ações'!BD381="sim"), 1, 0)
</f>
        <v>0</v>
      </c>
      <c r="N373" s="319">
        <f>IF(AND('Ações'!AT381="sim", 'Ações'!BF381="sim"), 1, 0)
</f>
        <v>0</v>
      </c>
      <c r="O373" s="319">
        <f>IF(AND('Ações'!AT381="sim", 'Ações'!BG381="sim"), 1, 0)
</f>
        <v>0</v>
      </c>
      <c r="P373" s="319">
        <f>IF(AND('Ações'!AT381="sim", 'Ações'!BH381="sim"), 1, 0)
</f>
        <v>0</v>
      </c>
      <c r="Q373" s="319">
        <f>IF(AND('Ações'!AT381="sim", 'Ações'!BI381="sim"), 1, 0)
</f>
        <v>1</v>
      </c>
      <c r="R373" s="319">
        <f>IF(AND('Ações'!AU381="sim", 'Ações'!BD381="sim"), 1, 0)
</f>
        <v>0</v>
      </c>
      <c r="S373" s="319">
        <f>IF(AND('Ações'!AU381="sim", 'Ações'!BE381="sim"), 1, 0)
</f>
        <v>0</v>
      </c>
      <c r="T373" s="319">
        <f>IF(AND('Ações'!AU381="sim", 'Ações'!BG381="sim"), 1, 0)
</f>
        <v>0</v>
      </c>
      <c r="U373" s="319">
        <f>IF(AND('Ações'!AU381="sim", 'Ações'!BH381="sim"), 1, 0)
</f>
        <v>0</v>
      </c>
      <c r="V373" s="319">
        <f>IF(AND('Ações'!AU381="sim", 'Ações'!BI381="sim"), 1, 0)
</f>
        <v>1</v>
      </c>
      <c r="W373" s="319">
        <f>IF(AND('Ações'!AV381="sim", 'Ações'!BD381="sim"), 1, 0)
</f>
        <v>0</v>
      </c>
      <c r="X373" s="319">
        <f>IF(AND('Ações'!AV381="sim", 'Ações'!BE381="sim"), 1, 0)
</f>
        <v>0</v>
      </c>
      <c r="Y373" s="319">
        <f>IF(AND('Ações'!AV381="sim", 'Ações'!BF381="sim"), 1, 0)
</f>
        <v>0</v>
      </c>
      <c r="Z373" s="319">
        <f>IF(AND('Ações'!AV381="sim", 'Ações'!BH381="sim"), 1, 0)
</f>
        <v>0</v>
      </c>
      <c r="AA373" s="319">
        <f>IF(AND('Ações'!AV381="sim", 'Ações'!BI381="sim"), 1, 0)
</f>
        <v>1</v>
      </c>
      <c r="AB373" s="319">
        <f>IF(AND('Ações'!AW381="sim", 'Ações'!BD381="sim"), 1, 0)
</f>
        <v>0</v>
      </c>
      <c r="AC373" s="319">
        <f>IF(AND('Ações'!AW381="sim", 'Ações'!BE381="sim"), 1, 0)
</f>
        <v>0</v>
      </c>
      <c r="AD373" s="319">
        <f>IF(AND('Ações'!AW381="sim", 'Ações'!BF381="sim"), 1, 0)
</f>
        <v>0</v>
      </c>
      <c r="AE373" s="319">
        <f>IF(AND('Ações'!AW381="sim", 'Ações'!BG381="sim"), 1, 0)
</f>
        <v>0</v>
      </c>
      <c r="AF373" s="319">
        <f>IF(AND('Ações'!AW381="sim", 'Ações'!BI381="sim"), 1, 0)
</f>
        <v>1</v>
      </c>
      <c r="AG373" s="319">
        <f>IF(AND('Ações'!AX381="sim", 'Ações'!BD381="sim"), 1, 0)
</f>
        <v>0</v>
      </c>
      <c r="AH373" s="319">
        <f>IF(AND('Ações'!AX381="sim", 'Ações'!BE381="sim"), 1, 0)
</f>
        <v>0</v>
      </c>
      <c r="AI373" s="319">
        <f>IF(AND('Ações'!AX381="sim", 'Ações'!BF381="sim"), 1, 0)
</f>
        <v>0</v>
      </c>
      <c r="AJ373" s="319">
        <f>IF(AND('Ações'!AX381="sim", 'Ações'!BG381="sim"), 1, 0)
</f>
        <v>0</v>
      </c>
      <c r="AK373" s="319">
        <f>IF(AND('Ações'!AX381="sim", 'Ações'!BH381="sim"), 1, 0)
</f>
        <v>0</v>
      </c>
    </row>
    <row r="374">
      <c r="B374" s="319">
        <f>IF(AND('Ações'!AS382="sim", 'Ações'!BD382="sim"), 1, 0)
</f>
        <v>0</v>
      </c>
      <c r="C374" s="319">
        <f>IF(AND('Ações'!AT382="sim", 'Ações'!BE382="sim"), 1, 0)
</f>
        <v>0</v>
      </c>
      <c r="D374" s="319">
        <f>IF(AND('Ações'!AU382="sim", 'Ações'!BF382="sim"), 1, 0)
</f>
        <v>0</v>
      </c>
      <c r="E374" s="319">
        <f>IF(AND('Ações'!AV382="sim", 'Ações'!BG382="sim"), 1, 0)
</f>
        <v>0</v>
      </c>
      <c r="F374" s="319">
        <f>IF(AND('Ações'!AW382="sim", 'Ações'!BH382="sim"), 1, 0)
</f>
        <v>0</v>
      </c>
      <c r="G374" s="319">
        <f>IF(AND('Ações'!AX382="sim", 'Ações'!BI382="sim"), 1, 0)
</f>
        <v>1</v>
      </c>
      <c r="H374" s="319">
        <f>IF(AND('Ações'!AS382="sim", 'Ações'!BE382="sim"), 1, 0)
</f>
        <v>0</v>
      </c>
      <c r="I374" s="319">
        <f>IF(AND('Ações'!AS382="sim", 'Ações'!BF382="sim"), 1, 0)
</f>
        <v>0</v>
      </c>
      <c r="J374" s="319">
        <f>IF(AND('Ações'!AS382="sim", 'Ações'!BG382="sim"), 1, 0)
</f>
        <v>0</v>
      </c>
      <c r="K374" s="319">
        <f>IF(AND('Ações'!AS382="sim", 'Ações'!BH382="sim"), 1, 0)
</f>
        <v>0</v>
      </c>
      <c r="L374" s="319">
        <f>IF(AND('Ações'!AS382="sim", 'Ações'!BI382="sim"), 1, 0)
</f>
        <v>1</v>
      </c>
      <c r="M374" s="319">
        <f>IF(AND('Ações'!AT382="sim", 'Ações'!BD382="sim"), 1, 0)
</f>
        <v>0</v>
      </c>
      <c r="N374" s="319">
        <f>IF(AND('Ações'!AT382="sim", 'Ações'!BF382="sim"), 1, 0)
</f>
        <v>0</v>
      </c>
      <c r="O374" s="319">
        <f>IF(AND('Ações'!AT382="sim", 'Ações'!BG382="sim"), 1, 0)
</f>
        <v>0</v>
      </c>
      <c r="P374" s="319">
        <f>IF(AND('Ações'!AT382="sim", 'Ações'!BH382="sim"), 1, 0)
</f>
        <v>0</v>
      </c>
      <c r="Q374" s="319">
        <f>IF(AND('Ações'!AT382="sim", 'Ações'!BI382="sim"), 1, 0)
</f>
        <v>1</v>
      </c>
      <c r="R374" s="319">
        <f>IF(AND('Ações'!AU382="sim", 'Ações'!BD382="sim"), 1, 0)
</f>
        <v>0</v>
      </c>
      <c r="S374" s="319">
        <f>IF(AND('Ações'!AU382="sim", 'Ações'!BE382="sim"), 1, 0)
</f>
        <v>0</v>
      </c>
      <c r="T374" s="319">
        <f>IF(AND('Ações'!AU382="sim", 'Ações'!BG382="sim"), 1, 0)
</f>
        <v>0</v>
      </c>
      <c r="U374" s="319">
        <f>IF(AND('Ações'!AU382="sim", 'Ações'!BH382="sim"), 1, 0)
</f>
        <v>0</v>
      </c>
      <c r="V374" s="319">
        <f>IF(AND('Ações'!AU382="sim", 'Ações'!BI382="sim"), 1, 0)
</f>
        <v>1</v>
      </c>
      <c r="W374" s="319">
        <f>IF(AND('Ações'!AV382="sim", 'Ações'!BD382="sim"), 1, 0)
</f>
        <v>0</v>
      </c>
      <c r="X374" s="319">
        <f>IF(AND('Ações'!AV382="sim", 'Ações'!BE382="sim"), 1, 0)
</f>
        <v>0</v>
      </c>
      <c r="Y374" s="319">
        <f>IF(AND('Ações'!AV382="sim", 'Ações'!BF382="sim"), 1, 0)
</f>
        <v>0</v>
      </c>
      <c r="Z374" s="319">
        <f>IF(AND('Ações'!AV382="sim", 'Ações'!BH382="sim"), 1, 0)
</f>
        <v>0</v>
      </c>
      <c r="AA374" s="319">
        <f>IF(AND('Ações'!AV382="sim", 'Ações'!BI382="sim"), 1, 0)
</f>
        <v>1</v>
      </c>
      <c r="AB374" s="319">
        <f>IF(AND('Ações'!AW382="sim", 'Ações'!BD382="sim"), 1, 0)
</f>
        <v>0</v>
      </c>
      <c r="AC374" s="319">
        <f>IF(AND('Ações'!AW382="sim", 'Ações'!BE382="sim"), 1, 0)
</f>
        <v>0</v>
      </c>
      <c r="AD374" s="319">
        <f>IF(AND('Ações'!AW382="sim", 'Ações'!BF382="sim"), 1, 0)
</f>
        <v>0</v>
      </c>
      <c r="AE374" s="319">
        <f>IF(AND('Ações'!AW382="sim", 'Ações'!BG382="sim"), 1, 0)
</f>
        <v>0</v>
      </c>
      <c r="AF374" s="319">
        <f>IF(AND('Ações'!AW382="sim", 'Ações'!BI382="sim"), 1, 0)
</f>
        <v>1</v>
      </c>
      <c r="AG374" s="319">
        <f>IF(AND('Ações'!AX382="sim", 'Ações'!BD382="sim"), 1, 0)
</f>
        <v>0</v>
      </c>
      <c r="AH374" s="319">
        <f>IF(AND('Ações'!AX382="sim", 'Ações'!BE382="sim"), 1, 0)
</f>
        <v>0</v>
      </c>
      <c r="AI374" s="319">
        <f>IF(AND('Ações'!AX382="sim", 'Ações'!BF382="sim"), 1, 0)
</f>
        <v>0</v>
      </c>
      <c r="AJ374" s="319">
        <f>IF(AND('Ações'!AX382="sim", 'Ações'!BG382="sim"), 1, 0)
</f>
        <v>0</v>
      </c>
      <c r="AK374" s="319">
        <f>IF(AND('Ações'!AX382="sim", 'Ações'!BH382="sim"), 1, 0)
</f>
        <v>0</v>
      </c>
    </row>
    <row r="375">
      <c r="B375" s="319">
        <f>IF(AND('Ações'!AS383="sim", 'Ações'!BD383="sim"), 1, 0)
</f>
        <v>1</v>
      </c>
      <c r="C375" s="319">
        <f>IF(AND('Ações'!AT383="sim", 'Ações'!BE383="sim"), 1, 0)
</f>
        <v>0</v>
      </c>
      <c r="D375" s="319">
        <f>IF(AND('Ações'!AU383="sim", 'Ações'!BF383="sim"), 1, 0)
</f>
        <v>0</v>
      </c>
      <c r="E375" s="319">
        <f>IF(AND('Ações'!AV383="sim", 'Ações'!BG383="sim"), 1, 0)
</f>
        <v>0</v>
      </c>
      <c r="F375" s="319">
        <f>IF(AND('Ações'!AW383="sim", 'Ações'!BH383="sim"), 1, 0)
</f>
        <v>0</v>
      </c>
      <c r="G375" s="319">
        <f>IF(AND('Ações'!AX383="sim", 'Ações'!BI383="sim"), 1, 0)
</f>
        <v>0</v>
      </c>
      <c r="H375" s="319">
        <f>IF(AND('Ações'!AS383="sim", 'Ações'!BE383="sim"), 1, 0)
</f>
        <v>0</v>
      </c>
      <c r="I375" s="319">
        <f>IF(AND('Ações'!AS383="sim", 'Ações'!BF383="sim"), 1, 0)
</f>
        <v>0</v>
      </c>
      <c r="J375" s="319">
        <f>IF(AND('Ações'!AS383="sim", 'Ações'!BG383="sim"), 1, 0)
</f>
        <v>0</v>
      </c>
      <c r="K375" s="319">
        <f>IF(AND('Ações'!AS383="sim", 'Ações'!BH383="sim"), 1, 0)
</f>
        <v>0</v>
      </c>
      <c r="L375" s="319">
        <f>IF(AND('Ações'!AS383="sim", 'Ações'!BI383="sim"), 1, 0)
</f>
        <v>0</v>
      </c>
      <c r="M375" s="319">
        <f>IF(AND('Ações'!AT383="sim", 'Ações'!BD383="sim"), 1, 0)
</f>
        <v>1</v>
      </c>
      <c r="N375" s="319">
        <f>IF(AND('Ações'!AT383="sim", 'Ações'!BF383="sim"), 1, 0)
</f>
        <v>0</v>
      </c>
      <c r="O375" s="319">
        <f>IF(AND('Ações'!AT383="sim", 'Ações'!BG383="sim"), 1, 0)
</f>
        <v>0</v>
      </c>
      <c r="P375" s="319">
        <f>IF(AND('Ações'!AT383="sim", 'Ações'!BH383="sim"), 1, 0)
</f>
        <v>0</v>
      </c>
      <c r="Q375" s="319">
        <f>IF(AND('Ações'!AT383="sim", 'Ações'!BI383="sim"), 1, 0)
</f>
        <v>0</v>
      </c>
      <c r="R375" s="319">
        <f>IF(AND('Ações'!AU383="sim", 'Ações'!BD383="sim"), 1, 0)
</f>
        <v>1</v>
      </c>
      <c r="S375" s="319">
        <f>IF(AND('Ações'!AU383="sim", 'Ações'!BE383="sim"), 1, 0)
</f>
        <v>0</v>
      </c>
      <c r="T375" s="319">
        <f>IF(AND('Ações'!AU383="sim", 'Ações'!BG383="sim"), 1, 0)
</f>
        <v>0</v>
      </c>
      <c r="U375" s="319">
        <f>IF(AND('Ações'!AU383="sim", 'Ações'!BH383="sim"), 1, 0)
</f>
        <v>0</v>
      </c>
      <c r="V375" s="319">
        <f>IF(AND('Ações'!AU383="sim", 'Ações'!BI383="sim"), 1, 0)
</f>
        <v>0</v>
      </c>
      <c r="W375" s="319">
        <f>IF(AND('Ações'!AV383="sim", 'Ações'!BD383="sim"), 1, 0)
</f>
        <v>1</v>
      </c>
      <c r="X375" s="319">
        <f>IF(AND('Ações'!AV383="sim", 'Ações'!BE383="sim"), 1, 0)
</f>
        <v>0</v>
      </c>
      <c r="Y375" s="319">
        <f>IF(AND('Ações'!AV383="sim", 'Ações'!BF383="sim"), 1, 0)
</f>
        <v>0</v>
      </c>
      <c r="Z375" s="319">
        <f>IF(AND('Ações'!AV383="sim", 'Ações'!BH383="sim"), 1, 0)
</f>
        <v>0</v>
      </c>
      <c r="AA375" s="319">
        <f>IF(AND('Ações'!AV383="sim", 'Ações'!BI383="sim"), 1, 0)
</f>
        <v>0</v>
      </c>
      <c r="AB375" s="319">
        <f>IF(AND('Ações'!AW383="sim", 'Ações'!BD383="sim"), 1, 0)
</f>
        <v>1</v>
      </c>
      <c r="AC375" s="319">
        <f>IF(AND('Ações'!AW383="sim", 'Ações'!BE383="sim"), 1, 0)
</f>
        <v>0</v>
      </c>
      <c r="AD375" s="319">
        <f>IF(AND('Ações'!AW383="sim", 'Ações'!BF383="sim"), 1, 0)
</f>
        <v>0</v>
      </c>
      <c r="AE375" s="319">
        <f>IF(AND('Ações'!AW383="sim", 'Ações'!BG383="sim"), 1, 0)
</f>
        <v>0</v>
      </c>
      <c r="AF375" s="319">
        <f>IF(AND('Ações'!AW383="sim", 'Ações'!BI383="sim"), 1, 0)
</f>
        <v>0</v>
      </c>
      <c r="AG375" s="319">
        <f>IF(AND('Ações'!AX383="sim", 'Ações'!BD383="sim"), 1, 0)
</f>
        <v>1</v>
      </c>
      <c r="AH375" s="319">
        <f>IF(AND('Ações'!AX383="sim", 'Ações'!BE383="sim"), 1, 0)
</f>
        <v>0</v>
      </c>
      <c r="AI375" s="319">
        <f>IF(AND('Ações'!AX383="sim", 'Ações'!BF383="sim"), 1, 0)
</f>
        <v>0</v>
      </c>
      <c r="AJ375" s="319">
        <f>IF(AND('Ações'!AX383="sim", 'Ações'!BG383="sim"), 1, 0)
</f>
        <v>0</v>
      </c>
      <c r="AK375" s="319">
        <f>IF(AND('Ações'!AX383="sim", 'Ações'!BH383="sim"), 1, 0)
</f>
        <v>0</v>
      </c>
    </row>
    <row r="376">
      <c r="B376" s="319">
        <f>IF(AND('Ações'!AS384="sim", 'Ações'!BD384="sim"), 1, 0)
</f>
        <v>0</v>
      </c>
      <c r="C376" s="319">
        <f>IF(AND('Ações'!AT384="sim", 'Ações'!BE384="sim"), 1, 0)
</f>
        <v>0</v>
      </c>
      <c r="D376" s="319">
        <f>IF(AND('Ações'!AU384="sim", 'Ações'!BF384="sim"), 1, 0)
</f>
        <v>0</v>
      </c>
      <c r="E376" s="319">
        <f>IF(AND('Ações'!AV384="sim", 'Ações'!BG384="sim"), 1, 0)
</f>
        <v>0</v>
      </c>
      <c r="F376" s="319">
        <f>IF(AND('Ações'!AW384="sim", 'Ações'!BH384="sim"), 1, 0)
</f>
        <v>0</v>
      </c>
      <c r="G376" s="319">
        <f>IF(AND('Ações'!AX384="sim", 'Ações'!BI384="sim"), 1, 0)
</f>
        <v>1</v>
      </c>
      <c r="H376" s="319">
        <f>IF(AND('Ações'!AS384="sim", 'Ações'!BE384="sim"), 1, 0)
</f>
        <v>0</v>
      </c>
      <c r="I376" s="319">
        <f>IF(AND('Ações'!AS384="sim", 'Ações'!BF384="sim"), 1, 0)
</f>
        <v>0</v>
      </c>
      <c r="J376" s="319">
        <f>IF(AND('Ações'!AS384="sim", 'Ações'!BG384="sim"), 1, 0)
</f>
        <v>0</v>
      </c>
      <c r="K376" s="319">
        <f>IF(AND('Ações'!AS384="sim", 'Ações'!BH384="sim"), 1, 0)
</f>
        <v>0</v>
      </c>
      <c r="L376" s="319">
        <f>IF(AND('Ações'!AS384="sim", 'Ações'!BI384="sim"), 1, 0)
</f>
        <v>1</v>
      </c>
      <c r="M376" s="319">
        <f>IF(AND('Ações'!AT384="sim", 'Ações'!BD384="sim"), 1, 0)
</f>
        <v>0</v>
      </c>
      <c r="N376" s="319">
        <f>IF(AND('Ações'!AT384="sim", 'Ações'!BF384="sim"), 1, 0)
</f>
        <v>0</v>
      </c>
      <c r="O376" s="319">
        <f>IF(AND('Ações'!AT384="sim", 'Ações'!BG384="sim"), 1, 0)
</f>
        <v>0</v>
      </c>
      <c r="P376" s="319">
        <f>IF(AND('Ações'!AT384="sim", 'Ações'!BH384="sim"), 1, 0)
</f>
        <v>0</v>
      </c>
      <c r="Q376" s="319">
        <f>IF(AND('Ações'!AT384="sim", 'Ações'!BI384="sim"), 1, 0)
</f>
        <v>1</v>
      </c>
      <c r="R376" s="319">
        <f>IF(AND('Ações'!AU384="sim", 'Ações'!BD384="sim"), 1, 0)
</f>
        <v>0</v>
      </c>
      <c r="S376" s="319">
        <f>IF(AND('Ações'!AU384="sim", 'Ações'!BE384="sim"), 1, 0)
</f>
        <v>0</v>
      </c>
      <c r="T376" s="319">
        <f>IF(AND('Ações'!AU384="sim", 'Ações'!BG384="sim"), 1, 0)
</f>
        <v>0</v>
      </c>
      <c r="U376" s="319">
        <f>IF(AND('Ações'!AU384="sim", 'Ações'!BH384="sim"), 1, 0)
</f>
        <v>0</v>
      </c>
      <c r="V376" s="319">
        <f>IF(AND('Ações'!AU384="sim", 'Ações'!BI384="sim"), 1, 0)
</f>
        <v>1</v>
      </c>
      <c r="W376" s="319">
        <f>IF(AND('Ações'!AV384="sim", 'Ações'!BD384="sim"), 1, 0)
</f>
        <v>0</v>
      </c>
      <c r="X376" s="319">
        <f>IF(AND('Ações'!AV384="sim", 'Ações'!BE384="sim"), 1, 0)
</f>
        <v>0</v>
      </c>
      <c r="Y376" s="319">
        <f>IF(AND('Ações'!AV384="sim", 'Ações'!BF384="sim"), 1, 0)
</f>
        <v>0</v>
      </c>
      <c r="Z376" s="319">
        <f>IF(AND('Ações'!AV384="sim", 'Ações'!BH384="sim"), 1, 0)
</f>
        <v>0</v>
      </c>
      <c r="AA376" s="319">
        <f>IF(AND('Ações'!AV384="sim", 'Ações'!BI384="sim"), 1, 0)
</f>
        <v>1</v>
      </c>
      <c r="AB376" s="319">
        <f>IF(AND('Ações'!AW384="sim", 'Ações'!BD384="sim"), 1, 0)
</f>
        <v>0</v>
      </c>
      <c r="AC376" s="319">
        <f>IF(AND('Ações'!AW384="sim", 'Ações'!BE384="sim"), 1, 0)
</f>
        <v>0</v>
      </c>
      <c r="AD376" s="319">
        <f>IF(AND('Ações'!AW384="sim", 'Ações'!BF384="sim"), 1, 0)
</f>
        <v>0</v>
      </c>
      <c r="AE376" s="319">
        <f>IF(AND('Ações'!AW384="sim", 'Ações'!BG384="sim"), 1, 0)
</f>
        <v>0</v>
      </c>
      <c r="AF376" s="319">
        <f>IF(AND('Ações'!AW384="sim", 'Ações'!BI384="sim"), 1, 0)
</f>
        <v>1</v>
      </c>
      <c r="AG376" s="319">
        <f>IF(AND('Ações'!AX384="sim", 'Ações'!BD384="sim"), 1, 0)
</f>
        <v>0</v>
      </c>
      <c r="AH376" s="319">
        <f>IF(AND('Ações'!AX384="sim", 'Ações'!BE384="sim"), 1, 0)
</f>
        <v>0</v>
      </c>
      <c r="AI376" s="319">
        <f>IF(AND('Ações'!AX384="sim", 'Ações'!BF384="sim"), 1, 0)
</f>
        <v>0</v>
      </c>
      <c r="AJ376" s="319">
        <f>IF(AND('Ações'!AX384="sim", 'Ações'!BG384="sim"), 1, 0)
</f>
        <v>0</v>
      </c>
      <c r="AK376" s="319">
        <f>IF(AND('Ações'!AX384="sim", 'Ações'!BH384="sim"), 1, 0)
</f>
        <v>0</v>
      </c>
    </row>
    <row r="377">
      <c r="B377" s="319">
        <f>IF(AND('Ações'!AS385="sim", 'Ações'!BD385="sim"), 1, 0)
</f>
        <v>0</v>
      </c>
      <c r="C377" s="319">
        <f>IF(AND('Ações'!AT385="sim", 'Ações'!BE385="sim"), 1, 0)
</f>
        <v>0</v>
      </c>
      <c r="D377" s="319">
        <f>IF(AND('Ações'!AU385="sim", 'Ações'!BF385="sim"), 1, 0)
</f>
        <v>0</v>
      </c>
      <c r="E377" s="319">
        <f>IF(AND('Ações'!AV385="sim", 'Ações'!BG385="sim"), 1, 0)
</f>
        <v>0</v>
      </c>
      <c r="F377" s="319">
        <f>IF(AND('Ações'!AW385="sim", 'Ações'!BH385="sim"), 1, 0)
</f>
        <v>0</v>
      </c>
      <c r="G377" s="319">
        <f>IF(AND('Ações'!AX385="sim", 'Ações'!BI385="sim"), 1, 0)
</f>
        <v>1</v>
      </c>
      <c r="H377" s="319">
        <f>IF(AND('Ações'!AS385="sim", 'Ações'!BE385="sim"), 1, 0)
</f>
        <v>0</v>
      </c>
      <c r="I377" s="319">
        <f>IF(AND('Ações'!AS385="sim", 'Ações'!BF385="sim"), 1, 0)
</f>
        <v>0</v>
      </c>
      <c r="J377" s="319">
        <f>IF(AND('Ações'!AS385="sim", 'Ações'!BG385="sim"), 1, 0)
</f>
        <v>0</v>
      </c>
      <c r="K377" s="319">
        <f>IF(AND('Ações'!AS385="sim", 'Ações'!BH385="sim"), 1, 0)
</f>
        <v>0</v>
      </c>
      <c r="L377" s="319">
        <f>IF(AND('Ações'!AS385="sim", 'Ações'!BI385="sim"), 1, 0)
</f>
        <v>1</v>
      </c>
      <c r="M377" s="319">
        <f>IF(AND('Ações'!AT385="sim", 'Ações'!BD385="sim"), 1, 0)
</f>
        <v>0</v>
      </c>
      <c r="N377" s="319">
        <f>IF(AND('Ações'!AT385="sim", 'Ações'!BF385="sim"), 1, 0)
</f>
        <v>0</v>
      </c>
      <c r="O377" s="319">
        <f>IF(AND('Ações'!AT385="sim", 'Ações'!BG385="sim"), 1, 0)
</f>
        <v>0</v>
      </c>
      <c r="P377" s="319">
        <f>IF(AND('Ações'!AT385="sim", 'Ações'!BH385="sim"), 1, 0)
</f>
        <v>0</v>
      </c>
      <c r="Q377" s="319">
        <f>IF(AND('Ações'!AT385="sim", 'Ações'!BI385="sim"), 1, 0)
</f>
        <v>1</v>
      </c>
      <c r="R377" s="319">
        <f>IF(AND('Ações'!AU385="sim", 'Ações'!BD385="sim"), 1, 0)
</f>
        <v>0</v>
      </c>
      <c r="S377" s="319">
        <f>IF(AND('Ações'!AU385="sim", 'Ações'!BE385="sim"), 1, 0)
</f>
        <v>0</v>
      </c>
      <c r="T377" s="319">
        <f>IF(AND('Ações'!AU385="sim", 'Ações'!BG385="sim"), 1, 0)
</f>
        <v>0</v>
      </c>
      <c r="U377" s="319">
        <f>IF(AND('Ações'!AU385="sim", 'Ações'!BH385="sim"), 1, 0)
</f>
        <v>0</v>
      </c>
      <c r="V377" s="319">
        <f>IF(AND('Ações'!AU385="sim", 'Ações'!BI385="sim"), 1, 0)
</f>
        <v>1</v>
      </c>
      <c r="W377" s="319">
        <f>IF(AND('Ações'!AV385="sim", 'Ações'!BD385="sim"), 1, 0)
</f>
        <v>0</v>
      </c>
      <c r="X377" s="319">
        <f>IF(AND('Ações'!AV385="sim", 'Ações'!BE385="sim"), 1, 0)
</f>
        <v>0</v>
      </c>
      <c r="Y377" s="319">
        <f>IF(AND('Ações'!AV385="sim", 'Ações'!BF385="sim"), 1, 0)
</f>
        <v>0</v>
      </c>
      <c r="Z377" s="319">
        <f>IF(AND('Ações'!AV385="sim", 'Ações'!BH385="sim"), 1, 0)
</f>
        <v>0</v>
      </c>
      <c r="AA377" s="319">
        <f>IF(AND('Ações'!AV385="sim", 'Ações'!BI385="sim"), 1, 0)
</f>
        <v>1</v>
      </c>
      <c r="AB377" s="319">
        <f>IF(AND('Ações'!AW385="sim", 'Ações'!BD385="sim"), 1, 0)
</f>
        <v>0</v>
      </c>
      <c r="AC377" s="319">
        <f>IF(AND('Ações'!AW385="sim", 'Ações'!BE385="sim"), 1, 0)
</f>
        <v>0</v>
      </c>
      <c r="AD377" s="319">
        <f>IF(AND('Ações'!AW385="sim", 'Ações'!BF385="sim"), 1, 0)
</f>
        <v>0</v>
      </c>
      <c r="AE377" s="319">
        <f>IF(AND('Ações'!AW385="sim", 'Ações'!BG385="sim"), 1, 0)
</f>
        <v>0</v>
      </c>
      <c r="AF377" s="319">
        <f>IF(AND('Ações'!AW385="sim", 'Ações'!BI385="sim"), 1, 0)
</f>
        <v>1</v>
      </c>
      <c r="AG377" s="319">
        <f>IF(AND('Ações'!AX385="sim", 'Ações'!BD385="sim"), 1, 0)
</f>
        <v>0</v>
      </c>
      <c r="AH377" s="319">
        <f>IF(AND('Ações'!AX385="sim", 'Ações'!BE385="sim"), 1, 0)
</f>
        <v>0</v>
      </c>
      <c r="AI377" s="319">
        <f>IF(AND('Ações'!AX385="sim", 'Ações'!BF385="sim"), 1, 0)
</f>
        <v>0</v>
      </c>
      <c r="AJ377" s="319">
        <f>IF(AND('Ações'!AX385="sim", 'Ações'!BG385="sim"), 1, 0)
</f>
        <v>0</v>
      </c>
      <c r="AK377" s="319">
        <f>IF(AND('Ações'!AX385="sim", 'Ações'!BH385="sim"), 1, 0)
</f>
        <v>0</v>
      </c>
    </row>
    <row r="378">
      <c r="B378" s="319">
        <f>IF(AND('Ações'!AS386="sim", 'Ações'!BD386="sim"), 1, 0)
</f>
        <v>0</v>
      </c>
      <c r="C378" s="319">
        <f>IF(AND('Ações'!AT386="sim", 'Ações'!BE386="sim"), 1, 0)
</f>
        <v>0</v>
      </c>
      <c r="D378" s="319">
        <f>IF(AND('Ações'!AU386="sim", 'Ações'!BF386="sim"), 1, 0)
</f>
        <v>0</v>
      </c>
      <c r="E378" s="319">
        <f>IF(AND('Ações'!AV386="sim", 'Ações'!BG386="sim"), 1, 0)
</f>
        <v>0</v>
      </c>
      <c r="F378" s="319">
        <f>IF(AND('Ações'!AW386="sim", 'Ações'!BH386="sim"), 1, 0)
</f>
        <v>0</v>
      </c>
      <c r="G378" s="319">
        <f>IF(AND('Ações'!AX386="sim", 'Ações'!BI386="sim"), 1, 0)
</f>
        <v>1</v>
      </c>
      <c r="H378" s="319">
        <f>IF(AND('Ações'!AS386="sim", 'Ações'!BE386="sim"), 1, 0)
</f>
        <v>0</v>
      </c>
      <c r="I378" s="319">
        <f>IF(AND('Ações'!AS386="sim", 'Ações'!BF386="sim"), 1, 0)
</f>
        <v>0</v>
      </c>
      <c r="J378" s="319">
        <f>IF(AND('Ações'!AS386="sim", 'Ações'!BG386="sim"), 1, 0)
</f>
        <v>0</v>
      </c>
      <c r="K378" s="319">
        <f>IF(AND('Ações'!AS386="sim", 'Ações'!BH386="sim"), 1, 0)
</f>
        <v>0</v>
      </c>
      <c r="L378" s="319">
        <f>IF(AND('Ações'!AS386="sim", 'Ações'!BI386="sim"), 1, 0)
</f>
        <v>1</v>
      </c>
      <c r="M378" s="319">
        <f>IF(AND('Ações'!AT386="sim", 'Ações'!BD386="sim"), 1, 0)
</f>
        <v>0</v>
      </c>
      <c r="N378" s="319">
        <f>IF(AND('Ações'!AT386="sim", 'Ações'!BF386="sim"), 1, 0)
</f>
        <v>0</v>
      </c>
      <c r="O378" s="319">
        <f>IF(AND('Ações'!AT386="sim", 'Ações'!BG386="sim"), 1, 0)
</f>
        <v>0</v>
      </c>
      <c r="P378" s="319">
        <f>IF(AND('Ações'!AT386="sim", 'Ações'!BH386="sim"), 1, 0)
</f>
        <v>0</v>
      </c>
      <c r="Q378" s="319">
        <f>IF(AND('Ações'!AT386="sim", 'Ações'!BI386="sim"), 1, 0)
</f>
        <v>1</v>
      </c>
      <c r="R378" s="319">
        <f>IF(AND('Ações'!AU386="sim", 'Ações'!BD386="sim"), 1, 0)
</f>
        <v>0</v>
      </c>
      <c r="S378" s="319">
        <f>IF(AND('Ações'!AU386="sim", 'Ações'!BE386="sim"), 1, 0)
</f>
        <v>0</v>
      </c>
      <c r="T378" s="319">
        <f>IF(AND('Ações'!AU386="sim", 'Ações'!BG386="sim"), 1, 0)
</f>
        <v>0</v>
      </c>
      <c r="U378" s="319">
        <f>IF(AND('Ações'!AU386="sim", 'Ações'!BH386="sim"), 1, 0)
</f>
        <v>0</v>
      </c>
      <c r="V378" s="319">
        <f>IF(AND('Ações'!AU386="sim", 'Ações'!BI386="sim"), 1, 0)
</f>
        <v>1</v>
      </c>
      <c r="W378" s="319">
        <f>IF(AND('Ações'!AV386="sim", 'Ações'!BD386="sim"), 1, 0)
</f>
        <v>0</v>
      </c>
      <c r="X378" s="319">
        <f>IF(AND('Ações'!AV386="sim", 'Ações'!BE386="sim"), 1, 0)
</f>
        <v>0</v>
      </c>
      <c r="Y378" s="319">
        <f>IF(AND('Ações'!AV386="sim", 'Ações'!BF386="sim"), 1, 0)
</f>
        <v>0</v>
      </c>
      <c r="Z378" s="319">
        <f>IF(AND('Ações'!AV386="sim", 'Ações'!BH386="sim"), 1, 0)
</f>
        <v>0</v>
      </c>
      <c r="AA378" s="319">
        <f>IF(AND('Ações'!AV386="sim", 'Ações'!BI386="sim"), 1, 0)
</f>
        <v>1</v>
      </c>
      <c r="AB378" s="319">
        <f>IF(AND('Ações'!AW386="sim", 'Ações'!BD386="sim"), 1, 0)
</f>
        <v>0</v>
      </c>
      <c r="AC378" s="319">
        <f>IF(AND('Ações'!AW386="sim", 'Ações'!BE386="sim"), 1, 0)
</f>
        <v>0</v>
      </c>
      <c r="AD378" s="319">
        <f>IF(AND('Ações'!AW386="sim", 'Ações'!BF386="sim"), 1, 0)
</f>
        <v>0</v>
      </c>
      <c r="AE378" s="319">
        <f>IF(AND('Ações'!AW386="sim", 'Ações'!BG386="sim"), 1, 0)
</f>
        <v>0</v>
      </c>
      <c r="AF378" s="319">
        <f>IF(AND('Ações'!AW386="sim", 'Ações'!BI386="sim"), 1, 0)
</f>
        <v>1</v>
      </c>
      <c r="AG378" s="319">
        <f>IF(AND('Ações'!AX386="sim", 'Ações'!BD386="sim"), 1, 0)
</f>
        <v>0</v>
      </c>
      <c r="AH378" s="319">
        <f>IF(AND('Ações'!AX386="sim", 'Ações'!BE386="sim"), 1, 0)
</f>
        <v>0</v>
      </c>
      <c r="AI378" s="319">
        <f>IF(AND('Ações'!AX386="sim", 'Ações'!BF386="sim"), 1, 0)
</f>
        <v>0</v>
      </c>
      <c r="AJ378" s="319">
        <f>IF(AND('Ações'!AX386="sim", 'Ações'!BG386="sim"), 1, 0)
</f>
        <v>0</v>
      </c>
      <c r="AK378" s="319">
        <f>IF(AND('Ações'!AX386="sim", 'Ações'!BH386="sim"), 1, 0)
</f>
        <v>0</v>
      </c>
    </row>
    <row r="379">
      <c r="B379" s="319">
        <f>IF(AND('Ações'!AS387="sim", 'Ações'!BD387="sim"), 1, 0)
</f>
        <v>0</v>
      </c>
      <c r="C379" s="319">
        <f>IF(AND('Ações'!AT387="sim", 'Ações'!BE387="sim"), 1, 0)
</f>
        <v>0</v>
      </c>
      <c r="D379" s="319">
        <f>IF(AND('Ações'!AU387="sim", 'Ações'!BF387="sim"), 1, 0)
</f>
        <v>0</v>
      </c>
      <c r="E379" s="319">
        <f>IF(AND('Ações'!AV387="sim", 'Ações'!BG387="sim"), 1, 0)
</f>
        <v>0</v>
      </c>
      <c r="F379" s="319">
        <f>IF(AND('Ações'!AW387="sim", 'Ações'!BH387="sim"), 1, 0)
</f>
        <v>0</v>
      </c>
      <c r="G379" s="319">
        <f>IF(AND('Ações'!AX387="sim", 'Ações'!BI387="sim"), 1, 0)
</f>
        <v>1</v>
      </c>
      <c r="H379" s="319">
        <f>IF(AND('Ações'!AS387="sim", 'Ações'!BE387="sim"), 1, 0)
</f>
        <v>0</v>
      </c>
      <c r="I379" s="319">
        <f>IF(AND('Ações'!AS387="sim", 'Ações'!BF387="sim"), 1, 0)
</f>
        <v>0</v>
      </c>
      <c r="J379" s="319">
        <f>IF(AND('Ações'!AS387="sim", 'Ações'!BG387="sim"), 1, 0)
</f>
        <v>0</v>
      </c>
      <c r="K379" s="319">
        <f>IF(AND('Ações'!AS387="sim", 'Ações'!BH387="sim"), 1, 0)
</f>
        <v>0</v>
      </c>
      <c r="L379" s="319">
        <f>IF(AND('Ações'!AS387="sim", 'Ações'!BI387="sim"), 1, 0)
</f>
        <v>1</v>
      </c>
      <c r="M379" s="319">
        <f>IF(AND('Ações'!AT387="sim", 'Ações'!BD387="sim"), 1, 0)
</f>
        <v>0</v>
      </c>
      <c r="N379" s="319">
        <f>IF(AND('Ações'!AT387="sim", 'Ações'!BF387="sim"), 1, 0)
</f>
        <v>0</v>
      </c>
      <c r="O379" s="319">
        <f>IF(AND('Ações'!AT387="sim", 'Ações'!BG387="sim"), 1, 0)
</f>
        <v>0</v>
      </c>
      <c r="P379" s="319">
        <f>IF(AND('Ações'!AT387="sim", 'Ações'!BH387="sim"), 1, 0)
</f>
        <v>0</v>
      </c>
      <c r="Q379" s="319">
        <f>IF(AND('Ações'!AT387="sim", 'Ações'!BI387="sim"), 1, 0)
</f>
        <v>1</v>
      </c>
      <c r="R379" s="319">
        <f>IF(AND('Ações'!AU387="sim", 'Ações'!BD387="sim"), 1, 0)
</f>
        <v>0</v>
      </c>
      <c r="S379" s="319">
        <f>IF(AND('Ações'!AU387="sim", 'Ações'!BE387="sim"), 1, 0)
</f>
        <v>0</v>
      </c>
      <c r="T379" s="319">
        <f>IF(AND('Ações'!AU387="sim", 'Ações'!BG387="sim"), 1, 0)
</f>
        <v>0</v>
      </c>
      <c r="U379" s="319">
        <f>IF(AND('Ações'!AU387="sim", 'Ações'!BH387="sim"), 1, 0)
</f>
        <v>0</v>
      </c>
      <c r="V379" s="319">
        <f>IF(AND('Ações'!AU387="sim", 'Ações'!BI387="sim"), 1, 0)
</f>
        <v>1</v>
      </c>
      <c r="W379" s="319">
        <f>IF(AND('Ações'!AV387="sim", 'Ações'!BD387="sim"), 1, 0)
</f>
        <v>0</v>
      </c>
      <c r="X379" s="319">
        <f>IF(AND('Ações'!AV387="sim", 'Ações'!BE387="sim"), 1, 0)
</f>
        <v>0</v>
      </c>
      <c r="Y379" s="319">
        <f>IF(AND('Ações'!AV387="sim", 'Ações'!BF387="sim"), 1, 0)
</f>
        <v>0</v>
      </c>
      <c r="Z379" s="319">
        <f>IF(AND('Ações'!AV387="sim", 'Ações'!BH387="sim"), 1, 0)
</f>
        <v>0</v>
      </c>
      <c r="AA379" s="319">
        <f>IF(AND('Ações'!AV387="sim", 'Ações'!BI387="sim"), 1, 0)
</f>
        <v>1</v>
      </c>
      <c r="AB379" s="319">
        <f>IF(AND('Ações'!AW387="sim", 'Ações'!BD387="sim"), 1, 0)
</f>
        <v>0</v>
      </c>
      <c r="AC379" s="319">
        <f>IF(AND('Ações'!AW387="sim", 'Ações'!BE387="sim"), 1, 0)
</f>
        <v>0</v>
      </c>
      <c r="AD379" s="319">
        <f>IF(AND('Ações'!AW387="sim", 'Ações'!BF387="sim"), 1, 0)
</f>
        <v>0</v>
      </c>
      <c r="AE379" s="319">
        <f>IF(AND('Ações'!AW387="sim", 'Ações'!BG387="sim"), 1, 0)
</f>
        <v>0</v>
      </c>
      <c r="AF379" s="319">
        <f>IF(AND('Ações'!AW387="sim", 'Ações'!BI387="sim"), 1, 0)
</f>
        <v>1</v>
      </c>
      <c r="AG379" s="319">
        <f>IF(AND('Ações'!AX387="sim", 'Ações'!BD387="sim"), 1, 0)
</f>
        <v>0</v>
      </c>
      <c r="AH379" s="319">
        <f>IF(AND('Ações'!AX387="sim", 'Ações'!BE387="sim"), 1, 0)
</f>
        <v>0</v>
      </c>
      <c r="AI379" s="319">
        <f>IF(AND('Ações'!AX387="sim", 'Ações'!BF387="sim"), 1, 0)
</f>
        <v>0</v>
      </c>
      <c r="AJ379" s="319">
        <f>IF(AND('Ações'!AX387="sim", 'Ações'!BG387="sim"), 1, 0)
</f>
        <v>0</v>
      </c>
      <c r="AK379" s="319">
        <f>IF(AND('Ações'!AX387="sim", 'Ações'!BH387="sim"), 1, 0)
</f>
        <v>0</v>
      </c>
    </row>
    <row r="380">
      <c r="B380" s="319">
        <f>IF(AND('Ações'!AS388="sim", 'Ações'!BD388="sim"), 1, 0)
</f>
        <v>0</v>
      </c>
      <c r="C380" s="319">
        <f>IF(AND('Ações'!AT388="sim", 'Ações'!BE388="sim"), 1, 0)
</f>
        <v>0</v>
      </c>
      <c r="D380" s="319">
        <f>IF(AND('Ações'!AU388="sim", 'Ações'!BF388="sim"), 1, 0)
</f>
        <v>0</v>
      </c>
      <c r="E380" s="319">
        <f>IF(AND('Ações'!AV388="sim", 'Ações'!BG388="sim"), 1, 0)
</f>
        <v>0</v>
      </c>
      <c r="F380" s="319">
        <f>IF(AND('Ações'!AW388="sim", 'Ações'!BH388="sim"), 1, 0)
</f>
        <v>0</v>
      </c>
      <c r="G380" s="319">
        <f>IF(AND('Ações'!AX388="sim", 'Ações'!BI388="sim"), 1, 0)
</f>
        <v>1</v>
      </c>
      <c r="H380" s="319">
        <f>IF(AND('Ações'!AS388="sim", 'Ações'!BE388="sim"), 1, 0)
</f>
        <v>0</v>
      </c>
      <c r="I380" s="319">
        <f>IF(AND('Ações'!AS388="sim", 'Ações'!BF388="sim"), 1, 0)
</f>
        <v>0</v>
      </c>
      <c r="J380" s="319">
        <f>IF(AND('Ações'!AS388="sim", 'Ações'!BG388="sim"), 1, 0)
</f>
        <v>0</v>
      </c>
      <c r="K380" s="319">
        <f>IF(AND('Ações'!AS388="sim", 'Ações'!BH388="sim"), 1, 0)
</f>
        <v>0</v>
      </c>
      <c r="L380" s="319">
        <f>IF(AND('Ações'!AS388="sim", 'Ações'!BI388="sim"), 1, 0)
</f>
        <v>1</v>
      </c>
      <c r="M380" s="319">
        <f>IF(AND('Ações'!AT388="sim", 'Ações'!BD388="sim"), 1, 0)
</f>
        <v>0</v>
      </c>
      <c r="N380" s="319">
        <f>IF(AND('Ações'!AT388="sim", 'Ações'!BF388="sim"), 1, 0)
</f>
        <v>0</v>
      </c>
      <c r="O380" s="319">
        <f>IF(AND('Ações'!AT388="sim", 'Ações'!BG388="sim"), 1, 0)
</f>
        <v>0</v>
      </c>
      <c r="P380" s="319">
        <f>IF(AND('Ações'!AT388="sim", 'Ações'!BH388="sim"), 1, 0)
</f>
        <v>0</v>
      </c>
      <c r="Q380" s="319">
        <f>IF(AND('Ações'!AT388="sim", 'Ações'!BI388="sim"), 1, 0)
</f>
        <v>1</v>
      </c>
      <c r="R380" s="319">
        <f>IF(AND('Ações'!AU388="sim", 'Ações'!BD388="sim"), 1, 0)
</f>
        <v>0</v>
      </c>
      <c r="S380" s="319">
        <f>IF(AND('Ações'!AU388="sim", 'Ações'!BE388="sim"), 1, 0)
</f>
        <v>0</v>
      </c>
      <c r="T380" s="319">
        <f>IF(AND('Ações'!AU388="sim", 'Ações'!BG388="sim"), 1, 0)
</f>
        <v>0</v>
      </c>
      <c r="U380" s="319">
        <f>IF(AND('Ações'!AU388="sim", 'Ações'!BH388="sim"), 1, 0)
</f>
        <v>0</v>
      </c>
      <c r="V380" s="319">
        <f>IF(AND('Ações'!AU388="sim", 'Ações'!BI388="sim"), 1, 0)
</f>
        <v>1</v>
      </c>
      <c r="W380" s="319">
        <f>IF(AND('Ações'!AV388="sim", 'Ações'!BD388="sim"), 1, 0)
</f>
        <v>0</v>
      </c>
      <c r="X380" s="319">
        <f>IF(AND('Ações'!AV388="sim", 'Ações'!BE388="sim"), 1, 0)
</f>
        <v>0</v>
      </c>
      <c r="Y380" s="319">
        <f>IF(AND('Ações'!AV388="sim", 'Ações'!BF388="sim"), 1, 0)
</f>
        <v>0</v>
      </c>
      <c r="Z380" s="319">
        <f>IF(AND('Ações'!AV388="sim", 'Ações'!BH388="sim"), 1, 0)
</f>
        <v>0</v>
      </c>
      <c r="AA380" s="319">
        <f>IF(AND('Ações'!AV388="sim", 'Ações'!BI388="sim"), 1, 0)
</f>
        <v>1</v>
      </c>
      <c r="AB380" s="319">
        <f>IF(AND('Ações'!AW388="sim", 'Ações'!BD388="sim"), 1, 0)
</f>
        <v>0</v>
      </c>
      <c r="AC380" s="319">
        <f>IF(AND('Ações'!AW388="sim", 'Ações'!BE388="sim"), 1, 0)
</f>
        <v>0</v>
      </c>
      <c r="AD380" s="319">
        <f>IF(AND('Ações'!AW388="sim", 'Ações'!BF388="sim"), 1, 0)
</f>
        <v>0</v>
      </c>
      <c r="AE380" s="319">
        <f>IF(AND('Ações'!AW388="sim", 'Ações'!BG388="sim"), 1, 0)
</f>
        <v>0</v>
      </c>
      <c r="AF380" s="319">
        <f>IF(AND('Ações'!AW388="sim", 'Ações'!BI388="sim"), 1, 0)
</f>
        <v>1</v>
      </c>
      <c r="AG380" s="319">
        <f>IF(AND('Ações'!AX388="sim", 'Ações'!BD388="sim"), 1, 0)
</f>
        <v>0</v>
      </c>
      <c r="AH380" s="319">
        <f>IF(AND('Ações'!AX388="sim", 'Ações'!BE388="sim"), 1, 0)
</f>
        <v>0</v>
      </c>
      <c r="AI380" s="319">
        <f>IF(AND('Ações'!AX388="sim", 'Ações'!BF388="sim"), 1, 0)
</f>
        <v>0</v>
      </c>
      <c r="AJ380" s="319">
        <f>IF(AND('Ações'!AX388="sim", 'Ações'!BG388="sim"), 1, 0)
</f>
        <v>0</v>
      </c>
      <c r="AK380" s="319">
        <f>IF(AND('Ações'!AX388="sim", 'Ações'!BH388="sim"), 1, 0)
</f>
        <v>0</v>
      </c>
    </row>
    <row r="381">
      <c r="B381" s="319">
        <f>IF(AND('Ações'!AS389="sim", 'Ações'!BD389="sim"), 1, 0)
</f>
        <v>0</v>
      </c>
      <c r="C381" s="319">
        <f>IF(AND('Ações'!AT389="sim", 'Ações'!BE389="sim"), 1, 0)
</f>
        <v>0</v>
      </c>
      <c r="D381" s="319">
        <f>IF(AND('Ações'!AU389="sim", 'Ações'!BF389="sim"), 1, 0)
</f>
        <v>0</v>
      </c>
      <c r="E381" s="319">
        <f>IF(AND('Ações'!AV389="sim", 'Ações'!BG389="sim"), 1, 0)
</f>
        <v>0</v>
      </c>
      <c r="F381" s="319">
        <f>IF(AND('Ações'!AW389="sim", 'Ações'!BH389="sim"), 1, 0)
</f>
        <v>0</v>
      </c>
      <c r="G381" s="319">
        <f>IF(AND('Ações'!AX389="sim", 'Ações'!BI389="sim"), 1, 0)
</f>
        <v>0</v>
      </c>
      <c r="H381" s="319">
        <f>IF(AND('Ações'!AS389="sim", 'Ações'!BE389="sim"), 1, 0)
</f>
        <v>0</v>
      </c>
      <c r="I381" s="319">
        <f>IF(AND('Ações'!AS389="sim", 'Ações'!BF389="sim"), 1, 0)
</f>
        <v>0</v>
      </c>
      <c r="J381" s="319">
        <f>IF(AND('Ações'!AS389="sim", 'Ações'!BG389="sim"), 1, 0)
</f>
        <v>0</v>
      </c>
      <c r="K381" s="319">
        <f>IF(AND('Ações'!AS389="sim", 'Ações'!BH389="sim"), 1, 0)
</f>
        <v>0</v>
      </c>
      <c r="L381" s="319">
        <f>IF(AND('Ações'!AS389="sim", 'Ações'!BI389="sim"), 1, 0)
</f>
        <v>1</v>
      </c>
      <c r="M381" s="319">
        <f>IF(AND('Ações'!AT389="sim", 'Ações'!BD389="sim"), 1, 0)
</f>
        <v>0</v>
      </c>
      <c r="N381" s="319">
        <f>IF(AND('Ações'!AT389="sim", 'Ações'!BF389="sim"), 1, 0)
</f>
        <v>0</v>
      </c>
      <c r="O381" s="319">
        <f>IF(AND('Ações'!AT389="sim", 'Ações'!BG389="sim"), 1, 0)
</f>
        <v>0</v>
      </c>
      <c r="P381" s="319">
        <f>IF(AND('Ações'!AT389="sim", 'Ações'!BH389="sim"), 1, 0)
</f>
        <v>0</v>
      </c>
      <c r="Q381" s="319">
        <f>IF(AND('Ações'!AT389="sim", 'Ações'!BI389="sim"), 1, 0)
</f>
        <v>0</v>
      </c>
      <c r="R381" s="319">
        <f>IF(AND('Ações'!AU389="sim", 'Ações'!BD389="sim"), 1, 0)
</f>
        <v>0</v>
      </c>
      <c r="S381" s="319">
        <f>IF(AND('Ações'!AU389="sim", 'Ações'!BE389="sim"), 1, 0)
</f>
        <v>0</v>
      </c>
      <c r="T381" s="319">
        <f>IF(AND('Ações'!AU389="sim", 'Ações'!BG389="sim"), 1, 0)
</f>
        <v>0</v>
      </c>
      <c r="U381" s="319">
        <f>IF(AND('Ações'!AU389="sim", 'Ações'!BH389="sim"), 1, 0)
</f>
        <v>0</v>
      </c>
      <c r="V381" s="319">
        <f>IF(AND('Ações'!AU389="sim", 'Ações'!BI389="sim"), 1, 0)
</f>
        <v>1</v>
      </c>
      <c r="W381" s="319">
        <f>IF(AND('Ações'!AV389="sim", 'Ações'!BD389="sim"), 1, 0)
</f>
        <v>0</v>
      </c>
      <c r="X381" s="319">
        <f>IF(AND('Ações'!AV389="sim", 'Ações'!BE389="sim"), 1, 0)
</f>
        <v>0</v>
      </c>
      <c r="Y381" s="319">
        <f>IF(AND('Ações'!AV389="sim", 'Ações'!BF389="sim"), 1, 0)
</f>
        <v>0</v>
      </c>
      <c r="Z381" s="319">
        <f>IF(AND('Ações'!AV389="sim", 'Ações'!BH389="sim"), 1, 0)
</f>
        <v>0</v>
      </c>
      <c r="AA381" s="319">
        <f>IF(AND('Ações'!AV389="sim", 'Ações'!BI389="sim"), 1, 0)
</f>
        <v>1</v>
      </c>
      <c r="AB381" s="319">
        <f>IF(AND('Ações'!AW389="sim", 'Ações'!BD389="sim"), 1, 0)
</f>
        <v>0</v>
      </c>
      <c r="AC381" s="319">
        <f>IF(AND('Ações'!AW389="sim", 'Ações'!BE389="sim"), 1, 0)
</f>
        <v>0</v>
      </c>
      <c r="AD381" s="319">
        <f>IF(AND('Ações'!AW389="sim", 'Ações'!BF389="sim"), 1, 0)
</f>
        <v>0</v>
      </c>
      <c r="AE381" s="319">
        <f>IF(AND('Ações'!AW389="sim", 'Ações'!BG389="sim"), 1, 0)
</f>
        <v>0</v>
      </c>
      <c r="AF381" s="319">
        <f>IF(AND('Ações'!AW389="sim", 'Ações'!BI389="sim"), 1, 0)
</f>
        <v>1</v>
      </c>
      <c r="AG381" s="319">
        <f>IF(AND('Ações'!AX389="sim", 'Ações'!BD389="sim"), 1, 0)
</f>
        <v>0</v>
      </c>
      <c r="AH381" s="319">
        <f>IF(AND('Ações'!AX389="sim", 'Ações'!BE389="sim"), 1, 0)
</f>
        <v>0</v>
      </c>
      <c r="AI381" s="319">
        <f>IF(AND('Ações'!AX389="sim", 'Ações'!BF389="sim"), 1, 0)
</f>
        <v>0</v>
      </c>
      <c r="AJ381" s="319">
        <f>IF(AND('Ações'!AX389="sim", 'Ações'!BG389="sim"), 1, 0)
</f>
        <v>0</v>
      </c>
      <c r="AK381" s="319">
        <f>IF(AND('Ações'!AX389="sim", 'Ações'!BH389="sim"), 1, 0)
</f>
        <v>0</v>
      </c>
    </row>
    <row r="382">
      <c r="B382" s="319">
        <f>IF(AND('Ações'!AS390="sim", 'Ações'!BD390="sim"), 1, 0)
</f>
        <v>0</v>
      </c>
      <c r="C382" s="319">
        <f>IF(AND('Ações'!AT390="sim", 'Ações'!BE390="sim"), 1, 0)
</f>
        <v>0</v>
      </c>
      <c r="D382" s="319">
        <f>IF(AND('Ações'!AU390="sim", 'Ações'!BF390="sim"), 1, 0)
</f>
        <v>0</v>
      </c>
      <c r="E382" s="319">
        <f>IF(AND('Ações'!AV390="sim", 'Ações'!BG390="sim"), 1, 0)
</f>
        <v>0</v>
      </c>
      <c r="F382" s="319">
        <f>IF(AND('Ações'!AW390="sim", 'Ações'!BH390="sim"), 1, 0)
</f>
        <v>0</v>
      </c>
      <c r="G382" s="319">
        <f>IF(AND('Ações'!AX390="sim", 'Ações'!BI390="sim"), 1, 0)
</f>
        <v>0</v>
      </c>
      <c r="H382" s="319">
        <f>IF(AND('Ações'!AS390="sim", 'Ações'!BE390="sim"), 1, 0)
</f>
        <v>0</v>
      </c>
      <c r="I382" s="319">
        <f>IF(AND('Ações'!AS390="sim", 'Ações'!BF390="sim"), 1, 0)
</f>
        <v>0</v>
      </c>
      <c r="J382" s="319">
        <f>IF(AND('Ações'!AS390="sim", 'Ações'!BG390="sim"), 1, 0)
</f>
        <v>0</v>
      </c>
      <c r="K382" s="319">
        <f>IF(AND('Ações'!AS390="sim", 'Ações'!BH390="sim"), 1, 0)
</f>
        <v>0</v>
      </c>
      <c r="L382" s="319">
        <f>IF(AND('Ações'!AS390="sim", 'Ações'!BI390="sim"), 1, 0)
</f>
        <v>0</v>
      </c>
      <c r="M382" s="319">
        <f>IF(AND('Ações'!AT390="sim", 'Ações'!BD390="sim"), 1, 0)
</f>
        <v>0</v>
      </c>
      <c r="N382" s="319">
        <f>IF(AND('Ações'!AT390="sim", 'Ações'!BF390="sim"), 1, 0)
</f>
        <v>0</v>
      </c>
      <c r="O382" s="319">
        <f>IF(AND('Ações'!AT390="sim", 'Ações'!BG390="sim"), 1, 0)
</f>
        <v>0</v>
      </c>
      <c r="P382" s="319">
        <f>IF(AND('Ações'!AT390="sim", 'Ações'!BH390="sim"), 1, 0)
</f>
        <v>0</v>
      </c>
      <c r="Q382" s="319">
        <f>IF(AND('Ações'!AT390="sim", 'Ações'!BI390="sim"), 1, 0)
</f>
        <v>1</v>
      </c>
      <c r="R382" s="319">
        <f>IF(AND('Ações'!AU390="sim", 'Ações'!BD390="sim"), 1, 0)
</f>
        <v>0</v>
      </c>
      <c r="S382" s="319">
        <f>IF(AND('Ações'!AU390="sim", 'Ações'!BE390="sim"), 1, 0)
</f>
        <v>0</v>
      </c>
      <c r="T382" s="319">
        <f>IF(AND('Ações'!AU390="sim", 'Ações'!BG390="sim"), 1, 0)
</f>
        <v>0</v>
      </c>
      <c r="U382" s="319">
        <f>IF(AND('Ações'!AU390="sim", 'Ações'!BH390="sim"), 1, 0)
</f>
        <v>0</v>
      </c>
      <c r="V382" s="319">
        <f>IF(AND('Ações'!AU390="sim", 'Ações'!BI390="sim"), 1, 0)
</f>
        <v>1</v>
      </c>
      <c r="W382" s="319">
        <f>IF(AND('Ações'!AV390="sim", 'Ações'!BD390="sim"), 1, 0)
</f>
        <v>0</v>
      </c>
      <c r="X382" s="319">
        <f>IF(AND('Ações'!AV390="sim", 'Ações'!BE390="sim"), 1, 0)
</f>
        <v>0</v>
      </c>
      <c r="Y382" s="319">
        <f>IF(AND('Ações'!AV390="sim", 'Ações'!BF390="sim"), 1, 0)
</f>
        <v>0</v>
      </c>
      <c r="Z382" s="319">
        <f>IF(AND('Ações'!AV390="sim", 'Ações'!BH390="sim"), 1, 0)
</f>
        <v>0</v>
      </c>
      <c r="AA382" s="319">
        <f>IF(AND('Ações'!AV390="sim", 'Ações'!BI390="sim"), 1, 0)
</f>
        <v>1</v>
      </c>
      <c r="AB382" s="319">
        <f>IF(AND('Ações'!AW390="sim", 'Ações'!BD390="sim"), 1, 0)
</f>
        <v>0</v>
      </c>
      <c r="AC382" s="319">
        <f>IF(AND('Ações'!AW390="sim", 'Ações'!BE390="sim"), 1, 0)
</f>
        <v>0</v>
      </c>
      <c r="AD382" s="319">
        <f>IF(AND('Ações'!AW390="sim", 'Ações'!BF390="sim"), 1, 0)
</f>
        <v>0</v>
      </c>
      <c r="AE382" s="319">
        <f>IF(AND('Ações'!AW390="sim", 'Ações'!BG390="sim"), 1, 0)
</f>
        <v>0</v>
      </c>
      <c r="AF382" s="319">
        <f>IF(AND('Ações'!AW390="sim", 'Ações'!BI390="sim"), 1, 0)
</f>
        <v>1</v>
      </c>
      <c r="AG382" s="319">
        <f>IF(AND('Ações'!AX390="sim", 'Ações'!BD390="sim"), 1, 0)
</f>
        <v>0</v>
      </c>
      <c r="AH382" s="319">
        <f>IF(AND('Ações'!AX390="sim", 'Ações'!BE390="sim"), 1, 0)
</f>
        <v>0</v>
      </c>
      <c r="AI382" s="319">
        <f>IF(AND('Ações'!AX390="sim", 'Ações'!BF390="sim"), 1, 0)
</f>
        <v>0</v>
      </c>
      <c r="AJ382" s="319">
        <f>IF(AND('Ações'!AX390="sim", 'Ações'!BG390="sim"), 1, 0)
</f>
        <v>0</v>
      </c>
      <c r="AK382" s="319">
        <f>IF(AND('Ações'!AX390="sim", 'Ações'!BH390="sim"), 1, 0)
</f>
        <v>0</v>
      </c>
    </row>
    <row r="383">
      <c r="B383" s="319">
        <f>IF(AND('Ações'!AS391="sim", 'Ações'!BD391="sim"), 1, 0)
</f>
        <v>0</v>
      </c>
      <c r="C383" s="319">
        <f>IF(AND('Ações'!AT391="sim", 'Ações'!BE391="sim"), 1, 0)
</f>
        <v>0</v>
      </c>
      <c r="D383" s="319">
        <f>IF(AND('Ações'!AU391="sim", 'Ações'!BF391="sim"), 1, 0)
</f>
        <v>0</v>
      </c>
      <c r="E383" s="319">
        <f>IF(AND('Ações'!AV391="sim", 'Ações'!BG391="sim"), 1, 0)
</f>
        <v>0</v>
      </c>
      <c r="F383" s="319">
        <f>IF(AND('Ações'!AW391="sim", 'Ações'!BH391="sim"), 1, 0)
</f>
        <v>0</v>
      </c>
      <c r="G383" s="319">
        <f>IF(AND('Ações'!AX391="sim", 'Ações'!BI391="sim"), 1, 0)
</f>
        <v>0</v>
      </c>
      <c r="H383" s="319">
        <f>IF(AND('Ações'!AS391="sim", 'Ações'!BE391="sim"), 1, 0)
</f>
        <v>0</v>
      </c>
      <c r="I383" s="319">
        <f>IF(AND('Ações'!AS391="sim", 'Ações'!BF391="sim"), 1, 0)
</f>
        <v>0</v>
      </c>
      <c r="J383" s="319">
        <f>IF(AND('Ações'!AS391="sim", 'Ações'!BG391="sim"), 1, 0)
</f>
        <v>0</v>
      </c>
      <c r="K383" s="319">
        <f>IF(AND('Ações'!AS391="sim", 'Ações'!BH391="sim"), 1, 0)
</f>
        <v>0</v>
      </c>
      <c r="L383" s="319">
        <f>IF(AND('Ações'!AS391="sim", 'Ações'!BI391="sim"), 1, 0)
</f>
        <v>0</v>
      </c>
      <c r="M383" s="319">
        <f>IF(AND('Ações'!AT391="sim", 'Ações'!BD391="sim"), 1, 0)
</f>
        <v>1</v>
      </c>
      <c r="N383" s="319">
        <f>IF(AND('Ações'!AT391="sim", 'Ações'!BF391="sim"), 1, 0)
</f>
        <v>0</v>
      </c>
      <c r="O383" s="319">
        <f>IF(AND('Ações'!AT391="sim", 'Ações'!BG391="sim"), 1, 0)
</f>
        <v>0</v>
      </c>
      <c r="P383" s="319">
        <f>IF(AND('Ações'!AT391="sim", 'Ações'!BH391="sim"), 1, 0)
</f>
        <v>0</v>
      </c>
      <c r="Q383" s="319">
        <f>IF(AND('Ações'!AT391="sim", 'Ações'!BI391="sim"), 1, 0)
</f>
        <v>0</v>
      </c>
      <c r="R383" s="319">
        <f>IF(AND('Ações'!AU391="sim", 'Ações'!BD391="sim"), 1, 0)
</f>
        <v>1</v>
      </c>
      <c r="S383" s="319">
        <f>IF(AND('Ações'!AU391="sim", 'Ações'!BE391="sim"), 1, 0)
</f>
        <v>0</v>
      </c>
      <c r="T383" s="319">
        <f>IF(AND('Ações'!AU391="sim", 'Ações'!BG391="sim"), 1, 0)
</f>
        <v>0</v>
      </c>
      <c r="U383" s="319">
        <f>IF(AND('Ações'!AU391="sim", 'Ações'!BH391="sim"), 1, 0)
</f>
        <v>0</v>
      </c>
      <c r="V383" s="319">
        <f>IF(AND('Ações'!AU391="sim", 'Ações'!BI391="sim"), 1, 0)
</f>
        <v>0</v>
      </c>
      <c r="W383" s="319">
        <f>IF(AND('Ações'!AV391="sim", 'Ações'!BD391="sim"), 1, 0)
</f>
        <v>1</v>
      </c>
      <c r="X383" s="319">
        <f>IF(AND('Ações'!AV391="sim", 'Ações'!BE391="sim"), 1, 0)
</f>
        <v>0</v>
      </c>
      <c r="Y383" s="319">
        <f>IF(AND('Ações'!AV391="sim", 'Ações'!BF391="sim"), 1, 0)
</f>
        <v>0</v>
      </c>
      <c r="Z383" s="319">
        <f>IF(AND('Ações'!AV391="sim", 'Ações'!BH391="sim"), 1, 0)
</f>
        <v>0</v>
      </c>
      <c r="AA383" s="319">
        <f>IF(AND('Ações'!AV391="sim", 'Ações'!BI391="sim"), 1, 0)
</f>
        <v>0</v>
      </c>
      <c r="AB383" s="319">
        <f>IF(AND('Ações'!AW391="sim", 'Ações'!BD391="sim"), 1, 0)
</f>
        <v>1</v>
      </c>
      <c r="AC383" s="319">
        <f>IF(AND('Ações'!AW391="sim", 'Ações'!BE391="sim"), 1, 0)
</f>
        <v>0</v>
      </c>
      <c r="AD383" s="319">
        <f>IF(AND('Ações'!AW391="sim", 'Ações'!BF391="sim"), 1, 0)
</f>
        <v>0</v>
      </c>
      <c r="AE383" s="319">
        <f>IF(AND('Ações'!AW391="sim", 'Ações'!BG391="sim"), 1, 0)
</f>
        <v>0</v>
      </c>
      <c r="AF383" s="319">
        <f>IF(AND('Ações'!AW391="sim", 'Ações'!BI391="sim"), 1, 0)
</f>
        <v>0</v>
      </c>
      <c r="AG383" s="319">
        <f>IF(AND('Ações'!AX391="sim", 'Ações'!BD391="sim"), 1, 0)
</f>
        <v>0</v>
      </c>
      <c r="AH383" s="319">
        <f>IF(AND('Ações'!AX391="sim", 'Ações'!BE391="sim"), 1, 0)
</f>
        <v>0</v>
      </c>
      <c r="AI383" s="319">
        <f>IF(AND('Ações'!AX391="sim", 'Ações'!BF391="sim"), 1, 0)
</f>
        <v>0</v>
      </c>
      <c r="AJ383" s="319">
        <f>IF(AND('Ações'!AX391="sim", 'Ações'!BG391="sim"), 1, 0)
</f>
        <v>0</v>
      </c>
      <c r="AK383" s="319">
        <f>IF(AND('Ações'!AX391="sim", 'Ações'!BH391="sim"), 1, 0)
</f>
        <v>0</v>
      </c>
    </row>
    <row r="384">
      <c r="B384" s="319">
        <f>IF(AND('Ações'!AS392="sim", 'Ações'!BD392="sim"), 1, 0)
</f>
        <v>0</v>
      </c>
      <c r="C384" s="319">
        <f>IF(AND('Ações'!AT392="sim", 'Ações'!BE392="sim"), 1, 0)
</f>
        <v>0</v>
      </c>
      <c r="D384" s="319">
        <f>IF(AND('Ações'!AU392="sim", 'Ações'!BF392="sim"), 1, 0)
</f>
        <v>0</v>
      </c>
      <c r="E384" s="319">
        <f>IF(AND('Ações'!AV392="sim", 'Ações'!BG392="sim"), 1, 0)
</f>
        <v>0</v>
      </c>
      <c r="F384" s="319">
        <f>IF(AND('Ações'!AW392="sim", 'Ações'!BH392="sim"), 1, 0)
</f>
        <v>0</v>
      </c>
      <c r="G384" s="319">
        <f>IF(AND('Ações'!AX392="sim", 'Ações'!BI392="sim"), 1, 0)
</f>
        <v>0</v>
      </c>
      <c r="H384" s="319">
        <f>IF(AND('Ações'!AS392="sim", 'Ações'!BE392="sim"), 1, 0)
</f>
        <v>0</v>
      </c>
      <c r="I384" s="319">
        <f>IF(AND('Ações'!AS392="sim", 'Ações'!BF392="sim"), 1, 0)
</f>
        <v>0</v>
      </c>
      <c r="J384" s="319">
        <f>IF(AND('Ações'!AS392="sim", 'Ações'!BG392="sim"), 1, 0)
</f>
        <v>0</v>
      </c>
      <c r="K384" s="319">
        <f>IF(AND('Ações'!AS392="sim", 'Ações'!BH392="sim"), 1, 0)
</f>
        <v>0</v>
      </c>
      <c r="L384" s="319">
        <f>IF(AND('Ações'!AS392="sim", 'Ações'!BI392="sim"), 1, 0)
</f>
        <v>0</v>
      </c>
      <c r="M384" s="319">
        <f>IF(AND('Ações'!AT392="sim", 'Ações'!BD392="sim"), 1, 0)
</f>
        <v>1</v>
      </c>
      <c r="N384" s="319">
        <f>IF(AND('Ações'!AT392="sim", 'Ações'!BF392="sim"), 1, 0)
</f>
        <v>0</v>
      </c>
      <c r="O384" s="319">
        <f>IF(AND('Ações'!AT392="sim", 'Ações'!BG392="sim"), 1, 0)
</f>
        <v>0</v>
      </c>
      <c r="P384" s="319">
        <f>IF(AND('Ações'!AT392="sim", 'Ações'!BH392="sim"), 1, 0)
</f>
        <v>0</v>
      </c>
      <c r="Q384" s="319">
        <f>IF(AND('Ações'!AT392="sim", 'Ações'!BI392="sim"), 1, 0)
</f>
        <v>0</v>
      </c>
      <c r="R384" s="319">
        <f>IF(AND('Ações'!AU392="sim", 'Ações'!BD392="sim"), 1, 0)
</f>
        <v>1</v>
      </c>
      <c r="S384" s="319">
        <f>IF(AND('Ações'!AU392="sim", 'Ações'!BE392="sim"), 1, 0)
</f>
        <v>0</v>
      </c>
      <c r="T384" s="319">
        <f>IF(AND('Ações'!AU392="sim", 'Ações'!BG392="sim"), 1, 0)
</f>
        <v>0</v>
      </c>
      <c r="U384" s="319">
        <f>IF(AND('Ações'!AU392="sim", 'Ações'!BH392="sim"), 1, 0)
</f>
        <v>0</v>
      </c>
      <c r="V384" s="319">
        <f>IF(AND('Ações'!AU392="sim", 'Ações'!BI392="sim"), 1, 0)
</f>
        <v>0</v>
      </c>
      <c r="W384" s="319">
        <f>IF(AND('Ações'!AV392="sim", 'Ações'!BD392="sim"), 1, 0)
</f>
        <v>1</v>
      </c>
      <c r="X384" s="319">
        <f>IF(AND('Ações'!AV392="sim", 'Ações'!BE392="sim"), 1, 0)
</f>
        <v>0</v>
      </c>
      <c r="Y384" s="319">
        <f>IF(AND('Ações'!AV392="sim", 'Ações'!BF392="sim"), 1, 0)
</f>
        <v>0</v>
      </c>
      <c r="Z384" s="319">
        <f>IF(AND('Ações'!AV392="sim", 'Ações'!BH392="sim"), 1, 0)
</f>
        <v>0</v>
      </c>
      <c r="AA384" s="319">
        <f>IF(AND('Ações'!AV392="sim", 'Ações'!BI392="sim"), 1, 0)
</f>
        <v>0</v>
      </c>
      <c r="AB384" s="319">
        <f>IF(AND('Ações'!AW392="sim", 'Ações'!BD392="sim"), 1, 0)
</f>
        <v>1</v>
      </c>
      <c r="AC384" s="319">
        <f>IF(AND('Ações'!AW392="sim", 'Ações'!BE392="sim"), 1, 0)
</f>
        <v>0</v>
      </c>
      <c r="AD384" s="319">
        <f>IF(AND('Ações'!AW392="sim", 'Ações'!BF392="sim"), 1, 0)
</f>
        <v>0</v>
      </c>
      <c r="AE384" s="319">
        <f>IF(AND('Ações'!AW392="sim", 'Ações'!BG392="sim"), 1, 0)
</f>
        <v>0</v>
      </c>
      <c r="AF384" s="319">
        <f>IF(AND('Ações'!AW392="sim", 'Ações'!BI392="sim"), 1, 0)
</f>
        <v>0</v>
      </c>
      <c r="AG384" s="319">
        <f>IF(AND('Ações'!AX392="sim", 'Ações'!BD392="sim"), 1, 0)
</f>
        <v>0</v>
      </c>
      <c r="AH384" s="319">
        <f>IF(AND('Ações'!AX392="sim", 'Ações'!BE392="sim"), 1, 0)
</f>
        <v>0</v>
      </c>
      <c r="AI384" s="319">
        <f>IF(AND('Ações'!AX392="sim", 'Ações'!BF392="sim"), 1, 0)
</f>
        <v>0</v>
      </c>
      <c r="AJ384" s="319">
        <f>IF(AND('Ações'!AX392="sim", 'Ações'!BG392="sim"), 1, 0)
</f>
        <v>0</v>
      </c>
      <c r="AK384" s="319">
        <f>IF(AND('Ações'!AX392="sim", 'Ações'!BH392="sim"), 1, 0)
</f>
        <v>0</v>
      </c>
    </row>
    <row r="385">
      <c r="B385" s="319">
        <f>IF(AND('Ações'!AS393="sim", 'Ações'!BD393="sim"), 1, 0)
</f>
        <v>0</v>
      </c>
      <c r="C385" s="319">
        <f>IF(AND('Ações'!AT393="sim", 'Ações'!BE393="sim"), 1, 0)
</f>
        <v>0</v>
      </c>
      <c r="D385" s="319">
        <f>IF(AND('Ações'!AU393="sim", 'Ações'!BF393="sim"), 1, 0)
</f>
        <v>0</v>
      </c>
      <c r="E385" s="319">
        <f>IF(AND('Ações'!AV393="sim", 'Ações'!BG393="sim"), 1, 0)
</f>
        <v>0</v>
      </c>
      <c r="F385" s="319">
        <f>IF(AND('Ações'!AW393="sim", 'Ações'!BH393="sim"), 1, 0)
</f>
        <v>0</v>
      </c>
      <c r="G385" s="319">
        <f>IF(AND('Ações'!AX393="sim", 'Ações'!BI393="sim"), 1, 0)
</f>
        <v>0</v>
      </c>
      <c r="H385" s="319">
        <f>IF(AND('Ações'!AS393="sim", 'Ações'!BE393="sim"), 1, 0)
</f>
        <v>0</v>
      </c>
      <c r="I385" s="319">
        <f>IF(AND('Ações'!AS393="sim", 'Ações'!BF393="sim"), 1, 0)
</f>
        <v>0</v>
      </c>
      <c r="J385" s="319">
        <f>IF(AND('Ações'!AS393="sim", 'Ações'!BG393="sim"), 1, 0)
</f>
        <v>0</v>
      </c>
      <c r="K385" s="319">
        <f>IF(AND('Ações'!AS393="sim", 'Ações'!BH393="sim"), 1, 0)
</f>
        <v>0</v>
      </c>
      <c r="L385" s="319">
        <f>IF(AND('Ações'!AS393="sim", 'Ações'!BI393="sim"), 1, 0)
</f>
        <v>0</v>
      </c>
      <c r="M385" s="319">
        <f>IF(AND('Ações'!AT393="sim", 'Ações'!BD393="sim"), 1, 0)
</f>
        <v>1</v>
      </c>
      <c r="N385" s="319">
        <f>IF(AND('Ações'!AT393="sim", 'Ações'!BF393="sim"), 1, 0)
</f>
        <v>0</v>
      </c>
      <c r="O385" s="319">
        <f>IF(AND('Ações'!AT393="sim", 'Ações'!BG393="sim"), 1, 0)
</f>
        <v>0</v>
      </c>
      <c r="P385" s="319">
        <f>IF(AND('Ações'!AT393="sim", 'Ações'!BH393="sim"), 1, 0)
</f>
        <v>0</v>
      </c>
      <c r="Q385" s="319">
        <f>IF(AND('Ações'!AT393="sim", 'Ações'!BI393="sim"), 1, 0)
</f>
        <v>0</v>
      </c>
      <c r="R385" s="319">
        <f>IF(AND('Ações'!AU393="sim", 'Ações'!BD393="sim"), 1, 0)
</f>
        <v>1</v>
      </c>
      <c r="S385" s="319">
        <f>IF(AND('Ações'!AU393="sim", 'Ações'!BE393="sim"), 1, 0)
</f>
        <v>0</v>
      </c>
      <c r="T385" s="319">
        <f>IF(AND('Ações'!AU393="sim", 'Ações'!BG393="sim"), 1, 0)
</f>
        <v>0</v>
      </c>
      <c r="U385" s="319">
        <f>IF(AND('Ações'!AU393="sim", 'Ações'!BH393="sim"), 1, 0)
</f>
        <v>0</v>
      </c>
      <c r="V385" s="319">
        <f>IF(AND('Ações'!AU393="sim", 'Ações'!BI393="sim"), 1, 0)
</f>
        <v>0</v>
      </c>
      <c r="W385" s="319">
        <f>IF(AND('Ações'!AV393="sim", 'Ações'!BD393="sim"), 1, 0)
</f>
        <v>1</v>
      </c>
      <c r="X385" s="319">
        <f>IF(AND('Ações'!AV393="sim", 'Ações'!BE393="sim"), 1, 0)
</f>
        <v>0</v>
      </c>
      <c r="Y385" s="319">
        <f>IF(AND('Ações'!AV393="sim", 'Ações'!BF393="sim"), 1, 0)
</f>
        <v>0</v>
      </c>
      <c r="Z385" s="319">
        <f>IF(AND('Ações'!AV393="sim", 'Ações'!BH393="sim"), 1, 0)
</f>
        <v>0</v>
      </c>
      <c r="AA385" s="319">
        <f>IF(AND('Ações'!AV393="sim", 'Ações'!BI393="sim"), 1, 0)
</f>
        <v>0</v>
      </c>
      <c r="AB385" s="319">
        <f>IF(AND('Ações'!AW393="sim", 'Ações'!BD393="sim"), 1, 0)
</f>
        <v>1</v>
      </c>
      <c r="AC385" s="319">
        <f>IF(AND('Ações'!AW393="sim", 'Ações'!BE393="sim"), 1, 0)
</f>
        <v>0</v>
      </c>
      <c r="AD385" s="319">
        <f>IF(AND('Ações'!AW393="sim", 'Ações'!BF393="sim"), 1, 0)
</f>
        <v>0</v>
      </c>
      <c r="AE385" s="319">
        <f>IF(AND('Ações'!AW393="sim", 'Ações'!BG393="sim"), 1, 0)
</f>
        <v>0</v>
      </c>
      <c r="AF385" s="319">
        <f>IF(AND('Ações'!AW393="sim", 'Ações'!BI393="sim"), 1, 0)
</f>
        <v>0</v>
      </c>
      <c r="AG385" s="319">
        <f>IF(AND('Ações'!AX393="sim", 'Ações'!BD393="sim"), 1, 0)
</f>
        <v>0</v>
      </c>
      <c r="AH385" s="319">
        <f>IF(AND('Ações'!AX393="sim", 'Ações'!BE393="sim"), 1, 0)
</f>
        <v>0</v>
      </c>
      <c r="AI385" s="319">
        <f>IF(AND('Ações'!AX393="sim", 'Ações'!BF393="sim"), 1, 0)
</f>
        <v>0</v>
      </c>
      <c r="AJ385" s="319">
        <f>IF(AND('Ações'!AX393="sim", 'Ações'!BG393="sim"), 1, 0)
</f>
        <v>0</v>
      </c>
      <c r="AK385" s="319">
        <f>IF(AND('Ações'!AX393="sim", 'Ações'!BH393="sim"), 1, 0)
</f>
        <v>0</v>
      </c>
    </row>
    <row r="386">
      <c r="B386" s="319">
        <f>IF(AND('Ações'!AS394="sim", 'Ações'!BD394="sim"), 1, 0)
</f>
        <v>0</v>
      </c>
      <c r="C386" s="319">
        <f>IF(AND('Ações'!AT394="sim", 'Ações'!BE394="sim"), 1, 0)
</f>
        <v>0</v>
      </c>
      <c r="D386" s="319">
        <f>IF(AND('Ações'!AU394="sim", 'Ações'!BF394="sim"), 1, 0)
</f>
        <v>0</v>
      </c>
      <c r="E386" s="319">
        <f>IF(AND('Ações'!AV394="sim", 'Ações'!BG394="sim"), 1, 0)
</f>
        <v>0</v>
      </c>
      <c r="F386" s="319">
        <f>IF(AND('Ações'!AW394="sim", 'Ações'!BH394="sim"), 1, 0)
</f>
        <v>0</v>
      </c>
      <c r="G386" s="319">
        <f>IF(AND('Ações'!AX394="sim", 'Ações'!BI394="sim"), 1, 0)
</f>
        <v>0</v>
      </c>
      <c r="H386" s="319">
        <f>IF(AND('Ações'!AS394="sim", 'Ações'!BE394="sim"), 1, 0)
</f>
        <v>0</v>
      </c>
      <c r="I386" s="319">
        <f>IF(AND('Ações'!AS394="sim", 'Ações'!BF394="sim"), 1, 0)
</f>
        <v>0</v>
      </c>
      <c r="J386" s="319">
        <f>IF(AND('Ações'!AS394="sim", 'Ações'!BG394="sim"), 1, 0)
</f>
        <v>0</v>
      </c>
      <c r="K386" s="319">
        <f>IF(AND('Ações'!AS394="sim", 'Ações'!BH394="sim"), 1, 0)
</f>
        <v>0</v>
      </c>
      <c r="L386" s="319">
        <f>IF(AND('Ações'!AS394="sim", 'Ações'!BI394="sim"), 1, 0)
</f>
        <v>0</v>
      </c>
      <c r="M386" s="319">
        <f>IF(AND('Ações'!AT394="sim", 'Ações'!BD394="sim"), 1, 0)
</f>
        <v>0</v>
      </c>
      <c r="N386" s="319">
        <f>IF(AND('Ações'!AT394="sim", 'Ações'!BF394="sim"), 1, 0)
</f>
        <v>0</v>
      </c>
      <c r="O386" s="319">
        <f>IF(AND('Ações'!AT394="sim", 'Ações'!BG394="sim"), 1, 0)
</f>
        <v>0</v>
      </c>
      <c r="P386" s="319">
        <f>IF(AND('Ações'!AT394="sim", 'Ações'!BH394="sim"), 1, 0)
</f>
        <v>0</v>
      </c>
      <c r="Q386" s="319">
        <f>IF(AND('Ações'!AT394="sim", 'Ações'!BI394="sim"), 1, 0)
</f>
        <v>0</v>
      </c>
      <c r="R386" s="319">
        <f>IF(AND('Ações'!AU394="sim", 'Ações'!BD394="sim"), 1, 0)
</f>
        <v>0</v>
      </c>
      <c r="S386" s="319">
        <f>IF(AND('Ações'!AU394="sim", 'Ações'!BE394="sim"), 1, 0)
</f>
        <v>0</v>
      </c>
      <c r="T386" s="319">
        <f>IF(AND('Ações'!AU394="sim", 'Ações'!BG394="sim"), 1, 0)
</f>
        <v>0</v>
      </c>
      <c r="U386" s="319">
        <f>IF(AND('Ações'!AU394="sim", 'Ações'!BH394="sim"), 1, 0)
</f>
        <v>0</v>
      </c>
      <c r="V386" s="319">
        <f>IF(AND('Ações'!AU394="sim", 'Ações'!BI394="sim"), 1, 0)
</f>
        <v>0</v>
      </c>
      <c r="W386" s="319">
        <f>IF(AND('Ações'!AV394="sim", 'Ações'!BD394="sim"), 1, 0)
</f>
        <v>0</v>
      </c>
      <c r="X386" s="319">
        <f>IF(AND('Ações'!AV394="sim", 'Ações'!BE394="sim"), 1, 0)
</f>
        <v>0</v>
      </c>
      <c r="Y386" s="319">
        <f>IF(AND('Ações'!AV394="sim", 'Ações'!BF394="sim"), 1, 0)
</f>
        <v>0</v>
      </c>
      <c r="Z386" s="319">
        <f>IF(AND('Ações'!AV394="sim", 'Ações'!BH394="sim"), 1, 0)
</f>
        <v>0</v>
      </c>
      <c r="AA386" s="319">
        <f>IF(AND('Ações'!AV394="sim", 'Ações'!BI394="sim"), 1, 0)
</f>
        <v>1</v>
      </c>
      <c r="AB386" s="319">
        <f>IF(AND('Ações'!AW394="sim", 'Ações'!BD394="sim"), 1, 0)
</f>
        <v>0</v>
      </c>
      <c r="AC386" s="319">
        <f>IF(AND('Ações'!AW394="sim", 'Ações'!BE394="sim"), 1, 0)
</f>
        <v>0</v>
      </c>
      <c r="AD386" s="319">
        <f>IF(AND('Ações'!AW394="sim", 'Ações'!BF394="sim"), 1, 0)
</f>
        <v>0</v>
      </c>
      <c r="AE386" s="319">
        <f>IF(AND('Ações'!AW394="sim", 'Ações'!BG394="sim"), 1, 0)
</f>
        <v>0</v>
      </c>
      <c r="AF386" s="319">
        <f>IF(AND('Ações'!AW394="sim", 'Ações'!BI394="sim"), 1, 0)
</f>
        <v>1</v>
      </c>
      <c r="AG386" s="319">
        <f>IF(AND('Ações'!AX394="sim", 'Ações'!BD394="sim"), 1, 0)
</f>
        <v>0</v>
      </c>
      <c r="AH386" s="319">
        <f>IF(AND('Ações'!AX394="sim", 'Ações'!BE394="sim"), 1, 0)
</f>
        <v>0</v>
      </c>
      <c r="AI386" s="319">
        <f>IF(AND('Ações'!AX394="sim", 'Ações'!BF394="sim"), 1, 0)
</f>
        <v>0</v>
      </c>
      <c r="AJ386" s="319">
        <f>IF(AND('Ações'!AX394="sim", 'Ações'!BG394="sim"), 1, 0)
</f>
        <v>0</v>
      </c>
      <c r="AK386" s="319">
        <f>IF(AND('Ações'!AX394="sim", 'Ações'!BH394="sim"), 1, 0)
</f>
        <v>0</v>
      </c>
    </row>
    <row r="387">
      <c r="B387" s="319">
        <f>IF(AND('Ações'!AS395="sim", 'Ações'!BD395="sim"), 1, 0)
</f>
        <v>0</v>
      </c>
      <c r="C387" s="319">
        <f>IF(AND('Ações'!AT395="sim", 'Ações'!BE395="sim"), 1, 0)
</f>
        <v>0</v>
      </c>
      <c r="D387" s="319">
        <f>IF(AND('Ações'!AU395="sim", 'Ações'!BF395="sim"), 1, 0)
</f>
        <v>0</v>
      </c>
      <c r="E387" s="319">
        <f>IF(AND('Ações'!AV395="sim", 'Ações'!BG395="sim"), 1, 0)
</f>
        <v>0</v>
      </c>
      <c r="F387" s="319">
        <f>IF(AND('Ações'!AW395="sim", 'Ações'!BH395="sim"), 1, 0)
</f>
        <v>0</v>
      </c>
      <c r="G387" s="319">
        <f>IF(AND('Ações'!AX395="sim", 'Ações'!BI395="sim"), 1, 0)
</f>
        <v>0</v>
      </c>
      <c r="H387" s="319">
        <f>IF(AND('Ações'!AS395="sim", 'Ações'!BE395="sim"), 1, 0)
</f>
        <v>0</v>
      </c>
      <c r="I387" s="319">
        <f>IF(AND('Ações'!AS395="sim", 'Ações'!BF395="sim"), 1, 0)
</f>
        <v>0</v>
      </c>
      <c r="J387" s="319">
        <f>IF(AND('Ações'!AS395="sim", 'Ações'!BG395="sim"), 1, 0)
</f>
        <v>0</v>
      </c>
      <c r="K387" s="319">
        <f>IF(AND('Ações'!AS395="sim", 'Ações'!BH395="sim"), 1, 0)
</f>
        <v>0</v>
      </c>
      <c r="L387" s="319">
        <f>IF(AND('Ações'!AS395="sim", 'Ações'!BI395="sim"), 1, 0)
</f>
        <v>0</v>
      </c>
      <c r="M387" s="319">
        <f>IF(AND('Ações'!AT395="sim", 'Ações'!BD395="sim"), 1, 0)
</f>
        <v>0</v>
      </c>
      <c r="N387" s="319">
        <f>IF(AND('Ações'!AT395="sim", 'Ações'!BF395="sim"), 1, 0)
</f>
        <v>0</v>
      </c>
      <c r="O387" s="319">
        <f>IF(AND('Ações'!AT395="sim", 'Ações'!BG395="sim"), 1, 0)
</f>
        <v>0</v>
      </c>
      <c r="P387" s="319">
        <f>IF(AND('Ações'!AT395="sim", 'Ações'!BH395="sim"), 1, 0)
</f>
        <v>0</v>
      </c>
      <c r="Q387" s="319">
        <f>IF(AND('Ações'!AT395="sim", 'Ações'!BI395="sim"), 1, 0)
</f>
        <v>0</v>
      </c>
      <c r="R387" s="319">
        <f>IF(AND('Ações'!AU395="sim", 'Ações'!BD395="sim"), 1, 0)
</f>
        <v>0</v>
      </c>
      <c r="S387" s="319">
        <f>IF(AND('Ações'!AU395="sim", 'Ações'!BE395="sim"), 1, 0)
</f>
        <v>0</v>
      </c>
      <c r="T387" s="319">
        <f>IF(AND('Ações'!AU395="sim", 'Ações'!BG395="sim"), 1, 0)
</f>
        <v>0</v>
      </c>
      <c r="U387" s="319">
        <f>IF(AND('Ações'!AU395="sim", 'Ações'!BH395="sim"), 1, 0)
</f>
        <v>0</v>
      </c>
      <c r="V387" s="319">
        <f>IF(AND('Ações'!AU395="sim", 'Ações'!BI395="sim"), 1, 0)
</f>
        <v>0</v>
      </c>
      <c r="W387" s="319">
        <f>IF(AND('Ações'!AV395="sim", 'Ações'!BD395="sim"), 1, 0)
</f>
        <v>0</v>
      </c>
      <c r="X387" s="319">
        <f>IF(AND('Ações'!AV395="sim", 'Ações'!BE395="sim"), 1, 0)
</f>
        <v>0</v>
      </c>
      <c r="Y387" s="319">
        <f>IF(AND('Ações'!AV395="sim", 'Ações'!BF395="sim"), 1, 0)
</f>
        <v>0</v>
      </c>
      <c r="Z387" s="319">
        <f>IF(AND('Ações'!AV395="sim", 'Ações'!BH395="sim"), 1, 0)
</f>
        <v>0</v>
      </c>
      <c r="AA387" s="319">
        <f>IF(AND('Ações'!AV395="sim", 'Ações'!BI395="sim"), 1, 0)
</f>
        <v>1</v>
      </c>
      <c r="AB387" s="319">
        <f>IF(AND('Ações'!AW395="sim", 'Ações'!BD395="sim"), 1, 0)
</f>
        <v>0</v>
      </c>
      <c r="AC387" s="319">
        <f>IF(AND('Ações'!AW395="sim", 'Ações'!BE395="sim"), 1, 0)
</f>
        <v>0</v>
      </c>
      <c r="AD387" s="319">
        <f>IF(AND('Ações'!AW395="sim", 'Ações'!BF395="sim"), 1, 0)
</f>
        <v>0</v>
      </c>
      <c r="AE387" s="319">
        <f>IF(AND('Ações'!AW395="sim", 'Ações'!BG395="sim"), 1, 0)
</f>
        <v>0</v>
      </c>
      <c r="AF387" s="319">
        <f>IF(AND('Ações'!AW395="sim", 'Ações'!BI395="sim"), 1, 0)
</f>
        <v>1</v>
      </c>
      <c r="AG387" s="319">
        <f>IF(AND('Ações'!AX395="sim", 'Ações'!BD395="sim"), 1, 0)
</f>
        <v>0</v>
      </c>
      <c r="AH387" s="319">
        <f>IF(AND('Ações'!AX395="sim", 'Ações'!BE395="sim"), 1, 0)
</f>
        <v>0</v>
      </c>
      <c r="AI387" s="319">
        <f>IF(AND('Ações'!AX395="sim", 'Ações'!BF395="sim"), 1, 0)
</f>
        <v>0</v>
      </c>
      <c r="AJ387" s="319">
        <f>IF(AND('Ações'!AX395="sim", 'Ações'!BG395="sim"), 1, 0)
</f>
        <v>0</v>
      </c>
      <c r="AK387" s="319">
        <f>IF(AND('Ações'!AX395="sim", 'Ações'!BH395="sim"), 1, 0)
</f>
        <v>0</v>
      </c>
    </row>
    <row r="388">
      <c r="B388" s="319">
        <f>IF(AND('Ações'!AS396="sim", 'Ações'!BD396="sim"), 1, 0)
</f>
        <v>0</v>
      </c>
      <c r="C388" s="319">
        <f>IF(AND('Ações'!AT396="sim", 'Ações'!BE396="sim"), 1, 0)
</f>
        <v>0</v>
      </c>
      <c r="D388" s="319">
        <f>IF(AND('Ações'!AU396="sim", 'Ações'!BF396="sim"), 1, 0)
</f>
        <v>0</v>
      </c>
      <c r="E388" s="319">
        <f>IF(AND('Ações'!AV396="sim", 'Ações'!BG396="sim"), 1, 0)
</f>
        <v>0</v>
      </c>
      <c r="F388" s="319">
        <f>IF(AND('Ações'!AW396="sim", 'Ações'!BH396="sim"), 1, 0)
</f>
        <v>0</v>
      </c>
      <c r="G388" s="319">
        <f>IF(AND('Ações'!AX396="sim", 'Ações'!BI396="sim"), 1, 0)
</f>
        <v>0</v>
      </c>
      <c r="H388" s="319">
        <f>IF(AND('Ações'!AS396="sim", 'Ações'!BE396="sim"), 1, 0)
</f>
        <v>0</v>
      </c>
      <c r="I388" s="319">
        <f>IF(AND('Ações'!AS396="sim", 'Ações'!BF396="sim"), 1, 0)
</f>
        <v>0</v>
      </c>
      <c r="J388" s="319">
        <f>IF(AND('Ações'!AS396="sim", 'Ações'!BG396="sim"), 1, 0)
</f>
        <v>0</v>
      </c>
      <c r="K388" s="319">
        <f>IF(AND('Ações'!AS396="sim", 'Ações'!BH396="sim"), 1, 0)
</f>
        <v>0</v>
      </c>
      <c r="L388" s="319">
        <f>IF(AND('Ações'!AS396="sim", 'Ações'!BI396="sim"), 1, 0)
</f>
        <v>0</v>
      </c>
      <c r="M388" s="319">
        <f>IF(AND('Ações'!AT396="sim", 'Ações'!BD396="sim"), 1, 0)
</f>
        <v>0</v>
      </c>
      <c r="N388" s="319">
        <f>IF(AND('Ações'!AT396="sim", 'Ações'!BF396="sim"), 1, 0)
</f>
        <v>0</v>
      </c>
      <c r="O388" s="319">
        <f>IF(AND('Ações'!AT396="sim", 'Ações'!BG396="sim"), 1, 0)
</f>
        <v>0</v>
      </c>
      <c r="P388" s="319">
        <f>IF(AND('Ações'!AT396="sim", 'Ações'!BH396="sim"), 1, 0)
</f>
        <v>0</v>
      </c>
      <c r="Q388" s="319">
        <f>IF(AND('Ações'!AT396="sim", 'Ações'!BI396="sim"), 1, 0)
</f>
        <v>0</v>
      </c>
      <c r="R388" s="319">
        <f>IF(AND('Ações'!AU396="sim", 'Ações'!BD396="sim"), 1, 0)
</f>
        <v>0</v>
      </c>
      <c r="S388" s="319">
        <f>IF(AND('Ações'!AU396="sim", 'Ações'!BE396="sim"), 1, 0)
</f>
        <v>0</v>
      </c>
      <c r="T388" s="319">
        <f>IF(AND('Ações'!AU396="sim", 'Ações'!BG396="sim"), 1, 0)
</f>
        <v>0</v>
      </c>
      <c r="U388" s="319">
        <f>IF(AND('Ações'!AU396="sim", 'Ações'!BH396="sim"), 1, 0)
</f>
        <v>0</v>
      </c>
      <c r="V388" s="319">
        <f>IF(AND('Ações'!AU396="sim", 'Ações'!BI396="sim"), 1, 0)
</f>
        <v>0</v>
      </c>
      <c r="W388" s="319">
        <f>IF(AND('Ações'!AV396="sim", 'Ações'!BD396="sim"), 1, 0)
</f>
        <v>0</v>
      </c>
      <c r="X388" s="319">
        <f>IF(AND('Ações'!AV396="sim", 'Ações'!BE396="sim"), 1, 0)
</f>
        <v>0</v>
      </c>
      <c r="Y388" s="319">
        <f>IF(AND('Ações'!AV396="sim", 'Ações'!BF396="sim"), 1, 0)
</f>
        <v>0</v>
      </c>
      <c r="Z388" s="319">
        <f>IF(AND('Ações'!AV396="sim", 'Ações'!BH396="sim"), 1, 0)
</f>
        <v>0</v>
      </c>
      <c r="AA388" s="319">
        <f>IF(AND('Ações'!AV396="sim", 'Ações'!BI396="sim"), 1, 0)
</f>
        <v>1</v>
      </c>
      <c r="AB388" s="319">
        <f>IF(AND('Ações'!AW396="sim", 'Ações'!BD396="sim"), 1, 0)
</f>
        <v>0</v>
      </c>
      <c r="AC388" s="319">
        <f>IF(AND('Ações'!AW396="sim", 'Ações'!BE396="sim"), 1, 0)
</f>
        <v>0</v>
      </c>
      <c r="AD388" s="319">
        <f>IF(AND('Ações'!AW396="sim", 'Ações'!BF396="sim"), 1, 0)
</f>
        <v>0</v>
      </c>
      <c r="AE388" s="319">
        <f>IF(AND('Ações'!AW396="sim", 'Ações'!BG396="sim"), 1, 0)
</f>
        <v>0</v>
      </c>
      <c r="AF388" s="319">
        <f>IF(AND('Ações'!AW396="sim", 'Ações'!BI396="sim"), 1, 0)
</f>
        <v>1</v>
      </c>
      <c r="AG388" s="319">
        <f>IF(AND('Ações'!AX396="sim", 'Ações'!BD396="sim"), 1, 0)
</f>
        <v>0</v>
      </c>
      <c r="AH388" s="319">
        <f>IF(AND('Ações'!AX396="sim", 'Ações'!BE396="sim"), 1, 0)
</f>
        <v>0</v>
      </c>
      <c r="AI388" s="319">
        <f>IF(AND('Ações'!AX396="sim", 'Ações'!BF396="sim"), 1, 0)
</f>
        <v>0</v>
      </c>
      <c r="AJ388" s="319">
        <f>IF(AND('Ações'!AX396="sim", 'Ações'!BG396="sim"), 1, 0)
</f>
        <v>0</v>
      </c>
      <c r="AK388" s="319">
        <f>IF(AND('Ações'!AX396="sim", 'Ações'!BH396="sim"), 1, 0)
</f>
        <v>0</v>
      </c>
    </row>
    <row r="389">
      <c r="B389" s="319">
        <f>IF(AND('Ações'!AS397="sim", 'Ações'!BD397="sim"), 1, 0)
</f>
        <v>1</v>
      </c>
      <c r="C389" s="319">
        <f>IF(AND('Ações'!AT397="sim", 'Ações'!BE397="sim"), 1, 0)
</f>
        <v>0</v>
      </c>
      <c r="D389" s="319">
        <f>IF(AND('Ações'!AU397="sim", 'Ações'!BF397="sim"), 1, 0)
</f>
        <v>0</v>
      </c>
      <c r="E389" s="319">
        <f>IF(AND('Ações'!AV397="sim", 'Ações'!BG397="sim"), 1, 0)
</f>
        <v>0</v>
      </c>
      <c r="F389" s="319">
        <f>IF(AND('Ações'!AW397="sim", 'Ações'!BH397="sim"), 1, 0)
</f>
        <v>0</v>
      </c>
      <c r="G389" s="319">
        <f>IF(AND('Ações'!AX397="sim", 'Ações'!BI397="sim"), 1, 0)
</f>
        <v>1</v>
      </c>
      <c r="H389" s="319">
        <f>IF(AND('Ações'!AS397="sim", 'Ações'!BE397="sim"), 1, 0)
</f>
        <v>0</v>
      </c>
      <c r="I389" s="319">
        <f>IF(AND('Ações'!AS397="sim", 'Ações'!BF397="sim"), 1, 0)
</f>
        <v>0</v>
      </c>
      <c r="J389" s="319">
        <f>IF(AND('Ações'!AS397="sim", 'Ações'!BG397="sim"), 1, 0)
</f>
        <v>0</v>
      </c>
      <c r="K389" s="319">
        <f>IF(AND('Ações'!AS397="sim", 'Ações'!BH397="sim"), 1, 0)
</f>
        <v>0</v>
      </c>
      <c r="L389" s="319">
        <f>IF(AND('Ações'!AS397="sim", 'Ações'!BI397="sim"), 1, 0)
</f>
        <v>1</v>
      </c>
      <c r="M389" s="319">
        <f>IF(AND('Ações'!AT397="sim", 'Ações'!BD397="sim"), 1, 0)
</f>
        <v>1</v>
      </c>
      <c r="N389" s="319">
        <f>IF(AND('Ações'!AT397="sim", 'Ações'!BF397="sim"), 1, 0)
</f>
        <v>0</v>
      </c>
      <c r="O389" s="319">
        <f>IF(AND('Ações'!AT397="sim", 'Ações'!BG397="sim"), 1, 0)
</f>
        <v>0</v>
      </c>
      <c r="P389" s="319">
        <f>IF(AND('Ações'!AT397="sim", 'Ações'!BH397="sim"), 1, 0)
</f>
        <v>0</v>
      </c>
      <c r="Q389" s="319">
        <f>IF(AND('Ações'!AT397="sim", 'Ações'!BI397="sim"), 1, 0)
</f>
        <v>1</v>
      </c>
      <c r="R389" s="319">
        <f>IF(AND('Ações'!AU397="sim", 'Ações'!BD397="sim"), 1, 0)
</f>
        <v>1</v>
      </c>
      <c r="S389" s="319">
        <f>IF(AND('Ações'!AU397="sim", 'Ações'!BE397="sim"), 1, 0)
</f>
        <v>0</v>
      </c>
      <c r="T389" s="319">
        <f>IF(AND('Ações'!AU397="sim", 'Ações'!BG397="sim"), 1, 0)
</f>
        <v>0</v>
      </c>
      <c r="U389" s="319">
        <f>IF(AND('Ações'!AU397="sim", 'Ações'!BH397="sim"), 1, 0)
</f>
        <v>0</v>
      </c>
      <c r="V389" s="319">
        <f>IF(AND('Ações'!AU397="sim", 'Ações'!BI397="sim"), 1, 0)
</f>
        <v>1</v>
      </c>
      <c r="W389" s="319">
        <f>IF(AND('Ações'!AV397="sim", 'Ações'!BD397="sim"), 1, 0)
</f>
        <v>1</v>
      </c>
      <c r="X389" s="319">
        <f>IF(AND('Ações'!AV397="sim", 'Ações'!BE397="sim"), 1, 0)
</f>
        <v>0</v>
      </c>
      <c r="Y389" s="319">
        <f>IF(AND('Ações'!AV397="sim", 'Ações'!BF397="sim"), 1, 0)
</f>
        <v>0</v>
      </c>
      <c r="Z389" s="319">
        <f>IF(AND('Ações'!AV397="sim", 'Ações'!BH397="sim"), 1, 0)
</f>
        <v>0</v>
      </c>
      <c r="AA389" s="319">
        <f>IF(AND('Ações'!AV397="sim", 'Ações'!BI397="sim"), 1, 0)
</f>
        <v>1</v>
      </c>
      <c r="AB389" s="319">
        <f>IF(AND('Ações'!AW397="sim", 'Ações'!BD397="sim"), 1, 0)
</f>
        <v>1</v>
      </c>
      <c r="AC389" s="319">
        <f>IF(AND('Ações'!AW397="sim", 'Ações'!BE397="sim"), 1, 0)
</f>
        <v>0</v>
      </c>
      <c r="AD389" s="319">
        <f>IF(AND('Ações'!AW397="sim", 'Ações'!BF397="sim"), 1, 0)
</f>
        <v>0</v>
      </c>
      <c r="AE389" s="319">
        <f>IF(AND('Ações'!AW397="sim", 'Ações'!BG397="sim"), 1, 0)
</f>
        <v>0</v>
      </c>
      <c r="AF389" s="319">
        <f>IF(AND('Ações'!AW397="sim", 'Ações'!BI397="sim"), 1, 0)
</f>
        <v>1</v>
      </c>
      <c r="AG389" s="319">
        <f>IF(AND('Ações'!AX397="sim", 'Ações'!BD397="sim"), 1, 0)
</f>
        <v>1</v>
      </c>
      <c r="AH389" s="319">
        <f>IF(AND('Ações'!AX397="sim", 'Ações'!BE397="sim"), 1, 0)
</f>
        <v>0</v>
      </c>
      <c r="AI389" s="319">
        <f>IF(AND('Ações'!AX397="sim", 'Ações'!BF397="sim"), 1, 0)
</f>
        <v>0</v>
      </c>
      <c r="AJ389" s="319">
        <f>IF(AND('Ações'!AX397="sim", 'Ações'!BG397="sim"), 1, 0)
</f>
        <v>0</v>
      </c>
      <c r="AK389" s="319">
        <f>IF(AND('Ações'!AX397="sim", 'Ações'!BH397="sim"), 1, 0)
</f>
        <v>0</v>
      </c>
    </row>
    <row r="390">
      <c r="B390" s="319">
        <f>IF(AND('Ações'!AS398="sim", 'Ações'!BD398="sim"), 1, 0)
</f>
        <v>1</v>
      </c>
      <c r="C390" s="319">
        <f>IF(AND('Ações'!AT398="sim", 'Ações'!BE398="sim"), 1, 0)
</f>
        <v>0</v>
      </c>
      <c r="D390" s="319">
        <f>IF(AND('Ações'!AU398="sim", 'Ações'!BF398="sim"), 1, 0)
</f>
        <v>0</v>
      </c>
      <c r="E390" s="319">
        <f>IF(AND('Ações'!AV398="sim", 'Ações'!BG398="sim"), 1, 0)
</f>
        <v>0</v>
      </c>
      <c r="F390" s="319">
        <f>IF(AND('Ações'!AW398="sim", 'Ações'!BH398="sim"), 1, 0)
</f>
        <v>0</v>
      </c>
      <c r="G390" s="319">
        <f>IF(AND('Ações'!AX398="sim", 'Ações'!BI398="sim"), 1, 0)
</f>
        <v>0</v>
      </c>
      <c r="H390" s="319">
        <f>IF(AND('Ações'!AS398="sim", 'Ações'!BE398="sim"), 1, 0)
</f>
        <v>0</v>
      </c>
      <c r="I390" s="319">
        <f>IF(AND('Ações'!AS398="sim", 'Ações'!BF398="sim"), 1, 0)
</f>
        <v>0</v>
      </c>
      <c r="J390" s="319">
        <f>IF(AND('Ações'!AS398="sim", 'Ações'!BG398="sim"), 1, 0)
</f>
        <v>0</v>
      </c>
      <c r="K390" s="319">
        <f>IF(AND('Ações'!AS398="sim", 'Ações'!BH398="sim"), 1, 0)
</f>
        <v>0</v>
      </c>
      <c r="L390" s="319">
        <f>IF(AND('Ações'!AS398="sim", 'Ações'!BI398="sim"), 1, 0)
</f>
        <v>0</v>
      </c>
      <c r="M390" s="319">
        <f>IF(AND('Ações'!AT398="sim", 'Ações'!BD398="sim"), 1, 0)
</f>
        <v>1</v>
      </c>
      <c r="N390" s="319">
        <f>IF(AND('Ações'!AT398="sim", 'Ações'!BF398="sim"), 1, 0)
</f>
        <v>0</v>
      </c>
      <c r="O390" s="319">
        <f>IF(AND('Ações'!AT398="sim", 'Ações'!BG398="sim"), 1, 0)
</f>
        <v>0</v>
      </c>
      <c r="P390" s="319">
        <f>IF(AND('Ações'!AT398="sim", 'Ações'!BH398="sim"), 1, 0)
</f>
        <v>0</v>
      </c>
      <c r="Q390" s="319">
        <f>IF(AND('Ações'!AT398="sim", 'Ações'!BI398="sim"), 1, 0)
</f>
        <v>0</v>
      </c>
      <c r="R390" s="319">
        <f>IF(AND('Ações'!AU398="sim", 'Ações'!BD398="sim"), 1, 0)
</f>
        <v>1</v>
      </c>
      <c r="S390" s="319">
        <f>IF(AND('Ações'!AU398="sim", 'Ações'!BE398="sim"), 1, 0)
</f>
        <v>0</v>
      </c>
      <c r="T390" s="319">
        <f>IF(AND('Ações'!AU398="sim", 'Ações'!BG398="sim"), 1, 0)
</f>
        <v>0</v>
      </c>
      <c r="U390" s="319">
        <f>IF(AND('Ações'!AU398="sim", 'Ações'!BH398="sim"), 1, 0)
</f>
        <v>0</v>
      </c>
      <c r="V390" s="319">
        <f>IF(AND('Ações'!AU398="sim", 'Ações'!BI398="sim"), 1, 0)
</f>
        <v>0</v>
      </c>
      <c r="W390" s="319">
        <f>IF(AND('Ações'!AV398="sim", 'Ações'!BD398="sim"), 1, 0)
</f>
        <v>1</v>
      </c>
      <c r="X390" s="319">
        <f>IF(AND('Ações'!AV398="sim", 'Ações'!BE398="sim"), 1, 0)
</f>
        <v>0</v>
      </c>
      <c r="Y390" s="319">
        <f>IF(AND('Ações'!AV398="sim", 'Ações'!BF398="sim"), 1, 0)
</f>
        <v>0</v>
      </c>
      <c r="Z390" s="319">
        <f>IF(AND('Ações'!AV398="sim", 'Ações'!BH398="sim"), 1, 0)
</f>
        <v>0</v>
      </c>
      <c r="AA390" s="319">
        <f>IF(AND('Ações'!AV398="sim", 'Ações'!BI398="sim"), 1, 0)
</f>
        <v>0</v>
      </c>
      <c r="AB390" s="319">
        <f>IF(AND('Ações'!AW398="sim", 'Ações'!BD398="sim"), 1, 0)
</f>
        <v>1</v>
      </c>
      <c r="AC390" s="319">
        <f>IF(AND('Ações'!AW398="sim", 'Ações'!BE398="sim"), 1, 0)
</f>
        <v>0</v>
      </c>
      <c r="AD390" s="319">
        <f>IF(AND('Ações'!AW398="sim", 'Ações'!BF398="sim"), 1, 0)
</f>
        <v>0</v>
      </c>
      <c r="AE390" s="319">
        <f>IF(AND('Ações'!AW398="sim", 'Ações'!BG398="sim"), 1, 0)
</f>
        <v>0</v>
      </c>
      <c r="AF390" s="319">
        <f>IF(AND('Ações'!AW398="sim", 'Ações'!BI398="sim"), 1, 0)
</f>
        <v>0</v>
      </c>
      <c r="AG390" s="319">
        <f>IF(AND('Ações'!AX398="sim", 'Ações'!BD398="sim"), 1, 0)
</f>
        <v>1</v>
      </c>
      <c r="AH390" s="319">
        <f>IF(AND('Ações'!AX398="sim", 'Ações'!BE398="sim"), 1, 0)
</f>
        <v>0</v>
      </c>
      <c r="AI390" s="319">
        <f>IF(AND('Ações'!AX398="sim", 'Ações'!BF398="sim"), 1, 0)
</f>
        <v>0</v>
      </c>
      <c r="AJ390" s="319">
        <f>IF(AND('Ações'!AX398="sim", 'Ações'!BG398="sim"), 1, 0)
</f>
        <v>0</v>
      </c>
      <c r="AK390" s="319">
        <f>IF(AND('Ações'!AX398="sim", 'Ações'!BH398="sim"), 1, 0)
</f>
        <v>0</v>
      </c>
    </row>
    <row r="391">
      <c r="B391" s="319">
        <f>IF(AND('Ações'!AS399="sim", 'Ações'!BD399="sim"), 1, 0)
</f>
        <v>1</v>
      </c>
      <c r="C391" s="319">
        <f>IF(AND('Ações'!AT399="sim", 'Ações'!BE399="sim"), 1, 0)
</f>
        <v>0</v>
      </c>
      <c r="D391" s="319">
        <f>IF(AND('Ações'!AU399="sim", 'Ações'!BF399="sim"), 1, 0)
</f>
        <v>0</v>
      </c>
      <c r="E391" s="319">
        <f>IF(AND('Ações'!AV399="sim", 'Ações'!BG399="sim"), 1, 0)
</f>
        <v>0</v>
      </c>
      <c r="F391" s="319">
        <f>IF(AND('Ações'!AW399="sim", 'Ações'!BH399="sim"), 1, 0)
</f>
        <v>0</v>
      </c>
      <c r="G391" s="319">
        <f>IF(AND('Ações'!AX399="sim", 'Ações'!BI399="sim"), 1, 0)
</f>
        <v>0</v>
      </c>
      <c r="H391" s="319">
        <f>IF(AND('Ações'!AS399="sim", 'Ações'!BE399="sim"), 1, 0)
</f>
        <v>0</v>
      </c>
      <c r="I391" s="319">
        <f>IF(AND('Ações'!AS399="sim", 'Ações'!BF399="sim"), 1, 0)
</f>
        <v>0</v>
      </c>
      <c r="J391" s="319">
        <f>IF(AND('Ações'!AS399="sim", 'Ações'!BG399="sim"), 1, 0)
</f>
        <v>0</v>
      </c>
      <c r="K391" s="319">
        <f>IF(AND('Ações'!AS399="sim", 'Ações'!BH399="sim"), 1, 0)
</f>
        <v>0</v>
      </c>
      <c r="L391" s="319">
        <f>IF(AND('Ações'!AS399="sim", 'Ações'!BI399="sim"), 1, 0)
</f>
        <v>0</v>
      </c>
      <c r="M391" s="319">
        <f>IF(AND('Ações'!AT399="sim", 'Ações'!BD399="sim"), 1, 0)
</f>
        <v>1</v>
      </c>
      <c r="N391" s="319">
        <f>IF(AND('Ações'!AT399="sim", 'Ações'!BF399="sim"), 1, 0)
</f>
        <v>0</v>
      </c>
      <c r="O391" s="319">
        <f>IF(AND('Ações'!AT399="sim", 'Ações'!BG399="sim"), 1, 0)
</f>
        <v>0</v>
      </c>
      <c r="P391" s="319">
        <f>IF(AND('Ações'!AT399="sim", 'Ações'!BH399="sim"), 1, 0)
</f>
        <v>0</v>
      </c>
      <c r="Q391" s="319">
        <f>IF(AND('Ações'!AT399="sim", 'Ações'!BI399="sim"), 1, 0)
</f>
        <v>0</v>
      </c>
      <c r="R391" s="319">
        <f>IF(AND('Ações'!AU399="sim", 'Ações'!BD399="sim"), 1, 0)
</f>
        <v>1</v>
      </c>
      <c r="S391" s="319">
        <f>IF(AND('Ações'!AU399="sim", 'Ações'!BE399="sim"), 1, 0)
</f>
        <v>0</v>
      </c>
      <c r="T391" s="319">
        <f>IF(AND('Ações'!AU399="sim", 'Ações'!BG399="sim"), 1, 0)
</f>
        <v>0</v>
      </c>
      <c r="U391" s="319">
        <f>IF(AND('Ações'!AU399="sim", 'Ações'!BH399="sim"), 1, 0)
</f>
        <v>0</v>
      </c>
      <c r="V391" s="319">
        <f>IF(AND('Ações'!AU399="sim", 'Ações'!BI399="sim"), 1, 0)
</f>
        <v>0</v>
      </c>
      <c r="W391" s="319">
        <f>IF(AND('Ações'!AV399="sim", 'Ações'!BD399="sim"), 1, 0)
</f>
        <v>1</v>
      </c>
      <c r="X391" s="319">
        <f>IF(AND('Ações'!AV399="sim", 'Ações'!BE399="sim"), 1, 0)
</f>
        <v>0</v>
      </c>
      <c r="Y391" s="319">
        <f>IF(AND('Ações'!AV399="sim", 'Ações'!BF399="sim"), 1, 0)
</f>
        <v>0</v>
      </c>
      <c r="Z391" s="319">
        <f>IF(AND('Ações'!AV399="sim", 'Ações'!BH399="sim"), 1, 0)
</f>
        <v>0</v>
      </c>
      <c r="AA391" s="319">
        <f>IF(AND('Ações'!AV399="sim", 'Ações'!BI399="sim"), 1, 0)
</f>
        <v>0</v>
      </c>
      <c r="AB391" s="319">
        <f>IF(AND('Ações'!AW399="sim", 'Ações'!BD399="sim"), 1, 0)
</f>
        <v>1</v>
      </c>
      <c r="AC391" s="319">
        <f>IF(AND('Ações'!AW399="sim", 'Ações'!BE399="sim"), 1, 0)
</f>
        <v>0</v>
      </c>
      <c r="AD391" s="319">
        <f>IF(AND('Ações'!AW399="sim", 'Ações'!BF399="sim"), 1, 0)
</f>
        <v>0</v>
      </c>
      <c r="AE391" s="319">
        <f>IF(AND('Ações'!AW399="sim", 'Ações'!BG399="sim"), 1, 0)
</f>
        <v>0</v>
      </c>
      <c r="AF391" s="319">
        <f>IF(AND('Ações'!AW399="sim", 'Ações'!BI399="sim"), 1, 0)
</f>
        <v>0</v>
      </c>
      <c r="AG391" s="319">
        <f>IF(AND('Ações'!AX399="sim", 'Ações'!BD399="sim"), 1, 0)
</f>
        <v>1</v>
      </c>
      <c r="AH391" s="319">
        <f>IF(AND('Ações'!AX399="sim", 'Ações'!BE399="sim"), 1, 0)
</f>
        <v>0</v>
      </c>
      <c r="AI391" s="319">
        <f>IF(AND('Ações'!AX399="sim", 'Ações'!BF399="sim"), 1, 0)
</f>
        <v>0</v>
      </c>
      <c r="AJ391" s="319">
        <f>IF(AND('Ações'!AX399="sim", 'Ações'!BG399="sim"), 1, 0)
</f>
        <v>0</v>
      </c>
      <c r="AK391" s="319">
        <f>IF(AND('Ações'!AX399="sim", 'Ações'!BH399="sim"), 1, 0)
</f>
        <v>0</v>
      </c>
    </row>
    <row r="392">
      <c r="B392" s="319">
        <f>IF(AND('Ações'!AS400="sim", 'Ações'!BD400="sim"), 1, 0)
</f>
        <v>1</v>
      </c>
      <c r="C392" s="319">
        <f>IF(AND('Ações'!AT400="sim", 'Ações'!BE400="sim"), 1, 0)
</f>
        <v>0</v>
      </c>
      <c r="D392" s="319">
        <f>IF(AND('Ações'!AU400="sim", 'Ações'!BF400="sim"), 1, 0)
</f>
        <v>0</v>
      </c>
      <c r="E392" s="319">
        <f>IF(AND('Ações'!AV400="sim", 'Ações'!BG400="sim"), 1, 0)
</f>
        <v>0</v>
      </c>
      <c r="F392" s="319">
        <f>IF(AND('Ações'!AW400="sim", 'Ações'!BH400="sim"), 1, 0)
</f>
        <v>0</v>
      </c>
      <c r="G392" s="319">
        <f>IF(AND('Ações'!AX400="sim", 'Ações'!BI400="sim"), 1, 0)
</f>
        <v>0</v>
      </c>
      <c r="H392" s="319">
        <f>IF(AND('Ações'!AS400="sim", 'Ações'!BE400="sim"), 1, 0)
</f>
        <v>0</v>
      </c>
      <c r="I392" s="319">
        <f>IF(AND('Ações'!AS400="sim", 'Ações'!BF400="sim"), 1, 0)
</f>
        <v>0</v>
      </c>
      <c r="J392" s="319">
        <f>IF(AND('Ações'!AS400="sim", 'Ações'!BG400="sim"), 1, 0)
</f>
        <v>0</v>
      </c>
      <c r="K392" s="319">
        <f>IF(AND('Ações'!AS400="sim", 'Ações'!BH400="sim"), 1, 0)
</f>
        <v>0</v>
      </c>
      <c r="L392" s="319">
        <f>IF(AND('Ações'!AS400="sim", 'Ações'!BI400="sim"), 1, 0)
</f>
        <v>0</v>
      </c>
      <c r="M392" s="319">
        <f>IF(AND('Ações'!AT400="sim", 'Ações'!BD400="sim"), 1, 0)
</f>
        <v>1</v>
      </c>
      <c r="N392" s="319">
        <f>IF(AND('Ações'!AT400="sim", 'Ações'!BF400="sim"), 1, 0)
</f>
        <v>0</v>
      </c>
      <c r="O392" s="319">
        <f>IF(AND('Ações'!AT400="sim", 'Ações'!BG400="sim"), 1, 0)
</f>
        <v>0</v>
      </c>
      <c r="P392" s="319">
        <f>IF(AND('Ações'!AT400="sim", 'Ações'!BH400="sim"), 1, 0)
</f>
        <v>0</v>
      </c>
      <c r="Q392" s="319">
        <f>IF(AND('Ações'!AT400="sim", 'Ações'!BI400="sim"), 1, 0)
</f>
        <v>0</v>
      </c>
      <c r="R392" s="319">
        <f>IF(AND('Ações'!AU400="sim", 'Ações'!BD400="sim"), 1, 0)
</f>
        <v>1</v>
      </c>
      <c r="S392" s="319">
        <f>IF(AND('Ações'!AU400="sim", 'Ações'!BE400="sim"), 1, 0)
</f>
        <v>0</v>
      </c>
      <c r="T392" s="319">
        <f>IF(AND('Ações'!AU400="sim", 'Ações'!BG400="sim"), 1, 0)
</f>
        <v>0</v>
      </c>
      <c r="U392" s="319">
        <f>IF(AND('Ações'!AU400="sim", 'Ações'!BH400="sim"), 1, 0)
</f>
        <v>0</v>
      </c>
      <c r="V392" s="319">
        <f>IF(AND('Ações'!AU400="sim", 'Ações'!BI400="sim"), 1, 0)
</f>
        <v>0</v>
      </c>
      <c r="W392" s="319">
        <f>IF(AND('Ações'!AV400="sim", 'Ações'!BD400="sim"), 1, 0)
</f>
        <v>1</v>
      </c>
      <c r="X392" s="319">
        <f>IF(AND('Ações'!AV400="sim", 'Ações'!BE400="sim"), 1, 0)
</f>
        <v>0</v>
      </c>
      <c r="Y392" s="319">
        <f>IF(AND('Ações'!AV400="sim", 'Ações'!BF400="sim"), 1, 0)
</f>
        <v>0</v>
      </c>
      <c r="Z392" s="319">
        <f>IF(AND('Ações'!AV400="sim", 'Ações'!BH400="sim"), 1, 0)
</f>
        <v>0</v>
      </c>
      <c r="AA392" s="319">
        <f>IF(AND('Ações'!AV400="sim", 'Ações'!BI400="sim"), 1, 0)
</f>
        <v>0</v>
      </c>
      <c r="AB392" s="319">
        <f>IF(AND('Ações'!AW400="sim", 'Ações'!BD400="sim"), 1, 0)
</f>
        <v>1</v>
      </c>
      <c r="AC392" s="319">
        <f>IF(AND('Ações'!AW400="sim", 'Ações'!BE400="sim"), 1, 0)
</f>
        <v>0</v>
      </c>
      <c r="AD392" s="319">
        <f>IF(AND('Ações'!AW400="sim", 'Ações'!BF400="sim"), 1, 0)
</f>
        <v>0</v>
      </c>
      <c r="AE392" s="319">
        <f>IF(AND('Ações'!AW400="sim", 'Ações'!BG400="sim"), 1, 0)
</f>
        <v>0</v>
      </c>
      <c r="AF392" s="319">
        <f>IF(AND('Ações'!AW400="sim", 'Ações'!BI400="sim"), 1, 0)
</f>
        <v>0</v>
      </c>
      <c r="AG392" s="319">
        <f>IF(AND('Ações'!AX400="sim", 'Ações'!BD400="sim"), 1, 0)
</f>
        <v>1</v>
      </c>
      <c r="AH392" s="319">
        <f>IF(AND('Ações'!AX400="sim", 'Ações'!BE400="sim"), 1, 0)
</f>
        <v>0</v>
      </c>
      <c r="AI392" s="319">
        <f>IF(AND('Ações'!AX400="sim", 'Ações'!BF400="sim"), 1, 0)
</f>
        <v>0</v>
      </c>
      <c r="AJ392" s="319">
        <f>IF(AND('Ações'!AX400="sim", 'Ações'!BG400="sim"), 1, 0)
</f>
        <v>0</v>
      </c>
      <c r="AK392" s="319">
        <f>IF(AND('Ações'!AX400="sim", 'Ações'!BH400="sim"), 1, 0)
</f>
        <v>0</v>
      </c>
    </row>
    <row r="393">
      <c r="B393" s="319">
        <f>IF(AND('Ações'!AS401="sim", 'Ações'!BD401="sim"), 1, 0)
</f>
        <v>0</v>
      </c>
      <c r="C393" s="319">
        <f>IF(AND('Ações'!AT401="sim", 'Ações'!BE401="sim"), 1, 0)
</f>
        <v>0</v>
      </c>
      <c r="D393" s="319">
        <f>IF(AND('Ações'!AU401="sim", 'Ações'!BF401="sim"), 1, 0)
</f>
        <v>0</v>
      </c>
      <c r="E393" s="319">
        <f>IF(AND('Ações'!AV401="sim", 'Ações'!BG401="sim"), 1, 0)
</f>
        <v>0</v>
      </c>
      <c r="F393" s="319">
        <f>IF(AND('Ações'!AW401="sim", 'Ações'!BH401="sim"), 1, 0)
</f>
        <v>0</v>
      </c>
      <c r="G393" s="319">
        <f>IF(AND('Ações'!AX401="sim", 'Ações'!BI401="sim"), 1, 0)
</f>
        <v>0</v>
      </c>
      <c r="H393" s="319">
        <f>IF(AND('Ações'!AS401="sim", 'Ações'!BE401="sim"), 1, 0)
</f>
        <v>0</v>
      </c>
      <c r="I393" s="319">
        <f>IF(AND('Ações'!AS401="sim", 'Ações'!BF401="sim"), 1, 0)
</f>
        <v>0</v>
      </c>
      <c r="J393" s="319">
        <f>IF(AND('Ações'!AS401="sim", 'Ações'!BG401="sim"), 1, 0)
</f>
        <v>0</v>
      </c>
      <c r="K393" s="319">
        <f>IF(AND('Ações'!AS401="sim", 'Ações'!BH401="sim"), 1, 0)
</f>
        <v>0</v>
      </c>
      <c r="L393" s="319">
        <f>IF(AND('Ações'!AS401="sim", 'Ações'!BI401="sim"), 1, 0)
</f>
        <v>0</v>
      </c>
      <c r="M393" s="319">
        <f>IF(AND('Ações'!AT401="sim", 'Ações'!BD401="sim"), 1, 0)
</f>
        <v>0</v>
      </c>
      <c r="N393" s="319">
        <f>IF(AND('Ações'!AT401="sim", 'Ações'!BF401="sim"), 1, 0)
</f>
        <v>0</v>
      </c>
      <c r="O393" s="319">
        <f>IF(AND('Ações'!AT401="sim", 'Ações'!BG401="sim"), 1, 0)
</f>
        <v>0</v>
      </c>
      <c r="P393" s="319">
        <f>IF(AND('Ações'!AT401="sim", 'Ações'!BH401="sim"), 1, 0)
</f>
        <v>0</v>
      </c>
      <c r="Q393" s="319">
        <f>IF(AND('Ações'!AT401="sim", 'Ações'!BI401="sim"), 1, 0)
</f>
        <v>1</v>
      </c>
      <c r="R393" s="319">
        <f>IF(AND('Ações'!AU401="sim", 'Ações'!BD401="sim"), 1, 0)
</f>
        <v>0</v>
      </c>
      <c r="S393" s="319">
        <f>IF(AND('Ações'!AU401="sim", 'Ações'!BE401="sim"), 1, 0)
</f>
        <v>0</v>
      </c>
      <c r="T393" s="319">
        <f>IF(AND('Ações'!AU401="sim", 'Ações'!BG401="sim"), 1, 0)
</f>
        <v>0</v>
      </c>
      <c r="U393" s="319">
        <f>IF(AND('Ações'!AU401="sim", 'Ações'!BH401="sim"), 1, 0)
</f>
        <v>0</v>
      </c>
      <c r="V393" s="319">
        <f>IF(AND('Ações'!AU401="sim", 'Ações'!BI401="sim"), 1, 0)
</f>
        <v>0</v>
      </c>
      <c r="W393" s="319">
        <f>IF(AND('Ações'!AV401="sim", 'Ações'!BD401="sim"), 1, 0)
</f>
        <v>0</v>
      </c>
      <c r="X393" s="319">
        <f>IF(AND('Ações'!AV401="sim", 'Ações'!BE401="sim"), 1, 0)
</f>
        <v>0</v>
      </c>
      <c r="Y393" s="319">
        <f>IF(AND('Ações'!AV401="sim", 'Ações'!BF401="sim"), 1, 0)
</f>
        <v>0</v>
      </c>
      <c r="Z393" s="319">
        <f>IF(AND('Ações'!AV401="sim", 'Ações'!BH401="sim"), 1, 0)
</f>
        <v>0</v>
      </c>
      <c r="AA393" s="319">
        <f>IF(AND('Ações'!AV401="sim", 'Ações'!BI401="sim"), 1, 0)
</f>
        <v>1</v>
      </c>
      <c r="AB393" s="319">
        <f>IF(AND('Ações'!AW401="sim", 'Ações'!BD401="sim"), 1, 0)
</f>
        <v>0</v>
      </c>
      <c r="AC393" s="319">
        <f>IF(AND('Ações'!AW401="sim", 'Ações'!BE401="sim"), 1, 0)
</f>
        <v>0</v>
      </c>
      <c r="AD393" s="319">
        <f>IF(AND('Ações'!AW401="sim", 'Ações'!BF401="sim"), 1, 0)
</f>
        <v>0</v>
      </c>
      <c r="AE393" s="319">
        <f>IF(AND('Ações'!AW401="sim", 'Ações'!BG401="sim"), 1, 0)
</f>
        <v>0</v>
      </c>
      <c r="AF393" s="319">
        <f>IF(AND('Ações'!AW401="sim", 'Ações'!BI401="sim"), 1, 0)
</f>
        <v>0</v>
      </c>
      <c r="AG393" s="319">
        <f>IF(AND('Ações'!AX401="sim", 'Ações'!BD401="sim"), 1, 0)
</f>
        <v>0</v>
      </c>
      <c r="AH393" s="319">
        <f>IF(AND('Ações'!AX401="sim", 'Ações'!BE401="sim"), 1, 0)
</f>
        <v>0</v>
      </c>
      <c r="AI393" s="319">
        <f>IF(AND('Ações'!AX401="sim", 'Ações'!BF401="sim"), 1, 0)
</f>
        <v>0</v>
      </c>
      <c r="AJ393" s="319">
        <f>IF(AND('Ações'!AX401="sim", 'Ações'!BG401="sim"), 1, 0)
</f>
        <v>0</v>
      </c>
      <c r="AK393" s="319">
        <f>IF(AND('Ações'!AX401="sim", 'Ações'!BH401="sim"), 1, 0)
</f>
        <v>0</v>
      </c>
    </row>
    <row r="394">
      <c r="B394" s="319">
        <f>IF(AND('Ações'!AS402="sim", 'Ações'!BD402="sim"), 1, 0)
</f>
        <v>0</v>
      </c>
      <c r="C394" s="319">
        <f>IF(AND('Ações'!AT402="sim", 'Ações'!BE402="sim"), 1, 0)
</f>
        <v>0</v>
      </c>
      <c r="D394" s="319">
        <f>IF(AND('Ações'!AU402="sim", 'Ações'!BF402="sim"), 1, 0)
</f>
        <v>0</v>
      </c>
      <c r="E394" s="319">
        <f>IF(AND('Ações'!AV402="sim", 'Ações'!BG402="sim"), 1, 0)
</f>
        <v>0</v>
      </c>
      <c r="F394" s="319">
        <f>IF(AND('Ações'!AW402="sim", 'Ações'!BH402="sim"), 1, 0)
</f>
        <v>0</v>
      </c>
      <c r="G394" s="319">
        <f>IF(AND('Ações'!AX402="sim", 'Ações'!BI402="sim"), 1, 0)
</f>
        <v>0</v>
      </c>
      <c r="H394" s="319">
        <f>IF(AND('Ações'!AS402="sim", 'Ações'!BE402="sim"), 1, 0)
</f>
        <v>0</v>
      </c>
      <c r="I394" s="319">
        <f>IF(AND('Ações'!AS402="sim", 'Ações'!BF402="sim"), 1, 0)
</f>
        <v>0</v>
      </c>
      <c r="J394" s="319">
        <f>IF(AND('Ações'!AS402="sim", 'Ações'!BG402="sim"), 1, 0)
</f>
        <v>0</v>
      </c>
      <c r="K394" s="319">
        <f>IF(AND('Ações'!AS402="sim", 'Ações'!BH402="sim"), 1, 0)
</f>
        <v>0</v>
      </c>
      <c r="L394" s="319">
        <f>IF(AND('Ações'!AS402="sim", 'Ações'!BI402="sim"), 1, 0)
</f>
        <v>0</v>
      </c>
      <c r="M394" s="319">
        <f>IF(AND('Ações'!AT402="sim", 'Ações'!BD402="sim"), 1, 0)
</f>
        <v>0</v>
      </c>
      <c r="N394" s="319">
        <f>IF(AND('Ações'!AT402="sim", 'Ações'!BF402="sim"), 1, 0)
</f>
        <v>0</v>
      </c>
      <c r="O394" s="319">
        <f>IF(AND('Ações'!AT402="sim", 'Ações'!BG402="sim"), 1, 0)
</f>
        <v>0</v>
      </c>
      <c r="P394" s="319">
        <f>IF(AND('Ações'!AT402="sim", 'Ações'!BH402="sim"), 1, 0)
</f>
        <v>0</v>
      </c>
      <c r="Q394" s="319">
        <f>IF(AND('Ações'!AT402="sim", 'Ações'!BI402="sim"), 1, 0)
</f>
        <v>1</v>
      </c>
      <c r="R394" s="319">
        <f>IF(AND('Ações'!AU402="sim", 'Ações'!BD402="sim"), 1, 0)
</f>
        <v>0</v>
      </c>
      <c r="S394" s="319">
        <f>IF(AND('Ações'!AU402="sim", 'Ações'!BE402="sim"), 1, 0)
</f>
        <v>0</v>
      </c>
      <c r="T394" s="319">
        <f>IF(AND('Ações'!AU402="sim", 'Ações'!BG402="sim"), 1, 0)
</f>
        <v>0</v>
      </c>
      <c r="U394" s="319">
        <f>IF(AND('Ações'!AU402="sim", 'Ações'!BH402="sim"), 1, 0)
</f>
        <v>0</v>
      </c>
      <c r="V394" s="319">
        <f>IF(AND('Ações'!AU402="sim", 'Ações'!BI402="sim"), 1, 0)
</f>
        <v>1</v>
      </c>
      <c r="W394" s="319">
        <f>IF(AND('Ações'!AV402="sim", 'Ações'!BD402="sim"), 1, 0)
</f>
        <v>0</v>
      </c>
      <c r="X394" s="319">
        <f>IF(AND('Ações'!AV402="sim", 'Ações'!BE402="sim"), 1, 0)
</f>
        <v>0</v>
      </c>
      <c r="Y394" s="319">
        <f>IF(AND('Ações'!AV402="sim", 'Ações'!BF402="sim"), 1, 0)
</f>
        <v>0</v>
      </c>
      <c r="Z394" s="319">
        <f>IF(AND('Ações'!AV402="sim", 'Ações'!BH402="sim"), 1, 0)
</f>
        <v>0</v>
      </c>
      <c r="AA394" s="319">
        <f>IF(AND('Ações'!AV402="sim", 'Ações'!BI402="sim"), 1, 0)
</f>
        <v>1</v>
      </c>
      <c r="AB394" s="319">
        <f>IF(AND('Ações'!AW402="sim", 'Ações'!BD402="sim"), 1, 0)
</f>
        <v>0</v>
      </c>
      <c r="AC394" s="319">
        <f>IF(AND('Ações'!AW402="sim", 'Ações'!BE402="sim"), 1, 0)
</f>
        <v>0</v>
      </c>
      <c r="AD394" s="319">
        <f>IF(AND('Ações'!AW402="sim", 'Ações'!BF402="sim"), 1, 0)
</f>
        <v>0</v>
      </c>
      <c r="AE394" s="319">
        <f>IF(AND('Ações'!AW402="sim", 'Ações'!BG402="sim"), 1, 0)
</f>
        <v>0</v>
      </c>
      <c r="AF394" s="319">
        <f>IF(AND('Ações'!AW402="sim", 'Ações'!BI402="sim"), 1, 0)
</f>
        <v>1</v>
      </c>
      <c r="AG394" s="319">
        <f>IF(AND('Ações'!AX402="sim", 'Ações'!BD402="sim"), 1, 0)
</f>
        <v>0</v>
      </c>
      <c r="AH394" s="319">
        <f>IF(AND('Ações'!AX402="sim", 'Ações'!BE402="sim"), 1, 0)
</f>
        <v>0</v>
      </c>
      <c r="AI394" s="319">
        <f>IF(AND('Ações'!AX402="sim", 'Ações'!BF402="sim"), 1, 0)
</f>
        <v>0</v>
      </c>
      <c r="AJ394" s="319">
        <f>IF(AND('Ações'!AX402="sim", 'Ações'!BG402="sim"), 1, 0)
</f>
        <v>0</v>
      </c>
      <c r="AK394" s="319">
        <f>IF(AND('Ações'!AX402="sim", 'Ações'!BH402="sim"), 1, 0)
</f>
        <v>0</v>
      </c>
    </row>
    <row r="395">
      <c r="B395" s="319">
        <f>IF(AND('Ações'!AS403="sim", 'Ações'!BD403="sim"), 1, 0)
</f>
        <v>0</v>
      </c>
      <c r="C395" s="319">
        <f>IF(AND('Ações'!AT403="sim", 'Ações'!BE403="sim"), 1, 0)
</f>
        <v>0</v>
      </c>
      <c r="D395" s="319">
        <f>IF(AND('Ações'!AU403="sim", 'Ações'!BF403="sim"), 1, 0)
</f>
        <v>0</v>
      </c>
      <c r="E395" s="319">
        <f>IF(AND('Ações'!AV403="sim", 'Ações'!BG403="sim"), 1, 0)
</f>
        <v>0</v>
      </c>
      <c r="F395" s="319">
        <f>IF(AND('Ações'!AW403="sim", 'Ações'!BH403="sim"), 1, 0)
</f>
        <v>0</v>
      </c>
      <c r="G395" s="319">
        <f>IF(AND('Ações'!AX403="sim", 'Ações'!BI403="sim"), 1, 0)
</f>
        <v>0</v>
      </c>
      <c r="H395" s="319">
        <f>IF(AND('Ações'!AS403="sim", 'Ações'!BE403="sim"), 1, 0)
</f>
        <v>0</v>
      </c>
      <c r="I395" s="319">
        <f>IF(AND('Ações'!AS403="sim", 'Ações'!BF403="sim"), 1, 0)
</f>
        <v>0</v>
      </c>
      <c r="J395" s="319">
        <f>IF(AND('Ações'!AS403="sim", 'Ações'!BG403="sim"), 1, 0)
</f>
        <v>0</v>
      </c>
      <c r="K395" s="319">
        <f>IF(AND('Ações'!AS403="sim", 'Ações'!BH403="sim"), 1, 0)
</f>
        <v>0</v>
      </c>
      <c r="L395" s="319">
        <f>IF(AND('Ações'!AS403="sim", 'Ações'!BI403="sim"), 1, 0)
</f>
        <v>0</v>
      </c>
      <c r="M395" s="319">
        <f>IF(AND('Ações'!AT403="sim", 'Ações'!BD403="sim"), 1, 0)
</f>
        <v>0</v>
      </c>
      <c r="N395" s="319">
        <f>IF(AND('Ações'!AT403="sim", 'Ações'!BF403="sim"), 1, 0)
</f>
        <v>0</v>
      </c>
      <c r="O395" s="319">
        <f>IF(AND('Ações'!AT403="sim", 'Ações'!BG403="sim"), 1, 0)
</f>
        <v>0</v>
      </c>
      <c r="P395" s="319">
        <f>IF(AND('Ações'!AT403="sim", 'Ações'!BH403="sim"), 1, 0)
</f>
        <v>0</v>
      </c>
      <c r="Q395" s="319">
        <f>IF(AND('Ações'!AT403="sim", 'Ações'!BI403="sim"), 1, 0)
</f>
        <v>1</v>
      </c>
      <c r="R395" s="319">
        <f>IF(AND('Ações'!AU403="sim", 'Ações'!BD403="sim"), 1, 0)
</f>
        <v>0</v>
      </c>
      <c r="S395" s="319">
        <f>IF(AND('Ações'!AU403="sim", 'Ações'!BE403="sim"), 1, 0)
</f>
        <v>0</v>
      </c>
      <c r="T395" s="319">
        <f>IF(AND('Ações'!AU403="sim", 'Ações'!BG403="sim"), 1, 0)
</f>
        <v>0</v>
      </c>
      <c r="U395" s="319">
        <f>IF(AND('Ações'!AU403="sim", 'Ações'!BH403="sim"), 1, 0)
</f>
        <v>0</v>
      </c>
      <c r="V395" s="319">
        <f>IF(AND('Ações'!AU403="sim", 'Ações'!BI403="sim"), 1, 0)
</f>
        <v>1</v>
      </c>
      <c r="W395" s="319">
        <f>IF(AND('Ações'!AV403="sim", 'Ações'!BD403="sim"), 1, 0)
</f>
        <v>0</v>
      </c>
      <c r="X395" s="319">
        <f>IF(AND('Ações'!AV403="sim", 'Ações'!BE403="sim"), 1, 0)
</f>
        <v>0</v>
      </c>
      <c r="Y395" s="319">
        <f>IF(AND('Ações'!AV403="sim", 'Ações'!BF403="sim"), 1, 0)
</f>
        <v>0</v>
      </c>
      <c r="Z395" s="319">
        <f>IF(AND('Ações'!AV403="sim", 'Ações'!BH403="sim"), 1, 0)
</f>
        <v>0</v>
      </c>
      <c r="AA395" s="319">
        <f>IF(AND('Ações'!AV403="sim", 'Ações'!BI403="sim"), 1, 0)
</f>
        <v>1</v>
      </c>
      <c r="AB395" s="319">
        <f>IF(AND('Ações'!AW403="sim", 'Ações'!BD403="sim"), 1, 0)
</f>
        <v>0</v>
      </c>
      <c r="AC395" s="319">
        <f>IF(AND('Ações'!AW403="sim", 'Ações'!BE403="sim"), 1, 0)
</f>
        <v>0</v>
      </c>
      <c r="AD395" s="319">
        <f>IF(AND('Ações'!AW403="sim", 'Ações'!BF403="sim"), 1, 0)
</f>
        <v>0</v>
      </c>
      <c r="AE395" s="319">
        <f>IF(AND('Ações'!AW403="sim", 'Ações'!BG403="sim"), 1, 0)
</f>
        <v>0</v>
      </c>
      <c r="AF395" s="319">
        <f>IF(AND('Ações'!AW403="sim", 'Ações'!BI403="sim"), 1, 0)
</f>
        <v>1</v>
      </c>
      <c r="AG395" s="319">
        <f>IF(AND('Ações'!AX403="sim", 'Ações'!BD403="sim"), 1, 0)
</f>
        <v>0</v>
      </c>
      <c r="AH395" s="319">
        <f>IF(AND('Ações'!AX403="sim", 'Ações'!BE403="sim"), 1, 0)
</f>
        <v>0</v>
      </c>
      <c r="AI395" s="319">
        <f>IF(AND('Ações'!AX403="sim", 'Ações'!BF403="sim"), 1, 0)
</f>
        <v>0</v>
      </c>
      <c r="AJ395" s="319">
        <f>IF(AND('Ações'!AX403="sim", 'Ações'!BG403="sim"), 1, 0)
</f>
        <v>0</v>
      </c>
      <c r="AK395" s="319">
        <f>IF(AND('Ações'!AX403="sim", 'Ações'!BH403="sim"), 1, 0)
</f>
        <v>0</v>
      </c>
    </row>
    <row r="396">
      <c r="B396" s="319">
        <f>IF(AND('Ações'!AS404="sim", 'Ações'!BD404="sim"), 1, 0)
</f>
        <v>0</v>
      </c>
      <c r="C396" s="319">
        <f>IF(AND('Ações'!AT404="sim", 'Ações'!BE404="sim"), 1, 0)
</f>
        <v>0</v>
      </c>
      <c r="D396" s="319">
        <f>IF(AND('Ações'!AU404="sim", 'Ações'!BF404="sim"), 1, 0)
</f>
        <v>0</v>
      </c>
      <c r="E396" s="319">
        <f>IF(AND('Ações'!AV404="sim", 'Ações'!BG404="sim"), 1, 0)
</f>
        <v>0</v>
      </c>
      <c r="F396" s="319">
        <f>IF(AND('Ações'!AW404="sim", 'Ações'!BH404="sim"), 1, 0)
</f>
        <v>0</v>
      </c>
      <c r="G396" s="319">
        <f>IF(AND('Ações'!AX404="sim", 'Ações'!BI404="sim"), 1, 0)
</f>
        <v>0</v>
      </c>
      <c r="H396" s="319">
        <f>IF(AND('Ações'!AS404="sim", 'Ações'!BE404="sim"), 1, 0)
</f>
        <v>0</v>
      </c>
      <c r="I396" s="319">
        <f>IF(AND('Ações'!AS404="sim", 'Ações'!BF404="sim"), 1, 0)
</f>
        <v>0</v>
      </c>
      <c r="J396" s="319">
        <f>IF(AND('Ações'!AS404="sim", 'Ações'!BG404="sim"), 1, 0)
</f>
        <v>0</v>
      </c>
      <c r="K396" s="319">
        <f>IF(AND('Ações'!AS404="sim", 'Ações'!BH404="sim"), 1, 0)
</f>
        <v>0</v>
      </c>
      <c r="L396" s="319">
        <f>IF(AND('Ações'!AS404="sim", 'Ações'!BI404="sim"), 1, 0)
</f>
        <v>0</v>
      </c>
      <c r="M396" s="319">
        <f>IF(AND('Ações'!AT404="sim", 'Ações'!BD404="sim"), 1, 0)
</f>
        <v>0</v>
      </c>
      <c r="N396" s="319">
        <f>IF(AND('Ações'!AT404="sim", 'Ações'!BF404="sim"), 1, 0)
</f>
        <v>0</v>
      </c>
      <c r="O396" s="319">
        <f>IF(AND('Ações'!AT404="sim", 'Ações'!BG404="sim"), 1, 0)
</f>
        <v>0</v>
      </c>
      <c r="P396" s="319">
        <f>IF(AND('Ações'!AT404="sim", 'Ações'!BH404="sim"), 1, 0)
</f>
        <v>0</v>
      </c>
      <c r="Q396" s="319">
        <f>IF(AND('Ações'!AT404="sim", 'Ações'!BI404="sim"), 1, 0)
</f>
        <v>1</v>
      </c>
      <c r="R396" s="319">
        <f>IF(AND('Ações'!AU404="sim", 'Ações'!BD404="sim"), 1, 0)
</f>
        <v>0</v>
      </c>
      <c r="S396" s="319">
        <f>IF(AND('Ações'!AU404="sim", 'Ações'!BE404="sim"), 1, 0)
</f>
        <v>0</v>
      </c>
      <c r="T396" s="319">
        <f>IF(AND('Ações'!AU404="sim", 'Ações'!BG404="sim"), 1, 0)
</f>
        <v>0</v>
      </c>
      <c r="U396" s="319">
        <f>IF(AND('Ações'!AU404="sim", 'Ações'!BH404="sim"), 1, 0)
</f>
        <v>0</v>
      </c>
      <c r="V396" s="319">
        <f>IF(AND('Ações'!AU404="sim", 'Ações'!BI404="sim"), 1, 0)
</f>
        <v>1</v>
      </c>
      <c r="W396" s="319">
        <f>IF(AND('Ações'!AV404="sim", 'Ações'!BD404="sim"), 1, 0)
</f>
        <v>0</v>
      </c>
      <c r="X396" s="319">
        <f>IF(AND('Ações'!AV404="sim", 'Ações'!BE404="sim"), 1, 0)
</f>
        <v>0</v>
      </c>
      <c r="Y396" s="319">
        <f>IF(AND('Ações'!AV404="sim", 'Ações'!BF404="sim"), 1, 0)
</f>
        <v>0</v>
      </c>
      <c r="Z396" s="319">
        <f>IF(AND('Ações'!AV404="sim", 'Ações'!BH404="sim"), 1, 0)
</f>
        <v>0</v>
      </c>
      <c r="AA396" s="319">
        <f>IF(AND('Ações'!AV404="sim", 'Ações'!BI404="sim"), 1, 0)
</f>
        <v>1</v>
      </c>
      <c r="AB396" s="319">
        <f>IF(AND('Ações'!AW404="sim", 'Ações'!BD404="sim"), 1, 0)
</f>
        <v>0</v>
      </c>
      <c r="AC396" s="319">
        <f>IF(AND('Ações'!AW404="sim", 'Ações'!BE404="sim"), 1, 0)
</f>
        <v>0</v>
      </c>
      <c r="AD396" s="319">
        <f>IF(AND('Ações'!AW404="sim", 'Ações'!BF404="sim"), 1, 0)
</f>
        <v>0</v>
      </c>
      <c r="AE396" s="319">
        <f>IF(AND('Ações'!AW404="sim", 'Ações'!BG404="sim"), 1, 0)
</f>
        <v>0</v>
      </c>
      <c r="AF396" s="319">
        <f>IF(AND('Ações'!AW404="sim", 'Ações'!BI404="sim"), 1, 0)
</f>
        <v>1</v>
      </c>
      <c r="AG396" s="319">
        <f>IF(AND('Ações'!AX404="sim", 'Ações'!BD404="sim"), 1, 0)
</f>
        <v>0</v>
      </c>
      <c r="AH396" s="319">
        <f>IF(AND('Ações'!AX404="sim", 'Ações'!BE404="sim"), 1, 0)
</f>
        <v>0</v>
      </c>
      <c r="AI396" s="319">
        <f>IF(AND('Ações'!AX404="sim", 'Ações'!BF404="sim"), 1, 0)
</f>
        <v>0</v>
      </c>
      <c r="AJ396" s="319">
        <f>IF(AND('Ações'!AX404="sim", 'Ações'!BG404="sim"), 1, 0)
</f>
        <v>0</v>
      </c>
      <c r="AK396" s="319">
        <f>IF(AND('Ações'!AX404="sim", 'Ações'!BH404="sim"), 1, 0)
</f>
        <v>0</v>
      </c>
    </row>
    <row r="397">
      <c r="B397" s="319">
        <f>IF(AND('Ações'!AS405="sim", 'Ações'!BD405="sim"), 1, 0)
</f>
        <v>0</v>
      </c>
      <c r="C397" s="319">
        <f>IF(AND('Ações'!AT405="sim", 'Ações'!BE405="sim"), 1, 0)
</f>
        <v>0</v>
      </c>
      <c r="D397" s="319">
        <f>IF(AND('Ações'!AU405="sim", 'Ações'!BF405="sim"), 1, 0)
</f>
        <v>0</v>
      </c>
      <c r="E397" s="319">
        <f>IF(AND('Ações'!AV405="sim", 'Ações'!BG405="sim"), 1, 0)
</f>
        <v>0</v>
      </c>
      <c r="F397" s="319">
        <f>IF(AND('Ações'!AW405="sim", 'Ações'!BH405="sim"), 1, 0)
</f>
        <v>0</v>
      </c>
      <c r="G397" s="319">
        <f>IF(AND('Ações'!AX405="sim", 'Ações'!BI405="sim"), 1, 0)
</f>
        <v>0</v>
      </c>
      <c r="H397" s="319">
        <f>IF(AND('Ações'!AS405="sim", 'Ações'!BE405="sim"), 1, 0)
</f>
        <v>0</v>
      </c>
      <c r="I397" s="319">
        <f>IF(AND('Ações'!AS405="sim", 'Ações'!BF405="sim"), 1, 0)
</f>
        <v>0</v>
      </c>
      <c r="J397" s="319">
        <f>IF(AND('Ações'!AS405="sim", 'Ações'!BG405="sim"), 1, 0)
</f>
        <v>0</v>
      </c>
      <c r="K397" s="319">
        <f>IF(AND('Ações'!AS405="sim", 'Ações'!BH405="sim"), 1, 0)
</f>
        <v>0</v>
      </c>
      <c r="L397" s="319">
        <f>IF(AND('Ações'!AS405="sim", 'Ações'!BI405="sim"), 1, 0)
</f>
        <v>0</v>
      </c>
      <c r="M397" s="319">
        <f>IF(AND('Ações'!AT405="sim", 'Ações'!BD405="sim"), 1, 0)
</f>
        <v>0</v>
      </c>
      <c r="N397" s="319">
        <f>IF(AND('Ações'!AT405="sim", 'Ações'!BF405="sim"), 1, 0)
</f>
        <v>0</v>
      </c>
      <c r="O397" s="319">
        <f>IF(AND('Ações'!AT405="sim", 'Ações'!BG405="sim"), 1, 0)
</f>
        <v>0</v>
      </c>
      <c r="P397" s="319">
        <f>IF(AND('Ações'!AT405="sim", 'Ações'!BH405="sim"), 1, 0)
</f>
        <v>0</v>
      </c>
      <c r="Q397" s="319">
        <f>IF(AND('Ações'!AT405="sim", 'Ações'!BI405="sim"), 1, 0)
</f>
        <v>1</v>
      </c>
      <c r="R397" s="319">
        <f>IF(AND('Ações'!AU405="sim", 'Ações'!BD405="sim"), 1, 0)
</f>
        <v>0</v>
      </c>
      <c r="S397" s="319">
        <f>IF(AND('Ações'!AU405="sim", 'Ações'!BE405="sim"), 1, 0)
</f>
        <v>0</v>
      </c>
      <c r="T397" s="319">
        <f>IF(AND('Ações'!AU405="sim", 'Ações'!BG405="sim"), 1, 0)
</f>
        <v>0</v>
      </c>
      <c r="U397" s="319">
        <f>IF(AND('Ações'!AU405="sim", 'Ações'!BH405="sim"), 1, 0)
</f>
        <v>0</v>
      </c>
      <c r="V397" s="319">
        <f>IF(AND('Ações'!AU405="sim", 'Ações'!BI405="sim"), 1, 0)
</f>
        <v>1</v>
      </c>
      <c r="W397" s="319">
        <f>IF(AND('Ações'!AV405="sim", 'Ações'!BD405="sim"), 1, 0)
</f>
        <v>0</v>
      </c>
      <c r="X397" s="319">
        <f>IF(AND('Ações'!AV405="sim", 'Ações'!BE405="sim"), 1, 0)
</f>
        <v>0</v>
      </c>
      <c r="Y397" s="319">
        <f>IF(AND('Ações'!AV405="sim", 'Ações'!BF405="sim"), 1, 0)
</f>
        <v>0</v>
      </c>
      <c r="Z397" s="319">
        <f>IF(AND('Ações'!AV405="sim", 'Ações'!BH405="sim"), 1, 0)
</f>
        <v>0</v>
      </c>
      <c r="AA397" s="319">
        <f>IF(AND('Ações'!AV405="sim", 'Ações'!BI405="sim"), 1, 0)
</f>
        <v>1</v>
      </c>
      <c r="AB397" s="319">
        <f>IF(AND('Ações'!AW405="sim", 'Ações'!BD405="sim"), 1, 0)
</f>
        <v>0</v>
      </c>
      <c r="AC397" s="319">
        <f>IF(AND('Ações'!AW405="sim", 'Ações'!BE405="sim"), 1, 0)
</f>
        <v>0</v>
      </c>
      <c r="AD397" s="319">
        <f>IF(AND('Ações'!AW405="sim", 'Ações'!BF405="sim"), 1, 0)
</f>
        <v>0</v>
      </c>
      <c r="AE397" s="319">
        <f>IF(AND('Ações'!AW405="sim", 'Ações'!BG405="sim"), 1, 0)
</f>
        <v>0</v>
      </c>
      <c r="AF397" s="319">
        <f>IF(AND('Ações'!AW405="sim", 'Ações'!BI405="sim"), 1, 0)
</f>
        <v>1</v>
      </c>
      <c r="AG397" s="319">
        <f>IF(AND('Ações'!AX405="sim", 'Ações'!BD405="sim"), 1, 0)
</f>
        <v>0</v>
      </c>
      <c r="AH397" s="319">
        <f>IF(AND('Ações'!AX405="sim", 'Ações'!BE405="sim"), 1, 0)
</f>
        <v>0</v>
      </c>
      <c r="AI397" s="319">
        <f>IF(AND('Ações'!AX405="sim", 'Ações'!BF405="sim"), 1, 0)
</f>
        <v>0</v>
      </c>
      <c r="AJ397" s="319">
        <f>IF(AND('Ações'!AX405="sim", 'Ações'!BG405="sim"), 1, 0)
</f>
        <v>0</v>
      </c>
      <c r="AK397" s="319">
        <f>IF(AND('Ações'!AX405="sim", 'Ações'!BH405="sim"), 1, 0)
</f>
        <v>0</v>
      </c>
    </row>
    <row r="398">
      <c r="B398" s="319">
        <f>IF(AND('Ações'!AS406="sim", 'Ações'!BD406="sim"), 1, 0)
</f>
        <v>0</v>
      </c>
      <c r="C398" s="319">
        <f>IF(AND('Ações'!AT406="sim", 'Ações'!BE406="sim"), 1, 0)
</f>
        <v>0</v>
      </c>
      <c r="D398" s="319">
        <f>IF(AND('Ações'!AU406="sim", 'Ações'!BF406="sim"), 1, 0)
</f>
        <v>0</v>
      </c>
      <c r="E398" s="319">
        <f>IF(AND('Ações'!AV406="sim", 'Ações'!BG406="sim"), 1, 0)
</f>
        <v>0</v>
      </c>
      <c r="F398" s="319">
        <f>IF(AND('Ações'!AW406="sim", 'Ações'!BH406="sim"), 1, 0)
</f>
        <v>0</v>
      </c>
      <c r="G398" s="319">
        <f>IF(AND('Ações'!AX406="sim", 'Ações'!BI406="sim"), 1, 0)
</f>
        <v>0</v>
      </c>
      <c r="H398" s="319">
        <f>IF(AND('Ações'!AS406="sim", 'Ações'!BE406="sim"), 1, 0)
</f>
        <v>0</v>
      </c>
      <c r="I398" s="319">
        <f>IF(AND('Ações'!AS406="sim", 'Ações'!BF406="sim"), 1, 0)
</f>
        <v>0</v>
      </c>
      <c r="J398" s="319">
        <f>IF(AND('Ações'!AS406="sim", 'Ações'!BG406="sim"), 1, 0)
</f>
        <v>0</v>
      </c>
      <c r="K398" s="319">
        <f>IF(AND('Ações'!AS406="sim", 'Ações'!BH406="sim"), 1, 0)
</f>
        <v>0</v>
      </c>
      <c r="L398" s="319">
        <f>IF(AND('Ações'!AS406="sim", 'Ações'!BI406="sim"), 1, 0)
</f>
        <v>0</v>
      </c>
      <c r="M398" s="319">
        <f>IF(AND('Ações'!AT406="sim", 'Ações'!BD406="sim"), 1, 0)
</f>
        <v>0</v>
      </c>
      <c r="N398" s="319">
        <f>IF(AND('Ações'!AT406="sim", 'Ações'!BF406="sim"), 1, 0)
</f>
        <v>0</v>
      </c>
      <c r="O398" s="319">
        <f>IF(AND('Ações'!AT406="sim", 'Ações'!BG406="sim"), 1, 0)
</f>
        <v>0</v>
      </c>
      <c r="P398" s="319">
        <f>IF(AND('Ações'!AT406="sim", 'Ações'!BH406="sim"), 1, 0)
</f>
        <v>0</v>
      </c>
      <c r="Q398" s="319">
        <f>IF(AND('Ações'!AT406="sim", 'Ações'!BI406="sim"), 1, 0)
</f>
        <v>1</v>
      </c>
      <c r="R398" s="319">
        <f>IF(AND('Ações'!AU406="sim", 'Ações'!BD406="sim"), 1, 0)
</f>
        <v>0</v>
      </c>
      <c r="S398" s="319">
        <f>IF(AND('Ações'!AU406="sim", 'Ações'!BE406="sim"), 1, 0)
</f>
        <v>0</v>
      </c>
      <c r="T398" s="319">
        <f>IF(AND('Ações'!AU406="sim", 'Ações'!BG406="sim"), 1, 0)
</f>
        <v>0</v>
      </c>
      <c r="U398" s="319">
        <f>IF(AND('Ações'!AU406="sim", 'Ações'!BH406="sim"), 1, 0)
</f>
        <v>0</v>
      </c>
      <c r="V398" s="319">
        <f>IF(AND('Ações'!AU406="sim", 'Ações'!BI406="sim"), 1, 0)
</f>
        <v>1</v>
      </c>
      <c r="W398" s="319">
        <f>IF(AND('Ações'!AV406="sim", 'Ações'!BD406="sim"), 1, 0)
</f>
        <v>0</v>
      </c>
      <c r="X398" s="319">
        <f>IF(AND('Ações'!AV406="sim", 'Ações'!BE406="sim"), 1, 0)
</f>
        <v>0</v>
      </c>
      <c r="Y398" s="319">
        <f>IF(AND('Ações'!AV406="sim", 'Ações'!BF406="sim"), 1, 0)
</f>
        <v>0</v>
      </c>
      <c r="Z398" s="319">
        <f>IF(AND('Ações'!AV406="sim", 'Ações'!BH406="sim"), 1, 0)
</f>
        <v>0</v>
      </c>
      <c r="AA398" s="319">
        <f>IF(AND('Ações'!AV406="sim", 'Ações'!BI406="sim"), 1, 0)
</f>
        <v>1</v>
      </c>
      <c r="AB398" s="319">
        <f>IF(AND('Ações'!AW406="sim", 'Ações'!BD406="sim"), 1, 0)
</f>
        <v>0</v>
      </c>
      <c r="AC398" s="319">
        <f>IF(AND('Ações'!AW406="sim", 'Ações'!BE406="sim"), 1, 0)
</f>
        <v>0</v>
      </c>
      <c r="AD398" s="319">
        <f>IF(AND('Ações'!AW406="sim", 'Ações'!BF406="sim"), 1, 0)
</f>
        <v>0</v>
      </c>
      <c r="AE398" s="319">
        <f>IF(AND('Ações'!AW406="sim", 'Ações'!BG406="sim"), 1, 0)
</f>
        <v>0</v>
      </c>
      <c r="AF398" s="319">
        <f>IF(AND('Ações'!AW406="sim", 'Ações'!BI406="sim"), 1, 0)
</f>
        <v>1</v>
      </c>
      <c r="AG398" s="319">
        <f>IF(AND('Ações'!AX406="sim", 'Ações'!BD406="sim"), 1, 0)
</f>
        <v>0</v>
      </c>
      <c r="AH398" s="319">
        <f>IF(AND('Ações'!AX406="sim", 'Ações'!BE406="sim"), 1, 0)
</f>
        <v>0</v>
      </c>
      <c r="AI398" s="319">
        <f>IF(AND('Ações'!AX406="sim", 'Ações'!BF406="sim"), 1, 0)
</f>
        <v>0</v>
      </c>
      <c r="AJ398" s="319">
        <f>IF(AND('Ações'!AX406="sim", 'Ações'!BG406="sim"), 1, 0)
</f>
        <v>0</v>
      </c>
      <c r="AK398" s="319">
        <f>IF(AND('Ações'!AX406="sim", 'Ações'!BH406="sim"), 1, 0)
</f>
        <v>0</v>
      </c>
    </row>
    <row r="399">
      <c r="B399" s="319">
        <f>IF(AND('Ações'!AS407="sim", 'Ações'!BD407="sim"), 1, 0)
</f>
        <v>0</v>
      </c>
      <c r="C399" s="319">
        <f>IF(AND('Ações'!AT407="sim", 'Ações'!BE407="sim"), 1, 0)
</f>
        <v>0</v>
      </c>
      <c r="D399" s="319">
        <f>IF(AND('Ações'!AU407="sim", 'Ações'!BF407="sim"), 1, 0)
</f>
        <v>0</v>
      </c>
      <c r="E399" s="319">
        <f>IF(AND('Ações'!AV407="sim", 'Ações'!BG407="sim"), 1, 0)
</f>
        <v>0</v>
      </c>
      <c r="F399" s="319">
        <f>IF(AND('Ações'!AW407="sim", 'Ações'!BH407="sim"), 1, 0)
</f>
        <v>0</v>
      </c>
      <c r="G399" s="319">
        <f>IF(AND('Ações'!AX407="sim", 'Ações'!BI407="sim"), 1, 0)
</f>
        <v>0</v>
      </c>
      <c r="H399" s="319">
        <f>IF(AND('Ações'!AS407="sim", 'Ações'!BE407="sim"), 1, 0)
</f>
        <v>0</v>
      </c>
      <c r="I399" s="319">
        <f>IF(AND('Ações'!AS407="sim", 'Ações'!BF407="sim"), 1, 0)
</f>
        <v>0</v>
      </c>
      <c r="J399" s="319">
        <f>IF(AND('Ações'!AS407="sim", 'Ações'!BG407="sim"), 1, 0)
</f>
        <v>0</v>
      </c>
      <c r="K399" s="319">
        <f>IF(AND('Ações'!AS407="sim", 'Ações'!BH407="sim"), 1, 0)
</f>
        <v>0</v>
      </c>
      <c r="L399" s="319">
        <f>IF(AND('Ações'!AS407="sim", 'Ações'!BI407="sim"), 1, 0)
</f>
        <v>0</v>
      </c>
      <c r="M399" s="319">
        <f>IF(AND('Ações'!AT407="sim", 'Ações'!BD407="sim"), 1, 0)
</f>
        <v>0</v>
      </c>
      <c r="N399" s="319">
        <f>IF(AND('Ações'!AT407="sim", 'Ações'!BF407="sim"), 1, 0)
</f>
        <v>0</v>
      </c>
      <c r="O399" s="319">
        <f>IF(AND('Ações'!AT407="sim", 'Ações'!BG407="sim"), 1, 0)
</f>
        <v>0</v>
      </c>
      <c r="P399" s="319">
        <f>IF(AND('Ações'!AT407="sim", 'Ações'!BH407="sim"), 1, 0)
</f>
        <v>0</v>
      </c>
      <c r="Q399" s="319">
        <f>IF(AND('Ações'!AT407="sim", 'Ações'!BI407="sim"), 1, 0)
</f>
        <v>1</v>
      </c>
      <c r="R399" s="319">
        <f>IF(AND('Ações'!AU407="sim", 'Ações'!BD407="sim"), 1, 0)
</f>
        <v>0</v>
      </c>
      <c r="S399" s="319">
        <f>IF(AND('Ações'!AU407="sim", 'Ações'!BE407="sim"), 1, 0)
</f>
        <v>0</v>
      </c>
      <c r="T399" s="319">
        <f>IF(AND('Ações'!AU407="sim", 'Ações'!BG407="sim"), 1, 0)
</f>
        <v>0</v>
      </c>
      <c r="U399" s="319">
        <f>IF(AND('Ações'!AU407="sim", 'Ações'!BH407="sim"), 1, 0)
</f>
        <v>0</v>
      </c>
      <c r="V399" s="319">
        <f>IF(AND('Ações'!AU407="sim", 'Ações'!BI407="sim"), 1, 0)
</f>
        <v>1</v>
      </c>
      <c r="W399" s="319">
        <f>IF(AND('Ações'!AV407="sim", 'Ações'!BD407="sim"), 1, 0)
</f>
        <v>0</v>
      </c>
      <c r="X399" s="319">
        <f>IF(AND('Ações'!AV407="sim", 'Ações'!BE407="sim"), 1, 0)
</f>
        <v>0</v>
      </c>
      <c r="Y399" s="319">
        <f>IF(AND('Ações'!AV407="sim", 'Ações'!BF407="sim"), 1, 0)
</f>
        <v>0</v>
      </c>
      <c r="Z399" s="319">
        <f>IF(AND('Ações'!AV407="sim", 'Ações'!BH407="sim"), 1, 0)
</f>
        <v>0</v>
      </c>
      <c r="AA399" s="319">
        <f>IF(AND('Ações'!AV407="sim", 'Ações'!BI407="sim"), 1, 0)
</f>
        <v>1</v>
      </c>
      <c r="AB399" s="319">
        <f>IF(AND('Ações'!AW407="sim", 'Ações'!BD407="sim"), 1, 0)
</f>
        <v>0</v>
      </c>
      <c r="AC399" s="319">
        <f>IF(AND('Ações'!AW407="sim", 'Ações'!BE407="sim"), 1, 0)
</f>
        <v>0</v>
      </c>
      <c r="AD399" s="319">
        <f>IF(AND('Ações'!AW407="sim", 'Ações'!BF407="sim"), 1, 0)
</f>
        <v>0</v>
      </c>
      <c r="AE399" s="319">
        <f>IF(AND('Ações'!AW407="sim", 'Ações'!BG407="sim"), 1, 0)
</f>
        <v>0</v>
      </c>
      <c r="AF399" s="319">
        <f>IF(AND('Ações'!AW407="sim", 'Ações'!BI407="sim"), 1, 0)
</f>
        <v>1</v>
      </c>
      <c r="AG399" s="319">
        <f>IF(AND('Ações'!AX407="sim", 'Ações'!BD407="sim"), 1, 0)
</f>
        <v>0</v>
      </c>
      <c r="AH399" s="319">
        <f>IF(AND('Ações'!AX407="sim", 'Ações'!BE407="sim"), 1, 0)
</f>
        <v>0</v>
      </c>
      <c r="AI399" s="319">
        <f>IF(AND('Ações'!AX407="sim", 'Ações'!BF407="sim"), 1, 0)
</f>
        <v>0</v>
      </c>
      <c r="AJ399" s="319">
        <f>IF(AND('Ações'!AX407="sim", 'Ações'!BG407="sim"), 1, 0)
</f>
        <v>0</v>
      </c>
      <c r="AK399" s="319">
        <f>IF(AND('Ações'!AX407="sim", 'Ações'!BH407="sim"), 1, 0)
</f>
        <v>0</v>
      </c>
    </row>
    <row r="400">
      <c r="B400" s="319">
        <f>IF(AND('Ações'!AS408="sim", 'Ações'!BD408="sim"), 1, 0)
</f>
        <v>0</v>
      </c>
      <c r="C400" s="319">
        <f>IF(AND('Ações'!AT408="sim", 'Ações'!BE408="sim"), 1, 0)
</f>
        <v>0</v>
      </c>
      <c r="D400" s="319">
        <f>IF(AND('Ações'!AU408="sim", 'Ações'!BF408="sim"), 1, 0)
</f>
        <v>0</v>
      </c>
      <c r="E400" s="319">
        <f>IF(AND('Ações'!AV408="sim", 'Ações'!BG408="sim"), 1, 0)
</f>
        <v>0</v>
      </c>
      <c r="F400" s="319">
        <f>IF(AND('Ações'!AW408="sim", 'Ações'!BH408="sim"), 1, 0)
</f>
        <v>0</v>
      </c>
      <c r="G400" s="319">
        <f>IF(AND('Ações'!AX408="sim", 'Ações'!BI408="sim"), 1, 0)
</f>
        <v>0</v>
      </c>
      <c r="H400" s="319">
        <f>IF(AND('Ações'!AS408="sim", 'Ações'!BE408="sim"), 1, 0)
</f>
        <v>0</v>
      </c>
      <c r="I400" s="319">
        <f>IF(AND('Ações'!AS408="sim", 'Ações'!BF408="sim"), 1, 0)
</f>
        <v>0</v>
      </c>
      <c r="J400" s="319">
        <f>IF(AND('Ações'!AS408="sim", 'Ações'!BG408="sim"), 1, 0)
</f>
        <v>0</v>
      </c>
      <c r="K400" s="319">
        <f>IF(AND('Ações'!AS408="sim", 'Ações'!BH408="sim"), 1, 0)
</f>
        <v>0</v>
      </c>
      <c r="L400" s="319">
        <f>IF(AND('Ações'!AS408="sim", 'Ações'!BI408="sim"), 1, 0)
</f>
        <v>0</v>
      </c>
      <c r="M400" s="319">
        <f>IF(AND('Ações'!AT408="sim", 'Ações'!BD408="sim"), 1, 0)
</f>
        <v>0</v>
      </c>
      <c r="N400" s="319">
        <f>IF(AND('Ações'!AT408="sim", 'Ações'!BF408="sim"), 1, 0)
</f>
        <v>0</v>
      </c>
      <c r="O400" s="319">
        <f>IF(AND('Ações'!AT408="sim", 'Ações'!BG408="sim"), 1, 0)
</f>
        <v>0</v>
      </c>
      <c r="P400" s="319">
        <f>IF(AND('Ações'!AT408="sim", 'Ações'!BH408="sim"), 1, 0)
</f>
        <v>0</v>
      </c>
      <c r="Q400" s="319">
        <f>IF(AND('Ações'!AT408="sim", 'Ações'!BI408="sim"), 1, 0)
</f>
        <v>1</v>
      </c>
      <c r="R400" s="319">
        <f>IF(AND('Ações'!AU408="sim", 'Ações'!BD408="sim"), 1, 0)
</f>
        <v>0</v>
      </c>
      <c r="S400" s="319">
        <f>IF(AND('Ações'!AU408="sim", 'Ações'!BE408="sim"), 1, 0)
</f>
        <v>0</v>
      </c>
      <c r="T400" s="319">
        <f>IF(AND('Ações'!AU408="sim", 'Ações'!BG408="sim"), 1, 0)
</f>
        <v>0</v>
      </c>
      <c r="U400" s="319">
        <f>IF(AND('Ações'!AU408="sim", 'Ações'!BH408="sim"), 1, 0)
</f>
        <v>0</v>
      </c>
      <c r="V400" s="319">
        <f>IF(AND('Ações'!AU408="sim", 'Ações'!BI408="sim"), 1, 0)
</f>
        <v>1</v>
      </c>
      <c r="W400" s="319">
        <f>IF(AND('Ações'!AV408="sim", 'Ações'!BD408="sim"), 1, 0)
</f>
        <v>0</v>
      </c>
      <c r="X400" s="319">
        <f>IF(AND('Ações'!AV408="sim", 'Ações'!BE408="sim"), 1, 0)
</f>
        <v>0</v>
      </c>
      <c r="Y400" s="319">
        <f>IF(AND('Ações'!AV408="sim", 'Ações'!BF408="sim"), 1, 0)
</f>
        <v>0</v>
      </c>
      <c r="Z400" s="319">
        <f>IF(AND('Ações'!AV408="sim", 'Ações'!BH408="sim"), 1, 0)
</f>
        <v>0</v>
      </c>
      <c r="AA400" s="319">
        <f>IF(AND('Ações'!AV408="sim", 'Ações'!BI408="sim"), 1, 0)
</f>
        <v>1</v>
      </c>
      <c r="AB400" s="319">
        <f>IF(AND('Ações'!AW408="sim", 'Ações'!BD408="sim"), 1, 0)
</f>
        <v>0</v>
      </c>
      <c r="AC400" s="319">
        <f>IF(AND('Ações'!AW408="sim", 'Ações'!BE408="sim"), 1, 0)
</f>
        <v>0</v>
      </c>
      <c r="AD400" s="319">
        <f>IF(AND('Ações'!AW408="sim", 'Ações'!BF408="sim"), 1, 0)
</f>
        <v>0</v>
      </c>
      <c r="AE400" s="319">
        <f>IF(AND('Ações'!AW408="sim", 'Ações'!BG408="sim"), 1, 0)
</f>
        <v>0</v>
      </c>
      <c r="AF400" s="319">
        <f>IF(AND('Ações'!AW408="sim", 'Ações'!BI408="sim"), 1, 0)
</f>
        <v>1</v>
      </c>
      <c r="AG400" s="319">
        <f>IF(AND('Ações'!AX408="sim", 'Ações'!BD408="sim"), 1, 0)
</f>
        <v>0</v>
      </c>
      <c r="AH400" s="319">
        <f>IF(AND('Ações'!AX408="sim", 'Ações'!BE408="sim"), 1, 0)
</f>
        <v>0</v>
      </c>
      <c r="AI400" s="319">
        <f>IF(AND('Ações'!AX408="sim", 'Ações'!BF408="sim"), 1, 0)
</f>
        <v>0</v>
      </c>
      <c r="AJ400" s="319">
        <f>IF(AND('Ações'!AX408="sim", 'Ações'!BG408="sim"), 1, 0)
</f>
        <v>0</v>
      </c>
      <c r="AK400" s="319">
        <f>IF(AND('Ações'!AX408="sim", 'Ações'!BH408="sim"), 1, 0)
</f>
        <v>0</v>
      </c>
    </row>
    <row r="401">
      <c r="B401" s="319">
        <f>IF(AND('Ações'!AS409="sim", 'Ações'!BD409="sim"), 1, 0)
</f>
        <v>0</v>
      </c>
      <c r="C401" s="319">
        <f>IF(AND('Ações'!AT409="sim", 'Ações'!BE409="sim"), 1, 0)
</f>
        <v>0</v>
      </c>
      <c r="D401" s="319">
        <f>IF(AND('Ações'!AU409="sim", 'Ações'!BF409="sim"), 1, 0)
</f>
        <v>0</v>
      </c>
      <c r="E401" s="319">
        <f>IF(AND('Ações'!AV409="sim", 'Ações'!BG409="sim"), 1, 0)
</f>
        <v>0</v>
      </c>
      <c r="F401" s="319">
        <f>IF(AND('Ações'!AW409="sim", 'Ações'!BH409="sim"), 1, 0)
</f>
        <v>0</v>
      </c>
      <c r="G401" s="319">
        <f>IF(AND('Ações'!AX409="sim", 'Ações'!BI409="sim"), 1, 0)
</f>
        <v>0</v>
      </c>
      <c r="H401" s="319">
        <f>IF(AND('Ações'!AS409="sim", 'Ações'!BE409="sim"), 1, 0)
</f>
        <v>0</v>
      </c>
      <c r="I401" s="319">
        <f>IF(AND('Ações'!AS409="sim", 'Ações'!BF409="sim"), 1, 0)
</f>
        <v>0</v>
      </c>
      <c r="J401" s="319">
        <f>IF(AND('Ações'!AS409="sim", 'Ações'!BG409="sim"), 1, 0)
</f>
        <v>0</v>
      </c>
      <c r="K401" s="319">
        <f>IF(AND('Ações'!AS409="sim", 'Ações'!BH409="sim"), 1, 0)
</f>
        <v>0</v>
      </c>
      <c r="L401" s="319">
        <f>IF(AND('Ações'!AS409="sim", 'Ações'!BI409="sim"), 1, 0)
</f>
        <v>0</v>
      </c>
      <c r="M401" s="319">
        <f>IF(AND('Ações'!AT409="sim", 'Ações'!BD409="sim"), 1, 0)
</f>
        <v>0</v>
      </c>
      <c r="N401" s="319">
        <f>IF(AND('Ações'!AT409="sim", 'Ações'!BF409="sim"), 1, 0)
</f>
        <v>0</v>
      </c>
      <c r="O401" s="319">
        <f>IF(AND('Ações'!AT409="sim", 'Ações'!BG409="sim"), 1, 0)
</f>
        <v>0</v>
      </c>
      <c r="P401" s="319">
        <f>IF(AND('Ações'!AT409="sim", 'Ações'!BH409="sim"), 1, 0)
</f>
        <v>0</v>
      </c>
      <c r="Q401" s="319">
        <f>IF(AND('Ações'!AT409="sim", 'Ações'!BI409="sim"), 1, 0)
</f>
        <v>1</v>
      </c>
      <c r="R401" s="319">
        <f>IF(AND('Ações'!AU409="sim", 'Ações'!BD409="sim"), 1, 0)
</f>
        <v>0</v>
      </c>
      <c r="S401" s="319">
        <f>IF(AND('Ações'!AU409="sim", 'Ações'!BE409="sim"), 1, 0)
</f>
        <v>0</v>
      </c>
      <c r="T401" s="319">
        <f>IF(AND('Ações'!AU409="sim", 'Ações'!BG409="sim"), 1, 0)
</f>
        <v>0</v>
      </c>
      <c r="U401" s="319">
        <f>IF(AND('Ações'!AU409="sim", 'Ações'!BH409="sim"), 1, 0)
</f>
        <v>0</v>
      </c>
      <c r="V401" s="319">
        <f>IF(AND('Ações'!AU409="sim", 'Ações'!BI409="sim"), 1, 0)
</f>
        <v>1</v>
      </c>
      <c r="W401" s="319">
        <f>IF(AND('Ações'!AV409="sim", 'Ações'!BD409="sim"), 1, 0)
</f>
        <v>0</v>
      </c>
      <c r="X401" s="319">
        <f>IF(AND('Ações'!AV409="sim", 'Ações'!BE409="sim"), 1, 0)
</f>
        <v>0</v>
      </c>
      <c r="Y401" s="319">
        <f>IF(AND('Ações'!AV409="sim", 'Ações'!BF409="sim"), 1, 0)
</f>
        <v>0</v>
      </c>
      <c r="Z401" s="319">
        <f>IF(AND('Ações'!AV409="sim", 'Ações'!BH409="sim"), 1, 0)
</f>
        <v>0</v>
      </c>
      <c r="AA401" s="319">
        <f>IF(AND('Ações'!AV409="sim", 'Ações'!BI409="sim"), 1, 0)
</f>
        <v>1</v>
      </c>
      <c r="AB401" s="319">
        <f>IF(AND('Ações'!AW409="sim", 'Ações'!BD409="sim"), 1, 0)
</f>
        <v>0</v>
      </c>
      <c r="AC401" s="319">
        <f>IF(AND('Ações'!AW409="sim", 'Ações'!BE409="sim"), 1, 0)
</f>
        <v>0</v>
      </c>
      <c r="AD401" s="319">
        <f>IF(AND('Ações'!AW409="sim", 'Ações'!BF409="sim"), 1, 0)
</f>
        <v>0</v>
      </c>
      <c r="AE401" s="319">
        <f>IF(AND('Ações'!AW409="sim", 'Ações'!BG409="sim"), 1, 0)
</f>
        <v>0</v>
      </c>
      <c r="AF401" s="319">
        <f>IF(AND('Ações'!AW409="sim", 'Ações'!BI409="sim"), 1, 0)
</f>
        <v>1</v>
      </c>
      <c r="AG401" s="319">
        <f>IF(AND('Ações'!AX409="sim", 'Ações'!BD409="sim"), 1, 0)
</f>
        <v>0</v>
      </c>
      <c r="AH401" s="319">
        <f>IF(AND('Ações'!AX409="sim", 'Ações'!BE409="sim"), 1, 0)
</f>
        <v>0</v>
      </c>
      <c r="AI401" s="319">
        <f>IF(AND('Ações'!AX409="sim", 'Ações'!BF409="sim"), 1, 0)
</f>
        <v>0</v>
      </c>
      <c r="AJ401" s="319">
        <f>IF(AND('Ações'!AX409="sim", 'Ações'!BG409="sim"), 1, 0)
</f>
        <v>0</v>
      </c>
      <c r="AK401" s="319">
        <f>IF(AND('Ações'!AX409="sim", 'Ações'!BH409="sim"), 1, 0)
</f>
        <v>0</v>
      </c>
    </row>
    <row r="402">
      <c r="B402" s="319">
        <f>IF(AND('Ações'!AS410="sim", 'Ações'!BD410="sim"), 1, 0)
</f>
        <v>0</v>
      </c>
      <c r="C402" s="319">
        <f>IF(AND('Ações'!AT410="sim", 'Ações'!BE410="sim"), 1, 0)
</f>
        <v>0</v>
      </c>
      <c r="D402" s="319">
        <f>IF(AND('Ações'!AU410="sim", 'Ações'!BF410="sim"), 1, 0)
</f>
        <v>0</v>
      </c>
      <c r="E402" s="319">
        <f>IF(AND('Ações'!AV410="sim", 'Ações'!BG410="sim"), 1, 0)
</f>
        <v>0</v>
      </c>
      <c r="F402" s="319">
        <f>IF(AND('Ações'!AW410="sim", 'Ações'!BH410="sim"), 1, 0)
</f>
        <v>0</v>
      </c>
      <c r="G402" s="319">
        <f>IF(AND('Ações'!AX410="sim", 'Ações'!BI410="sim"), 1, 0)
</f>
        <v>0</v>
      </c>
      <c r="H402" s="319">
        <f>IF(AND('Ações'!AS410="sim", 'Ações'!BE410="sim"), 1, 0)
</f>
        <v>0</v>
      </c>
      <c r="I402" s="319">
        <f>IF(AND('Ações'!AS410="sim", 'Ações'!BF410="sim"), 1, 0)
</f>
        <v>0</v>
      </c>
      <c r="J402" s="319">
        <f>IF(AND('Ações'!AS410="sim", 'Ações'!BG410="sim"), 1, 0)
</f>
        <v>0</v>
      </c>
      <c r="K402" s="319">
        <f>IF(AND('Ações'!AS410="sim", 'Ações'!BH410="sim"), 1, 0)
</f>
        <v>0</v>
      </c>
      <c r="L402" s="319">
        <f>IF(AND('Ações'!AS410="sim", 'Ações'!BI410="sim"), 1, 0)
</f>
        <v>0</v>
      </c>
      <c r="M402" s="319">
        <f>IF(AND('Ações'!AT410="sim", 'Ações'!BD410="sim"), 1, 0)
</f>
        <v>0</v>
      </c>
      <c r="N402" s="319">
        <f>IF(AND('Ações'!AT410="sim", 'Ações'!BF410="sim"), 1, 0)
</f>
        <v>0</v>
      </c>
      <c r="O402" s="319">
        <f>IF(AND('Ações'!AT410="sim", 'Ações'!BG410="sim"), 1, 0)
</f>
        <v>0</v>
      </c>
      <c r="P402" s="319">
        <f>IF(AND('Ações'!AT410="sim", 'Ações'!BH410="sim"), 1, 0)
</f>
        <v>0</v>
      </c>
      <c r="Q402" s="319">
        <f>IF(AND('Ações'!AT410="sim", 'Ações'!BI410="sim"), 1, 0)
</f>
        <v>1</v>
      </c>
      <c r="R402" s="319">
        <f>IF(AND('Ações'!AU410="sim", 'Ações'!BD410="sim"), 1, 0)
</f>
        <v>0</v>
      </c>
      <c r="S402" s="319">
        <f>IF(AND('Ações'!AU410="sim", 'Ações'!BE410="sim"), 1, 0)
</f>
        <v>0</v>
      </c>
      <c r="T402" s="319">
        <f>IF(AND('Ações'!AU410="sim", 'Ações'!BG410="sim"), 1, 0)
</f>
        <v>0</v>
      </c>
      <c r="U402" s="319">
        <f>IF(AND('Ações'!AU410="sim", 'Ações'!BH410="sim"), 1, 0)
</f>
        <v>0</v>
      </c>
      <c r="V402" s="319">
        <f>IF(AND('Ações'!AU410="sim", 'Ações'!BI410="sim"), 1, 0)
</f>
        <v>1</v>
      </c>
      <c r="W402" s="319">
        <f>IF(AND('Ações'!AV410="sim", 'Ações'!BD410="sim"), 1, 0)
</f>
        <v>0</v>
      </c>
      <c r="X402" s="319">
        <f>IF(AND('Ações'!AV410="sim", 'Ações'!BE410="sim"), 1, 0)
</f>
        <v>0</v>
      </c>
      <c r="Y402" s="319">
        <f>IF(AND('Ações'!AV410="sim", 'Ações'!BF410="sim"), 1, 0)
</f>
        <v>0</v>
      </c>
      <c r="Z402" s="319">
        <f>IF(AND('Ações'!AV410="sim", 'Ações'!BH410="sim"), 1, 0)
</f>
        <v>0</v>
      </c>
      <c r="AA402" s="319">
        <f>IF(AND('Ações'!AV410="sim", 'Ações'!BI410="sim"), 1, 0)
</f>
        <v>1</v>
      </c>
      <c r="AB402" s="319">
        <f>IF(AND('Ações'!AW410="sim", 'Ações'!BD410="sim"), 1, 0)
</f>
        <v>0</v>
      </c>
      <c r="AC402" s="319">
        <f>IF(AND('Ações'!AW410="sim", 'Ações'!BE410="sim"), 1, 0)
</f>
        <v>0</v>
      </c>
      <c r="AD402" s="319">
        <f>IF(AND('Ações'!AW410="sim", 'Ações'!BF410="sim"), 1, 0)
</f>
        <v>0</v>
      </c>
      <c r="AE402" s="319">
        <f>IF(AND('Ações'!AW410="sim", 'Ações'!BG410="sim"), 1, 0)
</f>
        <v>0</v>
      </c>
      <c r="AF402" s="319">
        <f>IF(AND('Ações'!AW410="sim", 'Ações'!BI410="sim"), 1, 0)
</f>
        <v>1</v>
      </c>
      <c r="AG402" s="319">
        <f>IF(AND('Ações'!AX410="sim", 'Ações'!BD410="sim"), 1, 0)
</f>
        <v>0</v>
      </c>
      <c r="AH402" s="319">
        <f>IF(AND('Ações'!AX410="sim", 'Ações'!BE410="sim"), 1, 0)
</f>
        <v>0</v>
      </c>
      <c r="AI402" s="319">
        <f>IF(AND('Ações'!AX410="sim", 'Ações'!BF410="sim"), 1, 0)
</f>
        <v>0</v>
      </c>
      <c r="AJ402" s="319">
        <f>IF(AND('Ações'!AX410="sim", 'Ações'!BG410="sim"), 1, 0)
</f>
        <v>0</v>
      </c>
      <c r="AK402" s="319">
        <f>IF(AND('Ações'!AX410="sim", 'Ações'!BH410="sim"), 1, 0)
</f>
        <v>0</v>
      </c>
    </row>
    <row r="403">
      <c r="B403" s="319">
        <f>IF(AND('Ações'!AS411="sim", 'Ações'!BD411="sim"), 1, 0)
</f>
        <v>0</v>
      </c>
      <c r="C403" s="319">
        <f>IF(AND('Ações'!AT411="sim", 'Ações'!BE411="sim"), 1, 0)
</f>
        <v>0</v>
      </c>
      <c r="D403" s="319">
        <f>IF(AND('Ações'!AU411="sim", 'Ações'!BF411="sim"), 1, 0)
</f>
        <v>0</v>
      </c>
      <c r="E403" s="319">
        <f>IF(AND('Ações'!AV411="sim", 'Ações'!BG411="sim"), 1, 0)
</f>
        <v>0</v>
      </c>
      <c r="F403" s="319">
        <f>IF(AND('Ações'!AW411="sim", 'Ações'!BH411="sim"), 1, 0)
</f>
        <v>0</v>
      </c>
      <c r="G403" s="319">
        <f>IF(AND('Ações'!AX411="sim", 'Ações'!BI411="sim"), 1, 0)
</f>
        <v>0</v>
      </c>
      <c r="H403" s="319">
        <f>IF(AND('Ações'!AS411="sim", 'Ações'!BE411="sim"), 1, 0)
</f>
        <v>0</v>
      </c>
      <c r="I403" s="319">
        <f>IF(AND('Ações'!AS411="sim", 'Ações'!BF411="sim"), 1, 0)
</f>
        <v>0</v>
      </c>
      <c r="J403" s="319">
        <f>IF(AND('Ações'!AS411="sim", 'Ações'!BG411="sim"), 1, 0)
</f>
        <v>0</v>
      </c>
      <c r="K403" s="319">
        <f>IF(AND('Ações'!AS411="sim", 'Ações'!BH411="sim"), 1, 0)
</f>
        <v>0</v>
      </c>
      <c r="L403" s="319">
        <f>IF(AND('Ações'!AS411="sim", 'Ações'!BI411="sim"), 1, 0)
</f>
        <v>0</v>
      </c>
      <c r="M403" s="319">
        <f>IF(AND('Ações'!AT411="sim", 'Ações'!BD411="sim"), 1, 0)
</f>
        <v>0</v>
      </c>
      <c r="N403" s="319">
        <f>IF(AND('Ações'!AT411="sim", 'Ações'!BF411="sim"), 1, 0)
</f>
        <v>0</v>
      </c>
      <c r="O403" s="319">
        <f>IF(AND('Ações'!AT411="sim", 'Ações'!BG411="sim"), 1, 0)
</f>
        <v>0</v>
      </c>
      <c r="P403" s="319">
        <f>IF(AND('Ações'!AT411="sim", 'Ações'!BH411="sim"), 1, 0)
</f>
        <v>0</v>
      </c>
      <c r="Q403" s="319">
        <f>IF(AND('Ações'!AT411="sim", 'Ações'!BI411="sim"), 1, 0)
</f>
        <v>1</v>
      </c>
      <c r="R403" s="319">
        <f>IF(AND('Ações'!AU411="sim", 'Ações'!BD411="sim"), 1, 0)
</f>
        <v>0</v>
      </c>
      <c r="S403" s="319">
        <f>IF(AND('Ações'!AU411="sim", 'Ações'!BE411="sim"), 1, 0)
</f>
        <v>0</v>
      </c>
      <c r="T403" s="319">
        <f>IF(AND('Ações'!AU411="sim", 'Ações'!BG411="sim"), 1, 0)
</f>
        <v>0</v>
      </c>
      <c r="U403" s="319">
        <f>IF(AND('Ações'!AU411="sim", 'Ações'!BH411="sim"), 1, 0)
</f>
        <v>0</v>
      </c>
      <c r="V403" s="319">
        <f>IF(AND('Ações'!AU411="sim", 'Ações'!BI411="sim"), 1, 0)
</f>
        <v>1</v>
      </c>
      <c r="W403" s="319">
        <f>IF(AND('Ações'!AV411="sim", 'Ações'!BD411="sim"), 1, 0)
</f>
        <v>0</v>
      </c>
      <c r="X403" s="319">
        <f>IF(AND('Ações'!AV411="sim", 'Ações'!BE411="sim"), 1, 0)
</f>
        <v>0</v>
      </c>
      <c r="Y403" s="319">
        <f>IF(AND('Ações'!AV411="sim", 'Ações'!BF411="sim"), 1, 0)
</f>
        <v>0</v>
      </c>
      <c r="Z403" s="319">
        <f>IF(AND('Ações'!AV411="sim", 'Ações'!BH411="sim"), 1, 0)
</f>
        <v>0</v>
      </c>
      <c r="AA403" s="319">
        <f>IF(AND('Ações'!AV411="sim", 'Ações'!BI411="sim"), 1, 0)
</f>
        <v>1</v>
      </c>
      <c r="AB403" s="319">
        <f>IF(AND('Ações'!AW411="sim", 'Ações'!BD411="sim"), 1, 0)
</f>
        <v>0</v>
      </c>
      <c r="AC403" s="319">
        <f>IF(AND('Ações'!AW411="sim", 'Ações'!BE411="sim"), 1, 0)
</f>
        <v>0</v>
      </c>
      <c r="AD403" s="319">
        <f>IF(AND('Ações'!AW411="sim", 'Ações'!BF411="sim"), 1, 0)
</f>
        <v>0</v>
      </c>
      <c r="AE403" s="319">
        <f>IF(AND('Ações'!AW411="sim", 'Ações'!BG411="sim"), 1, 0)
</f>
        <v>0</v>
      </c>
      <c r="AF403" s="319">
        <f>IF(AND('Ações'!AW411="sim", 'Ações'!BI411="sim"), 1, 0)
</f>
        <v>1</v>
      </c>
      <c r="AG403" s="319">
        <f>IF(AND('Ações'!AX411="sim", 'Ações'!BD411="sim"), 1, 0)
</f>
        <v>0</v>
      </c>
      <c r="AH403" s="319">
        <f>IF(AND('Ações'!AX411="sim", 'Ações'!BE411="sim"), 1, 0)
</f>
        <v>0</v>
      </c>
      <c r="AI403" s="319">
        <f>IF(AND('Ações'!AX411="sim", 'Ações'!BF411="sim"), 1, 0)
</f>
        <v>0</v>
      </c>
      <c r="AJ403" s="319">
        <f>IF(AND('Ações'!AX411="sim", 'Ações'!BG411="sim"), 1, 0)
</f>
        <v>0</v>
      </c>
      <c r="AK403" s="319">
        <f>IF(AND('Ações'!AX411="sim", 'Ações'!BH411="sim"), 1, 0)
</f>
        <v>0</v>
      </c>
    </row>
    <row r="404">
      <c r="B404" s="319">
        <f>IF(AND('Ações'!AS412="sim", 'Ações'!BD412="sim"), 1, 0)
</f>
        <v>0</v>
      </c>
      <c r="C404" s="319">
        <f>IF(AND('Ações'!AT412="sim", 'Ações'!BE412="sim"), 1, 0)
</f>
        <v>0</v>
      </c>
      <c r="D404" s="319">
        <f>IF(AND('Ações'!AU412="sim", 'Ações'!BF412="sim"), 1, 0)
</f>
        <v>0</v>
      </c>
      <c r="E404" s="319">
        <f>IF(AND('Ações'!AV412="sim", 'Ações'!BG412="sim"), 1, 0)
</f>
        <v>0</v>
      </c>
      <c r="F404" s="319">
        <f>IF(AND('Ações'!AW412="sim", 'Ações'!BH412="sim"), 1, 0)
</f>
        <v>0</v>
      </c>
      <c r="G404" s="319">
        <f>IF(AND('Ações'!AX412="sim", 'Ações'!BI412="sim"), 1, 0)
</f>
        <v>0</v>
      </c>
      <c r="H404" s="319">
        <f>IF(AND('Ações'!AS412="sim", 'Ações'!BE412="sim"), 1, 0)
</f>
        <v>0</v>
      </c>
      <c r="I404" s="319">
        <f>IF(AND('Ações'!AS412="sim", 'Ações'!BF412="sim"), 1, 0)
</f>
        <v>0</v>
      </c>
      <c r="J404" s="319">
        <f>IF(AND('Ações'!AS412="sim", 'Ações'!BG412="sim"), 1, 0)
</f>
        <v>0</v>
      </c>
      <c r="K404" s="319">
        <f>IF(AND('Ações'!AS412="sim", 'Ações'!BH412="sim"), 1, 0)
</f>
        <v>0</v>
      </c>
      <c r="L404" s="319">
        <f>IF(AND('Ações'!AS412="sim", 'Ações'!BI412="sim"), 1, 0)
</f>
        <v>0</v>
      </c>
      <c r="M404" s="319">
        <f>IF(AND('Ações'!AT412="sim", 'Ações'!BD412="sim"), 1, 0)
</f>
        <v>1</v>
      </c>
      <c r="N404" s="319">
        <f>IF(AND('Ações'!AT412="sim", 'Ações'!BF412="sim"), 1, 0)
</f>
        <v>0</v>
      </c>
      <c r="O404" s="319">
        <f>IF(AND('Ações'!AT412="sim", 'Ações'!BG412="sim"), 1, 0)
</f>
        <v>0</v>
      </c>
      <c r="P404" s="319">
        <f>IF(AND('Ações'!AT412="sim", 'Ações'!BH412="sim"), 1, 0)
</f>
        <v>0</v>
      </c>
      <c r="Q404" s="319">
        <f>IF(AND('Ações'!AT412="sim", 'Ações'!BI412="sim"), 1, 0)
</f>
        <v>0</v>
      </c>
      <c r="R404" s="319">
        <f>IF(AND('Ações'!AU412="sim", 'Ações'!BD412="sim"), 1, 0)
</f>
        <v>1</v>
      </c>
      <c r="S404" s="319">
        <f>IF(AND('Ações'!AU412="sim", 'Ações'!BE412="sim"), 1, 0)
</f>
        <v>0</v>
      </c>
      <c r="T404" s="319">
        <f>IF(AND('Ações'!AU412="sim", 'Ações'!BG412="sim"), 1, 0)
</f>
        <v>0</v>
      </c>
      <c r="U404" s="319">
        <f>IF(AND('Ações'!AU412="sim", 'Ações'!BH412="sim"), 1, 0)
</f>
        <v>0</v>
      </c>
      <c r="V404" s="319">
        <f>IF(AND('Ações'!AU412="sim", 'Ações'!BI412="sim"), 1, 0)
</f>
        <v>0</v>
      </c>
      <c r="W404" s="319">
        <f>IF(AND('Ações'!AV412="sim", 'Ações'!BD412="sim"), 1, 0)
</f>
        <v>1</v>
      </c>
      <c r="X404" s="319">
        <f>IF(AND('Ações'!AV412="sim", 'Ações'!BE412="sim"), 1, 0)
</f>
        <v>0</v>
      </c>
      <c r="Y404" s="319">
        <f>IF(AND('Ações'!AV412="sim", 'Ações'!BF412="sim"), 1, 0)
</f>
        <v>0</v>
      </c>
      <c r="Z404" s="319">
        <f>IF(AND('Ações'!AV412="sim", 'Ações'!BH412="sim"), 1, 0)
</f>
        <v>0</v>
      </c>
      <c r="AA404" s="319">
        <f>IF(AND('Ações'!AV412="sim", 'Ações'!BI412="sim"), 1, 0)
</f>
        <v>0</v>
      </c>
      <c r="AB404" s="319">
        <f>IF(AND('Ações'!AW412="sim", 'Ações'!BD412="sim"), 1, 0)
</f>
        <v>1</v>
      </c>
      <c r="AC404" s="319">
        <f>IF(AND('Ações'!AW412="sim", 'Ações'!BE412="sim"), 1, 0)
</f>
        <v>0</v>
      </c>
      <c r="AD404" s="319">
        <f>IF(AND('Ações'!AW412="sim", 'Ações'!BF412="sim"), 1, 0)
</f>
        <v>0</v>
      </c>
      <c r="AE404" s="319">
        <f>IF(AND('Ações'!AW412="sim", 'Ações'!BG412="sim"), 1, 0)
</f>
        <v>0</v>
      </c>
      <c r="AF404" s="319">
        <f>IF(AND('Ações'!AW412="sim", 'Ações'!BI412="sim"), 1, 0)
</f>
        <v>0</v>
      </c>
      <c r="AG404" s="319">
        <f>IF(AND('Ações'!AX412="sim", 'Ações'!BD412="sim"), 1, 0)
</f>
        <v>0</v>
      </c>
      <c r="AH404" s="319">
        <f>IF(AND('Ações'!AX412="sim", 'Ações'!BE412="sim"), 1, 0)
</f>
        <v>0</v>
      </c>
      <c r="AI404" s="319">
        <f>IF(AND('Ações'!AX412="sim", 'Ações'!BF412="sim"), 1, 0)
</f>
        <v>0</v>
      </c>
      <c r="AJ404" s="319">
        <f>IF(AND('Ações'!AX412="sim", 'Ações'!BG412="sim"), 1, 0)
</f>
        <v>0</v>
      </c>
      <c r="AK404" s="319">
        <f>IF(AND('Ações'!AX412="sim", 'Ações'!BH412="sim"), 1, 0)
</f>
        <v>0</v>
      </c>
    </row>
    <row r="405">
      <c r="B405" s="319">
        <f>IF(AND('Ações'!AS413="sim", 'Ações'!BD413="sim"), 1, 0)
</f>
        <v>0</v>
      </c>
      <c r="C405" s="319">
        <f>IF(AND('Ações'!AT413="sim", 'Ações'!BE413="sim"), 1, 0)
</f>
        <v>0</v>
      </c>
      <c r="D405" s="319">
        <f>IF(AND('Ações'!AU413="sim", 'Ações'!BF413="sim"), 1, 0)
</f>
        <v>0</v>
      </c>
      <c r="E405" s="319">
        <f>IF(AND('Ações'!AV413="sim", 'Ações'!BG413="sim"), 1, 0)
</f>
        <v>0</v>
      </c>
      <c r="F405" s="319">
        <f>IF(AND('Ações'!AW413="sim", 'Ações'!BH413="sim"), 1, 0)
</f>
        <v>0</v>
      </c>
      <c r="G405" s="319">
        <f>IF(AND('Ações'!AX413="sim", 'Ações'!BI413="sim"), 1, 0)
</f>
        <v>0</v>
      </c>
      <c r="H405" s="319">
        <f>IF(AND('Ações'!AS413="sim", 'Ações'!BE413="sim"), 1, 0)
</f>
        <v>0</v>
      </c>
      <c r="I405" s="319">
        <f>IF(AND('Ações'!AS413="sim", 'Ações'!BF413="sim"), 1, 0)
</f>
        <v>0</v>
      </c>
      <c r="J405" s="319">
        <f>IF(AND('Ações'!AS413="sim", 'Ações'!BG413="sim"), 1, 0)
</f>
        <v>0</v>
      </c>
      <c r="K405" s="319">
        <f>IF(AND('Ações'!AS413="sim", 'Ações'!BH413="sim"), 1, 0)
</f>
        <v>0</v>
      </c>
      <c r="L405" s="319">
        <f>IF(AND('Ações'!AS413="sim", 'Ações'!BI413="sim"), 1, 0)
</f>
        <v>0</v>
      </c>
      <c r="M405" s="319">
        <f>IF(AND('Ações'!AT413="sim", 'Ações'!BD413="sim"), 1, 0)
</f>
        <v>0</v>
      </c>
      <c r="N405" s="319">
        <f>IF(AND('Ações'!AT413="sim", 'Ações'!BF413="sim"), 1, 0)
</f>
        <v>0</v>
      </c>
      <c r="O405" s="319">
        <f>IF(AND('Ações'!AT413="sim", 'Ações'!BG413="sim"), 1, 0)
</f>
        <v>0</v>
      </c>
      <c r="P405" s="319">
        <f>IF(AND('Ações'!AT413="sim", 'Ações'!BH413="sim"), 1, 0)
</f>
        <v>0</v>
      </c>
      <c r="Q405" s="319">
        <f>IF(AND('Ações'!AT413="sim", 'Ações'!BI413="sim"), 1, 0)
</f>
        <v>1</v>
      </c>
      <c r="R405" s="319">
        <f>IF(AND('Ações'!AU413="sim", 'Ações'!BD413="sim"), 1, 0)
</f>
        <v>0</v>
      </c>
      <c r="S405" s="319">
        <f>IF(AND('Ações'!AU413="sim", 'Ações'!BE413="sim"), 1, 0)
</f>
        <v>0</v>
      </c>
      <c r="T405" s="319">
        <f>IF(AND('Ações'!AU413="sim", 'Ações'!BG413="sim"), 1, 0)
</f>
        <v>0</v>
      </c>
      <c r="U405" s="319">
        <f>IF(AND('Ações'!AU413="sim", 'Ações'!BH413="sim"), 1, 0)
</f>
        <v>0</v>
      </c>
      <c r="V405" s="319">
        <f>IF(AND('Ações'!AU413="sim", 'Ações'!BI413="sim"), 1, 0)
</f>
        <v>1</v>
      </c>
      <c r="W405" s="319">
        <f>IF(AND('Ações'!AV413="sim", 'Ações'!BD413="sim"), 1, 0)
</f>
        <v>0</v>
      </c>
      <c r="X405" s="319">
        <f>IF(AND('Ações'!AV413="sim", 'Ações'!BE413="sim"), 1, 0)
</f>
        <v>0</v>
      </c>
      <c r="Y405" s="319">
        <f>IF(AND('Ações'!AV413="sim", 'Ações'!BF413="sim"), 1, 0)
</f>
        <v>0</v>
      </c>
      <c r="Z405" s="319">
        <f>IF(AND('Ações'!AV413="sim", 'Ações'!BH413="sim"), 1, 0)
</f>
        <v>0</v>
      </c>
      <c r="AA405" s="319">
        <f>IF(AND('Ações'!AV413="sim", 'Ações'!BI413="sim"), 1, 0)
</f>
        <v>1</v>
      </c>
      <c r="AB405" s="319">
        <f>IF(AND('Ações'!AW413="sim", 'Ações'!BD413="sim"), 1, 0)
</f>
        <v>0</v>
      </c>
      <c r="AC405" s="319">
        <f>IF(AND('Ações'!AW413="sim", 'Ações'!BE413="sim"), 1, 0)
</f>
        <v>0</v>
      </c>
      <c r="AD405" s="319">
        <f>IF(AND('Ações'!AW413="sim", 'Ações'!BF413="sim"), 1, 0)
</f>
        <v>0</v>
      </c>
      <c r="AE405" s="319">
        <f>IF(AND('Ações'!AW413="sim", 'Ações'!BG413="sim"), 1, 0)
</f>
        <v>0</v>
      </c>
      <c r="AF405" s="319">
        <f>IF(AND('Ações'!AW413="sim", 'Ações'!BI413="sim"), 1, 0)
</f>
        <v>1</v>
      </c>
      <c r="AG405" s="319">
        <f>IF(AND('Ações'!AX413="sim", 'Ações'!BD413="sim"), 1, 0)
</f>
        <v>0</v>
      </c>
      <c r="AH405" s="319">
        <f>IF(AND('Ações'!AX413="sim", 'Ações'!BE413="sim"), 1, 0)
</f>
        <v>0</v>
      </c>
      <c r="AI405" s="319">
        <f>IF(AND('Ações'!AX413="sim", 'Ações'!BF413="sim"), 1, 0)
</f>
        <v>0</v>
      </c>
      <c r="AJ405" s="319">
        <f>IF(AND('Ações'!AX413="sim", 'Ações'!BG413="sim"), 1, 0)
</f>
        <v>0</v>
      </c>
      <c r="AK405" s="319">
        <f>IF(AND('Ações'!AX413="sim", 'Ações'!BH413="sim"), 1, 0)
</f>
        <v>0</v>
      </c>
    </row>
    <row r="406">
      <c r="B406" s="319">
        <f>IF(AND('Ações'!AS414="sim", 'Ações'!BD414="sim"), 1, 0)
</f>
        <v>0</v>
      </c>
      <c r="C406" s="319">
        <f>IF(AND('Ações'!AT414="sim", 'Ações'!BE414="sim"), 1, 0)
</f>
        <v>0</v>
      </c>
      <c r="D406" s="319">
        <f>IF(AND('Ações'!AU414="sim", 'Ações'!BF414="sim"), 1, 0)
</f>
        <v>0</v>
      </c>
      <c r="E406" s="319">
        <f>IF(AND('Ações'!AV414="sim", 'Ações'!BG414="sim"), 1, 0)
</f>
        <v>0</v>
      </c>
      <c r="F406" s="319">
        <f>IF(AND('Ações'!AW414="sim", 'Ações'!BH414="sim"), 1, 0)
</f>
        <v>0</v>
      </c>
      <c r="G406" s="319">
        <f>IF(AND('Ações'!AX414="sim", 'Ações'!BI414="sim"), 1, 0)
</f>
        <v>0</v>
      </c>
      <c r="H406" s="319">
        <f>IF(AND('Ações'!AS414="sim", 'Ações'!BE414="sim"), 1, 0)
</f>
        <v>0</v>
      </c>
      <c r="I406" s="319">
        <f>IF(AND('Ações'!AS414="sim", 'Ações'!BF414="sim"), 1, 0)
</f>
        <v>0</v>
      </c>
      <c r="J406" s="319">
        <f>IF(AND('Ações'!AS414="sim", 'Ações'!BG414="sim"), 1, 0)
</f>
        <v>0</v>
      </c>
      <c r="K406" s="319">
        <f>IF(AND('Ações'!AS414="sim", 'Ações'!BH414="sim"), 1, 0)
</f>
        <v>0</v>
      </c>
      <c r="L406" s="319">
        <f>IF(AND('Ações'!AS414="sim", 'Ações'!BI414="sim"), 1, 0)
</f>
        <v>0</v>
      </c>
      <c r="M406" s="319">
        <f>IF(AND('Ações'!AT414="sim", 'Ações'!BD414="sim"), 1, 0)
</f>
        <v>0</v>
      </c>
      <c r="N406" s="319">
        <f>IF(AND('Ações'!AT414="sim", 'Ações'!BF414="sim"), 1, 0)
</f>
        <v>0</v>
      </c>
      <c r="O406" s="319">
        <f>IF(AND('Ações'!AT414="sim", 'Ações'!BG414="sim"), 1, 0)
</f>
        <v>0</v>
      </c>
      <c r="P406" s="319">
        <f>IF(AND('Ações'!AT414="sim", 'Ações'!BH414="sim"), 1, 0)
</f>
        <v>0</v>
      </c>
      <c r="Q406" s="319">
        <f>IF(AND('Ações'!AT414="sim", 'Ações'!BI414="sim"), 1, 0)
</f>
        <v>1</v>
      </c>
      <c r="R406" s="319">
        <f>IF(AND('Ações'!AU414="sim", 'Ações'!BD414="sim"), 1, 0)
</f>
        <v>0</v>
      </c>
      <c r="S406" s="319">
        <f>IF(AND('Ações'!AU414="sim", 'Ações'!BE414="sim"), 1, 0)
</f>
        <v>0</v>
      </c>
      <c r="T406" s="319">
        <f>IF(AND('Ações'!AU414="sim", 'Ações'!BG414="sim"), 1, 0)
</f>
        <v>0</v>
      </c>
      <c r="U406" s="319">
        <f>IF(AND('Ações'!AU414="sim", 'Ações'!BH414="sim"), 1, 0)
</f>
        <v>0</v>
      </c>
      <c r="V406" s="319">
        <f>IF(AND('Ações'!AU414="sim", 'Ações'!BI414="sim"), 1, 0)
</f>
        <v>1</v>
      </c>
      <c r="W406" s="319">
        <f>IF(AND('Ações'!AV414="sim", 'Ações'!BD414="sim"), 1, 0)
</f>
        <v>0</v>
      </c>
      <c r="X406" s="319">
        <f>IF(AND('Ações'!AV414="sim", 'Ações'!BE414="sim"), 1, 0)
</f>
        <v>0</v>
      </c>
      <c r="Y406" s="319">
        <f>IF(AND('Ações'!AV414="sim", 'Ações'!BF414="sim"), 1, 0)
</f>
        <v>0</v>
      </c>
      <c r="Z406" s="319">
        <f>IF(AND('Ações'!AV414="sim", 'Ações'!BH414="sim"), 1, 0)
</f>
        <v>0</v>
      </c>
      <c r="AA406" s="319">
        <f>IF(AND('Ações'!AV414="sim", 'Ações'!BI414="sim"), 1, 0)
</f>
        <v>1</v>
      </c>
      <c r="AB406" s="319">
        <f>IF(AND('Ações'!AW414="sim", 'Ações'!BD414="sim"), 1, 0)
</f>
        <v>0</v>
      </c>
      <c r="AC406" s="319">
        <f>IF(AND('Ações'!AW414="sim", 'Ações'!BE414="sim"), 1, 0)
</f>
        <v>0</v>
      </c>
      <c r="AD406" s="319">
        <f>IF(AND('Ações'!AW414="sim", 'Ações'!BF414="sim"), 1, 0)
</f>
        <v>0</v>
      </c>
      <c r="AE406" s="319">
        <f>IF(AND('Ações'!AW414="sim", 'Ações'!BG414="sim"), 1, 0)
</f>
        <v>0</v>
      </c>
      <c r="AF406" s="319">
        <f>IF(AND('Ações'!AW414="sim", 'Ações'!BI414="sim"), 1, 0)
</f>
        <v>1</v>
      </c>
      <c r="AG406" s="319">
        <f>IF(AND('Ações'!AX414="sim", 'Ações'!BD414="sim"), 1, 0)
</f>
        <v>0</v>
      </c>
      <c r="AH406" s="319">
        <f>IF(AND('Ações'!AX414="sim", 'Ações'!BE414="sim"), 1, 0)
</f>
        <v>0</v>
      </c>
      <c r="AI406" s="319">
        <f>IF(AND('Ações'!AX414="sim", 'Ações'!BF414="sim"), 1, 0)
</f>
        <v>0</v>
      </c>
      <c r="AJ406" s="319">
        <f>IF(AND('Ações'!AX414="sim", 'Ações'!BG414="sim"), 1, 0)
</f>
        <v>0</v>
      </c>
      <c r="AK406" s="319">
        <f>IF(AND('Ações'!AX414="sim", 'Ações'!BH414="sim"), 1, 0)
</f>
        <v>0</v>
      </c>
    </row>
    <row r="407">
      <c r="B407" s="319">
        <f>IF(AND('Ações'!AS415="sim", 'Ações'!BD415="sim"), 1, 0)
</f>
        <v>0</v>
      </c>
      <c r="C407" s="319">
        <f>IF(AND('Ações'!AT415="sim", 'Ações'!BE415="sim"), 1, 0)
</f>
        <v>0</v>
      </c>
      <c r="D407" s="319">
        <f>IF(AND('Ações'!AU415="sim", 'Ações'!BF415="sim"), 1, 0)
</f>
        <v>0</v>
      </c>
      <c r="E407" s="319">
        <f>IF(AND('Ações'!AV415="sim", 'Ações'!BG415="sim"), 1, 0)
</f>
        <v>0</v>
      </c>
      <c r="F407" s="319">
        <f>IF(AND('Ações'!AW415="sim", 'Ações'!BH415="sim"), 1, 0)
</f>
        <v>0</v>
      </c>
      <c r="G407" s="319">
        <f>IF(AND('Ações'!AX415="sim", 'Ações'!BI415="sim"), 1, 0)
</f>
        <v>0</v>
      </c>
      <c r="H407" s="319">
        <f>IF(AND('Ações'!AS415="sim", 'Ações'!BE415="sim"), 1, 0)
</f>
        <v>0</v>
      </c>
      <c r="I407" s="319">
        <f>IF(AND('Ações'!AS415="sim", 'Ações'!BF415="sim"), 1, 0)
</f>
        <v>0</v>
      </c>
      <c r="J407" s="319">
        <f>IF(AND('Ações'!AS415="sim", 'Ações'!BG415="sim"), 1, 0)
</f>
        <v>0</v>
      </c>
      <c r="K407" s="319">
        <f>IF(AND('Ações'!AS415="sim", 'Ações'!BH415="sim"), 1, 0)
</f>
        <v>0</v>
      </c>
      <c r="L407" s="319">
        <f>IF(AND('Ações'!AS415="sim", 'Ações'!BI415="sim"), 1, 0)
</f>
        <v>0</v>
      </c>
      <c r="M407" s="319">
        <f>IF(AND('Ações'!AT415="sim", 'Ações'!BD415="sim"), 1, 0)
</f>
        <v>0</v>
      </c>
      <c r="N407" s="319">
        <f>IF(AND('Ações'!AT415="sim", 'Ações'!BF415="sim"), 1, 0)
</f>
        <v>0</v>
      </c>
      <c r="O407" s="319">
        <f>IF(AND('Ações'!AT415="sim", 'Ações'!BG415="sim"), 1, 0)
</f>
        <v>0</v>
      </c>
      <c r="P407" s="319">
        <f>IF(AND('Ações'!AT415="sim", 'Ações'!BH415="sim"), 1, 0)
</f>
        <v>0</v>
      </c>
      <c r="Q407" s="319">
        <f>IF(AND('Ações'!AT415="sim", 'Ações'!BI415="sim"), 1, 0)
</f>
        <v>1</v>
      </c>
      <c r="R407" s="319">
        <f>IF(AND('Ações'!AU415="sim", 'Ações'!BD415="sim"), 1, 0)
</f>
        <v>0</v>
      </c>
      <c r="S407" s="319">
        <f>IF(AND('Ações'!AU415="sim", 'Ações'!BE415="sim"), 1, 0)
</f>
        <v>0</v>
      </c>
      <c r="T407" s="319">
        <f>IF(AND('Ações'!AU415="sim", 'Ações'!BG415="sim"), 1, 0)
</f>
        <v>0</v>
      </c>
      <c r="U407" s="319">
        <f>IF(AND('Ações'!AU415="sim", 'Ações'!BH415="sim"), 1, 0)
</f>
        <v>0</v>
      </c>
      <c r="V407" s="319">
        <f>IF(AND('Ações'!AU415="sim", 'Ações'!BI415="sim"), 1, 0)
</f>
        <v>1</v>
      </c>
      <c r="W407" s="319">
        <f>IF(AND('Ações'!AV415="sim", 'Ações'!BD415="sim"), 1, 0)
</f>
        <v>0</v>
      </c>
      <c r="X407" s="319">
        <f>IF(AND('Ações'!AV415="sim", 'Ações'!BE415="sim"), 1, 0)
</f>
        <v>0</v>
      </c>
      <c r="Y407" s="319">
        <f>IF(AND('Ações'!AV415="sim", 'Ações'!BF415="sim"), 1, 0)
</f>
        <v>0</v>
      </c>
      <c r="Z407" s="319">
        <f>IF(AND('Ações'!AV415="sim", 'Ações'!BH415="sim"), 1, 0)
</f>
        <v>0</v>
      </c>
      <c r="AA407" s="319">
        <f>IF(AND('Ações'!AV415="sim", 'Ações'!BI415="sim"), 1, 0)
</f>
        <v>1</v>
      </c>
      <c r="AB407" s="319">
        <f>IF(AND('Ações'!AW415="sim", 'Ações'!BD415="sim"), 1, 0)
</f>
        <v>0</v>
      </c>
      <c r="AC407" s="319">
        <f>IF(AND('Ações'!AW415="sim", 'Ações'!BE415="sim"), 1, 0)
</f>
        <v>0</v>
      </c>
      <c r="AD407" s="319">
        <f>IF(AND('Ações'!AW415="sim", 'Ações'!BF415="sim"), 1, 0)
</f>
        <v>0</v>
      </c>
      <c r="AE407" s="319">
        <f>IF(AND('Ações'!AW415="sim", 'Ações'!BG415="sim"), 1, 0)
</f>
        <v>0</v>
      </c>
      <c r="AF407" s="319">
        <f>IF(AND('Ações'!AW415="sim", 'Ações'!BI415="sim"), 1, 0)
</f>
        <v>1</v>
      </c>
      <c r="AG407" s="319">
        <f>IF(AND('Ações'!AX415="sim", 'Ações'!BD415="sim"), 1, 0)
</f>
        <v>0</v>
      </c>
      <c r="AH407" s="319">
        <f>IF(AND('Ações'!AX415="sim", 'Ações'!BE415="sim"), 1, 0)
</f>
        <v>0</v>
      </c>
      <c r="AI407" s="319">
        <f>IF(AND('Ações'!AX415="sim", 'Ações'!BF415="sim"), 1, 0)
</f>
        <v>0</v>
      </c>
      <c r="AJ407" s="319">
        <f>IF(AND('Ações'!AX415="sim", 'Ações'!BG415="sim"), 1, 0)
</f>
        <v>0</v>
      </c>
      <c r="AK407" s="319">
        <f>IF(AND('Ações'!AX415="sim", 'Ações'!BH415="sim"), 1, 0)
</f>
        <v>0</v>
      </c>
    </row>
    <row r="408">
      <c r="B408" s="319">
        <f>IF(AND('Ações'!AS416="sim", 'Ações'!BD416="sim"), 1, 0)
</f>
        <v>0</v>
      </c>
      <c r="C408" s="319">
        <f>IF(AND('Ações'!AT416="sim", 'Ações'!BE416="sim"), 1, 0)
</f>
        <v>0</v>
      </c>
      <c r="D408" s="319">
        <f>IF(AND('Ações'!AU416="sim", 'Ações'!BF416="sim"), 1, 0)
</f>
        <v>0</v>
      </c>
      <c r="E408" s="319">
        <f>IF(AND('Ações'!AV416="sim", 'Ações'!BG416="sim"), 1, 0)
</f>
        <v>1</v>
      </c>
      <c r="F408" s="319">
        <f>IF(AND('Ações'!AW416="sim", 'Ações'!BH416="sim"), 1, 0)
</f>
        <v>0</v>
      </c>
      <c r="G408" s="319">
        <f>IF(AND('Ações'!AX416="sim", 'Ações'!BI416="sim"), 1, 0)
</f>
        <v>0</v>
      </c>
      <c r="H408" s="319">
        <f>IF(AND('Ações'!AS416="sim", 'Ações'!BE416="sim"), 1, 0)
</f>
        <v>0</v>
      </c>
      <c r="I408" s="319">
        <f>IF(AND('Ações'!AS416="sim", 'Ações'!BF416="sim"), 1, 0)
</f>
        <v>0</v>
      </c>
      <c r="J408" s="319">
        <f>IF(AND('Ações'!AS416="sim", 'Ações'!BG416="sim"), 1, 0)
</f>
        <v>0</v>
      </c>
      <c r="K408" s="319">
        <f>IF(AND('Ações'!AS416="sim", 'Ações'!BH416="sim"), 1, 0)
</f>
        <v>0</v>
      </c>
      <c r="L408" s="319">
        <f>IF(AND('Ações'!AS416="sim", 'Ações'!BI416="sim"), 1, 0)
</f>
        <v>0</v>
      </c>
      <c r="M408" s="319">
        <f>IF(AND('Ações'!AT416="sim", 'Ações'!BD416="sim"), 1, 0)
</f>
        <v>1</v>
      </c>
      <c r="N408" s="319">
        <f>IF(AND('Ações'!AT416="sim", 'Ações'!BF416="sim"), 1, 0)
</f>
        <v>0</v>
      </c>
      <c r="O408" s="319">
        <f>IF(AND('Ações'!AT416="sim", 'Ações'!BG416="sim"), 1, 0)
</f>
        <v>1</v>
      </c>
      <c r="P408" s="319">
        <f>IF(AND('Ações'!AT416="sim", 'Ações'!BH416="sim"), 1, 0)
</f>
        <v>0</v>
      </c>
      <c r="Q408" s="319">
        <f>IF(AND('Ações'!AT416="sim", 'Ações'!BI416="sim"), 1, 0)
</f>
        <v>0</v>
      </c>
      <c r="R408" s="319">
        <f>IF(AND('Ações'!AU416="sim", 'Ações'!BD416="sim"), 1, 0)
</f>
        <v>1</v>
      </c>
      <c r="S408" s="319">
        <f>IF(AND('Ações'!AU416="sim", 'Ações'!BE416="sim"), 1, 0)
</f>
        <v>0</v>
      </c>
      <c r="T408" s="319">
        <f>IF(AND('Ações'!AU416="sim", 'Ações'!BG416="sim"), 1, 0)
</f>
        <v>1</v>
      </c>
      <c r="U408" s="319">
        <f>IF(AND('Ações'!AU416="sim", 'Ações'!BH416="sim"), 1, 0)
</f>
        <v>0</v>
      </c>
      <c r="V408" s="319">
        <f>IF(AND('Ações'!AU416="sim", 'Ações'!BI416="sim"), 1, 0)
</f>
        <v>0</v>
      </c>
      <c r="W408" s="319">
        <f>IF(AND('Ações'!AV416="sim", 'Ações'!BD416="sim"), 1, 0)
</f>
        <v>1</v>
      </c>
      <c r="X408" s="319">
        <f>IF(AND('Ações'!AV416="sim", 'Ações'!BE416="sim"), 1, 0)
</f>
        <v>0</v>
      </c>
      <c r="Y408" s="319">
        <f>IF(AND('Ações'!AV416="sim", 'Ações'!BF416="sim"), 1, 0)
</f>
        <v>0</v>
      </c>
      <c r="Z408" s="319">
        <f>IF(AND('Ações'!AV416="sim", 'Ações'!BH416="sim"), 1, 0)
</f>
        <v>0</v>
      </c>
      <c r="AA408" s="319">
        <f>IF(AND('Ações'!AV416="sim", 'Ações'!BI416="sim"), 1, 0)
</f>
        <v>0</v>
      </c>
      <c r="AB408" s="319">
        <f>IF(AND('Ações'!AW416="sim", 'Ações'!BD416="sim"), 1, 0)
</f>
        <v>1</v>
      </c>
      <c r="AC408" s="319">
        <f>IF(AND('Ações'!AW416="sim", 'Ações'!BE416="sim"), 1, 0)
</f>
        <v>0</v>
      </c>
      <c r="AD408" s="319">
        <f>IF(AND('Ações'!AW416="sim", 'Ações'!BF416="sim"), 1, 0)
</f>
        <v>0</v>
      </c>
      <c r="AE408" s="319">
        <f>IF(AND('Ações'!AW416="sim", 'Ações'!BG416="sim"), 1, 0)
</f>
        <v>1</v>
      </c>
      <c r="AF408" s="319">
        <f>IF(AND('Ações'!AW416="sim", 'Ações'!BI416="sim"), 1, 0)
</f>
        <v>0</v>
      </c>
      <c r="AG408" s="319">
        <f>IF(AND('Ações'!AX416="sim", 'Ações'!BD416="sim"), 1, 0)
</f>
        <v>0</v>
      </c>
      <c r="AH408" s="319">
        <f>IF(AND('Ações'!AX416="sim", 'Ações'!BE416="sim"), 1, 0)
</f>
        <v>0</v>
      </c>
      <c r="AI408" s="319">
        <f>IF(AND('Ações'!AX416="sim", 'Ações'!BF416="sim"), 1, 0)
</f>
        <v>0</v>
      </c>
      <c r="AJ408" s="319">
        <f>IF(AND('Ações'!AX416="sim", 'Ações'!BG416="sim"), 1, 0)
</f>
        <v>0</v>
      </c>
      <c r="AK408" s="319">
        <f>IF(AND('Ações'!AX416="sim", 'Ações'!BH416="sim"), 1, 0)
</f>
        <v>0</v>
      </c>
    </row>
    <row r="409">
      <c r="B409" s="319">
        <f>IF(AND('Ações'!AS417="sim", 'Ações'!BD417="sim"), 1, 0)
</f>
        <v>0</v>
      </c>
      <c r="C409" s="319">
        <f>IF(AND('Ações'!AT417="sim", 'Ações'!BE417="sim"), 1, 0)
</f>
        <v>0</v>
      </c>
      <c r="D409" s="319">
        <f>IF(AND('Ações'!AU417="sim", 'Ações'!BF417="sim"), 1, 0)
</f>
        <v>0</v>
      </c>
      <c r="E409" s="319">
        <f>IF(AND('Ações'!AV417="sim", 'Ações'!BG417="sim"), 1, 0)
</f>
        <v>0</v>
      </c>
      <c r="F409" s="319">
        <f>IF(AND('Ações'!AW417="sim", 'Ações'!BH417="sim"), 1, 0)
</f>
        <v>0</v>
      </c>
      <c r="G409" s="319">
        <f>IF(AND('Ações'!AX417="sim", 'Ações'!BI417="sim"), 1, 0)
</f>
        <v>1</v>
      </c>
      <c r="H409" s="319">
        <f>IF(AND('Ações'!AS417="sim", 'Ações'!BE417="sim"), 1, 0)
</f>
        <v>0</v>
      </c>
      <c r="I409" s="319">
        <f>IF(AND('Ações'!AS417="sim", 'Ações'!BF417="sim"), 1, 0)
</f>
        <v>0</v>
      </c>
      <c r="J409" s="319">
        <f>IF(AND('Ações'!AS417="sim", 'Ações'!BG417="sim"), 1, 0)
</f>
        <v>0</v>
      </c>
      <c r="K409" s="319">
        <f>IF(AND('Ações'!AS417="sim", 'Ações'!BH417="sim"), 1, 0)
</f>
        <v>0</v>
      </c>
      <c r="L409" s="319">
        <f>IF(AND('Ações'!AS417="sim", 'Ações'!BI417="sim"), 1, 0)
</f>
        <v>0</v>
      </c>
      <c r="M409" s="319">
        <f>IF(AND('Ações'!AT417="sim", 'Ações'!BD417="sim"), 1, 0)
</f>
        <v>0</v>
      </c>
      <c r="N409" s="319">
        <f>IF(AND('Ações'!AT417="sim", 'Ações'!BF417="sim"), 1, 0)
</f>
        <v>0</v>
      </c>
      <c r="O409" s="319">
        <f>IF(AND('Ações'!AT417="sim", 'Ações'!BG417="sim"), 1, 0)
</f>
        <v>0</v>
      </c>
      <c r="P409" s="319">
        <f>IF(AND('Ações'!AT417="sim", 'Ações'!BH417="sim"), 1, 0)
</f>
        <v>0</v>
      </c>
      <c r="Q409" s="319">
        <f>IF(AND('Ações'!AT417="sim", 'Ações'!BI417="sim"), 1, 0)
</f>
        <v>0</v>
      </c>
      <c r="R409" s="319">
        <f>IF(AND('Ações'!AU417="sim", 'Ações'!BD417="sim"), 1, 0)
</f>
        <v>0</v>
      </c>
      <c r="S409" s="319">
        <f>IF(AND('Ações'!AU417="sim", 'Ações'!BE417="sim"), 1, 0)
</f>
        <v>0</v>
      </c>
      <c r="T409" s="319">
        <f>IF(AND('Ações'!AU417="sim", 'Ações'!BG417="sim"), 1, 0)
</f>
        <v>0</v>
      </c>
      <c r="U409" s="319">
        <f>IF(AND('Ações'!AU417="sim", 'Ações'!BH417="sim"), 1, 0)
</f>
        <v>0</v>
      </c>
      <c r="V409" s="319">
        <f>IF(AND('Ações'!AU417="sim", 'Ações'!BI417="sim"), 1, 0)
</f>
        <v>1</v>
      </c>
      <c r="W409" s="319">
        <f>IF(AND('Ações'!AV417="sim", 'Ações'!BD417="sim"), 1, 0)
</f>
        <v>0</v>
      </c>
      <c r="X409" s="319">
        <f>IF(AND('Ações'!AV417="sim", 'Ações'!BE417="sim"), 1, 0)
</f>
        <v>0</v>
      </c>
      <c r="Y409" s="319">
        <f>IF(AND('Ações'!AV417="sim", 'Ações'!BF417="sim"), 1, 0)
</f>
        <v>0</v>
      </c>
      <c r="Z409" s="319">
        <f>IF(AND('Ações'!AV417="sim", 'Ações'!BH417="sim"), 1, 0)
</f>
        <v>0</v>
      </c>
      <c r="AA409" s="319">
        <f>IF(AND('Ações'!AV417="sim", 'Ações'!BI417="sim"), 1, 0)
</f>
        <v>1</v>
      </c>
      <c r="AB409" s="319">
        <f>IF(AND('Ações'!AW417="sim", 'Ações'!BD417="sim"), 1, 0)
</f>
        <v>0</v>
      </c>
      <c r="AC409" s="319">
        <f>IF(AND('Ações'!AW417="sim", 'Ações'!BE417="sim"), 1, 0)
</f>
        <v>0</v>
      </c>
      <c r="AD409" s="319">
        <f>IF(AND('Ações'!AW417="sim", 'Ações'!BF417="sim"), 1, 0)
</f>
        <v>0</v>
      </c>
      <c r="AE409" s="319">
        <f>IF(AND('Ações'!AW417="sim", 'Ações'!BG417="sim"), 1, 0)
</f>
        <v>0</v>
      </c>
      <c r="AF409" s="319">
        <f>IF(AND('Ações'!AW417="sim", 'Ações'!BI417="sim"), 1, 0)
</f>
        <v>1</v>
      </c>
      <c r="AG409" s="319">
        <f>IF(AND('Ações'!AX417="sim", 'Ações'!BD417="sim"), 1, 0)
</f>
        <v>0</v>
      </c>
      <c r="AH409" s="319">
        <f>IF(AND('Ações'!AX417="sim", 'Ações'!BE417="sim"), 1, 0)
</f>
        <v>0</v>
      </c>
      <c r="AI409" s="319">
        <f>IF(AND('Ações'!AX417="sim", 'Ações'!BF417="sim"), 1, 0)
</f>
        <v>0</v>
      </c>
      <c r="AJ409" s="319">
        <f>IF(AND('Ações'!AX417="sim", 'Ações'!BG417="sim"), 1, 0)
</f>
        <v>0</v>
      </c>
      <c r="AK409" s="319">
        <f>IF(AND('Ações'!AX417="sim", 'Ações'!BH417="sim"), 1, 0)
</f>
        <v>0</v>
      </c>
    </row>
    <row r="410">
      <c r="B410" s="319">
        <f>IF(AND('Ações'!AS418="sim", 'Ações'!BD418="sim"), 1, 0)
</f>
        <v>0</v>
      </c>
      <c r="C410" s="319">
        <f>IF(AND('Ações'!AT418="sim", 'Ações'!BE418="sim"), 1, 0)
</f>
        <v>0</v>
      </c>
      <c r="D410" s="319">
        <f>IF(AND('Ações'!AU418="sim", 'Ações'!BF418="sim"), 1, 0)
</f>
        <v>0</v>
      </c>
      <c r="E410" s="319">
        <f>IF(AND('Ações'!AV418="sim", 'Ações'!BG418="sim"), 1, 0)
</f>
        <v>0</v>
      </c>
      <c r="F410" s="319">
        <f>IF(AND('Ações'!AW418="sim", 'Ações'!BH418="sim"), 1, 0)
</f>
        <v>0</v>
      </c>
      <c r="G410" s="319">
        <f>IF(AND('Ações'!AX418="sim", 'Ações'!BI418="sim"), 1, 0)
</f>
        <v>1</v>
      </c>
      <c r="H410" s="319">
        <f>IF(AND('Ações'!AS418="sim", 'Ações'!BE418="sim"), 1, 0)
</f>
        <v>0</v>
      </c>
      <c r="I410" s="319">
        <f>IF(AND('Ações'!AS418="sim", 'Ações'!BF418="sim"), 1, 0)
</f>
        <v>0</v>
      </c>
      <c r="J410" s="319">
        <f>IF(AND('Ações'!AS418="sim", 'Ações'!BG418="sim"), 1, 0)
</f>
        <v>0</v>
      </c>
      <c r="K410" s="319">
        <f>IF(AND('Ações'!AS418="sim", 'Ações'!BH418="sim"), 1, 0)
</f>
        <v>0</v>
      </c>
      <c r="L410" s="319">
        <f>IF(AND('Ações'!AS418="sim", 'Ações'!BI418="sim"), 1, 0)
</f>
        <v>0</v>
      </c>
      <c r="M410" s="319">
        <f>IF(AND('Ações'!AT418="sim", 'Ações'!BD418="sim"), 1, 0)
</f>
        <v>0</v>
      </c>
      <c r="N410" s="319">
        <f>IF(AND('Ações'!AT418="sim", 'Ações'!BF418="sim"), 1, 0)
</f>
        <v>0</v>
      </c>
      <c r="O410" s="319">
        <f>IF(AND('Ações'!AT418="sim", 'Ações'!BG418="sim"), 1, 0)
</f>
        <v>0</v>
      </c>
      <c r="P410" s="319">
        <f>IF(AND('Ações'!AT418="sim", 'Ações'!BH418="sim"), 1, 0)
</f>
        <v>0</v>
      </c>
      <c r="Q410" s="319">
        <f>IF(AND('Ações'!AT418="sim", 'Ações'!BI418="sim"), 1, 0)
</f>
        <v>0</v>
      </c>
      <c r="R410" s="319">
        <f>IF(AND('Ações'!AU418="sim", 'Ações'!BD418="sim"), 1, 0)
</f>
        <v>0</v>
      </c>
      <c r="S410" s="319">
        <f>IF(AND('Ações'!AU418="sim", 'Ações'!BE418="sim"), 1, 0)
</f>
        <v>0</v>
      </c>
      <c r="T410" s="319">
        <f>IF(AND('Ações'!AU418="sim", 'Ações'!BG418="sim"), 1, 0)
</f>
        <v>0</v>
      </c>
      <c r="U410" s="319">
        <f>IF(AND('Ações'!AU418="sim", 'Ações'!BH418="sim"), 1, 0)
</f>
        <v>0</v>
      </c>
      <c r="V410" s="319">
        <f>IF(AND('Ações'!AU418="sim", 'Ações'!BI418="sim"), 1, 0)
</f>
        <v>1</v>
      </c>
      <c r="W410" s="319">
        <f>IF(AND('Ações'!AV418="sim", 'Ações'!BD418="sim"), 1, 0)
</f>
        <v>0</v>
      </c>
      <c r="X410" s="319">
        <f>IF(AND('Ações'!AV418="sim", 'Ações'!BE418="sim"), 1, 0)
</f>
        <v>0</v>
      </c>
      <c r="Y410" s="319">
        <f>IF(AND('Ações'!AV418="sim", 'Ações'!BF418="sim"), 1, 0)
</f>
        <v>0</v>
      </c>
      <c r="Z410" s="319">
        <f>IF(AND('Ações'!AV418="sim", 'Ações'!BH418="sim"), 1, 0)
</f>
        <v>0</v>
      </c>
      <c r="AA410" s="319">
        <f>IF(AND('Ações'!AV418="sim", 'Ações'!BI418="sim"), 1, 0)
</f>
        <v>1</v>
      </c>
      <c r="AB410" s="319">
        <f>IF(AND('Ações'!AW418="sim", 'Ações'!BD418="sim"), 1, 0)
</f>
        <v>0</v>
      </c>
      <c r="AC410" s="319">
        <f>IF(AND('Ações'!AW418="sim", 'Ações'!BE418="sim"), 1, 0)
</f>
        <v>0</v>
      </c>
      <c r="AD410" s="319">
        <f>IF(AND('Ações'!AW418="sim", 'Ações'!BF418="sim"), 1, 0)
</f>
        <v>0</v>
      </c>
      <c r="AE410" s="319">
        <f>IF(AND('Ações'!AW418="sim", 'Ações'!BG418="sim"), 1, 0)
</f>
        <v>0</v>
      </c>
      <c r="AF410" s="319">
        <f>IF(AND('Ações'!AW418="sim", 'Ações'!BI418="sim"), 1, 0)
</f>
        <v>1</v>
      </c>
      <c r="AG410" s="319">
        <f>IF(AND('Ações'!AX418="sim", 'Ações'!BD418="sim"), 1, 0)
</f>
        <v>0</v>
      </c>
      <c r="AH410" s="319">
        <f>IF(AND('Ações'!AX418="sim", 'Ações'!BE418="sim"), 1, 0)
</f>
        <v>0</v>
      </c>
      <c r="AI410" s="319">
        <f>IF(AND('Ações'!AX418="sim", 'Ações'!BF418="sim"), 1, 0)
</f>
        <v>0</v>
      </c>
      <c r="AJ410" s="319">
        <f>IF(AND('Ações'!AX418="sim", 'Ações'!BG418="sim"), 1, 0)
</f>
        <v>0</v>
      </c>
      <c r="AK410" s="319">
        <f>IF(AND('Ações'!AX418="sim", 'Ações'!BH418="sim"), 1, 0)
</f>
        <v>0</v>
      </c>
    </row>
    <row r="411">
      <c r="B411" s="319">
        <f>IF(AND('Ações'!AS419="sim", 'Ações'!BD419="sim"), 1, 0)
</f>
        <v>0</v>
      </c>
      <c r="C411" s="319">
        <f>IF(AND('Ações'!AT419="sim", 'Ações'!BE419="sim"), 1, 0)
</f>
        <v>0</v>
      </c>
      <c r="D411" s="319">
        <f>IF(AND('Ações'!AU419="sim", 'Ações'!BF419="sim"), 1, 0)
</f>
        <v>0</v>
      </c>
      <c r="E411" s="319">
        <f>IF(AND('Ações'!AV419="sim", 'Ações'!BG419="sim"), 1, 0)
</f>
        <v>0</v>
      </c>
      <c r="F411" s="319">
        <f>IF(AND('Ações'!AW419="sim", 'Ações'!BH419="sim"), 1, 0)
</f>
        <v>0</v>
      </c>
      <c r="G411" s="319">
        <f>IF(AND('Ações'!AX419="sim", 'Ações'!BI419="sim"), 1, 0)
</f>
        <v>1</v>
      </c>
      <c r="H411" s="319">
        <f>IF(AND('Ações'!AS419="sim", 'Ações'!BE419="sim"), 1, 0)
</f>
        <v>0</v>
      </c>
      <c r="I411" s="319">
        <f>IF(AND('Ações'!AS419="sim", 'Ações'!BF419="sim"), 1, 0)
</f>
        <v>0</v>
      </c>
      <c r="J411" s="319">
        <f>IF(AND('Ações'!AS419="sim", 'Ações'!BG419="sim"), 1, 0)
</f>
        <v>0</v>
      </c>
      <c r="K411" s="319">
        <f>IF(AND('Ações'!AS419="sim", 'Ações'!BH419="sim"), 1, 0)
</f>
        <v>0</v>
      </c>
      <c r="L411" s="319">
        <f>IF(AND('Ações'!AS419="sim", 'Ações'!BI419="sim"), 1, 0)
</f>
        <v>0</v>
      </c>
      <c r="M411" s="319">
        <f>IF(AND('Ações'!AT419="sim", 'Ações'!BD419="sim"), 1, 0)
</f>
        <v>0</v>
      </c>
      <c r="N411" s="319">
        <f>IF(AND('Ações'!AT419="sim", 'Ações'!BF419="sim"), 1, 0)
</f>
        <v>0</v>
      </c>
      <c r="O411" s="319">
        <f>IF(AND('Ações'!AT419="sim", 'Ações'!BG419="sim"), 1, 0)
</f>
        <v>0</v>
      </c>
      <c r="P411" s="319">
        <f>IF(AND('Ações'!AT419="sim", 'Ações'!BH419="sim"), 1, 0)
</f>
        <v>0</v>
      </c>
      <c r="Q411" s="319">
        <f>IF(AND('Ações'!AT419="sim", 'Ações'!BI419="sim"), 1, 0)
</f>
        <v>0</v>
      </c>
      <c r="R411" s="319">
        <f>IF(AND('Ações'!AU419="sim", 'Ações'!BD419="sim"), 1, 0)
</f>
        <v>0</v>
      </c>
      <c r="S411" s="319">
        <f>IF(AND('Ações'!AU419="sim", 'Ações'!BE419="sim"), 1, 0)
</f>
        <v>0</v>
      </c>
      <c r="T411" s="319">
        <f>IF(AND('Ações'!AU419="sim", 'Ações'!BG419="sim"), 1, 0)
</f>
        <v>0</v>
      </c>
      <c r="U411" s="319">
        <f>IF(AND('Ações'!AU419="sim", 'Ações'!BH419="sim"), 1, 0)
</f>
        <v>0</v>
      </c>
      <c r="V411" s="319">
        <f>IF(AND('Ações'!AU419="sim", 'Ações'!BI419="sim"), 1, 0)
</f>
        <v>1</v>
      </c>
      <c r="W411" s="319">
        <f>IF(AND('Ações'!AV419="sim", 'Ações'!BD419="sim"), 1, 0)
</f>
        <v>0</v>
      </c>
      <c r="X411" s="319">
        <f>IF(AND('Ações'!AV419="sim", 'Ações'!BE419="sim"), 1, 0)
</f>
        <v>0</v>
      </c>
      <c r="Y411" s="319">
        <f>IF(AND('Ações'!AV419="sim", 'Ações'!BF419="sim"), 1, 0)
</f>
        <v>0</v>
      </c>
      <c r="Z411" s="319">
        <f>IF(AND('Ações'!AV419="sim", 'Ações'!BH419="sim"), 1, 0)
</f>
        <v>0</v>
      </c>
      <c r="AA411" s="319">
        <f>IF(AND('Ações'!AV419="sim", 'Ações'!BI419="sim"), 1, 0)
</f>
        <v>1</v>
      </c>
      <c r="AB411" s="319">
        <f>IF(AND('Ações'!AW419="sim", 'Ações'!BD419="sim"), 1, 0)
</f>
        <v>0</v>
      </c>
      <c r="AC411" s="319">
        <f>IF(AND('Ações'!AW419="sim", 'Ações'!BE419="sim"), 1, 0)
</f>
        <v>0</v>
      </c>
      <c r="AD411" s="319">
        <f>IF(AND('Ações'!AW419="sim", 'Ações'!BF419="sim"), 1, 0)
</f>
        <v>0</v>
      </c>
      <c r="AE411" s="319">
        <f>IF(AND('Ações'!AW419="sim", 'Ações'!BG419="sim"), 1, 0)
</f>
        <v>0</v>
      </c>
      <c r="AF411" s="319">
        <f>IF(AND('Ações'!AW419="sim", 'Ações'!BI419="sim"), 1, 0)
</f>
        <v>1</v>
      </c>
      <c r="AG411" s="319">
        <f>IF(AND('Ações'!AX419="sim", 'Ações'!BD419="sim"), 1, 0)
</f>
        <v>0</v>
      </c>
      <c r="AH411" s="319">
        <f>IF(AND('Ações'!AX419="sim", 'Ações'!BE419="sim"), 1, 0)
</f>
        <v>0</v>
      </c>
      <c r="AI411" s="319">
        <f>IF(AND('Ações'!AX419="sim", 'Ações'!BF419="sim"), 1, 0)
</f>
        <v>0</v>
      </c>
      <c r="AJ411" s="319">
        <f>IF(AND('Ações'!AX419="sim", 'Ações'!BG419="sim"), 1, 0)
</f>
        <v>0</v>
      </c>
      <c r="AK411" s="319">
        <f>IF(AND('Ações'!AX419="sim", 'Ações'!BH419="sim"), 1, 0)
</f>
        <v>0</v>
      </c>
    </row>
    <row r="412">
      <c r="B412" s="319">
        <f>IF(AND('Ações'!AS420="sim", 'Ações'!BD420="sim"), 1, 0)
</f>
        <v>0</v>
      </c>
      <c r="C412" s="319">
        <f>IF(AND('Ações'!AT420="sim", 'Ações'!BE420="sim"), 1, 0)
</f>
        <v>0</v>
      </c>
      <c r="D412" s="319">
        <f>IF(AND('Ações'!AU420="sim", 'Ações'!BF420="sim"), 1, 0)
</f>
        <v>0</v>
      </c>
      <c r="E412" s="319">
        <f>IF(AND('Ações'!AV420="sim", 'Ações'!BG420="sim"), 1, 0)
</f>
        <v>0</v>
      </c>
      <c r="F412" s="319">
        <f>IF(AND('Ações'!AW420="sim", 'Ações'!BH420="sim"), 1, 0)
</f>
        <v>0</v>
      </c>
      <c r="G412" s="319">
        <f>IF(AND('Ações'!AX420="sim", 'Ações'!BI420="sim"), 1, 0)
</f>
        <v>1</v>
      </c>
      <c r="H412" s="319">
        <f>IF(AND('Ações'!AS420="sim", 'Ações'!BE420="sim"), 1, 0)
</f>
        <v>0</v>
      </c>
      <c r="I412" s="319">
        <f>IF(AND('Ações'!AS420="sim", 'Ações'!BF420="sim"), 1, 0)
</f>
        <v>0</v>
      </c>
      <c r="J412" s="319">
        <f>IF(AND('Ações'!AS420="sim", 'Ações'!BG420="sim"), 1, 0)
</f>
        <v>0</v>
      </c>
      <c r="K412" s="319">
        <f>IF(AND('Ações'!AS420="sim", 'Ações'!BH420="sim"), 1, 0)
</f>
        <v>0</v>
      </c>
      <c r="L412" s="319">
        <f>IF(AND('Ações'!AS420="sim", 'Ações'!BI420="sim"), 1, 0)
</f>
        <v>0</v>
      </c>
      <c r="M412" s="319">
        <f>IF(AND('Ações'!AT420="sim", 'Ações'!BD420="sim"), 1, 0)
</f>
        <v>0</v>
      </c>
      <c r="N412" s="319">
        <f>IF(AND('Ações'!AT420="sim", 'Ações'!BF420="sim"), 1, 0)
</f>
        <v>0</v>
      </c>
      <c r="O412" s="319">
        <f>IF(AND('Ações'!AT420="sim", 'Ações'!BG420="sim"), 1, 0)
</f>
        <v>0</v>
      </c>
      <c r="P412" s="319">
        <f>IF(AND('Ações'!AT420="sim", 'Ações'!BH420="sim"), 1, 0)
</f>
        <v>0</v>
      </c>
      <c r="Q412" s="319">
        <f>IF(AND('Ações'!AT420="sim", 'Ações'!BI420="sim"), 1, 0)
</f>
        <v>0</v>
      </c>
      <c r="R412" s="319">
        <f>IF(AND('Ações'!AU420="sim", 'Ações'!BD420="sim"), 1, 0)
</f>
        <v>0</v>
      </c>
      <c r="S412" s="319">
        <f>IF(AND('Ações'!AU420="sim", 'Ações'!BE420="sim"), 1, 0)
</f>
        <v>0</v>
      </c>
      <c r="T412" s="319">
        <f>IF(AND('Ações'!AU420="sim", 'Ações'!BG420="sim"), 1, 0)
</f>
        <v>0</v>
      </c>
      <c r="U412" s="319">
        <f>IF(AND('Ações'!AU420="sim", 'Ações'!BH420="sim"), 1, 0)
</f>
        <v>0</v>
      </c>
      <c r="V412" s="319">
        <f>IF(AND('Ações'!AU420="sim", 'Ações'!BI420="sim"), 1, 0)
</f>
        <v>1</v>
      </c>
      <c r="W412" s="319">
        <f>IF(AND('Ações'!AV420="sim", 'Ações'!BD420="sim"), 1, 0)
</f>
        <v>0</v>
      </c>
      <c r="X412" s="319">
        <f>IF(AND('Ações'!AV420="sim", 'Ações'!BE420="sim"), 1, 0)
</f>
        <v>0</v>
      </c>
      <c r="Y412" s="319">
        <f>IF(AND('Ações'!AV420="sim", 'Ações'!BF420="sim"), 1, 0)
</f>
        <v>0</v>
      </c>
      <c r="Z412" s="319">
        <f>IF(AND('Ações'!AV420="sim", 'Ações'!BH420="sim"), 1, 0)
</f>
        <v>0</v>
      </c>
      <c r="AA412" s="319">
        <f>IF(AND('Ações'!AV420="sim", 'Ações'!BI420="sim"), 1, 0)
</f>
        <v>1</v>
      </c>
      <c r="AB412" s="319">
        <f>IF(AND('Ações'!AW420="sim", 'Ações'!BD420="sim"), 1, 0)
</f>
        <v>0</v>
      </c>
      <c r="AC412" s="319">
        <f>IF(AND('Ações'!AW420="sim", 'Ações'!BE420="sim"), 1, 0)
</f>
        <v>0</v>
      </c>
      <c r="AD412" s="319">
        <f>IF(AND('Ações'!AW420="sim", 'Ações'!BF420="sim"), 1, 0)
</f>
        <v>0</v>
      </c>
      <c r="AE412" s="319">
        <f>IF(AND('Ações'!AW420="sim", 'Ações'!BG420="sim"), 1, 0)
</f>
        <v>0</v>
      </c>
      <c r="AF412" s="319">
        <f>IF(AND('Ações'!AW420="sim", 'Ações'!BI420="sim"), 1, 0)
</f>
        <v>1</v>
      </c>
      <c r="AG412" s="319">
        <f>IF(AND('Ações'!AX420="sim", 'Ações'!BD420="sim"), 1, 0)
</f>
        <v>0</v>
      </c>
      <c r="AH412" s="319">
        <f>IF(AND('Ações'!AX420="sim", 'Ações'!BE420="sim"), 1, 0)
</f>
        <v>0</v>
      </c>
      <c r="AI412" s="319">
        <f>IF(AND('Ações'!AX420="sim", 'Ações'!BF420="sim"), 1, 0)
</f>
        <v>0</v>
      </c>
      <c r="AJ412" s="319">
        <f>IF(AND('Ações'!AX420="sim", 'Ações'!BG420="sim"), 1, 0)
</f>
        <v>0</v>
      </c>
      <c r="AK412" s="319">
        <f>IF(AND('Ações'!AX420="sim", 'Ações'!BH420="sim"), 1, 0)
</f>
        <v>0</v>
      </c>
    </row>
    <row r="413">
      <c r="B413" s="319">
        <f>IF(AND('Ações'!AS421="sim", 'Ações'!BD421="sim"), 1, 0)
</f>
        <v>0</v>
      </c>
      <c r="C413" s="319">
        <f>IF(AND('Ações'!AT421="sim", 'Ações'!BE421="sim"), 1, 0)
</f>
        <v>0</v>
      </c>
      <c r="D413" s="319">
        <f>IF(AND('Ações'!AU421="sim", 'Ações'!BF421="sim"), 1, 0)
</f>
        <v>0</v>
      </c>
      <c r="E413" s="319">
        <f>IF(AND('Ações'!AV421="sim", 'Ações'!BG421="sim"), 1, 0)
</f>
        <v>0</v>
      </c>
      <c r="F413" s="319">
        <f>IF(AND('Ações'!AW421="sim", 'Ações'!BH421="sim"), 1, 0)
</f>
        <v>0</v>
      </c>
      <c r="G413" s="319">
        <f>IF(AND('Ações'!AX421="sim", 'Ações'!BI421="sim"), 1, 0)
</f>
        <v>1</v>
      </c>
      <c r="H413" s="319">
        <f>IF(AND('Ações'!AS421="sim", 'Ações'!BE421="sim"), 1, 0)
</f>
        <v>0</v>
      </c>
      <c r="I413" s="319">
        <f>IF(AND('Ações'!AS421="sim", 'Ações'!BF421="sim"), 1, 0)
</f>
        <v>0</v>
      </c>
      <c r="J413" s="319">
        <f>IF(AND('Ações'!AS421="sim", 'Ações'!BG421="sim"), 1, 0)
</f>
        <v>0</v>
      </c>
      <c r="K413" s="319">
        <f>IF(AND('Ações'!AS421="sim", 'Ações'!BH421="sim"), 1, 0)
</f>
        <v>0</v>
      </c>
      <c r="L413" s="319">
        <f>IF(AND('Ações'!AS421="sim", 'Ações'!BI421="sim"), 1, 0)
</f>
        <v>0</v>
      </c>
      <c r="M413" s="319">
        <f>IF(AND('Ações'!AT421="sim", 'Ações'!BD421="sim"), 1, 0)
</f>
        <v>0</v>
      </c>
      <c r="N413" s="319">
        <f>IF(AND('Ações'!AT421="sim", 'Ações'!BF421="sim"), 1, 0)
</f>
        <v>0</v>
      </c>
      <c r="O413" s="319">
        <f>IF(AND('Ações'!AT421="sim", 'Ações'!BG421="sim"), 1, 0)
</f>
        <v>0</v>
      </c>
      <c r="P413" s="319">
        <f>IF(AND('Ações'!AT421="sim", 'Ações'!BH421="sim"), 1, 0)
</f>
        <v>0</v>
      </c>
      <c r="Q413" s="319">
        <f>IF(AND('Ações'!AT421="sim", 'Ações'!BI421="sim"), 1, 0)
</f>
        <v>0</v>
      </c>
      <c r="R413" s="319">
        <f>IF(AND('Ações'!AU421="sim", 'Ações'!BD421="sim"), 1, 0)
</f>
        <v>0</v>
      </c>
      <c r="S413" s="319">
        <f>IF(AND('Ações'!AU421="sim", 'Ações'!BE421="sim"), 1, 0)
</f>
        <v>0</v>
      </c>
      <c r="T413" s="319">
        <f>IF(AND('Ações'!AU421="sim", 'Ações'!BG421="sim"), 1, 0)
</f>
        <v>0</v>
      </c>
      <c r="U413" s="319">
        <f>IF(AND('Ações'!AU421="sim", 'Ações'!BH421="sim"), 1, 0)
</f>
        <v>0</v>
      </c>
      <c r="V413" s="319">
        <f>IF(AND('Ações'!AU421="sim", 'Ações'!BI421="sim"), 1, 0)
</f>
        <v>1</v>
      </c>
      <c r="W413" s="319">
        <f>IF(AND('Ações'!AV421="sim", 'Ações'!BD421="sim"), 1, 0)
</f>
        <v>0</v>
      </c>
      <c r="X413" s="319">
        <f>IF(AND('Ações'!AV421="sim", 'Ações'!BE421="sim"), 1, 0)
</f>
        <v>0</v>
      </c>
      <c r="Y413" s="319">
        <f>IF(AND('Ações'!AV421="sim", 'Ações'!BF421="sim"), 1, 0)
</f>
        <v>0</v>
      </c>
      <c r="Z413" s="319">
        <f>IF(AND('Ações'!AV421="sim", 'Ações'!BH421="sim"), 1, 0)
</f>
        <v>0</v>
      </c>
      <c r="AA413" s="319">
        <f>IF(AND('Ações'!AV421="sim", 'Ações'!BI421="sim"), 1, 0)
</f>
        <v>1</v>
      </c>
      <c r="AB413" s="319">
        <f>IF(AND('Ações'!AW421="sim", 'Ações'!BD421="sim"), 1, 0)
</f>
        <v>0</v>
      </c>
      <c r="AC413" s="319">
        <f>IF(AND('Ações'!AW421="sim", 'Ações'!BE421="sim"), 1, 0)
</f>
        <v>0</v>
      </c>
      <c r="AD413" s="319">
        <f>IF(AND('Ações'!AW421="sim", 'Ações'!BF421="sim"), 1, 0)
</f>
        <v>0</v>
      </c>
      <c r="AE413" s="319">
        <f>IF(AND('Ações'!AW421="sim", 'Ações'!BG421="sim"), 1, 0)
</f>
        <v>0</v>
      </c>
      <c r="AF413" s="319">
        <f>IF(AND('Ações'!AW421="sim", 'Ações'!BI421="sim"), 1, 0)
</f>
        <v>1</v>
      </c>
      <c r="AG413" s="319">
        <f>IF(AND('Ações'!AX421="sim", 'Ações'!BD421="sim"), 1, 0)
</f>
        <v>0</v>
      </c>
      <c r="AH413" s="319">
        <f>IF(AND('Ações'!AX421="sim", 'Ações'!BE421="sim"), 1, 0)
</f>
        <v>0</v>
      </c>
      <c r="AI413" s="319">
        <f>IF(AND('Ações'!AX421="sim", 'Ações'!BF421="sim"), 1, 0)
</f>
        <v>0</v>
      </c>
      <c r="AJ413" s="319">
        <f>IF(AND('Ações'!AX421="sim", 'Ações'!BG421="sim"), 1, 0)
</f>
        <v>0</v>
      </c>
      <c r="AK413" s="319">
        <f>IF(AND('Ações'!AX421="sim", 'Ações'!BH421="sim"), 1, 0)
</f>
        <v>0</v>
      </c>
    </row>
    <row r="414">
      <c r="B414" s="319">
        <f>IF(AND('Ações'!AS422="sim", 'Ações'!BD422="sim"), 1, 0)
</f>
        <v>0</v>
      </c>
      <c r="C414" s="319">
        <f>IF(AND('Ações'!AT422="sim", 'Ações'!BE422="sim"), 1, 0)
</f>
        <v>0</v>
      </c>
      <c r="D414" s="319">
        <f>IF(AND('Ações'!AU422="sim", 'Ações'!BF422="sim"), 1, 0)
</f>
        <v>0</v>
      </c>
      <c r="E414" s="319">
        <f>IF(AND('Ações'!AV422="sim", 'Ações'!BG422="sim"), 1, 0)
</f>
        <v>0</v>
      </c>
      <c r="F414" s="319">
        <f>IF(AND('Ações'!AW422="sim", 'Ações'!BH422="sim"), 1, 0)
</f>
        <v>0</v>
      </c>
      <c r="G414" s="319">
        <f>IF(AND('Ações'!AX422="sim", 'Ações'!BI422="sim"), 1, 0)
</f>
        <v>0</v>
      </c>
      <c r="H414" s="319">
        <f>IF(AND('Ações'!AS422="sim", 'Ações'!BE422="sim"), 1, 0)
</f>
        <v>0</v>
      </c>
      <c r="I414" s="319">
        <f>IF(AND('Ações'!AS422="sim", 'Ações'!BF422="sim"), 1, 0)
</f>
        <v>0</v>
      </c>
      <c r="J414" s="319">
        <f>IF(AND('Ações'!AS422="sim", 'Ações'!BG422="sim"), 1, 0)
</f>
        <v>0</v>
      </c>
      <c r="K414" s="319">
        <f>IF(AND('Ações'!AS422="sim", 'Ações'!BH422="sim"), 1, 0)
</f>
        <v>0</v>
      </c>
      <c r="L414" s="319">
        <f>IF(AND('Ações'!AS422="sim", 'Ações'!BI422="sim"), 1, 0)
</f>
        <v>0</v>
      </c>
      <c r="M414" s="319">
        <f>IF(AND('Ações'!AT422="sim", 'Ações'!BD422="sim"), 1, 0)
</f>
        <v>0</v>
      </c>
      <c r="N414" s="319">
        <f>IF(AND('Ações'!AT422="sim", 'Ações'!BF422="sim"), 1, 0)
</f>
        <v>0</v>
      </c>
      <c r="O414" s="319">
        <f>IF(AND('Ações'!AT422="sim", 'Ações'!BG422="sim"), 1, 0)
</f>
        <v>0</v>
      </c>
      <c r="P414" s="319">
        <f>IF(AND('Ações'!AT422="sim", 'Ações'!BH422="sim"), 1, 0)
</f>
        <v>0</v>
      </c>
      <c r="Q414" s="319">
        <f>IF(AND('Ações'!AT422="sim", 'Ações'!BI422="sim"), 1, 0)
</f>
        <v>0</v>
      </c>
      <c r="R414" s="319">
        <f>IF(AND('Ações'!AU422="sim", 'Ações'!BD422="sim"), 1, 0)
</f>
        <v>1</v>
      </c>
      <c r="S414" s="319">
        <f>IF(AND('Ações'!AU422="sim", 'Ações'!BE422="sim"), 1, 0)
</f>
        <v>0</v>
      </c>
      <c r="T414" s="319">
        <f>IF(AND('Ações'!AU422="sim", 'Ações'!BG422="sim"), 1, 0)
</f>
        <v>0</v>
      </c>
      <c r="U414" s="319">
        <f>IF(AND('Ações'!AU422="sim", 'Ações'!BH422="sim"), 1, 0)
</f>
        <v>0</v>
      </c>
      <c r="V414" s="319">
        <f>IF(AND('Ações'!AU422="sim", 'Ações'!BI422="sim"), 1, 0)
</f>
        <v>0</v>
      </c>
      <c r="W414" s="319">
        <f>IF(AND('Ações'!AV422="sim", 'Ações'!BD422="sim"), 1, 0)
</f>
        <v>1</v>
      </c>
      <c r="X414" s="319">
        <f>IF(AND('Ações'!AV422="sim", 'Ações'!BE422="sim"), 1, 0)
</f>
        <v>0</v>
      </c>
      <c r="Y414" s="319">
        <f>IF(AND('Ações'!AV422="sim", 'Ações'!BF422="sim"), 1, 0)
</f>
        <v>0</v>
      </c>
      <c r="Z414" s="319">
        <f>IF(AND('Ações'!AV422="sim", 'Ações'!BH422="sim"), 1, 0)
</f>
        <v>0</v>
      </c>
      <c r="AA414" s="319">
        <f>IF(AND('Ações'!AV422="sim", 'Ações'!BI422="sim"), 1, 0)
</f>
        <v>0</v>
      </c>
      <c r="AB414" s="319">
        <f>IF(AND('Ações'!AW422="sim", 'Ações'!BD422="sim"), 1, 0)
</f>
        <v>1</v>
      </c>
      <c r="AC414" s="319">
        <f>IF(AND('Ações'!AW422="sim", 'Ações'!BE422="sim"), 1, 0)
</f>
        <v>0</v>
      </c>
      <c r="AD414" s="319">
        <f>IF(AND('Ações'!AW422="sim", 'Ações'!BF422="sim"), 1, 0)
</f>
        <v>0</v>
      </c>
      <c r="AE414" s="319">
        <f>IF(AND('Ações'!AW422="sim", 'Ações'!BG422="sim"), 1, 0)
</f>
        <v>0</v>
      </c>
      <c r="AF414" s="319">
        <f>IF(AND('Ações'!AW422="sim", 'Ações'!BI422="sim"), 1, 0)
</f>
        <v>0</v>
      </c>
      <c r="AG414" s="319">
        <f>IF(AND('Ações'!AX422="sim", 'Ações'!BD422="sim"), 1, 0)
</f>
        <v>1</v>
      </c>
      <c r="AH414" s="319">
        <f>IF(AND('Ações'!AX422="sim", 'Ações'!BE422="sim"), 1, 0)
</f>
        <v>0</v>
      </c>
      <c r="AI414" s="319">
        <f>IF(AND('Ações'!AX422="sim", 'Ações'!BF422="sim"), 1, 0)
</f>
        <v>0</v>
      </c>
      <c r="AJ414" s="319">
        <f>IF(AND('Ações'!AX422="sim", 'Ações'!BG422="sim"), 1, 0)
</f>
        <v>0</v>
      </c>
      <c r="AK414" s="319">
        <f>IF(AND('Ações'!AX422="sim", 'Ações'!BH422="sim"), 1, 0)
</f>
        <v>0</v>
      </c>
    </row>
    <row r="415">
      <c r="B415" s="319">
        <f>IF(AND('Ações'!AS423="sim", 'Ações'!BD423="sim"), 1, 0)
</f>
        <v>0</v>
      </c>
      <c r="C415" s="319">
        <f>IF(AND('Ações'!AT423="sim", 'Ações'!BE423="sim"), 1, 0)
</f>
        <v>0</v>
      </c>
      <c r="D415" s="319">
        <f>IF(AND('Ações'!AU423="sim", 'Ações'!BF423="sim"), 1, 0)
</f>
        <v>0</v>
      </c>
      <c r="E415" s="319">
        <f>IF(AND('Ações'!AV423="sim", 'Ações'!BG423="sim"), 1, 0)
</f>
        <v>0</v>
      </c>
      <c r="F415" s="319">
        <f>IF(AND('Ações'!AW423="sim", 'Ações'!BH423="sim"), 1, 0)
</f>
        <v>0</v>
      </c>
      <c r="G415" s="319">
        <f>IF(AND('Ações'!AX423="sim", 'Ações'!BI423="sim"), 1, 0)
</f>
        <v>1</v>
      </c>
      <c r="H415" s="319">
        <f>IF(AND('Ações'!AS423="sim", 'Ações'!BE423="sim"), 1, 0)
</f>
        <v>0</v>
      </c>
      <c r="I415" s="319">
        <f>IF(AND('Ações'!AS423="sim", 'Ações'!BF423="sim"), 1, 0)
</f>
        <v>0</v>
      </c>
      <c r="J415" s="319">
        <f>IF(AND('Ações'!AS423="sim", 'Ações'!BG423="sim"), 1, 0)
</f>
        <v>0</v>
      </c>
      <c r="K415" s="319">
        <f>IF(AND('Ações'!AS423="sim", 'Ações'!BH423="sim"), 1, 0)
</f>
        <v>0</v>
      </c>
      <c r="L415" s="319">
        <f>IF(AND('Ações'!AS423="sim", 'Ações'!BI423="sim"), 1, 0)
</f>
        <v>1</v>
      </c>
      <c r="M415" s="319">
        <f>IF(AND('Ações'!AT423="sim", 'Ações'!BD423="sim"), 1, 0)
</f>
        <v>0</v>
      </c>
      <c r="N415" s="319">
        <f>IF(AND('Ações'!AT423="sim", 'Ações'!BF423="sim"), 1, 0)
</f>
        <v>0</v>
      </c>
      <c r="O415" s="319">
        <f>IF(AND('Ações'!AT423="sim", 'Ações'!BG423="sim"), 1, 0)
</f>
        <v>0</v>
      </c>
      <c r="P415" s="319">
        <f>IF(AND('Ações'!AT423="sim", 'Ações'!BH423="sim"), 1, 0)
</f>
        <v>0</v>
      </c>
      <c r="Q415" s="319">
        <f>IF(AND('Ações'!AT423="sim", 'Ações'!BI423="sim"), 1, 0)
</f>
        <v>1</v>
      </c>
      <c r="R415" s="319">
        <f>IF(AND('Ações'!AU423="sim", 'Ações'!BD423="sim"), 1, 0)
</f>
        <v>0</v>
      </c>
      <c r="S415" s="319">
        <f>IF(AND('Ações'!AU423="sim", 'Ações'!BE423="sim"), 1, 0)
</f>
        <v>0</v>
      </c>
      <c r="T415" s="319">
        <f>IF(AND('Ações'!AU423="sim", 'Ações'!BG423="sim"), 1, 0)
</f>
        <v>0</v>
      </c>
      <c r="U415" s="319">
        <f>IF(AND('Ações'!AU423="sim", 'Ações'!BH423="sim"), 1, 0)
</f>
        <v>0</v>
      </c>
      <c r="V415" s="319">
        <f>IF(AND('Ações'!AU423="sim", 'Ações'!BI423="sim"), 1, 0)
</f>
        <v>1</v>
      </c>
      <c r="W415" s="319">
        <f>IF(AND('Ações'!AV423="sim", 'Ações'!BD423="sim"), 1, 0)
</f>
        <v>0</v>
      </c>
      <c r="X415" s="319">
        <f>IF(AND('Ações'!AV423="sim", 'Ações'!BE423="sim"), 1, 0)
</f>
        <v>0</v>
      </c>
      <c r="Y415" s="319">
        <f>IF(AND('Ações'!AV423="sim", 'Ações'!BF423="sim"), 1, 0)
</f>
        <v>0</v>
      </c>
      <c r="Z415" s="319">
        <f>IF(AND('Ações'!AV423="sim", 'Ações'!BH423="sim"), 1, 0)
</f>
        <v>0</v>
      </c>
      <c r="AA415" s="319">
        <f>IF(AND('Ações'!AV423="sim", 'Ações'!BI423="sim"), 1, 0)
</f>
        <v>1</v>
      </c>
      <c r="AB415" s="319">
        <f>IF(AND('Ações'!AW423="sim", 'Ações'!BD423="sim"), 1, 0)
</f>
        <v>0</v>
      </c>
      <c r="AC415" s="319">
        <f>IF(AND('Ações'!AW423="sim", 'Ações'!BE423="sim"), 1, 0)
</f>
        <v>0</v>
      </c>
      <c r="AD415" s="319">
        <f>IF(AND('Ações'!AW423="sim", 'Ações'!BF423="sim"), 1, 0)
</f>
        <v>0</v>
      </c>
      <c r="AE415" s="319">
        <f>IF(AND('Ações'!AW423="sim", 'Ações'!BG423="sim"), 1, 0)
</f>
        <v>0</v>
      </c>
      <c r="AF415" s="319">
        <f>IF(AND('Ações'!AW423="sim", 'Ações'!BI423="sim"), 1, 0)
</f>
        <v>1</v>
      </c>
      <c r="AG415" s="319">
        <f>IF(AND('Ações'!AX423="sim", 'Ações'!BD423="sim"), 1, 0)
</f>
        <v>0</v>
      </c>
      <c r="AH415" s="319">
        <f>IF(AND('Ações'!AX423="sim", 'Ações'!BE423="sim"), 1, 0)
</f>
        <v>0</v>
      </c>
      <c r="AI415" s="319">
        <f>IF(AND('Ações'!AX423="sim", 'Ações'!BF423="sim"), 1, 0)
</f>
        <v>0</v>
      </c>
      <c r="AJ415" s="319">
        <f>IF(AND('Ações'!AX423="sim", 'Ações'!BG423="sim"), 1, 0)
</f>
        <v>0</v>
      </c>
      <c r="AK415" s="319">
        <f>IF(AND('Ações'!AX423="sim", 'Ações'!BH423="sim"), 1, 0)
</f>
        <v>0</v>
      </c>
    </row>
    <row r="416">
      <c r="B416" s="319">
        <f>IF(AND('Ações'!AS424="sim", 'Ações'!BD424="sim"), 1, 0)
</f>
        <v>0</v>
      </c>
      <c r="C416" s="319">
        <f>IF(AND('Ações'!AT424="sim", 'Ações'!BE424="sim"), 1, 0)
</f>
        <v>0</v>
      </c>
      <c r="D416" s="319">
        <f>IF(AND('Ações'!AU424="sim", 'Ações'!BF424="sim"), 1, 0)
</f>
        <v>0</v>
      </c>
      <c r="E416" s="319">
        <f>IF(AND('Ações'!AV424="sim", 'Ações'!BG424="sim"), 1, 0)
</f>
        <v>0</v>
      </c>
      <c r="F416" s="319">
        <f>IF(AND('Ações'!AW424="sim", 'Ações'!BH424="sim"), 1, 0)
</f>
        <v>0</v>
      </c>
      <c r="G416" s="319">
        <f>IF(AND('Ações'!AX424="sim", 'Ações'!BI424="sim"), 1, 0)
</f>
        <v>1</v>
      </c>
      <c r="H416" s="319">
        <f>IF(AND('Ações'!AS424="sim", 'Ações'!BE424="sim"), 1, 0)
</f>
        <v>0</v>
      </c>
      <c r="I416" s="319">
        <f>IF(AND('Ações'!AS424="sim", 'Ações'!BF424="sim"), 1, 0)
</f>
        <v>0</v>
      </c>
      <c r="J416" s="319">
        <f>IF(AND('Ações'!AS424="sim", 'Ações'!BG424="sim"), 1, 0)
</f>
        <v>0</v>
      </c>
      <c r="K416" s="319">
        <f>IF(AND('Ações'!AS424="sim", 'Ações'!BH424="sim"), 1, 0)
</f>
        <v>0</v>
      </c>
      <c r="L416" s="319">
        <f>IF(AND('Ações'!AS424="sim", 'Ações'!BI424="sim"), 1, 0)
</f>
        <v>1</v>
      </c>
      <c r="M416" s="319">
        <f>IF(AND('Ações'!AT424="sim", 'Ações'!BD424="sim"), 1, 0)
</f>
        <v>0</v>
      </c>
      <c r="N416" s="319">
        <f>IF(AND('Ações'!AT424="sim", 'Ações'!BF424="sim"), 1, 0)
</f>
        <v>0</v>
      </c>
      <c r="O416" s="319">
        <f>IF(AND('Ações'!AT424="sim", 'Ações'!BG424="sim"), 1, 0)
</f>
        <v>0</v>
      </c>
      <c r="P416" s="319">
        <f>IF(AND('Ações'!AT424="sim", 'Ações'!BH424="sim"), 1, 0)
</f>
        <v>0</v>
      </c>
      <c r="Q416" s="319">
        <f>IF(AND('Ações'!AT424="sim", 'Ações'!BI424="sim"), 1, 0)
</f>
        <v>1</v>
      </c>
      <c r="R416" s="319">
        <f>IF(AND('Ações'!AU424="sim", 'Ações'!BD424="sim"), 1, 0)
</f>
        <v>0</v>
      </c>
      <c r="S416" s="319">
        <f>IF(AND('Ações'!AU424="sim", 'Ações'!BE424="sim"), 1, 0)
</f>
        <v>0</v>
      </c>
      <c r="T416" s="319">
        <f>IF(AND('Ações'!AU424="sim", 'Ações'!BG424="sim"), 1, 0)
</f>
        <v>0</v>
      </c>
      <c r="U416" s="319">
        <f>IF(AND('Ações'!AU424="sim", 'Ações'!BH424="sim"), 1, 0)
</f>
        <v>0</v>
      </c>
      <c r="V416" s="319">
        <f>IF(AND('Ações'!AU424="sim", 'Ações'!BI424="sim"), 1, 0)
</f>
        <v>1</v>
      </c>
      <c r="W416" s="319">
        <f>IF(AND('Ações'!AV424="sim", 'Ações'!BD424="sim"), 1, 0)
</f>
        <v>0</v>
      </c>
      <c r="X416" s="319">
        <f>IF(AND('Ações'!AV424="sim", 'Ações'!BE424="sim"), 1, 0)
</f>
        <v>0</v>
      </c>
      <c r="Y416" s="319">
        <f>IF(AND('Ações'!AV424="sim", 'Ações'!BF424="sim"), 1, 0)
</f>
        <v>0</v>
      </c>
      <c r="Z416" s="319">
        <f>IF(AND('Ações'!AV424="sim", 'Ações'!BH424="sim"), 1, 0)
</f>
        <v>0</v>
      </c>
      <c r="AA416" s="319">
        <f>IF(AND('Ações'!AV424="sim", 'Ações'!BI424="sim"), 1, 0)
</f>
        <v>1</v>
      </c>
      <c r="AB416" s="319">
        <f>IF(AND('Ações'!AW424="sim", 'Ações'!BD424="sim"), 1, 0)
</f>
        <v>0</v>
      </c>
      <c r="AC416" s="319">
        <f>IF(AND('Ações'!AW424="sim", 'Ações'!BE424="sim"), 1, 0)
</f>
        <v>0</v>
      </c>
      <c r="AD416" s="319">
        <f>IF(AND('Ações'!AW424="sim", 'Ações'!BF424="sim"), 1, 0)
</f>
        <v>0</v>
      </c>
      <c r="AE416" s="319">
        <f>IF(AND('Ações'!AW424="sim", 'Ações'!BG424="sim"), 1, 0)
</f>
        <v>0</v>
      </c>
      <c r="AF416" s="319">
        <f>IF(AND('Ações'!AW424="sim", 'Ações'!BI424="sim"), 1, 0)
</f>
        <v>1</v>
      </c>
      <c r="AG416" s="319">
        <f>IF(AND('Ações'!AX424="sim", 'Ações'!BD424="sim"), 1, 0)
</f>
        <v>0</v>
      </c>
      <c r="AH416" s="319">
        <f>IF(AND('Ações'!AX424="sim", 'Ações'!BE424="sim"), 1, 0)
</f>
        <v>0</v>
      </c>
      <c r="AI416" s="319">
        <f>IF(AND('Ações'!AX424="sim", 'Ações'!BF424="sim"), 1, 0)
</f>
        <v>0</v>
      </c>
      <c r="AJ416" s="319">
        <f>IF(AND('Ações'!AX424="sim", 'Ações'!BG424="sim"), 1, 0)
</f>
        <v>0</v>
      </c>
      <c r="AK416" s="319">
        <f>IF(AND('Ações'!AX424="sim", 'Ações'!BH424="sim"), 1, 0)
</f>
        <v>0</v>
      </c>
    </row>
    <row r="417">
      <c r="B417" s="319">
        <f>IF(AND('Ações'!AS425="sim", 'Ações'!BD425="sim"), 1, 0)
</f>
        <v>0</v>
      </c>
      <c r="C417" s="319">
        <f>IF(AND('Ações'!AT425="sim", 'Ações'!BE425="sim"), 1, 0)
</f>
        <v>0</v>
      </c>
      <c r="D417" s="319">
        <f>IF(AND('Ações'!AU425="sim", 'Ações'!BF425="sim"), 1, 0)
</f>
        <v>0</v>
      </c>
      <c r="E417" s="319">
        <f>IF(AND('Ações'!AV425="sim", 'Ações'!BG425="sim"), 1, 0)
</f>
        <v>0</v>
      </c>
      <c r="F417" s="319">
        <f>IF(AND('Ações'!AW425="sim", 'Ações'!BH425="sim"), 1, 0)
</f>
        <v>0</v>
      </c>
      <c r="G417" s="319">
        <f>IF(AND('Ações'!AX425="sim", 'Ações'!BI425="sim"), 1, 0)
</f>
        <v>1</v>
      </c>
      <c r="H417" s="319">
        <f>IF(AND('Ações'!AS425="sim", 'Ações'!BE425="sim"), 1, 0)
</f>
        <v>0</v>
      </c>
      <c r="I417" s="319">
        <f>IF(AND('Ações'!AS425="sim", 'Ações'!BF425="sim"), 1, 0)
</f>
        <v>0</v>
      </c>
      <c r="J417" s="319">
        <f>IF(AND('Ações'!AS425="sim", 'Ações'!BG425="sim"), 1, 0)
</f>
        <v>0</v>
      </c>
      <c r="K417" s="319">
        <f>IF(AND('Ações'!AS425="sim", 'Ações'!BH425="sim"), 1, 0)
</f>
        <v>0</v>
      </c>
      <c r="L417" s="319">
        <f>IF(AND('Ações'!AS425="sim", 'Ações'!BI425="sim"), 1, 0)
</f>
        <v>1</v>
      </c>
      <c r="M417" s="319">
        <f>IF(AND('Ações'!AT425="sim", 'Ações'!BD425="sim"), 1, 0)
</f>
        <v>0</v>
      </c>
      <c r="N417" s="319">
        <f>IF(AND('Ações'!AT425="sim", 'Ações'!BF425="sim"), 1, 0)
</f>
        <v>0</v>
      </c>
      <c r="O417" s="319">
        <f>IF(AND('Ações'!AT425="sim", 'Ações'!BG425="sim"), 1, 0)
</f>
        <v>0</v>
      </c>
      <c r="P417" s="319">
        <f>IF(AND('Ações'!AT425="sim", 'Ações'!BH425="sim"), 1, 0)
</f>
        <v>0</v>
      </c>
      <c r="Q417" s="319">
        <f>IF(AND('Ações'!AT425="sim", 'Ações'!BI425="sim"), 1, 0)
</f>
        <v>1</v>
      </c>
      <c r="R417" s="319">
        <f>IF(AND('Ações'!AU425="sim", 'Ações'!BD425="sim"), 1, 0)
</f>
        <v>0</v>
      </c>
      <c r="S417" s="319">
        <f>IF(AND('Ações'!AU425="sim", 'Ações'!BE425="sim"), 1, 0)
</f>
        <v>0</v>
      </c>
      <c r="T417" s="319">
        <f>IF(AND('Ações'!AU425="sim", 'Ações'!BG425="sim"), 1, 0)
</f>
        <v>0</v>
      </c>
      <c r="U417" s="319">
        <f>IF(AND('Ações'!AU425="sim", 'Ações'!BH425="sim"), 1, 0)
</f>
        <v>0</v>
      </c>
      <c r="V417" s="319">
        <f>IF(AND('Ações'!AU425="sim", 'Ações'!BI425="sim"), 1, 0)
</f>
        <v>1</v>
      </c>
      <c r="W417" s="319">
        <f>IF(AND('Ações'!AV425="sim", 'Ações'!BD425="sim"), 1, 0)
</f>
        <v>0</v>
      </c>
      <c r="X417" s="319">
        <f>IF(AND('Ações'!AV425="sim", 'Ações'!BE425="sim"), 1, 0)
</f>
        <v>0</v>
      </c>
      <c r="Y417" s="319">
        <f>IF(AND('Ações'!AV425="sim", 'Ações'!BF425="sim"), 1, 0)
</f>
        <v>0</v>
      </c>
      <c r="Z417" s="319">
        <f>IF(AND('Ações'!AV425="sim", 'Ações'!BH425="sim"), 1, 0)
</f>
        <v>0</v>
      </c>
      <c r="AA417" s="319">
        <f>IF(AND('Ações'!AV425="sim", 'Ações'!BI425="sim"), 1, 0)
</f>
        <v>1</v>
      </c>
      <c r="AB417" s="319">
        <f>IF(AND('Ações'!AW425="sim", 'Ações'!BD425="sim"), 1, 0)
</f>
        <v>0</v>
      </c>
      <c r="AC417" s="319">
        <f>IF(AND('Ações'!AW425="sim", 'Ações'!BE425="sim"), 1, 0)
</f>
        <v>0</v>
      </c>
      <c r="AD417" s="319">
        <f>IF(AND('Ações'!AW425="sim", 'Ações'!BF425="sim"), 1, 0)
</f>
        <v>0</v>
      </c>
      <c r="AE417" s="319">
        <f>IF(AND('Ações'!AW425="sim", 'Ações'!BG425="sim"), 1, 0)
</f>
        <v>0</v>
      </c>
      <c r="AF417" s="319">
        <f>IF(AND('Ações'!AW425="sim", 'Ações'!BI425="sim"), 1, 0)
</f>
        <v>1</v>
      </c>
      <c r="AG417" s="319">
        <f>IF(AND('Ações'!AX425="sim", 'Ações'!BD425="sim"), 1, 0)
</f>
        <v>0</v>
      </c>
      <c r="AH417" s="319">
        <f>IF(AND('Ações'!AX425="sim", 'Ações'!BE425="sim"), 1, 0)
</f>
        <v>0</v>
      </c>
      <c r="AI417" s="319">
        <f>IF(AND('Ações'!AX425="sim", 'Ações'!BF425="sim"), 1, 0)
</f>
        <v>0</v>
      </c>
      <c r="AJ417" s="319">
        <f>IF(AND('Ações'!AX425="sim", 'Ações'!BG425="sim"), 1, 0)
</f>
        <v>0</v>
      </c>
      <c r="AK417" s="319">
        <f>IF(AND('Ações'!AX425="sim", 'Ações'!BH425="sim"), 1, 0)
</f>
        <v>0</v>
      </c>
    </row>
    <row r="418">
      <c r="B418" s="319">
        <f>IF(AND('Ações'!AS426="sim", 'Ações'!BD426="sim"), 1, 0)
</f>
        <v>1</v>
      </c>
      <c r="C418" s="319">
        <f>IF(AND('Ações'!AT426="sim", 'Ações'!BE426="sim"), 1, 0)
</f>
        <v>0</v>
      </c>
      <c r="D418" s="319">
        <f>IF(AND('Ações'!AU426="sim", 'Ações'!BF426="sim"), 1, 0)
</f>
        <v>0</v>
      </c>
      <c r="E418" s="319">
        <f>IF(AND('Ações'!AV426="sim", 'Ações'!BG426="sim"), 1, 0)
</f>
        <v>0</v>
      </c>
      <c r="F418" s="319">
        <f>IF(AND('Ações'!AW426="sim", 'Ações'!BH426="sim"), 1, 0)
</f>
        <v>0</v>
      </c>
      <c r="G418" s="319">
        <f>IF(AND('Ações'!AX426="sim", 'Ações'!BI426="sim"), 1, 0)
</f>
        <v>0</v>
      </c>
      <c r="H418" s="319">
        <f>IF(AND('Ações'!AS426="sim", 'Ações'!BE426="sim"), 1, 0)
</f>
        <v>0</v>
      </c>
      <c r="I418" s="319">
        <f>IF(AND('Ações'!AS426="sim", 'Ações'!BF426="sim"), 1, 0)
</f>
        <v>0</v>
      </c>
      <c r="J418" s="319">
        <f>IF(AND('Ações'!AS426="sim", 'Ações'!BG426="sim"), 1, 0)
</f>
        <v>0</v>
      </c>
      <c r="K418" s="319">
        <f>IF(AND('Ações'!AS426="sim", 'Ações'!BH426="sim"), 1, 0)
</f>
        <v>0</v>
      </c>
      <c r="L418" s="319">
        <f>IF(AND('Ações'!AS426="sim", 'Ações'!BI426="sim"), 1, 0)
</f>
        <v>0</v>
      </c>
      <c r="M418" s="319">
        <f>IF(AND('Ações'!AT426="sim", 'Ações'!BD426="sim"), 1, 0)
</f>
        <v>1</v>
      </c>
      <c r="N418" s="319">
        <f>IF(AND('Ações'!AT426="sim", 'Ações'!BF426="sim"), 1, 0)
</f>
        <v>0</v>
      </c>
      <c r="O418" s="319">
        <f>IF(AND('Ações'!AT426="sim", 'Ações'!BG426="sim"), 1, 0)
</f>
        <v>0</v>
      </c>
      <c r="P418" s="319">
        <f>IF(AND('Ações'!AT426="sim", 'Ações'!BH426="sim"), 1, 0)
</f>
        <v>0</v>
      </c>
      <c r="Q418" s="319">
        <f>IF(AND('Ações'!AT426="sim", 'Ações'!BI426="sim"), 1, 0)
</f>
        <v>0</v>
      </c>
      <c r="R418" s="319">
        <f>IF(AND('Ações'!AU426="sim", 'Ações'!BD426="sim"), 1, 0)
</f>
        <v>1</v>
      </c>
      <c r="S418" s="319">
        <f>IF(AND('Ações'!AU426="sim", 'Ações'!BE426="sim"), 1, 0)
</f>
        <v>0</v>
      </c>
      <c r="T418" s="319">
        <f>IF(AND('Ações'!AU426="sim", 'Ações'!BG426="sim"), 1, 0)
</f>
        <v>0</v>
      </c>
      <c r="U418" s="319">
        <f>IF(AND('Ações'!AU426="sim", 'Ações'!BH426="sim"), 1, 0)
</f>
        <v>0</v>
      </c>
      <c r="V418" s="319">
        <f>IF(AND('Ações'!AU426="sim", 'Ações'!BI426="sim"), 1, 0)
</f>
        <v>0</v>
      </c>
      <c r="W418" s="319">
        <f>IF(AND('Ações'!AV426="sim", 'Ações'!BD426="sim"), 1, 0)
</f>
        <v>1</v>
      </c>
      <c r="X418" s="319">
        <f>IF(AND('Ações'!AV426="sim", 'Ações'!BE426="sim"), 1, 0)
</f>
        <v>0</v>
      </c>
      <c r="Y418" s="319">
        <f>IF(AND('Ações'!AV426="sim", 'Ações'!BF426="sim"), 1, 0)
</f>
        <v>0</v>
      </c>
      <c r="Z418" s="319">
        <f>IF(AND('Ações'!AV426="sim", 'Ações'!BH426="sim"), 1, 0)
</f>
        <v>0</v>
      </c>
      <c r="AA418" s="319">
        <f>IF(AND('Ações'!AV426="sim", 'Ações'!BI426="sim"), 1, 0)
</f>
        <v>0</v>
      </c>
      <c r="AB418" s="319">
        <f>IF(AND('Ações'!AW426="sim", 'Ações'!BD426="sim"), 1, 0)
</f>
        <v>1</v>
      </c>
      <c r="AC418" s="319">
        <f>IF(AND('Ações'!AW426="sim", 'Ações'!BE426="sim"), 1, 0)
</f>
        <v>0</v>
      </c>
      <c r="AD418" s="319">
        <f>IF(AND('Ações'!AW426="sim", 'Ações'!BF426="sim"), 1, 0)
</f>
        <v>0</v>
      </c>
      <c r="AE418" s="319">
        <f>IF(AND('Ações'!AW426="sim", 'Ações'!BG426="sim"), 1, 0)
</f>
        <v>0</v>
      </c>
      <c r="AF418" s="319">
        <f>IF(AND('Ações'!AW426="sim", 'Ações'!BI426="sim"), 1, 0)
</f>
        <v>0</v>
      </c>
      <c r="AG418" s="319">
        <f>IF(AND('Ações'!AX426="sim", 'Ações'!BD426="sim"), 1, 0)
</f>
        <v>1</v>
      </c>
      <c r="AH418" s="319">
        <f>IF(AND('Ações'!AX426="sim", 'Ações'!BE426="sim"), 1, 0)
</f>
        <v>0</v>
      </c>
      <c r="AI418" s="319">
        <f>IF(AND('Ações'!AX426="sim", 'Ações'!BF426="sim"), 1, 0)
</f>
        <v>0</v>
      </c>
      <c r="AJ418" s="319">
        <f>IF(AND('Ações'!AX426="sim", 'Ações'!BG426="sim"), 1, 0)
</f>
        <v>0</v>
      </c>
      <c r="AK418" s="319">
        <f>IF(AND('Ações'!AX426="sim", 'Ações'!BH426="sim"), 1, 0)
</f>
        <v>0</v>
      </c>
    </row>
    <row r="419">
      <c r="B419" s="319">
        <f>IF(AND('Ações'!AS427="sim", 'Ações'!BD427="sim"), 1, 0)
</f>
        <v>0</v>
      </c>
      <c r="C419" s="319">
        <f>IF(AND('Ações'!AT427="sim", 'Ações'!BE427="sim"), 1, 0)
</f>
        <v>0</v>
      </c>
      <c r="D419" s="319">
        <f>IF(AND('Ações'!AU427="sim", 'Ações'!BF427="sim"), 1, 0)
</f>
        <v>0</v>
      </c>
      <c r="E419" s="319">
        <f>IF(AND('Ações'!AV427="sim", 'Ações'!BG427="sim"), 1, 0)
</f>
        <v>0</v>
      </c>
      <c r="F419" s="319">
        <f>IF(AND('Ações'!AW427="sim", 'Ações'!BH427="sim"), 1, 0)
</f>
        <v>0</v>
      </c>
      <c r="G419" s="319">
        <f>IF(AND('Ações'!AX427="sim", 'Ações'!BI427="sim"), 1, 0)
</f>
        <v>0</v>
      </c>
      <c r="H419" s="319">
        <f>IF(AND('Ações'!AS427="sim", 'Ações'!BE427="sim"), 1, 0)
</f>
        <v>0</v>
      </c>
      <c r="I419" s="319">
        <f>IF(AND('Ações'!AS427="sim", 'Ações'!BF427="sim"), 1, 0)
</f>
        <v>0</v>
      </c>
      <c r="J419" s="319">
        <f>IF(AND('Ações'!AS427="sim", 'Ações'!BG427="sim"), 1, 0)
</f>
        <v>0</v>
      </c>
      <c r="K419" s="319">
        <f>IF(AND('Ações'!AS427="sim", 'Ações'!BH427="sim"), 1, 0)
</f>
        <v>0</v>
      </c>
      <c r="L419" s="319">
        <f>IF(AND('Ações'!AS427="sim", 'Ações'!BI427="sim"), 1, 0)
</f>
        <v>0</v>
      </c>
      <c r="M419" s="319">
        <f>IF(AND('Ações'!AT427="sim", 'Ações'!BD427="sim"), 1, 0)
</f>
        <v>0</v>
      </c>
      <c r="N419" s="319">
        <f>IF(AND('Ações'!AT427="sim", 'Ações'!BF427="sim"), 1, 0)
</f>
        <v>0</v>
      </c>
      <c r="O419" s="319">
        <f>IF(AND('Ações'!AT427="sim", 'Ações'!BG427="sim"), 1, 0)
</f>
        <v>0</v>
      </c>
      <c r="P419" s="319">
        <f>IF(AND('Ações'!AT427="sim", 'Ações'!BH427="sim"), 1, 0)
</f>
        <v>0</v>
      </c>
      <c r="Q419" s="319">
        <f>IF(AND('Ações'!AT427="sim", 'Ações'!BI427="sim"), 1, 0)
</f>
        <v>0</v>
      </c>
      <c r="R419" s="319">
        <f>IF(AND('Ações'!AU427="sim", 'Ações'!BD427="sim"), 1, 0)
</f>
        <v>0</v>
      </c>
      <c r="S419" s="319">
        <f>IF(AND('Ações'!AU427="sim", 'Ações'!BE427="sim"), 1, 0)
</f>
        <v>0</v>
      </c>
      <c r="T419" s="319">
        <f>IF(AND('Ações'!AU427="sim", 'Ações'!BG427="sim"), 1, 0)
</f>
        <v>0</v>
      </c>
      <c r="U419" s="319">
        <f>IF(AND('Ações'!AU427="sim", 'Ações'!BH427="sim"), 1, 0)
</f>
        <v>0</v>
      </c>
      <c r="V419" s="319">
        <f>IF(AND('Ações'!AU427="sim", 'Ações'!BI427="sim"), 1, 0)
</f>
        <v>0</v>
      </c>
      <c r="W419" s="319">
        <f>IF(AND('Ações'!AV427="sim", 'Ações'!BD427="sim"), 1, 0)
</f>
        <v>0</v>
      </c>
      <c r="X419" s="319">
        <f>IF(AND('Ações'!AV427="sim", 'Ações'!BE427="sim"), 1, 0)
</f>
        <v>0</v>
      </c>
      <c r="Y419" s="319">
        <f>IF(AND('Ações'!AV427="sim", 'Ações'!BF427="sim"), 1, 0)
</f>
        <v>0</v>
      </c>
      <c r="Z419" s="319">
        <f>IF(AND('Ações'!AV427="sim", 'Ações'!BH427="sim"), 1, 0)
</f>
        <v>0</v>
      </c>
      <c r="AA419" s="319">
        <f>IF(AND('Ações'!AV427="sim", 'Ações'!BI427="sim"), 1, 0)
</f>
        <v>0</v>
      </c>
      <c r="AB419" s="319">
        <f>IF(AND('Ações'!AW427="sim", 'Ações'!BD427="sim"), 1, 0)
</f>
        <v>0</v>
      </c>
      <c r="AC419" s="319">
        <f>IF(AND('Ações'!AW427="sim", 'Ações'!BE427="sim"), 1, 0)
</f>
        <v>0</v>
      </c>
      <c r="AD419" s="319">
        <f>IF(AND('Ações'!AW427="sim", 'Ações'!BF427="sim"), 1, 0)
</f>
        <v>0</v>
      </c>
      <c r="AE419" s="319">
        <f>IF(AND('Ações'!AW427="sim", 'Ações'!BG427="sim"), 1, 0)
</f>
        <v>0</v>
      </c>
      <c r="AF419" s="319">
        <f>IF(AND('Ações'!AW427="sim", 'Ações'!BI427="sim"), 1, 0)
</f>
        <v>0</v>
      </c>
      <c r="AG419" s="319">
        <f>IF(AND('Ações'!AX427="sim", 'Ações'!BD427="sim"), 1, 0)
</f>
        <v>0</v>
      </c>
      <c r="AH419" s="319">
        <f>IF(AND('Ações'!AX427="sim", 'Ações'!BE427="sim"), 1, 0)
</f>
        <v>0</v>
      </c>
      <c r="AI419" s="319">
        <f>IF(AND('Ações'!AX427="sim", 'Ações'!BF427="sim"), 1, 0)
</f>
        <v>0</v>
      </c>
      <c r="AJ419" s="319">
        <f>IF(AND('Ações'!AX427="sim", 'Ações'!BG427="sim"), 1, 0)
</f>
        <v>0</v>
      </c>
      <c r="AK419" s="319">
        <f>IF(AND('Ações'!AX427="sim", 'Ações'!BH427="sim"), 1, 0)
</f>
        <v>0</v>
      </c>
    </row>
    <row r="420">
      <c r="B420" s="319">
        <f>IF(AND('Ações'!AS428="sim", 'Ações'!BD428="sim"), 1, 0)
</f>
        <v>0</v>
      </c>
      <c r="C420" s="319">
        <f>IF(AND('Ações'!AT428="sim", 'Ações'!BE428="sim"), 1, 0)
</f>
        <v>0</v>
      </c>
      <c r="D420" s="319">
        <f>IF(AND('Ações'!AU428="sim", 'Ações'!BF428="sim"), 1, 0)
</f>
        <v>0</v>
      </c>
      <c r="E420" s="319">
        <f>IF(AND('Ações'!AV428="sim", 'Ações'!BG428="sim"), 1, 0)
</f>
        <v>0</v>
      </c>
      <c r="F420" s="319">
        <f>IF(AND('Ações'!AW428="sim", 'Ações'!BH428="sim"), 1, 0)
</f>
        <v>0</v>
      </c>
      <c r="G420" s="319">
        <f>IF(AND('Ações'!AX428="sim", 'Ações'!BI428="sim"), 1, 0)
</f>
        <v>1</v>
      </c>
      <c r="H420" s="319">
        <f>IF(AND('Ações'!AS428="sim", 'Ações'!BE428="sim"), 1, 0)
</f>
        <v>0</v>
      </c>
      <c r="I420" s="319">
        <f>IF(AND('Ações'!AS428="sim", 'Ações'!BF428="sim"), 1, 0)
</f>
        <v>0</v>
      </c>
      <c r="J420" s="319">
        <f>IF(AND('Ações'!AS428="sim", 'Ações'!BG428="sim"), 1, 0)
</f>
        <v>0</v>
      </c>
      <c r="K420" s="319">
        <f>IF(AND('Ações'!AS428="sim", 'Ações'!BH428="sim"), 1, 0)
</f>
        <v>0</v>
      </c>
      <c r="L420" s="319">
        <f>IF(AND('Ações'!AS428="sim", 'Ações'!BI428="sim"), 1, 0)
</f>
        <v>1</v>
      </c>
      <c r="M420" s="319">
        <f>IF(AND('Ações'!AT428="sim", 'Ações'!BD428="sim"), 1, 0)
</f>
        <v>0</v>
      </c>
      <c r="N420" s="319">
        <f>IF(AND('Ações'!AT428="sim", 'Ações'!BF428="sim"), 1, 0)
</f>
        <v>0</v>
      </c>
      <c r="O420" s="319">
        <f>IF(AND('Ações'!AT428="sim", 'Ações'!BG428="sim"), 1, 0)
</f>
        <v>0</v>
      </c>
      <c r="P420" s="319">
        <f>IF(AND('Ações'!AT428="sim", 'Ações'!BH428="sim"), 1, 0)
</f>
        <v>0</v>
      </c>
      <c r="Q420" s="319">
        <f>IF(AND('Ações'!AT428="sim", 'Ações'!BI428="sim"), 1, 0)
</f>
        <v>1</v>
      </c>
      <c r="R420" s="319">
        <f>IF(AND('Ações'!AU428="sim", 'Ações'!BD428="sim"), 1, 0)
</f>
        <v>0</v>
      </c>
      <c r="S420" s="319">
        <f>IF(AND('Ações'!AU428="sim", 'Ações'!BE428="sim"), 1, 0)
</f>
        <v>0</v>
      </c>
      <c r="T420" s="319">
        <f>IF(AND('Ações'!AU428="sim", 'Ações'!BG428="sim"), 1, 0)
</f>
        <v>0</v>
      </c>
      <c r="U420" s="319">
        <f>IF(AND('Ações'!AU428="sim", 'Ações'!BH428="sim"), 1, 0)
</f>
        <v>0</v>
      </c>
      <c r="V420" s="319">
        <f>IF(AND('Ações'!AU428="sim", 'Ações'!BI428="sim"), 1, 0)
</f>
        <v>1</v>
      </c>
      <c r="W420" s="319">
        <f>IF(AND('Ações'!AV428="sim", 'Ações'!BD428="sim"), 1, 0)
</f>
        <v>0</v>
      </c>
      <c r="X420" s="319">
        <f>IF(AND('Ações'!AV428="sim", 'Ações'!BE428="sim"), 1, 0)
</f>
        <v>0</v>
      </c>
      <c r="Y420" s="319">
        <f>IF(AND('Ações'!AV428="sim", 'Ações'!BF428="sim"), 1, 0)
</f>
        <v>0</v>
      </c>
      <c r="Z420" s="319">
        <f>IF(AND('Ações'!AV428="sim", 'Ações'!BH428="sim"), 1, 0)
</f>
        <v>0</v>
      </c>
      <c r="AA420" s="319">
        <f>IF(AND('Ações'!AV428="sim", 'Ações'!BI428="sim"), 1, 0)
</f>
        <v>1</v>
      </c>
      <c r="AB420" s="319">
        <f>IF(AND('Ações'!AW428="sim", 'Ações'!BD428="sim"), 1, 0)
</f>
        <v>0</v>
      </c>
      <c r="AC420" s="319">
        <f>IF(AND('Ações'!AW428="sim", 'Ações'!BE428="sim"), 1, 0)
</f>
        <v>0</v>
      </c>
      <c r="AD420" s="319">
        <f>IF(AND('Ações'!AW428="sim", 'Ações'!BF428="sim"), 1, 0)
</f>
        <v>0</v>
      </c>
      <c r="AE420" s="319">
        <f>IF(AND('Ações'!AW428="sim", 'Ações'!BG428="sim"), 1, 0)
</f>
        <v>0</v>
      </c>
      <c r="AF420" s="319">
        <f>IF(AND('Ações'!AW428="sim", 'Ações'!BI428="sim"), 1, 0)
</f>
        <v>1</v>
      </c>
      <c r="AG420" s="319">
        <f>IF(AND('Ações'!AX428="sim", 'Ações'!BD428="sim"), 1, 0)
</f>
        <v>0</v>
      </c>
      <c r="AH420" s="319">
        <f>IF(AND('Ações'!AX428="sim", 'Ações'!BE428="sim"), 1, 0)
</f>
        <v>0</v>
      </c>
      <c r="AI420" s="319">
        <f>IF(AND('Ações'!AX428="sim", 'Ações'!BF428="sim"), 1, 0)
</f>
        <v>0</v>
      </c>
      <c r="AJ420" s="319">
        <f>IF(AND('Ações'!AX428="sim", 'Ações'!BG428="sim"), 1, 0)
</f>
        <v>0</v>
      </c>
      <c r="AK420" s="319">
        <f>IF(AND('Ações'!AX428="sim", 'Ações'!BH428="sim"), 1, 0)
</f>
        <v>0</v>
      </c>
    </row>
    <row r="421">
      <c r="B421" s="319">
        <f>IF(AND('Ações'!AS429="sim", 'Ações'!BD429="sim"), 1, 0)
</f>
        <v>0</v>
      </c>
      <c r="C421" s="319">
        <f>IF(AND('Ações'!AT429="sim", 'Ações'!BE429="sim"), 1, 0)
</f>
        <v>0</v>
      </c>
      <c r="D421" s="319">
        <f>IF(AND('Ações'!AU429="sim", 'Ações'!BF429="sim"), 1, 0)
</f>
        <v>0</v>
      </c>
      <c r="E421" s="319">
        <f>IF(AND('Ações'!AV429="sim", 'Ações'!BG429="sim"), 1, 0)
</f>
        <v>0</v>
      </c>
      <c r="F421" s="319">
        <f>IF(AND('Ações'!AW429="sim", 'Ações'!BH429="sim"), 1, 0)
</f>
        <v>0</v>
      </c>
      <c r="G421" s="319">
        <f>IF(AND('Ações'!AX429="sim", 'Ações'!BI429="sim"), 1, 0)
</f>
        <v>1</v>
      </c>
      <c r="H421" s="319">
        <f>IF(AND('Ações'!AS429="sim", 'Ações'!BE429="sim"), 1, 0)
</f>
        <v>0</v>
      </c>
      <c r="I421" s="319">
        <f>IF(AND('Ações'!AS429="sim", 'Ações'!BF429="sim"), 1, 0)
</f>
        <v>0</v>
      </c>
      <c r="J421" s="319">
        <f>IF(AND('Ações'!AS429="sim", 'Ações'!BG429="sim"), 1, 0)
</f>
        <v>0</v>
      </c>
      <c r="K421" s="319">
        <f>IF(AND('Ações'!AS429="sim", 'Ações'!BH429="sim"), 1, 0)
</f>
        <v>0</v>
      </c>
      <c r="L421" s="319">
        <f>IF(AND('Ações'!AS429="sim", 'Ações'!BI429="sim"), 1, 0)
</f>
        <v>1</v>
      </c>
      <c r="M421" s="319">
        <f>IF(AND('Ações'!AT429="sim", 'Ações'!BD429="sim"), 1, 0)
</f>
        <v>0</v>
      </c>
      <c r="N421" s="319">
        <f>IF(AND('Ações'!AT429="sim", 'Ações'!BF429="sim"), 1, 0)
</f>
        <v>0</v>
      </c>
      <c r="O421" s="319">
        <f>IF(AND('Ações'!AT429="sim", 'Ações'!BG429="sim"), 1, 0)
</f>
        <v>0</v>
      </c>
      <c r="P421" s="319">
        <f>IF(AND('Ações'!AT429="sim", 'Ações'!BH429="sim"), 1, 0)
</f>
        <v>0</v>
      </c>
      <c r="Q421" s="319">
        <f>IF(AND('Ações'!AT429="sim", 'Ações'!BI429="sim"), 1, 0)
</f>
        <v>1</v>
      </c>
      <c r="R421" s="319">
        <f>IF(AND('Ações'!AU429="sim", 'Ações'!BD429="sim"), 1, 0)
</f>
        <v>0</v>
      </c>
      <c r="S421" s="319">
        <f>IF(AND('Ações'!AU429="sim", 'Ações'!BE429="sim"), 1, 0)
</f>
        <v>0</v>
      </c>
      <c r="T421" s="319">
        <f>IF(AND('Ações'!AU429="sim", 'Ações'!BG429="sim"), 1, 0)
</f>
        <v>0</v>
      </c>
      <c r="U421" s="319">
        <f>IF(AND('Ações'!AU429="sim", 'Ações'!BH429="sim"), 1, 0)
</f>
        <v>0</v>
      </c>
      <c r="V421" s="319">
        <f>IF(AND('Ações'!AU429="sim", 'Ações'!BI429="sim"), 1, 0)
</f>
        <v>1</v>
      </c>
      <c r="W421" s="319">
        <f>IF(AND('Ações'!AV429="sim", 'Ações'!BD429="sim"), 1, 0)
</f>
        <v>0</v>
      </c>
      <c r="X421" s="319">
        <f>IF(AND('Ações'!AV429="sim", 'Ações'!BE429="sim"), 1, 0)
</f>
        <v>0</v>
      </c>
      <c r="Y421" s="319">
        <f>IF(AND('Ações'!AV429="sim", 'Ações'!BF429="sim"), 1, 0)
</f>
        <v>0</v>
      </c>
      <c r="Z421" s="319">
        <f>IF(AND('Ações'!AV429="sim", 'Ações'!BH429="sim"), 1, 0)
</f>
        <v>0</v>
      </c>
      <c r="AA421" s="319">
        <f>IF(AND('Ações'!AV429="sim", 'Ações'!BI429="sim"), 1, 0)
</f>
        <v>1</v>
      </c>
      <c r="AB421" s="319">
        <f>IF(AND('Ações'!AW429="sim", 'Ações'!BD429="sim"), 1, 0)
</f>
        <v>0</v>
      </c>
      <c r="AC421" s="319">
        <f>IF(AND('Ações'!AW429="sim", 'Ações'!BE429="sim"), 1, 0)
</f>
        <v>0</v>
      </c>
      <c r="AD421" s="319">
        <f>IF(AND('Ações'!AW429="sim", 'Ações'!BF429="sim"), 1, 0)
</f>
        <v>0</v>
      </c>
      <c r="AE421" s="319">
        <f>IF(AND('Ações'!AW429="sim", 'Ações'!BG429="sim"), 1, 0)
</f>
        <v>0</v>
      </c>
      <c r="AF421" s="319">
        <f>IF(AND('Ações'!AW429="sim", 'Ações'!BI429="sim"), 1, 0)
</f>
        <v>1</v>
      </c>
      <c r="AG421" s="319">
        <f>IF(AND('Ações'!AX429="sim", 'Ações'!BD429="sim"), 1, 0)
</f>
        <v>0</v>
      </c>
      <c r="AH421" s="319">
        <f>IF(AND('Ações'!AX429="sim", 'Ações'!BE429="sim"), 1, 0)
</f>
        <v>0</v>
      </c>
      <c r="AI421" s="319">
        <f>IF(AND('Ações'!AX429="sim", 'Ações'!BF429="sim"), 1, 0)
</f>
        <v>0</v>
      </c>
      <c r="AJ421" s="319">
        <f>IF(AND('Ações'!AX429="sim", 'Ações'!BG429="sim"), 1, 0)
</f>
        <v>0</v>
      </c>
      <c r="AK421" s="319">
        <f>IF(AND('Ações'!AX429="sim", 'Ações'!BH429="sim"), 1, 0)
</f>
        <v>0</v>
      </c>
    </row>
    <row r="422">
      <c r="B422" s="319">
        <f>IF(AND('Ações'!AS430="sim", 'Ações'!BD430="sim"), 1, 0)
</f>
        <v>0</v>
      </c>
      <c r="C422" s="319">
        <f>IF(AND('Ações'!AT430="sim", 'Ações'!BE430="sim"), 1, 0)
</f>
        <v>0</v>
      </c>
      <c r="D422" s="319">
        <f>IF(AND('Ações'!AU430="sim", 'Ações'!BF430="sim"), 1, 0)
</f>
        <v>0</v>
      </c>
      <c r="E422" s="319">
        <f>IF(AND('Ações'!AV430="sim", 'Ações'!BG430="sim"), 1, 0)
</f>
        <v>0</v>
      </c>
      <c r="F422" s="319">
        <f>IF(AND('Ações'!AW430="sim", 'Ações'!BH430="sim"), 1, 0)
</f>
        <v>0</v>
      </c>
      <c r="G422" s="319">
        <f>IF(AND('Ações'!AX430="sim", 'Ações'!BI430="sim"), 1, 0)
</f>
        <v>1</v>
      </c>
      <c r="H422" s="319">
        <f>IF(AND('Ações'!AS430="sim", 'Ações'!BE430="sim"), 1, 0)
</f>
        <v>0</v>
      </c>
      <c r="I422" s="319">
        <f>IF(AND('Ações'!AS430="sim", 'Ações'!BF430="sim"), 1, 0)
</f>
        <v>0</v>
      </c>
      <c r="J422" s="319">
        <f>IF(AND('Ações'!AS430="sim", 'Ações'!BG430="sim"), 1, 0)
</f>
        <v>0</v>
      </c>
      <c r="K422" s="319">
        <f>IF(AND('Ações'!AS430="sim", 'Ações'!BH430="sim"), 1, 0)
</f>
        <v>0</v>
      </c>
      <c r="L422" s="319">
        <f>IF(AND('Ações'!AS430="sim", 'Ações'!BI430="sim"), 1, 0)
</f>
        <v>1</v>
      </c>
      <c r="M422" s="319">
        <f>IF(AND('Ações'!AT430="sim", 'Ações'!BD430="sim"), 1, 0)
</f>
        <v>0</v>
      </c>
      <c r="N422" s="319">
        <f>IF(AND('Ações'!AT430="sim", 'Ações'!BF430="sim"), 1, 0)
</f>
        <v>0</v>
      </c>
      <c r="O422" s="319">
        <f>IF(AND('Ações'!AT430="sim", 'Ações'!BG430="sim"), 1, 0)
</f>
        <v>0</v>
      </c>
      <c r="P422" s="319">
        <f>IF(AND('Ações'!AT430="sim", 'Ações'!BH430="sim"), 1, 0)
</f>
        <v>0</v>
      </c>
      <c r="Q422" s="319">
        <f>IF(AND('Ações'!AT430="sim", 'Ações'!BI430="sim"), 1, 0)
</f>
        <v>1</v>
      </c>
      <c r="R422" s="319">
        <f>IF(AND('Ações'!AU430="sim", 'Ações'!BD430="sim"), 1, 0)
</f>
        <v>0</v>
      </c>
      <c r="S422" s="319">
        <f>IF(AND('Ações'!AU430="sim", 'Ações'!BE430="sim"), 1, 0)
</f>
        <v>0</v>
      </c>
      <c r="T422" s="319">
        <f>IF(AND('Ações'!AU430="sim", 'Ações'!BG430="sim"), 1, 0)
</f>
        <v>0</v>
      </c>
      <c r="U422" s="319">
        <f>IF(AND('Ações'!AU430="sim", 'Ações'!BH430="sim"), 1, 0)
</f>
        <v>0</v>
      </c>
      <c r="V422" s="319">
        <f>IF(AND('Ações'!AU430="sim", 'Ações'!BI430="sim"), 1, 0)
</f>
        <v>1</v>
      </c>
      <c r="W422" s="319">
        <f>IF(AND('Ações'!AV430="sim", 'Ações'!BD430="sim"), 1, 0)
</f>
        <v>0</v>
      </c>
      <c r="X422" s="319">
        <f>IF(AND('Ações'!AV430="sim", 'Ações'!BE430="sim"), 1, 0)
</f>
        <v>0</v>
      </c>
      <c r="Y422" s="319">
        <f>IF(AND('Ações'!AV430="sim", 'Ações'!BF430="sim"), 1, 0)
</f>
        <v>0</v>
      </c>
      <c r="Z422" s="319">
        <f>IF(AND('Ações'!AV430="sim", 'Ações'!BH430="sim"), 1, 0)
</f>
        <v>0</v>
      </c>
      <c r="AA422" s="319">
        <f>IF(AND('Ações'!AV430="sim", 'Ações'!BI430="sim"), 1, 0)
</f>
        <v>1</v>
      </c>
      <c r="AB422" s="319">
        <f>IF(AND('Ações'!AW430="sim", 'Ações'!BD430="sim"), 1, 0)
</f>
        <v>0</v>
      </c>
      <c r="AC422" s="319">
        <f>IF(AND('Ações'!AW430="sim", 'Ações'!BE430="sim"), 1, 0)
</f>
        <v>0</v>
      </c>
      <c r="AD422" s="319">
        <f>IF(AND('Ações'!AW430="sim", 'Ações'!BF430="sim"), 1, 0)
</f>
        <v>0</v>
      </c>
      <c r="AE422" s="319">
        <f>IF(AND('Ações'!AW430="sim", 'Ações'!BG430="sim"), 1, 0)
</f>
        <v>0</v>
      </c>
      <c r="AF422" s="319">
        <f>IF(AND('Ações'!AW430="sim", 'Ações'!BI430="sim"), 1, 0)
</f>
        <v>1</v>
      </c>
      <c r="AG422" s="319">
        <f>IF(AND('Ações'!AX430="sim", 'Ações'!BD430="sim"), 1, 0)
</f>
        <v>0</v>
      </c>
      <c r="AH422" s="319">
        <f>IF(AND('Ações'!AX430="sim", 'Ações'!BE430="sim"), 1, 0)
</f>
        <v>0</v>
      </c>
      <c r="AI422" s="319">
        <f>IF(AND('Ações'!AX430="sim", 'Ações'!BF430="sim"), 1, 0)
</f>
        <v>0</v>
      </c>
      <c r="AJ422" s="319">
        <f>IF(AND('Ações'!AX430="sim", 'Ações'!BG430="sim"), 1, 0)
</f>
        <v>0</v>
      </c>
      <c r="AK422" s="319">
        <f>IF(AND('Ações'!AX430="sim", 'Ações'!BH430="sim"), 1, 0)
</f>
        <v>0</v>
      </c>
    </row>
    <row r="423">
      <c r="B423" s="319">
        <f>IF(AND('Ações'!AS431="sim", 'Ações'!BD431="sim"), 1, 0)
</f>
        <v>1</v>
      </c>
      <c r="C423" s="319">
        <f>IF(AND('Ações'!AT431="sim", 'Ações'!BE431="sim"), 1, 0)
</f>
        <v>0</v>
      </c>
      <c r="D423" s="319">
        <f>IF(AND('Ações'!AU431="sim", 'Ações'!BF431="sim"), 1, 0)
</f>
        <v>0</v>
      </c>
      <c r="E423" s="319">
        <f>IF(AND('Ações'!AV431="sim", 'Ações'!BG431="sim"), 1, 0)
</f>
        <v>0</v>
      </c>
      <c r="F423" s="319">
        <f>IF(AND('Ações'!AW431="sim", 'Ações'!BH431="sim"), 1, 0)
</f>
        <v>0</v>
      </c>
      <c r="G423" s="319">
        <f>IF(AND('Ações'!AX431="sim", 'Ações'!BI431="sim"), 1, 0)
</f>
        <v>1</v>
      </c>
      <c r="H423" s="319">
        <f>IF(AND('Ações'!AS431="sim", 'Ações'!BE431="sim"), 1, 0)
</f>
        <v>0</v>
      </c>
      <c r="I423" s="319">
        <f>IF(AND('Ações'!AS431="sim", 'Ações'!BF431="sim"), 1, 0)
</f>
        <v>0</v>
      </c>
      <c r="J423" s="319">
        <f>IF(AND('Ações'!AS431="sim", 'Ações'!BG431="sim"), 1, 0)
</f>
        <v>0</v>
      </c>
      <c r="K423" s="319">
        <f>IF(AND('Ações'!AS431="sim", 'Ações'!BH431="sim"), 1, 0)
</f>
        <v>0</v>
      </c>
      <c r="L423" s="319">
        <f>IF(AND('Ações'!AS431="sim", 'Ações'!BI431="sim"), 1, 0)
</f>
        <v>1</v>
      </c>
      <c r="M423" s="319">
        <f>IF(AND('Ações'!AT431="sim", 'Ações'!BD431="sim"), 1, 0)
</f>
        <v>1</v>
      </c>
      <c r="N423" s="319">
        <f>IF(AND('Ações'!AT431="sim", 'Ações'!BF431="sim"), 1, 0)
</f>
        <v>0</v>
      </c>
      <c r="O423" s="319">
        <f>IF(AND('Ações'!AT431="sim", 'Ações'!BG431="sim"), 1, 0)
</f>
        <v>0</v>
      </c>
      <c r="P423" s="319">
        <f>IF(AND('Ações'!AT431="sim", 'Ações'!BH431="sim"), 1, 0)
</f>
        <v>0</v>
      </c>
      <c r="Q423" s="319">
        <f>IF(AND('Ações'!AT431="sim", 'Ações'!BI431="sim"), 1, 0)
</f>
        <v>1</v>
      </c>
      <c r="R423" s="319">
        <f>IF(AND('Ações'!AU431="sim", 'Ações'!BD431="sim"), 1, 0)
</f>
        <v>1</v>
      </c>
      <c r="S423" s="319">
        <f>IF(AND('Ações'!AU431="sim", 'Ações'!BE431="sim"), 1, 0)
</f>
        <v>0</v>
      </c>
      <c r="T423" s="319">
        <f>IF(AND('Ações'!AU431="sim", 'Ações'!BG431="sim"), 1, 0)
</f>
        <v>0</v>
      </c>
      <c r="U423" s="319">
        <f>IF(AND('Ações'!AU431="sim", 'Ações'!BH431="sim"), 1, 0)
</f>
        <v>0</v>
      </c>
      <c r="V423" s="319">
        <f>IF(AND('Ações'!AU431="sim", 'Ações'!BI431="sim"), 1, 0)
</f>
        <v>1</v>
      </c>
      <c r="W423" s="319">
        <f>IF(AND('Ações'!AV431="sim", 'Ações'!BD431="sim"), 1, 0)
</f>
        <v>1</v>
      </c>
      <c r="X423" s="319">
        <f>IF(AND('Ações'!AV431="sim", 'Ações'!BE431="sim"), 1, 0)
</f>
        <v>0</v>
      </c>
      <c r="Y423" s="319">
        <f>IF(AND('Ações'!AV431="sim", 'Ações'!BF431="sim"), 1, 0)
</f>
        <v>0</v>
      </c>
      <c r="Z423" s="319">
        <f>IF(AND('Ações'!AV431="sim", 'Ações'!BH431="sim"), 1, 0)
</f>
        <v>0</v>
      </c>
      <c r="AA423" s="319">
        <f>IF(AND('Ações'!AV431="sim", 'Ações'!BI431="sim"), 1, 0)
</f>
        <v>1</v>
      </c>
      <c r="AB423" s="319">
        <f>IF(AND('Ações'!AW431="sim", 'Ações'!BD431="sim"), 1, 0)
</f>
        <v>1</v>
      </c>
      <c r="AC423" s="319">
        <f>IF(AND('Ações'!AW431="sim", 'Ações'!BE431="sim"), 1, 0)
</f>
        <v>0</v>
      </c>
      <c r="AD423" s="319">
        <f>IF(AND('Ações'!AW431="sim", 'Ações'!BF431="sim"), 1, 0)
</f>
        <v>0</v>
      </c>
      <c r="AE423" s="319">
        <f>IF(AND('Ações'!AW431="sim", 'Ações'!BG431="sim"), 1, 0)
</f>
        <v>0</v>
      </c>
      <c r="AF423" s="319">
        <f>IF(AND('Ações'!AW431="sim", 'Ações'!BI431="sim"), 1, 0)
</f>
        <v>1</v>
      </c>
      <c r="AG423" s="319">
        <f>IF(AND('Ações'!AX431="sim", 'Ações'!BD431="sim"), 1, 0)
</f>
        <v>1</v>
      </c>
      <c r="AH423" s="319">
        <f>IF(AND('Ações'!AX431="sim", 'Ações'!BE431="sim"), 1, 0)
</f>
        <v>0</v>
      </c>
      <c r="AI423" s="319">
        <f>IF(AND('Ações'!AX431="sim", 'Ações'!BF431="sim"), 1, 0)
</f>
        <v>0</v>
      </c>
      <c r="AJ423" s="319">
        <f>IF(AND('Ações'!AX431="sim", 'Ações'!BG431="sim"), 1, 0)
</f>
        <v>0</v>
      </c>
      <c r="AK423" s="319">
        <f>IF(AND('Ações'!AX431="sim", 'Ações'!BH431="sim"), 1, 0)
</f>
        <v>0</v>
      </c>
    </row>
    <row r="424">
      <c r="B424" s="319">
        <f>IF(AND('Ações'!AS432="sim", 'Ações'!BD432="sim"), 1, 0)
</f>
        <v>1</v>
      </c>
      <c r="C424" s="319">
        <f>IF(AND('Ações'!AT432="sim", 'Ações'!BE432="sim"), 1, 0)
</f>
        <v>0</v>
      </c>
      <c r="D424" s="319">
        <f>IF(AND('Ações'!AU432="sim", 'Ações'!BF432="sim"), 1, 0)
</f>
        <v>0</v>
      </c>
      <c r="E424" s="319">
        <f>IF(AND('Ações'!AV432="sim", 'Ações'!BG432="sim"), 1, 0)
</f>
        <v>0</v>
      </c>
      <c r="F424" s="319">
        <f>IF(AND('Ações'!AW432="sim", 'Ações'!BH432="sim"), 1, 0)
</f>
        <v>0</v>
      </c>
      <c r="G424" s="319">
        <f>IF(AND('Ações'!AX432="sim", 'Ações'!BI432="sim"), 1, 0)
</f>
        <v>0</v>
      </c>
      <c r="H424" s="319">
        <f>IF(AND('Ações'!AS432="sim", 'Ações'!BE432="sim"), 1, 0)
</f>
        <v>0</v>
      </c>
      <c r="I424" s="319">
        <f>IF(AND('Ações'!AS432="sim", 'Ações'!BF432="sim"), 1, 0)
</f>
        <v>0</v>
      </c>
      <c r="J424" s="319">
        <f>IF(AND('Ações'!AS432="sim", 'Ações'!BG432="sim"), 1, 0)
</f>
        <v>0</v>
      </c>
      <c r="K424" s="319">
        <f>IF(AND('Ações'!AS432="sim", 'Ações'!BH432="sim"), 1, 0)
</f>
        <v>0</v>
      </c>
      <c r="L424" s="319">
        <f>IF(AND('Ações'!AS432="sim", 'Ações'!BI432="sim"), 1, 0)
</f>
        <v>0</v>
      </c>
      <c r="M424" s="319">
        <f>IF(AND('Ações'!AT432="sim", 'Ações'!BD432="sim"), 1, 0)
</f>
        <v>1</v>
      </c>
      <c r="N424" s="319">
        <f>IF(AND('Ações'!AT432="sim", 'Ações'!BF432="sim"), 1, 0)
</f>
        <v>0</v>
      </c>
      <c r="O424" s="319">
        <f>IF(AND('Ações'!AT432="sim", 'Ações'!BG432="sim"), 1, 0)
</f>
        <v>0</v>
      </c>
      <c r="P424" s="319">
        <f>IF(AND('Ações'!AT432="sim", 'Ações'!BH432="sim"), 1, 0)
</f>
        <v>0</v>
      </c>
      <c r="Q424" s="319">
        <f>IF(AND('Ações'!AT432="sim", 'Ações'!BI432="sim"), 1, 0)
</f>
        <v>0</v>
      </c>
      <c r="R424" s="319">
        <f>IF(AND('Ações'!AU432="sim", 'Ações'!BD432="sim"), 1, 0)
</f>
        <v>1</v>
      </c>
      <c r="S424" s="319">
        <f>IF(AND('Ações'!AU432="sim", 'Ações'!BE432="sim"), 1, 0)
</f>
        <v>0</v>
      </c>
      <c r="T424" s="319">
        <f>IF(AND('Ações'!AU432="sim", 'Ações'!BG432="sim"), 1, 0)
</f>
        <v>0</v>
      </c>
      <c r="U424" s="319">
        <f>IF(AND('Ações'!AU432="sim", 'Ações'!BH432="sim"), 1, 0)
</f>
        <v>0</v>
      </c>
      <c r="V424" s="319">
        <f>IF(AND('Ações'!AU432="sim", 'Ações'!BI432="sim"), 1, 0)
</f>
        <v>0</v>
      </c>
      <c r="W424" s="319">
        <f>IF(AND('Ações'!AV432="sim", 'Ações'!BD432="sim"), 1, 0)
</f>
        <v>1</v>
      </c>
      <c r="X424" s="319">
        <f>IF(AND('Ações'!AV432="sim", 'Ações'!BE432="sim"), 1, 0)
</f>
        <v>0</v>
      </c>
      <c r="Y424" s="319">
        <f>IF(AND('Ações'!AV432="sim", 'Ações'!BF432="sim"), 1, 0)
</f>
        <v>0</v>
      </c>
      <c r="Z424" s="319">
        <f>IF(AND('Ações'!AV432="sim", 'Ações'!BH432="sim"), 1, 0)
</f>
        <v>0</v>
      </c>
      <c r="AA424" s="319">
        <f>IF(AND('Ações'!AV432="sim", 'Ações'!BI432="sim"), 1, 0)
</f>
        <v>0</v>
      </c>
      <c r="AB424" s="319">
        <f>IF(AND('Ações'!AW432="sim", 'Ações'!BD432="sim"), 1, 0)
</f>
        <v>1</v>
      </c>
      <c r="AC424" s="319">
        <f>IF(AND('Ações'!AW432="sim", 'Ações'!BE432="sim"), 1, 0)
</f>
        <v>0</v>
      </c>
      <c r="AD424" s="319">
        <f>IF(AND('Ações'!AW432="sim", 'Ações'!BF432="sim"), 1, 0)
</f>
        <v>0</v>
      </c>
      <c r="AE424" s="319">
        <f>IF(AND('Ações'!AW432="sim", 'Ações'!BG432="sim"), 1, 0)
</f>
        <v>0</v>
      </c>
      <c r="AF424" s="319">
        <f>IF(AND('Ações'!AW432="sim", 'Ações'!BI432="sim"), 1, 0)
</f>
        <v>0</v>
      </c>
      <c r="AG424" s="319">
        <f>IF(AND('Ações'!AX432="sim", 'Ações'!BD432="sim"), 1, 0)
</f>
        <v>1</v>
      </c>
      <c r="AH424" s="319">
        <f>IF(AND('Ações'!AX432="sim", 'Ações'!BE432="sim"), 1, 0)
</f>
        <v>0</v>
      </c>
      <c r="AI424" s="319">
        <f>IF(AND('Ações'!AX432="sim", 'Ações'!BF432="sim"), 1, 0)
</f>
        <v>0</v>
      </c>
      <c r="AJ424" s="319">
        <f>IF(AND('Ações'!AX432="sim", 'Ações'!BG432="sim"), 1, 0)
</f>
        <v>0</v>
      </c>
      <c r="AK424" s="319">
        <f>IF(AND('Ações'!AX432="sim", 'Ações'!BH432="sim"), 1, 0)
</f>
        <v>0</v>
      </c>
    </row>
    <row r="425">
      <c r="B425" s="319">
        <f>IF(AND('Ações'!AS433="sim", 'Ações'!BD433="sim"), 1, 0)
</f>
        <v>1</v>
      </c>
      <c r="C425" s="319">
        <f>IF(AND('Ações'!AT433="sim", 'Ações'!BE433="sim"), 1, 0)
</f>
        <v>0</v>
      </c>
      <c r="D425" s="319">
        <f>IF(AND('Ações'!AU433="sim", 'Ações'!BF433="sim"), 1, 0)
</f>
        <v>0</v>
      </c>
      <c r="E425" s="319">
        <f>IF(AND('Ações'!AV433="sim", 'Ações'!BG433="sim"), 1, 0)
</f>
        <v>0</v>
      </c>
      <c r="F425" s="319">
        <f>IF(AND('Ações'!AW433="sim", 'Ações'!BH433="sim"), 1, 0)
</f>
        <v>0</v>
      </c>
      <c r="G425" s="319">
        <f>IF(AND('Ações'!AX433="sim", 'Ações'!BI433="sim"), 1, 0)
</f>
        <v>0</v>
      </c>
      <c r="H425" s="319">
        <f>IF(AND('Ações'!AS433="sim", 'Ações'!BE433="sim"), 1, 0)
</f>
        <v>0</v>
      </c>
      <c r="I425" s="319">
        <f>IF(AND('Ações'!AS433="sim", 'Ações'!BF433="sim"), 1, 0)
</f>
        <v>0</v>
      </c>
      <c r="J425" s="319">
        <f>IF(AND('Ações'!AS433="sim", 'Ações'!BG433="sim"), 1, 0)
</f>
        <v>0</v>
      </c>
      <c r="K425" s="319">
        <f>IF(AND('Ações'!AS433="sim", 'Ações'!BH433="sim"), 1, 0)
</f>
        <v>0</v>
      </c>
      <c r="L425" s="319">
        <f>IF(AND('Ações'!AS433="sim", 'Ações'!BI433="sim"), 1, 0)
</f>
        <v>0</v>
      </c>
      <c r="M425" s="319">
        <f>IF(AND('Ações'!AT433="sim", 'Ações'!BD433="sim"), 1, 0)
</f>
        <v>1</v>
      </c>
      <c r="N425" s="319">
        <f>IF(AND('Ações'!AT433="sim", 'Ações'!BF433="sim"), 1, 0)
</f>
        <v>0</v>
      </c>
      <c r="O425" s="319">
        <f>IF(AND('Ações'!AT433="sim", 'Ações'!BG433="sim"), 1, 0)
</f>
        <v>0</v>
      </c>
      <c r="P425" s="319">
        <f>IF(AND('Ações'!AT433="sim", 'Ações'!BH433="sim"), 1, 0)
</f>
        <v>0</v>
      </c>
      <c r="Q425" s="319">
        <f>IF(AND('Ações'!AT433="sim", 'Ações'!BI433="sim"), 1, 0)
</f>
        <v>0</v>
      </c>
      <c r="R425" s="319">
        <f>IF(AND('Ações'!AU433="sim", 'Ações'!BD433="sim"), 1, 0)
</f>
        <v>1</v>
      </c>
      <c r="S425" s="319">
        <f>IF(AND('Ações'!AU433="sim", 'Ações'!BE433="sim"), 1, 0)
</f>
        <v>0</v>
      </c>
      <c r="T425" s="319">
        <f>IF(AND('Ações'!AU433="sim", 'Ações'!BG433="sim"), 1, 0)
</f>
        <v>0</v>
      </c>
      <c r="U425" s="319">
        <f>IF(AND('Ações'!AU433="sim", 'Ações'!BH433="sim"), 1, 0)
</f>
        <v>0</v>
      </c>
      <c r="V425" s="319">
        <f>IF(AND('Ações'!AU433="sim", 'Ações'!BI433="sim"), 1, 0)
</f>
        <v>0</v>
      </c>
      <c r="W425" s="319">
        <f>IF(AND('Ações'!AV433="sim", 'Ações'!BD433="sim"), 1, 0)
</f>
        <v>1</v>
      </c>
      <c r="X425" s="319">
        <f>IF(AND('Ações'!AV433="sim", 'Ações'!BE433="sim"), 1, 0)
</f>
        <v>0</v>
      </c>
      <c r="Y425" s="319">
        <f>IF(AND('Ações'!AV433="sim", 'Ações'!BF433="sim"), 1, 0)
</f>
        <v>0</v>
      </c>
      <c r="Z425" s="319">
        <f>IF(AND('Ações'!AV433="sim", 'Ações'!BH433="sim"), 1, 0)
</f>
        <v>0</v>
      </c>
      <c r="AA425" s="319">
        <f>IF(AND('Ações'!AV433="sim", 'Ações'!BI433="sim"), 1, 0)
</f>
        <v>0</v>
      </c>
      <c r="AB425" s="319">
        <f>IF(AND('Ações'!AW433="sim", 'Ações'!BD433="sim"), 1, 0)
</f>
        <v>1</v>
      </c>
      <c r="AC425" s="319">
        <f>IF(AND('Ações'!AW433="sim", 'Ações'!BE433="sim"), 1, 0)
</f>
        <v>0</v>
      </c>
      <c r="AD425" s="319">
        <f>IF(AND('Ações'!AW433="sim", 'Ações'!BF433="sim"), 1, 0)
</f>
        <v>0</v>
      </c>
      <c r="AE425" s="319">
        <f>IF(AND('Ações'!AW433="sim", 'Ações'!BG433="sim"), 1, 0)
</f>
        <v>0</v>
      </c>
      <c r="AF425" s="319">
        <f>IF(AND('Ações'!AW433="sim", 'Ações'!BI433="sim"), 1, 0)
</f>
        <v>0</v>
      </c>
      <c r="AG425" s="319">
        <f>IF(AND('Ações'!AX433="sim", 'Ações'!BD433="sim"), 1, 0)
</f>
        <v>1</v>
      </c>
      <c r="AH425" s="319">
        <f>IF(AND('Ações'!AX433="sim", 'Ações'!BE433="sim"), 1, 0)
</f>
        <v>0</v>
      </c>
      <c r="AI425" s="319">
        <f>IF(AND('Ações'!AX433="sim", 'Ações'!BF433="sim"), 1, 0)
</f>
        <v>0</v>
      </c>
      <c r="AJ425" s="319">
        <f>IF(AND('Ações'!AX433="sim", 'Ações'!BG433="sim"), 1, 0)
</f>
        <v>0</v>
      </c>
      <c r="AK425" s="319">
        <f>IF(AND('Ações'!AX433="sim", 'Ações'!BH433="sim"), 1, 0)
</f>
        <v>0</v>
      </c>
    </row>
    <row r="426">
      <c r="B426" s="319">
        <f>IF(AND('Ações'!AS434="sim", 'Ações'!BD434="sim"), 1, 0)
</f>
        <v>0</v>
      </c>
      <c r="C426" s="319">
        <f>IF(AND('Ações'!AT434="sim", 'Ações'!BE434="sim"), 1, 0)
</f>
        <v>0</v>
      </c>
      <c r="D426" s="319">
        <f>IF(AND('Ações'!AU434="sim", 'Ações'!BF434="sim"), 1, 0)
</f>
        <v>0</v>
      </c>
      <c r="E426" s="319">
        <f>IF(AND('Ações'!AV434="sim", 'Ações'!BG434="sim"), 1, 0)
</f>
        <v>0</v>
      </c>
      <c r="F426" s="319">
        <f>IF(AND('Ações'!AW434="sim", 'Ações'!BH434="sim"), 1, 0)
</f>
        <v>0</v>
      </c>
      <c r="G426" s="319">
        <f>IF(AND('Ações'!AX434="sim", 'Ações'!BI434="sim"), 1, 0)
</f>
        <v>0</v>
      </c>
      <c r="H426" s="319">
        <f>IF(AND('Ações'!AS434="sim", 'Ações'!BE434="sim"), 1, 0)
</f>
        <v>0</v>
      </c>
      <c r="I426" s="319">
        <f>IF(AND('Ações'!AS434="sim", 'Ações'!BF434="sim"), 1, 0)
</f>
        <v>0</v>
      </c>
      <c r="J426" s="319">
        <f>IF(AND('Ações'!AS434="sim", 'Ações'!BG434="sim"), 1, 0)
</f>
        <v>0</v>
      </c>
      <c r="K426" s="319">
        <f>IF(AND('Ações'!AS434="sim", 'Ações'!BH434="sim"), 1, 0)
</f>
        <v>0</v>
      </c>
      <c r="L426" s="319">
        <f>IF(AND('Ações'!AS434="sim", 'Ações'!BI434="sim"), 1, 0)
</f>
        <v>0</v>
      </c>
      <c r="M426" s="319">
        <f>IF(AND('Ações'!AT434="sim", 'Ações'!BD434="sim"), 1, 0)
</f>
        <v>0</v>
      </c>
      <c r="N426" s="319">
        <f>IF(AND('Ações'!AT434="sim", 'Ações'!BF434="sim"), 1, 0)
</f>
        <v>0</v>
      </c>
      <c r="O426" s="319">
        <f>IF(AND('Ações'!AT434="sim", 'Ações'!BG434="sim"), 1, 0)
</f>
        <v>0</v>
      </c>
      <c r="P426" s="319">
        <f>IF(AND('Ações'!AT434="sim", 'Ações'!BH434="sim"), 1, 0)
</f>
        <v>0</v>
      </c>
      <c r="Q426" s="319">
        <f>IF(AND('Ações'!AT434="sim", 'Ações'!BI434="sim"), 1, 0)
</f>
        <v>0</v>
      </c>
      <c r="R426" s="319">
        <f>IF(AND('Ações'!AU434="sim", 'Ações'!BD434="sim"), 1, 0)
</f>
        <v>0</v>
      </c>
      <c r="S426" s="319">
        <f>IF(AND('Ações'!AU434="sim", 'Ações'!BE434="sim"), 1, 0)
</f>
        <v>0</v>
      </c>
      <c r="T426" s="319">
        <f>IF(AND('Ações'!AU434="sim", 'Ações'!BG434="sim"), 1, 0)
</f>
        <v>0</v>
      </c>
      <c r="U426" s="319">
        <f>IF(AND('Ações'!AU434="sim", 'Ações'!BH434="sim"), 1, 0)
</f>
        <v>0</v>
      </c>
      <c r="V426" s="319">
        <f>IF(AND('Ações'!AU434="sim", 'Ações'!BI434="sim"), 1, 0)
</f>
        <v>0</v>
      </c>
      <c r="W426" s="319">
        <f>IF(AND('Ações'!AV434="sim", 'Ações'!BD434="sim"), 1, 0)
</f>
        <v>1</v>
      </c>
      <c r="X426" s="319">
        <f>IF(AND('Ações'!AV434="sim", 'Ações'!BE434="sim"), 1, 0)
</f>
        <v>0</v>
      </c>
      <c r="Y426" s="319">
        <f>IF(AND('Ações'!AV434="sim", 'Ações'!BF434="sim"), 1, 0)
</f>
        <v>0</v>
      </c>
      <c r="Z426" s="319">
        <f>IF(AND('Ações'!AV434="sim", 'Ações'!BH434="sim"), 1, 0)
</f>
        <v>0</v>
      </c>
      <c r="AA426" s="319">
        <f>IF(AND('Ações'!AV434="sim", 'Ações'!BI434="sim"), 1, 0)
</f>
        <v>0</v>
      </c>
      <c r="AB426" s="319">
        <f>IF(AND('Ações'!AW434="sim", 'Ações'!BD434="sim"), 1, 0)
</f>
        <v>0</v>
      </c>
      <c r="AC426" s="319">
        <f>IF(AND('Ações'!AW434="sim", 'Ações'!BE434="sim"), 1, 0)
</f>
        <v>0</v>
      </c>
      <c r="AD426" s="319">
        <f>IF(AND('Ações'!AW434="sim", 'Ações'!BF434="sim"), 1, 0)
</f>
        <v>0</v>
      </c>
      <c r="AE426" s="319">
        <f>IF(AND('Ações'!AW434="sim", 'Ações'!BG434="sim"), 1, 0)
</f>
        <v>0</v>
      </c>
      <c r="AF426" s="319">
        <f>IF(AND('Ações'!AW434="sim", 'Ações'!BI434="sim"), 1, 0)
</f>
        <v>0</v>
      </c>
      <c r="AG426" s="319">
        <f>IF(AND('Ações'!AX434="sim", 'Ações'!BD434="sim"), 1, 0)
</f>
        <v>0</v>
      </c>
      <c r="AH426" s="319">
        <f>IF(AND('Ações'!AX434="sim", 'Ações'!BE434="sim"), 1, 0)
</f>
        <v>0</v>
      </c>
      <c r="AI426" s="319">
        <f>IF(AND('Ações'!AX434="sim", 'Ações'!BF434="sim"), 1, 0)
</f>
        <v>0</v>
      </c>
      <c r="AJ426" s="319">
        <f>IF(AND('Ações'!AX434="sim", 'Ações'!BG434="sim"), 1, 0)
</f>
        <v>0</v>
      </c>
      <c r="AK426" s="319">
        <f>IF(AND('Ações'!AX434="sim", 'Ações'!BH434="sim"), 1, 0)
</f>
        <v>0</v>
      </c>
    </row>
    <row r="427">
      <c r="B427" s="319">
        <f>IF(AND('Ações'!AS435="sim", 'Ações'!BD435="sim"), 1, 0)
</f>
        <v>0</v>
      </c>
      <c r="C427" s="319">
        <f>IF(AND('Ações'!AT435="sim", 'Ações'!BE435="sim"), 1, 0)
</f>
        <v>0</v>
      </c>
      <c r="D427" s="319">
        <f>IF(AND('Ações'!AU435="sim", 'Ações'!BF435="sim"), 1, 0)
</f>
        <v>0</v>
      </c>
      <c r="E427" s="319">
        <f>IF(AND('Ações'!AV435="sim", 'Ações'!BG435="sim"), 1, 0)
</f>
        <v>0</v>
      </c>
      <c r="F427" s="319">
        <f>IF(AND('Ações'!AW435="sim", 'Ações'!BH435="sim"), 1, 0)
</f>
        <v>0</v>
      </c>
      <c r="G427" s="319">
        <f>IF(AND('Ações'!AX435="sim", 'Ações'!BI435="sim"), 1, 0)
</f>
        <v>0</v>
      </c>
      <c r="H427" s="319">
        <f>IF(AND('Ações'!AS435="sim", 'Ações'!BE435="sim"), 1, 0)
</f>
        <v>0</v>
      </c>
      <c r="I427" s="319">
        <f>IF(AND('Ações'!AS435="sim", 'Ações'!BF435="sim"), 1, 0)
</f>
        <v>0</v>
      </c>
      <c r="J427" s="319">
        <f>IF(AND('Ações'!AS435="sim", 'Ações'!BG435="sim"), 1, 0)
</f>
        <v>0</v>
      </c>
      <c r="K427" s="319">
        <f>IF(AND('Ações'!AS435="sim", 'Ações'!BH435="sim"), 1, 0)
</f>
        <v>0</v>
      </c>
      <c r="L427" s="319">
        <f>IF(AND('Ações'!AS435="sim", 'Ações'!BI435="sim"), 1, 0)
</f>
        <v>0</v>
      </c>
      <c r="M427" s="319">
        <f>IF(AND('Ações'!AT435="sim", 'Ações'!BD435="sim"), 1, 0)
</f>
        <v>0</v>
      </c>
      <c r="N427" s="319">
        <f>IF(AND('Ações'!AT435="sim", 'Ações'!BF435="sim"), 1, 0)
</f>
        <v>0</v>
      </c>
      <c r="O427" s="319">
        <f>IF(AND('Ações'!AT435="sim", 'Ações'!BG435="sim"), 1, 0)
</f>
        <v>0</v>
      </c>
      <c r="P427" s="319">
        <f>IF(AND('Ações'!AT435="sim", 'Ações'!BH435="sim"), 1, 0)
</f>
        <v>0</v>
      </c>
      <c r="Q427" s="319">
        <f>IF(AND('Ações'!AT435="sim", 'Ações'!BI435="sim"), 1, 0)
</f>
        <v>0</v>
      </c>
      <c r="R427" s="319">
        <f>IF(AND('Ações'!AU435="sim", 'Ações'!BD435="sim"), 1, 0)
</f>
        <v>0</v>
      </c>
      <c r="S427" s="319">
        <f>IF(AND('Ações'!AU435="sim", 'Ações'!BE435="sim"), 1, 0)
</f>
        <v>0</v>
      </c>
      <c r="T427" s="319">
        <f>IF(AND('Ações'!AU435="sim", 'Ações'!BG435="sim"), 1, 0)
</f>
        <v>0</v>
      </c>
      <c r="U427" s="319">
        <f>IF(AND('Ações'!AU435="sim", 'Ações'!BH435="sim"), 1, 0)
</f>
        <v>0</v>
      </c>
      <c r="V427" s="319">
        <f>IF(AND('Ações'!AU435="sim", 'Ações'!BI435="sim"), 1, 0)
</f>
        <v>0</v>
      </c>
      <c r="W427" s="319">
        <f>IF(AND('Ações'!AV435="sim", 'Ações'!BD435="sim"), 1, 0)
</f>
        <v>0</v>
      </c>
      <c r="X427" s="319">
        <f>IF(AND('Ações'!AV435="sim", 'Ações'!BE435="sim"), 1, 0)
</f>
        <v>0</v>
      </c>
      <c r="Y427" s="319">
        <f>IF(AND('Ações'!AV435="sim", 'Ações'!BF435="sim"), 1, 0)
</f>
        <v>0</v>
      </c>
      <c r="Z427" s="319">
        <f>IF(AND('Ações'!AV435="sim", 'Ações'!BH435="sim"), 1, 0)
</f>
        <v>0</v>
      </c>
      <c r="AA427" s="319">
        <f>IF(AND('Ações'!AV435="sim", 'Ações'!BI435="sim"), 1, 0)
</f>
        <v>1</v>
      </c>
      <c r="AB427" s="319">
        <f>IF(AND('Ações'!AW435="sim", 'Ações'!BD435="sim"), 1, 0)
</f>
        <v>0</v>
      </c>
      <c r="AC427" s="319">
        <f>IF(AND('Ações'!AW435="sim", 'Ações'!BE435="sim"), 1, 0)
</f>
        <v>0</v>
      </c>
      <c r="AD427" s="319">
        <f>IF(AND('Ações'!AW435="sim", 'Ações'!BF435="sim"), 1, 0)
</f>
        <v>0</v>
      </c>
      <c r="AE427" s="319">
        <f>IF(AND('Ações'!AW435="sim", 'Ações'!BG435="sim"), 1, 0)
</f>
        <v>0</v>
      </c>
      <c r="AF427" s="319">
        <f>IF(AND('Ações'!AW435="sim", 'Ações'!BI435="sim"), 1, 0)
</f>
        <v>0</v>
      </c>
      <c r="AG427" s="319">
        <f>IF(AND('Ações'!AX435="sim", 'Ações'!BD435="sim"), 1, 0)
</f>
        <v>0</v>
      </c>
      <c r="AH427" s="319">
        <f>IF(AND('Ações'!AX435="sim", 'Ações'!BE435="sim"), 1, 0)
</f>
        <v>0</v>
      </c>
      <c r="AI427" s="319">
        <f>IF(AND('Ações'!AX435="sim", 'Ações'!BF435="sim"), 1, 0)
</f>
        <v>0</v>
      </c>
      <c r="AJ427" s="319">
        <f>IF(AND('Ações'!AX435="sim", 'Ações'!BG435="sim"), 1, 0)
</f>
        <v>0</v>
      </c>
      <c r="AK427" s="319">
        <f>IF(AND('Ações'!AX435="sim", 'Ações'!BH435="sim"), 1, 0)
</f>
        <v>0</v>
      </c>
    </row>
    <row r="428">
      <c r="B428" s="319">
        <f>IF(AND('Ações'!AS436="sim", 'Ações'!BD436="sim"), 1, 0)
</f>
        <v>0</v>
      </c>
      <c r="C428" s="319">
        <f>IF(AND('Ações'!AT436="sim", 'Ações'!BE436="sim"), 1, 0)
</f>
        <v>0</v>
      </c>
      <c r="D428" s="319">
        <f>IF(AND('Ações'!AU436="sim", 'Ações'!BF436="sim"), 1, 0)
</f>
        <v>0</v>
      </c>
      <c r="E428" s="319">
        <f>IF(AND('Ações'!AV436="sim", 'Ações'!BG436="sim"), 1, 0)
</f>
        <v>0</v>
      </c>
      <c r="F428" s="319">
        <f>IF(AND('Ações'!AW436="sim", 'Ações'!BH436="sim"), 1, 0)
</f>
        <v>0</v>
      </c>
      <c r="G428" s="319">
        <f>IF(AND('Ações'!AX436="sim", 'Ações'!BI436="sim"), 1, 0)
</f>
        <v>0</v>
      </c>
      <c r="H428" s="319">
        <f>IF(AND('Ações'!AS436="sim", 'Ações'!BE436="sim"), 1, 0)
</f>
        <v>0</v>
      </c>
      <c r="I428" s="319">
        <f>IF(AND('Ações'!AS436="sim", 'Ações'!BF436="sim"), 1, 0)
</f>
        <v>0</v>
      </c>
      <c r="J428" s="319">
        <f>IF(AND('Ações'!AS436="sim", 'Ações'!BG436="sim"), 1, 0)
</f>
        <v>0</v>
      </c>
      <c r="K428" s="319">
        <f>IF(AND('Ações'!AS436="sim", 'Ações'!BH436="sim"), 1, 0)
</f>
        <v>0</v>
      </c>
      <c r="L428" s="319">
        <f>IF(AND('Ações'!AS436="sim", 'Ações'!BI436="sim"), 1, 0)
</f>
        <v>0</v>
      </c>
      <c r="M428" s="319">
        <f>IF(AND('Ações'!AT436="sim", 'Ações'!BD436="sim"), 1, 0)
</f>
        <v>1</v>
      </c>
      <c r="N428" s="319">
        <f>IF(AND('Ações'!AT436="sim", 'Ações'!BF436="sim"), 1, 0)
</f>
        <v>0</v>
      </c>
      <c r="O428" s="319">
        <f>IF(AND('Ações'!AT436="sim", 'Ações'!BG436="sim"), 1, 0)
</f>
        <v>0</v>
      </c>
      <c r="P428" s="319">
        <f>IF(AND('Ações'!AT436="sim", 'Ações'!BH436="sim"), 1, 0)
</f>
        <v>0</v>
      </c>
      <c r="Q428" s="319">
        <f>IF(AND('Ações'!AT436="sim", 'Ações'!BI436="sim"), 1, 0)
</f>
        <v>0</v>
      </c>
      <c r="R428" s="319">
        <f>IF(AND('Ações'!AU436="sim", 'Ações'!BD436="sim"), 1, 0)
</f>
        <v>1</v>
      </c>
      <c r="S428" s="319">
        <f>IF(AND('Ações'!AU436="sim", 'Ações'!BE436="sim"), 1, 0)
</f>
        <v>0</v>
      </c>
      <c r="T428" s="319">
        <f>IF(AND('Ações'!AU436="sim", 'Ações'!BG436="sim"), 1, 0)
</f>
        <v>0</v>
      </c>
      <c r="U428" s="319">
        <f>IF(AND('Ações'!AU436="sim", 'Ações'!BH436="sim"), 1, 0)
</f>
        <v>0</v>
      </c>
      <c r="V428" s="319">
        <f>IF(AND('Ações'!AU436="sim", 'Ações'!BI436="sim"), 1, 0)
</f>
        <v>0</v>
      </c>
      <c r="W428" s="319">
        <f>IF(AND('Ações'!AV436="sim", 'Ações'!BD436="sim"), 1, 0)
</f>
        <v>1</v>
      </c>
      <c r="X428" s="319">
        <f>IF(AND('Ações'!AV436="sim", 'Ações'!BE436="sim"), 1, 0)
</f>
        <v>0</v>
      </c>
      <c r="Y428" s="319">
        <f>IF(AND('Ações'!AV436="sim", 'Ações'!BF436="sim"), 1, 0)
</f>
        <v>0</v>
      </c>
      <c r="Z428" s="319">
        <f>IF(AND('Ações'!AV436="sim", 'Ações'!BH436="sim"), 1, 0)
</f>
        <v>0</v>
      </c>
      <c r="AA428" s="319">
        <f>IF(AND('Ações'!AV436="sim", 'Ações'!BI436="sim"), 1, 0)
</f>
        <v>0</v>
      </c>
      <c r="AB428" s="319">
        <f>IF(AND('Ações'!AW436="sim", 'Ações'!BD436="sim"), 1, 0)
</f>
        <v>1</v>
      </c>
      <c r="AC428" s="319">
        <f>IF(AND('Ações'!AW436="sim", 'Ações'!BE436="sim"), 1, 0)
</f>
        <v>0</v>
      </c>
      <c r="AD428" s="319">
        <f>IF(AND('Ações'!AW436="sim", 'Ações'!BF436="sim"), 1, 0)
</f>
        <v>0</v>
      </c>
      <c r="AE428" s="319">
        <f>IF(AND('Ações'!AW436="sim", 'Ações'!BG436="sim"), 1, 0)
</f>
        <v>0</v>
      </c>
      <c r="AF428" s="319">
        <f>IF(AND('Ações'!AW436="sim", 'Ações'!BI436="sim"), 1, 0)
</f>
        <v>0</v>
      </c>
      <c r="AG428" s="319">
        <f>IF(AND('Ações'!AX436="sim", 'Ações'!BD436="sim"), 1, 0)
</f>
        <v>1</v>
      </c>
      <c r="AH428" s="319">
        <f>IF(AND('Ações'!AX436="sim", 'Ações'!BE436="sim"), 1, 0)
</f>
        <v>0</v>
      </c>
      <c r="AI428" s="319">
        <f>IF(AND('Ações'!AX436="sim", 'Ações'!BF436="sim"), 1, 0)
</f>
        <v>0</v>
      </c>
      <c r="AJ428" s="319">
        <f>IF(AND('Ações'!AX436="sim", 'Ações'!BG436="sim"), 1, 0)
</f>
        <v>0</v>
      </c>
      <c r="AK428" s="319">
        <f>IF(AND('Ações'!AX436="sim", 'Ações'!BH436="sim"), 1, 0)
</f>
        <v>0</v>
      </c>
    </row>
    <row r="429">
      <c r="B429" s="319">
        <f>IF(AND('Ações'!AS437="sim", 'Ações'!BD437="sim"), 1, 0)
</f>
        <v>0</v>
      </c>
      <c r="C429" s="319">
        <f>IF(AND('Ações'!AT437="sim", 'Ações'!BE437="sim"), 1, 0)
</f>
        <v>0</v>
      </c>
      <c r="D429" s="319">
        <f>IF(AND('Ações'!AU437="sim", 'Ações'!BF437="sim"), 1, 0)
</f>
        <v>0</v>
      </c>
      <c r="E429" s="319">
        <f>IF(AND('Ações'!AV437="sim", 'Ações'!BG437="sim"), 1, 0)
</f>
        <v>1</v>
      </c>
      <c r="F429" s="319">
        <f>IF(AND('Ações'!AW437="sim", 'Ações'!BH437="sim"), 1, 0)
</f>
        <v>0</v>
      </c>
      <c r="G429" s="319">
        <f>IF(AND('Ações'!AX437="sim", 'Ações'!BI437="sim"), 1, 0)
</f>
        <v>0</v>
      </c>
      <c r="H429" s="319">
        <f>IF(AND('Ações'!AS437="sim", 'Ações'!BE437="sim"), 1, 0)
</f>
        <v>0</v>
      </c>
      <c r="I429" s="319">
        <f>IF(AND('Ações'!AS437="sim", 'Ações'!BF437="sim"), 1, 0)
</f>
        <v>0</v>
      </c>
      <c r="J429" s="319">
        <f>IF(AND('Ações'!AS437="sim", 'Ações'!BG437="sim"), 1, 0)
</f>
        <v>0</v>
      </c>
      <c r="K429" s="319">
        <f>IF(AND('Ações'!AS437="sim", 'Ações'!BH437="sim"), 1, 0)
</f>
        <v>0</v>
      </c>
      <c r="L429" s="319">
        <f>IF(AND('Ações'!AS437="sim", 'Ações'!BI437="sim"), 1, 0)
</f>
        <v>0</v>
      </c>
      <c r="M429" s="319">
        <f>IF(AND('Ações'!AT437="sim", 'Ações'!BD437="sim"), 1, 0)
</f>
        <v>0</v>
      </c>
      <c r="N429" s="319">
        <f>IF(AND('Ações'!AT437="sim", 'Ações'!BF437="sim"), 1, 0)
</f>
        <v>0</v>
      </c>
      <c r="O429" s="319">
        <f>IF(AND('Ações'!AT437="sim", 'Ações'!BG437="sim"), 1, 0)
</f>
        <v>1</v>
      </c>
      <c r="P429" s="319">
        <f>IF(AND('Ações'!AT437="sim", 'Ações'!BH437="sim"), 1, 0)
</f>
        <v>0</v>
      </c>
      <c r="Q429" s="319">
        <f>IF(AND('Ações'!AT437="sim", 'Ações'!BI437="sim"), 1, 0)
</f>
        <v>0</v>
      </c>
      <c r="R429" s="319">
        <f>IF(AND('Ações'!AU437="sim", 'Ações'!BD437="sim"), 1, 0)
</f>
        <v>0</v>
      </c>
      <c r="S429" s="319">
        <f>IF(AND('Ações'!AU437="sim", 'Ações'!BE437="sim"), 1, 0)
</f>
        <v>0</v>
      </c>
      <c r="T429" s="319">
        <f>IF(AND('Ações'!AU437="sim", 'Ações'!BG437="sim"), 1, 0)
</f>
        <v>1</v>
      </c>
      <c r="U429" s="319">
        <f>IF(AND('Ações'!AU437="sim", 'Ações'!BH437="sim"), 1, 0)
</f>
        <v>0</v>
      </c>
      <c r="V429" s="319">
        <f>IF(AND('Ações'!AU437="sim", 'Ações'!BI437="sim"), 1, 0)
</f>
        <v>0</v>
      </c>
      <c r="W429" s="319">
        <f>IF(AND('Ações'!AV437="sim", 'Ações'!BD437="sim"), 1, 0)
</f>
        <v>0</v>
      </c>
      <c r="X429" s="319">
        <f>IF(AND('Ações'!AV437="sim", 'Ações'!BE437="sim"), 1, 0)
</f>
        <v>0</v>
      </c>
      <c r="Y429" s="319">
        <f>IF(AND('Ações'!AV437="sim", 'Ações'!BF437="sim"), 1, 0)
</f>
        <v>0</v>
      </c>
      <c r="Z429" s="319">
        <f>IF(AND('Ações'!AV437="sim", 'Ações'!BH437="sim"), 1, 0)
</f>
        <v>0</v>
      </c>
      <c r="AA429" s="319">
        <f>IF(AND('Ações'!AV437="sim", 'Ações'!BI437="sim"), 1, 0)
</f>
        <v>0</v>
      </c>
      <c r="AB429" s="319">
        <f>IF(AND('Ações'!AW437="sim", 'Ações'!BD437="sim"), 1, 0)
</f>
        <v>0</v>
      </c>
      <c r="AC429" s="319">
        <f>IF(AND('Ações'!AW437="sim", 'Ações'!BE437="sim"), 1, 0)
</f>
        <v>0</v>
      </c>
      <c r="AD429" s="319">
        <f>IF(AND('Ações'!AW437="sim", 'Ações'!BF437="sim"), 1, 0)
</f>
        <v>0</v>
      </c>
      <c r="AE429" s="319">
        <f>IF(AND('Ações'!AW437="sim", 'Ações'!BG437="sim"), 1, 0)
</f>
        <v>1</v>
      </c>
      <c r="AF429" s="319">
        <f>IF(AND('Ações'!AW437="sim", 'Ações'!BI437="sim"), 1, 0)
</f>
        <v>0</v>
      </c>
      <c r="AG429" s="319">
        <f>IF(AND('Ações'!AX437="sim", 'Ações'!BD437="sim"), 1, 0)
</f>
        <v>0</v>
      </c>
      <c r="AH429" s="319">
        <f>IF(AND('Ações'!AX437="sim", 'Ações'!BE437="sim"), 1, 0)
</f>
        <v>0</v>
      </c>
      <c r="AI429" s="319">
        <f>IF(AND('Ações'!AX437="sim", 'Ações'!BF437="sim"), 1, 0)
</f>
        <v>0</v>
      </c>
      <c r="AJ429" s="319">
        <f>IF(AND('Ações'!AX437="sim", 'Ações'!BG437="sim"), 1, 0)
</f>
        <v>1</v>
      </c>
      <c r="AK429" s="319">
        <f>IF(AND('Ações'!AX437="sim", 'Ações'!BH437="sim"), 1, 0)
</f>
        <v>0</v>
      </c>
    </row>
    <row r="430">
      <c r="B430" s="319">
        <f>IF(AND('Ações'!AS438="sim", 'Ações'!BD438="sim"), 1, 0)
</f>
        <v>0</v>
      </c>
      <c r="C430" s="319">
        <f>IF(AND('Ações'!AT438="sim", 'Ações'!BE438="sim"), 1, 0)
</f>
        <v>0</v>
      </c>
      <c r="D430" s="319">
        <f>IF(AND('Ações'!AU438="sim", 'Ações'!BF438="sim"), 1, 0)
</f>
        <v>0</v>
      </c>
      <c r="E430" s="319">
        <f>IF(AND('Ações'!AV438="sim", 'Ações'!BG438="sim"), 1, 0)
</f>
        <v>0</v>
      </c>
      <c r="F430" s="319">
        <f>IF(AND('Ações'!AW438="sim", 'Ações'!BH438="sim"), 1, 0)
</f>
        <v>0</v>
      </c>
      <c r="G430" s="319">
        <f>IF(AND('Ações'!AX438="sim", 'Ações'!BI438="sim"), 1, 0)
</f>
        <v>0</v>
      </c>
      <c r="H430" s="319">
        <f>IF(AND('Ações'!AS438="sim", 'Ações'!BE438="sim"), 1, 0)
</f>
        <v>0</v>
      </c>
      <c r="I430" s="319">
        <f>IF(AND('Ações'!AS438="sim", 'Ações'!BF438="sim"), 1, 0)
</f>
        <v>0</v>
      </c>
      <c r="J430" s="319">
        <f>IF(AND('Ações'!AS438="sim", 'Ações'!BG438="sim"), 1, 0)
</f>
        <v>0</v>
      </c>
      <c r="K430" s="319">
        <f>IF(AND('Ações'!AS438="sim", 'Ações'!BH438="sim"), 1, 0)
</f>
        <v>0</v>
      </c>
      <c r="L430" s="319">
        <f>IF(AND('Ações'!AS438="sim", 'Ações'!BI438="sim"), 1, 0)
</f>
        <v>0</v>
      </c>
      <c r="M430" s="319">
        <f>IF(AND('Ações'!AT438="sim", 'Ações'!BD438="sim"), 1, 0)
</f>
        <v>1</v>
      </c>
      <c r="N430" s="319">
        <f>IF(AND('Ações'!AT438="sim", 'Ações'!BF438="sim"), 1, 0)
</f>
        <v>0</v>
      </c>
      <c r="O430" s="319">
        <f>IF(AND('Ações'!AT438="sim", 'Ações'!BG438="sim"), 1, 0)
</f>
        <v>0</v>
      </c>
      <c r="P430" s="319">
        <f>IF(AND('Ações'!AT438="sim", 'Ações'!BH438="sim"), 1, 0)
</f>
        <v>0</v>
      </c>
      <c r="Q430" s="319">
        <f>IF(AND('Ações'!AT438="sim", 'Ações'!BI438="sim"), 1, 0)
</f>
        <v>0</v>
      </c>
      <c r="R430" s="319">
        <f>IF(AND('Ações'!AU438="sim", 'Ações'!BD438="sim"), 1, 0)
</f>
        <v>1</v>
      </c>
      <c r="S430" s="319">
        <f>IF(AND('Ações'!AU438="sim", 'Ações'!BE438="sim"), 1, 0)
</f>
        <v>0</v>
      </c>
      <c r="T430" s="319">
        <f>IF(AND('Ações'!AU438="sim", 'Ações'!BG438="sim"), 1, 0)
</f>
        <v>0</v>
      </c>
      <c r="U430" s="319">
        <f>IF(AND('Ações'!AU438="sim", 'Ações'!BH438="sim"), 1, 0)
</f>
        <v>0</v>
      </c>
      <c r="V430" s="319">
        <f>IF(AND('Ações'!AU438="sim", 'Ações'!BI438="sim"), 1, 0)
</f>
        <v>0</v>
      </c>
      <c r="W430" s="319">
        <f>IF(AND('Ações'!AV438="sim", 'Ações'!BD438="sim"), 1, 0)
</f>
        <v>1</v>
      </c>
      <c r="X430" s="319">
        <f>IF(AND('Ações'!AV438="sim", 'Ações'!BE438="sim"), 1, 0)
</f>
        <v>0</v>
      </c>
      <c r="Y430" s="319">
        <f>IF(AND('Ações'!AV438="sim", 'Ações'!BF438="sim"), 1, 0)
</f>
        <v>0</v>
      </c>
      <c r="Z430" s="319">
        <f>IF(AND('Ações'!AV438="sim", 'Ações'!BH438="sim"), 1, 0)
</f>
        <v>0</v>
      </c>
      <c r="AA430" s="319">
        <f>IF(AND('Ações'!AV438="sim", 'Ações'!BI438="sim"), 1, 0)
</f>
        <v>0</v>
      </c>
      <c r="AB430" s="319">
        <f>IF(AND('Ações'!AW438="sim", 'Ações'!BD438="sim"), 1, 0)
</f>
        <v>1</v>
      </c>
      <c r="AC430" s="319">
        <f>IF(AND('Ações'!AW438="sim", 'Ações'!BE438="sim"), 1, 0)
</f>
        <v>0</v>
      </c>
      <c r="AD430" s="319">
        <f>IF(AND('Ações'!AW438="sim", 'Ações'!BF438="sim"), 1, 0)
</f>
        <v>0</v>
      </c>
      <c r="AE430" s="319">
        <f>IF(AND('Ações'!AW438="sim", 'Ações'!BG438="sim"), 1, 0)
</f>
        <v>0</v>
      </c>
      <c r="AF430" s="319">
        <f>IF(AND('Ações'!AW438="sim", 'Ações'!BI438="sim"), 1, 0)
</f>
        <v>0</v>
      </c>
      <c r="AG430" s="319">
        <f>IF(AND('Ações'!AX438="sim", 'Ações'!BD438="sim"), 1, 0)
</f>
        <v>1</v>
      </c>
      <c r="AH430" s="319">
        <f>IF(AND('Ações'!AX438="sim", 'Ações'!BE438="sim"), 1, 0)
</f>
        <v>0</v>
      </c>
      <c r="AI430" s="319">
        <f>IF(AND('Ações'!AX438="sim", 'Ações'!BF438="sim"), 1, 0)
</f>
        <v>0</v>
      </c>
      <c r="AJ430" s="319">
        <f>IF(AND('Ações'!AX438="sim", 'Ações'!BG438="sim"), 1, 0)
</f>
        <v>0</v>
      </c>
      <c r="AK430" s="319">
        <f>IF(AND('Ações'!AX438="sim", 'Ações'!BH438="sim"), 1, 0)
</f>
        <v>0</v>
      </c>
    </row>
    <row r="431">
      <c r="B431" s="319">
        <f>IF(AND('Ações'!AS439="sim", 'Ações'!BD439="sim"), 1, 0)
</f>
        <v>0</v>
      </c>
      <c r="C431" s="319">
        <f>IF(AND('Ações'!AT439="sim", 'Ações'!BE439="sim"), 1, 0)
</f>
        <v>0</v>
      </c>
      <c r="D431" s="319">
        <f>IF(AND('Ações'!AU439="sim", 'Ações'!BF439="sim"), 1, 0)
</f>
        <v>0</v>
      </c>
      <c r="E431" s="319">
        <f>IF(AND('Ações'!AV439="sim", 'Ações'!BG439="sim"), 1, 0)
</f>
        <v>0</v>
      </c>
      <c r="F431" s="319">
        <f>IF(AND('Ações'!AW439="sim", 'Ações'!BH439="sim"), 1, 0)
</f>
        <v>0</v>
      </c>
      <c r="G431" s="319">
        <f>IF(AND('Ações'!AX439="sim", 'Ações'!BI439="sim"), 1, 0)
</f>
        <v>1</v>
      </c>
      <c r="H431" s="319">
        <f>IF(AND('Ações'!AS439="sim", 'Ações'!BE439="sim"), 1, 0)
</f>
        <v>0</v>
      </c>
      <c r="I431" s="319">
        <f>IF(AND('Ações'!AS439="sim", 'Ações'!BF439="sim"), 1, 0)
</f>
        <v>0</v>
      </c>
      <c r="J431" s="319">
        <f>IF(AND('Ações'!AS439="sim", 'Ações'!BG439="sim"), 1, 0)
</f>
        <v>0</v>
      </c>
      <c r="K431" s="319">
        <f>IF(AND('Ações'!AS439="sim", 'Ações'!BH439="sim"), 1, 0)
</f>
        <v>0</v>
      </c>
      <c r="L431" s="319">
        <f>IF(AND('Ações'!AS439="sim", 'Ações'!BI439="sim"), 1, 0)
</f>
        <v>0</v>
      </c>
      <c r="M431" s="319">
        <f>IF(AND('Ações'!AT439="sim", 'Ações'!BD439="sim"), 1, 0)
</f>
        <v>0</v>
      </c>
      <c r="N431" s="319">
        <f>IF(AND('Ações'!AT439="sim", 'Ações'!BF439="sim"), 1, 0)
</f>
        <v>0</v>
      </c>
      <c r="O431" s="319">
        <f>IF(AND('Ações'!AT439="sim", 'Ações'!BG439="sim"), 1, 0)
</f>
        <v>0</v>
      </c>
      <c r="P431" s="319">
        <f>IF(AND('Ações'!AT439="sim", 'Ações'!BH439="sim"), 1, 0)
</f>
        <v>0</v>
      </c>
      <c r="Q431" s="319">
        <f>IF(AND('Ações'!AT439="sim", 'Ações'!BI439="sim"), 1, 0)
</f>
        <v>1</v>
      </c>
      <c r="R431" s="319">
        <f>IF(AND('Ações'!AU439="sim", 'Ações'!BD439="sim"), 1, 0)
</f>
        <v>0</v>
      </c>
      <c r="S431" s="319">
        <f>IF(AND('Ações'!AU439="sim", 'Ações'!BE439="sim"), 1, 0)
</f>
        <v>0</v>
      </c>
      <c r="T431" s="319">
        <f>IF(AND('Ações'!AU439="sim", 'Ações'!BG439="sim"), 1, 0)
</f>
        <v>0</v>
      </c>
      <c r="U431" s="319">
        <f>IF(AND('Ações'!AU439="sim", 'Ações'!BH439="sim"), 1, 0)
</f>
        <v>0</v>
      </c>
      <c r="V431" s="319">
        <f>IF(AND('Ações'!AU439="sim", 'Ações'!BI439="sim"), 1, 0)
</f>
        <v>1</v>
      </c>
      <c r="W431" s="319">
        <f>IF(AND('Ações'!AV439="sim", 'Ações'!BD439="sim"), 1, 0)
</f>
        <v>0</v>
      </c>
      <c r="X431" s="319">
        <f>IF(AND('Ações'!AV439="sim", 'Ações'!BE439="sim"), 1, 0)
</f>
        <v>0</v>
      </c>
      <c r="Y431" s="319">
        <f>IF(AND('Ações'!AV439="sim", 'Ações'!BF439="sim"), 1, 0)
</f>
        <v>0</v>
      </c>
      <c r="Z431" s="319">
        <f>IF(AND('Ações'!AV439="sim", 'Ações'!BH439="sim"), 1, 0)
</f>
        <v>0</v>
      </c>
      <c r="AA431" s="319">
        <f>IF(AND('Ações'!AV439="sim", 'Ações'!BI439="sim"), 1, 0)
</f>
        <v>1</v>
      </c>
      <c r="AB431" s="319">
        <f>IF(AND('Ações'!AW439="sim", 'Ações'!BD439="sim"), 1, 0)
</f>
        <v>0</v>
      </c>
      <c r="AC431" s="319">
        <f>IF(AND('Ações'!AW439="sim", 'Ações'!BE439="sim"), 1, 0)
</f>
        <v>0</v>
      </c>
      <c r="AD431" s="319">
        <f>IF(AND('Ações'!AW439="sim", 'Ações'!BF439="sim"), 1, 0)
</f>
        <v>0</v>
      </c>
      <c r="AE431" s="319">
        <f>IF(AND('Ações'!AW439="sim", 'Ações'!BG439="sim"), 1, 0)
</f>
        <v>0</v>
      </c>
      <c r="AF431" s="319">
        <f>IF(AND('Ações'!AW439="sim", 'Ações'!BI439="sim"), 1, 0)
</f>
        <v>1</v>
      </c>
      <c r="AG431" s="319">
        <f>IF(AND('Ações'!AX439="sim", 'Ações'!BD439="sim"), 1, 0)
</f>
        <v>0</v>
      </c>
      <c r="AH431" s="319">
        <f>IF(AND('Ações'!AX439="sim", 'Ações'!BE439="sim"), 1, 0)
</f>
        <v>0</v>
      </c>
      <c r="AI431" s="319">
        <f>IF(AND('Ações'!AX439="sim", 'Ações'!BF439="sim"), 1, 0)
</f>
        <v>0</v>
      </c>
      <c r="AJ431" s="319">
        <f>IF(AND('Ações'!AX439="sim", 'Ações'!BG439="sim"), 1, 0)
</f>
        <v>0</v>
      </c>
      <c r="AK431" s="319">
        <f>IF(AND('Ações'!AX439="sim", 'Ações'!BH439="sim"), 1, 0)
</f>
        <v>0</v>
      </c>
    </row>
    <row r="432">
      <c r="B432" s="319">
        <f>IF(AND('Ações'!AS440="sim", 'Ações'!BD440="sim"), 1, 0)
</f>
        <v>0</v>
      </c>
      <c r="C432" s="319">
        <f>IF(AND('Ações'!AT440="sim", 'Ações'!BE440="sim"), 1, 0)
</f>
        <v>0</v>
      </c>
      <c r="D432" s="319">
        <f>IF(AND('Ações'!AU440="sim", 'Ações'!BF440="sim"), 1, 0)
</f>
        <v>0</v>
      </c>
      <c r="E432" s="319">
        <f>IF(AND('Ações'!AV440="sim", 'Ações'!BG440="sim"), 1, 0)
</f>
        <v>0</v>
      </c>
      <c r="F432" s="319">
        <f>IF(AND('Ações'!AW440="sim", 'Ações'!BH440="sim"), 1, 0)
</f>
        <v>0</v>
      </c>
      <c r="G432" s="319">
        <f>IF(AND('Ações'!AX440="sim", 'Ações'!BI440="sim"), 1, 0)
</f>
        <v>1</v>
      </c>
      <c r="H432" s="319">
        <f>IF(AND('Ações'!AS440="sim", 'Ações'!BE440="sim"), 1, 0)
</f>
        <v>0</v>
      </c>
      <c r="I432" s="319">
        <f>IF(AND('Ações'!AS440="sim", 'Ações'!BF440="sim"), 1, 0)
</f>
        <v>0</v>
      </c>
      <c r="J432" s="319">
        <f>IF(AND('Ações'!AS440="sim", 'Ações'!BG440="sim"), 1, 0)
</f>
        <v>0</v>
      </c>
      <c r="K432" s="319">
        <f>IF(AND('Ações'!AS440="sim", 'Ações'!BH440="sim"), 1, 0)
</f>
        <v>0</v>
      </c>
      <c r="L432" s="319">
        <f>IF(AND('Ações'!AS440="sim", 'Ações'!BI440="sim"), 1, 0)
</f>
        <v>0</v>
      </c>
      <c r="M432" s="319">
        <f>IF(AND('Ações'!AT440="sim", 'Ações'!BD440="sim"), 1, 0)
</f>
        <v>0</v>
      </c>
      <c r="N432" s="319">
        <f>IF(AND('Ações'!AT440="sim", 'Ações'!BF440="sim"), 1, 0)
</f>
        <v>0</v>
      </c>
      <c r="O432" s="319">
        <f>IF(AND('Ações'!AT440="sim", 'Ações'!BG440="sim"), 1, 0)
</f>
        <v>0</v>
      </c>
      <c r="P432" s="319">
        <f>IF(AND('Ações'!AT440="sim", 'Ações'!BH440="sim"), 1, 0)
</f>
        <v>0</v>
      </c>
      <c r="Q432" s="319">
        <f>IF(AND('Ações'!AT440="sim", 'Ações'!BI440="sim"), 1, 0)
</f>
        <v>1</v>
      </c>
      <c r="R432" s="319">
        <f>IF(AND('Ações'!AU440="sim", 'Ações'!BD440="sim"), 1, 0)
</f>
        <v>0</v>
      </c>
      <c r="S432" s="319">
        <f>IF(AND('Ações'!AU440="sim", 'Ações'!BE440="sim"), 1, 0)
</f>
        <v>0</v>
      </c>
      <c r="T432" s="319">
        <f>IF(AND('Ações'!AU440="sim", 'Ações'!BG440="sim"), 1, 0)
</f>
        <v>0</v>
      </c>
      <c r="U432" s="319">
        <f>IF(AND('Ações'!AU440="sim", 'Ações'!BH440="sim"), 1, 0)
</f>
        <v>0</v>
      </c>
      <c r="V432" s="319">
        <f>IF(AND('Ações'!AU440="sim", 'Ações'!BI440="sim"), 1, 0)
</f>
        <v>1</v>
      </c>
      <c r="W432" s="319">
        <f>IF(AND('Ações'!AV440="sim", 'Ações'!BD440="sim"), 1, 0)
</f>
        <v>0</v>
      </c>
      <c r="X432" s="319">
        <f>IF(AND('Ações'!AV440="sim", 'Ações'!BE440="sim"), 1, 0)
</f>
        <v>0</v>
      </c>
      <c r="Y432" s="319">
        <f>IF(AND('Ações'!AV440="sim", 'Ações'!BF440="sim"), 1, 0)
</f>
        <v>0</v>
      </c>
      <c r="Z432" s="319">
        <f>IF(AND('Ações'!AV440="sim", 'Ações'!BH440="sim"), 1, 0)
</f>
        <v>0</v>
      </c>
      <c r="AA432" s="319">
        <f>IF(AND('Ações'!AV440="sim", 'Ações'!BI440="sim"), 1, 0)
</f>
        <v>1</v>
      </c>
      <c r="AB432" s="319">
        <f>IF(AND('Ações'!AW440="sim", 'Ações'!BD440="sim"), 1, 0)
</f>
        <v>0</v>
      </c>
      <c r="AC432" s="319">
        <f>IF(AND('Ações'!AW440="sim", 'Ações'!BE440="sim"), 1, 0)
</f>
        <v>0</v>
      </c>
      <c r="AD432" s="319">
        <f>IF(AND('Ações'!AW440="sim", 'Ações'!BF440="sim"), 1, 0)
</f>
        <v>0</v>
      </c>
      <c r="AE432" s="319">
        <f>IF(AND('Ações'!AW440="sim", 'Ações'!BG440="sim"), 1, 0)
</f>
        <v>0</v>
      </c>
      <c r="AF432" s="319">
        <f>IF(AND('Ações'!AW440="sim", 'Ações'!BI440="sim"), 1, 0)
</f>
        <v>1</v>
      </c>
      <c r="AG432" s="319">
        <f>IF(AND('Ações'!AX440="sim", 'Ações'!BD440="sim"), 1, 0)
</f>
        <v>0</v>
      </c>
      <c r="AH432" s="319">
        <f>IF(AND('Ações'!AX440="sim", 'Ações'!BE440="sim"), 1, 0)
</f>
        <v>0</v>
      </c>
      <c r="AI432" s="319">
        <f>IF(AND('Ações'!AX440="sim", 'Ações'!BF440="sim"), 1, 0)
</f>
        <v>0</v>
      </c>
      <c r="AJ432" s="319">
        <f>IF(AND('Ações'!AX440="sim", 'Ações'!BG440="sim"), 1, 0)
</f>
        <v>0</v>
      </c>
      <c r="AK432" s="319">
        <f>IF(AND('Ações'!AX440="sim", 'Ações'!BH440="sim"), 1, 0)
</f>
        <v>0</v>
      </c>
    </row>
    <row r="433">
      <c r="B433" s="319">
        <f>IF(AND('Ações'!AS441="sim", 'Ações'!BD441="sim"), 1, 0)
</f>
        <v>0</v>
      </c>
      <c r="C433" s="319">
        <f>IF(AND('Ações'!AT441="sim", 'Ações'!BE441="sim"), 1, 0)
</f>
        <v>0</v>
      </c>
      <c r="D433" s="319">
        <f>IF(AND('Ações'!AU441="sim", 'Ações'!BF441="sim"), 1, 0)
</f>
        <v>0</v>
      </c>
      <c r="E433" s="319">
        <f>IF(AND('Ações'!AV441="sim", 'Ações'!BG441="sim"), 1, 0)
</f>
        <v>0</v>
      </c>
      <c r="F433" s="319">
        <f>IF(AND('Ações'!AW441="sim", 'Ações'!BH441="sim"), 1, 0)
</f>
        <v>0</v>
      </c>
      <c r="G433" s="319">
        <f>IF(AND('Ações'!AX441="sim", 'Ações'!BI441="sim"), 1, 0)
</f>
        <v>0</v>
      </c>
      <c r="H433" s="319">
        <f>IF(AND('Ações'!AS441="sim", 'Ações'!BE441="sim"), 1, 0)
</f>
        <v>0</v>
      </c>
      <c r="I433" s="319">
        <f>IF(AND('Ações'!AS441="sim", 'Ações'!BF441="sim"), 1, 0)
</f>
        <v>0</v>
      </c>
      <c r="J433" s="319">
        <f>IF(AND('Ações'!AS441="sim", 'Ações'!BG441="sim"), 1, 0)
</f>
        <v>0</v>
      </c>
      <c r="K433" s="319">
        <f>IF(AND('Ações'!AS441="sim", 'Ações'!BH441="sim"), 1, 0)
</f>
        <v>0</v>
      </c>
      <c r="L433" s="319">
        <f>IF(AND('Ações'!AS441="sim", 'Ações'!BI441="sim"), 1, 0)
</f>
        <v>0</v>
      </c>
      <c r="M433" s="319">
        <f>IF(AND('Ações'!AT441="sim", 'Ações'!BD441="sim"), 1, 0)
</f>
        <v>1</v>
      </c>
      <c r="N433" s="319">
        <f>IF(AND('Ações'!AT441="sim", 'Ações'!BF441="sim"), 1, 0)
</f>
        <v>0</v>
      </c>
      <c r="O433" s="319">
        <f>IF(AND('Ações'!AT441="sim", 'Ações'!BG441="sim"), 1, 0)
</f>
        <v>0</v>
      </c>
      <c r="P433" s="319">
        <f>IF(AND('Ações'!AT441="sim", 'Ações'!BH441="sim"), 1, 0)
</f>
        <v>0</v>
      </c>
      <c r="Q433" s="319">
        <f>IF(AND('Ações'!AT441="sim", 'Ações'!BI441="sim"), 1, 0)
</f>
        <v>0</v>
      </c>
      <c r="R433" s="319">
        <f>IF(AND('Ações'!AU441="sim", 'Ações'!BD441="sim"), 1, 0)
</f>
        <v>1</v>
      </c>
      <c r="S433" s="319">
        <f>IF(AND('Ações'!AU441="sim", 'Ações'!BE441="sim"), 1, 0)
</f>
        <v>0</v>
      </c>
      <c r="T433" s="319">
        <f>IF(AND('Ações'!AU441="sim", 'Ações'!BG441="sim"), 1, 0)
</f>
        <v>0</v>
      </c>
      <c r="U433" s="319">
        <f>IF(AND('Ações'!AU441="sim", 'Ações'!BH441="sim"), 1, 0)
</f>
        <v>0</v>
      </c>
      <c r="V433" s="319">
        <f>IF(AND('Ações'!AU441="sim", 'Ações'!BI441="sim"), 1, 0)
</f>
        <v>0</v>
      </c>
      <c r="W433" s="319">
        <f>IF(AND('Ações'!AV441="sim", 'Ações'!BD441="sim"), 1, 0)
</f>
        <v>1</v>
      </c>
      <c r="X433" s="319">
        <f>IF(AND('Ações'!AV441="sim", 'Ações'!BE441="sim"), 1, 0)
</f>
        <v>0</v>
      </c>
      <c r="Y433" s="319">
        <f>IF(AND('Ações'!AV441="sim", 'Ações'!BF441="sim"), 1, 0)
</f>
        <v>0</v>
      </c>
      <c r="Z433" s="319">
        <f>IF(AND('Ações'!AV441="sim", 'Ações'!BH441="sim"), 1, 0)
</f>
        <v>0</v>
      </c>
      <c r="AA433" s="319">
        <f>IF(AND('Ações'!AV441="sim", 'Ações'!BI441="sim"), 1, 0)
</f>
        <v>0</v>
      </c>
      <c r="AB433" s="319">
        <f>IF(AND('Ações'!AW441="sim", 'Ações'!BD441="sim"), 1, 0)
</f>
        <v>1</v>
      </c>
      <c r="AC433" s="319">
        <f>IF(AND('Ações'!AW441="sim", 'Ações'!BE441="sim"), 1, 0)
</f>
        <v>0</v>
      </c>
      <c r="AD433" s="319">
        <f>IF(AND('Ações'!AW441="sim", 'Ações'!BF441="sim"), 1, 0)
</f>
        <v>0</v>
      </c>
      <c r="AE433" s="319">
        <f>IF(AND('Ações'!AW441="sim", 'Ações'!BG441="sim"), 1, 0)
</f>
        <v>0</v>
      </c>
      <c r="AF433" s="319">
        <f>IF(AND('Ações'!AW441="sim", 'Ações'!BI441="sim"), 1, 0)
</f>
        <v>0</v>
      </c>
      <c r="AG433" s="319">
        <f>IF(AND('Ações'!AX441="sim", 'Ações'!BD441="sim"), 1, 0)
</f>
        <v>1</v>
      </c>
      <c r="AH433" s="319">
        <f>IF(AND('Ações'!AX441="sim", 'Ações'!BE441="sim"), 1, 0)
</f>
        <v>0</v>
      </c>
      <c r="AI433" s="319">
        <f>IF(AND('Ações'!AX441="sim", 'Ações'!BF441="sim"), 1, 0)
</f>
        <v>0</v>
      </c>
      <c r="AJ433" s="319">
        <f>IF(AND('Ações'!AX441="sim", 'Ações'!BG441="sim"), 1, 0)
</f>
        <v>0</v>
      </c>
      <c r="AK433" s="319">
        <f>IF(AND('Ações'!AX441="sim", 'Ações'!BH441="sim"), 1, 0)
</f>
        <v>0</v>
      </c>
    </row>
    <row r="434">
      <c r="B434" s="319">
        <f>IF(AND('Ações'!AS442="sim", 'Ações'!BD442="sim"), 1, 0)
</f>
        <v>1</v>
      </c>
      <c r="C434" s="319">
        <f>IF(AND('Ações'!AT442="sim", 'Ações'!BE442="sim"), 1, 0)
</f>
        <v>0</v>
      </c>
      <c r="D434" s="319">
        <f>IF(AND('Ações'!AU442="sim", 'Ações'!BF442="sim"), 1, 0)
</f>
        <v>0</v>
      </c>
      <c r="E434" s="319">
        <f>IF(AND('Ações'!AV442="sim", 'Ações'!BG442="sim"), 1, 0)
</f>
        <v>0</v>
      </c>
      <c r="F434" s="319">
        <f>IF(AND('Ações'!AW442="sim", 'Ações'!BH442="sim"), 1, 0)
</f>
        <v>0</v>
      </c>
      <c r="G434" s="319">
        <f>IF(AND('Ações'!AX442="sim", 'Ações'!BI442="sim"), 1, 0)
</f>
        <v>0</v>
      </c>
      <c r="H434" s="319">
        <f>IF(AND('Ações'!AS442="sim", 'Ações'!BE442="sim"), 1, 0)
</f>
        <v>0</v>
      </c>
      <c r="I434" s="319">
        <f>IF(AND('Ações'!AS442="sim", 'Ações'!BF442="sim"), 1, 0)
</f>
        <v>0</v>
      </c>
      <c r="J434" s="319">
        <f>IF(AND('Ações'!AS442="sim", 'Ações'!BG442="sim"), 1, 0)
</f>
        <v>0</v>
      </c>
      <c r="K434" s="319">
        <f>IF(AND('Ações'!AS442="sim", 'Ações'!BH442="sim"), 1, 0)
</f>
        <v>0</v>
      </c>
      <c r="L434" s="319">
        <f>IF(AND('Ações'!AS442="sim", 'Ações'!BI442="sim"), 1, 0)
</f>
        <v>0</v>
      </c>
      <c r="M434" s="319">
        <f>IF(AND('Ações'!AT442="sim", 'Ações'!BD442="sim"), 1, 0)
</f>
        <v>1</v>
      </c>
      <c r="N434" s="319">
        <f>IF(AND('Ações'!AT442="sim", 'Ações'!BF442="sim"), 1, 0)
</f>
        <v>0</v>
      </c>
      <c r="O434" s="319">
        <f>IF(AND('Ações'!AT442="sim", 'Ações'!BG442="sim"), 1, 0)
</f>
        <v>0</v>
      </c>
      <c r="P434" s="319">
        <f>IF(AND('Ações'!AT442="sim", 'Ações'!BH442="sim"), 1, 0)
</f>
        <v>0</v>
      </c>
      <c r="Q434" s="319">
        <f>IF(AND('Ações'!AT442="sim", 'Ações'!BI442="sim"), 1, 0)
</f>
        <v>0</v>
      </c>
      <c r="R434" s="319">
        <f>IF(AND('Ações'!AU442="sim", 'Ações'!BD442="sim"), 1, 0)
</f>
        <v>1</v>
      </c>
      <c r="S434" s="319">
        <f>IF(AND('Ações'!AU442="sim", 'Ações'!BE442="sim"), 1, 0)
</f>
        <v>0</v>
      </c>
      <c r="T434" s="319">
        <f>IF(AND('Ações'!AU442="sim", 'Ações'!BG442="sim"), 1, 0)
</f>
        <v>0</v>
      </c>
      <c r="U434" s="319">
        <f>IF(AND('Ações'!AU442="sim", 'Ações'!BH442="sim"), 1, 0)
</f>
        <v>0</v>
      </c>
      <c r="V434" s="319">
        <f>IF(AND('Ações'!AU442="sim", 'Ações'!BI442="sim"), 1, 0)
</f>
        <v>0</v>
      </c>
      <c r="W434" s="319">
        <f>IF(AND('Ações'!AV442="sim", 'Ações'!BD442="sim"), 1, 0)
</f>
        <v>1</v>
      </c>
      <c r="X434" s="319">
        <f>IF(AND('Ações'!AV442="sim", 'Ações'!BE442="sim"), 1, 0)
</f>
        <v>0</v>
      </c>
      <c r="Y434" s="319">
        <f>IF(AND('Ações'!AV442="sim", 'Ações'!BF442="sim"), 1, 0)
</f>
        <v>0</v>
      </c>
      <c r="Z434" s="319">
        <f>IF(AND('Ações'!AV442="sim", 'Ações'!BH442="sim"), 1, 0)
</f>
        <v>0</v>
      </c>
      <c r="AA434" s="319">
        <f>IF(AND('Ações'!AV442="sim", 'Ações'!BI442="sim"), 1, 0)
</f>
        <v>0</v>
      </c>
      <c r="AB434" s="319">
        <f>IF(AND('Ações'!AW442="sim", 'Ações'!BD442="sim"), 1, 0)
</f>
        <v>1</v>
      </c>
      <c r="AC434" s="319">
        <f>IF(AND('Ações'!AW442="sim", 'Ações'!BE442="sim"), 1, 0)
</f>
        <v>0</v>
      </c>
      <c r="AD434" s="319">
        <f>IF(AND('Ações'!AW442="sim", 'Ações'!BF442="sim"), 1, 0)
</f>
        <v>0</v>
      </c>
      <c r="AE434" s="319">
        <f>IF(AND('Ações'!AW442="sim", 'Ações'!BG442="sim"), 1, 0)
</f>
        <v>0</v>
      </c>
      <c r="AF434" s="319">
        <f>IF(AND('Ações'!AW442="sim", 'Ações'!BI442="sim"), 1, 0)
</f>
        <v>0</v>
      </c>
      <c r="AG434" s="319">
        <f>IF(AND('Ações'!AX442="sim", 'Ações'!BD442="sim"), 1, 0)
</f>
        <v>0</v>
      </c>
      <c r="AH434" s="319">
        <f>IF(AND('Ações'!AX442="sim", 'Ações'!BE442="sim"), 1, 0)
</f>
        <v>0</v>
      </c>
      <c r="AI434" s="319">
        <f>IF(AND('Ações'!AX442="sim", 'Ações'!BF442="sim"), 1, 0)
</f>
        <v>0</v>
      </c>
      <c r="AJ434" s="319">
        <f>IF(AND('Ações'!AX442="sim", 'Ações'!BG442="sim"), 1, 0)
</f>
        <v>0</v>
      </c>
      <c r="AK434" s="319">
        <f>IF(AND('Ações'!AX442="sim", 'Ações'!BH442="sim"), 1, 0)
</f>
        <v>0</v>
      </c>
    </row>
    <row r="435">
      <c r="B435" s="319">
        <f>IF(AND('Ações'!AS443="sim", 'Ações'!BD443="sim"), 1, 0)
</f>
        <v>1</v>
      </c>
      <c r="C435" s="319">
        <f>IF(AND('Ações'!AT443="sim", 'Ações'!BE443="sim"), 1, 0)
</f>
        <v>0</v>
      </c>
      <c r="D435" s="319">
        <f>IF(AND('Ações'!AU443="sim", 'Ações'!BF443="sim"), 1, 0)
</f>
        <v>0</v>
      </c>
      <c r="E435" s="319">
        <f>IF(AND('Ações'!AV443="sim", 'Ações'!BG443="sim"), 1, 0)
</f>
        <v>0</v>
      </c>
      <c r="F435" s="319">
        <f>IF(AND('Ações'!AW443="sim", 'Ações'!BH443="sim"), 1, 0)
</f>
        <v>0</v>
      </c>
      <c r="G435" s="319">
        <f>IF(AND('Ações'!AX443="sim", 'Ações'!BI443="sim"), 1, 0)
</f>
        <v>0</v>
      </c>
      <c r="H435" s="319">
        <f>IF(AND('Ações'!AS443="sim", 'Ações'!BE443="sim"), 1, 0)
</f>
        <v>0</v>
      </c>
      <c r="I435" s="319">
        <f>IF(AND('Ações'!AS443="sim", 'Ações'!BF443="sim"), 1, 0)
</f>
        <v>0</v>
      </c>
      <c r="J435" s="319">
        <f>IF(AND('Ações'!AS443="sim", 'Ações'!BG443="sim"), 1, 0)
</f>
        <v>0</v>
      </c>
      <c r="K435" s="319">
        <f>IF(AND('Ações'!AS443="sim", 'Ações'!BH443="sim"), 1, 0)
</f>
        <v>0</v>
      </c>
      <c r="L435" s="319">
        <f>IF(AND('Ações'!AS443="sim", 'Ações'!BI443="sim"), 1, 0)
</f>
        <v>1</v>
      </c>
      <c r="M435" s="319">
        <f>IF(AND('Ações'!AT443="sim", 'Ações'!BD443="sim"), 1, 0)
</f>
        <v>1</v>
      </c>
      <c r="N435" s="319">
        <f>IF(AND('Ações'!AT443="sim", 'Ações'!BF443="sim"), 1, 0)
</f>
        <v>0</v>
      </c>
      <c r="O435" s="319">
        <f>IF(AND('Ações'!AT443="sim", 'Ações'!BG443="sim"), 1, 0)
</f>
        <v>0</v>
      </c>
      <c r="P435" s="319">
        <f>IF(AND('Ações'!AT443="sim", 'Ações'!BH443="sim"), 1, 0)
</f>
        <v>0</v>
      </c>
      <c r="Q435" s="319">
        <f>IF(AND('Ações'!AT443="sim", 'Ações'!BI443="sim"), 1, 0)
</f>
        <v>1</v>
      </c>
      <c r="R435" s="319">
        <f>IF(AND('Ações'!AU443="sim", 'Ações'!BD443="sim"), 1, 0)
</f>
        <v>1</v>
      </c>
      <c r="S435" s="319">
        <f>IF(AND('Ações'!AU443="sim", 'Ações'!BE443="sim"), 1, 0)
</f>
        <v>0</v>
      </c>
      <c r="T435" s="319">
        <f>IF(AND('Ações'!AU443="sim", 'Ações'!BG443="sim"), 1, 0)
</f>
        <v>0</v>
      </c>
      <c r="U435" s="319">
        <f>IF(AND('Ações'!AU443="sim", 'Ações'!BH443="sim"), 1, 0)
</f>
        <v>0</v>
      </c>
      <c r="V435" s="319">
        <f>IF(AND('Ações'!AU443="sim", 'Ações'!BI443="sim"), 1, 0)
</f>
        <v>1</v>
      </c>
      <c r="W435" s="319">
        <f>IF(AND('Ações'!AV443="sim", 'Ações'!BD443="sim"), 1, 0)
</f>
        <v>1</v>
      </c>
      <c r="X435" s="319">
        <f>IF(AND('Ações'!AV443="sim", 'Ações'!BE443="sim"), 1, 0)
</f>
        <v>0</v>
      </c>
      <c r="Y435" s="319">
        <f>IF(AND('Ações'!AV443="sim", 'Ações'!BF443="sim"), 1, 0)
</f>
        <v>0</v>
      </c>
      <c r="Z435" s="319">
        <f>IF(AND('Ações'!AV443="sim", 'Ações'!BH443="sim"), 1, 0)
</f>
        <v>0</v>
      </c>
      <c r="AA435" s="319">
        <f>IF(AND('Ações'!AV443="sim", 'Ações'!BI443="sim"), 1, 0)
</f>
        <v>1</v>
      </c>
      <c r="AB435" s="319">
        <f>IF(AND('Ações'!AW443="sim", 'Ações'!BD443="sim"), 1, 0)
</f>
        <v>1</v>
      </c>
      <c r="AC435" s="319">
        <f>IF(AND('Ações'!AW443="sim", 'Ações'!BE443="sim"), 1, 0)
</f>
        <v>0</v>
      </c>
      <c r="AD435" s="319">
        <f>IF(AND('Ações'!AW443="sim", 'Ações'!BF443="sim"), 1, 0)
</f>
        <v>0</v>
      </c>
      <c r="AE435" s="319">
        <f>IF(AND('Ações'!AW443="sim", 'Ações'!BG443="sim"), 1, 0)
</f>
        <v>0</v>
      </c>
      <c r="AF435" s="319">
        <f>IF(AND('Ações'!AW443="sim", 'Ações'!BI443="sim"), 1, 0)
</f>
        <v>1</v>
      </c>
      <c r="AG435" s="319">
        <f>IF(AND('Ações'!AX443="sim", 'Ações'!BD443="sim"), 1, 0)
</f>
        <v>0</v>
      </c>
      <c r="AH435" s="319">
        <f>IF(AND('Ações'!AX443="sim", 'Ações'!BE443="sim"), 1, 0)
</f>
        <v>0</v>
      </c>
      <c r="AI435" s="319">
        <f>IF(AND('Ações'!AX443="sim", 'Ações'!BF443="sim"), 1, 0)
</f>
        <v>0</v>
      </c>
      <c r="AJ435" s="319">
        <f>IF(AND('Ações'!AX443="sim", 'Ações'!BG443="sim"), 1, 0)
</f>
        <v>0</v>
      </c>
      <c r="AK435" s="319">
        <f>IF(AND('Ações'!AX443="sim", 'Ações'!BH443="sim"), 1, 0)
</f>
        <v>0</v>
      </c>
    </row>
    <row r="436">
      <c r="B436" s="319">
        <f>IF(AND('Ações'!AS444="sim", 'Ações'!BD444="sim"), 1, 0)
</f>
        <v>1</v>
      </c>
      <c r="C436" s="319">
        <f>IF(AND('Ações'!AT444="sim", 'Ações'!BE444="sim"), 1, 0)
</f>
        <v>0</v>
      </c>
      <c r="D436" s="319">
        <f>IF(AND('Ações'!AU444="sim", 'Ações'!BF444="sim"), 1, 0)
</f>
        <v>0</v>
      </c>
      <c r="E436" s="319">
        <f>IF(AND('Ações'!AV444="sim", 'Ações'!BG444="sim"), 1, 0)
</f>
        <v>0</v>
      </c>
      <c r="F436" s="319">
        <f>IF(AND('Ações'!AW444="sim", 'Ações'!BH444="sim"), 1, 0)
</f>
        <v>0</v>
      </c>
      <c r="G436" s="319">
        <f>IF(AND('Ações'!AX444="sim", 'Ações'!BI444="sim"), 1, 0)
</f>
        <v>0</v>
      </c>
      <c r="H436" s="319">
        <f>IF(AND('Ações'!AS444="sim", 'Ações'!BE444="sim"), 1, 0)
</f>
        <v>0</v>
      </c>
      <c r="I436" s="319">
        <f>IF(AND('Ações'!AS444="sim", 'Ações'!BF444="sim"), 1, 0)
</f>
        <v>0</v>
      </c>
      <c r="J436" s="319">
        <f>IF(AND('Ações'!AS444="sim", 'Ações'!BG444="sim"), 1, 0)
</f>
        <v>0</v>
      </c>
      <c r="K436" s="319">
        <f>IF(AND('Ações'!AS444="sim", 'Ações'!BH444="sim"), 1, 0)
</f>
        <v>0</v>
      </c>
      <c r="L436" s="319">
        <f>IF(AND('Ações'!AS444="sim", 'Ações'!BI444="sim"), 1, 0)
</f>
        <v>0</v>
      </c>
      <c r="M436" s="319">
        <f>IF(AND('Ações'!AT444="sim", 'Ações'!BD444="sim"), 1, 0)
</f>
        <v>1</v>
      </c>
      <c r="N436" s="319">
        <f>IF(AND('Ações'!AT444="sim", 'Ações'!BF444="sim"), 1, 0)
</f>
        <v>0</v>
      </c>
      <c r="O436" s="319">
        <f>IF(AND('Ações'!AT444="sim", 'Ações'!BG444="sim"), 1, 0)
</f>
        <v>0</v>
      </c>
      <c r="P436" s="319">
        <f>IF(AND('Ações'!AT444="sim", 'Ações'!BH444="sim"), 1, 0)
</f>
        <v>0</v>
      </c>
      <c r="Q436" s="319">
        <f>IF(AND('Ações'!AT444="sim", 'Ações'!BI444="sim"), 1, 0)
</f>
        <v>0</v>
      </c>
      <c r="R436" s="319">
        <f>IF(AND('Ações'!AU444="sim", 'Ações'!BD444="sim"), 1, 0)
</f>
        <v>1</v>
      </c>
      <c r="S436" s="319">
        <f>IF(AND('Ações'!AU444="sim", 'Ações'!BE444="sim"), 1, 0)
</f>
        <v>0</v>
      </c>
      <c r="T436" s="319">
        <f>IF(AND('Ações'!AU444="sim", 'Ações'!BG444="sim"), 1, 0)
</f>
        <v>0</v>
      </c>
      <c r="U436" s="319">
        <f>IF(AND('Ações'!AU444="sim", 'Ações'!BH444="sim"), 1, 0)
</f>
        <v>0</v>
      </c>
      <c r="V436" s="319">
        <f>IF(AND('Ações'!AU444="sim", 'Ações'!BI444="sim"), 1, 0)
</f>
        <v>0</v>
      </c>
      <c r="W436" s="319">
        <f>IF(AND('Ações'!AV444="sim", 'Ações'!BD444="sim"), 1, 0)
</f>
        <v>1</v>
      </c>
      <c r="X436" s="319">
        <f>IF(AND('Ações'!AV444="sim", 'Ações'!BE444="sim"), 1, 0)
</f>
        <v>0</v>
      </c>
      <c r="Y436" s="319">
        <f>IF(AND('Ações'!AV444="sim", 'Ações'!BF444="sim"), 1, 0)
</f>
        <v>0</v>
      </c>
      <c r="Z436" s="319">
        <f>IF(AND('Ações'!AV444="sim", 'Ações'!BH444="sim"), 1, 0)
</f>
        <v>0</v>
      </c>
      <c r="AA436" s="319">
        <f>IF(AND('Ações'!AV444="sim", 'Ações'!BI444="sim"), 1, 0)
</f>
        <v>0</v>
      </c>
      <c r="AB436" s="319">
        <f>IF(AND('Ações'!AW444="sim", 'Ações'!BD444="sim"), 1, 0)
</f>
        <v>1</v>
      </c>
      <c r="AC436" s="319">
        <f>IF(AND('Ações'!AW444="sim", 'Ações'!BE444="sim"), 1, 0)
</f>
        <v>0</v>
      </c>
      <c r="AD436" s="319">
        <f>IF(AND('Ações'!AW444="sim", 'Ações'!BF444="sim"), 1, 0)
</f>
        <v>0</v>
      </c>
      <c r="AE436" s="319">
        <f>IF(AND('Ações'!AW444="sim", 'Ações'!BG444="sim"), 1, 0)
</f>
        <v>0</v>
      </c>
      <c r="AF436" s="319">
        <f>IF(AND('Ações'!AW444="sim", 'Ações'!BI444="sim"), 1, 0)
</f>
        <v>0</v>
      </c>
      <c r="AG436" s="319">
        <f>IF(AND('Ações'!AX444="sim", 'Ações'!BD444="sim"), 1, 0)
</f>
        <v>0</v>
      </c>
      <c r="AH436" s="319">
        <f>IF(AND('Ações'!AX444="sim", 'Ações'!BE444="sim"), 1, 0)
</f>
        <v>0</v>
      </c>
      <c r="AI436" s="319">
        <f>IF(AND('Ações'!AX444="sim", 'Ações'!BF444="sim"), 1, 0)
</f>
        <v>0</v>
      </c>
      <c r="AJ436" s="319">
        <f>IF(AND('Ações'!AX444="sim", 'Ações'!BG444="sim"), 1, 0)
</f>
        <v>0</v>
      </c>
      <c r="AK436" s="319">
        <f>IF(AND('Ações'!AX444="sim", 'Ações'!BH444="sim"), 1, 0)
</f>
        <v>0</v>
      </c>
    </row>
    <row r="437">
      <c r="B437" s="319">
        <f>IF(AND('Ações'!AS446="sim", 'Ações'!BD446="sim"), 1, 0)
</f>
        <v>1</v>
      </c>
      <c r="C437" s="319">
        <f>IF(AND('Ações'!AT446="sim", 'Ações'!BE446="sim"), 1, 0)
</f>
        <v>0</v>
      </c>
      <c r="D437" s="319">
        <f>IF(AND('Ações'!AU446="sim", 'Ações'!BF446="sim"), 1, 0)
</f>
        <v>0</v>
      </c>
      <c r="E437" s="319">
        <f>IF(AND('Ações'!AV446="sim", 'Ações'!BG446="sim"), 1, 0)
</f>
        <v>0</v>
      </c>
      <c r="F437" s="319">
        <f>IF(AND('Ações'!AW446="sim", 'Ações'!BH446="sim"), 1, 0)
</f>
        <v>0</v>
      </c>
      <c r="G437" s="319">
        <f>IF(AND('Ações'!AX446="sim", 'Ações'!BI446="sim"), 1, 0)
</f>
        <v>0</v>
      </c>
      <c r="H437" s="319">
        <f>IF(AND('Ações'!AS446="sim", 'Ações'!BE446="sim"), 1, 0)
</f>
        <v>0</v>
      </c>
      <c r="I437" s="319">
        <f>IF(AND('Ações'!AS446="sim", 'Ações'!BF446="sim"), 1, 0)
</f>
        <v>0</v>
      </c>
      <c r="J437" s="319">
        <f>IF(AND('Ações'!AS446="sim", 'Ações'!BG446="sim"), 1, 0)
</f>
        <v>0</v>
      </c>
      <c r="K437" s="319">
        <f>IF(AND('Ações'!AS446="sim", 'Ações'!BH446="sim"), 1, 0)
</f>
        <v>0</v>
      </c>
      <c r="L437" s="319">
        <f>IF(AND('Ações'!AS446="sim", 'Ações'!BI446="sim"), 1, 0)
</f>
        <v>0</v>
      </c>
      <c r="M437" s="319">
        <f>IF(AND('Ações'!AT446="sim", 'Ações'!BD446="sim"), 1, 0)
</f>
        <v>1</v>
      </c>
      <c r="N437" s="319">
        <f>IF(AND('Ações'!AT446="sim", 'Ações'!BF446="sim"), 1, 0)
</f>
        <v>0</v>
      </c>
      <c r="O437" s="319">
        <f>IF(AND('Ações'!AT446="sim", 'Ações'!BG446="sim"), 1, 0)
</f>
        <v>0</v>
      </c>
      <c r="P437" s="319">
        <f>IF(AND('Ações'!AT446="sim", 'Ações'!BH446="sim"), 1, 0)
</f>
        <v>0</v>
      </c>
      <c r="Q437" s="319">
        <f>IF(AND('Ações'!AT446="sim", 'Ações'!BI446="sim"), 1, 0)
</f>
        <v>0</v>
      </c>
      <c r="R437" s="319">
        <f>IF(AND('Ações'!AU446="sim", 'Ações'!BD446="sim"), 1, 0)
</f>
        <v>1</v>
      </c>
      <c r="S437" s="319">
        <f>IF(AND('Ações'!AU446="sim", 'Ações'!BE446="sim"), 1, 0)
</f>
        <v>0</v>
      </c>
      <c r="T437" s="319">
        <f>IF(AND('Ações'!AU446="sim", 'Ações'!BG446="sim"), 1, 0)
</f>
        <v>0</v>
      </c>
      <c r="U437" s="319">
        <f>IF(AND('Ações'!AU446="sim", 'Ações'!BH446="sim"), 1, 0)
</f>
        <v>0</v>
      </c>
      <c r="V437" s="319">
        <f>IF(AND('Ações'!AU446="sim", 'Ações'!BI446="sim"), 1, 0)
</f>
        <v>0</v>
      </c>
      <c r="W437" s="319">
        <f>IF(AND('Ações'!AV446="sim", 'Ações'!BD446="sim"), 1, 0)
</f>
        <v>1</v>
      </c>
      <c r="X437" s="319">
        <f>IF(AND('Ações'!AV446="sim", 'Ações'!BE446="sim"), 1, 0)
</f>
        <v>0</v>
      </c>
      <c r="Y437" s="319">
        <f>IF(AND('Ações'!AV446="sim", 'Ações'!BF446="sim"), 1, 0)
</f>
        <v>0</v>
      </c>
      <c r="Z437" s="319">
        <f>IF(AND('Ações'!AV446="sim", 'Ações'!BH446="sim"), 1, 0)
</f>
        <v>0</v>
      </c>
      <c r="AA437" s="319">
        <f>IF(AND('Ações'!AV446="sim", 'Ações'!BI446="sim"), 1, 0)
</f>
        <v>0</v>
      </c>
      <c r="AB437" s="319">
        <f>IF(AND('Ações'!AW446="sim", 'Ações'!BD446="sim"), 1, 0)
</f>
        <v>1</v>
      </c>
      <c r="AC437" s="319">
        <f>IF(AND('Ações'!AW446="sim", 'Ações'!BE446="sim"), 1, 0)
</f>
        <v>0</v>
      </c>
      <c r="AD437" s="319">
        <f>IF(AND('Ações'!AW446="sim", 'Ações'!BF446="sim"), 1, 0)
</f>
        <v>0</v>
      </c>
      <c r="AE437" s="319">
        <f>IF(AND('Ações'!AW446="sim", 'Ações'!BG446="sim"), 1, 0)
</f>
        <v>0</v>
      </c>
      <c r="AF437" s="319">
        <f>IF(AND('Ações'!AW446="sim", 'Ações'!BI446="sim"), 1, 0)
</f>
        <v>0</v>
      </c>
      <c r="AG437" s="319">
        <f>IF(AND('Ações'!AX446="sim", 'Ações'!BD446="sim"), 1, 0)
</f>
        <v>0</v>
      </c>
      <c r="AH437" s="319">
        <f>IF(AND('Ações'!AX446="sim", 'Ações'!BE446="sim"), 1, 0)
</f>
        <v>0</v>
      </c>
      <c r="AI437" s="319">
        <f>IF(AND('Ações'!AX446="sim", 'Ações'!BF446="sim"), 1, 0)
</f>
        <v>0</v>
      </c>
      <c r="AJ437" s="319">
        <f>IF(AND('Ações'!AX446="sim", 'Ações'!BG446="sim"), 1, 0)
</f>
        <v>0</v>
      </c>
      <c r="AK437" s="319">
        <f>IF(AND('Ações'!AX446="sim", 'Ações'!BH446="sim"), 1, 0)
</f>
        <v>0</v>
      </c>
    </row>
    <row r="438">
      <c r="B438" s="319">
        <f>IF(AND('Ações'!AS447="sim", 'Ações'!BD447="sim"), 1, 0)
</f>
        <v>1</v>
      </c>
      <c r="C438" s="319">
        <f>IF(AND('Ações'!AT447="sim", 'Ações'!BE447="sim"), 1, 0)
</f>
        <v>0</v>
      </c>
      <c r="D438" s="319">
        <f>IF(AND('Ações'!AU447="sim", 'Ações'!BF447="sim"), 1, 0)
</f>
        <v>0</v>
      </c>
      <c r="E438" s="319">
        <f>IF(AND('Ações'!AV447="sim", 'Ações'!BG447="sim"), 1, 0)
</f>
        <v>0</v>
      </c>
      <c r="F438" s="319">
        <f>IF(AND('Ações'!AW447="sim", 'Ações'!BH447="sim"), 1, 0)
</f>
        <v>0</v>
      </c>
      <c r="G438" s="319">
        <f>IF(AND('Ações'!AX447="sim", 'Ações'!BI447="sim"), 1, 0)
</f>
        <v>0</v>
      </c>
      <c r="H438" s="319">
        <f>IF(AND('Ações'!AS447="sim", 'Ações'!BE447="sim"), 1, 0)
</f>
        <v>0</v>
      </c>
      <c r="I438" s="319">
        <f>IF(AND('Ações'!AS447="sim", 'Ações'!BF447="sim"), 1, 0)
</f>
        <v>0</v>
      </c>
      <c r="J438" s="319">
        <f>IF(AND('Ações'!AS447="sim", 'Ações'!BG447="sim"), 1, 0)
</f>
        <v>0</v>
      </c>
      <c r="K438" s="319">
        <f>IF(AND('Ações'!AS447="sim", 'Ações'!BH447="sim"), 1, 0)
</f>
        <v>0</v>
      </c>
      <c r="L438" s="319">
        <f>IF(AND('Ações'!AS447="sim", 'Ações'!BI447="sim"), 1, 0)
</f>
        <v>0</v>
      </c>
      <c r="M438" s="319">
        <f>IF(AND('Ações'!AT447="sim", 'Ações'!BD447="sim"), 1, 0)
</f>
        <v>1</v>
      </c>
      <c r="N438" s="319">
        <f>IF(AND('Ações'!AT447="sim", 'Ações'!BF447="sim"), 1, 0)
</f>
        <v>0</v>
      </c>
      <c r="O438" s="319">
        <f>IF(AND('Ações'!AT447="sim", 'Ações'!BG447="sim"), 1, 0)
</f>
        <v>0</v>
      </c>
      <c r="P438" s="319">
        <f>IF(AND('Ações'!AT447="sim", 'Ações'!BH447="sim"), 1, 0)
</f>
        <v>0</v>
      </c>
      <c r="Q438" s="319">
        <f>IF(AND('Ações'!AT447="sim", 'Ações'!BI447="sim"), 1, 0)
</f>
        <v>0</v>
      </c>
      <c r="R438" s="319">
        <f>IF(AND('Ações'!AU447="sim", 'Ações'!BD447="sim"), 1, 0)
</f>
        <v>1</v>
      </c>
      <c r="S438" s="319">
        <f>IF(AND('Ações'!AU447="sim", 'Ações'!BE447="sim"), 1, 0)
</f>
        <v>0</v>
      </c>
      <c r="T438" s="319">
        <f>IF(AND('Ações'!AU447="sim", 'Ações'!BG447="sim"), 1, 0)
</f>
        <v>0</v>
      </c>
      <c r="U438" s="319">
        <f>IF(AND('Ações'!AU447="sim", 'Ações'!BH447="sim"), 1, 0)
</f>
        <v>0</v>
      </c>
      <c r="V438" s="319">
        <f>IF(AND('Ações'!AU447="sim", 'Ações'!BI447="sim"), 1, 0)
</f>
        <v>0</v>
      </c>
      <c r="W438" s="319">
        <f>IF(AND('Ações'!AV447="sim", 'Ações'!BD447="sim"), 1, 0)
</f>
        <v>1</v>
      </c>
      <c r="X438" s="319">
        <f>IF(AND('Ações'!AV447="sim", 'Ações'!BE447="sim"), 1, 0)
</f>
        <v>0</v>
      </c>
      <c r="Y438" s="319">
        <f>IF(AND('Ações'!AV447="sim", 'Ações'!BF447="sim"), 1, 0)
</f>
        <v>0</v>
      </c>
      <c r="Z438" s="319">
        <f>IF(AND('Ações'!AV447="sim", 'Ações'!BH447="sim"), 1, 0)
</f>
        <v>0</v>
      </c>
      <c r="AA438" s="319">
        <f>IF(AND('Ações'!AV447="sim", 'Ações'!BI447="sim"), 1, 0)
</f>
        <v>0</v>
      </c>
      <c r="AB438" s="319">
        <f>IF(AND('Ações'!AW447="sim", 'Ações'!BD447="sim"), 1, 0)
</f>
        <v>1</v>
      </c>
      <c r="AC438" s="319">
        <f>IF(AND('Ações'!AW447="sim", 'Ações'!BE447="sim"), 1, 0)
</f>
        <v>0</v>
      </c>
      <c r="AD438" s="319">
        <f>IF(AND('Ações'!AW447="sim", 'Ações'!BF447="sim"), 1, 0)
</f>
        <v>0</v>
      </c>
      <c r="AE438" s="319">
        <f>IF(AND('Ações'!AW447="sim", 'Ações'!BG447="sim"), 1, 0)
</f>
        <v>0</v>
      </c>
      <c r="AF438" s="319">
        <f>IF(AND('Ações'!AW447="sim", 'Ações'!BI447="sim"), 1, 0)
</f>
        <v>0</v>
      </c>
      <c r="AG438" s="319">
        <f>IF(AND('Ações'!AX447="sim", 'Ações'!BD447="sim"), 1, 0)
</f>
        <v>0</v>
      </c>
      <c r="AH438" s="319">
        <f>IF(AND('Ações'!AX447="sim", 'Ações'!BE447="sim"), 1, 0)
</f>
        <v>0</v>
      </c>
      <c r="AI438" s="319">
        <f>IF(AND('Ações'!AX447="sim", 'Ações'!BF447="sim"), 1, 0)
</f>
        <v>0</v>
      </c>
      <c r="AJ438" s="319">
        <f>IF(AND('Ações'!AX447="sim", 'Ações'!BG447="sim"), 1, 0)
</f>
        <v>0</v>
      </c>
      <c r="AK438" s="319">
        <f>IF(AND('Ações'!AX447="sim", 'Ações'!BH447="sim"), 1, 0)
</f>
        <v>0</v>
      </c>
    </row>
    <row r="439">
      <c r="B439" s="319">
        <f>IF(AND('Ações'!AS448="sim", 'Ações'!BD448="sim"), 1, 0)
</f>
        <v>0</v>
      </c>
      <c r="C439" s="319">
        <f>IF(AND('Ações'!AT448="sim", 'Ações'!BE448="sim"), 1, 0)
</f>
        <v>0</v>
      </c>
      <c r="D439" s="319">
        <f>IF(AND('Ações'!AU448="sim", 'Ações'!BF448="sim"), 1, 0)
</f>
        <v>0</v>
      </c>
      <c r="E439" s="319">
        <f>IF(AND('Ações'!AV448="sim", 'Ações'!BG448="sim"), 1, 0)
</f>
        <v>0</v>
      </c>
      <c r="F439" s="319">
        <f>IF(AND('Ações'!AW448="sim", 'Ações'!BH448="sim"), 1, 0)
</f>
        <v>0</v>
      </c>
      <c r="G439" s="319">
        <f>IF(AND('Ações'!AX448="sim", 'Ações'!BI448="sim"), 1, 0)
</f>
        <v>0</v>
      </c>
      <c r="H439" s="319">
        <f>IF(AND('Ações'!AS448="sim", 'Ações'!BE448="sim"), 1, 0)
</f>
        <v>0</v>
      </c>
      <c r="I439" s="319">
        <f>IF(AND('Ações'!AS448="sim", 'Ações'!BF448="sim"), 1, 0)
</f>
        <v>0</v>
      </c>
      <c r="J439" s="319">
        <f>IF(AND('Ações'!AS448="sim", 'Ações'!BG448="sim"), 1, 0)
</f>
        <v>0</v>
      </c>
      <c r="K439" s="319">
        <f>IF(AND('Ações'!AS448="sim", 'Ações'!BH448="sim"), 1, 0)
</f>
        <v>0</v>
      </c>
      <c r="L439" s="319">
        <f>IF(AND('Ações'!AS448="sim", 'Ações'!BI448="sim"), 1, 0)
</f>
        <v>1</v>
      </c>
      <c r="M439" s="319">
        <f>IF(AND('Ações'!AT448="sim", 'Ações'!BD448="sim"), 1, 0)
</f>
        <v>0</v>
      </c>
      <c r="N439" s="319">
        <f>IF(AND('Ações'!AT448="sim", 'Ações'!BF448="sim"), 1, 0)
</f>
        <v>0</v>
      </c>
      <c r="O439" s="319">
        <f>IF(AND('Ações'!AT448="sim", 'Ações'!BG448="sim"), 1, 0)
</f>
        <v>0</v>
      </c>
      <c r="P439" s="319">
        <f>IF(AND('Ações'!AT448="sim", 'Ações'!BH448="sim"), 1, 0)
</f>
        <v>0</v>
      </c>
      <c r="Q439" s="319">
        <f>IF(AND('Ações'!AT448="sim", 'Ações'!BI448="sim"), 1, 0)
</f>
        <v>1</v>
      </c>
      <c r="R439" s="319">
        <f>IF(AND('Ações'!AU448="sim", 'Ações'!BD448="sim"), 1, 0)
</f>
        <v>0</v>
      </c>
      <c r="S439" s="319">
        <f>IF(AND('Ações'!AU448="sim", 'Ações'!BE448="sim"), 1, 0)
</f>
        <v>0</v>
      </c>
      <c r="T439" s="319">
        <f>IF(AND('Ações'!AU448="sim", 'Ações'!BG448="sim"), 1, 0)
</f>
        <v>0</v>
      </c>
      <c r="U439" s="319">
        <f>IF(AND('Ações'!AU448="sim", 'Ações'!BH448="sim"), 1, 0)
</f>
        <v>0</v>
      </c>
      <c r="V439" s="319">
        <f>IF(AND('Ações'!AU448="sim", 'Ações'!BI448="sim"), 1, 0)
</f>
        <v>1</v>
      </c>
      <c r="W439" s="319">
        <f>IF(AND('Ações'!AV448="sim", 'Ações'!BD448="sim"), 1, 0)
</f>
        <v>0</v>
      </c>
      <c r="X439" s="319">
        <f>IF(AND('Ações'!AV448="sim", 'Ações'!BE448="sim"), 1, 0)
</f>
        <v>0</v>
      </c>
      <c r="Y439" s="319">
        <f>IF(AND('Ações'!AV448="sim", 'Ações'!BF448="sim"), 1, 0)
</f>
        <v>0</v>
      </c>
      <c r="Z439" s="319">
        <f>IF(AND('Ações'!AV448="sim", 'Ações'!BH448="sim"), 1, 0)
</f>
        <v>0</v>
      </c>
      <c r="AA439" s="319">
        <f>IF(AND('Ações'!AV448="sim", 'Ações'!BI448="sim"), 1, 0)
</f>
        <v>1</v>
      </c>
      <c r="AB439" s="319">
        <f>IF(AND('Ações'!AW448="sim", 'Ações'!BD448="sim"), 1, 0)
</f>
        <v>0</v>
      </c>
      <c r="AC439" s="319">
        <f>IF(AND('Ações'!AW448="sim", 'Ações'!BE448="sim"), 1, 0)
</f>
        <v>0</v>
      </c>
      <c r="AD439" s="319">
        <f>IF(AND('Ações'!AW448="sim", 'Ações'!BF448="sim"), 1, 0)
</f>
        <v>0</v>
      </c>
      <c r="AE439" s="319">
        <f>IF(AND('Ações'!AW448="sim", 'Ações'!BG448="sim"), 1, 0)
</f>
        <v>0</v>
      </c>
      <c r="AF439" s="319">
        <f>IF(AND('Ações'!AW448="sim", 'Ações'!BI448="sim"), 1, 0)
</f>
        <v>0</v>
      </c>
      <c r="AG439" s="319">
        <f>IF(AND('Ações'!AX448="sim", 'Ações'!BD448="sim"), 1, 0)
</f>
        <v>0</v>
      </c>
      <c r="AH439" s="319">
        <f>IF(AND('Ações'!AX448="sim", 'Ações'!BE448="sim"), 1, 0)
</f>
        <v>0</v>
      </c>
      <c r="AI439" s="319">
        <f>IF(AND('Ações'!AX448="sim", 'Ações'!BF448="sim"), 1, 0)
</f>
        <v>0</v>
      </c>
      <c r="AJ439" s="319">
        <f>IF(AND('Ações'!AX448="sim", 'Ações'!BG448="sim"), 1, 0)
</f>
        <v>0</v>
      </c>
      <c r="AK439" s="319">
        <f>IF(AND('Ações'!AX448="sim", 'Ações'!BH448="sim"), 1, 0)
</f>
        <v>0</v>
      </c>
    </row>
    <row r="440">
      <c r="B440" s="319">
        <f>IF(AND('Ações'!AS449="sim", 'Ações'!BD449="sim"), 1, 0)
</f>
        <v>1</v>
      </c>
      <c r="C440" s="319">
        <f>IF(AND('Ações'!AT449="sim", 'Ações'!BE449="sim"), 1, 0)
</f>
        <v>0</v>
      </c>
      <c r="D440" s="319">
        <f>IF(AND('Ações'!AU449="sim", 'Ações'!BF449="sim"), 1, 0)
</f>
        <v>0</v>
      </c>
      <c r="E440" s="319">
        <f>IF(AND('Ações'!AV449="sim", 'Ações'!BG449="sim"), 1, 0)
</f>
        <v>0</v>
      </c>
      <c r="F440" s="319">
        <f>IF(AND('Ações'!AW449="sim", 'Ações'!BH449="sim"), 1, 0)
</f>
        <v>0</v>
      </c>
      <c r="G440" s="319">
        <f>IF(AND('Ações'!AX449="sim", 'Ações'!BI449="sim"), 1, 0)
</f>
        <v>0</v>
      </c>
      <c r="H440" s="319">
        <f>IF(AND('Ações'!AS449="sim", 'Ações'!BE449="sim"), 1, 0)
</f>
        <v>0</v>
      </c>
      <c r="I440" s="319">
        <f>IF(AND('Ações'!AS449="sim", 'Ações'!BF449="sim"), 1, 0)
</f>
        <v>0</v>
      </c>
      <c r="J440" s="319">
        <f>IF(AND('Ações'!AS449="sim", 'Ações'!BG449="sim"), 1, 0)
</f>
        <v>0</v>
      </c>
      <c r="K440" s="319">
        <f>IF(AND('Ações'!AS449="sim", 'Ações'!BH449="sim"), 1, 0)
</f>
        <v>0</v>
      </c>
      <c r="L440" s="319">
        <f>IF(AND('Ações'!AS449="sim", 'Ações'!BI449="sim"), 1, 0)
</f>
        <v>0</v>
      </c>
      <c r="M440" s="319">
        <f>IF(AND('Ações'!AT449="sim", 'Ações'!BD449="sim"), 1, 0)
</f>
        <v>1</v>
      </c>
      <c r="N440" s="319">
        <f>IF(AND('Ações'!AT449="sim", 'Ações'!BF449="sim"), 1, 0)
</f>
        <v>0</v>
      </c>
      <c r="O440" s="319">
        <f>IF(AND('Ações'!AT449="sim", 'Ações'!BG449="sim"), 1, 0)
</f>
        <v>0</v>
      </c>
      <c r="P440" s="319">
        <f>IF(AND('Ações'!AT449="sim", 'Ações'!BH449="sim"), 1, 0)
</f>
        <v>0</v>
      </c>
      <c r="Q440" s="319">
        <f>IF(AND('Ações'!AT449="sim", 'Ações'!BI449="sim"), 1, 0)
</f>
        <v>0</v>
      </c>
      <c r="R440" s="319">
        <f>IF(AND('Ações'!AU449="sim", 'Ações'!BD449="sim"), 1, 0)
</f>
        <v>1</v>
      </c>
      <c r="S440" s="319">
        <f>IF(AND('Ações'!AU449="sim", 'Ações'!BE449="sim"), 1, 0)
</f>
        <v>0</v>
      </c>
      <c r="T440" s="319">
        <f>IF(AND('Ações'!AU449="sim", 'Ações'!BG449="sim"), 1, 0)
</f>
        <v>0</v>
      </c>
      <c r="U440" s="319">
        <f>IF(AND('Ações'!AU449="sim", 'Ações'!BH449="sim"), 1, 0)
</f>
        <v>0</v>
      </c>
      <c r="V440" s="319">
        <f>IF(AND('Ações'!AU449="sim", 'Ações'!BI449="sim"), 1, 0)
</f>
        <v>0</v>
      </c>
      <c r="W440" s="319">
        <f>IF(AND('Ações'!AV449="sim", 'Ações'!BD449="sim"), 1, 0)
</f>
        <v>1</v>
      </c>
      <c r="X440" s="319">
        <f>IF(AND('Ações'!AV449="sim", 'Ações'!BE449="sim"), 1, 0)
</f>
        <v>0</v>
      </c>
      <c r="Y440" s="319">
        <f>IF(AND('Ações'!AV449="sim", 'Ações'!BF449="sim"), 1, 0)
</f>
        <v>0</v>
      </c>
      <c r="Z440" s="319">
        <f>IF(AND('Ações'!AV449="sim", 'Ações'!BH449="sim"), 1, 0)
</f>
        <v>0</v>
      </c>
      <c r="AA440" s="319">
        <f>IF(AND('Ações'!AV449="sim", 'Ações'!BI449="sim"), 1, 0)
</f>
        <v>0</v>
      </c>
      <c r="AB440" s="319">
        <f>IF(AND('Ações'!AW449="sim", 'Ações'!BD449="sim"), 1, 0)
</f>
        <v>0</v>
      </c>
      <c r="AC440" s="319">
        <f>IF(AND('Ações'!AW449="sim", 'Ações'!BE449="sim"), 1, 0)
</f>
        <v>0</v>
      </c>
      <c r="AD440" s="319">
        <f>IF(AND('Ações'!AW449="sim", 'Ações'!BF449="sim"), 1, 0)
</f>
        <v>0</v>
      </c>
      <c r="AE440" s="319">
        <f>IF(AND('Ações'!AW449="sim", 'Ações'!BG449="sim"), 1, 0)
</f>
        <v>0</v>
      </c>
      <c r="AF440" s="319">
        <f>IF(AND('Ações'!AW449="sim", 'Ações'!BI449="sim"), 1, 0)
</f>
        <v>0</v>
      </c>
      <c r="AG440" s="319">
        <f>IF(AND('Ações'!AX449="sim", 'Ações'!BD449="sim"), 1, 0)
</f>
        <v>0</v>
      </c>
      <c r="AH440" s="319">
        <f>IF(AND('Ações'!AX449="sim", 'Ações'!BE449="sim"), 1, 0)
</f>
        <v>0</v>
      </c>
      <c r="AI440" s="319">
        <f>IF(AND('Ações'!AX449="sim", 'Ações'!BF449="sim"), 1, 0)
</f>
        <v>0</v>
      </c>
      <c r="AJ440" s="319">
        <f>IF(AND('Ações'!AX449="sim", 'Ações'!BG449="sim"), 1, 0)
</f>
        <v>0</v>
      </c>
      <c r="AK440" s="319">
        <f>IF(AND('Ações'!AX449="sim", 'Ações'!BH449="sim"), 1, 0)
</f>
        <v>0</v>
      </c>
    </row>
    <row r="441">
      <c r="B441" s="319">
        <f>IF(AND('Ações'!AS450="sim", 'Ações'!BD450="sim"), 1, 0)
</f>
        <v>0</v>
      </c>
      <c r="C441" s="319">
        <f>IF(AND('Ações'!AT450="sim", 'Ações'!BE450="sim"), 1, 0)
</f>
        <v>0</v>
      </c>
      <c r="D441" s="319">
        <f>IF(AND('Ações'!AU450="sim", 'Ações'!BF450="sim"), 1, 0)
</f>
        <v>0</v>
      </c>
      <c r="E441" s="319">
        <f>IF(AND('Ações'!AV450="sim", 'Ações'!BG450="sim"), 1, 0)
</f>
        <v>0</v>
      </c>
      <c r="F441" s="319">
        <f>IF(AND('Ações'!AW450="sim", 'Ações'!BH450="sim"), 1, 0)
</f>
        <v>0</v>
      </c>
      <c r="G441" s="319">
        <f>IF(AND('Ações'!AX450="sim", 'Ações'!BI450="sim"), 1, 0)
</f>
        <v>0</v>
      </c>
      <c r="H441" s="319">
        <f>IF(AND('Ações'!AS450="sim", 'Ações'!BE450="sim"), 1, 0)
</f>
        <v>0</v>
      </c>
      <c r="I441" s="319">
        <f>IF(AND('Ações'!AS450="sim", 'Ações'!BF450="sim"), 1, 0)
</f>
        <v>0</v>
      </c>
      <c r="J441" s="319">
        <f>IF(AND('Ações'!AS450="sim", 'Ações'!BG450="sim"), 1, 0)
</f>
        <v>0</v>
      </c>
      <c r="K441" s="319">
        <f>IF(AND('Ações'!AS450="sim", 'Ações'!BH450="sim"), 1, 0)
</f>
        <v>0</v>
      </c>
      <c r="L441" s="319">
        <f>IF(AND('Ações'!AS450="sim", 'Ações'!BI450="sim"), 1, 0)
</f>
        <v>1</v>
      </c>
      <c r="M441" s="319">
        <f>IF(AND('Ações'!AT450="sim", 'Ações'!BD450="sim"), 1, 0)
</f>
        <v>0</v>
      </c>
      <c r="N441" s="319">
        <f>IF(AND('Ações'!AT450="sim", 'Ações'!BF450="sim"), 1, 0)
</f>
        <v>0</v>
      </c>
      <c r="O441" s="319">
        <f>IF(AND('Ações'!AT450="sim", 'Ações'!BG450="sim"), 1, 0)
</f>
        <v>0</v>
      </c>
      <c r="P441" s="319">
        <f>IF(AND('Ações'!AT450="sim", 'Ações'!BH450="sim"), 1, 0)
</f>
        <v>0</v>
      </c>
      <c r="Q441" s="319">
        <f>IF(AND('Ações'!AT450="sim", 'Ações'!BI450="sim"), 1, 0)
</f>
        <v>1</v>
      </c>
      <c r="R441" s="319">
        <f>IF(AND('Ações'!AU450="sim", 'Ações'!BD450="sim"), 1, 0)
</f>
        <v>0</v>
      </c>
      <c r="S441" s="319">
        <f>IF(AND('Ações'!AU450="sim", 'Ações'!BE450="sim"), 1, 0)
</f>
        <v>0</v>
      </c>
      <c r="T441" s="319">
        <f>IF(AND('Ações'!AU450="sim", 'Ações'!BG450="sim"), 1, 0)
</f>
        <v>0</v>
      </c>
      <c r="U441" s="319">
        <f>IF(AND('Ações'!AU450="sim", 'Ações'!BH450="sim"), 1, 0)
</f>
        <v>0</v>
      </c>
      <c r="V441" s="319">
        <f>IF(AND('Ações'!AU450="sim", 'Ações'!BI450="sim"), 1, 0)
</f>
        <v>1</v>
      </c>
      <c r="W441" s="319">
        <f>IF(AND('Ações'!AV450="sim", 'Ações'!BD450="sim"), 1, 0)
</f>
        <v>0</v>
      </c>
      <c r="X441" s="319">
        <f>IF(AND('Ações'!AV450="sim", 'Ações'!BE450="sim"), 1, 0)
</f>
        <v>0</v>
      </c>
      <c r="Y441" s="319">
        <f>IF(AND('Ações'!AV450="sim", 'Ações'!BF450="sim"), 1, 0)
</f>
        <v>0</v>
      </c>
      <c r="Z441" s="319">
        <f>IF(AND('Ações'!AV450="sim", 'Ações'!BH450="sim"), 1, 0)
</f>
        <v>0</v>
      </c>
      <c r="AA441" s="319">
        <f>IF(AND('Ações'!AV450="sim", 'Ações'!BI450="sim"), 1, 0)
</f>
        <v>1</v>
      </c>
      <c r="AB441" s="319">
        <f>IF(AND('Ações'!AW450="sim", 'Ações'!BD450="sim"), 1, 0)
</f>
        <v>0</v>
      </c>
      <c r="AC441" s="319">
        <f>IF(AND('Ações'!AW450="sim", 'Ações'!BE450="sim"), 1, 0)
</f>
        <v>0</v>
      </c>
      <c r="AD441" s="319">
        <f>IF(AND('Ações'!AW450="sim", 'Ações'!BF450="sim"), 1, 0)
</f>
        <v>0</v>
      </c>
      <c r="AE441" s="319">
        <f>IF(AND('Ações'!AW450="sim", 'Ações'!BG450="sim"), 1, 0)
</f>
        <v>0</v>
      </c>
      <c r="AF441" s="319">
        <f>IF(AND('Ações'!AW450="sim", 'Ações'!BI450="sim"), 1, 0)
</f>
        <v>0</v>
      </c>
      <c r="AG441" s="319">
        <f>IF(AND('Ações'!AX450="sim", 'Ações'!BD450="sim"), 1, 0)
</f>
        <v>0</v>
      </c>
      <c r="AH441" s="319">
        <f>IF(AND('Ações'!AX450="sim", 'Ações'!BE450="sim"), 1, 0)
</f>
        <v>0</v>
      </c>
      <c r="AI441" s="319">
        <f>IF(AND('Ações'!AX450="sim", 'Ações'!BF450="sim"), 1, 0)
</f>
        <v>0</v>
      </c>
      <c r="AJ441" s="319">
        <f>IF(AND('Ações'!AX450="sim", 'Ações'!BG450="sim"), 1, 0)
</f>
        <v>0</v>
      </c>
      <c r="AK441" s="319">
        <f>IF(AND('Ações'!AX450="sim", 'Ações'!BH450="sim"), 1, 0)
</f>
        <v>0</v>
      </c>
    </row>
    <row r="442">
      <c r="B442" s="319">
        <f>IF(AND('Ações'!AS451="sim", 'Ações'!BD451="sim"), 1, 0)
</f>
        <v>0</v>
      </c>
      <c r="C442" s="319">
        <f>IF(AND('Ações'!AT451="sim", 'Ações'!BE451="sim"), 1, 0)
</f>
        <v>0</v>
      </c>
      <c r="D442" s="319">
        <f>IF(AND('Ações'!AU451="sim", 'Ações'!BF451="sim"), 1, 0)
</f>
        <v>0</v>
      </c>
      <c r="E442" s="319">
        <f>IF(AND('Ações'!AV451="sim", 'Ações'!BG451="sim"), 1, 0)
</f>
        <v>0</v>
      </c>
      <c r="F442" s="319">
        <f>IF(AND('Ações'!AW451="sim", 'Ações'!BH451="sim"), 1, 0)
</f>
        <v>0</v>
      </c>
      <c r="G442" s="319">
        <f>IF(AND('Ações'!AX451="sim", 'Ações'!BI451="sim"), 1, 0)
</f>
        <v>0</v>
      </c>
      <c r="H442" s="319">
        <f>IF(AND('Ações'!AS451="sim", 'Ações'!BE451="sim"), 1, 0)
</f>
        <v>0</v>
      </c>
      <c r="I442" s="319">
        <f>IF(AND('Ações'!AS451="sim", 'Ações'!BF451="sim"), 1, 0)
</f>
        <v>0</v>
      </c>
      <c r="J442" s="319">
        <f>IF(AND('Ações'!AS451="sim", 'Ações'!BG451="sim"), 1, 0)
</f>
        <v>0</v>
      </c>
      <c r="K442" s="319">
        <f>IF(AND('Ações'!AS451="sim", 'Ações'!BH451="sim"), 1, 0)
</f>
        <v>0</v>
      </c>
      <c r="L442" s="319">
        <f>IF(AND('Ações'!AS451="sim", 'Ações'!BI451="sim"), 1, 0)
</f>
        <v>0</v>
      </c>
      <c r="M442" s="319">
        <f>IF(AND('Ações'!AT451="sim", 'Ações'!BD451="sim"), 1, 0)
</f>
        <v>0</v>
      </c>
      <c r="N442" s="319">
        <f>IF(AND('Ações'!AT451="sim", 'Ações'!BF451="sim"), 1, 0)
</f>
        <v>0</v>
      </c>
      <c r="O442" s="319">
        <f>IF(AND('Ações'!AT451="sim", 'Ações'!BG451="sim"), 1, 0)
</f>
        <v>0</v>
      </c>
      <c r="P442" s="319">
        <f>IF(AND('Ações'!AT451="sim", 'Ações'!BH451="sim"), 1, 0)
</f>
        <v>0</v>
      </c>
      <c r="Q442" s="319">
        <f>IF(AND('Ações'!AT451="sim", 'Ações'!BI451="sim"), 1, 0)
</f>
        <v>1</v>
      </c>
      <c r="R442" s="319">
        <f>IF(AND('Ações'!AU451="sim", 'Ações'!BD451="sim"), 1, 0)
</f>
        <v>0</v>
      </c>
      <c r="S442" s="319">
        <f>IF(AND('Ações'!AU451="sim", 'Ações'!BE451="sim"), 1, 0)
</f>
        <v>0</v>
      </c>
      <c r="T442" s="319">
        <f>IF(AND('Ações'!AU451="sim", 'Ações'!BG451="sim"), 1, 0)
</f>
        <v>0</v>
      </c>
      <c r="U442" s="319">
        <f>IF(AND('Ações'!AU451="sim", 'Ações'!BH451="sim"), 1, 0)
</f>
        <v>0</v>
      </c>
      <c r="V442" s="319">
        <f>IF(AND('Ações'!AU451="sim", 'Ações'!BI451="sim"), 1, 0)
</f>
        <v>1</v>
      </c>
      <c r="W442" s="319">
        <f>IF(AND('Ações'!AV451="sim", 'Ações'!BD451="sim"), 1, 0)
</f>
        <v>0</v>
      </c>
      <c r="X442" s="319">
        <f>IF(AND('Ações'!AV451="sim", 'Ações'!BE451="sim"), 1, 0)
</f>
        <v>0</v>
      </c>
      <c r="Y442" s="319">
        <f>IF(AND('Ações'!AV451="sim", 'Ações'!BF451="sim"), 1, 0)
</f>
        <v>0</v>
      </c>
      <c r="Z442" s="319">
        <f>IF(AND('Ações'!AV451="sim", 'Ações'!BH451="sim"), 1, 0)
</f>
        <v>0</v>
      </c>
      <c r="AA442" s="319">
        <f>IF(AND('Ações'!AV451="sim", 'Ações'!BI451="sim"), 1, 0)
</f>
        <v>1</v>
      </c>
      <c r="AB442" s="319">
        <f>IF(AND('Ações'!AW451="sim", 'Ações'!BD451="sim"), 1, 0)
</f>
        <v>0</v>
      </c>
      <c r="AC442" s="319">
        <f>IF(AND('Ações'!AW451="sim", 'Ações'!BE451="sim"), 1, 0)
</f>
        <v>0</v>
      </c>
      <c r="AD442" s="319">
        <f>IF(AND('Ações'!AW451="sim", 'Ações'!BF451="sim"), 1, 0)
</f>
        <v>0</v>
      </c>
      <c r="AE442" s="319">
        <f>IF(AND('Ações'!AW451="sim", 'Ações'!BG451="sim"), 1, 0)
</f>
        <v>0</v>
      </c>
      <c r="AF442" s="319">
        <f>IF(AND('Ações'!AW451="sim", 'Ações'!BI451="sim"), 1, 0)
</f>
        <v>1</v>
      </c>
      <c r="AG442" s="319">
        <f>IF(AND('Ações'!AX451="sim", 'Ações'!BD451="sim"), 1, 0)
</f>
        <v>0</v>
      </c>
      <c r="AH442" s="319">
        <f>IF(AND('Ações'!AX451="sim", 'Ações'!BE451="sim"), 1, 0)
</f>
        <v>0</v>
      </c>
      <c r="AI442" s="319">
        <f>IF(AND('Ações'!AX451="sim", 'Ações'!BF451="sim"), 1, 0)
</f>
        <v>0</v>
      </c>
      <c r="AJ442" s="319">
        <f>IF(AND('Ações'!AX451="sim", 'Ações'!BG451="sim"), 1, 0)
</f>
        <v>0</v>
      </c>
      <c r="AK442" s="319">
        <f>IF(AND('Ações'!AX451="sim", 'Ações'!BH451="sim"), 1, 0)
</f>
        <v>0</v>
      </c>
    </row>
    <row r="443">
      <c r="B443" s="319">
        <f>IF(AND('Ações'!AS452="sim", 'Ações'!BD452="sim"), 1, 0)
</f>
        <v>0</v>
      </c>
      <c r="C443" s="319">
        <f>IF(AND('Ações'!AT452="sim", 'Ações'!BE452="sim"), 1, 0)
</f>
        <v>0</v>
      </c>
      <c r="D443" s="319">
        <f>IF(AND('Ações'!AU452="sim", 'Ações'!BF452="sim"), 1, 0)
</f>
        <v>0</v>
      </c>
      <c r="E443" s="319">
        <f>IF(AND('Ações'!AV452="sim", 'Ações'!BG452="sim"), 1, 0)
</f>
        <v>0</v>
      </c>
      <c r="F443" s="319">
        <f>IF(AND('Ações'!AW452="sim", 'Ações'!BH452="sim"), 1, 0)
</f>
        <v>0</v>
      </c>
      <c r="G443" s="319">
        <f>IF(AND('Ações'!AX452="sim", 'Ações'!BI452="sim"), 1, 0)
</f>
        <v>0</v>
      </c>
      <c r="H443" s="319">
        <f>IF(AND('Ações'!AS452="sim", 'Ações'!BE452="sim"), 1, 0)
</f>
        <v>0</v>
      </c>
      <c r="I443" s="319">
        <f>IF(AND('Ações'!AS452="sim", 'Ações'!BF452="sim"), 1, 0)
</f>
        <v>0</v>
      </c>
      <c r="J443" s="319">
        <f>IF(AND('Ações'!AS452="sim", 'Ações'!BG452="sim"), 1, 0)
</f>
        <v>0</v>
      </c>
      <c r="K443" s="319">
        <f>IF(AND('Ações'!AS452="sim", 'Ações'!BH452="sim"), 1, 0)
</f>
        <v>0</v>
      </c>
      <c r="L443" s="319">
        <f>IF(AND('Ações'!AS452="sim", 'Ações'!BI452="sim"), 1, 0)
</f>
        <v>0</v>
      </c>
      <c r="M443" s="319">
        <f>IF(AND('Ações'!AT452="sim", 'Ações'!BD452="sim"), 1, 0)
</f>
        <v>0</v>
      </c>
      <c r="N443" s="319">
        <f>IF(AND('Ações'!AT452="sim", 'Ações'!BF452="sim"), 1, 0)
</f>
        <v>0</v>
      </c>
      <c r="O443" s="319">
        <f>IF(AND('Ações'!AT452="sim", 'Ações'!BG452="sim"), 1, 0)
</f>
        <v>0</v>
      </c>
      <c r="P443" s="319">
        <f>IF(AND('Ações'!AT452="sim", 'Ações'!BH452="sim"), 1, 0)
</f>
        <v>0</v>
      </c>
      <c r="Q443" s="319">
        <f>IF(AND('Ações'!AT452="sim", 'Ações'!BI452="sim"), 1, 0)
</f>
        <v>1</v>
      </c>
      <c r="R443" s="319">
        <f>IF(AND('Ações'!AU452="sim", 'Ações'!BD452="sim"), 1, 0)
</f>
        <v>0</v>
      </c>
      <c r="S443" s="319">
        <f>IF(AND('Ações'!AU452="sim", 'Ações'!BE452="sim"), 1, 0)
</f>
        <v>0</v>
      </c>
      <c r="T443" s="319">
        <f>IF(AND('Ações'!AU452="sim", 'Ações'!BG452="sim"), 1, 0)
</f>
        <v>0</v>
      </c>
      <c r="U443" s="319">
        <f>IF(AND('Ações'!AU452="sim", 'Ações'!BH452="sim"), 1, 0)
</f>
        <v>0</v>
      </c>
      <c r="V443" s="319">
        <f>IF(AND('Ações'!AU452="sim", 'Ações'!BI452="sim"), 1, 0)
</f>
        <v>1</v>
      </c>
      <c r="W443" s="319">
        <f>IF(AND('Ações'!AV452="sim", 'Ações'!BD452="sim"), 1, 0)
</f>
        <v>0</v>
      </c>
      <c r="X443" s="319">
        <f>IF(AND('Ações'!AV452="sim", 'Ações'!BE452="sim"), 1, 0)
</f>
        <v>0</v>
      </c>
      <c r="Y443" s="319">
        <f>IF(AND('Ações'!AV452="sim", 'Ações'!BF452="sim"), 1, 0)
</f>
        <v>0</v>
      </c>
      <c r="Z443" s="319">
        <f>IF(AND('Ações'!AV452="sim", 'Ações'!BH452="sim"), 1, 0)
</f>
        <v>0</v>
      </c>
      <c r="AA443" s="319">
        <f>IF(AND('Ações'!AV452="sim", 'Ações'!BI452="sim"), 1, 0)
</f>
        <v>1</v>
      </c>
      <c r="AB443" s="319">
        <f>IF(AND('Ações'!AW452="sim", 'Ações'!BD452="sim"), 1, 0)
</f>
        <v>0</v>
      </c>
      <c r="AC443" s="319">
        <f>IF(AND('Ações'!AW452="sim", 'Ações'!BE452="sim"), 1, 0)
</f>
        <v>0</v>
      </c>
      <c r="AD443" s="319">
        <f>IF(AND('Ações'!AW452="sim", 'Ações'!BF452="sim"), 1, 0)
</f>
        <v>0</v>
      </c>
      <c r="AE443" s="319">
        <f>IF(AND('Ações'!AW452="sim", 'Ações'!BG452="sim"), 1, 0)
</f>
        <v>0</v>
      </c>
      <c r="AF443" s="319">
        <f>IF(AND('Ações'!AW452="sim", 'Ações'!BI452="sim"), 1, 0)
</f>
        <v>1</v>
      </c>
      <c r="AG443" s="319">
        <f>IF(AND('Ações'!AX452="sim", 'Ações'!BD452="sim"), 1, 0)
</f>
        <v>0</v>
      </c>
      <c r="AH443" s="319">
        <f>IF(AND('Ações'!AX452="sim", 'Ações'!BE452="sim"), 1, 0)
</f>
        <v>0</v>
      </c>
      <c r="AI443" s="319">
        <f>IF(AND('Ações'!AX452="sim", 'Ações'!BF452="sim"), 1, 0)
</f>
        <v>0</v>
      </c>
      <c r="AJ443" s="319">
        <f>IF(AND('Ações'!AX452="sim", 'Ações'!BG452="sim"), 1, 0)
</f>
        <v>0</v>
      </c>
      <c r="AK443" s="319">
        <f>IF(AND('Ações'!AX452="sim", 'Ações'!BH452="sim"), 1, 0)
</f>
        <v>0</v>
      </c>
    </row>
    <row r="444">
      <c r="B444" s="319">
        <f>IF(AND('Ações'!AS453="sim", 'Ações'!BD453="sim"), 1, 0)
</f>
        <v>0</v>
      </c>
      <c r="C444" s="319">
        <f>IF(AND('Ações'!AT453="sim", 'Ações'!BE453="sim"), 1, 0)
</f>
        <v>0</v>
      </c>
      <c r="D444" s="319">
        <f>IF(AND('Ações'!AU453="sim", 'Ações'!BF453="sim"), 1, 0)
</f>
        <v>0</v>
      </c>
      <c r="E444" s="319">
        <f>IF(AND('Ações'!AV453="sim", 'Ações'!BG453="sim"), 1, 0)
</f>
        <v>0</v>
      </c>
      <c r="F444" s="319">
        <f>IF(AND('Ações'!AW453="sim", 'Ações'!BH453="sim"), 1, 0)
</f>
        <v>0</v>
      </c>
      <c r="G444" s="319">
        <f>IF(AND('Ações'!AX453="sim", 'Ações'!BI453="sim"), 1, 0)
</f>
        <v>0</v>
      </c>
      <c r="H444" s="319">
        <f>IF(AND('Ações'!AS453="sim", 'Ações'!BE453="sim"), 1, 0)
</f>
        <v>0</v>
      </c>
      <c r="I444" s="319">
        <f>IF(AND('Ações'!AS453="sim", 'Ações'!BF453="sim"), 1, 0)
</f>
        <v>0</v>
      </c>
      <c r="J444" s="319">
        <f>IF(AND('Ações'!AS453="sim", 'Ações'!BG453="sim"), 1, 0)
</f>
        <v>0</v>
      </c>
      <c r="K444" s="319">
        <f>IF(AND('Ações'!AS453="sim", 'Ações'!BH453="sim"), 1, 0)
</f>
        <v>0</v>
      </c>
      <c r="L444" s="319">
        <f>IF(AND('Ações'!AS453="sim", 'Ações'!BI453="sim"), 1, 0)
</f>
        <v>0</v>
      </c>
      <c r="M444" s="319">
        <f>IF(AND('Ações'!AT453="sim", 'Ações'!BD453="sim"), 1, 0)
</f>
        <v>0</v>
      </c>
      <c r="N444" s="319">
        <f>IF(AND('Ações'!AT453="sim", 'Ações'!BF453="sim"), 1, 0)
</f>
        <v>0</v>
      </c>
      <c r="O444" s="319">
        <f>IF(AND('Ações'!AT453="sim", 'Ações'!BG453="sim"), 1, 0)
</f>
        <v>0</v>
      </c>
      <c r="P444" s="319">
        <f>IF(AND('Ações'!AT453="sim", 'Ações'!BH453="sim"), 1, 0)
</f>
        <v>0</v>
      </c>
      <c r="Q444" s="319">
        <f>IF(AND('Ações'!AT453="sim", 'Ações'!BI453="sim"), 1, 0)
</f>
        <v>1</v>
      </c>
      <c r="R444" s="319">
        <f>IF(AND('Ações'!AU453="sim", 'Ações'!BD453="sim"), 1, 0)
</f>
        <v>0</v>
      </c>
      <c r="S444" s="319">
        <f>IF(AND('Ações'!AU453="sim", 'Ações'!BE453="sim"), 1, 0)
</f>
        <v>0</v>
      </c>
      <c r="T444" s="319">
        <f>IF(AND('Ações'!AU453="sim", 'Ações'!BG453="sim"), 1, 0)
</f>
        <v>0</v>
      </c>
      <c r="U444" s="319">
        <f>IF(AND('Ações'!AU453="sim", 'Ações'!BH453="sim"), 1, 0)
</f>
        <v>0</v>
      </c>
      <c r="V444" s="319">
        <f>IF(AND('Ações'!AU453="sim", 'Ações'!BI453="sim"), 1, 0)
</f>
        <v>1</v>
      </c>
      <c r="W444" s="319">
        <f>IF(AND('Ações'!AV453="sim", 'Ações'!BD453="sim"), 1, 0)
</f>
        <v>0</v>
      </c>
      <c r="X444" s="319">
        <f>IF(AND('Ações'!AV453="sim", 'Ações'!BE453="sim"), 1, 0)
</f>
        <v>0</v>
      </c>
      <c r="Y444" s="319">
        <f>IF(AND('Ações'!AV453="sim", 'Ações'!BF453="sim"), 1, 0)
</f>
        <v>0</v>
      </c>
      <c r="Z444" s="319">
        <f>IF(AND('Ações'!AV453="sim", 'Ações'!BH453="sim"), 1, 0)
</f>
        <v>0</v>
      </c>
      <c r="AA444" s="319">
        <f>IF(AND('Ações'!AV453="sim", 'Ações'!BI453="sim"), 1, 0)
</f>
        <v>1</v>
      </c>
      <c r="AB444" s="319">
        <f>IF(AND('Ações'!AW453="sim", 'Ações'!BD453="sim"), 1, 0)
</f>
        <v>0</v>
      </c>
      <c r="AC444" s="319">
        <f>IF(AND('Ações'!AW453="sim", 'Ações'!BE453="sim"), 1, 0)
</f>
        <v>0</v>
      </c>
      <c r="AD444" s="319">
        <f>IF(AND('Ações'!AW453="sim", 'Ações'!BF453="sim"), 1, 0)
</f>
        <v>0</v>
      </c>
      <c r="AE444" s="319">
        <f>IF(AND('Ações'!AW453="sim", 'Ações'!BG453="sim"), 1, 0)
</f>
        <v>0</v>
      </c>
      <c r="AF444" s="319">
        <f>IF(AND('Ações'!AW453="sim", 'Ações'!BI453="sim"), 1, 0)
</f>
        <v>1</v>
      </c>
      <c r="AG444" s="319">
        <f>IF(AND('Ações'!AX453="sim", 'Ações'!BD453="sim"), 1, 0)
</f>
        <v>0</v>
      </c>
      <c r="AH444" s="319">
        <f>IF(AND('Ações'!AX453="sim", 'Ações'!BE453="sim"), 1, 0)
</f>
        <v>0</v>
      </c>
      <c r="AI444" s="319">
        <f>IF(AND('Ações'!AX453="sim", 'Ações'!BF453="sim"), 1, 0)
</f>
        <v>0</v>
      </c>
      <c r="AJ444" s="319">
        <f>IF(AND('Ações'!AX453="sim", 'Ações'!BG453="sim"), 1, 0)
</f>
        <v>0</v>
      </c>
      <c r="AK444" s="319">
        <f>IF(AND('Ações'!AX453="sim", 'Ações'!BH453="sim"), 1, 0)
</f>
        <v>0</v>
      </c>
    </row>
    <row r="445">
      <c r="B445" s="319">
        <f>IF(AND('Ações'!AS454="sim", 'Ações'!BD454="sim"), 1, 0)
</f>
        <v>0</v>
      </c>
      <c r="C445" s="319">
        <f>IF(AND('Ações'!AT454="sim", 'Ações'!BE454="sim"), 1, 0)
</f>
        <v>0</v>
      </c>
      <c r="D445" s="319">
        <f>IF(AND('Ações'!AU454="sim", 'Ações'!BF454="sim"), 1, 0)
</f>
        <v>0</v>
      </c>
      <c r="E445" s="319">
        <f>IF(AND('Ações'!AV454="sim", 'Ações'!BG454="sim"), 1, 0)
</f>
        <v>0</v>
      </c>
      <c r="F445" s="319">
        <f>IF(AND('Ações'!AW454="sim", 'Ações'!BH454="sim"), 1, 0)
</f>
        <v>0</v>
      </c>
      <c r="G445" s="319">
        <f>IF(AND('Ações'!AX454="sim", 'Ações'!BI454="sim"), 1, 0)
</f>
        <v>0</v>
      </c>
      <c r="H445" s="319">
        <f>IF(AND('Ações'!AS454="sim", 'Ações'!BE454="sim"), 1, 0)
</f>
        <v>0</v>
      </c>
      <c r="I445" s="319">
        <f>IF(AND('Ações'!AS454="sim", 'Ações'!BF454="sim"), 1, 0)
</f>
        <v>0</v>
      </c>
      <c r="J445" s="319">
        <f>IF(AND('Ações'!AS454="sim", 'Ações'!BG454="sim"), 1, 0)
</f>
        <v>0</v>
      </c>
      <c r="K445" s="319">
        <f>IF(AND('Ações'!AS454="sim", 'Ações'!BH454="sim"), 1, 0)
</f>
        <v>0</v>
      </c>
      <c r="L445" s="319">
        <f>IF(AND('Ações'!AS454="sim", 'Ações'!BI454="sim"), 1, 0)
</f>
        <v>0</v>
      </c>
      <c r="M445" s="319">
        <f>IF(AND('Ações'!AT454="sim", 'Ações'!BD454="sim"), 1, 0)
</f>
        <v>0</v>
      </c>
      <c r="N445" s="319">
        <f>IF(AND('Ações'!AT454="sim", 'Ações'!BF454="sim"), 1, 0)
</f>
        <v>0</v>
      </c>
      <c r="O445" s="319">
        <f>IF(AND('Ações'!AT454="sim", 'Ações'!BG454="sim"), 1, 0)
</f>
        <v>0</v>
      </c>
      <c r="P445" s="319">
        <f>IF(AND('Ações'!AT454="sim", 'Ações'!BH454="sim"), 1, 0)
</f>
        <v>0</v>
      </c>
      <c r="Q445" s="319">
        <f>IF(AND('Ações'!AT454="sim", 'Ações'!BI454="sim"), 1, 0)
</f>
        <v>1</v>
      </c>
      <c r="R445" s="319">
        <f>IF(AND('Ações'!AU454="sim", 'Ações'!BD454="sim"), 1, 0)
</f>
        <v>0</v>
      </c>
      <c r="S445" s="319">
        <f>IF(AND('Ações'!AU454="sim", 'Ações'!BE454="sim"), 1, 0)
</f>
        <v>0</v>
      </c>
      <c r="T445" s="319">
        <f>IF(AND('Ações'!AU454="sim", 'Ações'!BG454="sim"), 1, 0)
</f>
        <v>0</v>
      </c>
      <c r="U445" s="319">
        <f>IF(AND('Ações'!AU454="sim", 'Ações'!BH454="sim"), 1, 0)
</f>
        <v>0</v>
      </c>
      <c r="V445" s="319">
        <f>IF(AND('Ações'!AU454="sim", 'Ações'!BI454="sim"), 1, 0)
</f>
        <v>1</v>
      </c>
      <c r="W445" s="319">
        <f>IF(AND('Ações'!AV454="sim", 'Ações'!BD454="sim"), 1, 0)
</f>
        <v>0</v>
      </c>
      <c r="X445" s="319">
        <f>IF(AND('Ações'!AV454="sim", 'Ações'!BE454="sim"), 1, 0)
</f>
        <v>0</v>
      </c>
      <c r="Y445" s="319">
        <f>IF(AND('Ações'!AV454="sim", 'Ações'!BF454="sim"), 1, 0)
</f>
        <v>0</v>
      </c>
      <c r="Z445" s="319">
        <f>IF(AND('Ações'!AV454="sim", 'Ações'!BH454="sim"), 1, 0)
</f>
        <v>0</v>
      </c>
      <c r="AA445" s="319">
        <f>IF(AND('Ações'!AV454="sim", 'Ações'!BI454="sim"), 1, 0)
</f>
        <v>1</v>
      </c>
      <c r="AB445" s="319">
        <f>IF(AND('Ações'!AW454="sim", 'Ações'!BD454="sim"), 1, 0)
</f>
        <v>0</v>
      </c>
      <c r="AC445" s="319">
        <f>IF(AND('Ações'!AW454="sim", 'Ações'!BE454="sim"), 1, 0)
</f>
        <v>0</v>
      </c>
      <c r="AD445" s="319">
        <f>IF(AND('Ações'!AW454="sim", 'Ações'!BF454="sim"), 1, 0)
</f>
        <v>0</v>
      </c>
      <c r="AE445" s="319">
        <f>IF(AND('Ações'!AW454="sim", 'Ações'!BG454="sim"), 1, 0)
</f>
        <v>0</v>
      </c>
      <c r="AF445" s="319">
        <f>IF(AND('Ações'!AW454="sim", 'Ações'!BI454="sim"), 1, 0)
</f>
        <v>1</v>
      </c>
      <c r="AG445" s="319">
        <f>IF(AND('Ações'!AX454="sim", 'Ações'!BD454="sim"), 1, 0)
</f>
        <v>0</v>
      </c>
      <c r="AH445" s="319">
        <f>IF(AND('Ações'!AX454="sim", 'Ações'!BE454="sim"), 1, 0)
</f>
        <v>0</v>
      </c>
      <c r="AI445" s="319">
        <f>IF(AND('Ações'!AX454="sim", 'Ações'!BF454="sim"), 1, 0)
</f>
        <v>0</v>
      </c>
      <c r="AJ445" s="319">
        <f>IF(AND('Ações'!AX454="sim", 'Ações'!BG454="sim"), 1, 0)
</f>
        <v>0</v>
      </c>
      <c r="AK445" s="319">
        <f>IF(AND('Ações'!AX454="sim", 'Ações'!BH454="sim"), 1, 0)
</f>
        <v>0</v>
      </c>
    </row>
    <row r="446">
      <c r="B446" s="319">
        <f>IF(AND('Ações'!AS455="sim", 'Ações'!BD455="sim"), 1, 0)
</f>
        <v>0</v>
      </c>
      <c r="C446" s="319">
        <f>IF(AND('Ações'!AT455="sim", 'Ações'!BE455="sim"), 1, 0)
</f>
        <v>0</v>
      </c>
      <c r="D446" s="319">
        <f>IF(AND('Ações'!AU455="sim", 'Ações'!BF455="sim"), 1, 0)
</f>
        <v>0</v>
      </c>
      <c r="E446" s="319">
        <f>IF(AND('Ações'!AV455="sim", 'Ações'!BG455="sim"), 1, 0)
</f>
        <v>0</v>
      </c>
      <c r="F446" s="319">
        <f>IF(AND('Ações'!AW455="sim", 'Ações'!BH455="sim"), 1, 0)
</f>
        <v>0</v>
      </c>
      <c r="G446" s="319">
        <f>IF(AND('Ações'!AX455="sim", 'Ações'!BI455="sim"), 1, 0)
</f>
        <v>0</v>
      </c>
      <c r="H446" s="319">
        <f>IF(AND('Ações'!AS455="sim", 'Ações'!BE455="sim"), 1, 0)
</f>
        <v>0</v>
      </c>
      <c r="I446" s="319">
        <f>IF(AND('Ações'!AS455="sim", 'Ações'!BF455="sim"), 1, 0)
</f>
        <v>0</v>
      </c>
      <c r="J446" s="319">
        <f>IF(AND('Ações'!AS455="sim", 'Ações'!BG455="sim"), 1, 0)
</f>
        <v>0</v>
      </c>
      <c r="K446" s="319">
        <f>IF(AND('Ações'!AS455="sim", 'Ações'!BH455="sim"), 1, 0)
</f>
        <v>0</v>
      </c>
      <c r="L446" s="319">
        <f>IF(AND('Ações'!AS455="sim", 'Ações'!BI455="sim"), 1, 0)
</f>
        <v>0</v>
      </c>
      <c r="M446" s="319">
        <f>IF(AND('Ações'!AT455="sim", 'Ações'!BD455="sim"), 1, 0)
</f>
        <v>0</v>
      </c>
      <c r="N446" s="319">
        <f>IF(AND('Ações'!AT455="sim", 'Ações'!BF455="sim"), 1, 0)
</f>
        <v>0</v>
      </c>
      <c r="O446" s="319">
        <f>IF(AND('Ações'!AT455="sim", 'Ações'!BG455="sim"), 1, 0)
</f>
        <v>0</v>
      </c>
      <c r="P446" s="319">
        <f>IF(AND('Ações'!AT455="sim", 'Ações'!BH455="sim"), 1, 0)
</f>
        <v>0</v>
      </c>
      <c r="Q446" s="319">
        <f>IF(AND('Ações'!AT455="sim", 'Ações'!BI455="sim"), 1, 0)
</f>
        <v>1</v>
      </c>
      <c r="R446" s="319">
        <f>IF(AND('Ações'!AU455="sim", 'Ações'!BD455="sim"), 1, 0)
</f>
        <v>0</v>
      </c>
      <c r="S446" s="319">
        <f>IF(AND('Ações'!AU455="sim", 'Ações'!BE455="sim"), 1, 0)
</f>
        <v>0</v>
      </c>
      <c r="T446" s="319">
        <f>IF(AND('Ações'!AU455="sim", 'Ações'!BG455="sim"), 1, 0)
</f>
        <v>0</v>
      </c>
      <c r="U446" s="319">
        <f>IF(AND('Ações'!AU455="sim", 'Ações'!BH455="sim"), 1, 0)
</f>
        <v>0</v>
      </c>
      <c r="V446" s="319">
        <f>IF(AND('Ações'!AU455="sim", 'Ações'!BI455="sim"), 1, 0)
</f>
        <v>1</v>
      </c>
      <c r="W446" s="319">
        <f>IF(AND('Ações'!AV455="sim", 'Ações'!BD455="sim"), 1, 0)
</f>
        <v>0</v>
      </c>
      <c r="X446" s="319">
        <f>IF(AND('Ações'!AV455="sim", 'Ações'!BE455="sim"), 1, 0)
</f>
        <v>0</v>
      </c>
      <c r="Y446" s="319">
        <f>IF(AND('Ações'!AV455="sim", 'Ações'!BF455="sim"), 1, 0)
</f>
        <v>0</v>
      </c>
      <c r="Z446" s="319">
        <f>IF(AND('Ações'!AV455="sim", 'Ações'!BH455="sim"), 1, 0)
</f>
        <v>0</v>
      </c>
      <c r="AA446" s="319">
        <f>IF(AND('Ações'!AV455="sim", 'Ações'!BI455="sim"), 1, 0)
</f>
        <v>1</v>
      </c>
      <c r="AB446" s="319">
        <f>IF(AND('Ações'!AW455="sim", 'Ações'!BD455="sim"), 1, 0)
</f>
        <v>0</v>
      </c>
      <c r="AC446" s="319">
        <f>IF(AND('Ações'!AW455="sim", 'Ações'!BE455="sim"), 1, 0)
</f>
        <v>0</v>
      </c>
      <c r="AD446" s="319">
        <f>IF(AND('Ações'!AW455="sim", 'Ações'!BF455="sim"), 1, 0)
</f>
        <v>0</v>
      </c>
      <c r="AE446" s="319">
        <f>IF(AND('Ações'!AW455="sim", 'Ações'!BG455="sim"), 1, 0)
</f>
        <v>0</v>
      </c>
      <c r="AF446" s="319">
        <f>IF(AND('Ações'!AW455="sim", 'Ações'!BI455="sim"), 1, 0)
</f>
        <v>1</v>
      </c>
      <c r="AG446" s="319">
        <f>IF(AND('Ações'!AX455="sim", 'Ações'!BD455="sim"), 1, 0)
</f>
        <v>0</v>
      </c>
      <c r="AH446" s="319">
        <f>IF(AND('Ações'!AX455="sim", 'Ações'!BE455="sim"), 1, 0)
</f>
        <v>0</v>
      </c>
      <c r="AI446" s="319">
        <f>IF(AND('Ações'!AX455="sim", 'Ações'!BF455="sim"), 1, 0)
</f>
        <v>0</v>
      </c>
      <c r="AJ446" s="319">
        <f>IF(AND('Ações'!AX455="sim", 'Ações'!BG455="sim"), 1, 0)
</f>
        <v>0</v>
      </c>
      <c r="AK446" s="319">
        <f>IF(AND('Ações'!AX455="sim", 'Ações'!BH455="sim"), 1, 0)
</f>
        <v>0</v>
      </c>
    </row>
    <row r="447">
      <c r="B447" s="319">
        <f>IF(AND('Ações'!AS456="sim", 'Ações'!BD456="sim"), 1, 0)
</f>
        <v>0</v>
      </c>
      <c r="C447" s="319">
        <f>IF(AND('Ações'!AT456="sim", 'Ações'!BE456="sim"), 1, 0)
</f>
        <v>0</v>
      </c>
      <c r="D447" s="319">
        <f>IF(AND('Ações'!AU456="sim", 'Ações'!BF456="sim"), 1, 0)
</f>
        <v>0</v>
      </c>
      <c r="E447" s="319">
        <f>IF(AND('Ações'!AV456="sim", 'Ações'!BG456="sim"), 1, 0)
</f>
        <v>0</v>
      </c>
      <c r="F447" s="319">
        <f>IF(AND('Ações'!AW456="sim", 'Ações'!BH456="sim"), 1, 0)
</f>
        <v>0</v>
      </c>
      <c r="G447" s="319">
        <f>IF(AND('Ações'!AX456="sim", 'Ações'!BI456="sim"), 1, 0)
</f>
        <v>0</v>
      </c>
      <c r="H447" s="319">
        <f>IF(AND('Ações'!AS456="sim", 'Ações'!BE456="sim"), 1, 0)
</f>
        <v>0</v>
      </c>
      <c r="I447" s="319">
        <f>IF(AND('Ações'!AS456="sim", 'Ações'!BF456="sim"), 1, 0)
</f>
        <v>0</v>
      </c>
      <c r="J447" s="319">
        <f>IF(AND('Ações'!AS456="sim", 'Ações'!BG456="sim"), 1, 0)
</f>
        <v>0</v>
      </c>
      <c r="K447" s="319">
        <f>IF(AND('Ações'!AS456="sim", 'Ações'!BH456="sim"), 1, 0)
</f>
        <v>0</v>
      </c>
      <c r="L447" s="319">
        <f>IF(AND('Ações'!AS456="sim", 'Ações'!BI456="sim"), 1, 0)
</f>
        <v>0</v>
      </c>
      <c r="M447" s="319">
        <f>IF(AND('Ações'!AT456="sim", 'Ações'!BD456="sim"), 1, 0)
</f>
        <v>1</v>
      </c>
      <c r="N447" s="319">
        <f>IF(AND('Ações'!AT456="sim", 'Ações'!BF456="sim"), 1, 0)
</f>
        <v>0</v>
      </c>
      <c r="O447" s="319">
        <f>IF(AND('Ações'!AT456="sim", 'Ações'!BG456="sim"), 1, 0)
</f>
        <v>0</v>
      </c>
      <c r="P447" s="319">
        <f>IF(AND('Ações'!AT456="sim", 'Ações'!BH456="sim"), 1, 0)
</f>
        <v>0</v>
      </c>
      <c r="Q447" s="319">
        <f>IF(AND('Ações'!AT456="sim", 'Ações'!BI456="sim"), 1, 0)
</f>
        <v>0</v>
      </c>
      <c r="R447" s="319">
        <f>IF(AND('Ações'!AU456="sim", 'Ações'!BD456="sim"), 1, 0)
</f>
        <v>1</v>
      </c>
      <c r="S447" s="319">
        <f>IF(AND('Ações'!AU456="sim", 'Ações'!BE456="sim"), 1, 0)
</f>
        <v>0</v>
      </c>
      <c r="T447" s="319">
        <f>IF(AND('Ações'!AU456="sim", 'Ações'!BG456="sim"), 1, 0)
</f>
        <v>0</v>
      </c>
      <c r="U447" s="319">
        <f>IF(AND('Ações'!AU456="sim", 'Ações'!BH456="sim"), 1, 0)
</f>
        <v>0</v>
      </c>
      <c r="V447" s="319">
        <f>IF(AND('Ações'!AU456="sim", 'Ações'!BI456="sim"), 1, 0)
</f>
        <v>0</v>
      </c>
      <c r="W447" s="319">
        <f>IF(AND('Ações'!AV456="sim", 'Ações'!BD456="sim"), 1, 0)
</f>
        <v>1</v>
      </c>
      <c r="X447" s="319">
        <f>IF(AND('Ações'!AV456="sim", 'Ações'!BE456="sim"), 1, 0)
</f>
        <v>0</v>
      </c>
      <c r="Y447" s="319">
        <f>IF(AND('Ações'!AV456="sim", 'Ações'!BF456="sim"), 1, 0)
</f>
        <v>0</v>
      </c>
      <c r="Z447" s="319">
        <f>IF(AND('Ações'!AV456="sim", 'Ações'!BH456="sim"), 1, 0)
</f>
        <v>0</v>
      </c>
      <c r="AA447" s="319">
        <f>IF(AND('Ações'!AV456="sim", 'Ações'!BI456="sim"), 1, 0)
</f>
        <v>0</v>
      </c>
      <c r="AB447" s="319">
        <f>IF(AND('Ações'!AW456="sim", 'Ações'!BD456="sim"), 1, 0)
</f>
        <v>1</v>
      </c>
      <c r="AC447" s="319">
        <f>IF(AND('Ações'!AW456="sim", 'Ações'!BE456="sim"), 1, 0)
</f>
        <v>0</v>
      </c>
      <c r="AD447" s="319">
        <f>IF(AND('Ações'!AW456="sim", 'Ações'!BF456="sim"), 1, 0)
</f>
        <v>0</v>
      </c>
      <c r="AE447" s="319">
        <f>IF(AND('Ações'!AW456="sim", 'Ações'!BG456="sim"), 1, 0)
</f>
        <v>0</v>
      </c>
      <c r="AF447" s="319">
        <f>IF(AND('Ações'!AW456="sim", 'Ações'!BI456="sim"), 1, 0)
</f>
        <v>0</v>
      </c>
      <c r="AG447" s="319">
        <f>IF(AND('Ações'!AX456="sim", 'Ações'!BD456="sim"), 1, 0)
</f>
        <v>0</v>
      </c>
      <c r="AH447" s="319">
        <f>IF(AND('Ações'!AX456="sim", 'Ações'!BE456="sim"), 1, 0)
</f>
        <v>0</v>
      </c>
      <c r="AI447" s="319">
        <f>IF(AND('Ações'!AX456="sim", 'Ações'!BF456="sim"), 1, 0)
</f>
        <v>0</v>
      </c>
      <c r="AJ447" s="319">
        <f>IF(AND('Ações'!AX456="sim", 'Ações'!BG456="sim"), 1, 0)
</f>
        <v>0</v>
      </c>
      <c r="AK447" s="319">
        <f>IF(AND('Ações'!AX456="sim", 'Ações'!BH456="sim"), 1, 0)
</f>
        <v>0</v>
      </c>
    </row>
    <row r="448">
      <c r="B448" s="319">
        <f>IF(AND('Ações'!AS457="sim", 'Ações'!BD457="sim"), 1, 0)
</f>
        <v>0</v>
      </c>
      <c r="C448" s="319">
        <f>IF(AND('Ações'!AT457="sim", 'Ações'!BE457="sim"), 1, 0)
</f>
        <v>0</v>
      </c>
      <c r="D448" s="319">
        <f>IF(AND('Ações'!AU457="sim", 'Ações'!BF457="sim"), 1, 0)
</f>
        <v>0</v>
      </c>
      <c r="E448" s="319">
        <f>IF(AND('Ações'!AV457="sim", 'Ações'!BG457="sim"), 1, 0)
</f>
        <v>0</v>
      </c>
      <c r="F448" s="319">
        <f>IF(AND('Ações'!AW457="sim", 'Ações'!BH457="sim"), 1, 0)
</f>
        <v>0</v>
      </c>
      <c r="G448" s="319">
        <f>IF(AND('Ações'!AX457="sim", 'Ações'!BI457="sim"), 1, 0)
</f>
        <v>0</v>
      </c>
      <c r="H448" s="319">
        <f>IF(AND('Ações'!AS457="sim", 'Ações'!BE457="sim"), 1, 0)
</f>
        <v>0</v>
      </c>
      <c r="I448" s="319">
        <f>IF(AND('Ações'!AS457="sim", 'Ações'!BF457="sim"), 1, 0)
</f>
        <v>0</v>
      </c>
      <c r="J448" s="319">
        <f>IF(AND('Ações'!AS457="sim", 'Ações'!BG457="sim"), 1, 0)
</f>
        <v>0</v>
      </c>
      <c r="K448" s="319">
        <f>IF(AND('Ações'!AS457="sim", 'Ações'!BH457="sim"), 1, 0)
</f>
        <v>0</v>
      </c>
      <c r="L448" s="319">
        <f>IF(AND('Ações'!AS457="sim", 'Ações'!BI457="sim"), 1, 0)
</f>
        <v>0</v>
      </c>
      <c r="M448" s="319">
        <f>IF(AND('Ações'!AT457="sim", 'Ações'!BD457="sim"), 1, 0)
</f>
        <v>1</v>
      </c>
      <c r="N448" s="319">
        <f>IF(AND('Ações'!AT457="sim", 'Ações'!BF457="sim"), 1, 0)
</f>
        <v>0</v>
      </c>
      <c r="O448" s="319">
        <f>IF(AND('Ações'!AT457="sim", 'Ações'!BG457="sim"), 1, 0)
</f>
        <v>0</v>
      </c>
      <c r="P448" s="319">
        <f>IF(AND('Ações'!AT457="sim", 'Ações'!BH457="sim"), 1, 0)
</f>
        <v>0</v>
      </c>
      <c r="Q448" s="319">
        <f>IF(AND('Ações'!AT457="sim", 'Ações'!BI457="sim"), 1, 0)
</f>
        <v>0</v>
      </c>
      <c r="R448" s="319">
        <f>IF(AND('Ações'!AU457="sim", 'Ações'!BD457="sim"), 1, 0)
</f>
        <v>1</v>
      </c>
      <c r="S448" s="319">
        <f>IF(AND('Ações'!AU457="sim", 'Ações'!BE457="sim"), 1, 0)
</f>
        <v>0</v>
      </c>
      <c r="T448" s="319">
        <f>IF(AND('Ações'!AU457="sim", 'Ações'!BG457="sim"), 1, 0)
</f>
        <v>0</v>
      </c>
      <c r="U448" s="319">
        <f>IF(AND('Ações'!AU457="sim", 'Ações'!BH457="sim"), 1, 0)
</f>
        <v>0</v>
      </c>
      <c r="V448" s="319">
        <f>IF(AND('Ações'!AU457="sim", 'Ações'!BI457="sim"), 1, 0)
</f>
        <v>0</v>
      </c>
      <c r="W448" s="319">
        <f>IF(AND('Ações'!AV457="sim", 'Ações'!BD457="sim"), 1, 0)
</f>
        <v>1</v>
      </c>
      <c r="X448" s="319">
        <f>IF(AND('Ações'!AV457="sim", 'Ações'!BE457="sim"), 1, 0)
</f>
        <v>0</v>
      </c>
      <c r="Y448" s="319">
        <f>IF(AND('Ações'!AV457="sim", 'Ações'!BF457="sim"), 1, 0)
</f>
        <v>0</v>
      </c>
      <c r="Z448" s="319">
        <f>IF(AND('Ações'!AV457="sim", 'Ações'!BH457="sim"), 1, 0)
</f>
        <v>0</v>
      </c>
      <c r="AA448" s="319">
        <f>IF(AND('Ações'!AV457="sim", 'Ações'!BI457="sim"), 1, 0)
</f>
        <v>0</v>
      </c>
      <c r="AB448" s="319">
        <f>IF(AND('Ações'!AW457="sim", 'Ações'!BD457="sim"), 1, 0)
</f>
        <v>1</v>
      </c>
      <c r="AC448" s="319">
        <f>IF(AND('Ações'!AW457="sim", 'Ações'!BE457="sim"), 1, 0)
</f>
        <v>0</v>
      </c>
      <c r="AD448" s="319">
        <f>IF(AND('Ações'!AW457="sim", 'Ações'!BF457="sim"), 1, 0)
</f>
        <v>0</v>
      </c>
      <c r="AE448" s="319">
        <f>IF(AND('Ações'!AW457="sim", 'Ações'!BG457="sim"), 1, 0)
</f>
        <v>0</v>
      </c>
      <c r="AF448" s="319">
        <f>IF(AND('Ações'!AW457="sim", 'Ações'!BI457="sim"), 1, 0)
</f>
        <v>0</v>
      </c>
      <c r="AG448" s="319">
        <f>IF(AND('Ações'!AX457="sim", 'Ações'!BD457="sim"), 1, 0)
</f>
        <v>0</v>
      </c>
      <c r="AH448" s="319">
        <f>IF(AND('Ações'!AX457="sim", 'Ações'!BE457="sim"), 1, 0)
</f>
        <v>0</v>
      </c>
      <c r="AI448" s="319">
        <f>IF(AND('Ações'!AX457="sim", 'Ações'!BF457="sim"), 1, 0)
</f>
        <v>0</v>
      </c>
      <c r="AJ448" s="319">
        <f>IF(AND('Ações'!AX457="sim", 'Ações'!BG457="sim"), 1, 0)
</f>
        <v>0</v>
      </c>
      <c r="AK448" s="319">
        <f>IF(AND('Ações'!AX457="sim", 'Ações'!BH457="sim"), 1, 0)
</f>
        <v>0</v>
      </c>
    </row>
    <row r="449">
      <c r="B449" s="319">
        <f>IF(AND('Ações'!AS458="sim", 'Ações'!BD458="sim"), 1, 0)
</f>
        <v>0</v>
      </c>
      <c r="C449" s="319">
        <f>IF(AND('Ações'!AT458="sim", 'Ações'!BE458="sim"), 1, 0)
</f>
        <v>0</v>
      </c>
      <c r="D449" s="319">
        <f>IF(AND('Ações'!AU458="sim", 'Ações'!BF458="sim"), 1, 0)
</f>
        <v>0</v>
      </c>
      <c r="E449" s="319">
        <f>IF(AND('Ações'!AV458="sim", 'Ações'!BG458="sim"), 1, 0)
</f>
        <v>0</v>
      </c>
      <c r="F449" s="319">
        <f>IF(AND('Ações'!AW458="sim", 'Ações'!BH458="sim"), 1, 0)
</f>
        <v>0</v>
      </c>
      <c r="G449" s="319">
        <f>IF(AND('Ações'!AX458="sim", 'Ações'!BI458="sim"), 1, 0)
</f>
        <v>0</v>
      </c>
      <c r="H449" s="319">
        <f>IF(AND('Ações'!AS458="sim", 'Ações'!BE458="sim"), 1, 0)
</f>
        <v>0</v>
      </c>
      <c r="I449" s="319">
        <f>IF(AND('Ações'!AS458="sim", 'Ações'!BF458="sim"), 1, 0)
</f>
        <v>0</v>
      </c>
      <c r="J449" s="319">
        <f>IF(AND('Ações'!AS458="sim", 'Ações'!BG458="sim"), 1, 0)
</f>
        <v>0</v>
      </c>
      <c r="K449" s="319">
        <f>IF(AND('Ações'!AS458="sim", 'Ações'!BH458="sim"), 1, 0)
</f>
        <v>0</v>
      </c>
      <c r="L449" s="319">
        <f>IF(AND('Ações'!AS458="sim", 'Ações'!BI458="sim"), 1, 0)
</f>
        <v>0</v>
      </c>
      <c r="M449" s="319">
        <f>IF(AND('Ações'!AT458="sim", 'Ações'!BD458="sim"), 1, 0)
</f>
        <v>0</v>
      </c>
      <c r="N449" s="319">
        <f>IF(AND('Ações'!AT458="sim", 'Ações'!BF458="sim"), 1, 0)
</f>
        <v>0</v>
      </c>
      <c r="O449" s="319">
        <f>IF(AND('Ações'!AT458="sim", 'Ações'!BG458="sim"), 1, 0)
</f>
        <v>0</v>
      </c>
      <c r="P449" s="319">
        <f>IF(AND('Ações'!AT458="sim", 'Ações'!BH458="sim"), 1, 0)
</f>
        <v>0</v>
      </c>
      <c r="Q449" s="319">
        <f>IF(AND('Ações'!AT458="sim", 'Ações'!BI458="sim"), 1, 0)
</f>
        <v>1</v>
      </c>
      <c r="R449" s="319">
        <f>IF(AND('Ações'!AU458="sim", 'Ações'!BD458="sim"), 1, 0)
</f>
        <v>0</v>
      </c>
      <c r="S449" s="319">
        <f>IF(AND('Ações'!AU458="sim", 'Ações'!BE458="sim"), 1, 0)
</f>
        <v>0</v>
      </c>
      <c r="T449" s="319">
        <f>IF(AND('Ações'!AU458="sim", 'Ações'!BG458="sim"), 1, 0)
</f>
        <v>0</v>
      </c>
      <c r="U449" s="319">
        <f>IF(AND('Ações'!AU458="sim", 'Ações'!BH458="sim"), 1, 0)
</f>
        <v>0</v>
      </c>
      <c r="V449" s="319">
        <f>IF(AND('Ações'!AU458="sim", 'Ações'!BI458="sim"), 1, 0)
</f>
        <v>1</v>
      </c>
      <c r="W449" s="319">
        <f>IF(AND('Ações'!AV458="sim", 'Ações'!BD458="sim"), 1, 0)
</f>
        <v>0</v>
      </c>
      <c r="X449" s="319">
        <f>IF(AND('Ações'!AV458="sim", 'Ações'!BE458="sim"), 1, 0)
</f>
        <v>0</v>
      </c>
      <c r="Y449" s="319">
        <f>IF(AND('Ações'!AV458="sim", 'Ações'!BF458="sim"), 1, 0)
</f>
        <v>0</v>
      </c>
      <c r="Z449" s="319">
        <f>IF(AND('Ações'!AV458="sim", 'Ações'!BH458="sim"), 1, 0)
</f>
        <v>0</v>
      </c>
      <c r="AA449" s="319">
        <f>IF(AND('Ações'!AV458="sim", 'Ações'!BI458="sim"), 1, 0)
</f>
        <v>1</v>
      </c>
      <c r="AB449" s="319">
        <f>IF(AND('Ações'!AW458="sim", 'Ações'!BD458="sim"), 1, 0)
</f>
        <v>0</v>
      </c>
      <c r="AC449" s="319">
        <f>IF(AND('Ações'!AW458="sim", 'Ações'!BE458="sim"), 1, 0)
</f>
        <v>0</v>
      </c>
      <c r="AD449" s="319">
        <f>IF(AND('Ações'!AW458="sim", 'Ações'!BF458="sim"), 1, 0)
</f>
        <v>0</v>
      </c>
      <c r="AE449" s="319">
        <f>IF(AND('Ações'!AW458="sim", 'Ações'!BG458="sim"), 1, 0)
</f>
        <v>0</v>
      </c>
      <c r="AF449" s="319">
        <f>IF(AND('Ações'!AW458="sim", 'Ações'!BI458="sim"), 1, 0)
</f>
        <v>1</v>
      </c>
      <c r="AG449" s="319">
        <f>IF(AND('Ações'!AX458="sim", 'Ações'!BD458="sim"), 1, 0)
</f>
        <v>0</v>
      </c>
      <c r="AH449" s="319">
        <f>IF(AND('Ações'!AX458="sim", 'Ações'!BE458="sim"), 1, 0)
</f>
        <v>0</v>
      </c>
      <c r="AI449" s="319">
        <f>IF(AND('Ações'!AX458="sim", 'Ações'!BF458="sim"), 1, 0)
</f>
        <v>0</v>
      </c>
      <c r="AJ449" s="319">
        <f>IF(AND('Ações'!AX458="sim", 'Ações'!BG458="sim"), 1, 0)
</f>
        <v>0</v>
      </c>
      <c r="AK449" s="319">
        <f>IF(AND('Ações'!AX458="sim", 'Ações'!BH458="sim"), 1, 0)
</f>
        <v>0</v>
      </c>
    </row>
    <row r="450">
      <c r="B450" s="319">
        <f>IF(AND('Ações'!AS459="sim", 'Ações'!BD459="sim"), 1, 0)
</f>
        <v>0</v>
      </c>
      <c r="C450" s="319">
        <f>IF(AND('Ações'!AT459="sim", 'Ações'!BE459="sim"), 1, 0)
</f>
        <v>0</v>
      </c>
      <c r="D450" s="319">
        <f>IF(AND('Ações'!AU459="sim", 'Ações'!BF459="sim"), 1, 0)
</f>
        <v>0</v>
      </c>
      <c r="E450" s="319">
        <f>IF(AND('Ações'!AV459="sim", 'Ações'!BG459="sim"), 1, 0)
</f>
        <v>0</v>
      </c>
      <c r="F450" s="319">
        <f>IF(AND('Ações'!AW459="sim", 'Ações'!BH459="sim"), 1, 0)
</f>
        <v>0</v>
      </c>
      <c r="G450" s="319">
        <f>IF(AND('Ações'!AX459="sim", 'Ações'!BI459="sim"), 1, 0)
</f>
        <v>0</v>
      </c>
      <c r="H450" s="319">
        <f>IF(AND('Ações'!AS459="sim", 'Ações'!BE459="sim"), 1, 0)
</f>
        <v>0</v>
      </c>
      <c r="I450" s="319">
        <f>IF(AND('Ações'!AS459="sim", 'Ações'!BF459="sim"), 1, 0)
</f>
        <v>0</v>
      </c>
      <c r="J450" s="319">
        <f>IF(AND('Ações'!AS459="sim", 'Ações'!BG459="sim"), 1, 0)
</f>
        <v>0</v>
      </c>
      <c r="K450" s="319">
        <f>IF(AND('Ações'!AS459="sim", 'Ações'!BH459="sim"), 1, 0)
</f>
        <v>0</v>
      </c>
      <c r="L450" s="319">
        <f>IF(AND('Ações'!AS459="sim", 'Ações'!BI459="sim"), 1, 0)
</f>
        <v>1</v>
      </c>
      <c r="M450" s="319">
        <f>IF(AND('Ações'!AT459="sim", 'Ações'!BD459="sim"), 1, 0)
</f>
        <v>0</v>
      </c>
      <c r="N450" s="319">
        <f>IF(AND('Ações'!AT459="sim", 'Ações'!BF459="sim"), 1, 0)
</f>
        <v>0</v>
      </c>
      <c r="O450" s="319">
        <f>IF(AND('Ações'!AT459="sim", 'Ações'!BG459="sim"), 1, 0)
</f>
        <v>0</v>
      </c>
      <c r="P450" s="319">
        <f>IF(AND('Ações'!AT459="sim", 'Ações'!BH459="sim"), 1, 0)
</f>
        <v>0</v>
      </c>
      <c r="Q450" s="319">
        <f>IF(AND('Ações'!AT459="sim", 'Ações'!BI459="sim"), 1, 0)
</f>
        <v>1</v>
      </c>
      <c r="R450" s="319">
        <f>IF(AND('Ações'!AU459="sim", 'Ações'!BD459="sim"), 1, 0)
</f>
        <v>0</v>
      </c>
      <c r="S450" s="319">
        <f>IF(AND('Ações'!AU459="sim", 'Ações'!BE459="sim"), 1, 0)
</f>
        <v>0</v>
      </c>
      <c r="T450" s="319">
        <f>IF(AND('Ações'!AU459="sim", 'Ações'!BG459="sim"), 1, 0)
</f>
        <v>0</v>
      </c>
      <c r="U450" s="319">
        <f>IF(AND('Ações'!AU459="sim", 'Ações'!BH459="sim"), 1, 0)
</f>
        <v>0</v>
      </c>
      <c r="V450" s="319">
        <f>IF(AND('Ações'!AU459="sim", 'Ações'!BI459="sim"), 1, 0)
</f>
        <v>1</v>
      </c>
      <c r="W450" s="319">
        <f>IF(AND('Ações'!AV459="sim", 'Ações'!BD459="sim"), 1, 0)
</f>
        <v>0</v>
      </c>
      <c r="X450" s="319">
        <f>IF(AND('Ações'!AV459="sim", 'Ações'!BE459="sim"), 1, 0)
</f>
        <v>0</v>
      </c>
      <c r="Y450" s="319">
        <f>IF(AND('Ações'!AV459="sim", 'Ações'!BF459="sim"), 1, 0)
</f>
        <v>0</v>
      </c>
      <c r="Z450" s="319">
        <f>IF(AND('Ações'!AV459="sim", 'Ações'!BH459="sim"), 1, 0)
</f>
        <v>0</v>
      </c>
      <c r="AA450" s="319">
        <f>IF(AND('Ações'!AV459="sim", 'Ações'!BI459="sim"), 1, 0)
</f>
        <v>1</v>
      </c>
      <c r="AB450" s="319">
        <f>IF(AND('Ações'!AW459="sim", 'Ações'!BD459="sim"), 1, 0)
</f>
        <v>0</v>
      </c>
      <c r="AC450" s="319">
        <f>IF(AND('Ações'!AW459="sim", 'Ações'!BE459="sim"), 1, 0)
</f>
        <v>0</v>
      </c>
      <c r="AD450" s="319">
        <f>IF(AND('Ações'!AW459="sim", 'Ações'!BF459="sim"), 1, 0)
</f>
        <v>0</v>
      </c>
      <c r="AE450" s="319">
        <f>IF(AND('Ações'!AW459="sim", 'Ações'!BG459="sim"), 1, 0)
</f>
        <v>0</v>
      </c>
      <c r="AF450" s="319">
        <f>IF(AND('Ações'!AW459="sim", 'Ações'!BI459="sim"), 1, 0)
</f>
        <v>1</v>
      </c>
      <c r="AG450" s="319">
        <f>IF(AND('Ações'!AX459="sim", 'Ações'!BD459="sim"), 1, 0)
</f>
        <v>0</v>
      </c>
      <c r="AH450" s="319">
        <f>IF(AND('Ações'!AX459="sim", 'Ações'!BE459="sim"), 1, 0)
</f>
        <v>0</v>
      </c>
      <c r="AI450" s="319">
        <f>IF(AND('Ações'!AX459="sim", 'Ações'!BF459="sim"), 1, 0)
</f>
        <v>0</v>
      </c>
      <c r="AJ450" s="319">
        <f>IF(AND('Ações'!AX459="sim", 'Ações'!BG459="sim"), 1, 0)
</f>
        <v>0</v>
      </c>
      <c r="AK450" s="319">
        <f>IF(AND('Ações'!AX459="sim", 'Ações'!BH459="sim"), 1, 0)
</f>
        <v>0</v>
      </c>
    </row>
    <row r="451">
      <c r="B451" s="319">
        <f>IF(AND('Ações'!AS460="sim", 'Ações'!BD460="sim"), 1, 0)
</f>
        <v>0</v>
      </c>
      <c r="C451" s="319">
        <f>IF(AND('Ações'!AT460="sim", 'Ações'!BE460="sim"), 1, 0)
</f>
        <v>0</v>
      </c>
      <c r="D451" s="319">
        <f>IF(AND('Ações'!AU460="sim", 'Ações'!BF460="sim"), 1, 0)
</f>
        <v>0</v>
      </c>
      <c r="E451" s="319">
        <f>IF(AND('Ações'!AV460="sim", 'Ações'!BG460="sim"), 1, 0)
</f>
        <v>0</v>
      </c>
      <c r="F451" s="319">
        <f>IF(AND('Ações'!AW460="sim", 'Ações'!BH460="sim"), 1, 0)
</f>
        <v>0</v>
      </c>
      <c r="G451" s="319">
        <f>IF(AND('Ações'!AX460="sim", 'Ações'!BI460="sim"), 1, 0)
</f>
        <v>0</v>
      </c>
      <c r="H451" s="319">
        <f>IF(AND('Ações'!AS460="sim", 'Ações'!BE460="sim"), 1, 0)
</f>
        <v>0</v>
      </c>
      <c r="I451" s="319">
        <f>IF(AND('Ações'!AS460="sim", 'Ações'!BF460="sim"), 1, 0)
</f>
        <v>0</v>
      </c>
      <c r="J451" s="319">
        <f>IF(AND('Ações'!AS460="sim", 'Ações'!BG460="sim"), 1, 0)
</f>
        <v>0</v>
      </c>
      <c r="K451" s="319">
        <f>IF(AND('Ações'!AS460="sim", 'Ações'!BH460="sim"), 1, 0)
</f>
        <v>0</v>
      </c>
      <c r="L451" s="319">
        <f>IF(AND('Ações'!AS460="sim", 'Ações'!BI460="sim"), 1, 0)
</f>
        <v>1</v>
      </c>
      <c r="M451" s="319">
        <f>IF(AND('Ações'!AT460="sim", 'Ações'!BD460="sim"), 1, 0)
</f>
        <v>0</v>
      </c>
      <c r="N451" s="319">
        <f>IF(AND('Ações'!AT460="sim", 'Ações'!BF460="sim"), 1, 0)
</f>
        <v>0</v>
      </c>
      <c r="O451" s="319">
        <f>IF(AND('Ações'!AT460="sim", 'Ações'!BG460="sim"), 1, 0)
</f>
        <v>0</v>
      </c>
      <c r="P451" s="319">
        <f>IF(AND('Ações'!AT460="sim", 'Ações'!BH460="sim"), 1, 0)
</f>
        <v>0</v>
      </c>
      <c r="Q451" s="319">
        <f>IF(AND('Ações'!AT460="sim", 'Ações'!BI460="sim"), 1, 0)
</f>
        <v>1</v>
      </c>
      <c r="R451" s="319">
        <f>IF(AND('Ações'!AU460="sim", 'Ações'!BD460="sim"), 1, 0)
</f>
        <v>0</v>
      </c>
      <c r="S451" s="319">
        <f>IF(AND('Ações'!AU460="sim", 'Ações'!BE460="sim"), 1, 0)
</f>
        <v>0</v>
      </c>
      <c r="T451" s="319">
        <f>IF(AND('Ações'!AU460="sim", 'Ações'!BG460="sim"), 1, 0)
</f>
        <v>0</v>
      </c>
      <c r="U451" s="319">
        <f>IF(AND('Ações'!AU460="sim", 'Ações'!BH460="sim"), 1, 0)
</f>
        <v>0</v>
      </c>
      <c r="V451" s="319">
        <f>IF(AND('Ações'!AU460="sim", 'Ações'!BI460="sim"), 1, 0)
</f>
        <v>1</v>
      </c>
      <c r="W451" s="319">
        <f>IF(AND('Ações'!AV460="sim", 'Ações'!BD460="sim"), 1, 0)
</f>
        <v>0</v>
      </c>
      <c r="X451" s="319">
        <f>IF(AND('Ações'!AV460="sim", 'Ações'!BE460="sim"), 1, 0)
</f>
        <v>0</v>
      </c>
      <c r="Y451" s="319">
        <f>IF(AND('Ações'!AV460="sim", 'Ações'!BF460="sim"), 1, 0)
</f>
        <v>0</v>
      </c>
      <c r="Z451" s="319">
        <f>IF(AND('Ações'!AV460="sim", 'Ações'!BH460="sim"), 1, 0)
</f>
        <v>0</v>
      </c>
      <c r="AA451" s="319">
        <f>IF(AND('Ações'!AV460="sim", 'Ações'!BI460="sim"), 1, 0)
</f>
        <v>1</v>
      </c>
      <c r="AB451" s="319">
        <f>IF(AND('Ações'!AW460="sim", 'Ações'!BD460="sim"), 1, 0)
</f>
        <v>0</v>
      </c>
      <c r="AC451" s="319">
        <f>IF(AND('Ações'!AW460="sim", 'Ações'!BE460="sim"), 1, 0)
</f>
        <v>0</v>
      </c>
      <c r="AD451" s="319">
        <f>IF(AND('Ações'!AW460="sim", 'Ações'!BF460="sim"), 1, 0)
</f>
        <v>0</v>
      </c>
      <c r="AE451" s="319">
        <f>IF(AND('Ações'!AW460="sim", 'Ações'!BG460="sim"), 1, 0)
</f>
        <v>0</v>
      </c>
      <c r="AF451" s="319">
        <f>IF(AND('Ações'!AW460="sim", 'Ações'!BI460="sim"), 1, 0)
</f>
        <v>1</v>
      </c>
      <c r="AG451" s="319">
        <f>IF(AND('Ações'!AX460="sim", 'Ações'!BD460="sim"), 1, 0)
</f>
        <v>0</v>
      </c>
      <c r="AH451" s="319">
        <f>IF(AND('Ações'!AX460="sim", 'Ações'!BE460="sim"), 1, 0)
</f>
        <v>0</v>
      </c>
      <c r="AI451" s="319">
        <f>IF(AND('Ações'!AX460="sim", 'Ações'!BF460="sim"), 1, 0)
</f>
        <v>0</v>
      </c>
      <c r="AJ451" s="319">
        <f>IF(AND('Ações'!AX460="sim", 'Ações'!BG460="sim"), 1, 0)
</f>
        <v>0</v>
      </c>
      <c r="AK451" s="319">
        <f>IF(AND('Ações'!AX460="sim", 'Ações'!BH460="sim"), 1, 0)
</f>
        <v>0</v>
      </c>
    </row>
    <row r="452">
      <c r="B452" s="319">
        <f>IF(AND('Ações'!AS461="sim", 'Ações'!BD461="sim"), 1, 0)
</f>
        <v>1</v>
      </c>
      <c r="C452" s="319">
        <f>IF(AND('Ações'!AT461="sim", 'Ações'!BE461="sim"), 1, 0)
</f>
        <v>0</v>
      </c>
      <c r="D452" s="319">
        <f>IF(AND('Ações'!AU461="sim", 'Ações'!BF461="sim"), 1, 0)
</f>
        <v>0</v>
      </c>
      <c r="E452" s="319">
        <f>IF(AND('Ações'!AV461="sim", 'Ações'!BG461="sim"), 1, 0)
</f>
        <v>0</v>
      </c>
      <c r="F452" s="319">
        <f>IF(AND('Ações'!AW461="sim", 'Ações'!BH461="sim"), 1, 0)
</f>
        <v>0</v>
      </c>
      <c r="G452" s="319">
        <f>IF(AND('Ações'!AX461="sim", 'Ações'!BI461="sim"), 1, 0)
</f>
        <v>0</v>
      </c>
      <c r="H452" s="319">
        <f>IF(AND('Ações'!AS461="sim", 'Ações'!BE461="sim"), 1, 0)
</f>
        <v>0</v>
      </c>
      <c r="I452" s="319">
        <f>IF(AND('Ações'!AS461="sim", 'Ações'!BF461="sim"), 1, 0)
</f>
        <v>0</v>
      </c>
      <c r="J452" s="319">
        <f>IF(AND('Ações'!AS461="sim", 'Ações'!BG461="sim"), 1, 0)
</f>
        <v>0</v>
      </c>
      <c r="K452" s="319">
        <f>IF(AND('Ações'!AS461="sim", 'Ações'!BH461="sim"), 1, 0)
</f>
        <v>0</v>
      </c>
      <c r="L452" s="319">
        <f>IF(AND('Ações'!AS461="sim", 'Ações'!BI461="sim"), 1, 0)
</f>
        <v>0</v>
      </c>
      <c r="M452" s="319">
        <f>IF(AND('Ações'!AT461="sim", 'Ações'!BD461="sim"), 1, 0)
</f>
        <v>1</v>
      </c>
      <c r="N452" s="319">
        <f>IF(AND('Ações'!AT461="sim", 'Ações'!BF461="sim"), 1, 0)
</f>
        <v>0</v>
      </c>
      <c r="O452" s="319">
        <f>IF(AND('Ações'!AT461="sim", 'Ações'!BG461="sim"), 1, 0)
</f>
        <v>0</v>
      </c>
      <c r="P452" s="319">
        <f>IF(AND('Ações'!AT461="sim", 'Ações'!BH461="sim"), 1, 0)
</f>
        <v>0</v>
      </c>
      <c r="Q452" s="319">
        <f>IF(AND('Ações'!AT461="sim", 'Ações'!BI461="sim"), 1, 0)
</f>
        <v>0</v>
      </c>
      <c r="R452" s="319">
        <f>IF(AND('Ações'!AU461="sim", 'Ações'!BD461="sim"), 1, 0)
</f>
        <v>1</v>
      </c>
      <c r="S452" s="319">
        <f>IF(AND('Ações'!AU461="sim", 'Ações'!BE461="sim"), 1, 0)
</f>
        <v>0</v>
      </c>
      <c r="T452" s="319">
        <f>IF(AND('Ações'!AU461="sim", 'Ações'!BG461="sim"), 1, 0)
</f>
        <v>0</v>
      </c>
      <c r="U452" s="319">
        <f>IF(AND('Ações'!AU461="sim", 'Ações'!BH461="sim"), 1, 0)
</f>
        <v>0</v>
      </c>
      <c r="V452" s="319">
        <f>IF(AND('Ações'!AU461="sim", 'Ações'!BI461="sim"), 1, 0)
</f>
        <v>0</v>
      </c>
      <c r="W452" s="319">
        <f>IF(AND('Ações'!AV461="sim", 'Ações'!BD461="sim"), 1, 0)
</f>
        <v>1</v>
      </c>
      <c r="X452" s="319">
        <f>IF(AND('Ações'!AV461="sim", 'Ações'!BE461="sim"), 1, 0)
</f>
        <v>0</v>
      </c>
      <c r="Y452" s="319">
        <f>IF(AND('Ações'!AV461="sim", 'Ações'!BF461="sim"), 1, 0)
</f>
        <v>0</v>
      </c>
      <c r="Z452" s="319">
        <f>IF(AND('Ações'!AV461="sim", 'Ações'!BH461="sim"), 1, 0)
</f>
        <v>0</v>
      </c>
      <c r="AA452" s="319">
        <f>IF(AND('Ações'!AV461="sim", 'Ações'!BI461="sim"), 1, 0)
</f>
        <v>0</v>
      </c>
      <c r="AB452" s="319">
        <f>IF(AND('Ações'!AW461="sim", 'Ações'!BD461="sim"), 1, 0)
</f>
        <v>1</v>
      </c>
      <c r="AC452" s="319">
        <f>IF(AND('Ações'!AW461="sim", 'Ações'!BE461="sim"), 1, 0)
</f>
        <v>0</v>
      </c>
      <c r="AD452" s="319">
        <f>IF(AND('Ações'!AW461="sim", 'Ações'!BF461="sim"), 1, 0)
</f>
        <v>0</v>
      </c>
      <c r="AE452" s="319">
        <f>IF(AND('Ações'!AW461="sim", 'Ações'!BG461="sim"), 1, 0)
</f>
        <v>0</v>
      </c>
      <c r="AF452" s="319">
        <f>IF(AND('Ações'!AW461="sim", 'Ações'!BI461="sim"), 1, 0)
</f>
        <v>0</v>
      </c>
      <c r="AG452" s="319">
        <f>IF(AND('Ações'!AX461="sim", 'Ações'!BD461="sim"), 1, 0)
</f>
        <v>0</v>
      </c>
      <c r="AH452" s="319">
        <f>IF(AND('Ações'!AX461="sim", 'Ações'!BE461="sim"), 1, 0)
</f>
        <v>0</v>
      </c>
      <c r="AI452" s="319">
        <f>IF(AND('Ações'!AX461="sim", 'Ações'!BF461="sim"), 1, 0)
</f>
        <v>0</v>
      </c>
      <c r="AJ452" s="319">
        <f>IF(AND('Ações'!AX461="sim", 'Ações'!BG461="sim"), 1, 0)
</f>
        <v>0</v>
      </c>
      <c r="AK452" s="319">
        <f>IF(AND('Ações'!AX461="sim", 'Ações'!BH461="sim"), 1, 0)
</f>
        <v>0</v>
      </c>
    </row>
    <row r="453">
      <c r="B453" s="319">
        <f>IF(AND('Ações'!AS462="sim", 'Ações'!BD462="sim"), 1, 0)
</f>
        <v>1</v>
      </c>
      <c r="C453" s="319">
        <f>IF(AND('Ações'!AT462="sim", 'Ações'!BE462="sim"), 1, 0)
</f>
        <v>0</v>
      </c>
      <c r="D453" s="319">
        <f>IF(AND('Ações'!AU462="sim", 'Ações'!BF462="sim"), 1, 0)
</f>
        <v>0</v>
      </c>
      <c r="E453" s="319">
        <f>IF(AND('Ações'!AV462="sim", 'Ações'!BG462="sim"), 1, 0)
</f>
        <v>0</v>
      </c>
      <c r="F453" s="319">
        <f>IF(AND('Ações'!AW462="sim", 'Ações'!BH462="sim"), 1, 0)
</f>
        <v>0</v>
      </c>
      <c r="G453" s="319">
        <f>IF(AND('Ações'!AX462="sim", 'Ações'!BI462="sim"), 1, 0)
</f>
        <v>0</v>
      </c>
      <c r="H453" s="319">
        <f>IF(AND('Ações'!AS462="sim", 'Ações'!BE462="sim"), 1, 0)
</f>
        <v>0</v>
      </c>
      <c r="I453" s="319">
        <f>IF(AND('Ações'!AS462="sim", 'Ações'!BF462="sim"), 1, 0)
</f>
        <v>0</v>
      </c>
      <c r="J453" s="319">
        <f>IF(AND('Ações'!AS462="sim", 'Ações'!BG462="sim"), 1, 0)
</f>
        <v>0</v>
      </c>
      <c r="K453" s="319">
        <f>IF(AND('Ações'!AS462="sim", 'Ações'!BH462="sim"), 1, 0)
</f>
        <v>0</v>
      </c>
      <c r="L453" s="319">
        <f>IF(AND('Ações'!AS462="sim", 'Ações'!BI462="sim"), 1, 0)
</f>
        <v>0</v>
      </c>
      <c r="M453" s="319">
        <f>IF(AND('Ações'!AT462="sim", 'Ações'!BD462="sim"), 1, 0)
</f>
        <v>1</v>
      </c>
      <c r="N453" s="319">
        <f>IF(AND('Ações'!AT462="sim", 'Ações'!BF462="sim"), 1, 0)
</f>
        <v>0</v>
      </c>
      <c r="O453" s="319">
        <f>IF(AND('Ações'!AT462="sim", 'Ações'!BG462="sim"), 1, 0)
</f>
        <v>0</v>
      </c>
      <c r="P453" s="319">
        <f>IF(AND('Ações'!AT462="sim", 'Ações'!BH462="sim"), 1, 0)
</f>
        <v>0</v>
      </c>
      <c r="Q453" s="319">
        <f>IF(AND('Ações'!AT462="sim", 'Ações'!BI462="sim"), 1, 0)
</f>
        <v>0</v>
      </c>
      <c r="R453" s="319">
        <f>IF(AND('Ações'!AU462="sim", 'Ações'!BD462="sim"), 1, 0)
</f>
        <v>1</v>
      </c>
      <c r="S453" s="319">
        <f>IF(AND('Ações'!AU462="sim", 'Ações'!BE462="sim"), 1, 0)
</f>
        <v>0</v>
      </c>
      <c r="T453" s="319">
        <f>IF(AND('Ações'!AU462="sim", 'Ações'!BG462="sim"), 1, 0)
</f>
        <v>0</v>
      </c>
      <c r="U453" s="319">
        <f>IF(AND('Ações'!AU462="sim", 'Ações'!BH462="sim"), 1, 0)
</f>
        <v>0</v>
      </c>
      <c r="V453" s="319">
        <f>IF(AND('Ações'!AU462="sim", 'Ações'!BI462="sim"), 1, 0)
</f>
        <v>0</v>
      </c>
      <c r="W453" s="319">
        <f>IF(AND('Ações'!AV462="sim", 'Ações'!BD462="sim"), 1, 0)
</f>
        <v>1</v>
      </c>
      <c r="X453" s="319">
        <f>IF(AND('Ações'!AV462="sim", 'Ações'!BE462="sim"), 1, 0)
</f>
        <v>0</v>
      </c>
      <c r="Y453" s="319">
        <f>IF(AND('Ações'!AV462="sim", 'Ações'!BF462="sim"), 1, 0)
</f>
        <v>0</v>
      </c>
      <c r="Z453" s="319">
        <f>IF(AND('Ações'!AV462="sim", 'Ações'!BH462="sim"), 1, 0)
</f>
        <v>0</v>
      </c>
      <c r="AA453" s="319">
        <f>IF(AND('Ações'!AV462="sim", 'Ações'!BI462="sim"), 1, 0)
</f>
        <v>0</v>
      </c>
      <c r="AB453" s="319">
        <f>IF(AND('Ações'!AW462="sim", 'Ações'!BD462="sim"), 1, 0)
</f>
        <v>1</v>
      </c>
      <c r="AC453" s="319">
        <f>IF(AND('Ações'!AW462="sim", 'Ações'!BE462="sim"), 1, 0)
</f>
        <v>0</v>
      </c>
      <c r="AD453" s="319">
        <f>IF(AND('Ações'!AW462="sim", 'Ações'!BF462="sim"), 1, 0)
</f>
        <v>0</v>
      </c>
      <c r="AE453" s="319">
        <f>IF(AND('Ações'!AW462="sim", 'Ações'!BG462="sim"), 1, 0)
</f>
        <v>0</v>
      </c>
      <c r="AF453" s="319">
        <f>IF(AND('Ações'!AW462="sim", 'Ações'!BI462="sim"), 1, 0)
</f>
        <v>0</v>
      </c>
      <c r="AG453" s="319">
        <f>IF(AND('Ações'!AX462="sim", 'Ações'!BD462="sim"), 1, 0)
</f>
        <v>0</v>
      </c>
      <c r="AH453" s="319">
        <f>IF(AND('Ações'!AX462="sim", 'Ações'!BE462="sim"), 1, 0)
</f>
        <v>0</v>
      </c>
      <c r="AI453" s="319">
        <f>IF(AND('Ações'!AX462="sim", 'Ações'!BF462="sim"), 1, 0)
</f>
        <v>0</v>
      </c>
      <c r="AJ453" s="319">
        <f>IF(AND('Ações'!AX462="sim", 'Ações'!BG462="sim"), 1, 0)
</f>
        <v>0</v>
      </c>
      <c r="AK453" s="319">
        <f>IF(AND('Ações'!AX462="sim", 'Ações'!BH462="sim"), 1, 0)
</f>
        <v>0</v>
      </c>
    </row>
    <row r="454">
      <c r="B454" s="319">
        <f>IF(AND('Ações'!AS463="sim", 'Ações'!BD463="sim"), 1, 0)
</f>
        <v>0</v>
      </c>
      <c r="C454" s="319">
        <f>IF(AND('Ações'!AT463="sim", 'Ações'!BE463="sim"), 1, 0)
</f>
        <v>0</v>
      </c>
      <c r="D454" s="319">
        <f>IF(AND('Ações'!AU463="sim", 'Ações'!BF463="sim"), 1, 0)
</f>
        <v>0</v>
      </c>
      <c r="E454" s="319">
        <f>IF(AND('Ações'!AV463="sim", 'Ações'!BG463="sim"), 1, 0)
</f>
        <v>0</v>
      </c>
      <c r="F454" s="319">
        <f>IF(AND('Ações'!AW463="sim", 'Ações'!BH463="sim"), 1, 0)
</f>
        <v>0</v>
      </c>
      <c r="G454" s="319">
        <f>IF(AND('Ações'!AX463="sim", 'Ações'!BI463="sim"), 1, 0)
</f>
        <v>0</v>
      </c>
      <c r="H454" s="319">
        <f>IF(AND('Ações'!AS463="sim", 'Ações'!BE463="sim"), 1, 0)
</f>
        <v>0</v>
      </c>
      <c r="I454" s="319">
        <f>IF(AND('Ações'!AS463="sim", 'Ações'!BF463="sim"), 1, 0)
</f>
        <v>0</v>
      </c>
      <c r="J454" s="319">
        <f>IF(AND('Ações'!AS463="sim", 'Ações'!BG463="sim"), 1, 0)
</f>
        <v>0</v>
      </c>
      <c r="K454" s="319">
        <f>IF(AND('Ações'!AS463="sim", 'Ações'!BH463="sim"), 1, 0)
</f>
        <v>0</v>
      </c>
      <c r="L454" s="319">
        <f>IF(AND('Ações'!AS463="sim", 'Ações'!BI463="sim"), 1, 0)
</f>
        <v>0</v>
      </c>
      <c r="M454" s="319">
        <f>IF(AND('Ações'!AT463="sim", 'Ações'!BD463="sim"), 1, 0)
</f>
        <v>0</v>
      </c>
      <c r="N454" s="319">
        <f>IF(AND('Ações'!AT463="sim", 'Ações'!BF463="sim"), 1, 0)
</f>
        <v>0</v>
      </c>
      <c r="O454" s="319">
        <f>IF(AND('Ações'!AT463="sim", 'Ações'!BG463="sim"), 1, 0)
</f>
        <v>0</v>
      </c>
      <c r="P454" s="319">
        <f>IF(AND('Ações'!AT463="sim", 'Ações'!BH463="sim"), 1, 0)
</f>
        <v>0</v>
      </c>
      <c r="Q454" s="319">
        <f>IF(AND('Ações'!AT463="sim", 'Ações'!BI463="sim"), 1, 0)
</f>
        <v>1</v>
      </c>
      <c r="R454" s="319">
        <f>IF(AND('Ações'!AU463="sim", 'Ações'!BD463="sim"), 1, 0)
</f>
        <v>0</v>
      </c>
      <c r="S454" s="319">
        <f>IF(AND('Ações'!AU463="sim", 'Ações'!BE463="sim"), 1, 0)
</f>
        <v>0</v>
      </c>
      <c r="T454" s="319">
        <f>IF(AND('Ações'!AU463="sim", 'Ações'!BG463="sim"), 1, 0)
</f>
        <v>0</v>
      </c>
      <c r="U454" s="319">
        <f>IF(AND('Ações'!AU463="sim", 'Ações'!BH463="sim"), 1, 0)
</f>
        <v>0</v>
      </c>
      <c r="V454" s="319">
        <f>IF(AND('Ações'!AU463="sim", 'Ações'!BI463="sim"), 1, 0)
</f>
        <v>1</v>
      </c>
      <c r="W454" s="319">
        <f>IF(AND('Ações'!AV463="sim", 'Ações'!BD463="sim"), 1, 0)
</f>
        <v>0</v>
      </c>
      <c r="X454" s="319">
        <f>IF(AND('Ações'!AV463="sim", 'Ações'!BE463="sim"), 1, 0)
</f>
        <v>0</v>
      </c>
      <c r="Y454" s="319">
        <f>IF(AND('Ações'!AV463="sim", 'Ações'!BF463="sim"), 1, 0)
</f>
        <v>0</v>
      </c>
      <c r="Z454" s="319">
        <f>IF(AND('Ações'!AV463="sim", 'Ações'!BH463="sim"), 1, 0)
</f>
        <v>0</v>
      </c>
      <c r="AA454" s="319">
        <f>IF(AND('Ações'!AV463="sim", 'Ações'!BI463="sim"), 1, 0)
</f>
        <v>1</v>
      </c>
      <c r="AB454" s="319">
        <f>IF(AND('Ações'!AW463="sim", 'Ações'!BD463="sim"), 1, 0)
</f>
        <v>0</v>
      </c>
      <c r="AC454" s="319">
        <f>IF(AND('Ações'!AW463="sim", 'Ações'!BE463="sim"), 1, 0)
</f>
        <v>0</v>
      </c>
      <c r="AD454" s="319">
        <f>IF(AND('Ações'!AW463="sim", 'Ações'!BF463="sim"), 1, 0)
</f>
        <v>0</v>
      </c>
      <c r="AE454" s="319">
        <f>IF(AND('Ações'!AW463="sim", 'Ações'!BG463="sim"), 1, 0)
</f>
        <v>0</v>
      </c>
      <c r="AF454" s="319">
        <f>IF(AND('Ações'!AW463="sim", 'Ações'!BI463="sim"), 1, 0)
</f>
        <v>1</v>
      </c>
      <c r="AG454" s="319">
        <f>IF(AND('Ações'!AX463="sim", 'Ações'!BD463="sim"), 1, 0)
</f>
        <v>0</v>
      </c>
      <c r="AH454" s="319">
        <f>IF(AND('Ações'!AX463="sim", 'Ações'!BE463="sim"), 1, 0)
</f>
        <v>0</v>
      </c>
      <c r="AI454" s="319">
        <f>IF(AND('Ações'!AX463="sim", 'Ações'!BF463="sim"), 1, 0)
</f>
        <v>0</v>
      </c>
      <c r="AJ454" s="319">
        <f>IF(AND('Ações'!AX463="sim", 'Ações'!BG463="sim"), 1, 0)
</f>
        <v>0</v>
      </c>
      <c r="AK454" s="319">
        <f>IF(AND('Ações'!AX463="sim", 'Ações'!BH463="sim"), 1, 0)
</f>
        <v>0</v>
      </c>
    </row>
    <row r="455">
      <c r="B455" s="319">
        <f>IF(AND('Ações'!AS464="sim", 'Ações'!BD464="sim"), 1, 0)
</f>
        <v>1</v>
      </c>
      <c r="C455" s="319">
        <f>IF(AND('Ações'!AT464="sim", 'Ações'!BE464="sim"), 1, 0)
</f>
        <v>0</v>
      </c>
      <c r="D455" s="319">
        <f>IF(AND('Ações'!AU464="sim", 'Ações'!BF464="sim"), 1, 0)
</f>
        <v>0</v>
      </c>
      <c r="E455" s="319">
        <f>IF(AND('Ações'!AV464="sim", 'Ações'!BG464="sim"), 1, 0)
</f>
        <v>0</v>
      </c>
      <c r="F455" s="319">
        <f>IF(AND('Ações'!AW464="sim", 'Ações'!BH464="sim"), 1, 0)
</f>
        <v>0</v>
      </c>
      <c r="G455" s="319">
        <f>IF(AND('Ações'!AX464="sim", 'Ações'!BI464="sim"), 1, 0)
</f>
        <v>0</v>
      </c>
      <c r="H455" s="319">
        <f>IF(AND('Ações'!AS464="sim", 'Ações'!BE464="sim"), 1, 0)
</f>
        <v>0</v>
      </c>
      <c r="I455" s="319">
        <f>IF(AND('Ações'!AS464="sim", 'Ações'!BF464="sim"), 1, 0)
</f>
        <v>0</v>
      </c>
      <c r="J455" s="319">
        <f>IF(AND('Ações'!AS464="sim", 'Ações'!BG464="sim"), 1, 0)
</f>
        <v>0</v>
      </c>
      <c r="K455" s="319">
        <f>IF(AND('Ações'!AS464="sim", 'Ações'!BH464="sim"), 1, 0)
</f>
        <v>0</v>
      </c>
      <c r="L455" s="319">
        <f>IF(AND('Ações'!AS464="sim", 'Ações'!BI464="sim"), 1, 0)
</f>
        <v>0</v>
      </c>
      <c r="M455" s="319">
        <f>IF(AND('Ações'!AT464="sim", 'Ações'!BD464="sim"), 1, 0)
</f>
        <v>1</v>
      </c>
      <c r="N455" s="319">
        <f>IF(AND('Ações'!AT464="sim", 'Ações'!BF464="sim"), 1, 0)
</f>
        <v>0</v>
      </c>
      <c r="O455" s="319">
        <f>IF(AND('Ações'!AT464="sim", 'Ações'!BG464="sim"), 1, 0)
</f>
        <v>0</v>
      </c>
      <c r="P455" s="319">
        <f>IF(AND('Ações'!AT464="sim", 'Ações'!BH464="sim"), 1, 0)
</f>
        <v>0</v>
      </c>
      <c r="Q455" s="319">
        <f>IF(AND('Ações'!AT464="sim", 'Ações'!BI464="sim"), 1, 0)
</f>
        <v>0</v>
      </c>
      <c r="R455" s="319">
        <f>IF(AND('Ações'!AU464="sim", 'Ações'!BD464="sim"), 1, 0)
</f>
        <v>1</v>
      </c>
      <c r="S455" s="319">
        <f>IF(AND('Ações'!AU464="sim", 'Ações'!BE464="sim"), 1, 0)
</f>
        <v>0</v>
      </c>
      <c r="T455" s="319">
        <f>IF(AND('Ações'!AU464="sim", 'Ações'!BG464="sim"), 1, 0)
</f>
        <v>0</v>
      </c>
      <c r="U455" s="319">
        <f>IF(AND('Ações'!AU464="sim", 'Ações'!BH464="sim"), 1, 0)
</f>
        <v>0</v>
      </c>
      <c r="V455" s="319">
        <f>IF(AND('Ações'!AU464="sim", 'Ações'!BI464="sim"), 1, 0)
</f>
        <v>0</v>
      </c>
      <c r="W455" s="319">
        <f>IF(AND('Ações'!AV464="sim", 'Ações'!BD464="sim"), 1, 0)
</f>
        <v>1</v>
      </c>
      <c r="X455" s="319">
        <f>IF(AND('Ações'!AV464="sim", 'Ações'!BE464="sim"), 1, 0)
</f>
        <v>0</v>
      </c>
      <c r="Y455" s="319">
        <f>IF(AND('Ações'!AV464="sim", 'Ações'!BF464="sim"), 1, 0)
</f>
        <v>0</v>
      </c>
      <c r="Z455" s="319">
        <f>IF(AND('Ações'!AV464="sim", 'Ações'!BH464="sim"), 1, 0)
</f>
        <v>0</v>
      </c>
      <c r="AA455" s="319">
        <f>IF(AND('Ações'!AV464="sim", 'Ações'!BI464="sim"), 1, 0)
</f>
        <v>0</v>
      </c>
      <c r="AB455" s="319">
        <f>IF(AND('Ações'!AW464="sim", 'Ações'!BD464="sim"), 1, 0)
</f>
        <v>1</v>
      </c>
      <c r="AC455" s="319">
        <f>IF(AND('Ações'!AW464="sim", 'Ações'!BE464="sim"), 1, 0)
</f>
        <v>0</v>
      </c>
      <c r="AD455" s="319">
        <f>IF(AND('Ações'!AW464="sim", 'Ações'!BF464="sim"), 1, 0)
</f>
        <v>0</v>
      </c>
      <c r="AE455" s="319">
        <f>IF(AND('Ações'!AW464="sim", 'Ações'!BG464="sim"), 1, 0)
</f>
        <v>0</v>
      </c>
      <c r="AF455" s="319">
        <f>IF(AND('Ações'!AW464="sim", 'Ações'!BI464="sim"), 1, 0)
</f>
        <v>0</v>
      </c>
      <c r="AG455" s="319">
        <f>IF(AND('Ações'!AX464="sim", 'Ações'!BD464="sim"), 1, 0)
</f>
        <v>1</v>
      </c>
      <c r="AH455" s="319">
        <f>IF(AND('Ações'!AX464="sim", 'Ações'!BE464="sim"), 1, 0)
</f>
        <v>0</v>
      </c>
      <c r="AI455" s="319">
        <f>IF(AND('Ações'!AX464="sim", 'Ações'!BF464="sim"), 1, 0)
</f>
        <v>0</v>
      </c>
      <c r="AJ455" s="319">
        <f>IF(AND('Ações'!AX464="sim", 'Ações'!BG464="sim"), 1, 0)
</f>
        <v>0</v>
      </c>
      <c r="AK455" s="319">
        <f>IF(AND('Ações'!AX464="sim", 'Ações'!BH464="sim"), 1, 0)
</f>
        <v>0</v>
      </c>
    </row>
    <row r="456">
      <c r="B456" s="319">
        <f>IF(AND('Ações'!AS465="sim", 'Ações'!BD465="sim"), 1, 0)
</f>
        <v>0</v>
      </c>
      <c r="C456" s="319">
        <f>IF(AND('Ações'!AT465="sim", 'Ações'!BE465="sim"), 1, 0)
</f>
        <v>0</v>
      </c>
      <c r="D456" s="319">
        <f>IF(AND('Ações'!AU465="sim", 'Ações'!BF465="sim"), 1, 0)
</f>
        <v>0</v>
      </c>
      <c r="E456" s="319">
        <f>IF(AND('Ações'!AV465="sim", 'Ações'!BG465="sim"), 1, 0)
</f>
        <v>0</v>
      </c>
      <c r="F456" s="319">
        <f>IF(AND('Ações'!AW465="sim", 'Ações'!BH465="sim"), 1, 0)
</f>
        <v>0</v>
      </c>
      <c r="G456" s="319">
        <f>IF(AND('Ações'!AX465="sim", 'Ações'!BI465="sim"), 1, 0)
</f>
        <v>1</v>
      </c>
      <c r="H456" s="319">
        <f>IF(AND('Ações'!AS465="sim", 'Ações'!BE465="sim"), 1, 0)
</f>
        <v>0</v>
      </c>
      <c r="I456" s="319">
        <f>IF(AND('Ações'!AS465="sim", 'Ações'!BF465="sim"), 1, 0)
</f>
        <v>0</v>
      </c>
      <c r="J456" s="319">
        <f>IF(AND('Ações'!AS465="sim", 'Ações'!BG465="sim"), 1, 0)
</f>
        <v>0</v>
      </c>
      <c r="K456" s="319">
        <f>IF(AND('Ações'!AS465="sim", 'Ações'!BH465="sim"), 1, 0)
</f>
        <v>0</v>
      </c>
      <c r="L456" s="319">
        <f>IF(AND('Ações'!AS465="sim", 'Ações'!BI465="sim"), 1, 0)
</f>
        <v>1</v>
      </c>
      <c r="M456" s="319">
        <f>IF(AND('Ações'!AT465="sim", 'Ações'!BD465="sim"), 1, 0)
</f>
        <v>0</v>
      </c>
      <c r="N456" s="319">
        <f>IF(AND('Ações'!AT465="sim", 'Ações'!BF465="sim"), 1, 0)
</f>
        <v>0</v>
      </c>
      <c r="O456" s="319">
        <f>IF(AND('Ações'!AT465="sim", 'Ações'!BG465="sim"), 1, 0)
</f>
        <v>0</v>
      </c>
      <c r="P456" s="319">
        <f>IF(AND('Ações'!AT465="sim", 'Ações'!BH465="sim"), 1, 0)
</f>
        <v>0</v>
      </c>
      <c r="Q456" s="319">
        <f>IF(AND('Ações'!AT465="sim", 'Ações'!BI465="sim"), 1, 0)
</f>
        <v>1</v>
      </c>
      <c r="R456" s="319">
        <f>IF(AND('Ações'!AU465="sim", 'Ações'!BD465="sim"), 1, 0)
</f>
        <v>0</v>
      </c>
      <c r="S456" s="319">
        <f>IF(AND('Ações'!AU465="sim", 'Ações'!BE465="sim"), 1, 0)
</f>
        <v>0</v>
      </c>
      <c r="T456" s="319">
        <f>IF(AND('Ações'!AU465="sim", 'Ações'!BG465="sim"), 1, 0)
</f>
        <v>0</v>
      </c>
      <c r="U456" s="319">
        <f>IF(AND('Ações'!AU465="sim", 'Ações'!BH465="sim"), 1, 0)
</f>
        <v>0</v>
      </c>
      <c r="V456" s="319">
        <f>IF(AND('Ações'!AU465="sim", 'Ações'!BI465="sim"), 1, 0)
</f>
        <v>1</v>
      </c>
      <c r="W456" s="319">
        <f>IF(AND('Ações'!AV465="sim", 'Ações'!BD465="sim"), 1, 0)
</f>
        <v>0</v>
      </c>
      <c r="X456" s="319">
        <f>IF(AND('Ações'!AV465="sim", 'Ações'!BE465="sim"), 1, 0)
</f>
        <v>0</v>
      </c>
      <c r="Y456" s="319">
        <f>IF(AND('Ações'!AV465="sim", 'Ações'!BF465="sim"), 1, 0)
</f>
        <v>0</v>
      </c>
      <c r="Z456" s="319">
        <f>IF(AND('Ações'!AV465="sim", 'Ações'!BH465="sim"), 1, 0)
</f>
        <v>0</v>
      </c>
      <c r="AA456" s="319">
        <f>IF(AND('Ações'!AV465="sim", 'Ações'!BI465="sim"), 1, 0)
</f>
        <v>1</v>
      </c>
      <c r="AB456" s="319">
        <f>IF(AND('Ações'!AW465="sim", 'Ações'!BD465="sim"), 1, 0)
</f>
        <v>0</v>
      </c>
      <c r="AC456" s="319">
        <f>IF(AND('Ações'!AW465="sim", 'Ações'!BE465="sim"), 1, 0)
</f>
        <v>0</v>
      </c>
      <c r="AD456" s="319">
        <f>IF(AND('Ações'!AW465="sim", 'Ações'!BF465="sim"), 1, 0)
</f>
        <v>0</v>
      </c>
      <c r="AE456" s="319">
        <f>IF(AND('Ações'!AW465="sim", 'Ações'!BG465="sim"), 1, 0)
</f>
        <v>0</v>
      </c>
      <c r="AF456" s="319">
        <f>IF(AND('Ações'!AW465="sim", 'Ações'!BI465="sim"), 1, 0)
</f>
        <v>1</v>
      </c>
      <c r="AG456" s="319">
        <f>IF(AND('Ações'!AX465="sim", 'Ações'!BD465="sim"), 1, 0)
</f>
        <v>0</v>
      </c>
      <c r="AH456" s="319">
        <f>IF(AND('Ações'!AX465="sim", 'Ações'!BE465="sim"), 1, 0)
</f>
        <v>0</v>
      </c>
      <c r="AI456" s="319">
        <f>IF(AND('Ações'!AX465="sim", 'Ações'!BF465="sim"), 1, 0)
</f>
        <v>0</v>
      </c>
      <c r="AJ456" s="319">
        <f>IF(AND('Ações'!AX465="sim", 'Ações'!BG465="sim"), 1, 0)
</f>
        <v>0</v>
      </c>
      <c r="AK456" s="319">
        <f>IF(AND('Ações'!AX465="sim", 'Ações'!BH465="sim"), 1, 0)
</f>
        <v>0</v>
      </c>
    </row>
    <row r="457">
      <c r="B457" s="319">
        <f>IF(AND('Ações'!AS466="sim", 'Ações'!BD466="sim"), 1, 0)
</f>
        <v>1</v>
      </c>
      <c r="C457" s="319">
        <f>IF(AND('Ações'!AT466="sim", 'Ações'!BE466="sim"), 1, 0)
</f>
        <v>0</v>
      </c>
      <c r="D457" s="319">
        <f>IF(AND('Ações'!AU466="sim", 'Ações'!BF466="sim"), 1, 0)
</f>
        <v>0</v>
      </c>
      <c r="E457" s="319">
        <f>IF(AND('Ações'!AV466="sim", 'Ações'!BG466="sim"), 1, 0)
</f>
        <v>0</v>
      </c>
      <c r="F457" s="319">
        <f>IF(AND('Ações'!AW466="sim", 'Ações'!BH466="sim"), 1, 0)
</f>
        <v>0</v>
      </c>
      <c r="G457" s="319">
        <f>IF(AND('Ações'!AX466="sim", 'Ações'!BI466="sim"), 1, 0)
</f>
        <v>0</v>
      </c>
      <c r="H457" s="319">
        <f>IF(AND('Ações'!AS466="sim", 'Ações'!BE466="sim"), 1, 0)
</f>
        <v>0</v>
      </c>
      <c r="I457" s="319">
        <f>IF(AND('Ações'!AS466="sim", 'Ações'!BF466="sim"), 1, 0)
</f>
        <v>0</v>
      </c>
      <c r="J457" s="319">
        <f>IF(AND('Ações'!AS466="sim", 'Ações'!BG466="sim"), 1, 0)
</f>
        <v>0</v>
      </c>
      <c r="K457" s="319">
        <f>IF(AND('Ações'!AS466="sim", 'Ações'!BH466="sim"), 1, 0)
</f>
        <v>0</v>
      </c>
      <c r="L457" s="319">
        <f>IF(AND('Ações'!AS466="sim", 'Ações'!BI466="sim"), 1, 0)
</f>
        <v>0</v>
      </c>
      <c r="M457" s="319">
        <f>IF(AND('Ações'!AT466="sim", 'Ações'!BD466="sim"), 1, 0)
</f>
        <v>1</v>
      </c>
      <c r="N457" s="319">
        <f>IF(AND('Ações'!AT466="sim", 'Ações'!BF466="sim"), 1, 0)
</f>
        <v>0</v>
      </c>
      <c r="O457" s="319">
        <f>IF(AND('Ações'!AT466="sim", 'Ações'!BG466="sim"), 1, 0)
</f>
        <v>0</v>
      </c>
      <c r="P457" s="319">
        <f>IF(AND('Ações'!AT466="sim", 'Ações'!BH466="sim"), 1, 0)
</f>
        <v>0</v>
      </c>
      <c r="Q457" s="319">
        <f>IF(AND('Ações'!AT466="sim", 'Ações'!BI466="sim"), 1, 0)
</f>
        <v>0</v>
      </c>
      <c r="R457" s="319">
        <f>IF(AND('Ações'!AU466="sim", 'Ações'!BD466="sim"), 1, 0)
</f>
        <v>1</v>
      </c>
      <c r="S457" s="319">
        <f>IF(AND('Ações'!AU466="sim", 'Ações'!BE466="sim"), 1, 0)
</f>
        <v>0</v>
      </c>
      <c r="T457" s="319">
        <f>IF(AND('Ações'!AU466="sim", 'Ações'!BG466="sim"), 1, 0)
</f>
        <v>0</v>
      </c>
      <c r="U457" s="319">
        <f>IF(AND('Ações'!AU466="sim", 'Ações'!BH466="sim"), 1, 0)
</f>
        <v>0</v>
      </c>
      <c r="V457" s="319">
        <f>IF(AND('Ações'!AU466="sim", 'Ações'!BI466="sim"), 1, 0)
</f>
        <v>0</v>
      </c>
      <c r="W457" s="319">
        <f>IF(AND('Ações'!AV466="sim", 'Ações'!BD466="sim"), 1, 0)
</f>
        <v>1</v>
      </c>
      <c r="X457" s="319">
        <f>IF(AND('Ações'!AV466="sim", 'Ações'!BE466="sim"), 1, 0)
</f>
        <v>0</v>
      </c>
      <c r="Y457" s="319">
        <f>IF(AND('Ações'!AV466="sim", 'Ações'!BF466="sim"), 1, 0)
</f>
        <v>0</v>
      </c>
      <c r="Z457" s="319">
        <f>IF(AND('Ações'!AV466="sim", 'Ações'!BH466="sim"), 1, 0)
</f>
        <v>0</v>
      </c>
      <c r="AA457" s="319">
        <f>IF(AND('Ações'!AV466="sim", 'Ações'!BI466="sim"), 1, 0)
</f>
        <v>0</v>
      </c>
      <c r="AB457" s="319">
        <f>IF(AND('Ações'!AW466="sim", 'Ações'!BD466="sim"), 1, 0)
</f>
        <v>1</v>
      </c>
      <c r="AC457" s="319">
        <f>IF(AND('Ações'!AW466="sim", 'Ações'!BE466="sim"), 1, 0)
</f>
        <v>0</v>
      </c>
      <c r="AD457" s="319">
        <f>IF(AND('Ações'!AW466="sim", 'Ações'!BF466="sim"), 1, 0)
</f>
        <v>0</v>
      </c>
      <c r="AE457" s="319">
        <f>IF(AND('Ações'!AW466="sim", 'Ações'!BG466="sim"), 1, 0)
</f>
        <v>0</v>
      </c>
      <c r="AF457" s="319">
        <f>IF(AND('Ações'!AW466="sim", 'Ações'!BI466="sim"), 1, 0)
</f>
        <v>0</v>
      </c>
      <c r="AG457" s="319">
        <f>IF(AND('Ações'!AX466="sim", 'Ações'!BD466="sim"), 1, 0)
</f>
        <v>1</v>
      </c>
      <c r="AH457" s="319">
        <f>IF(AND('Ações'!AX466="sim", 'Ações'!BE466="sim"), 1, 0)
</f>
        <v>0</v>
      </c>
      <c r="AI457" s="319">
        <f>IF(AND('Ações'!AX466="sim", 'Ações'!BF466="sim"), 1, 0)
</f>
        <v>0</v>
      </c>
      <c r="AJ457" s="319">
        <f>IF(AND('Ações'!AX466="sim", 'Ações'!BG466="sim"), 1, 0)
</f>
        <v>0</v>
      </c>
      <c r="AK457" s="319">
        <f>IF(AND('Ações'!AX466="sim", 'Ações'!BH466="sim"), 1, 0)
</f>
        <v>0</v>
      </c>
    </row>
    <row r="458">
      <c r="B458" s="319">
        <f>IF(AND('Ações'!AS467="sim", 'Ações'!BD467="sim"), 1, 0)
</f>
        <v>0</v>
      </c>
      <c r="C458" s="319">
        <f>IF(AND('Ações'!AT467="sim", 'Ações'!BE467="sim"), 1, 0)
</f>
        <v>0</v>
      </c>
      <c r="D458" s="319">
        <f>IF(AND('Ações'!AU467="sim", 'Ações'!BF467="sim"), 1, 0)
</f>
        <v>0</v>
      </c>
      <c r="E458" s="319">
        <f>IF(AND('Ações'!AV467="sim", 'Ações'!BG467="sim"), 1, 0)
</f>
        <v>0</v>
      </c>
      <c r="F458" s="319">
        <f>IF(AND('Ações'!AW467="sim", 'Ações'!BH467="sim"), 1, 0)
</f>
        <v>0</v>
      </c>
      <c r="G458" s="319">
        <f>IF(AND('Ações'!AX467="sim", 'Ações'!BI467="sim"), 1, 0)
</f>
        <v>1</v>
      </c>
      <c r="H458" s="319">
        <f>IF(AND('Ações'!AS467="sim", 'Ações'!BE467="sim"), 1, 0)
</f>
        <v>0</v>
      </c>
      <c r="I458" s="319">
        <f>IF(AND('Ações'!AS467="sim", 'Ações'!BF467="sim"), 1, 0)
</f>
        <v>0</v>
      </c>
      <c r="J458" s="319">
        <f>IF(AND('Ações'!AS467="sim", 'Ações'!BG467="sim"), 1, 0)
</f>
        <v>0</v>
      </c>
      <c r="K458" s="319">
        <f>IF(AND('Ações'!AS467="sim", 'Ações'!BH467="sim"), 1, 0)
</f>
        <v>0</v>
      </c>
      <c r="L458" s="319">
        <f>IF(AND('Ações'!AS467="sim", 'Ações'!BI467="sim"), 1, 0)
</f>
        <v>1</v>
      </c>
      <c r="M458" s="319">
        <f>IF(AND('Ações'!AT467="sim", 'Ações'!BD467="sim"), 1, 0)
</f>
        <v>0</v>
      </c>
      <c r="N458" s="319">
        <f>IF(AND('Ações'!AT467="sim", 'Ações'!BF467="sim"), 1, 0)
</f>
        <v>0</v>
      </c>
      <c r="O458" s="319">
        <f>IF(AND('Ações'!AT467="sim", 'Ações'!BG467="sim"), 1, 0)
</f>
        <v>0</v>
      </c>
      <c r="P458" s="319">
        <f>IF(AND('Ações'!AT467="sim", 'Ações'!BH467="sim"), 1, 0)
</f>
        <v>0</v>
      </c>
      <c r="Q458" s="319">
        <f>IF(AND('Ações'!AT467="sim", 'Ações'!BI467="sim"), 1, 0)
</f>
        <v>1</v>
      </c>
      <c r="R458" s="319">
        <f>IF(AND('Ações'!AU467="sim", 'Ações'!BD467="sim"), 1, 0)
</f>
        <v>0</v>
      </c>
      <c r="S458" s="319">
        <f>IF(AND('Ações'!AU467="sim", 'Ações'!BE467="sim"), 1, 0)
</f>
        <v>0</v>
      </c>
      <c r="T458" s="319">
        <f>IF(AND('Ações'!AU467="sim", 'Ações'!BG467="sim"), 1, 0)
</f>
        <v>0</v>
      </c>
      <c r="U458" s="319">
        <f>IF(AND('Ações'!AU467="sim", 'Ações'!BH467="sim"), 1, 0)
</f>
        <v>0</v>
      </c>
      <c r="V458" s="319">
        <f>IF(AND('Ações'!AU467="sim", 'Ações'!BI467="sim"), 1, 0)
</f>
        <v>1</v>
      </c>
      <c r="W458" s="319">
        <f>IF(AND('Ações'!AV467="sim", 'Ações'!BD467="sim"), 1, 0)
</f>
        <v>0</v>
      </c>
      <c r="X458" s="319">
        <f>IF(AND('Ações'!AV467="sim", 'Ações'!BE467="sim"), 1, 0)
</f>
        <v>0</v>
      </c>
      <c r="Y458" s="319">
        <f>IF(AND('Ações'!AV467="sim", 'Ações'!BF467="sim"), 1, 0)
</f>
        <v>0</v>
      </c>
      <c r="Z458" s="319">
        <f>IF(AND('Ações'!AV467="sim", 'Ações'!BH467="sim"), 1, 0)
</f>
        <v>0</v>
      </c>
      <c r="AA458" s="319">
        <f>IF(AND('Ações'!AV467="sim", 'Ações'!BI467="sim"), 1, 0)
</f>
        <v>1</v>
      </c>
      <c r="AB458" s="319">
        <f>IF(AND('Ações'!AW467="sim", 'Ações'!BD467="sim"), 1, 0)
</f>
        <v>0</v>
      </c>
      <c r="AC458" s="319">
        <f>IF(AND('Ações'!AW467="sim", 'Ações'!BE467="sim"), 1, 0)
</f>
        <v>0</v>
      </c>
      <c r="AD458" s="319">
        <f>IF(AND('Ações'!AW467="sim", 'Ações'!BF467="sim"), 1, 0)
</f>
        <v>0</v>
      </c>
      <c r="AE458" s="319">
        <f>IF(AND('Ações'!AW467="sim", 'Ações'!BG467="sim"), 1, 0)
</f>
        <v>0</v>
      </c>
      <c r="AF458" s="319">
        <f>IF(AND('Ações'!AW467="sim", 'Ações'!BI467="sim"), 1, 0)
</f>
        <v>1</v>
      </c>
      <c r="AG458" s="319">
        <f>IF(AND('Ações'!AX467="sim", 'Ações'!BD467="sim"), 1, 0)
</f>
        <v>0</v>
      </c>
      <c r="AH458" s="319">
        <f>IF(AND('Ações'!AX467="sim", 'Ações'!BE467="sim"), 1, 0)
</f>
        <v>0</v>
      </c>
      <c r="AI458" s="319">
        <f>IF(AND('Ações'!AX467="sim", 'Ações'!BF467="sim"), 1, 0)
</f>
        <v>0</v>
      </c>
      <c r="AJ458" s="319">
        <f>IF(AND('Ações'!AX467="sim", 'Ações'!BG467="sim"), 1, 0)
</f>
        <v>0</v>
      </c>
      <c r="AK458" s="319">
        <f>IF(AND('Ações'!AX467="sim", 'Ações'!BH467="sim"), 1, 0)
</f>
        <v>0</v>
      </c>
    </row>
    <row r="459">
      <c r="B459" s="319">
        <f>IF(AND('Ações'!AS468="sim", 'Ações'!BD468="sim"), 1, 0)
</f>
        <v>1</v>
      </c>
      <c r="C459" s="319">
        <f>IF(AND('Ações'!AT468="sim", 'Ações'!BE468="sim"), 1, 0)
</f>
        <v>0</v>
      </c>
      <c r="D459" s="319">
        <f>IF(AND('Ações'!AU468="sim", 'Ações'!BF468="sim"), 1, 0)
</f>
        <v>0</v>
      </c>
      <c r="E459" s="319">
        <f>IF(AND('Ações'!AV468="sim", 'Ações'!BG468="sim"), 1, 0)
</f>
        <v>0</v>
      </c>
      <c r="F459" s="319">
        <f>IF(AND('Ações'!AW468="sim", 'Ações'!BH468="sim"), 1, 0)
</f>
        <v>0</v>
      </c>
      <c r="G459" s="319">
        <f>IF(AND('Ações'!AX468="sim", 'Ações'!BI468="sim"), 1, 0)
</f>
        <v>0</v>
      </c>
      <c r="H459" s="319">
        <f>IF(AND('Ações'!AS468="sim", 'Ações'!BE468="sim"), 1, 0)
</f>
        <v>0</v>
      </c>
      <c r="I459" s="319">
        <f>IF(AND('Ações'!AS468="sim", 'Ações'!BF468="sim"), 1, 0)
</f>
        <v>0</v>
      </c>
      <c r="J459" s="319">
        <f>IF(AND('Ações'!AS468="sim", 'Ações'!BG468="sim"), 1, 0)
</f>
        <v>0</v>
      </c>
      <c r="K459" s="319">
        <f>IF(AND('Ações'!AS468="sim", 'Ações'!BH468="sim"), 1, 0)
</f>
        <v>0</v>
      </c>
      <c r="L459" s="319">
        <f>IF(AND('Ações'!AS468="sim", 'Ações'!BI468="sim"), 1, 0)
</f>
        <v>0</v>
      </c>
      <c r="M459" s="319">
        <f>IF(AND('Ações'!AT468="sim", 'Ações'!BD468="sim"), 1, 0)
</f>
        <v>1</v>
      </c>
      <c r="N459" s="319">
        <f>IF(AND('Ações'!AT468="sim", 'Ações'!BF468="sim"), 1, 0)
</f>
        <v>0</v>
      </c>
      <c r="O459" s="319">
        <f>IF(AND('Ações'!AT468="sim", 'Ações'!BG468="sim"), 1, 0)
</f>
        <v>0</v>
      </c>
      <c r="P459" s="319">
        <f>IF(AND('Ações'!AT468="sim", 'Ações'!BH468="sim"), 1, 0)
</f>
        <v>0</v>
      </c>
      <c r="Q459" s="319">
        <f>IF(AND('Ações'!AT468="sim", 'Ações'!BI468="sim"), 1, 0)
</f>
        <v>0</v>
      </c>
      <c r="R459" s="319">
        <f>IF(AND('Ações'!AU468="sim", 'Ações'!BD468="sim"), 1, 0)
</f>
        <v>1</v>
      </c>
      <c r="S459" s="319">
        <f>IF(AND('Ações'!AU468="sim", 'Ações'!BE468="sim"), 1, 0)
</f>
        <v>0</v>
      </c>
      <c r="T459" s="319">
        <f>IF(AND('Ações'!AU468="sim", 'Ações'!BG468="sim"), 1, 0)
</f>
        <v>0</v>
      </c>
      <c r="U459" s="319">
        <f>IF(AND('Ações'!AU468="sim", 'Ações'!BH468="sim"), 1, 0)
</f>
        <v>0</v>
      </c>
      <c r="V459" s="319">
        <f>IF(AND('Ações'!AU468="sim", 'Ações'!BI468="sim"), 1, 0)
</f>
        <v>0</v>
      </c>
      <c r="W459" s="319">
        <f>IF(AND('Ações'!AV468="sim", 'Ações'!BD468="sim"), 1, 0)
</f>
        <v>1</v>
      </c>
      <c r="X459" s="319">
        <f>IF(AND('Ações'!AV468="sim", 'Ações'!BE468="sim"), 1, 0)
</f>
        <v>0</v>
      </c>
      <c r="Y459" s="319">
        <f>IF(AND('Ações'!AV468="sim", 'Ações'!BF468="sim"), 1, 0)
</f>
        <v>0</v>
      </c>
      <c r="Z459" s="319">
        <f>IF(AND('Ações'!AV468="sim", 'Ações'!BH468="sim"), 1, 0)
</f>
        <v>0</v>
      </c>
      <c r="AA459" s="319">
        <f>IF(AND('Ações'!AV468="sim", 'Ações'!BI468="sim"), 1, 0)
</f>
        <v>0</v>
      </c>
      <c r="AB459" s="319">
        <f>IF(AND('Ações'!AW468="sim", 'Ações'!BD468="sim"), 1, 0)
</f>
        <v>1</v>
      </c>
      <c r="AC459" s="319">
        <f>IF(AND('Ações'!AW468="sim", 'Ações'!BE468="sim"), 1, 0)
</f>
        <v>0</v>
      </c>
      <c r="AD459" s="319">
        <f>IF(AND('Ações'!AW468="sim", 'Ações'!BF468="sim"), 1, 0)
</f>
        <v>0</v>
      </c>
      <c r="AE459" s="319">
        <f>IF(AND('Ações'!AW468="sim", 'Ações'!BG468="sim"), 1, 0)
</f>
        <v>0</v>
      </c>
      <c r="AF459" s="319">
        <f>IF(AND('Ações'!AW468="sim", 'Ações'!BI468="sim"), 1, 0)
</f>
        <v>0</v>
      </c>
      <c r="AG459" s="319">
        <f>IF(AND('Ações'!AX468="sim", 'Ações'!BD468="sim"), 1, 0)
</f>
        <v>1</v>
      </c>
      <c r="AH459" s="319">
        <f>IF(AND('Ações'!AX468="sim", 'Ações'!BE468="sim"), 1, 0)
</f>
        <v>0</v>
      </c>
      <c r="AI459" s="319">
        <f>IF(AND('Ações'!AX468="sim", 'Ações'!BF468="sim"), 1, 0)
</f>
        <v>0</v>
      </c>
      <c r="AJ459" s="319">
        <f>IF(AND('Ações'!AX468="sim", 'Ações'!BG468="sim"), 1, 0)
</f>
        <v>0</v>
      </c>
      <c r="AK459" s="319">
        <f>IF(AND('Ações'!AX468="sim", 'Ações'!BH468="sim"), 1, 0)
</f>
        <v>0</v>
      </c>
    </row>
    <row r="460">
      <c r="B460" s="319">
        <f>IF(AND('Ações'!AS469="sim", 'Ações'!BD469="sim"), 1, 0)
</f>
        <v>1</v>
      </c>
      <c r="C460" s="319">
        <f>IF(AND('Ações'!AT469="sim", 'Ações'!BE469="sim"), 1, 0)
</f>
        <v>0</v>
      </c>
      <c r="D460" s="319">
        <f>IF(AND('Ações'!AU469="sim", 'Ações'!BF469="sim"), 1, 0)
</f>
        <v>0</v>
      </c>
      <c r="E460" s="319">
        <f>IF(AND('Ações'!AV469="sim", 'Ações'!BG469="sim"), 1, 0)
</f>
        <v>0</v>
      </c>
      <c r="F460" s="319">
        <f>IF(AND('Ações'!AW469="sim", 'Ações'!BH469="sim"), 1, 0)
</f>
        <v>0</v>
      </c>
      <c r="G460" s="319">
        <f>IF(AND('Ações'!AX469="sim", 'Ações'!BI469="sim"), 1, 0)
</f>
        <v>0</v>
      </c>
      <c r="H460" s="319">
        <f>IF(AND('Ações'!AS469="sim", 'Ações'!BE469="sim"), 1, 0)
</f>
        <v>0</v>
      </c>
      <c r="I460" s="319">
        <f>IF(AND('Ações'!AS469="sim", 'Ações'!BF469="sim"), 1, 0)
</f>
        <v>0</v>
      </c>
      <c r="J460" s="319">
        <f>IF(AND('Ações'!AS469="sim", 'Ações'!BG469="sim"), 1, 0)
</f>
        <v>0</v>
      </c>
      <c r="K460" s="319">
        <f>IF(AND('Ações'!AS469="sim", 'Ações'!BH469="sim"), 1, 0)
</f>
        <v>0</v>
      </c>
      <c r="L460" s="319">
        <f>IF(AND('Ações'!AS469="sim", 'Ações'!BI469="sim"), 1, 0)
</f>
        <v>0</v>
      </c>
      <c r="M460" s="319">
        <f>IF(AND('Ações'!AT469="sim", 'Ações'!BD469="sim"), 1, 0)
</f>
        <v>1</v>
      </c>
      <c r="N460" s="319">
        <f>IF(AND('Ações'!AT469="sim", 'Ações'!BF469="sim"), 1, 0)
</f>
        <v>0</v>
      </c>
      <c r="O460" s="319">
        <f>IF(AND('Ações'!AT469="sim", 'Ações'!BG469="sim"), 1, 0)
</f>
        <v>0</v>
      </c>
      <c r="P460" s="319">
        <f>IF(AND('Ações'!AT469="sim", 'Ações'!BH469="sim"), 1, 0)
</f>
        <v>0</v>
      </c>
      <c r="Q460" s="319">
        <f>IF(AND('Ações'!AT469="sim", 'Ações'!BI469="sim"), 1, 0)
</f>
        <v>0</v>
      </c>
      <c r="R460" s="319">
        <f>IF(AND('Ações'!AU469="sim", 'Ações'!BD469="sim"), 1, 0)
</f>
        <v>1</v>
      </c>
      <c r="S460" s="319">
        <f>IF(AND('Ações'!AU469="sim", 'Ações'!BE469="sim"), 1, 0)
</f>
        <v>0</v>
      </c>
      <c r="T460" s="319">
        <f>IF(AND('Ações'!AU469="sim", 'Ações'!BG469="sim"), 1, 0)
</f>
        <v>0</v>
      </c>
      <c r="U460" s="319">
        <f>IF(AND('Ações'!AU469="sim", 'Ações'!BH469="sim"), 1, 0)
</f>
        <v>0</v>
      </c>
      <c r="V460" s="319">
        <f>IF(AND('Ações'!AU469="sim", 'Ações'!BI469="sim"), 1, 0)
</f>
        <v>0</v>
      </c>
      <c r="W460" s="319">
        <f>IF(AND('Ações'!AV469="sim", 'Ações'!BD469="sim"), 1, 0)
</f>
        <v>1</v>
      </c>
      <c r="X460" s="319">
        <f>IF(AND('Ações'!AV469="sim", 'Ações'!BE469="sim"), 1, 0)
</f>
        <v>0</v>
      </c>
      <c r="Y460" s="319">
        <f>IF(AND('Ações'!AV469="sim", 'Ações'!BF469="sim"), 1, 0)
</f>
        <v>0</v>
      </c>
      <c r="Z460" s="319">
        <f>IF(AND('Ações'!AV469="sim", 'Ações'!BH469="sim"), 1, 0)
</f>
        <v>0</v>
      </c>
      <c r="AA460" s="319">
        <f>IF(AND('Ações'!AV469="sim", 'Ações'!BI469="sim"), 1, 0)
</f>
        <v>0</v>
      </c>
      <c r="AB460" s="319">
        <f>IF(AND('Ações'!AW469="sim", 'Ações'!BD469="sim"), 1, 0)
</f>
        <v>1</v>
      </c>
      <c r="AC460" s="319">
        <f>IF(AND('Ações'!AW469="sim", 'Ações'!BE469="sim"), 1, 0)
</f>
        <v>0</v>
      </c>
      <c r="AD460" s="319">
        <f>IF(AND('Ações'!AW469="sim", 'Ações'!BF469="sim"), 1, 0)
</f>
        <v>0</v>
      </c>
      <c r="AE460" s="319">
        <f>IF(AND('Ações'!AW469="sim", 'Ações'!BG469="sim"), 1, 0)
</f>
        <v>0</v>
      </c>
      <c r="AF460" s="319">
        <f>IF(AND('Ações'!AW469="sim", 'Ações'!BI469="sim"), 1, 0)
</f>
        <v>0</v>
      </c>
      <c r="AG460" s="319">
        <f>IF(AND('Ações'!AX469="sim", 'Ações'!BD469="sim"), 1, 0)
</f>
        <v>1</v>
      </c>
      <c r="AH460" s="319">
        <f>IF(AND('Ações'!AX469="sim", 'Ações'!BE469="sim"), 1, 0)
</f>
        <v>0</v>
      </c>
      <c r="AI460" s="319">
        <f>IF(AND('Ações'!AX469="sim", 'Ações'!BF469="sim"), 1, 0)
</f>
        <v>0</v>
      </c>
      <c r="AJ460" s="319">
        <f>IF(AND('Ações'!AX469="sim", 'Ações'!BG469="sim"), 1, 0)
</f>
        <v>0</v>
      </c>
      <c r="AK460" s="319">
        <f>IF(AND('Ações'!AX469="sim", 'Ações'!BH469="sim"), 1, 0)
</f>
        <v>0</v>
      </c>
    </row>
    <row r="461">
      <c r="B461" s="319">
        <f>IF(AND('Ações'!AS470="sim", 'Ações'!BD470="sim"), 1, 0)
</f>
        <v>1</v>
      </c>
      <c r="C461" s="319">
        <f>IF(AND('Ações'!AT470="sim", 'Ações'!BE470="sim"), 1, 0)
</f>
        <v>0</v>
      </c>
      <c r="D461" s="319">
        <f>IF(AND('Ações'!AU470="sim", 'Ações'!BF470="sim"), 1, 0)
</f>
        <v>0</v>
      </c>
      <c r="E461" s="319">
        <f>IF(AND('Ações'!AV470="sim", 'Ações'!BG470="sim"), 1, 0)
</f>
        <v>0</v>
      </c>
      <c r="F461" s="319">
        <f>IF(AND('Ações'!AW470="sim", 'Ações'!BH470="sim"), 1, 0)
</f>
        <v>0</v>
      </c>
      <c r="G461" s="319">
        <f>IF(AND('Ações'!AX470="sim", 'Ações'!BI470="sim"), 1, 0)
</f>
        <v>0</v>
      </c>
      <c r="H461" s="319">
        <f>IF(AND('Ações'!AS470="sim", 'Ações'!BE470="sim"), 1, 0)
</f>
        <v>0</v>
      </c>
      <c r="I461" s="319">
        <f>IF(AND('Ações'!AS470="sim", 'Ações'!BF470="sim"), 1, 0)
</f>
        <v>0</v>
      </c>
      <c r="J461" s="319">
        <f>IF(AND('Ações'!AS470="sim", 'Ações'!BG470="sim"), 1, 0)
</f>
        <v>0</v>
      </c>
      <c r="K461" s="319">
        <f>IF(AND('Ações'!AS470="sim", 'Ações'!BH470="sim"), 1, 0)
</f>
        <v>0</v>
      </c>
      <c r="L461" s="319">
        <f>IF(AND('Ações'!AS470="sim", 'Ações'!BI470="sim"), 1, 0)
</f>
        <v>0</v>
      </c>
      <c r="M461" s="319">
        <f>IF(AND('Ações'!AT470="sim", 'Ações'!BD470="sim"), 1, 0)
</f>
        <v>1</v>
      </c>
      <c r="N461" s="319">
        <f>IF(AND('Ações'!AT470="sim", 'Ações'!BF470="sim"), 1, 0)
</f>
        <v>0</v>
      </c>
      <c r="O461" s="319">
        <f>IF(AND('Ações'!AT470="sim", 'Ações'!BG470="sim"), 1, 0)
</f>
        <v>0</v>
      </c>
      <c r="P461" s="319">
        <f>IF(AND('Ações'!AT470="sim", 'Ações'!BH470="sim"), 1, 0)
</f>
        <v>0</v>
      </c>
      <c r="Q461" s="319">
        <f>IF(AND('Ações'!AT470="sim", 'Ações'!BI470="sim"), 1, 0)
</f>
        <v>0</v>
      </c>
      <c r="R461" s="319">
        <f>IF(AND('Ações'!AU470="sim", 'Ações'!BD470="sim"), 1, 0)
</f>
        <v>1</v>
      </c>
      <c r="S461" s="319">
        <f>IF(AND('Ações'!AU470="sim", 'Ações'!BE470="sim"), 1, 0)
</f>
        <v>0</v>
      </c>
      <c r="T461" s="319">
        <f>IF(AND('Ações'!AU470="sim", 'Ações'!BG470="sim"), 1, 0)
</f>
        <v>0</v>
      </c>
      <c r="U461" s="319">
        <f>IF(AND('Ações'!AU470="sim", 'Ações'!BH470="sim"), 1, 0)
</f>
        <v>0</v>
      </c>
      <c r="V461" s="319">
        <f>IF(AND('Ações'!AU470="sim", 'Ações'!BI470="sim"), 1, 0)
</f>
        <v>0</v>
      </c>
      <c r="W461" s="319">
        <f>IF(AND('Ações'!AV470="sim", 'Ações'!BD470="sim"), 1, 0)
</f>
        <v>1</v>
      </c>
      <c r="X461" s="319">
        <f>IF(AND('Ações'!AV470="sim", 'Ações'!BE470="sim"), 1, 0)
</f>
        <v>0</v>
      </c>
      <c r="Y461" s="319">
        <f>IF(AND('Ações'!AV470="sim", 'Ações'!BF470="sim"), 1, 0)
</f>
        <v>0</v>
      </c>
      <c r="Z461" s="319">
        <f>IF(AND('Ações'!AV470="sim", 'Ações'!BH470="sim"), 1, 0)
</f>
        <v>0</v>
      </c>
      <c r="AA461" s="319">
        <f>IF(AND('Ações'!AV470="sim", 'Ações'!BI470="sim"), 1, 0)
</f>
        <v>0</v>
      </c>
      <c r="AB461" s="319">
        <f>IF(AND('Ações'!AW470="sim", 'Ações'!BD470="sim"), 1, 0)
</f>
        <v>1</v>
      </c>
      <c r="AC461" s="319">
        <f>IF(AND('Ações'!AW470="sim", 'Ações'!BE470="sim"), 1, 0)
</f>
        <v>0</v>
      </c>
      <c r="AD461" s="319">
        <f>IF(AND('Ações'!AW470="sim", 'Ações'!BF470="sim"), 1, 0)
</f>
        <v>0</v>
      </c>
      <c r="AE461" s="319">
        <f>IF(AND('Ações'!AW470="sim", 'Ações'!BG470="sim"), 1, 0)
</f>
        <v>0</v>
      </c>
      <c r="AF461" s="319">
        <f>IF(AND('Ações'!AW470="sim", 'Ações'!BI470="sim"), 1, 0)
</f>
        <v>0</v>
      </c>
      <c r="AG461" s="319">
        <f>IF(AND('Ações'!AX470="sim", 'Ações'!BD470="sim"), 1, 0)
</f>
        <v>1</v>
      </c>
      <c r="AH461" s="319">
        <f>IF(AND('Ações'!AX470="sim", 'Ações'!BE470="sim"), 1, 0)
</f>
        <v>0</v>
      </c>
      <c r="AI461" s="319">
        <f>IF(AND('Ações'!AX470="sim", 'Ações'!BF470="sim"), 1, 0)
</f>
        <v>0</v>
      </c>
      <c r="AJ461" s="319">
        <f>IF(AND('Ações'!AX470="sim", 'Ações'!BG470="sim"), 1, 0)
</f>
        <v>0</v>
      </c>
      <c r="AK461" s="319">
        <f>IF(AND('Ações'!AX470="sim", 'Ações'!BH470="sim"), 1, 0)
</f>
        <v>0</v>
      </c>
    </row>
    <row r="462">
      <c r="B462" s="319">
        <f>IF(AND('Ações'!AS471="sim", 'Ações'!BD471="sim"), 1, 0)
</f>
        <v>1</v>
      </c>
      <c r="C462" s="319">
        <f>IF(AND('Ações'!AT471="sim", 'Ações'!BE471="sim"), 1, 0)
</f>
        <v>0</v>
      </c>
      <c r="D462" s="319">
        <f>IF(AND('Ações'!AU471="sim", 'Ações'!BF471="sim"), 1, 0)
</f>
        <v>0</v>
      </c>
      <c r="E462" s="319">
        <f>IF(AND('Ações'!AV471="sim", 'Ações'!BG471="sim"), 1, 0)
</f>
        <v>0</v>
      </c>
      <c r="F462" s="319">
        <f>IF(AND('Ações'!AW471="sim", 'Ações'!BH471="sim"), 1, 0)
</f>
        <v>0</v>
      </c>
      <c r="G462" s="319">
        <f>IF(AND('Ações'!AX471="sim", 'Ações'!BI471="sim"), 1, 0)
</f>
        <v>0</v>
      </c>
      <c r="H462" s="319">
        <f>IF(AND('Ações'!AS471="sim", 'Ações'!BE471="sim"), 1, 0)
</f>
        <v>0</v>
      </c>
      <c r="I462" s="319">
        <f>IF(AND('Ações'!AS471="sim", 'Ações'!BF471="sim"), 1, 0)
</f>
        <v>0</v>
      </c>
      <c r="J462" s="319">
        <f>IF(AND('Ações'!AS471="sim", 'Ações'!BG471="sim"), 1, 0)
</f>
        <v>0</v>
      </c>
      <c r="K462" s="319">
        <f>IF(AND('Ações'!AS471="sim", 'Ações'!BH471="sim"), 1, 0)
</f>
        <v>0</v>
      </c>
      <c r="L462" s="319">
        <f>IF(AND('Ações'!AS471="sim", 'Ações'!BI471="sim"), 1, 0)
</f>
        <v>0</v>
      </c>
      <c r="M462" s="319">
        <f>IF(AND('Ações'!AT471="sim", 'Ações'!BD471="sim"), 1, 0)
</f>
        <v>1</v>
      </c>
      <c r="N462" s="319">
        <f>IF(AND('Ações'!AT471="sim", 'Ações'!BF471="sim"), 1, 0)
</f>
        <v>0</v>
      </c>
      <c r="O462" s="319">
        <f>IF(AND('Ações'!AT471="sim", 'Ações'!BG471="sim"), 1, 0)
</f>
        <v>0</v>
      </c>
      <c r="P462" s="319">
        <f>IF(AND('Ações'!AT471="sim", 'Ações'!BH471="sim"), 1, 0)
</f>
        <v>0</v>
      </c>
      <c r="Q462" s="319">
        <f>IF(AND('Ações'!AT471="sim", 'Ações'!BI471="sim"), 1, 0)
</f>
        <v>0</v>
      </c>
      <c r="R462" s="319">
        <f>IF(AND('Ações'!AU471="sim", 'Ações'!BD471="sim"), 1, 0)
</f>
        <v>1</v>
      </c>
      <c r="S462" s="319">
        <f>IF(AND('Ações'!AU471="sim", 'Ações'!BE471="sim"), 1, 0)
</f>
        <v>0</v>
      </c>
      <c r="T462" s="319">
        <f>IF(AND('Ações'!AU471="sim", 'Ações'!BG471="sim"), 1, 0)
</f>
        <v>0</v>
      </c>
      <c r="U462" s="319">
        <f>IF(AND('Ações'!AU471="sim", 'Ações'!BH471="sim"), 1, 0)
</f>
        <v>0</v>
      </c>
      <c r="V462" s="319">
        <f>IF(AND('Ações'!AU471="sim", 'Ações'!BI471="sim"), 1, 0)
</f>
        <v>0</v>
      </c>
      <c r="W462" s="319">
        <f>IF(AND('Ações'!AV471="sim", 'Ações'!BD471="sim"), 1, 0)
</f>
        <v>1</v>
      </c>
      <c r="X462" s="319">
        <f>IF(AND('Ações'!AV471="sim", 'Ações'!BE471="sim"), 1, 0)
</f>
        <v>0</v>
      </c>
      <c r="Y462" s="319">
        <f>IF(AND('Ações'!AV471="sim", 'Ações'!BF471="sim"), 1, 0)
</f>
        <v>0</v>
      </c>
      <c r="Z462" s="319">
        <f>IF(AND('Ações'!AV471="sim", 'Ações'!BH471="sim"), 1, 0)
</f>
        <v>0</v>
      </c>
      <c r="AA462" s="319">
        <f>IF(AND('Ações'!AV471="sim", 'Ações'!BI471="sim"), 1, 0)
</f>
        <v>0</v>
      </c>
      <c r="AB462" s="319">
        <f>IF(AND('Ações'!AW471="sim", 'Ações'!BD471="sim"), 1, 0)
</f>
        <v>1</v>
      </c>
      <c r="AC462" s="319">
        <f>IF(AND('Ações'!AW471="sim", 'Ações'!BE471="sim"), 1, 0)
</f>
        <v>0</v>
      </c>
      <c r="AD462" s="319">
        <f>IF(AND('Ações'!AW471="sim", 'Ações'!BF471="sim"), 1, 0)
</f>
        <v>0</v>
      </c>
      <c r="AE462" s="319">
        <f>IF(AND('Ações'!AW471="sim", 'Ações'!BG471="sim"), 1, 0)
</f>
        <v>0</v>
      </c>
      <c r="AF462" s="319">
        <f>IF(AND('Ações'!AW471="sim", 'Ações'!BI471="sim"), 1, 0)
</f>
        <v>0</v>
      </c>
      <c r="AG462" s="319">
        <f>IF(AND('Ações'!AX471="sim", 'Ações'!BD471="sim"), 1, 0)
</f>
        <v>1</v>
      </c>
      <c r="AH462" s="319">
        <f>IF(AND('Ações'!AX471="sim", 'Ações'!BE471="sim"), 1, 0)
</f>
        <v>0</v>
      </c>
      <c r="AI462" s="319">
        <f>IF(AND('Ações'!AX471="sim", 'Ações'!BF471="sim"), 1, 0)
</f>
        <v>0</v>
      </c>
      <c r="AJ462" s="319">
        <f>IF(AND('Ações'!AX471="sim", 'Ações'!BG471="sim"), 1, 0)
</f>
        <v>0</v>
      </c>
      <c r="AK462" s="319">
        <f>IF(AND('Ações'!AX471="sim", 'Ações'!BH471="sim"), 1, 0)
</f>
        <v>0</v>
      </c>
    </row>
    <row r="463">
      <c r="B463" s="319">
        <f>IF(AND('Ações'!AS472="sim", 'Ações'!BD472="sim"), 1, 0)
</f>
        <v>1</v>
      </c>
      <c r="C463" s="319">
        <f>IF(AND('Ações'!AT472="sim", 'Ações'!BE472="sim"), 1, 0)
</f>
        <v>0</v>
      </c>
      <c r="D463" s="319">
        <f>IF(AND('Ações'!AU472="sim", 'Ações'!BF472="sim"), 1, 0)
</f>
        <v>0</v>
      </c>
      <c r="E463" s="319">
        <f>IF(AND('Ações'!AV472="sim", 'Ações'!BG472="sim"), 1, 0)
</f>
        <v>0</v>
      </c>
      <c r="F463" s="319">
        <f>IF(AND('Ações'!AW472="sim", 'Ações'!BH472="sim"), 1, 0)
</f>
        <v>0</v>
      </c>
      <c r="G463" s="319">
        <f>IF(AND('Ações'!AX472="sim", 'Ações'!BI472="sim"), 1, 0)
</f>
        <v>0</v>
      </c>
      <c r="H463" s="319">
        <f>IF(AND('Ações'!AS472="sim", 'Ações'!BE472="sim"), 1, 0)
</f>
        <v>0</v>
      </c>
      <c r="I463" s="319">
        <f>IF(AND('Ações'!AS472="sim", 'Ações'!BF472="sim"), 1, 0)
</f>
        <v>0</v>
      </c>
      <c r="J463" s="319">
        <f>IF(AND('Ações'!AS472="sim", 'Ações'!BG472="sim"), 1, 0)
</f>
        <v>0</v>
      </c>
      <c r="K463" s="319">
        <f>IF(AND('Ações'!AS472="sim", 'Ações'!BH472="sim"), 1, 0)
</f>
        <v>0</v>
      </c>
      <c r="L463" s="319">
        <f>IF(AND('Ações'!AS472="sim", 'Ações'!BI472="sim"), 1, 0)
</f>
        <v>0</v>
      </c>
      <c r="M463" s="319">
        <f>IF(AND('Ações'!AT472="sim", 'Ações'!BD472="sim"), 1, 0)
</f>
        <v>1</v>
      </c>
      <c r="N463" s="319">
        <f>IF(AND('Ações'!AT472="sim", 'Ações'!BF472="sim"), 1, 0)
</f>
        <v>0</v>
      </c>
      <c r="O463" s="319">
        <f>IF(AND('Ações'!AT472="sim", 'Ações'!BG472="sim"), 1, 0)
</f>
        <v>0</v>
      </c>
      <c r="P463" s="319">
        <f>IF(AND('Ações'!AT472="sim", 'Ações'!BH472="sim"), 1, 0)
</f>
        <v>0</v>
      </c>
      <c r="Q463" s="319">
        <f>IF(AND('Ações'!AT472="sim", 'Ações'!BI472="sim"), 1, 0)
</f>
        <v>0</v>
      </c>
      <c r="R463" s="319">
        <f>IF(AND('Ações'!AU472="sim", 'Ações'!BD472="sim"), 1, 0)
</f>
        <v>1</v>
      </c>
      <c r="S463" s="319">
        <f>IF(AND('Ações'!AU472="sim", 'Ações'!BE472="sim"), 1, 0)
</f>
        <v>0</v>
      </c>
      <c r="T463" s="319">
        <f>IF(AND('Ações'!AU472="sim", 'Ações'!BG472="sim"), 1, 0)
</f>
        <v>0</v>
      </c>
      <c r="U463" s="319">
        <f>IF(AND('Ações'!AU472="sim", 'Ações'!BH472="sim"), 1, 0)
</f>
        <v>0</v>
      </c>
      <c r="V463" s="319">
        <f>IF(AND('Ações'!AU472="sim", 'Ações'!BI472="sim"), 1, 0)
</f>
        <v>0</v>
      </c>
      <c r="W463" s="319">
        <f>IF(AND('Ações'!AV472="sim", 'Ações'!BD472="sim"), 1, 0)
</f>
        <v>1</v>
      </c>
      <c r="X463" s="319">
        <f>IF(AND('Ações'!AV472="sim", 'Ações'!BE472="sim"), 1, 0)
</f>
        <v>0</v>
      </c>
      <c r="Y463" s="319">
        <f>IF(AND('Ações'!AV472="sim", 'Ações'!BF472="sim"), 1, 0)
</f>
        <v>0</v>
      </c>
      <c r="Z463" s="319">
        <f>IF(AND('Ações'!AV472="sim", 'Ações'!BH472="sim"), 1, 0)
</f>
        <v>0</v>
      </c>
      <c r="AA463" s="319">
        <f>IF(AND('Ações'!AV472="sim", 'Ações'!BI472="sim"), 1, 0)
</f>
        <v>0</v>
      </c>
      <c r="AB463" s="319">
        <f>IF(AND('Ações'!AW472="sim", 'Ações'!BD472="sim"), 1, 0)
</f>
        <v>1</v>
      </c>
      <c r="AC463" s="319">
        <f>IF(AND('Ações'!AW472="sim", 'Ações'!BE472="sim"), 1, 0)
</f>
        <v>0</v>
      </c>
      <c r="AD463" s="319">
        <f>IF(AND('Ações'!AW472="sim", 'Ações'!BF472="sim"), 1, 0)
</f>
        <v>0</v>
      </c>
      <c r="AE463" s="319">
        <f>IF(AND('Ações'!AW472="sim", 'Ações'!BG472="sim"), 1, 0)
</f>
        <v>0</v>
      </c>
      <c r="AF463" s="319">
        <f>IF(AND('Ações'!AW472="sim", 'Ações'!BI472="sim"), 1, 0)
</f>
        <v>0</v>
      </c>
      <c r="AG463" s="319">
        <f>IF(AND('Ações'!AX472="sim", 'Ações'!BD472="sim"), 1, 0)
</f>
        <v>1</v>
      </c>
      <c r="AH463" s="319">
        <f>IF(AND('Ações'!AX472="sim", 'Ações'!BE472="sim"), 1, 0)
</f>
        <v>0</v>
      </c>
      <c r="AI463" s="319">
        <f>IF(AND('Ações'!AX472="sim", 'Ações'!BF472="sim"), 1, 0)
</f>
        <v>0</v>
      </c>
      <c r="AJ463" s="319">
        <f>IF(AND('Ações'!AX472="sim", 'Ações'!BG472="sim"), 1, 0)
</f>
        <v>0</v>
      </c>
      <c r="AK463" s="319">
        <f>IF(AND('Ações'!AX472="sim", 'Ações'!BH472="sim"), 1, 0)
</f>
        <v>0</v>
      </c>
    </row>
    <row r="464">
      <c r="B464" s="319">
        <f>IF(AND('Ações'!AS473="sim", 'Ações'!BD473="sim"), 1, 0)
</f>
        <v>0</v>
      </c>
      <c r="C464" s="319">
        <f>IF(AND('Ações'!AT473="sim", 'Ações'!BE473="sim"), 1, 0)
</f>
        <v>0</v>
      </c>
      <c r="D464" s="319">
        <f>IF(AND('Ações'!AU473="sim", 'Ações'!BF473="sim"), 1, 0)
</f>
        <v>0</v>
      </c>
      <c r="E464" s="319">
        <f>IF(AND('Ações'!AV473="sim", 'Ações'!BG473="sim"), 1, 0)
</f>
        <v>0</v>
      </c>
      <c r="F464" s="319">
        <f>IF(AND('Ações'!AW473="sim", 'Ações'!BH473="sim"), 1, 0)
</f>
        <v>0</v>
      </c>
      <c r="G464" s="319">
        <f>IF(AND('Ações'!AX473="sim", 'Ações'!BI473="sim"), 1, 0)
</f>
        <v>1</v>
      </c>
      <c r="H464" s="319">
        <f>IF(AND('Ações'!AS473="sim", 'Ações'!BE473="sim"), 1, 0)
</f>
        <v>0</v>
      </c>
      <c r="I464" s="319">
        <f>IF(AND('Ações'!AS473="sim", 'Ações'!BF473="sim"), 1, 0)
</f>
        <v>0</v>
      </c>
      <c r="J464" s="319">
        <f>IF(AND('Ações'!AS473="sim", 'Ações'!BG473="sim"), 1, 0)
</f>
        <v>0</v>
      </c>
      <c r="K464" s="319">
        <f>IF(AND('Ações'!AS473="sim", 'Ações'!BH473="sim"), 1, 0)
</f>
        <v>0</v>
      </c>
      <c r="L464" s="319">
        <f>IF(AND('Ações'!AS473="sim", 'Ações'!BI473="sim"), 1, 0)
</f>
        <v>1</v>
      </c>
      <c r="M464" s="319">
        <f>IF(AND('Ações'!AT473="sim", 'Ações'!BD473="sim"), 1, 0)
</f>
        <v>0</v>
      </c>
      <c r="N464" s="319">
        <f>IF(AND('Ações'!AT473="sim", 'Ações'!BF473="sim"), 1, 0)
</f>
        <v>0</v>
      </c>
      <c r="O464" s="319">
        <f>IF(AND('Ações'!AT473="sim", 'Ações'!BG473="sim"), 1, 0)
</f>
        <v>0</v>
      </c>
      <c r="P464" s="319">
        <f>IF(AND('Ações'!AT473="sim", 'Ações'!BH473="sim"), 1, 0)
</f>
        <v>0</v>
      </c>
      <c r="Q464" s="319">
        <f>IF(AND('Ações'!AT473="sim", 'Ações'!BI473="sim"), 1, 0)
</f>
        <v>1</v>
      </c>
      <c r="R464" s="319">
        <f>IF(AND('Ações'!AU473="sim", 'Ações'!BD473="sim"), 1, 0)
</f>
        <v>0</v>
      </c>
      <c r="S464" s="319">
        <f>IF(AND('Ações'!AU473="sim", 'Ações'!BE473="sim"), 1, 0)
</f>
        <v>0</v>
      </c>
      <c r="T464" s="319">
        <f>IF(AND('Ações'!AU473="sim", 'Ações'!BG473="sim"), 1, 0)
</f>
        <v>0</v>
      </c>
      <c r="U464" s="319">
        <f>IF(AND('Ações'!AU473="sim", 'Ações'!BH473="sim"), 1, 0)
</f>
        <v>0</v>
      </c>
      <c r="V464" s="319">
        <f>IF(AND('Ações'!AU473="sim", 'Ações'!BI473="sim"), 1, 0)
</f>
        <v>1</v>
      </c>
      <c r="W464" s="319">
        <f>IF(AND('Ações'!AV473="sim", 'Ações'!BD473="sim"), 1, 0)
</f>
        <v>0</v>
      </c>
      <c r="X464" s="319">
        <f>IF(AND('Ações'!AV473="sim", 'Ações'!BE473="sim"), 1, 0)
</f>
        <v>0</v>
      </c>
      <c r="Y464" s="319">
        <f>IF(AND('Ações'!AV473="sim", 'Ações'!BF473="sim"), 1, 0)
</f>
        <v>0</v>
      </c>
      <c r="Z464" s="319">
        <f>IF(AND('Ações'!AV473="sim", 'Ações'!BH473="sim"), 1, 0)
</f>
        <v>0</v>
      </c>
      <c r="AA464" s="319">
        <f>IF(AND('Ações'!AV473="sim", 'Ações'!BI473="sim"), 1, 0)
</f>
        <v>1</v>
      </c>
      <c r="AB464" s="319">
        <f>IF(AND('Ações'!AW473="sim", 'Ações'!BD473="sim"), 1, 0)
</f>
        <v>0</v>
      </c>
      <c r="AC464" s="319">
        <f>IF(AND('Ações'!AW473="sim", 'Ações'!BE473="sim"), 1, 0)
</f>
        <v>0</v>
      </c>
      <c r="AD464" s="319">
        <f>IF(AND('Ações'!AW473="sim", 'Ações'!BF473="sim"), 1, 0)
</f>
        <v>0</v>
      </c>
      <c r="AE464" s="319">
        <f>IF(AND('Ações'!AW473="sim", 'Ações'!BG473="sim"), 1, 0)
</f>
        <v>0</v>
      </c>
      <c r="AF464" s="319">
        <f>IF(AND('Ações'!AW473="sim", 'Ações'!BI473="sim"), 1, 0)
</f>
        <v>1</v>
      </c>
      <c r="AG464" s="319">
        <f>IF(AND('Ações'!AX473="sim", 'Ações'!BD473="sim"), 1, 0)
</f>
        <v>0</v>
      </c>
      <c r="AH464" s="319">
        <f>IF(AND('Ações'!AX473="sim", 'Ações'!BE473="sim"), 1, 0)
</f>
        <v>0</v>
      </c>
      <c r="AI464" s="319">
        <f>IF(AND('Ações'!AX473="sim", 'Ações'!BF473="sim"), 1, 0)
</f>
        <v>0</v>
      </c>
      <c r="AJ464" s="319">
        <f>IF(AND('Ações'!AX473="sim", 'Ações'!BG473="sim"), 1, 0)
</f>
        <v>0</v>
      </c>
      <c r="AK464" s="319">
        <f>IF(AND('Ações'!AX473="sim", 'Ações'!BH473="sim"), 1, 0)
</f>
        <v>0</v>
      </c>
    </row>
    <row r="465">
      <c r="B465" s="319">
        <f>IF(AND('Ações'!AS474="sim", 'Ações'!BD474="sim"), 1, 0)
</f>
        <v>1</v>
      </c>
      <c r="C465" s="319">
        <f>IF(AND('Ações'!AT474="sim", 'Ações'!BE474="sim"), 1, 0)
</f>
        <v>0</v>
      </c>
      <c r="D465" s="319">
        <f>IF(AND('Ações'!AU474="sim", 'Ações'!BF474="sim"), 1, 0)
</f>
        <v>0</v>
      </c>
      <c r="E465" s="319">
        <f>IF(AND('Ações'!AV474="sim", 'Ações'!BG474="sim"), 1, 0)
</f>
        <v>0</v>
      </c>
      <c r="F465" s="319">
        <f>IF(AND('Ações'!AW474="sim", 'Ações'!BH474="sim"), 1, 0)
</f>
        <v>0</v>
      </c>
      <c r="G465" s="319">
        <f>IF(AND('Ações'!AX474="sim", 'Ações'!BI474="sim"), 1, 0)
</f>
        <v>0</v>
      </c>
      <c r="H465" s="319">
        <f>IF(AND('Ações'!AS474="sim", 'Ações'!BE474="sim"), 1, 0)
</f>
        <v>0</v>
      </c>
      <c r="I465" s="319">
        <f>IF(AND('Ações'!AS474="sim", 'Ações'!BF474="sim"), 1, 0)
</f>
        <v>0</v>
      </c>
      <c r="J465" s="319">
        <f>IF(AND('Ações'!AS474="sim", 'Ações'!BG474="sim"), 1, 0)
</f>
        <v>0</v>
      </c>
      <c r="K465" s="319">
        <f>IF(AND('Ações'!AS474="sim", 'Ações'!BH474="sim"), 1, 0)
</f>
        <v>0</v>
      </c>
      <c r="L465" s="319">
        <f>IF(AND('Ações'!AS474="sim", 'Ações'!BI474="sim"), 1, 0)
</f>
        <v>0</v>
      </c>
      <c r="M465" s="319">
        <f>IF(AND('Ações'!AT474="sim", 'Ações'!BD474="sim"), 1, 0)
</f>
        <v>1</v>
      </c>
      <c r="N465" s="319">
        <f>IF(AND('Ações'!AT474="sim", 'Ações'!BF474="sim"), 1, 0)
</f>
        <v>0</v>
      </c>
      <c r="O465" s="319">
        <f>IF(AND('Ações'!AT474="sim", 'Ações'!BG474="sim"), 1, 0)
</f>
        <v>0</v>
      </c>
      <c r="P465" s="319">
        <f>IF(AND('Ações'!AT474="sim", 'Ações'!BH474="sim"), 1, 0)
</f>
        <v>0</v>
      </c>
      <c r="Q465" s="319">
        <f>IF(AND('Ações'!AT474="sim", 'Ações'!BI474="sim"), 1, 0)
</f>
        <v>0</v>
      </c>
      <c r="R465" s="319">
        <f>IF(AND('Ações'!AU474="sim", 'Ações'!BD474="sim"), 1, 0)
</f>
        <v>1</v>
      </c>
      <c r="S465" s="319">
        <f>IF(AND('Ações'!AU474="sim", 'Ações'!BE474="sim"), 1, 0)
</f>
        <v>0</v>
      </c>
      <c r="T465" s="319">
        <f>IF(AND('Ações'!AU474="sim", 'Ações'!BG474="sim"), 1, 0)
</f>
        <v>0</v>
      </c>
      <c r="U465" s="319">
        <f>IF(AND('Ações'!AU474="sim", 'Ações'!BH474="sim"), 1, 0)
</f>
        <v>0</v>
      </c>
      <c r="V465" s="319">
        <f>IF(AND('Ações'!AU474="sim", 'Ações'!BI474="sim"), 1, 0)
</f>
        <v>0</v>
      </c>
      <c r="W465" s="319">
        <f>IF(AND('Ações'!AV474="sim", 'Ações'!BD474="sim"), 1, 0)
</f>
        <v>1</v>
      </c>
      <c r="X465" s="319">
        <f>IF(AND('Ações'!AV474="sim", 'Ações'!BE474="sim"), 1, 0)
</f>
        <v>0</v>
      </c>
      <c r="Y465" s="319">
        <f>IF(AND('Ações'!AV474="sim", 'Ações'!BF474="sim"), 1, 0)
</f>
        <v>0</v>
      </c>
      <c r="Z465" s="319">
        <f>IF(AND('Ações'!AV474="sim", 'Ações'!BH474="sim"), 1, 0)
</f>
        <v>0</v>
      </c>
      <c r="AA465" s="319">
        <f>IF(AND('Ações'!AV474="sim", 'Ações'!BI474="sim"), 1, 0)
</f>
        <v>0</v>
      </c>
      <c r="AB465" s="319">
        <f>IF(AND('Ações'!AW474="sim", 'Ações'!BD474="sim"), 1, 0)
</f>
        <v>1</v>
      </c>
      <c r="AC465" s="319">
        <f>IF(AND('Ações'!AW474="sim", 'Ações'!BE474="sim"), 1, 0)
</f>
        <v>0</v>
      </c>
      <c r="AD465" s="319">
        <f>IF(AND('Ações'!AW474="sim", 'Ações'!BF474="sim"), 1, 0)
</f>
        <v>0</v>
      </c>
      <c r="AE465" s="319">
        <f>IF(AND('Ações'!AW474="sim", 'Ações'!BG474="sim"), 1, 0)
</f>
        <v>0</v>
      </c>
      <c r="AF465" s="319">
        <f>IF(AND('Ações'!AW474="sim", 'Ações'!BI474="sim"), 1, 0)
</f>
        <v>0</v>
      </c>
      <c r="AG465" s="319">
        <f>IF(AND('Ações'!AX474="sim", 'Ações'!BD474="sim"), 1, 0)
</f>
        <v>1</v>
      </c>
      <c r="AH465" s="319">
        <f>IF(AND('Ações'!AX474="sim", 'Ações'!BE474="sim"), 1, 0)
</f>
        <v>0</v>
      </c>
      <c r="AI465" s="319">
        <f>IF(AND('Ações'!AX474="sim", 'Ações'!BF474="sim"), 1, 0)
</f>
        <v>0</v>
      </c>
      <c r="AJ465" s="319">
        <f>IF(AND('Ações'!AX474="sim", 'Ações'!BG474="sim"), 1, 0)
</f>
        <v>0</v>
      </c>
      <c r="AK465" s="319">
        <f>IF(AND('Ações'!AX474="sim", 'Ações'!BH474="sim"), 1, 0)
</f>
        <v>0</v>
      </c>
    </row>
    <row r="466">
      <c r="B466" s="319">
        <f>IF(AND('Ações'!AS475="sim", 'Ações'!BD475="sim"), 1, 0)
</f>
        <v>1</v>
      </c>
      <c r="C466" s="319">
        <f>IF(AND('Ações'!AT475="sim", 'Ações'!BE475="sim"), 1, 0)
</f>
        <v>0</v>
      </c>
      <c r="D466" s="319">
        <f>IF(AND('Ações'!AU475="sim", 'Ações'!BF475="sim"), 1, 0)
</f>
        <v>0</v>
      </c>
      <c r="E466" s="319">
        <f>IF(AND('Ações'!AV475="sim", 'Ações'!BG475="sim"), 1, 0)
</f>
        <v>0</v>
      </c>
      <c r="F466" s="319">
        <f>IF(AND('Ações'!AW475="sim", 'Ações'!BH475="sim"), 1, 0)
</f>
        <v>0</v>
      </c>
      <c r="G466" s="319">
        <f>IF(AND('Ações'!AX475="sim", 'Ações'!BI475="sim"), 1, 0)
</f>
        <v>0</v>
      </c>
      <c r="H466" s="319">
        <f>IF(AND('Ações'!AS475="sim", 'Ações'!BE475="sim"), 1, 0)
</f>
        <v>0</v>
      </c>
      <c r="I466" s="319">
        <f>IF(AND('Ações'!AS475="sim", 'Ações'!BF475="sim"), 1, 0)
</f>
        <v>0</v>
      </c>
      <c r="J466" s="319">
        <f>IF(AND('Ações'!AS475="sim", 'Ações'!BG475="sim"), 1, 0)
</f>
        <v>0</v>
      </c>
      <c r="K466" s="319">
        <f>IF(AND('Ações'!AS475="sim", 'Ações'!BH475="sim"), 1, 0)
</f>
        <v>0</v>
      </c>
      <c r="L466" s="319">
        <f>IF(AND('Ações'!AS475="sim", 'Ações'!BI475="sim"), 1, 0)
</f>
        <v>0</v>
      </c>
      <c r="M466" s="319">
        <f>IF(AND('Ações'!AT475="sim", 'Ações'!BD475="sim"), 1, 0)
</f>
        <v>1</v>
      </c>
      <c r="N466" s="319">
        <f>IF(AND('Ações'!AT475="sim", 'Ações'!BF475="sim"), 1, 0)
</f>
        <v>0</v>
      </c>
      <c r="O466" s="319">
        <f>IF(AND('Ações'!AT475="sim", 'Ações'!BG475="sim"), 1, 0)
</f>
        <v>0</v>
      </c>
      <c r="P466" s="319">
        <f>IF(AND('Ações'!AT475="sim", 'Ações'!BH475="sim"), 1, 0)
</f>
        <v>0</v>
      </c>
      <c r="Q466" s="319">
        <f>IF(AND('Ações'!AT475="sim", 'Ações'!BI475="sim"), 1, 0)
</f>
        <v>0</v>
      </c>
      <c r="R466" s="319">
        <f>IF(AND('Ações'!AU475="sim", 'Ações'!BD475="sim"), 1, 0)
</f>
        <v>1</v>
      </c>
      <c r="S466" s="319">
        <f>IF(AND('Ações'!AU475="sim", 'Ações'!BE475="sim"), 1, 0)
</f>
        <v>0</v>
      </c>
      <c r="T466" s="319">
        <f>IF(AND('Ações'!AU475="sim", 'Ações'!BG475="sim"), 1, 0)
</f>
        <v>0</v>
      </c>
      <c r="U466" s="319">
        <f>IF(AND('Ações'!AU475="sim", 'Ações'!BH475="sim"), 1, 0)
</f>
        <v>0</v>
      </c>
      <c r="V466" s="319">
        <f>IF(AND('Ações'!AU475="sim", 'Ações'!BI475="sim"), 1, 0)
</f>
        <v>0</v>
      </c>
      <c r="W466" s="319">
        <f>IF(AND('Ações'!AV475="sim", 'Ações'!BD475="sim"), 1, 0)
</f>
        <v>1</v>
      </c>
      <c r="X466" s="319">
        <f>IF(AND('Ações'!AV475="sim", 'Ações'!BE475="sim"), 1, 0)
</f>
        <v>0</v>
      </c>
      <c r="Y466" s="319">
        <f>IF(AND('Ações'!AV475="sim", 'Ações'!BF475="sim"), 1, 0)
</f>
        <v>0</v>
      </c>
      <c r="Z466" s="319">
        <f>IF(AND('Ações'!AV475="sim", 'Ações'!BH475="sim"), 1, 0)
</f>
        <v>0</v>
      </c>
      <c r="AA466" s="319">
        <f>IF(AND('Ações'!AV475="sim", 'Ações'!BI475="sim"), 1, 0)
</f>
        <v>0</v>
      </c>
      <c r="AB466" s="319">
        <f>IF(AND('Ações'!AW475="sim", 'Ações'!BD475="sim"), 1, 0)
</f>
        <v>1</v>
      </c>
      <c r="AC466" s="319">
        <f>IF(AND('Ações'!AW475="sim", 'Ações'!BE475="sim"), 1, 0)
</f>
        <v>0</v>
      </c>
      <c r="AD466" s="319">
        <f>IF(AND('Ações'!AW475="sim", 'Ações'!BF475="sim"), 1, 0)
</f>
        <v>0</v>
      </c>
      <c r="AE466" s="319">
        <f>IF(AND('Ações'!AW475="sim", 'Ações'!BG475="sim"), 1, 0)
</f>
        <v>0</v>
      </c>
      <c r="AF466" s="319">
        <f>IF(AND('Ações'!AW475="sim", 'Ações'!BI475="sim"), 1, 0)
</f>
        <v>0</v>
      </c>
      <c r="AG466" s="319">
        <f>IF(AND('Ações'!AX475="sim", 'Ações'!BD475="sim"), 1, 0)
</f>
        <v>1</v>
      </c>
      <c r="AH466" s="319">
        <f>IF(AND('Ações'!AX475="sim", 'Ações'!BE475="sim"), 1, 0)
</f>
        <v>0</v>
      </c>
      <c r="AI466" s="319">
        <f>IF(AND('Ações'!AX475="sim", 'Ações'!BF475="sim"), 1, 0)
</f>
        <v>0</v>
      </c>
      <c r="AJ466" s="319">
        <f>IF(AND('Ações'!AX475="sim", 'Ações'!BG475="sim"), 1, 0)
</f>
        <v>0</v>
      </c>
      <c r="AK466" s="319">
        <f>IF(AND('Ações'!AX475="sim", 'Ações'!BH475="sim"), 1, 0)
</f>
        <v>0</v>
      </c>
    </row>
    <row r="467">
      <c r="B467" s="319">
        <f>IF(AND('Ações'!AS476="sim", 'Ações'!BD476="sim"), 1, 0)
</f>
        <v>1</v>
      </c>
      <c r="C467" s="319">
        <f>IF(AND('Ações'!AT476="sim", 'Ações'!BE476="sim"), 1, 0)
</f>
        <v>0</v>
      </c>
      <c r="D467" s="319">
        <f>IF(AND('Ações'!AU476="sim", 'Ações'!BF476="sim"), 1, 0)
</f>
        <v>0</v>
      </c>
      <c r="E467" s="319">
        <f>IF(AND('Ações'!AV476="sim", 'Ações'!BG476="sim"), 1, 0)
</f>
        <v>0</v>
      </c>
      <c r="F467" s="319">
        <f>IF(AND('Ações'!AW476="sim", 'Ações'!BH476="sim"), 1, 0)
</f>
        <v>0</v>
      </c>
      <c r="G467" s="319">
        <f>IF(AND('Ações'!AX476="sim", 'Ações'!BI476="sim"), 1, 0)
</f>
        <v>1</v>
      </c>
      <c r="H467" s="319">
        <f>IF(AND('Ações'!AS476="sim", 'Ações'!BE476="sim"), 1, 0)
</f>
        <v>0</v>
      </c>
      <c r="I467" s="319">
        <f>IF(AND('Ações'!AS476="sim", 'Ações'!BF476="sim"), 1, 0)
</f>
        <v>0</v>
      </c>
      <c r="J467" s="319">
        <f>IF(AND('Ações'!AS476="sim", 'Ações'!BG476="sim"), 1, 0)
</f>
        <v>0</v>
      </c>
      <c r="K467" s="319">
        <f>IF(AND('Ações'!AS476="sim", 'Ações'!BH476="sim"), 1, 0)
</f>
        <v>0</v>
      </c>
      <c r="L467" s="319">
        <f>IF(AND('Ações'!AS476="sim", 'Ações'!BI476="sim"), 1, 0)
</f>
        <v>1</v>
      </c>
      <c r="M467" s="319">
        <f>IF(AND('Ações'!AT476="sim", 'Ações'!BD476="sim"), 1, 0)
</f>
        <v>1</v>
      </c>
      <c r="N467" s="319">
        <f>IF(AND('Ações'!AT476="sim", 'Ações'!BF476="sim"), 1, 0)
</f>
        <v>0</v>
      </c>
      <c r="O467" s="319">
        <f>IF(AND('Ações'!AT476="sim", 'Ações'!BG476="sim"), 1, 0)
</f>
        <v>0</v>
      </c>
      <c r="P467" s="319">
        <f>IF(AND('Ações'!AT476="sim", 'Ações'!BH476="sim"), 1, 0)
</f>
        <v>0</v>
      </c>
      <c r="Q467" s="319">
        <f>IF(AND('Ações'!AT476="sim", 'Ações'!BI476="sim"), 1, 0)
</f>
        <v>1</v>
      </c>
      <c r="R467" s="319">
        <f>IF(AND('Ações'!AU476="sim", 'Ações'!BD476="sim"), 1, 0)
</f>
        <v>1</v>
      </c>
      <c r="S467" s="319">
        <f>IF(AND('Ações'!AU476="sim", 'Ações'!BE476="sim"), 1, 0)
</f>
        <v>0</v>
      </c>
      <c r="T467" s="319">
        <f>IF(AND('Ações'!AU476="sim", 'Ações'!BG476="sim"), 1, 0)
</f>
        <v>0</v>
      </c>
      <c r="U467" s="319">
        <f>IF(AND('Ações'!AU476="sim", 'Ações'!BH476="sim"), 1, 0)
</f>
        <v>0</v>
      </c>
      <c r="V467" s="319">
        <f>IF(AND('Ações'!AU476="sim", 'Ações'!BI476="sim"), 1, 0)
</f>
        <v>1</v>
      </c>
      <c r="W467" s="319">
        <f>IF(AND('Ações'!AV476="sim", 'Ações'!BD476="sim"), 1, 0)
</f>
        <v>1</v>
      </c>
      <c r="X467" s="319">
        <f>IF(AND('Ações'!AV476="sim", 'Ações'!BE476="sim"), 1, 0)
</f>
        <v>0</v>
      </c>
      <c r="Y467" s="319">
        <f>IF(AND('Ações'!AV476="sim", 'Ações'!BF476="sim"), 1, 0)
</f>
        <v>0</v>
      </c>
      <c r="Z467" s="319">
        <f>IF(AND('Ações'!AV476="sim", 'Ações'!BH476="sim"), 1, 0)
</f>
        <v>0</v>
      </c>
      <c r="AA467" s="319">
        <f>IF(AND('Ações'!AV476="sim", 'Ações'!BI476="sim"), 1, 0)
</f>
        <v>1</v>
      </c>
      <c r="AB467" s="319">
        <f>IF(AND('Ações'!AW476="sim", 'Ações'!BD476="sim"), 1, 0)
</f>
        <v>1</v>
      </c>
      <c r="AC467" s="319">
        <f>IF(AND('Ações'!AW476="sim", 'Ações'!BE476="sim"), 1, 0)
</f>
        <v>0</v>
      </c>
      <c r="AD467" s="319">
        <f>IF(AND('Ações'!AW476="sim", 'Ações'!BF476="sim"), 1, 0)
</f>
        <v>0</v>
      </c>
      <c r="AE467" s="319">
        <f>IF(AND('Ações'!AW476="sim", 'Ações'!BG476="sim"), 1, 0)
</f>
        <v>0</v>
      </c>
      <c r="AF467" s="319">
        <f>IF(AND('Ações'!AW476="sim", 'Ações'!BI476="sim"), 1, 0)
</f>
        <v>1</v>
      </c>
      <c r="AG467" s="319">
        <f>IF(AND('Ações'!AX476="sim", 'Ações'!BD476="sim"), 1, 0)
</f>
        <v>1</v>
      </c>
      <c r="AH467" s="319">
        <f>IF(AND('Ações'!AX476="sim", 'Ações'!BE476="sim"), 1, 0)
</f>
        <v>0</v>
      </c>
      <c r="AI467" s="319">
        <f>IF(AND('Ações'!AX476="sim", 'Ações'!BF476="sim"), 1, 0)
</f>
        <v>0</v>
      </c>
      <c r="AJ467" s="319">
        <f>IF(AND('Ações'!AX476="sim", 'Ações'!BG476="sim"), 1, 0)
</f>
        <v>0</v>
      </c>
      <c r="AK467" s="319">
        <f>IF(AND('Ações'!AX476="sim", 'Ações'!BH476="sim"), 1, 0)
</f>
        <v>0</v>
      </c>
    </row>
    <row r="468">
      <c r="B468" s="319">
        <f>IF(AND('Ações'!AS477="sim", 'Ações'!BD477="sim"), 1, 0)
</f>
        <v>1</v>
      </c>
      <c r="C468" s="319">
        <f>IF(AND('Ações'!AT477="sim", 'Ações'!BE477="sim"), 1, 0)
</f>
        <v>0</v>
      </c>
      <c r="D468" s="319">
        <f>IF(AND('Ações'!AU477="sim", 'Ações'!BF477="sim"), 1, 0)
</f>
        <v>0</v>
      </c>
      <c r="E468" s="319">
        <f>IF(AND('Ações'!AV477="sim", 'Ações'!BG477="sim"), 1, 0)
</f>
        <v>0</v>
      </c>
      <c r="F468" s="319">
        <f>IF(AND('Ações'!AW477="sim", 'Ações'!BH477="sim"), 1, 0)
</f>
        <v>0</v>
      </c>
      <c r="G468" s="319">
        <f>IF(AND('Ações'!AX477="sim", 'Ações'!BI477="sim"), 1, 0)
</f>
        <v>1</v>
      </c>
      <c r="H468" s="319">
        <f>IF(AND('Ações'!AS477="sim", 'Ações'!BE477="sim"), 1, 0)
</f>
        <v>0</v>
      </c>
      <c r="I468" s="319">
        <f>IF(AND('Ações'!AS477="sim", 'Ações'!BF477="sim"), 1, 0)
</f>
        <v>0</v>
      </c>
      <c r="J468" s="319">
        <f>IF(AND('Ações'!AS477="sim", 'Ações'!BG477="sim"), 1, 0)
</f>
        <v>0</v>
      </c>
      <c r="K468" s="319">
        <f>IF(AND('Ações'!AS477="sim", 'Ações'!BH477="sim"), 1, 0)
</f>
        <v>0</v>
      </c>
      <c r="L468" s="319">
        <f>IF(AND('Ações'!AS477="sim", 'Ações'!BI477="sim"), 1, 0)
</f>
        <v>1</v>
      </c>
      <c r="M468" s="319">
        <f>IF(AND('Ações'!AT477="sim", 'Ações'!BD477="sim"), 1, 0)
</f>
        <v>1</v>
      </c>
      <c r="N468" s="319">
        <f>IF(AND('Ações'!AT477="sim", 'Ações'!BF477="sim"), 1, 0)
</f>
        <v>0</v>
      </c>
      <c r="O468" s="319">
        <f>IF(AND('Ações'!AT477="sim", 'Ações'!BG477="sim"), 1, 0)
</f>
        <v>0</v>
      </c>
      <c r="P468" s="319">
        <f>IF(AND('Ações'!AT477="sim", 'Ações'!BH477="sim"), 1, 0)
</f>
        <v>0</v>
      </c>
      <c r="Q468" s="319">
        <f>IF(AND('Ações'!AT477="sim", 'Ações'!BI477="sim"), 1, 0)
</f>
        <v>1</v>
      </c>
      <c r="R468" s="319">
        <f>IF(AND('Ações'!AU477="sim", 'Ações'!BD477="sim"), 1, 0)
</f>
        <v>1</v>
      </c>
      <c r="S468" s="319">
        <f>IF(AND('Ações'!AU477="sim", 'Ações'!BE477="sim"), 1, 0)
</f>
        <v>0</v>
      </c>
      <c r="T468" s="319">
        <f>IF(AND('Ações'!AU477="sim", 'Ações'!BG477="sim"), 1, 0)
</f>
        <v>0</v>
      </c>
      <c r="U468" s="319">
        <f>IF(AND('Ações'!AU477="sim", 'Ações'!BH477="sim"), 1, 0)
</f>
        <v>0</v>
      </c>
      <c r="V468" s="319">
        <f>IF(AND('Ações'!AU477="sim", 'Ações'!BI477="sim"), 1, 0)
</f>
        <v>1</v>
      </c>
      <c r="W468" s="319">
        <f>IF(AND('Ações'!AV477="sim", 'Ações'!BD477="sim"), 1, 0)
</f>
        <v>1</v>
      </c>
      <c r="X468" s="319">
        <f>IF(AND('Ações'!AV477="sim", 'Ações'!BE477="sim"), 1, 0)
</f>
        <v>0</v>
      </c>
      <c r="Y468" s="319">
        <f>IF(AND('Ações'!AV477="sim", 'Ações'!BF477="sim"), 1, 0)
</f>
        <v>0</v>
      </c>
      <c r="Z468" s="319">
        <f>IF(AND('Ações'!AV477="sim", 'Ações'!BH477="sim"), 1, 0)
</f>
        <v>0</v>
      </c>
      <c r="AA468" s="319">
        <f>IF(AND('Ações'!AV477="sim", 'Ações'!BI477="sim"), 1, 0)
</f>
        <v>1</v>
      </c>
      <c r="AB468" s="319">
        <f>IF(AND('Ações'!AW477="sim", 'Ações'!BD477="sim"), 1, 0)
</f>
        <v>1</v>
      </c>
      <c r="AC468" s="319">
        <f>IF(AND('Ações'!AW477="sim", 'Ações'!BE477="sim"), 1, 0)
</f>
        <v>0</v>
      </c>
      <c r="AD468" s="319">
        <f>IF(AND('Ações'!AW477="sim", 'Ações'!BF477="sim"), 1, 0)
</f>
        <v>0</v>
      </c>
      <c r="AE468" s="319">
        <f>IF(AND('Ações'!AW477="sim", 'Ações'!BG477="sim"), 1, 0)
</f>
        <v>0</v>
      </c>
      <c r="AF468" s="319">
        <f>IF(AND('Ações'!AW477="sim", 'Ações'!BI477="sim"), 1, 0)
</f>
        <v>1</v>
      </c>
      <c r="AG468" s="319">
        <f>IF(AND('Ações'!AX477="sim", 'Ações'!BD477="sim"), 1, 0)
</f>
        <v>1</v>
      </c>
      <c r="AH468" s="319">
        <f>IF(AND('Ações'!AX477="sim", 'Ações'!BE477="sim"), 1, 0)
</f>
        <v>0</v>
      </c>
      <c r="AI468" s="319">
        <f>IF(AND('Ações'!AX477="sim", 'Ações'!BF477="sim"), 1, 0)
</f>
        <v>0</v>
      </c>
      <c r="AJ468" s="319">
        <f>IF(AND('Ações'!AX477="sim", 'Ações'!BG477="sim"), 1, 0)
</f>
        <v>0</v>
      </c>
      <c r="AK468" s="319">
        <f>IF(AND('Ações'!AX477="sim", 'Ações'!BH477="sim"), 1, 0)
</f>
        <v>0</v>
      </c>
    </row>
    <row r="469">
      <c r="B469" s="319">
        <f>IF(AND('Ações'!AS478="sim", 'Ações'!BD478="sim"), 1, 0)
</f>
        <v>0</v>
      </c>
      <c r="C469" s="319">
        <f>IF(AND('Ações'!AT478="sim", 'Ações'!BE478="sim"), 1, 0)
</f>
        <v>0</v>
      </c>
      <c r="D469" s="319">
        <f>IF(AND('Ações'!AU478="sim", 'Ações'!BF478="sim"), 1, 0)
</f>
        <v>0</v>
      </c>
      <c r="E469" s="319">
        <f>IF(AND('Ações'!AV478="sim", 'Ações'!BG478="sim"), 1, 0)
</f>
        <v>0</v>
      </c>
      <c r="F469" s="319">
        <f>IF(AND('Ações'!AW478="sim", 'Ações'!BH478="sim"), 1, 0)
</f>
        <v>0</v>
      </c>
      <c r="G469" s="319">
        <f>IF(AND('Ações'!AX478="sim", 'Ações'!BI478="sim"), 1, 0)
</f>
        <v>1</v>
      </c>
      <c r="H469" s="319">
        <f>IF(AND('Ações'!AS478="sim", 'Ações'!BE478="sim"), 1, 0)
</f>
        <v>0</v>
      </c>
      <c r="I469" s="319">
        <f>IF(AND('Ações'!AS478="sim", 'Ações'!BF478="sim"), 1, 0)
</f>
        <v>0</v>
      </c>
      <c r="J469" s="319">
        <f>IF(AND('Ações'!AS478="sim", 'Ações'!BG478="sim"), 1, 0)
</f>
        <v>0</v>
      </c>
      <c r="K469" s="319">
        <f>IF(AND('Ações'!AS478="sim", 'Ações'!BH478="sim"), 1, 0)
</f>
        <v>0</v>
      </c>
      <c r="L469" s="319">
        <f>IF(AND('Ações'!AS478="sim", 'Ações'!BI478="sim"), 1, 0)
</f>
        <v>0</v>
      </c>
      <c r="M469" s="319">
        <f>IF(AND('Ações'!AT478="sim", 'Ações'!BD478="sim"), 1, 0)
</f>
        <v>0</v>
      </c>
      <c r="N469" s="319">
        <f>IF(AND('Ações'!AT478="sim", 'Ações'!BF478="sim"), 1, 0)
</f>
        <v>0</v>
      </c>
      <c r="O469" s="319">
        <f>IF(AND('Ações'!AT478="sim", 'Ações'!BG478="sim"), 1, 0)
</f>
        <v>0</v>
      </c>
      <c r="P469" s="319">
        <f>IF(AND('Ações'!AT478="sim", 'Ações'!BH478="sim"), 1, 0)
</f>
        <v>0</v>
      </c>
      <c r="Q469" s="319">
        <f>IF(AND('Ações'!AT478="sim", 'Ações'!BI478="sim"), 1, 0)
</f>
        <v>1</v>
      </c>
      <c r="R469" s="319">
        <f>IF(AND('Ações'!AU478="sim", 'Ações'!BD478="sim"), 1, 0)
</f>
        <v>0</v>
      </c>
      <c r="S469" s="319">
        <f>IF(AND('Ações'!AU478="sim", 'Ações'!BE478="sim"), 1, 0)
</f>
        <v>0</v>
      </c>
      <c r="T469" s="319">
        <f>IF(AND('Ações'!AU478="sim", 'Ações'!BG478="sim"), 1, 0)
</f>
        <v>0</v>
      </c>
      <c r="U469" s="319">
        <f>IF(AND('Ações'!AU478="sim", 'Ações'!BH478="sim"), 1, 0)
</f>
        <v>0</v>
      </c>
      <c r="V469" s="319">
        <f>IF(AND('Ações'!AU478="sim", 'Ações'!BI478="sim"), 1, 0)
</f>
        <v>1</v>
      </c>
      <c r="W469" s="319">
        <f>IF(AND('Ações'!AV478="sim", 'Ações'!BD478="sim"), 1, 0)
</f>
        <v>0</v>
      </c>
      <c r="X469" s="319">
        <f>IF(AND('Ações'!AV478="sim", 'Ações'!BE478="sim"), 1, 0)
</f>
        <v>0</v>
      </c>
      <c r="Y469" s="319">
        <f>IF(AND('Ações'!AV478="sim", 'Ações'!BF478="sim"), 1, 0)
</f>
        <v>0</v>
      </c>
      <c r="Z469" s="319">
        <f>IF(AND('Ações'!AV478="sim", 'Ações'!BH478="sim"), 1, 0)
</f>
        <v>0</v>
      </c>
      <c r="AA469" s="319">
        <f>IF(AND('Ações'!AV478="sim", 'Ações'!BI478="sim"), 1, 0)
</f>
        <v>1</v>
      </c>
      <c r="AB469" s="319">
        <f>IF(AND('Ações'!AW478="sim", 'Ações'!BD478="sim"), 1, 0)
</f>
        <v>0</v>
      </c>
      <c r="AC469" s="319">
        <f>IF(AND('Ações'!AW478="sim", 'Ações'!BE478="sim"), 1, 0)
</f>
        <v>0</v>
      </c>
      <c r="AD469" s="319">
        <f>IF(AND('Ações'!AW478="sim", 'Ações'!BF478="sim"), 1, 0)
</f>
        <v>0</v>
      </c>
      <c r="AE469" s="319">
        <f>IF(AND('Ações'!AW478="sim", 'Ações'!BG478="sim"), 1, 0)
</f>
        <v>0</v>
      </c>
      <c r="AF469" s="319">
        <f>IF(AND('Ações'!AW478="sim", 'Ações'!BI478="sim"), 1, 0)
</f>
        <v>1</v>
      </c>
      <c r="AG469" s="319">
        <f>IF(AND('Ações'!AX478="sim", 'Ações'!BD478="sim"), 1, 0)
</f>
        <v>0</v>
      </c>
      <c r="AH469" s="319">
        <f>IF(AND('Ações'!AX478="sim", 'Ações'!BE478="sim"), 1, 0)
</f>
        <v>0</v>
      </c>
      <c r="AI469" s="319">
        <f>IF(AND('Ações'!AX478="sim", 'Ações'!BF478="sim"), 1, 0)
</f>
        <v>0</v>
      </c>
      <c r="AJ469" s="319">
        <f>IF(AND('Ações'!AX478="sim", 'Ações'!BG478="sim"), 1, 0)
</f>
        <v>0</v>
      </c>
      <c r="AK469" s="319">
        <f>IF(AND('Ações'!AX478="sim", 'Ações'!BH478="sim"), 1, 0)
</f>
        <v>0</v>
      </c>
    </row>
    <row r="470">
      <c r="B470" s="319">
        <f>IF(AND('Ações'!AS479="sim", 'Ações'!BD479="sim"), 1, 0)
</f>
        <v>0</v>
      </c>
      <c r="C470" s="319">
        <f>IF(AND('Ações'!AT479="sim", 'Ações'!BE479="sim"), 1, 0)
</f>
        <v>0</v>
      </c>
      <c r="D470" s="319">
        <f>IF(AND('Ações'!AU479="sim", 'Ações'!BF479="sim"), 1, 0)
</f>
        <v>0</v>
      </c>
      <c r="E470" s="319">
        <f>IF(AND('Ações'!AV479="sim", 'Ações'!BG479="sim"), 1, 0)
</f>
        <v>0</v>
      </c>
      <c r="F470" s="319">
        <f>IF(AND('Ações'!AW479="sim", 'Ações'!BH479="sim"), 1, 0)
</f>
        <v>0</v>
      </c>
      <c r="G470" s="319">
        <f>IF(AND('Ações'!AX479="sim", 'Ações'!BI479="sim"), 1, 0)
</f>
        <v>1</v>
      </c>
      <c r="H470" s="319">
        <f>IF(AND('Ações'!AS479="sim", 'Ações'!BE479="sim"), 1, 0)
</f>
        <v>0</v>
      </c>
      <c r="I470" s="319">
        <f>IF(AND('Ações'!AS479="sim", 'Ações'!BF479="sim"), 1, 0)
</f>
        <v>0</v>
      </c>
      <c r="J470" s="319">
        <f>IF(AND('Ações'!AS479="sim", 'Ações'!BG479="sim"), 1, 0)
</f>
        <v>0</v>
      </c>
      <c r="K470" s="319">
        <f>IF(AND('Ações'!AS479="sim", 'Ações'!BH479="sim"), 1, 0)
</f>
        <v>0</v>
      </c>
      <c r="L470" s="319">
        <f>IF(AND('Ações'!AS479="sim", 'Ações'!BI479="sim"), 1, 0)
</f>
        <v>0</v>
      </c>
      <c r="M470" s="319">
        <f>IF(AND('Ações'!AT479="sim", 'Ações'!BD479="sim"), 1, 0)
</f>
        <v>0</v>
      </c>
      <c r="N470" s="319">
        <f>IF(AND('Ações'!AT479="sim", 'Ações'!BF479="sim"), 1, 0)
</f>
        <v>0</v>
      </c>
      <c r="O470" s="319">
        <f>IF(AND('Ações'!AT479="sim", 'Ações'!BG479="sim"), 1, 0)
</f>
        <v>0</v>
      </c>
      <c r="P470" s="319">
        <f>IF(AND('Ações'!AT479="sim", 'Ações'!BH479="sim"), 1, 0)
</f>
        <v>0</v>
      </c>
      <c r="Q470" s="319">
        <f>IF(AND('Ações'!AT479="sim", 'Ações'!BI479="sim"), 1, 0)
</f>
        <v>1</v>
      </c>
      <c r="R470" s="319">
        <f>IF(AND('Ações'!AU479="sim", 'Ações'!BD479="sim"), 1, 0)
</f>
        <v>0</v>
      </c>
      <c r="S470" s="319">
        <f>IF(AND('Ações'!AU479="sim", 'Ações'!BE479="sim"), 1, 0)
</f>
        <v>0</v>
      </c>
      <c r="T470" s="319">
        <f>IF(AND('Ações'!AU479="sim", 'Ações'!BG479="sim"), 1, 0)
</f>
        <v>0</v>
      </c>
      <c r="U470" s="319">
        <f>IF(AND('Ações'!AU479="sim", 'Ações'!BH479="sim"), 1, 0)
</f>
        <v>0</v>
      </c>
      <c r="V470" s="319">
        <f>IF(AND('Ações'!AU479="sim", 'Ações'!BI479="sim"), 1, 0)
</f>
        <v>1</v>
      </c>
      <c r="W470" s="319">
        <f>IF(AND('Ações'!AV479="sim", 'Ações'!BD479="sim"), 1, 0)
</f>
        <v>0</v>
      </c>
      <c r="X470" s="319">
        <f>IF(AND('Ações'!AV479="sim", 'Ações'!BE479="sim"), 1, 0)
</f>
        <v>0</v>
      </c>
      <c r="Y470" s="319">
        <f>IF(AND('Ações'!AV479="sim", 'Ações'!BF479="sim"), 1, 0)
</f>
        <v>0</v>
      </c>
      <c r="Z470" s="319">
        <f>IF(AND('Ações'!AV479="sim", 'Ações'!BH479="sim"), 1, 0)
</f>
        <v>0</v>
      </c>
      <c r="AA470" s="319">
        <f>IF(AND('Ações'!AV479="sim", 'Ações'!BI479="sim"), 1, 0)
</f>
        <v>1</v>
      </c>
      <c r="AB470" s="319">
        <f>IF(AND('Ações'!AW479="sim", 'Ações'!BD479="sim"), 1, 0)
</f>
        <v>0</v>
      </c>
      <c r="AC470" s="319">
        <f>IF(AND('Ações'!AW479="sim", 'Ações'!BE479="sim"), 1, 0)
</f>
        <v>0</v>
      </c>
      <c r="AD470" s="319">
        <f>IF(AND('Ações'!AW479="sim", 'Ações'!BF479="sim"), 1, 0)
</f>
        <v>0</v>
      </c>
      <c r="AE470" s="319">
        <f>IF(AND('Ações'!AW479="sim", 'Ações'!BG479="sim"), 1, 0)
</f>
        <v>0</v>
      </c>
      <c r="AF470" s="319">
        <f>IF(AND('Ações'!AW479="sim", 'Ações'!BI479="sim"), 1, 0)
</f>
        <v>1</v>
      </c>
      <c r="AG470" s="319">
        <f>IF(AND('Ações'!AX479="sim", 'Ações'!BD479="sim"), 1, 0)
</f>
        <v>0</v>
      </c>
      <c r="AH470" s="319">
        <f>IF(AND('Ações'!AX479="sim", 'Ações'!BE479="sim"), 1, 0)
</f>
        <v>0</v>
      </c>
      <c r="AI470" s="319">
        <f>IF(AND('Ações'!AX479="sim", 'Ações'!BF479="sim"), 1, 0)
</f>
        <v>0</v>
      </c>
      <c r="AJ470" s="319">
        <f>IF(AND('Ações'!AX479="sim", 'Ações'!BG479="sim"), 1, 0)
</f>
        <v>0</v>
      </c>
      <c r="AK470" s="319">
        <f>IF(AND('Ações'!AX479="sim", 'Ações'!BH479="sim"), 1, 0)
</f>
        <v>0</v>
      </c>
    </row>
    <row r="471">
      <c r="B471" s="319">
        <f>IF(AND('Ações'!AS480="sim", 'Ações'!BD480="sim"), 1, 0)
</f>
        <v>0</v>
      </c>
      <c r="C471" s="319">
        <f>IF(AND('Ações'!AT480="sim", 'Ações'!BE480="sim"), 1, 0)
</f>
        <v>0</v>
      </c>
      <c r="D471" s="319">
        <f>IF(AND('Ações'!AU480="sim", 'Ações'!BF480="sim"), 1, 0)
</f>
        <v>0</v>
      </c>
      <c r="E471" s="319">
        <f>IF(AND('Ações'!AV480="sim", 'Ações'!BG480="sim"), 1, 0)
</f>
        <v>0</v>
      </c>
      <c r="F471" s="319">
        <f>IF(AND('Ações'!AW480="sim", 'Ações'!BH480="sim"), 1, 0)
</f>
        <v>0</v>
      </c>
      <c r="G471" s="319">
        <f>IF(AND('Ações'!AX480="sim", 'Ações'!BI480="sim"), 1, 0)
</f>
        <v>1</v>
      </c>
      <c r="H471" s="319">
        <f>IF(AND('Ações'!AS480="sim", 'Ações'!BE480="sim"), 1, 0)
</f>
        <v>0</v>
      </c>
      <c r="I471" s="319">
        <f>IF(AND('Ações'!AS480="sim", 'Ações'!BF480="sim"), 1, 0)
</f>
        <v>0</v>
      </c>
      <c r="J471" s="319">
        <f>IF(AND('Ações'!AS480="sim", 'Ações'!BG480="sim"), 1, 0)
</f>
        <v>0</v>
      </c>
      <c r="K471" s="319">
        <f>IF(AND('Ações'!AS480="sim", 'Ações'!BH480="sim"), 1, 0)
</f>
        <v>0</v>
      </c>
      <c r="L471" s="319">
        <f>IF(AND('Ações'!AS480="sim", 'Ações'!BI480="sim"), 1, 0)
</f>
        <v>0</v>
      </c>
      <c r="M471" s="319">
        <f>IF(AND('Ações'!AT480="sim", 'Ações'!BD480="sim"), 1, 0)
</f>
        <v>0</v>
      </c>
      <c r="N471" s="319">
        <f>IF(AND('Ações'!AT480="sim", 'Ações'!BF480="sim"), 1, 0)
</f>
        <v>0</v>
      </c>
      <c r="O471" s="319">
        <f>IF(AND('Ações'!AT480="sim", 'Ações'!BG480="sim"), 1, 0)
</f>
        <v>0</v>
      </c>
      <c r="P471" s="319">
        <f>IF(AND('Ações'!AT480="sim", 'Ações'!BH480="sim"), 1, 0)
</f>
        <v>0</v>
      </c>
      <c r="Q471" s="319">
        <f>IF(AND('Ações'!AT480="sim", 'Ações'!BI480="sim"), 1, 0)
</f>
        <v>1</v>
      </c>
      <c r="R471" s="319">
        <f>IF(AND('Ações'!AU480="sim", 'Ações'!BD480="sim"), 1, 0)
</f>
        <v>0</v>
      </c>
      <c r="S471" s="319">
        <f>IF(AND('Ações'!AU480="sim", 'Ações'!BE480="sim"), 1, 0)
</f>
        <v>0</v>
      </c>
      <c r="T471" s="319">
        <f>IF(AND('Ações'!AU480="sim", 'Ações'!BG480="sim"), 1, 0)
</f>
        <v>0</v>
      </c>
      <c r="U471" s="319">
        <f>IF(AND('Ações'!AU480="sim", 'Ações'!BH480="sim"), 1, 0)
</f>
        <v>0</v>
      </c>
      <c r="V471" s="319">
        <f>IF(AND('Ações'!AU480="sim", 'Ações'!BI480="sim"), 1, 0)
</f>
        <v>1</v>
      </c>
      <c r="W471" s="319">
        <f>IF(AND('Ações'!AV480="sim", 'Ações'!BD480="sim"), 1, 0)
</f>
        <v>0</v>
      </c>
      <c r="X471" s="319">
        <f>IF(AND('Ações'!AV480="sim", 'Ações'!BE480="sim"), 1, 0)
</f>
        <v>0</v>
      </c>
      <c r="Y471" s="319">
        <f>IF(AND('Ações'!AV480="sim", 'Ações'!BF480="sim"), 1, 0)
</f>
        <v>0</v>
      </c>
      <c r="Z471" s="319">
        <f>IF(AND('Ações'!AV480="sim", 'Ações'!BH480="sim"), 1, 0)
</f>
        <v>0</v>
      </c>
      <c r="AA471" s="319">
        <f>IF(AND('Ações'!AV480="sim", 'Ações'!BI480="sim"), 1, 0)
</f>
        <v>1</v>
      </c>
      <c r="AB471" s="319">
        <f>IF(AND('Ações'!AW480="sim", 'Ações'!BD480="sim"), 1, 0)
</f>
        <v>0</v>
      </c>
      <c r="AC471" s="319">
        <f>IF(AND('Ações'!AW480="sim", 'Ações'!BE480="sim"), 1, 0)
</f>
        <v>0</v>
      </c>
      <c r="AD471" s="319">
        <f>IF(AND('Ações'!AW480="sim", 'Ações'!BF480="sim"), 1, 0)
</f>
        <v>0</v>
      </c>
      <c r="AE471" s="319">
        <f>IF(AND('Ações'!AW480="sim", 'Ações'!BG480="sim"), 1, 0)
</f>
        <v>0</v>
      </c>
      <c r="AF471" s="319">
        <f>IF(AND('Ações'!AW480="sim", 'Ações'!BI480="sim"), 1, 0)
</f>
        <v>1</v>
      </c>
      <c r="AG471" s="319">
        <f>IF(AND('Ações'!AX480="sim", 'Ações'!BD480="sim"), 1, 0)
</f>
        <v>0</v>
      </c>
      <c r="AH471" s="319">
        <f>IF(AND('Ações'!AX480="sim", 'Ações'!BE480="sim"), 1, 0)
</f>
        <v>0</v>
      </c>
      <c r="AI471" s="319">
        <f>IF(AND('Ações'!AX480="sim", 'Ações'!BF480="sim"), 1, 0)
</f>
        <v>0</v>
      </c>
      <c r="AJ471" s="319">
        <f>IF(AND('Ações'!AX480="sim", 'Ações'!BG480="sim"), 1, 0)
</f>
        <v>0</v>
      </c>
      <c r="AK471" s="319">
        <f>IF(AND('Ações'!AX480="sim", 'Ações'!BH480="sim"), 1, 0)
</f>
        <v>0</v>
      </c>
    </row>
    <row r="472">
      <c r="B472" s="319">
        <f>IF(AND('Ações'!AS481="sim", 'Ações'!BD481="sim"), 1, 0)
</f>
        <v>0</v>
      </c>
      <c r="C472" s="319">
        <f>IF(AND('Ações'!AT481="sim", 'Ações'!BE481="sim"), 1, 0)
</f>
        <v>0</v>
      </c>
      <c r="D472" s="319">
        <f>IF(AND('Ações'!AU481="sim", 'Ações'!BF481="sim"), 1, 0)
</f>
        <v>0</v>
      </c>
      <c r="E472" s="319">
        <f>IF(AND('Ações'!AV481="sim", 'Ações'!BG481="sim"), 1, 0)
</f>
        <v>0</v>
      </c>
      <c r="F472" s="319">
        <f>IF(AND('Ações'!AW481="sim", 'Ações'!BH481="sim"), 1, 0)
</f>
        <v>0</v>
      </c>
      <c r="G472" s="319">
        <f>IF(AND('Ações'!AX481="sim", 'Ações'!BI481="sim"), 1, 0)
</f>
        <v>1</v>
      </c>
      <c r="H472" s="319">
        <f>IF(AND('Ações'!AS481="sim", 'Ações'!BE481="sim"), 1, 0)
</f>
        <v>0</v>
      </c>
      <c r="I472" s="319">
        <f>IF(AND('Ações'!AS481="sim", 'Ações'!BF481="sim"), 1, 0)
</f>
        <v>0</v>
      </c>
      <c r="J472" s="319">
        <f>IF(AND('Ações'!AS481="sim", 'Ações'!BG481="sim"), 1, 0)
</f>
        <v>0</v>
      </c>
      <c r="K472" s="319">
        <f>IF(AND('Ações'!AS481="sim", 'Ações'!BH481="sim"), 1, 0)
</f>
        <v>0</v>
      </c>
      <c r="L472" s="319">
        <f>IF(AND('Ações'!AS481="sim", 'Ações'!BI481="sim"), 1, 0)
</f>
        <v>0</v>
      </c>
      <c r="M472" s="319">
        <f>IF(AND('Ações'!AT481="sim", 'Ações'!BD481="sim"), 1, 0)
</f>
        <v>0</v>
      </c>
      <c r="N472" s="319">
        <f>IF(AND('Ações'!AT481="sim", 'Ações'!BF481="sim"), 1, 0)
</f>
        <v>0</v>
      </c>
      <c r="O472" s="319">
        <f>IF(AND('Ações'!AT481="sim", 'Ações'!BG481="sim"), 1, 0)
</f>
        <v>0</v>
      </c>
      <c r="P472" s="319">
        <f>IF(AND('Ações'!AT481="sim", 'Ações'!BH481="sim"), 1, 0)
</f>
        <v>0</v>
      </c>
      <c r="Q472" s="319">
        <f>IF(AND('Ações'!AT481="sim", 'Ações'!BI481="sim"), 1, 0)
</f>
        <v>1</v>
      </c>
      <c r="R472" s="319">
        <f>IF(AND('Ações'!AU481="sim", 'Ações'!BD481="sim"), 1, 0)
</f>
        <v>0</v>
      </c>
      <c r="S472" s="319">
        <f>IF(AND('Ações'!AU481="sim", 'Ações'!BE481="sim"), 1, 0)
</f>
        <v>0</v>
      </c>
      <c r="T472" s="319">
        <f>IF(AND('Ações'!AU481="sim", 'Ações'!BG481="sim"), 1, 0)
</f>
        <v>0</v>
      </c>
      <c r="U472" s="319">
        <f>IF(AND('Ações'!AU481="sim", 'Ações'!BH481="sim"), 1, 0)
</f>
        <v>0</v>
      </c>
      <c r="V472" s="319">
        <f>IF(AND('Ações'!AU481="sim", 'Ações'!BI481="sim"), 1, 0)
</f>
        <v>1</v>
      </c>
      <c r="W472" s="319">
        <f>IF(AND('Ações'!AV481="sim", 'Ações'!BD481="sim"), 1, 0)
</f>
        <v>0</v>
      </c>
      <c r="X472" s="319">
        <f>IF(AND('Ações'!AV481="sim", 'Ações'!BE481="sim"), 1, 0)
</f>
        <v>0</v>
      </c>
      <c r="Y472" s="319">
        <f>IF(AND('Ações'!AV481="sim", 'Ações'!BF481="sim"), 1, 0)
</f>
        <v>0</v>
      </c>
      <c r="Z472" s="319">
        <f>IF(AND('Ações'!AV481="sim", 'Ações'!BH481="sim"), 1, 0)
</f>
        <v>0</v>
      </c>
      <c r="AA472" s="319">
        <f>IF(AND('Ações'!AV481="sim", 'Ações'!BI481="sim"), 1, 0)
</f>
        <v>1</v>
      </c>
      <c r="AB472" s="319">
        <f>IF(AND('Ações'!AW481="sim", 'Ações'!BD481="sim"), 1, 0)
</f>
        <v>0</v>
      </c>
      <c r="AC472" s="319">
        <f>IF(AND('Ações'!AW481="sim", 'Ações'!BE481="sim"), 1, 0)
</f>
        <v>0</v>
      </c>
      <c r="AD472" s="319">
        <f>IF(AND('Ações'!AW481="sim", 'Ações'!BF481="sim"), 1, 0)
</f>
        <v>0</v>
      </c>
      <c r="AE472" s="319">
        <f>IF(AND('Ações'!AW481="sim", 'Ações'!BG481="sim"), 1, 0)
</f>
        <v>0</v>
      </c>
      <c r="AF472" s="319">
        <f>IF(AND('Ações'!AW481="sim", 'Ações'!BI481="sim"), 1, 0)
</f>
        <v>1</v>
      </c>
      <c r="AG472" s="319">
        <f>IF(AND('Ações'!AX481="sim", 'Ações'!BD481="sim"), 1, 0)
</f>
        <v>0</v>
      </c>
      <c r="AH472" s="319">
        <f>IF(AND('Ações'!AX481="sim", 'Ações'!BE481="sim"), 1, 0)
</f>
        <v>0</v>
      </c>
      <c r="AI472" s="319">
        <f>IF(AND('Ações'!AX481="sim", 'Ações'!BF481="sim"), 1, 0)
</f>
        <v>0</v>
      </c>
      <c r="AJ472" s="319">
        <f>IF(AND('Ações'!AX481="sim", 'Ações'!BG481="sim"), 1, 0)
</f>
        <v>0</v>
      </c>
      <c r="AK472" s="319">
        <f>IF(AND('Ações'!AX481="sim", 'Ações'!BH481="sim"), 1, 0)
</f>
        <v>0</v>
      </c>
    </row>
    <row r="473">
      <c r="B473" s="319">
        <f>IF(AND('Ações'!AS482="sim", 'Ações'!BD482="sim"), 1, 0)
</f>
        <v>0</v>
      </c>
      <c r="C473" s="319">
        <f>IF(AND('Ações'!AT482="sim", 'Ações'!BE482="sim"), 1, 0)
</f>
        <v>0</v>
      </c>
      <c r="D473" s="319">
        <f>IF(AND('Ações'!AU482="sim", 'Ações'!BF482="sim"), 1, 0)
</f>
        <v>0</v>
      </c>
      <c r="E473" s="319">
        <f>IF(AND('Ações'!AV482="sim", 'Ações'!BG482="sim"), 1, 0)
</f>
        <v>0</v>
      </c>
      <c r="F473" s="319">
        <f>IF(AND('Ações'!AW482="sim", 'Ações'!BH482="sim"), 1, 0)
</f>
        <v>0</v>
      </c>
      <c r="G473" s="319">
        <f>IF(AND('Ações'!AX482="sim", 'Ações'!BI482="sim"), 1, 0)
</f>
        <v>1</v>
      </c>
      <c r="H473" s="319">
        <f>IF(AND('Ações'!AS482="sim", 'Ações'!BE482="sim"), 1, 0)
</f>
        <v>0</v>
      </c>
      <c r="I473" s="319">
        <f>IF(AND('Ações'!AS482="sim", 'Ações'!BF482="sim"), 1, 0)
</f>
        <v>0</v>
      </c>
      <c r="J473" s="319">
        <f>IF(AND('Ações'!AS482="sim", 'Ações'!BG482="sim"), 1, 0)
</f>
        <v>0</v>
      </c>
      <c r="K473" s="319">
        <f>IF(AND('Ações'!AS482="sim", 'Ações'!BH482="sim"), 1, 0)
</f>
        <v>0</v>
      </c>
      <c r="L473" s="319">
        <f>IF(AND('Ações'!AS482="sim", 'Ações'!BI482="sim"), 1, 0)
</f>
        <v>0</v>
      </c>
      <c r="M473" s="319">
        <f>IF(AND('Ações'!AT482="sim", 'Ações'!BD482="sim"), 1, 0)
</f>
        <v>0</v>
      </c>
      <c r="N473" s="319">
        <f>IF(AND('Ações'!AT482="sim", 'Ações'!BF482="sim"), 1, 0)
</f>
        <v>0</v>
      </c>
      <c r="O473" s="319">
        <f>IF(AND('Ações'!AT482="sim", 'Ações'!BG482="sim"), 1, 0)
</f>
        <v>0</v>
      </c>
      <c r="P473" s="319">
        <f>IF(AND('Ações'!AT482="sim", 'Ações'!BH482="sim"), 1, 0)
</f>
        <v>0</v>
      </c>
      <c r="Q473" s="319">
        <f>IF(AND('Ações'!AT482="sim", 'Ações'!BI482="sim"), 1, 0)
</f>
        <v>1</v>
      </c>
      <c r="R473" s="319">
        <f>IF(AND('Ações'!AU482="sim", 'Ações'!BD482="sim"), 1, 0)
</f>
        <v>0</v>
      </c>
      <c r="S473" s="319">
        <f>IF(AND('Ações'!AU482="sim", 'Ações'!BE482="sim"), 1, 0)
</f>
        <v>0</v>
      </c>
      <c r="T473" s="319">
        <f>IF(AND('Ações'!AU482="sim", 'Ações'!BG482="sim"), 1, 0)
</f>
        <v>0</v>
      </c>
      <c r="U473" s="319">
        <f>IF(AND('Ações'!AU482="sim", 'Ações'!BH482="sim"), 1, 0)
</f>
        <v>0</v>
      </c>
      <c r="V473" s="319">
        <f>IF(AND('Ações'!AU482="sim", 'Ações'!BI482="sim"), 1, 0)
</f>
        <v>1</v>
      </c>
      <c r="W473" s="319">
        <f>IF(AND('Ações'!AV482="sim", 'Ações'!BD482="sim"), 1, 0)
</f>
        <v>0</v>
      </c>
      <c r="X473" s="319">
        <f>IF(AND('Ações'!AV482="sim", 'Ações'!BE482="sim"), 1, 0)
</f>
        <v>0</v>
      </c>
      <c r="Y473" s="319">
        <f>IF(AND('Ações'!AV482="sim", 'Ações'!BF482="sim"), 1, 0)
</f>
        <v>0</v>
      </c>
      <c r="Z473" s="319">
        <f>IF(AND('Ações'!AV482="sim", 'Ações'!BH482="sim"), 1, 0)
</f>
        <v>0</v>
      </c>
      <c r="AA473" s="319">
        <f>IF(AND('Ações'!AV482="sim", 'Ações'!BI482="sim"), 1, 0)
</f>
        <v>1</v>
      </c>
      <c r="AB473" s="319">
        <f>IF(AND('Ações'!AW482="sim", 'Ações'!BD482="sim"), 1, 0)
</f>
        <v>0</v>
      </c>
      <c r="AC473" s="319">
        <f>IF(AND('Ações'!AW482="sim", 'Ações'!BE482="sim"), 1, 0)
</f>
        <v>0</v>
      </c>
      <c r="AD473" s="319">
        <f>IF(AND('Ações'!AW482="sim", 'Ações'!BF482="sim"), 1, 0)
</f>
        <v>0</v>
      </c>
      <c r="AE473" s="319">
        <f>IF(AND('Ações'!AW482="sim", 'Ações'!BG482="sim"), 1, 0)
</f>
        <v>0</v>
      </c>
      <c r="AF473" s="319">
        <f>IF(AND('Ações'!AW482="sim", 'Ações'!BI482="sim"), 1, 0)
</f>
        <v>1</v>
      </c>
      <c r="AG473" s="319">
        <f>IF(AND('Ações'!AX482="sim", 'Ações'!BD482="sim"), 1, 0)
</f>
        <v>0</v>
      </c>
      <c r="AH473" s="319">
        <f>IF(AND('Ações'!AX482="sim", 'Ações'!BE482="sim"), 1, 0)
</f>
        <v>0</v>
      </c>
      <c r="AI473" s="319">
        <f>IF(AND('Ações'!AX482="sim", 'Ações'!BF482="sim"), 1, 0)
</f>
        <v>0</v>
      </c>
      <c r="AJ473" s="319">
        <f>IF(AND('Ações'!AX482="sim", 'Ações'!BG482="sim"), 1, 0)
</f>
        <v>0</v>
      </c>
      <c r="AK473" s="319">
        <f>IF(AND('Ações'!AX482="sim", 'Ações'!BH482="sim"), 1, 0)
</f>
        <v>0</v>
      </c>
    </row>
    <row r="474">
      <c r="B474" s="319">
        <f>IF(AND('Ações'!AS483="sim", 'Ações'!BD483="sim"), 1, 0)
</f>
        <v>0</v>
      </c>
      <c r="C474" s="319">
        <f>IF(AND('Ações'!AT483="sim", 'Ações'!BE483="sim"), 1, 0)
</f>
        <v>0</v>
      </c>
      <c r="D474" s="319">
        <f>IF(AND('Ações'!AU483="sim", 'Ações'!BF483="sim"), 1, 0)
</f>
        <v>0</v>
      </c>
      <c r="E474" s="319">
        <f>IF(AND('Ações'!AV483="sim", 'Ações'!BG483="sim"), 1, 0)
</f>
        <v>0</v>
      </c>
      <c r="F474" s="319">
        <f>IF(AND('Ações'!AW483="sim", 'Ações'!BH483="sim"), 1, 0)
</f>
        <v>0</v>
      </c>
      <c r="G474" s="319">
        <f>IF(AND('Ações'!AX483="sim", 'Ações'!BI483="sim"), 1, 0)
</f>
        <v>1</v>
      </c>
      <c r="H474" s="319">
        <f>IF(AND('Ações'!AS483="sim", 'Ações'!BE483="sim"), 1, 0)
</f>
        <v>0</v>
      </c>
      <c r="I474" s="319">
        <f>IF(AND('Ações'!AS483="sim", 'Ações'!BF483="sim"), 1, 0)
</f>
        <v>0</v>
      </c>
      <c r="J474" s="319">
        <f>IF(AND('Ações'!AS483="sim", 'Ações'!BG483="sim"), 1, 0)
</f>
        <v>0</v>
      </c>
      <c r="K474" s="319">
        <f>IF(AND('Ações'!AS483="sim", 'Ações'!BH483="sim"), 1, 0)
</f>
        <v>0</v>
      </c>
      <c r="L474" s="319">
        <f>IF(AND('Ações'!AS483="sim", 'Ações'!BI483="sim"), 1, 0)
</f>
        <v>0</v>
      </c>
      <c r="M474" s="319">
        <f>IF(AND('Ações'!AT483="sim", 'Ações'!BD483="sim"), 1, 0)
</f>
        <v>0</v>
      </c>
      <c r="N474" s="319">
        <f>IF(AND('Ações'!AT483="sim", 'Ações'!BF483="sim"), 1, 0)
</f>
        <v>0</v>
      </c>
      <c r="O474" s="319">
        <f>IF(AND('Ações'!AT483="sim", 'Ações'!BG483="sim"), 1, 0)
</f>
        <v>0</v>
      </c>
      <c r="P474" s="319">
        <f>IF(AND('Ações'!AT483="sim", 'Ações'!BH483="sim"), 1, 0)
</f>
        <v>0</v>
      </c>
      <c r="Q474" s="319">
        <f>IF(AND('Ações'!AT483="sim", 'Ações'!BI483="sim"), 1, 0)
</f>
        <v>1</v>
      </c>
      <c r="R474" s="319">
        <f>IF(AND('Ações'!AU483="sim", 'Ações'!BD483="sim"), 1, 0)
</f>
        <v>0</v>
      </c>
      <c r="S474" s="319">
        <f>IF(AND('Ações'!AU483="sim", 'Ações'!BE483="sim"), 1, 0)
</f>
        <v>0</v>
      </c>
      <c r="T474" s="319">
        <f>IF(AND('Ações'!AU483="sim", 'Ações'!BG483="sim"), 1, 0)
</f>
        <v>0</v>
      </c>
      <c r="U474" s="319">
        <f>IF(AND('Ações'!AU483="sim", 'Ações'!BH483="sim"), 1, 0)
</f>
        <v>0</v>
      </c>
      <c r="V474" s="319">
        <f>IF(AND('Ações'!AU483="sim", 'Ações'!BI483="sim"), 1, 0)
</f>
        <v>1</v>
      </c>
      <c r="W474" s="319">
        <f>IF(AND('Ações'!AV483="sim", 'Ações'!BD483="sim"), 1, 0)
</f>
        <v>0</v>
      </c>
      <c r="X474" s="319">
        <f>IF(AND('Ações'!AV483="sim", 'Ações'!BE483="sim"), 1, 0)
</f>
        <v>0</v>
      </c>
      <c r="Y474" s="319">
        <f>IF(AND('Ações'!AV483="sim", 'Ações'!BF483="sim"), 1, 0)
</f>
        <v>0</v>
      </c>
      <c r="Z474" s="319">
        <f>IF(AND('Ações'!AV483="sim", 'Ações'!BH483="sim"), 1, 0)
</f>
        <v>0</v>
      </c>
      <c r="AA474" s="319">
        <f>IF(AND('Ações'!AV483="sim", 'Ações'!BI483="sim"), 1, 0)
</f>
        <v>1</v>
      </c>
      <c r="AB474" s="319">
        <f>IF(AND('Ações'!AW483="sim", 'Ações'!BD483="sim"), 1, 0)
</f>
        <v>0</v>
      </c>
      <c r="AC474" s="319">
        <f>IF(AND('Ações'!AW483="sim", 'Ações'!BE483="sim"), 1, 0)
</f>
        <v>0</v>
      </c>
      <c r="AD474" s="319">
        <f>IF(AND('Ações'!AW483="sim", 'Ações'!BF483="sim"), 1, 0)
</f>
        <v>0</v>
      </c>
      <c r="AE474" s="319">
        <f>IF(AND('Ações'!AW483="sim", 'Ações'!BG483="sim"), 1, 0)
</f>
        <v>0</v>
      </c>
      <c r="AF474" s="319">
        <f>IF(AND('Ações'!AW483="sim", 'Ações'!BI483="sim"), 1, 0)
</f>
        <v>1</v>
      </c>
      <c r="AG474" s="319">
        <f>IF(AND('Ações'!AX483="sim", 'Ações'!BD483="sim"), 1, 0)
</f>
        <v>0</v>
      </c>
      <c r="AH474" s="319">
        <f>IF(AND('Ações'!AX483="sim", 'Ações'!BE483="sim"), 1, 0)
</f>
        <v>0</v>
      </c>
      <c r="AI474" s="319">
        <f>IF(AND('Ações'!AX483="sim", 'Ações'!BF483="sim"), 1, 0)
</f>
        <v>0</v>
      </c>
      <c r="AJ474" s="319">
        <f>IF(AND('Ações'!AX483="sim", 'Ações'!BG483="sim"), 1, 0)
</f>
        <v>0</v>
      </c>
      <c r="AK474" s="319">
        <f>IF(AND('Ações'!AX483="sim", 'Ações'!BH483="sim"), 1, 0)
</f>
        <v>0</v>
      </c>
    </row>
    <row r="475">
      <c r="B475" s="319">
        <f>IF(AND('Ações'!AS484="sim", 'Ações'!BD484="sim"), 1, 0)
</f>
        <v>0</v>
      </c>
      <c r="C475" s="319">
        <f>IF(AND('Ações'!AT484="sim", 'Ações'!BE484="sim"), 1, 0)
</f>
        <v>0</v>
      </c>
      <c r="D475" s="319">
        <f>IF(AND('Ações'!AU484="sim", 'Ações'!BF484="sim"), 1, 0)
</f>
        <v>0</v>
      </c>
      <c r="E475" s="319">
        <f>IF(AND('Ações'!AV484="sim", 'Ações'!BG484="sim"), 1, 0)
</f>
        <v>0</v>
      </c>
      <c r="F475" s="319">
        <f>IF(AND('Ações'!AW484="sim", 'Ações'!BH484="sim"), 1, 0)
</f>
        <v>0</v>
      </c>
      <c r="G475" s="319">
        <f>IF(AND('Ações'!AX484="sim", 'Ações'!BI484="sim"), 1, 0)
</f>
        <v>1</v>
      </c>
      <c r="H475" s="319">
        <f>IF(AND('Ações'!AS484="sim", 'Ações'!BE484="sim"), 1, 0)
</f>
        <v>0</v>
      </c>
      <c r="I475" s="319">
        <f>IF(AND('Ações'!AS484="sim", 'Ações'!BF484="sim"), 1, 0)
</f>
        <v>0</v>
      </c>
      <c r="J475" s="319">
        <f>IF(AND('Ações'!AS484="sim", 'Ações'!BG484="sim"), 1, 0)
</f>
        <v>0</v>
      </c>
      <c r="K475" s="319">
        <f>IF(AND('Ações'!AS484="sim", 'Ações'!BH484="sim"), 1, 0)
</f>
        <v>0</v>
      </c>
      <c r="L475" s="319">
        <f>IF(AND('Ações'!AS484="sim", 'Ações'!BI484="sim"), 1, 0)
</f>
        <v>0</v>
      </c>
      <c r="M475" s="319">
        <f>IF(AND('Ações'!AT484="sim", 'Ações'!BD484="sim"), 1, 0)
</f>
        <v>0</v>
      </c>
      <c r="N475" s="319">
        <f>IF(AND('Ações'!AT484="sim", 'Ações'!BF484="sim"), 1, 0)
</f>
        <v>0</v>
      </c>
      <c r="O475" s="319">
        <f>IF(AND('Ações'!AT484="sim", 'Ações'!BG484="sim"), 1, 0)
</f>
        <v>0</v>
      </c>
      <c r="P475" s="319">
        <f>IF(AND('Ações'!AT484="sim", 'Ações'!BH484="sim"), 1, 0)
</f>
        <v>0</v>
      </c>
      <c r="Q475" s="319">
        <f>IF(AND('Ações'!AT484="sim", 'Ações'!BI484="sim"), 1, 0)
</f>
        <v>1</v>
      </c>
      <c r="R475" s="319">
        <f>IF(AND('Ações'!AU484="sim", 'Ações'!BD484="sim"), 1, 0)
</f>
        <v>0</v>
      </c>
      <c r="S475" s="319">
        <f>IF(AND('Ações'!AU484="sim", 'Ações'!BE484="sim"), 1, 0)
</f>
        <v>0</v>
      </c>
      <c r="T475" s="319">
        <f>IF(AND('Ações'!AU484="sim", 'Ações'!BG484="sim"), 1, 0)
</f>
        <v>0</v>
      </c>
      <c r="U475" s="319">
        <f>IF(AND('Ações'!AU484="sim", 'Ações'!BH484="sim"), 1, 0)
</f>
        <v>0</v>
      </c>
      <c r="V475" s="319">
        <f>IF(AND('Ações'!AU484="sim", 'Ações'!BI484="sim"), 1, 0)
</f>
        <v>1</v>
      </c>
      <c r="W475" s="319">
        <f>IF(AND('Ações'!AV484="sim", 'Ações'!BD484="sim"), 1, 0)
</f>
        <v>0</v>
      </c>
      <c r="X475" s="319">
        <f>IF(AND('Ações'!AV484="sim", 'Ações'!BE484="sim"), 1, 0)
</f>
        <v>0</v>
      </c>
      <c r="Y475" s="319">
        <f>IF(AND('Ações'!AV484="sim", 'Ações'!BF484="sim"), 1, 0)
</f>
        <v>0</v>
      </c>
      <c r="Z475" s="319">
        <f>IF(AND('Ações'!AV484="sim", 'Ações'!BH484="sim"), 1, 0)
</f>
        <v>0</v>
      </c>
      <c r="AA475" s="319">
        <f>IF(AND('Ações'!AV484="sim", 'Ações'!BI484="sim"), 1, 0)
</f>
        <v>1</v>
      </c>
      <c r="AB475" s="319">
        <f>IF(AND('Ações'!AW484="sim", 'Ações'!BD484="sim"), 1, 0)
</f>
        <v>0</v>
      </c>
      <c r="AC475" s="319">
        <f>IF(AND('Ações'!AW484="sim", 'Ações'!BE484="sim"), 1, 0)
</f>
        <v>0</v>
      </c>
      <c r="AD475" s="319">
        <f>IF(AND('Ações'!AW484="sim", 'Ações'!BF484="sim"), 1, 0)
</f>
        <v>0</v>
      </c>
      <c r="AE475" s="319">
        <f>IF(AND('Ações'!AW484="sim", 'Ações'!BG484="sim"), 1, 0)
</f>
        <v>0</v>
      </c>
      <c r="AF475" s="319">
        <f>IF(AND('Ações'!AW484="sim", 'Ações'!BI484="sim"), 1, 0)
</f>
        <v>1</v>
      </c>
      <c r="AG475" s="319">
        <f>IF(AND('Ações'!AX484="sim", 'Ações'!BD484="sim"), 1, 0)
</f>
        <v>0</v>
      </c>
      <c r="AH475" s="319">
        <f>IF(AND('Ações'!AX484="sim", 'Ações'!BE484="sim"), 1, 0)
</f>
        <v>0</v>
      </c>
      <c r="AI475" s="319">
        <f>IF(AND('Ações'!AX484="sim", 'Ações'!BF484="sim"), 1, 0)
</f>
        <v>0</v>
      </c>
      <c r="AJ475" s="319">
        <f>IF(AND('Ações'!AX484="sim", 'Ações'!BG484="sim"), 1, 0)
</f>
        <v>0</v>
      </c>
      <c r="AK475" s="319">
        <f>IF(AND('Ações'!AX484="sim", 'Ações'!BH484="sim"), 1, 0)
</f>
        <v>0</v>
      </c>
    </row>
    <row r="476">
      <c r="B476" s="319">
        <f>IF(AND('Ações'!AS485="sim", 'Ações'!BD485="sim"), 1, 0)
</f>
        <v>0</v>
      </c>
      <c r="C476" s="319">
        <f>IF(AND('Ações'!AT485="sim", 'Ações'!BE485="sim"), 1, 0)
</f>
        <v>0</v>
      </c>
      <c r="D476" s="319">
        <f>IF(AND('Ações'!AU485="sim", 'Ações'!BF485="sim"), 1, 0)
</f>
        <v>0</v>
      </c>
      <c r="E476" s="319">
        <f>IF(AND('Ações'!AV485="sim", 'Ações'!BG485="sim"), 1, 0)
</f>
        <v>0</v>
      </c>
      <c r="F476" s="319">
        <f>IF(AND('Ações'!AW485="sim", 'Ações'!BH485="sim"), 1, 0)
</f>
        <v>0</v>
      </c>
      <c r="G476" s="319">
        <f>IF(AND('Ações'!AX485="sim", 'Ações'!BI485="sim"), 1, 0)
</f>
        <v>1</v>
      </c>
      <c r="H476" s="319">
        <f>IF(AND('Ações'!AS485="sim", 'Ações'!BE485="sim"), 1, 0)
</f>
        <v>0</v>
      </c>
      <c r="I476" s="319">
        <f>IF(AND('Ações'!AS485="sim", 'Ações'!BF485="sim"), 1, 0)
</f>
        <v>0</v>
      </c>
      <c r="J476" s="319">
        <f>IF(AND('Ações'!AS485="sim", 'Ações'!BG485="sim"), 1, 0)
</f>
        <v>0</v>
      </c>
      <c r="K476" s="319">
        <f>IF(AND('Ações'!AS485="sim", 'Ações'!BH485="sim"), 1, 0)
</f>
        <v>0</v>
      </c>
      <c r="L476" s="319">
        <f>IF(AND('Ações'!AS485="sim", 'Ações'!BI485="sim"), 1, 0)
</f>
        <v>0</v>
      </c>
      <c r="M476" s="319">
        <f>IF(AND('Ações'!AT485="sim", 'Ações'!BD485="sim"), 1, 0)
</f>
        <v>0</v>
      </c>
      <c r="N476" s="319">
        <f>IF(AND('Ações'!AT485="sim", 'Ações'!BF485="sim"), 1, 0)
</f>
        <v>0</v>
      </c>
      <c r="O476" s="319">
        <f>IF(AND('Ações'!AT485="sim", 'Ações'!BG485="sim"), 1, 0)
</f>
        <v>0</v>
      </c>
      <c r="P476" s="319">
        <f>IF(AND('Ações'!AT485="sim", 'Ações'!BH485="sim"), 1, 0)
</f>
        <v>0</v>
      </c>
      <c r="Q476" s="319">
        <f>IF(AND('Ações'!AT485="sim", 'Ações'!BI485="sim"), 1, 0)
</f>
        <v>1</v>
      </c>
      <c r="R476" s="319">
        <f>IF(AND('Ações'!AU485="sim", 'Ações'!BD485="sim"), 1, 0)
</f>
        <v>0</v>
      </c>
      <c r="S476" s="319">
        <f>IF(AND('Ações'!AU485="sim", 'Ações'!BE485="sim"), 1, 0)
</f>
        <v>0</v>
      </c>
      <c r="T476" s="319">
        <f>IF(AND('Ações'!AU485="sim", 'Ações'!BG485="sim"), 1, 0)
</f>
        <v>0</v>
      </c>
      <c r="U476" s="319">
        <f>IF(AND('Ações'!AU485="sim", 'Ações'!BH485="sim"), 1, 0)
</f>
        <v>0</v>
      </c>
      <c r="V476" s="319">
        <f>IF(AND('Ações'!AU485="sim", 'Ações'!BI485="sim"), 1, 0)
</f>
        <v>1</v>
      </c>
      <c r="W476" s="319">
        <f>IF(AND('Ações'!AV485="sim", 'Ações'!BD485="sim"), 1, 0)
</f>
        <v>0</v>
      </c>
      <c r="X476" s="319">
        <f>IF(AND('Ações'!AV485="sim", 'Ações'!BE485="sim"), 1, 0)
</f>
        <v>0</v>
      </c>
      <c r="Y476" s="319">
        <f>IF(AND('Ações'!AV485="sim", 'Ações'!BF485="sim"), 1, 0)
</f>
        <v>0</v>
      </c>
      <c r="Z476" s="319">
        <f>IF(AND('Ações'!AV485="sim", 'Ações'!BH485="sim"), 1, 0)
</f>
        <v>0</v>
      </c>
      <c r="AA476" s="319">
        <f>IF(AND('Ações'!AV485="sim", 'Ações'!BI485="sim"), 1, 0)
</f>
        <v>1</v>
      </c>
      <c r="AB476" s="319">
        <f>IF(AND('Ações'!AW485="sim", 'Ações'!BD485="sim"), 1, 0)
</f>
        <v>0</v>
      </c>
      <c r="AC476" s="319">
        <f>IF(AND('Ações'!AW485="sim", 'Ações'!BE485="sim"), 1, 0)
</f>
        <v>0</v>
      </c>
      <c r="AD476" s="319">
        <f>IF(AND('Ações'!AW485="sim", 'Ações'!BF485="sim"), 1, 0)
</f>
        <v>0</v>
      </c>
      <c r="AE476" s="319">
        <f>IF(AND('Ações'!AW485="sim", 'Ações'!BG485="sim"), 1, 0)
</f>
        <v>0</v>
      </c>
      <c r="AF476" s="319">
        <f>IF(AND('Ações'!AW485="sim", 'Ações'!BI485="sim"), 1, 0)
</f>
        <v>1</v>
      </c>
      <c r="AG476" s="319">
        <f>IF(AND('Ações'!AX485="sim", 'Ações'!BD485="sim"), 1, 0)
</f>
        <v>0</v>
      </c>
      <c r="AH476" s="319">
        <f>IF(AND('Ações'!AX485="sim", 'Ações'!BE485="sim"), 1, 0)
</f>
        <v>0</v>
      </c>
      <c r="AI476" s="319">
        <f>IF(AND('Ações'!AX485="sim", 'Ações'!BF485="sim"), 1, 0)
</f>
        <v>0</v>
      </c>
      <c r="AJ476" s="319">
        <f>IF(AND('Ações'!AX485="sim", 'Ações'!BG485="sim"), 1, 0)
</f>
        <v>0</v>
      </c>
      <c r="AK476" s="319">
        <f>IF(AND('Ações'!AX485="sim", 'Ações'!BH485="sim"), 1, 0)
</f>
        <v>0</v>
      </c>
    </row>
    <row r="477">
      <c r="B477" s="319">
        <f>IF(AND('Ações'!AS486="sim", 'Ações'!BD486="sim"), 1, 0)
</f>
        <v>0</v>
      </c>
      <c r="C477" s="319">
        <f>IF(AND('Ações'!AT486="sim", 'Ações'!BE486="sim"), 1, 0)
</f>
        <v>0</v>
      </c>
      <c r="D477" s="319">
        <f>IF(AND('Ações'!AU486="sim", 'Ações'!BF486="sim"), 1, 0)
</f>
        <v>0</v>
      </c>
      <c r="E477" s="319">
        <f>IF(AND('Ações'!AV486="sim", 'Ações'!BG486="sim"), 1, 0)
</f>
        <v>0</v>
      </c>
      <c r="F477" s="319">
        <f>IF(AND('Ações'!AW486="sim", 'Ações'!BH486="sim"), 1, 0)
</f>
        <v>0</v>
      </c>
      <c r="G477" s="319">
        <f>IF(AND('Ações'!AX486="sim", 'Ações'!BI486="sim"), 1, 0)
</f>
        <v>1</v>
      </c>
      <c r="H477" s="319">
        <f>IF(AND('Ações'!AS486="sim", 'Ações'!BE486="sim"), 1, 0)
</f>
        <v>0</v>
      </c>
      <c r="I477" s="319">
        <f>IF(AND('Ações'!AS486="sim", 'Ações'!BF486="sim"), 1, 0)
</f>
        <v>0</v>
      </c>
      <c r="J477" s="319">
        <f>IF(AND('Ações'!AS486="sim", 'Ações'!BG486="sim"), 1, 0)
</f>
        <v>0</v>
      </c>
      <c r="K477" s="319">
        <f>IF(AND('Ações'!AS486="sim", 'Ações'!BH486="sim"), 1, 0)
</f>
        <v>0</v>
      </c>
      <c r="L477" s="319">
        <f>IF(AND('Ações'!AS486="sim", 'Ações'!BI486="sim"), 1, 0)
</f>
        <v>0</v>
      </c>
      <c r="M477" s="319">
        <f>IF(AND('Ações'!AT486="sim", 'Ações'!BD486="sim"), 1, 0)
</f>
        <v>0</v>
      </c>
      <c r="N477" s="319">
        <f>IF(AND('Ações'!AT486="sim", 'Ações'!BF486="sim"), 1, 0)
</f>
        <v>0</v>
      </c>
      <c r="O477" s="319">
        <f>IF(AND('Ações'!AT486="sim", 'Ações'!BG486="sim"), 1, 0)
</f>
        <v>0</v>
      </c>
      <c r="P477" s="319">
        <f>IF(AND('Ações'!AT486="sim", 'Ações'!BH486="sim"), 1, 0)
</f>
        <v>0</v>
      </c>
      <c r="Q477" s="319">
        <f>IF(AND('Ações'!AT486="sim", 'Ações'!BI486="sim"), 1, 0)
</f>
        <v>1</v>
      </c>
      <c r="R477" s="319">
        <f>IF(AND('Ações'!AU486="sim", 'Ações'!BD486="sim"), 1, 0)
</f>
        <v>0</v>
      </c>
      <c r="S477" s="319">
        <f>IF(AND('Ações'!AU486="sim", 'Ações'!BE486="sim"), 1, 0)
</f>
        <v>0</v>
      </c>
      <c r="T477" s="319">
        <f>IF(AND('Ações'!AU486="sim", 'Ações'!BG486="sim"), 1, 0)
</f>
        <v>0</v>
      </c>
      <c r="U477" s="319">
        <f>IF(AND('Ações'!AU486="sim", 'Ações'!BH486="sim"), 1, 0)
</f>
        <v>0</v>
      </c>
      <c r="V477" s="319">
        <f>IF(AND('Ações'!AU486="sim", 'Ações'!BI486="sim"), 1, 0)
</f>
        <v>1</v>
      </c>
      <c r="W477" s="319">
        <f>IF(AND('Ações'!AV486="sim", 'Ações'!BD486="sim"), 1, 0)
</f>
        <v>0</v>
      </c>
      <c r="X477" s="319">
        <f>IF(AND('Ações'!AV486="sim", 'Ações'!BE486="sim"), 1, 0)
</f>
        <v>0</v>
      </c>
      <c r="Y477" s="319">
        <f>IF(AND('Ações'!AV486="sim", 'Ações'!BF486="sim"), 1, 0)
</f>
        <v>0</v>
      </c>
      <c r="Z477" s="319">
        <f>IF(AND('Ações'!AV486="sim", 'Ações'!BH486="sim"), 1, 0)
</f>
        <v>0</v>
      </c>
      <c r="AA477" s="319">
        <f>IF(AND('Ações'!AV486="sim", 'Ações'!BI486="sim"), 1, 0)
</f>
        <v>1</v>
      </c>
      <c r="AB477" s="319">
        <f>IF(AND('Ações'!AW486="sim", 'Ações'!BD486="sim"), 1, 0)
</f>
        <v>0</v>
      </c>
      <c r="AC477" s="319">
        <f>IF(AND('Ações'!AW486="sim", 'Ações'!BE486="sim"), 1, 0)
</f>
        <v>0</v>
      </c>
      <c r="AD477" s="319">
        <f>IF(AND('Ações'!AW486="sim", 'Ações'!BF486="sim"), 1, 0)
</f>
        <v>0</v>
      </c>
      <c r="AE477" s="319">
        <f>IF(AND('Ações'!AW486="sim", 'Ações'!BG486="sim"), 1, 0)
</f>
        <v>0</v>
      </c>
      <c r="AF477" s="319">
        <f>IF(AND('Ações'!AW486="sim", 'Ações'!BI486="sim"), 1, 0)
</f>
        <v>1</v>
      </c>
      <c r="AG477" s="319">
        <f>IF(AND('Ações'!AX486="sim", 'Ações'!BD486="sim"), 1, 0)
</f>
        <v>0</v>
      </c>
      <c r="AH477" s="319">
        <f>IF(AND('Ações'!AX486="sim", 'Ações'!BE486="sim"), 1, 0)
</f>
        <v>0</v>
      </c>
      <c r="AI477" s="319">
        <f>IF(AND('Ações'!AX486="sim", 'Ações'!BF486="sim"), 1, 0)
</f>
        <v>0</v>
      </c>
      <c r="AJ477" s="319">
        <f>IF(AND('Ações'!AX486="sim", 'Ações'!BG486="sim"), 1, 0)
</f>
        <v>0</v>
      </c>
      <c r="AK477" s="319">
        <f>IF(AND('Ações'!AX486="sim", 'Ações'!BH486="sim"), 1, 0)
</f>
        <v>0</v>
      </c>
    </row>
    <row r="478">
      <c r="B478" s="319">
        <f>IF(AND('Ações'!AS487="sim", 'Ações'!BD487="sim"), 1, 0)
</f>
        <v>0</v>
      </c>
      <c r="C478" s="319">
        <f>IF(AND('Ações'!AT487="sim", 'Ações'!BE487="sim"), 1, 0)
</f>
        <v>0</v>
      </c>
      <c r="D478" s="319">
        <f>IF(AND('Ações'!AU487="sim", 'Ações'!BF487="sim"), 1, 0)
</f>
        <v>0</v>
      </c>
      <c r="E478" s="319">
        <f>IF(AND('Ações'!AV487="sim", 'Ações'!BG487="sim"), 1, 0)
</f>
        <v>0</v>
      </c>
      <c r="F478" s="319">
        <f>IF(AND('Ações'!AW487="sim", 'Ações'!BH487="sim"), 1, 0)
</f>
        <v>0</v>
      </c>
      <c r="G478" s="319">
        <f>IF(AND('Ações'!AX487="sim", 'Ações'!BI487="sim"), 1, 0)
</f>
        <v>1</v>
      </c>
      <c r="H478" s="319">
        <f>IF(AND('Ações'!AS487="sim", 'Ações'!BE487="sim"), 1, 0)
</f>
        <v>0</v>
      </c>
      <c r="I478" s="319">
        <f>IF(AND('Ações'!AS487="sim", 'Ações'!BF487="sim"), 1, 0)
</f>
        <v>0</v>
      </c>
      <c r="J478" s="319">
        <f>IF(AND('Ações'!AS487="sim", 'Ações'!BG487="sim"), 1, 0)
</f>
        <v>0</v>
      </c>
      <c r="K478" s="319">
        <f>IF(AND('Ações'!AS487="sim", 'Ações'!BH487="sim"), 1, 0)
</f>
        <v>0</v>
      </c>
      <c r="L478" s="319">
        <f>IF(AND('Ações'!AS487="sim", 'Ações'!BI487="sim"), 1, 0)
</f>
        <v>0</v>
      </c>
      <c r="M478" s="319">
        <f>IF(AND('Ações'!AT487="sim", 'Ações'!BD487="sim"), 1, 0)
</f>
        <v>0</v>
      </c>
      <c r="N478" s="319">
        <f>IF(AND('Ações'!AT487="sim", 'Ações'!BF487="sim"), 1, 0)
</f>
        <v>0</v>
      </c>
      <c r="O478" s="319">
        <f>IF(AND('Ações'!AT487="sim", 'Ações'!BG487="sim"), 1, 0)
</f>
        <v>0</v>
      </c>
      <c r="P478" s="319">
        <f>IF(AND('Ações'!AT487="sim", 'Ações'!BH487="sim"), 1, 0)
</f>
        <v>0</v>
      </c>
      <c r="Q478" s="319">
        <f>IF(AND('Ações'!AT487="sim", 'Ações'!BI487="sim"), 1, 0)
</f>
        <v>1</v>
      </c>
      <c r="R478" s="319">
        <f>IF(AND('Ações'!AU487="sim", 'Ações'!BD487="sim"), 1, 0)
</f>
        <v>0</v>
      </c>
      <c r="S478" s="319">
        <f>IF(AND('Ações'!AU487="sim", 'Ações'!BE487="sim"), 1, 0)
</f>
        <v>0</v>
      </c>
      <c r="T478" s="319">
        <f>IF(AND('Ações'!AU487="sim", 'Ações'!BG487="sim"), 1, 0)
</f>
        <v>0</v>
      </c>
      <c r="U478" s="319">
        <f>IF(AND('Ações'!AU487="sim", 'Ações'!BH487="sim"), 1, 0)
</f>
        <v>0</v>
      </c>
      <c r="V478" s="319">
        <f>IF(AND('Ações'!AU487="sim", 'Ações'!BI487="sim"), 1, 0)
</f>
        <v>1</v>
      </c>
      <c r="W478" s="319">
        <f>IF(AND('Ações'!AV487="sim", 'Ações'!BD487="sim"), 1, 0)
</f>
        <v>0</v>
      </c>
      <c r="X478" s="319">
        <f>IF(AND('Ações'!AV487="sim", 'Ações'!BE487="sim"), 1, 0)
</f>
        <v>0</v>
      </c>
      <c r="Y478" s="319">
        <f>IF(AND('Ações'!AV487="sim", 'Ações'!BF487="sim"), 1, 0)
</f>
        <v>0</v>
      </c>
      <c r="Z478" s="319">
        <f>IF(AND('Ações'!AV487="sim", 'Ações'!BH487="sim"), 1, 0)
</f>
        <v>0</v>
      </c>
      <c r="AA478" s="319">
        <f>IF(AND('Ações'!AV487="sim", 'Ações'!BI487="sim"), 1, 0)
</f>
        <v>1</v>
      </c>
      <c r="AB478" s="319">
        <f>IF(AND('Ações'!AW487="sim", 'Ações'!BD487="sim"), 1, 0)
</f>
        <v>0</v>
      </c>
      <c r="AC478" s="319">
        <f>IF(AND('Ações'!AW487="sim", 'Ações'!BE487="sim"), 1, 0)
</f>
        <v>0</v>
      </c>
      <c r="AD478" s="319">
        <f>IF(AND('Ações'!AW487="sim", 'Ações'!BF487="sim"), 1, 0)
</f>
        <v>0</v>
      </c>
      <c r="AE478" s="319">
        <f>IF(AND('Ações'!AW487="sim", 'Ações'!BG487="sim"), 1, 0)
</f>
        <v>0</v>
      </c>
      <c r="AF478" s="319">
        <f>IF(AND('Ações'!AW487="sim", 'Ações'!BI487="sim"), 1, 0)
</f>
        <v>1</v>
      </c>
      <c r="AG478" s="319">
        <f>IF(AND('Ações'!AX487="sim", 'Ações'!BD487="sim"), 1, 0)
</f>
        <v>0</v>
      </c>
      <c r="AH478" s="319">
        <f>IF(AND('Ações'!AX487="sim", 'Ações'!BE487="sim"), 1, 0)
</f>
        <v>0</v>
      </c>
      <c r="AI478" s="319">
        <f>IF(AND('Ações'!AX487="sim", 'Ações'!BF487="sim"), 1, 0)
</f>
        <v>0</v>
      </c>
      <c r="AJ478" s="319">
        <f>IF(AND('Ações'!AX487="sim", 'Ações'!BG487="sim"), 1, 0)
</f>
        <v>0</v>
      </c>
      <c r="AK478" s="319">
        <f>IF(AND('Ações'!AX487="sim", 'Ações'!BH487="sim"), 1, 0)
</f>
        <v>0</v>
      </c>
    </row>
    <row r="479">
      <c r="B479" s="319">
        <f>IF(AND('Ações'!AS488="sim", 'Ações'!BD488="sim"), 1, 0)
</f>
        <v>0</v>
      </c>
      <c r="C479" s="319">
        <f>IF(AND('Ações'!AT488="sim", 'Ações'!BE488="sim"), 1, 0)
</f>
        <v>0</v>
      </c>
      <c r="D479" s="319">
        <f>IF(AND('Ações'!AU488="sim", 'Ações'!BF488="sim"), 1, 0)
</f>
        <v>0</v>
      </c>
      <c r="E479" s="319">
        <f>IF(AND('Ações'!AV488="sim", 'Ações'!BG488="sim"), 1, 0)
</f>
        <v>0</v>
      </c>
      <c r="F479" s="319">
        <f>IF(AND('Ações'!AW488="sim", 'Ações'!BH488="sim"), 1, 0)
</f>
        <v>0</v>
      </c>
      <c r="G479" s="319">
        <f>IF(AND('Ações'!AX488="sim", 'Ações'!BI488="sim"), 1, 0)
</f>
        <v>0</v>
      </c>
      <c r="H479" s="319">
        <f>IF(AND('Ações'!AS488="sim", 'Ações'!BE488="sim"), 1, 0)
</f>
        <v>0</v>
      </c>
      <c r="I479" s="319">
        <f>IF(AND('Ações'!AS488="sim", 'Ações'!BF488="sim"), 1, 0)
</f>
        <v>0</v>
      </c>
      <c r="J479" s="319">
        <f>IF(AND('Ações'!AS488="sim", 'Ações'!BG488="sim"), 1, 0)
</f>
        <v>0</v>
      </c>
      <c r="K479" s="319">
        <f>IF(AND('Ações'!AS488="sim", 'Ações'!BH488="sim"), 1, 0)
</f>
        <v>0</v>
      </c>
      <c r="L479" s="319">
        <f>IF(AND('Ações'!AS488="sim", 'Ações'!BI488="sim"), 1, 0)
</f>
        <v>0</v>
      </c>
      <c r="M479" s="319">
        <f>IF(AND('Ações'!AT488="sim", 'Ações'!BD488="sim"), 1, 0)
</f>
        <v>1</v>
      </c>
      <c r="N479" s="319">
        <f>IF(AND('Ações'!AT488="sim", 'Ações'!BF488="sim"), 1, 0)
</f>
        <v>0</v>
      </c>
      <c r="O479" s="319">
        <f>IF(AND('Ações'!AT488="sim", 'Ações'!BG488="sim"), 1, 0)
</f>
        <v>0</v>
      </c>
      <c r="P479" s="319">
        <f>IF(AND('Ações'!AT488="sim", 'Ações'!BH488="sim"), 1, 0)
</f>
        <v>0</v>
      </c>
      <c r="Q479" s="319">
        <f>IF(AND('Ações'!AT488="sim", 'Ações'!BI488="sim"), 1, 0)
</f>
        <v>0</v>
      </c>
      <c r="R479" s="319">
        <f>IF(AND('Ações'!AU488="sim", 'Ações'!BD488="sim"), 1, 0)
</f>
        <v>1</v>
      </c>
      <c r="S479" s="319">
        <f>IF(AND('Ações'!AU488="sim", 'Ações'!BE488="sim"), 1, 0)
</f>
        <v>0</v>
      </c>
      <c r="T479" s="319">
        <f>IF(AND('Ações'!AU488="sim", 'Ações'!BG488="sim"), 1, 0)
</f>
        <v>0</v>
      </c>
      <c r="U479" s="319">
        <f>IF(AND('Ações'!AU488="sim", 'Ações'!BH488="sim"), 1, 0)
</f>
        <v>0</v>
      </c>
      <c r="V479" s="319">
        <f>IF(AND('Ações'!AU488="sim", 'Ações'!BI488="sim"), 1, 0)
</f>
        <v>0</v>
      </c>
      <c r="W479" s="319">
        <f>IF(AND('Ações'!AV488="sim", 'Ações'!BD488="sim"), 1, 0)
</f>
        <v>1</v>
      </c>
      <c r="X479" s="319">
        <f>IF(AND('Ações'!AV488="sim", 'Ações'!BE488="sim"), 1, 0)
</f>
        <v>0</v>
      </c>
      <c r="Y479" s="319">
        <f>IF(AND('Ações'!AV488="sim", 'Ações'!BF488="sim"), 1, 0)
</f>
        <v>0</v>
      </c>
      <c r="Z479" s="319">
        <f>IF(AND('Ações'!AV488="sim", 'Ações'!BH488="sim"), 1, 0)
</f>
        <v>0</v>
      </c>
      <c r="AA479" s="319">
        <f>IF(AND('Ações'!AV488="sim", 'Ações'!BI488="sim"), 1, 0)
</f>
        <v>0</v>
      </c>
      <c r="AB479" s="319">
        <f>IF(AND('Ações'!AW488="sim", 'Ações'!BD488="sim"), 1, 0)
</f>
        <v>1</v>
      </c>
      <c r="AC479" s="319">
        <f>IF(AND('Ações'!AW488="sim", 'Ações'!BE488="sim"), 1, 0)
</f>
        <v>0</v>
      </c>
      <c r="AD479" s="319">
        <f>IF(AND('Ações'!AW488="sim", 'Ações'!BF488="sim"), 1, 0)
</f>
        <v>0</v>
      </c>
      <c r="AE479" s="319">
        <f>IF(AND('Ações'!AW488="sim", 'Ações'!BG488="sim"), 1, 0)
</f>
        <v>0</v>
      </c>
      <c r="AF479" s="319">
        <f>IF(AND('Ações'!AW488="sim", 'Ações'!BI488="sim"), 1, 0)
</f>
        <v>0</v>
      </c>
      <c r="AG479" s="319">
        <f>IF(AND('Ações'!AX488="sim", 'Ações'!BD488="sim"), 1, 0)
</f>
        <v>1</v>
      </c>
      <c r="AH479" s="319">
        <f>IF(AND('Ações'!AX488="sim", 'Ações'!BE488="sim"), 1, 0)
</f>
        <v>0</v>
      </c>
      <c r="AI479" s="319">
        <f>IF(AND('Ações'!AX488="sim", 'Ações'!BF488="sim"), 1, 0)
</f>
        <v>0</v>
      </c>
      <c r="AJ479" s="319">
        <f>IF(AND('Ações'!AX488="sim", 'Ações'!BG488="sim"), 1, 0)
</f>
        <v>0</v>
      </c>
      <c r="AK479" s="319">
        <f>IF(AND('Ações'!AX488="sim", 'Ações'!BH488="sim"), 1, 0)
</f>
        <v>0</v>
      </c>
    </row>
    <row r="480">
      <c r="B480" s="319">
        <f>IF(AND('Ações'!AS489="sim", 'Ações'!BD489="sim"), 1, 0)
</f>
        <v>1</v>
      </c>
      <c r="C480" s="319">
        <f>IF(AND('Ações'!AT489="sim", 'Ações'!BE489="sim"), 1, 0)
</f>
        <v>0</v>
      </c>
      <c r="D480" s="319">
        <f>IF(AND('Ações'!AU489="sim", 'Ações'!BF489="sim"), 1, 0)
</f>
        <v>0</v>
      </c>
      <c r="E480" s="319">
        <f>IF(AND('Ações'!AV489="sim", 'Ações'!BG489="sim"), 1, 0)
</f>
        <v>0</v>
      </c>
      <c r="F480" s="319">
        <f>IF(AND('Ações'!AW489="sim", 'Ações'!BH489="sim"), 1, 0)
</f>
        <v>0</v>
      </c>
      <c r="G480" s="319">
        <f>IF(AND('Ações'!AX489="sim", 'Ações'!BI489="sim"), 1, 0)
</f>
        <v>0</v>
      </c>
      <c r="H480" s="319">
        <f>IF(AND('Ações'!AS489="sim", 'Ações'!BE489="sim"), 1, 0)
</f>
        <v>0</v>
      </c>
      <c r="I480" s="319">
        <f>IF(AND('Ações'!AS489="sim", 'Ações'!BF489="sim"), 1, 0)
</f>
        <v>0</v>
      </c>
      <c r="J480" s="319">
        <f>IF(AND('Ações'!AS489="sim", 'Ações'!BG489="sim"), 1, 0)
</f>
        <v>0</v>
      </c>
      <c r="K480" s="319">
        <f>IF(AND('Ações'!AS489="sim", 'Ações'!BH489="sim"), 1, 0)
</f>
        <v>0</v>
      </c>
      <c r="L480" s="319">
        <f>IF(AND('Ações'!AS489="sim", 'Ações'!BI489="sim"), 1, 0)
</f>
        <v>0</v>
      </c>
      <c r="M480" s="319">
        <f>IF(AND('Ações'!AT489="sim", 'Ações'!BD489="sim"), 1, 0)
</f>
        <v>1</v>
      </c>
      <c r="N480" s="319">
        <f>IF(AND('Ações'!AT489="sim", 'Ações'!BF489="sim"), 1, 0)
</f>
        <v>0</v>
      </c>
      <c r="O480" s="319">
        <f>IF(AND('Ações'!AT489="sim", 'Ações'!BG489="sim"), 1, 0)
</f>
        <v>0</v>
      </c>
      <c r="P480" s="319">
        <f>IF(AND('Ações'!AT489="sim", 'Ações'!BH489="sim"), 1, 0)
</f>
        <v>0</v>
      </c>
      <c r="Q480" s="319">
        <f>IF(AND('Ações'!AT489="sim", 'Ações'!BI489="sim"), 1, 0)
</f>
        <v>0</v>
      </c>
      <c r="R480" s="319">
        <f>IF(AND('Ações'!AU489="sim", 'Ações'!BD489="sim"), 1, 0)
</f>
        <v>1</v>
      </c>
      <c r="S480" s="319">
        <f>IF(AND('Ações'!AU489="sim", 'Ações'!BE489="sim"), 1, 0)
</f>
        <v>0</v>
      </c>
      <c r="T480" s="319">
        <f>IF(AND('Ações'!AU489="sim", 'Ações'!BG489="sim"), 1, 0)
</f>
        <v>0</v>
      </c>
      <c r="U480" s="319">
        <f>IF(AND('Ações'!AU489="sim", 'Ações'!BH489="sim"), 1, 0)
</f>
        <v>0</v>
      </c>
      <c r="V480" s="319">
        <f>IF(AND('Ações'!AU489="sim", 'Ações'!BI489="sim"), 1, 0)
</f>
        <v>0</v>
      </c>
      <c r="W480" s="319">
        <f>IF(AND('Ações'!AV489="sim", 'Ações'!BD489="sim"), 1, 0)
</f>
        <v>1</v>
      </c>
      <c r="X480" s="319">
        <f>IF(AND('Ações'!AV489="sim", 'Ações'!BE489="sim"), 1, 0)
</f>
        <v>0</v>
      </c>
      <c r="Y480" s="319">
        <f>IF(AND('Ações'!AV489="sim", 'Ações'!BF489="sim"), 1, 0)
</f>
        <v>0</v>
      </c>
      <c r="Z480" s="319">
        <f>IF(AND('Ações'!AV489="sim", 'Ações'!BH489="sim"), 1, 0)
</f>
        <v>0</v>
      </c>
      <c r="AA480" s="319">
        <f>IF(AND('Ações'!AV489="sim", 'Ações'!BI489="sim"), 1, 0)
</f>
        <v>0</v>
      </c>
      <c r="AB480" s="319">
        <f>IF(AND('Ações'!AW489="sim", 'Ações'!BD489="sim"), 1, 0)
</f>
        <v>1</v>
      </c>
      <c r="AC480" s="319">
        <f>IF(AND('Ações'!AW489="sim", 'Ações'!BE489="sim"), 1, 0)
</f>
        <v>0</v>
      </c>
      <c r="AD480" s="319">
        <f>IF(AND('Ações'!AW489="sim", 'Ações'!BF489="sim"), 1, 0)
</f>
        <v>0</v>
      </c>
      <c r="AE480" s="319">
        <f>IF(AND('Ações'!AW489="sim", 'Ações'!BG489="sim"), 1, 0)
</f>
        <v>0</v>
      </c>
      <c r="AF480" s="319">
        <f>IF(AND('Ações'!AW489="sim", 'Ações'!BI489="sim"), 1, 0)
</f>
        <v>0</v>
      </c>
      <c r="AG480" s="319">
        <f>IF(AND('Ações'!AX489="sim", 'Ações'!BD489="sim"), 1, 0)
</f>
        <v>0</v>
      </c>
      <c r="AH480" s="319">
        <f>IF(AND('Ações'!AX489="sim", 'Ações'!BE489="sim"), 1, 0)
</f>
        <v>0</v>
      </c>
      <c r="AI480" s="319">
        <f>IF(AND('Ações'!AX489="sim", 'Ações'!BF489="sim"), 1, 0)
</f>
        <v>0</v>
      </c>
      <c r="AJ480" s="319">
        <f>IF(AND('Ações'!AX489="sim", 'Ações'!BG489="sim"), 1, 0)
</f>
        <v>0</v>
      </c>
      <c r="AK480" s="319">
        <f>IF(AND('Ações'!AX489="sim", 'Ações'!BH489="sim"), 1, 0)
</f>
        <v>0</v>
      </c>
    </row>
    <row r="481">
      <c r="B481" s="319">
        <f>IF(AND('Ações'!AS490="sim", 'Ações'!BD490="sim"), 1, 0)
</f>
        <v>0</v>
      </c>
      <c r="C481" s="319">
        <f>IF(AND('Ações'!AT490="sim", 'Ações'!BE490="sim"), 1, 0)
</f>
        <v>0</v>
      </c>
      <c r="D481" s="319">
        <f>IF(AND('Ações'!AU490="sim", 'Ações'!BF490="sim"), 1, 0)
</f>
        <v>0</v>
      </c>
      <c r="E481" s="319">
        <f>IF(AND('Ações'!AV490="sim", 'Ações'!BG490="sim"), 1, 0)
</f>
        <v>0</v>
      </c>
      <c r="F481" s="319">
        <f>IF(AND('Ações'!AW490="sim", 'Ações'!BH490="sim"), 1, 0)
</f>
        <v>0</v>
      </c>
      <c r="G481" s="319">
        <f>IF(AND('Ações'!AX490="sim", 'Ações'!BI490="sim"), 1, 0)
</f>
        <v>0</v>
      </c>
      <c r="H481" s="319">
        <f>IF(AND('Ações'!AS490="sim", 'Ações'!BE490="sim"), 1, 0)
</f>
        <v>0</v>
      </c>
      <c r="I481" s="319">
        <f>IF(AND('Ações'!AS490="sim", 'Ações'!BF490="sim"), 1, 0)
</f>
        <v>0</v>
      </c>
      <c r="J481" s="319">
        <f>IF(AND('Ações'!AS490="sim", 'Ações'!BG490="sim"), 1, 0)
</f>
        <v>0</v>
      </c>
      <c r="K481" s="319">
        <f>IF(AND('Ações'!AS490="sim", 'Ações'!BH490="sim"), 1, 0)
</f>
        <v>0</v>
      </c>
      <c r="L481" s="319">
        <f>IF(AND('Ações'!AS490="sim", 'Ações'!BI490="sim"), 1, 0)
</f>
        <v>1</v>
      </c>
      <c r="M481" s="319">
        <f>IF(AND('Ações'!AT490="sim", 'Ações'!BD490="sim"), 1, 0)
</f>
        <v>0</v>
      </c>
      <c r="N481" s="319">
        <f>IF(AND('Ações'!AT490="sim", 'Ações'!BF490="sim"), 1, 0)
</f>
        <v>0</v>
      </c>
      <c r="O481" s="319">
        <f>IF(AND('Ações'!AT490="sim", 'Ações'!BG490="sim"), 1, 0)
</f>
        <v>0</v>
      </c>
      <c r="P481" s="319">
        <f>IF(AND('Ações'!AT490="sim", 'Ações'!BH490="sim"), 1, 0)
</f>
        <v>0</v>
      </c>
      <c r="Q481" s="319">
        <f>IF(AND('Ações'!AT490="sim", 'Ações'!BI490="sim"), 1, 0)
</f>
        <v>1</v>
      </c>
      <c r="R481" s="319">
        <f>IF(AND('Ações'!AU490="sim", 'Ações'!BD490="sim"), 1, 0)
</f>
        <v>0</v>
      </c>
      <c r="S481" s="319">
        <f>IF(AND('Ações'!AU490="sim", 'Ações'!BE490="sim"), 1, 0)
</f>
        <v>0</v>
      </c>
      <c r="T481" s="319">
        <f>IF(AND('Ações'!AU490="sim", 'Ações'!BG490="sim"), 1, 0)
</f>
        <v>0</v>
      </c>
      <c r="U481" s="319">
        <f>IF(AND('Ações'!AU490="sim", 'Ações'!BH490="sim"), 1, 0)
</f>
        <v>0</v>
      </c>
      <c r="V481" s="319">
        <f>IF(AND('Ações'!AU490="sim", 'Ações'!BI490="sim"), 1, 0)
</f>
        <v>1</v>
      </c>
      <c r="W481" s="319">
        <f>IF(AND('Ações'!AV490="sim", 'Ações'!BD490="sim"), 1, 0)
</f>
        <v>0</v>
      </c>
      <c r="X481" s="319">
        <f>IF(AND('Ações'!AV490="sim", 'Ações'!BE490="sim"), 1, 0)
</f>
        <v>0</v>
      </c>
      <c r="Y481" s="319">
        <f>IF(AND('Ações'!AV490="sim", 'Ações'!BF490="sim"), 1, 0)
</f>
        <v>0</v>
      </c>
      <c r="Z481" s="319">
        <f>IF(AND('Ações'!AV490="sim", 'Ações'!BH490="sim"), 1, 0)
</f>
        <v>0</v>
      </c>
      <c r="AA481" s="319">
        <f>IF(AND('Ações'!AV490="sim", 'Ações'!BI490="sim"), 1, 0)
</f>
        <v>1</v>
      </c>
      <c r="AB481" s="319">
        <f>IF(AND('Ações'!AW490="sim", 'Ações'!BD490="sim"), 1, 0)
</f>
        <v>0</v>
      </c>
      <c r="AC481" s="319">
        <f>IF(AND('Ações'!AW490="sim", 'Ações'!BE490="sim"), 1, 0)
</f>
        <v>0</v>
      </c>
      <c r="AD481" s="319">
        <f>IF(AND('Ações'!AW490="sim", 'Ações'!BF490="sim"), 1, 0)
</f>
        <v>0</v>
      </c>
      <c r="AE481" s="319">
        <f>IF(AND('Ações'!AW490="sim", 'Ações'!BG490="sim"), 1, 0)
</f>
        <v>0</v>
      </c>
      <c r="AF481" s="319">
        <f>IF(AND('Ações'!AW490="sim", 'Ações'!BI490="sim"), 1, 0)
</f>
        <v>1</v>
      </c>
      <c r="AG481" s="319">
        <f>IF(AND('Ações'!AX490="sim", 'Ações'!BD490="sim"), 1, 0)
</f>
        <v>0</v>
      </c>
      <c r="AH481" s="319">
        <f>IF(AND('Ações'!AX490="sim", 'Ações'!BE490="sim"), 1, 0)
</f>
        <v>0</v>
      </c>
      <c r="AI481" s="319">
        <f>IF(AND('Ações'!AX490="sim", 'Ações'!BF490="sim"), 1, 0)
</f>
        <v>0</v>
      </c>
      <c r="AJ481" s="319">
        <f>IF(AND('Ações'!AX490="sim", 'Ações'!BG490="sim"), 1, 0)
</f>
        <v>0</v>
      </c>
      <c r="AK481" s="319">
        <f>IF(AND('Ações'!AX490="sim", 'Ações'!BH490="sim"), 1, 0)
</f>
        <v>0</v>
      </c>
    </row>
    <row r="482">
      <c r="B482" s="319">
        <f>IF(AND('Ações'!AS491="sim", 'Ações'!BD491="sim"), 1, 0)
</f>
        <v>1</v>
      </c>
      <c r="C482" s="319">
        <f>IF(AND('Ações'!AT491="sim", 'Ações'!BE491="sim"), 1, 0)
</f>
        <v>0</v>
      </c>
      <c r="D482" s="319">
        <f>IF(AND('Ações'!AU491="sim", 'Ações'!BF491="sim"), 1, 0)
</f>
        <v>0</v>
      </c>
      <c r="E482" s="319">
        <f>IF(AND('Ações'!AV491="sim", 'Ações'!BG491="sim"), 1, 0)
</f>
        <v>0</v>
      </c>
      <c r="F482" s="319">
        <f>IF(AND('Ações'!AW491="sim", 'Ações'!BH491="sim"), 1, 0)
</f>
        <v>0</v>
      </c>
      <c r="G482" s="319">
        <f>IF(AND('Ações'!AX491="sim", 'Ações'!BI491="sim"), 1, 0)
</f>
        <v>0</v>
      </c>
      <c r="H482" s="319">
        <f>IF(AND('Ações'!AS491="sim", 'Ações'!BE491="sim"), 1, 0)
</f>
        <v>0</v>
      </c>
      <c r="I482" s="319">
        <f>IF(AND('Ações'!AS491="sim", 'Ações'!BF491="sim"), 1, 0)
</f>
        <v>0</v>
      </c>
      <c r="J482" s="319">
        <f>IF(AND('Ações'!AS491="sim", 'Ações'!BG491="sim"), 1, 0)
</f>
        <v>0</v>
      </c>
      <c r="K482" s="319">
        <f>IF(AND('Ações'!AS491="sim", 'Ações'!BH491="sim"), 1, 0)
</f>
        <v>0</v>
      </c>
      <c r="L482" s="319">
        <f>IF(AND('Ações'!AS491="sim", 'Ações'!BI491="sim"), 1, 0)
</f>
        <v>0</v>
      </c>
      <c r="M482" s="319">
        <f>IF(AND('Ações'!AT491="sim", 'Ações'!BD491="sim"), 1, 0)
</f>
        <v>1</v>
      </c>
      <c r="N482" s="319">
        <f>IF(AND('Ações'!AT491="sim", 'Ações'!BF491="sim"), 1, 0)
</f>
        <v>0</v>
      </c>
      <c r="O482" s="319">
        <f>IF(AND('Ações'!AT491="sim", 'Ações'!BG491="sim"), 1, 0)
</f>
        <v>0</v>
      </c>
      <c r="P482" s="319">
        <f>IF(AND('Ações'!AT491="sim", 'Ações'!BH491="sim"), 1, 0)
</f>
        <v>0</v>
      </c>
      <c r="Q482" s="319">
        <f>IF(AND('Ações'!AT491="sim", 'Ações'!BI491="sim"), 1, 0)
</f>
        <v>0</v>
      </c>
      <c r="R482" s="319">
        <f>IF(AND('Ações'!AU491="sim", 'Ações'!BD491="sim"), 1, 0)
</f>
        <v>1</v>
      </c>
      <c r="S482" s="319">
        <f>IF(AND('Ações'!AU491="sim", 'Ações'!BE491="sim"), 1, 0)
</f>
        <v>0</v>
      </c>
      <c r="T482" s="319">
        <f>IF(AND('Ações'!AU491="sim", 'Ações'!BG491="sim"), 1, 0)
</f>
        <v>0</v>
      </c>
      <c r="U482" s="319">
        <f>IF(AND('Ações'!AU491="sim", 'Ações'!BH491="sim"), 1, 0)
</f>
        <v>0</v>
      </c>
      <c r="V482" s="319">
        <f>IF(AND('Ações'!AU491="sim", 'Ações'!BI491="sim"), 1, 0)
</f>
        <v>0</v>
      </c>
      <c r="W482" s="319">
        <f>IF(AND('Ações'!AV491="sim", 'Ações'!BD491="sim"), 1, 0)
</f>
        <v>1</v>
      </c>
      <c r="X482" s="319">
        <f>IF(AND('Ações'!AV491="sim", 'Ações'!BE491="sim"), 1, 0)
</f>
        <v>0</v>
      </c>
      <c r="Y482" s="319">
        <f>IF(AND('Ações'!AV491="sim", 'Ações'!BF491="sim"), 1, 0)
</f>
        <v>0</v>
      </c>
      <c r="Z482" s="319">
        <f>IF(AND('Ações'!AV491="sim", 'Ações'!BH491="sim"), 1, 0)
</f>
        <v>0</v>
      </c>
      <c r="AA482" s="319">
        <f>IF(AND('Ações'!AV491="sim", 'Ações'!BI491="sim"), 1, 0)
</f>
        <v>0</v>
      </c>
      <c r="AB482" s="319">
        <f>IF(AND('Ações'!AW491="sim", 'Ações'!BD491="sim"), 1, 0)
</f>
        <v>1</v>
      </c>
      <c r="AC482" s="319">
        <f>IF(AND('Ações'!AW491="sim", 'Ações'!BE491="sim"), 1, 0)
</f>
        <v>0</v>
      </c>
      <c r="AD482" s="319">
        <f>IF(AND('Ações'!AW491="sim", 'Ações'!BF491="sim"), 1, 0)
</f>
        <v>0</v>
      </c>
      <c r="AE482" s="319">
        <f>IF(AND('Ações'!AW491="sim", 'Ações'!BG491="sim"), 1, 0)
</f>
        <v>0</v>
      </c>
      <c r="AF482" s="319">
        <f>IF(AND('Ações'!AW491="sim", 'Ações'!BI491="sim"), 1, 0)
</f>
        <v>0</v>
      </c>
      <c r="AG482" s="319">
        <f>IF(AND('Ações'!AX491="sim", 'Ações'!BD491="sim"), 1, 0)
</f>
        <v>0</v>
      </c>
      <c r="AH482" s="319">
        <f>IF(AND('Ações'!AX491="sim", 'Ações'!BE491="sim"), 1, 0)
</f>
        <v>0</v>
      </c>
      <c r="AI482" s="319">
        <f>IF(AND('Ações'!AX491="sim", 'Ações'!BF491="sim"), 1, 0)
</f>
        <v>0</v>
      </c>
      <c r="AJ482" s="319">
        <f>IF(AND('Ações'!AX491="sim", 'Ações'!BG491="sim"), 1, 0)
</f>
        <v>0</v>
      </c>
      <c r="AK482" s="319">
        <f>IF(AND('Ações'!AX491="sim", 'Ações'!BH491="sim"), 1, 0)
</f>
        <v>0</v>
      </c>
    </row>
    <row r="483">
      <c r="B483" s="319">
        <f>IF(AND('Ações'!AS492="sim", 'Ações'!BD492="sim"), 1, 0)
</f>
        <v>0</v>
      </c>
      <c r="C483" s="319">
        <f>IF(AND('Ações'!AT492="sim", 'Ações'!BE492="sim"), 1, 0)
</f>
        <v>0</v>
      </c>
      <c r="D483" s="319">
        <f>IF(AND('Ações'!AU492="sim", 'Ações'!BF492="sim"), 1, 0)
</f>
        <v>0</v>
      </c>
      <c r="E483" s="319">
        <f>IF(AND('Ações'!AV492="sim", 'Ações'!BG492="sim"), 1, 0)
</f>
        <v>0</v>
      </c>
      <c r="F483" s="319">
        <f>IF(AND('Ações'!AW492="sim", 'Ações'!BH492="sim"), 1, 0)
</f>
        <v>0</v>
      </c>
      <c r="G483" s="319">
        <f>IF(AND('Ações'!AX492="sim", 'Ações'!BI492="sim"), 1, 0)
</f>
        <v>0</v>
      </c>
      <c r="H483" s="319">
        <f>IF(AND('Ações'!AS492="sim", 'Ações'!BE492="sim"), 1, 0)
</f>
        <v>0</v>
      </c>
      <c r="I483" s="319">
        <f>IF(AND('Ações'!AS492="sim", 'Ações'!BF492="sim"), 1, 0)
</f>
        <v>0</v>
      </c>
      <c r="J483" s="319">
        <f>IF(AND('Ações'!AS492="sim", 'Ações'!BG492="sim"), 1, 0)
</f>
        <v>0</v>
      </c>
      <c r="K483" s="319">
        <f>IF(AND('Ações'!AS492="sim", 'Ações'!BH492="sim"), 1, 0)
</f>
        <v>0</v>
      </c>
      <c r="L483" s="319">
        <f>IF(AND('Ações'!AS492="sim", 'Ações'!BI492="sim"), 1, 0)
</f>
        <v>1</v>
      </c>
      <c r="M483" s="319">
        <f>IF(AND('Ações'!AT492="sim", 'Ações'!BD492="sim"), 1, 0)
</f>
        <v>0</v>
      </c>
      <c r="N483" s="319">
        <f>IF(AND('Ações'!AT492="sim", 'Ações'!BF492="sim"), 1, 0)
</f>
        <v>0</v>
      </c>
      <c r="O483" s="319">
        <f>IF(AND('Ações'!AT492="sim", 'Ações'!BG492="sim"), 1, 0)
</f>
        <v>0</v>
      </c>
      <c r="P483" s="319">
        <f>IF(AND('Ações'!AT492="sim", 'Ações'!BH492="sim"), 1, 0)
</f>
        <v>0</v>
      </c>
      <c r="Q483" s="319">
        <f>IF(AND('Ações'!AT492="sim", 'Ações'!BI492="sim"), 1, 0)
</f>
        <v>1</v>
      </c>
      <c r="R483" s="319">
        <f>IF(AND('Ações'!AU492="sim", 'Ações'!BD492="sim"), 1, 0)
</f>
        <v>0</v>
      </c>
      <c r="S483" s="319">
        <f>IF(AND('Ações'!AU492="sim", 'Ações'!BE492="sim"), 1, 0)
</f>
        <v>0</v>
      </c>
      <c r="T483" s="319">
        <f>IF(AND('Ações'!AU492="sim", 'Ações'!BG492="sim"), 1, 0)
</f>
        <v>0</v>
      </c>
      <c r="U483" s="319">
        <f>IF(AND('Ações'!AU492="sim", 'Ações'!BH492="sim"), 1, 0)
</f>
        <v>0</v>
      </c>
      <c r="V483" s="319">
        <f>IF(AND('Ações'!AU492="sim", 'Ações'!BI492="sim"), 1, 0)
</f>
        <v>1</v>
      </c>
      <c r="W483" s="319">
        <f>IF(AND('Ações'!AV492="sim", 'Ações'!BD492="sim"), 1, 0)
</f>
        <v>0</v>
      </c>
      <c r="X483" s="319">
        <f>IF(AND('Ações'!AV492="sim", 'Ações'!BE492="sim"), 1, 0)
</f>
        <v>0</v>
      </c>
      <c r="Y483" s="319">
        <f>IF(AND('Ações'!AV492="sim", 'Ações'!BF492="sim"), 1, 0)
</f>
        <v>0</v>
      </c>
      <c r="Z483" s="319">
        <f>IF(AND('Ações'!AV492="sim", 'Ações'!BH492="sim"), 1, 0)
</f>
        <v>0</v>
      </c>
      <c r="AA483" s="319">
        <f>IF(AND('Ações'!AV492="sim", 'Ações'!BI492="sim"), 1, 0)
</f>
        <v>1</v>
      </c>
      <c r="AB483" s="319">
        <f>IF(AND('Ações'!AW492="sim", 'Ações'!BD492="sim"), 1, 0)
</f>
        <v>0</v>
      </c>
      <c r="AC483" s="319">
        <f>IF(AND('Ações'!AW492="sim", 'Ações'!BE492="sim"), 1, 0)
</f>
        <v>0</v>
      </c>
      <c r="AD483" s="319">
        <f>IF(AND('Ações'!AW492="sim", 'Ações'!BF492="sim"), 1, 0)
</f>
        <v>0</v>
      </c>
      <c r="AE483" s="319">
        <f>IF(AND('Ações'!AW492="sim", 'Ações'!BG492="sim"), 1, 0)
</f>
        <v>0</v>
      </c>
      <c r="AF483" s="319">
        <f>IF(AND('Ações'!AW492="sim", 'Ações'!BI492="sim"), 1, 0)
</f>
        <v>1</v>
      </c>
      <c r="AG483" s="319">
        <f>IF(AND('Ações'!AX492="sim", 'Ações'!BD492="sim"), 1, 0)
</f>
        <v>0</v>
      </c>
      <c r="AH483" s="319">
        <f>IF(AND('Ações'!AX492="sim", 'Ações'!BE492="sim"), 1, 0)
</f>
        <v>0</v>
      </c>
      <c r="AI483" s="319">
        <f>IF(AND('Ações'!AX492="sim", 'Ações'!BF492="sim"), 1, 0)
</f>
        <v>0</v>
      </c>
      <c r="AJ483" s="319">
        <f>IF(AND('Ações'!AX492="sim", 'Ações'!BG492="sim"), 1, 0)
</f>
        <v>0</v>
      </c>
      <c r="AK483" s="319">
        <f>IF(AND('Ações'!AX492="sim", 'Ações'!BH492="sim"), 1, 0)
</f>
        <v>0</v>
      </c>
    </row>
    <row r="484">
      <c r="B484" s="319">
        <f>IF(AND('Ações'!AS493="sim", 'Ações'!BD493="sim"), 1, 0)
</f>
        <v>1</v>
      </c>
      <c r="C484" s="319">
        <f>IF(AND('Ações'!AT493="sim", 'Ações'!BE493="sim"), 1, 0)
</f>
        <v>0</v>
      </c>
      <c r="D484" s="319">
        <f>IF(AND('Ações'!AU493="sim", 'Ações'!BF493="sim"), 1, 0)
</f>
        <v>0</v>
      </c>
      <c r="E484" s="319">
        <f>IF(AND('Ações'!AV493="sim", 'Ações'!BG493="sim"), 1, 0)
</f>
        <v>0</v>
      </c>
      <c r="F484" s="319">
        <f>IF(AND('Ações'!AW493="sim", 'Ações'!BH493="sim"), 1, 0)
</f>
        <v>0</v>
      </c>
      <c r="G484" s="319">
        <f>IF(AND('Ações'!AX493="sim", 'Ações'!BI493="sim"), 1, 0)
</f>
        <v>0</v>
      </c>
      <c r="H484" s="319">
        <f>IF(AND('Ações'!AS493="sim", 'Ações'!BE493="sim"), 1, 0)
</f>
        <v>0</v>
      </c>
      <c r="I484" s="319">
        <f>IF(AND('Ações'!AS493="sim", 'Ações'!BF493="sim"), 1, 0)
</f>
        <v>0</v>
      </c>
      <c r="J484" s="319">
        <f>IF(AND('Ações'!AS493="sim", 'Ações'!BG493="sim"), 1, 0)
</f>
        <v>0</v>
      </c>
      <c r="K484" s="319">
        <f>IF(AND('Ações'!AS493="sim", 'Ações'!BH493="sim"), 1, 0)
</f>
        <v>0</v>
      </c>
      <c r="L484" s="319">
        <f>IF(AND('Ações'!AS493="sim", 'Ações'!BI493="sim"), 1, 0)
</f>
        <v>0</v>
      </c>
      <c r="M484" s="319">
        <f>IF(AND('Ações'!AT493="sim", 'Ações'!BD493="sim"), 1, 0)
</f>
        <v>1</v>
      </c>
      <c r="N484" s="319">
        <f>IF(AND('Ações'!AT493="sim", 'Ações'!BF493="sim"), 1, 0)
</f>
        <v>0</v>
      </c>
      <c r="O484" s="319">
        <f>IF(AND('Ações'!AT493="sim", 'Ações'!BG493="sim"), 1, 0)
</f>
        <v>0</v>
      </c>
      <c r="P484" s="319">
        <f>IF(AND('Ações'!AT493="sim", 'Ações'!BH493="sim"), 1, 0)
</f>
        <v>0</v>
      </c>
      <c r="Q484" s="319">
        <f>IF(AND('Ações'!AT493="sim", 'Ações'!BI493="sim"), 1, 0)
</f>
        <v>0</v>
      </c>
      <c r="R484" s="319">
        <f>IF(AND('Ações'!AU493="sim", 'Ações'!BD493="sim"), 1, 0)
</f>
        <v>1</v>
      </c>
      <c r="S484" s="319">
        <f>IF(AND('Ações'!AU493="sim", 'Ações'!BE493="sim"), 1, 0)
</f>
        <v>0</v>
      </c>
      <c r="T484" s="319">
        <f>IF(AND('Ações'!AU493="sim", 'Ações'!BG493="sim"), 1, 0)
</f>
        <v>0</v>
      </c>
      <c r="U484" s="319">
        <f>IF(AND('Ações'!AU493="sim", 'Ações'!BH493="sim"), 1, 0)
</f>
        <v>0</v>
      </c>
      <c r="V484" s="319">
        <f>IF(AND('Ações'!AU493="sim", 'Ações'!BI493="sim"), 1, 0)
</f>
        <v>0</v>
      </c>
      <c r="W484" s="319">
        <f>IF(AND('Ações'!AV493="sim", 'Ações'!BD493="sim"), 1, 0)
</f>
        <v>1</v>
      </c>
      <c r="X484" s="319">
        <f>IF(AND('Ações'!AV493="sim", 'Ações'!BE493="sim"), 1, 0)
</f>
        <v>0</v>
      </c>
      <c r="Y484" s="319">
        <f>IF(AND('Ações'!AV493="sim", 'Ações'!BF493="sim"), 1, 0)
</f>
        <v>0</v>
      </c>
      <c r="Z484" s="319">
        <f>IF(AND('Ações'!AV493="sim", 'Ações'!BH493="sim"), 1, 0)
</f>
        <v>0</v>
      </c>
      <c r="AA484" s="319">
        <f>IF(AND('Ações'!AV493="sim", 'Ações'!BI493="sim"), 1, 0)
</f>
        <v>0</v>
      </c>
      <c r="AB484" s="319">
        <f>IF(AND('Ações'!AW493="sim", 'Ações'!BD493="sim"), 1, 0)
</f>
        <v>1</v>
      </c>
      <c r="AC484" s="319">
        <f>IF(AND('Ações'!AW493="sim", 'Ações'!BE493="sim"), 1, 0)
</f>
        <v>0</v>
      </c>
      <c r="AD484" s="319">
        <f>IF(AND('Ações'!AW493="sim", 'Ações'!BF493="sim"), 1, 0)
</f>
        <v>0</v>
      </c>
      <c r="AE484" s="319">
        <f>IF(AND('Ações'!AW493="sim", 'Ações'!BG493="sim"), 1, 0)
</f>
        <v>0</v>
      </c>
      <c r="AF484" s="319">
        <f>IF(AND('Ações'!AW493="sim", 'Ações'!BI493="sim"), 1, 0)
</f>
        <v>0</v>
      </c>
      <c r="AG484" s="319">
        <f>IF(AND('Ações'!AX493="sim", 'Ações'!BD493="sim"), 1, 0)
</f>
        <v>0</v>
      </c>
      <c r="AH484" s="319">
        <f>IF(AND('Ações'!AX493="sim", 'Ações'!BE493="sim"), 1, 0)
</f>
        <v>0</v>
      </c>
      <c r="AI484" s="319">
        <f>IF(AND('Ações'!AX493="sim", 'Ações'!BF493="sim"), 1, 0)
</f>
        <v>0</v>
      </c>
      <c r="AJ484" s="319">
        <f>IF(AND('Ações'!AX493="sim", 'Ações'!BG493="sim"), 1, 0)
</f>
        <v>0</v>
      </c>
      <c r="AK484" s="319">
        <f>IF(AND('Ações'!AX493="sim", 'Ações'!BH493="sim"), 1, 0)
</f>
        <v>0</v>
      </c>
    </row>
    <row r="485">
      <c r="B485" s="319">
        <f>IF(AND('Ações'!AS494="sim", 'Ações'!BD494="sim"), 1, 0)
</f>
        <v>1</v>
      </c>
      <c r="C485" s="319">
        <f>IF(AND('Ações'!AT494="sim", 'Ações'!BE494="sim"), 1, 0)
</f>
        <v>0</v>
      </c>
      <c r="D485" s="319">
        <f>IF(AND('Ações'!AU494="sim", 'Ações'!BF494="sim"), 1, 0)
</f>
        <v>0</v>
      </c>
      <c r="E485" s="319">
        <f>IF(AND('Ações'!AV494="sim", 'Ações'!BG494="sim"), 1, 0)
</f>
        <v>0</v>
      </c>
      <c r="F485" s="319">
        <f>IF(AND('Ações'!AW494="sim", 'Ações'!BH494="sim"), 1, 0)
</f>
        <v>0</v>
      </c>
      <c r="G485" s="319">
        <f>IF(AND('Ações'!AX494="sim", 'Ações'!BI494="sim"), 1, 0)
</f>
        <v>0</v>
      </c>
      <c r="H485" s="319">
        <f>IF(AND('Ações'!AS494="sim", 'Ações'!BE494="sim"), 1, 0)
</f>
        <v>0</v>
      </c>
      <c r="I485" s="319">
        <f>IF(AND('Ações'!AS494="sim", 'Ações'!BF494="sim"), 1, 0)
</f>
        <v>0</v>
      </c>
      <c r="J485" s="319">
        <f>IF(AND('Ações'!AS494="sim", 'Ações'!BG494="sim"), 1, 0)
</f>
        <v>0</v>
      </c>
      <c r="K485" s="319">
        <f>IF(AND('Ações'!AS494="sim", 'Ações'!BH494="sim"), 1, 0)
</f>
        <v>0</v>
      </c>
      <c r="L485" s="319">
        <f>IF(AND('Ações'!AS494="sim", 'Ações'!BI494="sim"), 1, 0)
</f>
        <v>0</v>
      </c>
      <c r="M485" s="319">
        <f>IF(AND('Ações'!AT494="sim", 'Ações'!BD494="sim"), 1, 0)
</f>
        <v>1</v>
      </c>
      <c r="N485" s="319">
        <f>IF(AND('Ações'!AT494="sim", 'Ações'!BF494="sim"), 1, 0)
</f>
        <v>0</v>
      </c>
      <c r="O485" s="319">
        <f>IF(AND('Ações'!AT494="sim", 'Ações'!BG494="sim"), 1, 0)
</f>
        <v>0</v>
      </c>
      <c r="P485" s="319">
        <f>IF(AND('Ações'!AT494="sim", 'Ações'!BH494="sim"), 1, 0)
</f>
        <v>0</v>
      </c>
      <c r="Q485" s="319">
        <f>IF(AND('Ações'!AT494="sim", 'Ações'!BI494="sim"), 1, 0)
</f>
        <v>0</v>
      </c>
      <c r="R485" s="319">
        <f>IF(AND('Ações'!AU494="sim", 'Ações'!BD494="sim"), 1, 0)
</f>
        <v>1</v>
      </c>
      <c r="S485" s="319">
        <f>IF(AND('Ações'!AU494="sim", 'Ações'!BE494="sim"), 1, 0)
</f>
        <v>0</v>
      </c>
      <c r="T485" s="319">
        <f>IF(AND('Ações'!AU494="sim", 'Ações'!BG494="sim"), 1, 0)
</f>
        <v>0</v>
      </c>
      <c r="U485" s="319">
        <f>IF(AND('Ações'!AU494="sim", 'Ações'!BH494="sim"), 1, 0)
</f>
        <v>0</v>
      </c>
      <c r="V485" s="319">
        <f>IF(AND('Ações'!AU494="sim", 'Ações'!BI494="sim"), 1, 0)
</f>
        <v>0</v>
      </c>
      <c r="W485" s="319">
        <f>IF(AND('Ações'!AV494="sim", 'Ações'!BD494="sim"), 1, 0)
</f>
        <v>1</v>
      </c>
      <c r="X485" s="319">
        <f>IF(AND('Ações'!AV494="sim", 'Ações'!BE494="sim"), 1, 0)
</f>
        <v>0</v>
      </c>
      <c r="Y485" s="319">
        <f>IF(AND('Ações'!AV494="sim", 'Ações'!BF494="sim"), 1, 0)
</f>
        <v>0</v>
      </c>
      <c r="Z485" s="319">
        <f>IF(AND('Ações'!AV494="sim", 'Ações'!BH494="sim"), 1, 0)
</f>
        <v>0</v>
      </c>
      <c r="AA485" s="319">
        <f>IF(AND('Ações'!AV494="sim", 'Ações'!BI494="sim"), 1, 0)
</f>
        <v>0</v>
      </c>
      <c r="AB485" s="319">
        <f>IF(AND('Ações'!AW494="sim", 'Ações'!BD494="sim"), 1, 0)
</f>
        <v>1</v>
      </c>
      <c r="AC485" s="319">
        <f>IF(AND('Ações'!AW494="sim", 'Ações'!BE494="sim"), 1, 0)
</f>
        <v>0</v>
      </c>
      <c r="AD485" s="319">
        <f>IF(AND('Ações'!AW494="sim", 'Ações'!BF494="sim"), 1, 0)
</f>
        <v>0</v>
      </c>
      <c r="AE485" s="319">
        <f>IF(AND('Ações'!AW494="sim", 'Ações'!BG494="sim"), 1, 0)
</f>
        <v>0</v>
      </c>
      <c r="AF485" s="319">
        <f>IF(AND('Ações'!AW494="sim", 'Ações'!BI494="sim"), 1, 0)
</f>
        <v>0</v>
      </c>
      <c r="AG485" s="319">
        <f>IF(AND('Ações'!AX494="sim", 'Ações'!BD494="sim"), 1, 0)
</f>
        <v>0</v>
      </c>
      <c r="AH485" s="319">
        <f>IF(AND('Ações'!AX494="sim", 'Ações'!BE494="sim"), 1, 0)
</f>
        <v>0</v>
      </c>
      <c r="AI485" s="319">
        <f>IF(AND('Ações'!AX494="sim", 'Ações'!BF494="sim"), 1, 0)
</f>
        <v>0</v>
      </c>
      <c r="AJ485" s="319">
        <f>IF(AND('Ações'!AX494="sim", 'Ações'!BG494="sim"), 1, 0)
</f>
        <v>0</v>
      </c>
      <c r="AK485" s="319">
        <f>IF(AND('Ações'!AX494="sim", 'Ações'!BH494="sim"), 1, 0)
</f>
        <v>0</v>
      </c>
    </row>
    <row r="486">
      <c r="B486" s="319">
        <f>IF(AND('Ações'!AS495="sim", 'Ações'!BD495="sim"), 1, 0)
</f>
        <v>1</v>
      </c>
      <c r="C486" s="319">
        <f>IF(AND('Ações'!AT495="sim", 'Ações'!BE495="sim"), 1, 0)
</f>
        <v>0</v>
      </c>
      <c r="D486" s="319">
        <f>IF(AND('Ações'!AU495="sim", 'Ações'!BF495="sim"), 1, 0)
</f>
        <v>0</v>
      </c>
      <c r="E486" s="319">
        <f>IF(AND('Ações'!AV495="sim", 'Ações'!BG495="sim"), 1, 0)
</f>
        <v>0</v>
      </c>
      <c r="F486" s="319">
        <f>IF(AND('Ações'!AW495="sim", 'Ações'!BH495="sim"), 1, 0)
</f>
        <v>0</v>
      </c>
      <c r="G486" s="319">
        <f>IF(AND('Ações'!AX495="sim", 'Ações'!BI495="sim"), 1, 0)
</f>
        <v>0</v>
      </c>
      <c r="H486" s="319">
        <f>IF(AND('Ações'!AS495="sim", 'Ações'!BE495="sim"), 1, 0)
</f>
        <v>0</v>
      </c>
      <c r="I486" s="319">
        <f>IF(AND('Ações'!AS495="sim", 'Ações'!BF495="sim"), 1, 0)
</f>
        <v>0</v>
      </c>
      <c r="J486" s="319">
        <f>IF(AND('Ações'!AS495="sim", 'Ações'!BG495="sim"), 1, 0)
</f>
        <v>0</v>
      </c>
      <c r="K486" s="319">
        <f>IF(AND('Ações'!AS495="sim", 'Ações'!BH495="sim"), 1, 0)
</f>
        <v>0</v>
      </c>
      <c r="L486" s="319">
        <f>IF(AND('Ações'!AS495="sim", 'Ações'!BI495="sim"), 1, 0)
</f>
        <v>0</v>
      </c>
      <c r="M486" s="319">
        <f>IF(AND('Ações'!AT495="sim", 'Ações'!BD495="sim"), 1, 0)
</f>
        <v>1</v>
      </c>
      <c r="N486" s="319">
        <f>IF(AND('Ações'!AT495="sim", 'Ações'!BF495="sim"), 1, 0)
</f>
        <v>0</v>
      </c>
      <c r="O486" s="319">
        <f>IF(AND('Ações'!AT495="sim", 'Ações'!BG495="sim"), 1, 0)
</f>
        <v>0</v>
      </c>
      <c r="P486" s="319">
        <f>IF(AND('Ações'!AT495="sim", 'Ações'!BH495="sim"), 1, 0)
</f>
        <v>0</v>
      </c>
      <c r="Q486" s="319">
        <f>IF(AND('Ações'!AT495="sim", 'Ações'!BI495="sim"), 1, 0)
</f>
        <v>0</v>
      </c>
      <c r="R486" s="319">
        <f>IF(AND('Ações'!AU495="sim", 'Ações'!BD495="sim"), 1, 0)
</f>
        <v>1</v>
      </c>
      <c r="S486" s="319">
        <f>IF(AND('Ações'!AU495="sim", 'Ações'!BE495="sim"), 1, 0)
</f>
        <v>0</v>
      </c>
      <c r="T486" s="319">
        <f>IF(AND('Ações'!AU495="sim", 'Ações'!BG495="sim"), 1, 0)
</f>
        <v>0</v>
      </c>
      <c r="U486" s="319">
        <f>IF(AND('Ações'!AU495="sim", 'Ações'!BH495="sim"), 1, 0)
</f>
        <v>0</v>
      </c>
      <c r="V486" s="319">
        <f>IF(AND('Ações'!AU495="sim", 'Ações'!BI495="sim"), 1, 0)
</f>
        <v>0</v>
      </c>
      <c r="W486" s="319">
        <f>IF(AND('Ações'!AV495="sim", 'Ações'!BD495="sim"), 1, 0)
</f>
        <v>1</v>
      </c>
      <c r="X486" s="319">
        <f>IF(AND('Ações'!AV495="sim", 'Ações'!BE495="sim"), 1, 0)
</f>
        <v>0</v>
      </c>
      <c r="Y486" s="319">
        <f>IF(AND('Ações'!AV495="sim", 'Ações'!BF495="sim"), 1, 0)
</f>
        <v>0</v>
      </c>
      <c r="Z486" s="319">
        <f>IF(AND('Ações'!AV495="sim", 'Ações'!BH495="sim"), 1, 0)
</f>
        <v>0</v>
      </c>
      <c r="AA486" s="319">
        <f>IF(AND('Ações'!AV495="sim", 'Ações'!BI495="sim"), 1, 0)
</f>
        <v>0</v>
      </c>
      <c r="AB486" s="319">
        <f>IF(AND('Ações'!AW495="sim", 'Ações'!BD495="sim"), 1, 0)
</f>
        <v>1</v>
      </c>
      <c r="AC486" s="319">
        <f>IF(AND('Ações'!AW495="sim", 'Ações'!BE495="sim"), 1, 0)
</f>
        <v>0</v>
      </c>
      <c r="AD486" s="319">
        <f>IF(AND('Ações'!AW495="sim", 'Ações'!BF495="sim"), 1, 0)
</f>
        <v>0</v>
      </c>
      <c r="AE486" s="319">
        <f>IF(AND('Ações'!AW495="sim", 'Ações'!BG495="sim"), 1, 0)
</f>
        <v>0</v>
      </c>
      <c r="AF486" s="319">
        <f>IF(AND('Ações'!AW495="sim", 'Ações'!BI495="sim"), 1, 0)
</f>
        <v>0</v>
      </c>
      <c r="AG486" s="319">
        <f>IF(AND('Ações'!AX495="sim", 'Ações'!BD495="sim"), 1, 0)
</f>
        <v>0</v>
      </c>
      <c r="AH486" s="319">
        <f>IF(AND('Ações'!AX495="sim", 'Ações'!BE495="sim"), 1, 0)
</f>
        <v>0</v>
      </c>
      <c r="AI486" s="319">
        <f>IF(AND('Ações'!AX495="sim", 'Ações'!BF495="sim"), 1, 0)
</f>
        <v>0</v>
      </c>
      <c r="AJ486" s="319">
        <f>IF(AND('Ações'!AX495="sim", 'Ações'!BG495="sim"), 1, 0)
</f>
        <v>0</v>
      </c>
      <c r="AK486" s="319">
        <f>IF(AND('Ações'!AX495="sim", 'Ações'!BH495="sim"), 1, 0)
</f>
        <v>0</v>
      </c>
    </row>
    <row r="487">
      <c r="B487" s="319">
        <f>IF(AND('Ações'!AS496="sim", 'Ações'!BD496="sim"), 1, 0)
</f>
        <v>1</v>
      </c>
      <c r="C487" s="319">
        <f>IF(AND('Ações'!AT496="sim", 'Ações'!BE496="sim"), 1, 0)
</f>
        <v>0</v>
      </c>
      <c r="D487" s="319">
        <f>IF(AND('Ações'!AU496="sim", 'Ações'!BF496="sim"), 1, 0)
</f>
        <v>0</v>
      </c>
      <c r="E487" s="319">
        <f>IF(AND('Ações'!AV496="sim", 'Ações'!BG496="sim"), 1, 0)
</f>
        <v>0</v>
      </c>
      <c r="F487" s="319">
        <f>IF(AND('Ações'!AW496="sim", 'Ações'!BH496="sim"), 1, 0)
</f>
        <v>0</v>
      </c>
      <c r="G487" s="319">
        <f>IF(AND('Ações'!AX496="sim", 'Ações'!BI496="sim"), 1, 0)
</f>
        <v>0</v>
      </c>
      <c r="H487" s="319">
        <f>IF(AND('Ações'!AS496="sim", 'Ações'!BE496="sim"), 1, 0)
</f>
        <v>0</v>
      </c>
      <c r="I487" s="319">
        <f>IF(AND('Ações'!AS496="sim", 'Ações'!BF496="sim"), 1, 0)
</f>
        <v>0</v>
      </c>
      <c r="J487" s="319">
        <f>IF(AND('Ações'!AS496="sim", 'Ações'!BG496="sim"), 1, 0)
</f>
        <v>0</v>
      </c>
      <c r="K487" s="319">
        <f>IF(AND('Ações'!AS496="sim", 'Ações'!BH496="sim"), 1, 0)
</f>
        <v>0</v>
      </c>
      <c r="L487" s="319">
        <f>IF(AND('Ações'!AS496="sim", 'Ações'!BI496="sim"), 1, 0)
</f>
        <v>0</v>
      </c>
      <c r="M487" s="319">
        <f>IF(AND('Ações'!AT496="sim", 'Ações'!BD496="sim"), 1, 0)
</f>
        <v>1</v>
      </c>
      <c r="N487" s="319">
        <f>IF(AND('Ações'!AT496="sim", 'Ações'!BF496="sim"), 1, 0)
</f>
        <v>0</v>
      </c>
      <c r="O487" s="319">
        <f>IF(AND('Ações'!AT496="sim", 'Ações'!BG496="sim"), 1, 0)
</f>
        <v>0</v>
      </c>
      <c r="P487" s="319">
        <f>IF(AND('Ações'!AT496="sim", 'Ações'!BH496="sim"), 1, 0)
</f>
        <v>0</v>
      </c>
      <c r="Q487" s="319">
        <f>IF(AND('Ações'!AT496="sim", 'Ações'!BI496="sim"), 1, 0)
</f>
        <v>0</v>
      </c>
      <c r="R487" s="319">
        <f>IF(AND('Ações'!AU496="sim", 'Ações'!BD496="sim"), 1, 0)
</f>
        <v>1</v>
      </c>
      <c r="S487" s="319">
        <f>IF(AND('Ações'!AU496="sim", 'Ações'!BE496="sim"), 1, 0)
</f>
        <v>0</v>
      </c>
      <c r="T487" s="319">
        <f>IF(AND('Ações'!AU496="sim", 'Ações'!BG496="sim"), 1, 0)
</f>
        <v>0</v>
      </c>
      <c r="U487" s="319">
        <f>IF(AND('Ações'!AU496="sim", 'Ações'!BH496="sim"), 1, 0)
</f>
        <v>0</v>
      </c>
      <c r="V487" s="319">
        <f>IF(AND('Ações'!AU496="sim", 'Ações'!BI496="sim"), 1, 0)
</f>
        <v>0</v>
      </c>
      <c r="W487" s="319">
        <f>IF(AND('Ações'!AV496="sim", 'Ações'!BD496="sim"), 1, 0)
</f>
        <v>1</v>
      </c>
      <c r="X487" s="319">
        <f>IF(AND('Ações'!AV496="sim", 'Ações'!BE496="sim"), 1, 0)
</f>
        <v>0</v>
      </c>
      <c r="Y487" s="319">
        <f>IF(AND('Ações'!AV496="sim", 'Ações'!BF496="sim"), 1, 0)
</f>
        <v>0</v>
      </c>
      <c r="Z487" s="319">
        <f>IF(AND('Ações'!AV496="sim", 'Ações'!BH496="sim"), 1, 0)
</f>
        <v>0</v>
      </c>
      <c r="AA487" s="319">
        <f>IF(AND('Ações'!AV496="sim", 'Ações'!BI496="sim"), 1, 0)
</f>
        <v>0</v>
      </c>
      <c r="AB487" s="319">
        <f>IF(AND('Ações'!AW496="sim", 'Ações'!BD496="sim"), 1, 0)
</f>
        <v>1</v>
      </c>
      <c r="AC487" s="319">
        <f>IF(AND('Ações'!AW496="sim", 'Ações'!BE496="sim"), 1, 0)
</f>
        <v>0</v>
      </c>
      <c r="AD487" s="319">
        <f>IF(AND('Ações'!AW496="sim", 'Ações'!BF496="sim"), 1, 0)
</f>
        <v>0</v>
      </c>
      <c r="AE487" s="319">
        <f>IF(AND('Ações'!AW496="sim", 'Ações'!BG496="sim"), 1, 0)
</f>
        <v>0</v>
      </c>
      <c r="AF487" s="319">
        <f>IF(AND('Ações'!AW496="sim", 'Ações'!BI496="sim"), 1, 0)
</f>
        <v>0</v>
      </c>
      <c r="AG487" s="319">
        <f>IF(AND('Ações'!AX496="sim", 'Ações'!BD496="sim"), 1, 0)
</f>
        <v>0</v>
      </c>
      <c r="AH487" s="319">
        <f>IF(AND('Ações'!AX496="sim", 'Ações'!BE496="sim"), 1, 0)
</f>
        <v>0</v>
      </c>
      <c r="AI487" s="319">
        <f>IF(AND('Ações'!AX496="sim", 'Ações'!BF496="sim"), 1, 0)
</f>
        <v>0</v>
      </c>
      <c r="AJ487" s="319">
        <f>IF(AND('Ações'!AX496="sim", 'Ações'!BG496="sim"), 1, 0)
</f>
        <v>0</v>
      </c>
      <c r="AK487" s="319">
        <f>IF(AND('Ações'!AX496="sim", 'Ações'!BH496="sim"), 1, 0)
</f>
        <v>0</v>
      </c>
    </row>
    <row r="488">
      <c r="B488" s="319">
        <f>IF(AND('Ações'!AS497="sim", 'Ações'!BD497="sim"), 1, 0)
</f>
        <v>0</v>
      </c>
      <c r="C488" s="319">
        <f>IF(AND('Ações'!AT497="sim", 'Ações'!BE497="sim"), 1, 0)
</f>
        <v>0</v>
      </c>
      <c r="D488" s="319">
        <f>IF(AND('Ações'!AU497="sim", 'Ações'!BF497="sim"), 1, 0)
</f>
        <v>0</v>
      </c>
      <c r="E488" s="319">
        <f>IF(AND('Ações'!AV497="sim", 'Ações'!BG497="sim"), 1, 0)
</f>
        <v>0</v>
      </c>
      <c r="F488" s="319">
        <f>IF(AND('Ações'!AW497="sim", 'Ações'!BH497="sim"), 1, 0)
</f>
        <v>0</v>
      </c>
      <c r="G488" s="319">
        <f>IF(AND('Ações'!AX497="sim", 'Ações'!BI497="sim"), 1, 0)
</f>
        <v>1</v>
      </c>
      <c r="H488" s="319">
        <f>IF(AND('Ações'!AS497="sim", 'Ações'!BE497="sim"), 1, 0)
</f>
        <v>0</v>
      </c>
      <c r="I488" s="319">
        <f>IF(AND('Ações'!AS497="sim", 'Ações'!BF497="sim"), 1, 0)
</f>
        <v>0</v>
      </c>
      <c r="J488" s="319">
        <f>IF(AND('Ações'!AS497="sim", 'Ações'!BG497="sim"), 1, 0)
</f>
        <v>0</v>
      </c>
      <c r="K488" s="319">
        <f>IF(AND('Ações'!AS497="sim", 'Ações'!BH497="sim"), 1, 0)
</f>
        <v>0</v>
      </c>
      <c r="L488" s="319">
        <f>IF(AND('Ações'!AS497="sim", 'Ações'!BI497="sim"), 1, 0)
</f>
        <v>1</v>
      </c>
      <c r="M488" s="319">
        <f>IF(AND('Ações'!AT497="sim", 'Ações'!BD497="sim"), 1, 0)
</f>
        <v>0</v>
      </c>
      <c r="N488" s="319">
        <f>IF(AND('Ações'!AT497="sim", 'Ações'!BF497="sim"), 1, 0)
</f>
        <v>0</v>
      </c>
      <c r="O488" s="319">
        <f>IF(AND('Ações'!AT497="sim", 'Ações'!BG497="sim"), 1, 0)
</f>
        <v>0</v>
      </c>
      <c r="P488" s="319">
        <f>IF(AND('Ações'!AT497="sim", 'Ações'!BH497="sim"), 1, 0)
</f>
        <v>0</v>
      </c>
      <c r="Q488" s="319">
        <f>IF(AND('Ações'!AT497="sim", 'Ações'!BI497="sim"), 1, 0)
</f>
        <v>1</v>
      </c>
      <c r="R488" s="319">
        <f>IF(AND('Ações'!AU497="sim", 'Ações'!BD497="sim"), 1, 0)
</f>
        <v>0</v>
      </c>
      <c r="S488" s="319">
        <f>IF(AND('Ações'!AU497="sim", 'Ações'!BE497="sim"), 1, 0)
</f>
        <v>0</v>
      </c>
      <c r="T488" s="319">
        <f>IF(AND('Ações'!AU497="sim", 'Ações'!BG497="sim"), 1, 0)
</f>
        <v>0</v>
      </c>
      <c r="U488" s="319">
        <f>IF(AND('Ações'!AU497="sim", 'Ações'!BH497="sim"), 1, 0)
</f>
        <v>0</v>
      </c>
      <c r="V488" s="319">
        <f>IF(AND('Ações'!AU497="sim", 'Ações'!BI497="sim"), 1, 0)
</f>
        <v>1</v>
      </c>
      <c r="W488" s="319">
        <f>IF(AND('Ações'!AV497="sim", 'Ações'!BD497="sim"), 1, 0)
</f>
        <v>0</v>
      </c>
      <c r="X488" s="319">
        <f>IF(AND('Ações'!AV497="sim", 'Ações'!BE497="sim"), 1, 0)
</f>
        <v>0</v>
      </c>
      <c r="Y488" s="319">
        <f>IF(AND('Ações'!AV497="sim", 'Ações'!BF497="sim"), 1, 0)
</f>
        <v>0</v>
      </c>
      <c r="Z488" s="319">
        <f>IF(AND('Ações'!AV497="sim", 'Ações'!BH497="sim"), 1, 0)
</f>
        <v>0</v>
      </c>
      <c r="AA488" s="319">
        <f>IF(AND('Ações'!AV497="sim", 'Ações'!BI497="sim"), 1, 0)
</f>
        <v>1</v>
      </c>
      <c r="AB488" s="319">
        <f>IF(AND('Ações'!AW497="sim", 'Ações'!BD497="sim"), 1, 0)
</f>
        <v>0</v>
      </c>
      <c r="AC488" s="319">
        <f>IF(AND('Ações'!AW497="sim", 'Ações'!BE497="sim"), 1, 0)
</f>
        <v>0</v>
      </c>
      <c r="AD488" s="319">
        <f>IF(AND('Ações'!AW497="sim", 'Ações'!BF497="sim"), 1, 0)
</f>
        <v>0</v>
      </c>
      <c r="AE488" s="319">
        <f>IF(AND('Ações'!AW497="sim", 'Ações'!BG497="sim"), 1, 0)
</f>
        <v>0</v>
      </c>
      <c r="AF488" s="319">
        <f>IF(AND('Ações'!AW497="sim", 'Ações'!BI497="sim"), 1, 0)
</f>
        <v>1</v>
      </c>
      <c r="AG488" s="319">
        <f>IF(AND('Ações'!AX497="sim", 'Ações'!BD497="sim"), 1, 0)
</f>
        <v>0</v>
      </c>
      <c r="AH488" s="319">
        <f>IF(AND('Ações'!AX497="sim", 'Ações'!BE497="sim"), 1, 0)
</f>
        <v>0</v>
      </c>
      <c r="AI488" s="319">
        <f>IF(AND('Ações'!AX497="sim", 'Ações'!BF497="sim"), 1, 0)
</f>
        <v>0</v>
      </c>
      <c r="AJ488" s="319">
        <f>IF(AND('Ações'!AX497="sim", 'Ações'!BG497="sim"), 1, 0)
</f>
        <v>0</v>
      </c>
      <c r="AK488" s="319">
        <f>IF(AND('Ações'!AX497="sim", 'Ações'!BH497="sim"), 1, 0)
</f>
        <v>0</v>
      </c>
    </row>
    <row r="489">
      <c r="B489" s="319">
        <f>IF(AND('Ações'!AS498="sim", 'Ações'!BD498="sim"), 1, 0)
</f>
        <v>0</v>
      </c>
      <c r="C489" s="319">
        <f>IF(AND('Ações'!AT498="sim", 'Ações'!BE498="sim"), 1, 0)
</f>
        <v>0</v>
      </c>
      <c r="D489" s="319">
        <f>IF(AND('Ações'!AU498="sim", 'Ações'!BF498="sim"), 1, 0)
</f>
        <v>0</v>
      </c>
      <c r="E489" s="319">
        <f>IF(AND('Ações'!AV498="sim", 'Ações'!BG498="sim"), 1, 0)
</f>
        <v>0</v>
      </c>
      <c r="F489" s="319">
        <f>IF(AND('Ações'!AW498="sim", 'Ações'!BH498="sim"), 1, 0)
</f>
        <v>0</v>
      </c>
      <c r="G489" s="319">
        <f>IF(AND('Ações'!AX498="sim", 'Ações'!BI498="sim"), 1, 0)
</f>
        <v>1</v>
      </c>
      <c r="H489" s="319">
        <f>IF(AND('Ações'!AS498="sim", 'Ações'!BE498="sim"), 1, 0)
</f>
        <v>0</v>
      </c>
      <c r="I489" s="319">
        <f>IF(AND('Ações'!AS498="sim", 'Ações'!BF498="sim"), 1, 0)
</f>
        <v>0</v>
      </c>
      <c r="J489" s="319">
        <f>IF(AND('Ações'!AS498="sim", 'Ações'!BG498="sim"), 1, 0)
</f>
        <v>0</v>
      </c>
      <c r="K489" s="319">
        <f>IF(AND('Ações'!AS498="sim", 'Ações'!BH498="sim"), 1, 0)
</f>
        <v>0</v>
      </c>
      <c r="L489" s="319">
        <f>IF(AND('Ações'!AS498="sim", 'Ações'!BI498="sim"), 1, 0)
</f>
        <v>1</v>
      </c>
      <c r="M489" s="319">
        <f>IF(AND('Ações'!AT498="sim", 'Ações'!BD498="sim"), 1, 0)
</f>
        <v>0</v>
      </c>
      <c r="N489" s="319">
        <f>IF(AND('Ações'!AT498="sim", 'Ações'!BF498="sim"), 1, 0)
</f>
        <v>0</v>
      </c>
      <c r="O489" s="319">
        <f>IF(AND('Ações'!AT498="sim", 'Ações'!BG498="sim"), 1, 0)
</f>
        <v>0</v>
      </c>
      <c r="P489" s="319">
        <f>IF(AND('Ações'!AT498="sim", 'Ações'!BH498="sim"), 1, 0)
</f>
        <v>0</v>
      </c>
      <c r="Q489" s="319">
        <f>IF(AND('Ações'!AT498="sim", 'Ações'!BI498="sim"), 1, 0)
</f>
        <v>1</v>
      </c>
      <c r="R489" s="319">
        <f>IF(AND('Ações'!AU498="sim", 'Ações'!BD498="sim"), 1, 0)
</f>
        <v>0</v>
      </c>
      <c r="S489" s="319">
        <f>IF(AND('Ações'!AU498="sim", 'Ações'!BE498="sim"), 1, 0)
</f>
        <v>0</v>
      </c>
      <c r="T489" s="319">
        <f>IF(AND('Ações'!AU498="sim", 'Ações'!BG498="sim"), 1, 0)
</f>
        <v>0</v>
      </c>
      <c r="U489" s="319">
        <f>IF(AND('Ações'!AU498="sim", 'Ações'!BH498="sim"), 1, 0)
</f>
        <v>0</v>
      </c>
      <c r="V489" s="319">
        <f>IF(AND('Ações'!AU498="sim", 'Ações'!BI498="sim"), 1, 0)
</f>
        <v>1</v>
      </c>
      <c r="W489" s="319">
        <f>IF(AND('Ações'!AV498="sim", 'Ações'!BD498="sim"), 1, 0)
</f>
        <v>0</v>
      </c>
      <c r="X489" s="319">
        <f>IF(AND('Ações'!AV498="sim", 'Ações'!BE498="sim"), 1, 0)
</f>
        <v>0</v>
      </c>
      <c r="Y489" s="319">
        <f>IF(AND('Ações'!AV498="sim", 'Ações'!BF498="sim"), 1, 0)
</f>
        <v>0</v>
      </c>
      <c r="Z489" s="319">
        <f>IF(AND('Ações'!AV498="sim", 'Ações'!BH498="sim"), 1, 0)
</f>
        <v>0</v>
      </c>
      <c r="AA489" s="319">
        <f>IF(AND('Ações'!AV498="sim", 'Ações'!BI498="sim"), 1, 0)
</f>
        <v>1</v>
      </c>
      <c r="AB489" s="319">
        <f>IF(AND('Ações'!AW498="sim", 'Ações'!BD498="sim"), 1, 0)
</f>
        <v>0</v>
      </c>
      <c r="AC489" s="319">
        <f>IF(AND('Ações'!AW498="sim", 'Ações'!BE498="sim"), 1, 0)
</f>
        <v>0</v>
      </c>
      <c r="AD489" s="319">
        <f>IF(AND('Ações'!AW498="sim", 'Ações'!BF498="sim"), 1, 0)
</f>
        <v>0</v>
      </c>
      <c r="AE489" s="319">
        <f>IF(AND('Ações'!AW498="sim", 'Ações'!BG498="sim"), 1, 0)
</f>
        <v>0</v>
      </c>
      <c r="AF489" s="319">
        <f>IF(AND('Ações'!AW498="sim", 'Ações'!BI498="sim"), 1, 0)
</f>
        <v>1</v>
      </c>
      <c r="AG489" s="319">
        <f>IF(AND('Ações'!AX498="sim", 'Ações'!BD498="sim"), 1, 0)
</f>
        <v>0</v>
      </c>
      <c r="AH489" s="319">
        <f>IF(AND('Ações'!AX498="sim", 'Ações'!BE498="sim"), 1, 0)
</f>
        <v>0</v>
      </c>
      <c r="AI489" s="319">
        <f>IF(AND('Ações'!AX498="sim", 'Ações'!BF498="sim"), 1, 0)
</f>
        <v>0</v>
      </c>
      <c r="AJ489" s="319">
        <f>IF(AND('Ações'!AX498="sim", 'Ações'!BG498="sim"), 1, 0)
</f>
        <v>0</v>
      </c>
      <c r="AK489" s="319">
        <f>IF(AND('Ações'!AX498="sim", 'Ações'!BH498="sim"), 1, 0)
</f>
        <v>0</v>
      </c>
    </row>
    <row r="490">
      <c r="B490" s="319">
        <f>IF(AND('Ações'!AS499="sim", 'Ações'!BD499="sim"), 1, 0)
</f>
        <v>1</v>
      </c>
      <c r="C490" s="319">
        <f>IF(AND('Ações'!AT499="sim", 'Ações'!BE499="sim"), 1, 0)
</f>
        <v>0</v>
      </c>
      <c r="D490" s="319">
        <f>IF(AND('Ações'!AU499="sim", 'Ações'!BF499="sim"), 1, 0)
</f>
        <v>0</v>
      </c>
      <c r="E490" s="319">
        <f>IF(AND('Ações'!AV499="sim", 'Ações'!BG499="sim"), 1, 0)
</f>
        <v>0</v>
      </c>
      <c r="F490" s="319">
        <f>IF(AND('Ações'!AW499="sim", 'Ações'!BH499="sim"), 1, 0)
</f>
        <v>0</v>
      </c>
      <c r="G490" s="319">
        <f>IF(AND('Ações'!AX499="sim", 'Ações'!BI499="sim"), 1, 0)
</f>
        <v>0</v>
      </c>
      <c r="H490" s="319">
        <f>IF(AND('Ações'!AS499="sim", 'Ações'!BE499="sim"), 1, 0)
</f>
        <v>0</v>
      </c>
      <c r="I490" s="319">
        <f>IF(AND('Ações'!AS499="sim", 'Ações'!BF499="sim"), 1, 0)
</f>
        <v>0</v>
      </c>
      <c r="J490" s="319">
        <f>IF(AND('Ações'!AS499="sim", 'Ações'!BG499="sim"), 1, 0)
</f>
        <v>0</v>
      </c>
      <c r="K490" s="319">
        <f>IF(AND('Ações'!AS499="sim", 'Ações'!BH499="sim"), 1, 0)
</f>
        <v>0</v>
      </c>
      <c r="L490" s="319">
        <f>IF(AND('Ações'!AS499="sim", 'Ações'!BI499="sim"), 1, 0)
</f>
        <v>0</v>
      </c>
      <c r="M490" s="319">
        <f>IF(AND('Ações'!AT499="sim", 'Ações'!BD499="sim"), 1, 0)
</f>
        <v>1</v>
      </c>
      <c r="N490" s="319">
        <f>IF(AND('Ações'!AT499="sim", 'Ações'!BF499="sim"), 1, 0)
</f>
        <v>0</v>
      </c>
      <c r="O490" s="319">
        <f>IF(AND('Ações'!AT499="sim", 'Ações'!BG499="sim"), 1, 0)
</f>
        <v>0</v>
      </c>
      <c r="P490" s="319">
        <f>IF(AND('Ações'!AT499="sim", 'Ações'!BH499="sim"), 1, 0)
</f>
        <v>0</v>
      </c>
      <c r="Q490" s="319">
        <f>IF(AND('Ações'!AT499="sim", 'Ações'!BI499="sim"), 1, 0)
</f>
        <v>0</v>
      </c>
      <c r="R490" s="319">
        <f>IF(AND('Ações'!AU499="sim", 'Ações'!BD499="sim"), 1, 0)
</f>
        <v>1</v>
      </c>
      <c r="S490" s="319">
        <f>IF(AND('Ações'!AU499="sim", 'Ações'!BE499="sim"), 1, 0)
</f>
        <v>0</v>
      </c>
      <c r="T490" s="319">
        <f>IF(AND('Ações'!AU499="sim", 'Ações'!BG499="sim"), 1, 0)
</f>
        <v>0</v>
      </c>
      <c r="U490" s="319">
        <f>IF(AND('Ações'!AU499="sim", 'Ações'!BH499="sim"), 1, 0)
</f>
        <v>0</v>
      </c>
      <c r="V490" s="319">
        <f>IF(AND('Ações'!AU499="sim", 'Ações'!BI499="sim"), 1, 0)
</f>
        <v>0</v>
      </c>
      <c r="W490" s="319">
        <f>IF(AND('Ações'!AV499="sim", 'Ações'!BD499="sim"), 1, 0)
</f>
        <v>1</v>
      </c>
      <c r="X490" s="319">
        <f>IF(AND('Ações'!AV499="sim", 'Ações'!BE499="sim"), 1, 0)
</f>
        <v>0</v>
      </c>
      <c r="Y490" s="319">
        <f>IF(AND('Ações'!AV499="sim", 'Ações'!BF499="sim"), 1, 0)
</f>
        <v>0</v>
      </c>
      <c r="Z490" s="319">
        <f>IF(AND('Ações'!AV499="sim", 'Ações'!BH499="sim"), 1, 0)
</f>
        <v>0</v>
      </c>
      <c r="AA490" s="319">
        <f>IF(AND('Ações'!AV499="sim", 'Ações'!BI499="sim"), 1, 0)
</f>
        <v>0</v>
      </c>
      <c r="AB490" s="319">
        <f>IF(AND('Ações'!AW499="sim", 'Ações'!BD499="sim"), 1, 0)
</f>
        <v>1</v>
      </c>
      <c r="AC490" s="319">
        <f>IF(AND('Ações'!AW499="sim", 'Ações'!BE499="sim"), 1, 0)
</f>
        <v>0</v>
      </c>
      <c r="AD490" s="319">
        <f>IF(AND('Ações'!AW499="sim", 'Ações'!BF499="sim"), 1, 0)
</f>
        <v>0</v>
      </c>
      <c r="AE490" s="319">
        <f>IF(AND('Ações'!AW499="sim", 'Ações'!BG499="sim"), 1, 0)
</f>
        <v>0</v>
      </c>
      <c r="AF490" s="319">
        <f>IF(AND('Ações'!AW499="sim", 'Ações'!BI499="sim"), 1, 0)
</f>
        <v>0</v>
      </c>
      <c r="AG490" s="319">
        <f>IF(AND('Ações'!AX499="sim", 'Ações'!BD499="sim"), 1, 0)
</f>
        <v>1</v>
      </c>
      <c r="AH490" s="319">
        <f>IF(AND('Ações'!AX499="sim", 'Ações'!BE499="sim"), 1, 0)
</f>
        <v>0</v>
      </c>
      <c r="AI490" s="319">
        <f>IF(AND('Ações'!AX499="sim", 'Ações'!BF499="sim"), 1, 0)
</f>
        <v>0</v>
      </c>
      <c r="AJ490" s="319">
        <f>IF(AND('Ações'!AX499="sim", 'Ações'!BG499="sim"), 1, 0)
</f>
        <v>0</v>
      </c>
      <c r="AK490" s="319">
        <f>IF(AND('Ações'!AX499="sim", 'Ações'!BH499="sim"), 1, 0)
</f>
        <v>0</v>
      </c>
    </row>
    <row r="491">
      <c r="B491" s="319">
        <f>IF(AND('Ações'!AS500="sim", 'Ações'!BD500="sim"), 1, 0)
</f>
        <v>1</v>
      </c>
      <c r="C491" s="319">
        <f>IF(AND('Ações'!AT500="sim", 'Ações'!BE500="sim"), 1, 0)
</f>
        <v>0</v>
      </c>
      <c r="D491" s="319">
        <f>IF(AND('Ações'!AU500="sim", 'Ações'!BF500="sim"), 1, 0)
</f>
        <v>0</v>
      </c>
      <c r="E491" s="319">
        <f>IF(AND('Ações'!AV500="sim", 'Ações'!BG500="sim"), 1, 0)
</f>
        <v>0</v>
      </c>
      <c r="F491" s="319">
        <f>IF(AND('Ações'!AW500="sim", 'Ações'!BH500="sim"), 1, 0)
</f>
        <v>0</v>
      </c>
      <c r="G491" s="319">
        <f>IF(AND('Ações'!AX500="sim", 'Ações'!BI500="sim"), 1, 0)
</f>
        <v>0</v>
      </c>
      <c r="H491" s="319">
        <f>IF(AND('Ações'!AS500="sim", 'Ações'!BE500="sim"), 1, 0)
</f>
        <v>0</v>
      </c>
      <c r="I491" s="319">
        <f>IF(AND('Ações'!AS500="sim", 'Ações'!BF500="sim"), 1, 0)
</f>
        <v>0</v>
      </c>
      <c r="J491" s="319">
        <f>IF(AND('Ações'!AS500="sim", 'Ações'!BG500="sim"), 1, 0)
</f>
        <v>0</v>
      </c>
      <c r="K491" s="319">
        <f>IF(AND('Ações'!AS500="sim", 'Ações'!BH500="sim"), 1, 0)
</f>
        <v>0</v>
      </c>
      <c r="L491" s="319">
        <f>IF(AND('Ações'!AS500="sim", 'Ações'!BI500="sim"), 1, 0)
</f>
        <v>0</v>
      </c>
      <c r="M491" s="319">
        <f>IF(AND('Ações'!AT500="sim", 'Ações'!BD500="sim"), 1, 0)
</f>
        <v>1</v>
      </c>
      <c r="N491" s="319">
        <f>IF(AND('Ações'!AT500="sim", 'Ações'!BF500="sim"), 1, 0)
</f>
        <v>0</v>
      </c>
      <c r="O491" s="319">
        <f>IF(AND('Ações'!AT500="sim", 'Ações'!BG500="sim"), 1, 0)
</f>
        <v>0</v>
      </c>
      <c r="P491" s="319">
        <f>IF(AND('Ações'!AT500="sim", 'Ações'!BH500="sim"), 1, 0)
</f>
        <v>0</v>
      </c>
      <c r="Q491" s="319">
        <f>IF(AND('Ações'!AT500="sim", 'Ações'!BI500="sim"), 1, 0)
</f>
        <v>0</v>
      </c>
      <c r="R491" s="319">
        <f>IF(AND('Ações'!AU500="sim", 'Ações'!BD500="sim"), 1, 0)
</f>
        <v>1</v>
      </c>
      <c r="S491" s="319">
        <f>IF(AND('Ações'!AU500="sim", 'Ações'!BE500="sim"), 1, 0)
</f>
        <v>0</v>
      </c>
      <c r="T491" s="319">
        <f>IF(AND('Ações'!AU500="sim", 'Ações'!BG500="sim"), 1, 0)
</f>
        <v>0</v>
      </c>
      <c r="U491" s="319">
        <f>IF(AND('Ações'!AU500="sim", 'Ações'!BH500="sim"), 1, 0)
</f>
        <v>0</v>
      </c>
      <c r="V491" s="319">
        <f>IF(AND('Ações'!AU500="sim", 'Ações'!BI500="sim"), 1, 0)
</f>
        <v>0</v>
      </c>
      <c r="W491" s="319">
        <f>IF(AND('Ações'!AV500="sim", 'Ações'!BD500="sim"), 1, 0)
</f>
        <v>1</v>
      </c>
      <c r="X491" s="319">
        <f>IF(AND('Ações'!AV500="sim", 'Ações'!BE500="sim"), 1, 0)
</f>
        <v>0</v>
      </c>
      <c r="Y491" s="319">
        <f>IF(AND('Ações'!AV500="sim", 'Ações'!BF500="sim"), 1, 0)
</f>
        <v>0</v>
      </c>
      <c r="Z491" s="319">
        <f>IF(AND('Ações'!AV500="sim", 'Ações'!BH500="sim"), 1, 0)
</f>
        <v>0</v>
      </c>
      <c r="AA491" s="319">
        <f>IF(AND('Ações'!AV500="sim", 'Ações'!BI500="sim"), 1, 0)
</f>
        <v>0</v>
      </c>
      <c r="AB491" s="319">
        <f>IF(AND('Ações'!AW500="sim", 'Ações'!BD500="sim"), 1, 0)
</f>
        <v>1</v>
      </c>
      <c r="AC491" s="319">
        <f>IF(AND('Ações'!AW500="sim", 'Ações'!BE500="sim"), 1, 0)
</f>
        <v>0</v>
      </c>
      <c r="AD491" s="319">
        <f>IF(AND('Ações'!AW500="sim", 'Ações'!BF500="sim"), 1, 0)
</f>
        <v>0</v>
      </c>
      <c r="AE491" s="319">
        <f>IF(AND('Ações'!AW500="sim", 'Ações'!BG500="sim"), 1, 0)
</f>
        <v>0</v>
      </c>
      <c r="AF491" s="319">
        <f>IF(AND('Ações'!AW500="sim", 'Ações'!BI500="sim"), 1, 0)
</f>
        <v>0</v>
      </c>
      <c r="AG491" s="319">
        <f>IF(AND('Ações'!AX500="sim", 'Ações'!BD500="sim"), 1, 0)
</f>
        <v>1</v>
      </c>
      <c r="AH491" s="319">
        <f>IF(AND('Ações'!AX500="sim", 'Ações'!BE500="sim"), 1, 0)
</f>
        <v>0</v>
      </c>
      <c r="AI491" s="319">
        <f>IF(AND('Ações'!AX500="sim", 'Ações'!BF500="sim"), 1, 0)
</f>
        <v>0</v>
      </c>
      <c r="AJ491" s="319">
        <f>IF(AND('Ações'!AX500="sim", 'Ações'!BG500="sim"), 1, 0)
</f>
        <v>0</v>
      </c>
      <c r="AK491" s="319">
        <f>IF(AND('Ações'!AX500="sim", 'Ações'!BH500="sim"), 1, 0)
</f>
        <v>0</v>
      </c>
    </row>
    <row r="492">
      <c r="B492" s="319">
        <f>IF(AND('Ações'!AS501="sim", 'Ações'!BD501="sim"), 1, 0)
</f>
        <v>1</v>
      </c>
      <c r="C492" s="319">
        <f>IF(AND('Ações'!AT501="sim", 'Ações'!BE501="sim"), 1, 0)
</f>
        <v>0</v>
      </c>
      <c r="D492" s="319">
        <f>IF(AND('Ações'!AU501="sim", 'Ações'!BF501="sim"), 1, 0)
</f>
        <v>0</v>
      </c>
      <c r="E492" s="319">
        <f>IF(AND('Ações'!AV501="sim", 'Ações'!BG501="sim"), 1, 0)
</f>
        <v>0</v>
      </c>
      <c r="F492" s="319">
        <f>IF(AND('Ações'!AW501="sim", 'Ações'!BH501="sim"), 1, 0)
</f>
        <v>0</v>
      </c>
      <c r="G492" s="319">
        <f>IF(AND('Ações'!AX501="sim", 'Ações'!BI501="sim"), 1, 0)
</f>
        <v>1</v>
      </c>
      <c r="H492" s="319">
        <f>IF(AND('Ações'!AS501="sim", 'Ações'!BE501="sim"), 1, 0)
</f>
        <v>0</v>
      </c>
      <c r="I492" s="319">
        <f>IF(AND('Ações'!AS501="sim", 'Ações'!BF501="sim"), 1, 0)
</f>
        <v>0</v>
      </c>
      <c r="J492" s="319">
        <f>IF(AND('Ações'!AS501="sim", 'Ações'!BG501="sim"), 1, 0)
</f>
        <v>0</v>
      </c>
      <c r="K492" s="319">
        <f>IF(AND('Ações'!AS501="sim", 'Ações'!BH501="sim"), 1, 0)
</f>
        <v>0</v>
      </c>
      <c r="L492" s="319">
        <f>IF(AND('Ações'!AS501="sim", 'Ações'!BI501="sim"), 1, 0)
</f>
        <v>1</v>
      </c>
      <c r="M492" s="319">
        <f>IF(AND('Ações'!AT501="sim", 'Ações'!BD501="sim"), 1, 0)
</f>
        <v>1</v>
      </c>
      <c r="N492" s="319">
        <f>IF(AND('Ações'!AT501="sim", 'Ações'!BF501="sim"), 1, 0)
</f>
        <v>0</v>
      </c>
      <c r="O492" s="319">
        <f>IF(AND('Ações'!AT501="sim", 'Ações'!BG501="sim"), 1, 0)
</f>
        <v>0</v>
      </c>
      <c r="P492" s="319">
        <f>IF(AND('Ações'!AT501="sim", 'Ações'!BH501="sim"), 1, 0)
</f>
        <v>0</v>
      </c>
      <c r="Q492" s="319">
        <f>IF(AND('Ações'!AT501="sim", 'Ações'!BI501="sim"), 1, 0)
</f>
        <v>1</v>
      </c>
      <c r="R492" s="319">
        <f>IF(AND('Ações'!AU501="sim", 'Ações'!BD501="sim"), 1, 0)
</f>
        <v>1</v>
      </c>
      <c r="S492" s="319">
        <f>IF(AND('Ações'!AU501="sim", 'Ações'!BE501="sim"), 1, 0)
</f>
        <v>0</v>
      </c>
      <c r="T492" s="319">
        <f>IF(AND('Ações'!AU501="sim", 'Ações'!BG501="sim"), 1, 0)
</f>
        <v>0</v>
      </c>
      <c r="U492" s="319">
        <f>IF(AND('Ações'!AU501="sim", 'Ações'!BH501="sim"), 1, 0)
</f>
        <v>0</v>
      </c>
      <c r="V492" s="319">
        <f>IF(AND('Ações'!AU501="sim", 'Ações'!BI501="sim"), 1, 0)
</f>
        <v>1</v>
      </c>
      <c r="W492" s="319">
        <f>IF(AND('Ações'!AV501="sim", 'Ações'!BD501="sim"), 1, 0)
</f>
        <v>1</v>
      </c>
      <c r="X492" s="319">
        <f>IF(AND('Ações'!AV501="sim", 'Ações'!BE501="sim"), 1, 0)
</f>
        <v>0</v>
      </c>
      <c r="Y492" s="319">
        <f>IF(AND('Ações'!AV501="sim", 'Ações'!BF501="sim"), 1, 0)
</f>
        <v>0</v>
      </c>
      <c r="Z492" s="319">
        <f>IF(AND('Ações'!AV501="sim", 'Ações'!BH501="sim"), 1, 0)
</f>
        <v>0</v>
      </c>
      <c r="AA492" s="319">
        <f>IF(AND('Ações'!AV501="sim", 'Ações'!BI501="sim"), 1, 0)
</f>
        <v>1</v>
      </c>
      <c r="AB492" s="319">
        <f>IF(AND('Ações'!AW501="sim", 'Ações'!BD501="sim"), 1, 0)
</f>
        <v>1</v>
      </c>
      <c r="AC492" s="319">
        <f>IF(AND('Ações'!AW501="sim", 'Ações'!BE501="sim"), 1, 0)
</f>
        <v>0</v>
      </c>
      <c r="AD492" s="319">
        <f>IF(AND('Ações'!AW501="sim", 'Ações'!BF501="sim"), 1, 0)
</f>
        <v>0</v>
      </c>
      <c r="AE492" s="319">
        <f>IF(AND('Ações'!AW501="sim", 'Ações'!BG501="sim"), 1, 0)
</f>
        <v>0</v>
      </c>
      <c r="AF492" s="319">
        <f>IF(AND('Ações'!AW501="sim", 'Ações'!BI501="sim"), 1, 0)
</f>
        <v>1</v>
      </c>
      <c r="AG492" s="319">
        <f>IF(AND('Ações'!AX501="sim", 'Ações'!BD501="sim"), 1, 0)
</f>
        <v>1</v>
      </c>
      <c r="AH492" s="319">
        <f>IF(AND('Ações'!AX501="sim", 'Ações'!BE501="sim"), 1, 0)
</f>
        <v>0</v>
      </c>
      <c r="AI492" s="319">
        <f>IF(AND('Ações'!AX501="sim", 'Ações'!BF501="sim"), 1, 0)
</f>
        <v>0</v>
      </c>
      <c r="AJ492" s="319">
        <f>IF(AND('Ações'!AX501="sim", 'Ações'!BG501="sim"), 1, 0)
</f>
        <v>0</v>
      </c>
      <c r="AK492" s="319">
        <f>IF(AND('Ações'!AX501="sim", 'Ações'!BH501="sim"), 1, 0)
</f>
        <v>0</v>
      </c>
    </row>
    <row r="493">
      <c r="B493" s="319">
        <f>IF(AND('Ações'!AS502="sim", 'Ações'!BD502="sim"), 1, 0)
</f>
        <v>1</v>
      </c>
      <c r="C493" s="319">
        <f>IF(AND('Ações'!AT502="sim", 'Ações'!BE502="sim"), 1, 0)
</f>
        <v>0</v>
      </c>
      <c r="D493" s="319">
        <f>IF(AND('Ações'!AU502="sim", 'Ações'!BF502="sim"), 1, 0)
</f>
        <v>0</v>
      </c>
      <c r="E493" s="319">
        <f>IF(AND('Ações'!AV502="sim", 'Ações'!BG502="sim"), 1, 0)
</f>
        <v>0</v>
      </c>
      <c r="F493" s="319">
        <f>IF(AND('Ações'!AW502="sim", 'Ações'!BH502="sim"), 1, 0)
</f>
        <v>0</v>
      </c>
      <c r="G493" s="319">
        <f>IF(AND('Ações'!AX502="sim", 'Ações'!BI502="sim"), 1, 0)
</f>
        <v>0</v>
      </c>
      <c r="H493" s="319">
        <f>IF(AND('Ações'!AS502="sim", 'Ações'!BE502="sim"), 1, 0)
</f>
        <v>0</v>
      </c>
      <c r="I493" s="319">
        <f>IF(AND('Ações'!AS502="sim", 'Ações'!BF502="sim"), 1, 0)
</f>
        <v>0</v>
      </c>
      <c r="J493" s="319">
        <f>IF(AND('Ações'!AS502="sim", 'Ações'!BG502="sim"), 1, 0)
</f>
        <v>0</v>
      </c>
      <c r="K493" s="319">
        <f>IF(AND('Ações'!AS502="sim", 'Ações'!BH502="sim"), 1, 0)
</f>
        <v>0</v>
      </c>
      <c r="L493" s="319">
        <f>IF(AND('Ações'!AS502="sim", 'Ações'!BI502="sim"), 1, 0)
</f>
        <v>0</v>
      </c>
      <c r="M493" s="319">
        <f>IF(AND('Ações'!AT502="sim", 'Ações'!BD502="sim"), 1, 0)
</f>
        <v>1</v>
      </c>
      <c r="N493" s="319">
        <f>IF(AND('Ações'!AT502="sim", 'Ações'!BF502="sim"), 1, 0)
</f>
        <v>0</v>
      </c>
      <c r="O493" s="319">
        <f>IF(AND('Ações'!AT502="sim", 'Ações'!BG502="sim"), 1, 0)
</f>
        <v>0</v>
      </c>
      <c r="P493" s="319">
        <f>IF(AND('Ações'!AT502="sim", 'Ações'!BH502="sim"), 1, 0)
</f>
        <v>0</v>
      </c>
      <c r="Q493" s="319">
        <f>IF(AND('Ações'!AT502="sim", 'Ações'!BI502="sim"), 1, 0)
</f>
        <v>0</v>
      </c>
      <c r="R493" s="319">
        <f>IF(AND('Ações'!AU502="sim", 'Ações'!BD502="sim"), 1, 0)
</f>
        <v>1</v>
      </c>
      <c r="S493" s="319">
        <f>IF(AND('Ações'!AU502="sim", 'Ações'!BE502="sim"), 1, 0)
</f>
        <v>0</v>
      </c>
      <c r="T493" s="319">
        <f>IF(AND('Ações'!AU502="sim", 'Ações'!BG502="sim"), 1, 0)
</f>
        <v>0</v>
      </c>
      <c r="U493" s="319">
        <f>IF(AND('Ações'!AU502="sim", 'Ações'!BH502="sim"), 1, 0)
</f>
        <v>0</v>
      </c>
      <c r="V493" s="319">
        <f>IF(AND('Ações'!AU502="sim", 'Ações'!BI502="sim"), 1, 0)
</f>
        <v>0</v>
      </c>
      <c r="W493" s="319">
        <f>IF(AND('Ações'!AV502="sim", 'Ações'!BD502="sim"), 1, 0)
</f>
        <v>1</v>
      </c>
      <c r="X493" s="319">
        <f>IF(AND('Ações'!AV502="sim", 'Ações'!BE502="sim"), 1, 0)
</f>
        <v>0</v>
      </c>
      <c r="Y493" s="319">
        <f>IF(AND('Ações'!AV502="sim", 'Ações'!BF502="sim"), 1, 0)
</f>
        <v>0</v>
      </c>
      <c r="Z493" s="319">
        <f>IF(AND('Ações'!AV502="sim", 'Ações'!BH502="sim"), 1, 0)
</f>
        <v>0</v>
      </c>
      <c r="AA493" s="319">
        <f>IF(AND('Ações'!AV502="sim", 'Ações'!BI502="sim"), 1, 0)
</f>
        <v>0</v>
      </c>
      <c r="AB493" s="319">
        <f>IF(AND('Ações'!AW502="sim", 'Ações'!BD502="sim"), 1, 0)
</f>
        <v>1</v>
      </c>
      <c r="AC493" s="319">
        <f>IF(AND('Ações'!AW502="sim", 'Ações'!BE502="sim"), 1, 0)
</f>
        <v>0</v>
      </c>
      <c r="AD493" s="319">
        <f>IF(AND('Ações'!AW502="sim", 'Ações'!BF502="sim"), 1, 0)
</f>
        <v>0</v>
      </c>
      <c r="AE493" s="319">
        <f>IF(AND('Ações'!AW502="sim", 'Ações'!BG502="sim"), 1, 0)
</f>
        <v>0</v>
      </c>
      <c r="AF493" s="319">
        <f>IF(AND('Ações'!AW502="sim", 'Ações'!BI502="sim"), 1, 0)
</f>
        <v>0</v>
      </c>
      <c r="AG493" s="319">
        <f>IF(AND('Ações'!AX502="sim", 'Ações'!BD502="sim"), 1, 0)
</f>
        <v>1</v>
      </c>
      <c r="AH493" s="319">
        <f>IF(AND('Ações'!AX502="sim", 'Ações'!BE502="sim"), 1, 0)
</f>
        <v>0</v>
      </c>
      <c r="AI493" s="319">
        <f>IF(AND('Ações'!AX502="sim", 'Ações'!BF502="sim"), 1, 0)
</f>
        <v>0</v>
      </c>
      <c r="AJ493" s="319">
        <f>IF(AND('Ações'!AX502="sim", 'Ações'!BG502="sim"), 1, 0)
</f>
        <v>0</v>
      </c>
      <c r="AK493" s="319">
        <f>IF(AND('Ações'!AX502="sim", 'Ações'!BH502="sim"), 1, 0)
</f>
        <v>0</v>
      </c>
    </row>
    <row r="494">
      <c r="B494" s="319">
        <f>IF(AND('Ações'!AS503="sim", 'Ações'!BD503="sim"), 1, 0)
</f>
        <v>0</v>
      </c>
      <c r="C494" s="319">
        <f>IF(AND('Ações'!AT503="sim", 'Ações'!BE503="sim"), 1, 0)
</f>
        <v>0</v>
      </c>
      <c r="D494" s="319">
        <f>IF(AND('Ações'!AU503="sim", 'Ações'!BF503="sim"), 1, 0)
</f>
        <v>0</v>
      </c>
      <c r="E494" s="319">
        <f>IF(AND('Ações'!AV503="sim", 'Ações'!BG503="sim"), 1, 0)
</f>
        <v>0</v>
      </c>
      <c r="F494" s="319">
        <f>IF(AND('Ações'!AW503="sim", 'Ações'!BH503="sim"), 1, 0)
</f>
        <v>0</v>
      </c>
      <c r="G494" s="319">
        <f>IF(AND('Ações'!AX503="sim", 'Ações'!BI503="sim"), 1, 0)
</f>
        <v>0</v>
      </c>
      <c r="H494" s="319">
        <f>IF(AND('Ações'!AS503="sim", 'Ações'!BE503="sim"), 1, 0)
</f>
        <v>0</v>
      </c>
      <c r="I494" s="319">
        <f>IF(AND('Ações'!AS503="sim", 'Ações'!BF503="sim"), 1, 0)
</f>
        <v>0</v>
      </c>
      <c r="J494" s="319">
        <f>IF(AND('Ações'!AS503="sim", 'Ações'!BG503="sim"), 1, 0)
</f>
        <v>0</v>
      </c>
      <c r="K494" s="319">
        <f>IF(AND('Ações'!AS503="sim", 'Ações'!BH503="sim"), 1, 0)
</f>
        <v>0</v>
      </c>
      <c r="L494" s="319">
        <f>IF(AND('Ações'!AS503="sim", 'Ações'!BI503="sim"), 1, 0)
</f>
        <v>0</v>
      </c>
      <c r="M494" s="319">
        <f>IF(AND('Ações'!AT503="sim", 'Ações'!BD503="sim"), 1, 0)
</f>
        <v>0</v>
      </c>
      <c r="N494" s="319">
        <f>IF(AND('Ações'!AT503="sim", 'Ações'!BF503="sim"), 1, 0)
</f>
        <v>0</v>
      </c>
      <c r="O494" s="319">
        <f>IF(AND('Ações'!AT503="sim", 'Ações'!BG503="sim"), 1, 0)
</f>
        <v>0</v>
      </c>
      <c r="P494" s="319">
        <f>IF(AND('Ações'!AT503="sim", 'Ações'!BH503="sim"), 1, 0)
</f>
        <v>0</v>
      </c>
      <c r="Q494" s="319">
        <f>IF(AND('Ações'!AT503="sim", 'Ações'!BI503="sim"), 1, 0)
</f>
        <v>0</v>
      </c>
      <c r="R494" s="319">
        <f>IF(AND('Ações'!AU503="sim", 'Ações'!BD503="sim"), 1, 0)
</f>
        <v>0</v>
      </c>
      <c r="S494" s="319">
        <f>IF(AND('Ações'!AU503="sim", 'Ações'!BE503="sim"), 1, 0)
</f>
        <v>0</v>
      </c>
      <c r="T494" s="319">
        <f>IF(AND('Ações'!AU503="sim", 'Ações'!BG503="sim"), 1, 0)
</f>
        <v>0</v>
      </c>
      <c r="U494" s="319">
        <f>IF(AND('Ações'!AU503="sim", 'Ações'!BH503="sim"), 1, 0)
</f>
        <v>0</v>
      </c>
      <c r="V494" s="319">
        <f>IF(AND('Ações'!AU503="sim", 'Ações'!BI503="sim"), 1, 0)
</f>
        <v>0</v>
      </c>
      <c r="W494" s="319">
        <f>IF(AND('Ações'!AV503="sim", 'Ações'!BD503="sim"), 1, 0)
</f>
        <v>0</v>
      </c>
      <c r="X494" s="319">
        <f>IF(AND('Ações'!AV503="sim", 'Ações'!BE503="sim"), 1, 0)
</f>
        <v>0</v>
      </c>
      <c r="Y494" s="319">
        <f>IF(AND('Ações'!AV503="sim", 'Ações'!BF503="sim"), 1, 0)
</f>
        <v>0</v>
      </c>
      <c r="Z494" s="319">
        <f>IF(AND('Ações'!AV503="sim", 'Ações'!BH503="sim"), 1, 0)
</f>
        <v>0</v>
      </c>
      <c r="AA494" s="319">
        <f>IF(AND('Ações'!AV503="sim", 'Ações'!BI503="sim"), 1, 0)
</f>
        <v>0</v>
      </c>
      <c r="AB494" s="319">
        <f>IF(AND('Ações'!AW503="sim", 'Ações'!BD503="sim"), 1, 0)
</f>
        <v>0</v>
      </c>
      <c r="AC494" s="319">
        <f>IF(AND('Ações'!AW503="sim", 'Ações'!BE503="sim"), 1, 0)
</f>
        <v>0</v>
      </c>
      <c r="AD494" s="319">
        <f>IF(AND('Ações'!AW503="sim", 'Ações'!BF503="sim"), 1, 0)
</f>
        <v>0</v>
      </c>
      <c r="AE494" s="319">
        <f>IF(AND('Ações'!AW503="sim", 'Ações'!BG503="sim"), 1, 0)
</f>
        <v>0</v>
      </c>
      <c r="AF494" s="319">
        <f>IF(AND('Ações'!AW503="sim", 'Ações'!BI503="sim"), 1, 0)
</f>
        <v>0</v>
      </c>
      <c r="AG494" s="319">
        <f>IF(AND('Ações'!AX503="sim", 'Ações'!BD503="sim"), 1, 0)
</f>
        <v>0</v>
      </c>
      <c r="AH494" s="319">
        <f>IF(AND('Ações'!AX503="sim", 'Ações'!BE503="sim"), 1, 0)
</f>
        <v>0</v>
      </c>
      <c r="AI494" s="319">
        <f>IF(AND('Ações'!AX503="sim", 'Ações'!BF503="sim"), 1, 0)
</f>
        <v>0</v>
      </c>
      <c r="AJ494" s="319">
        <f>IF(AND('Ações'!AX503="sim", 'Ações'!BG503="sim"), 1, 0)
</f>
        <v>0</v>
      </c>
      <c r="AK494" s="319">
        <f>IF(AND('Ações'!AX503="sim", 'Ações'!BH503="sim"), 1, 0)
</f>
        <v>0</v>
      </c>
    </row>
    <row r="495">
      <c r="B495" s="319">
        <f>IF(AND('Ações'!AS504="sim", 'Ações'!BD504="sim"), 1, 0)
</f>
        <v>1</v>
      </c>
      <c r="C495" s="319">
        <f>IF(AND('Ações'!AT504="sim", 'Ações'!BE504="sim"), 1, 0)
</f>
        <v>0</v>
      </c>
      <c r="D495" s="319">
        <f>IF(AND('Ações'!AU504="sim", 'Ações'!BF504="sim"), 1, 0)
</f>
        <v>0</v>
      </c>
      <c r="E495" s="319">
        <f>IF(AND('Ações'!AV504="sim", 'Ações'!BG504="sim"), 1, 0)
</f>
        <v>0</v>
      </c>
      <c r="F495" s="319">
        <f>IF(AND('Ações'!AW504="sim", 'Ações'!BH504="sim"), 1, 0)
</f>
        <v>0</v>
      </c>
      <c r="G495" s="319">
        <f>IF(AND('Ações'!AX504="sim", 'Ações'!BI504="sim"), 1, 0)
</f>
        <v>0</v>
      </c>
      <c r="H495" s="319">
        <f>IF(AND('Ações'!AS504="sim", 'Ações'!BE504="sim"), 1, 0)
</f>
        <v>0</v>
      </c>
      <c r="I495" s="319">
        <f>IF(AND('Ações'!AS504="sim", 'Ações'!BF504="sim"), 1, 0)
</f>
        <v>0</v>
      </c>
      <c r="J495" s="319">
        <f>IF(AND('Ações'!AS504="sim", 'Ações'!BG504="sim"), 1, 0)
</f>
        <v>0</v>
      </c>
      <c r="K495" s="319">
        <f>IF(AND('Ações'!AS504="sim", 'Ações'!BH504="sim"), 1, 0)
</f>
        <v>0</v>
      </c>
      <c r="L495" s="319">
        <f>IF(AND('Ações'!AS504="sim", 'Ações'!BI504="sim"), 1, 0)
</f>
        <v>0</v>
      </c>
      <c r="M495" s="319">
        <f>IF(AND('Ações'!AT504="sim", 'Ações'!BD504="sim"), 1, 0)
</f>
        <v>1</v>
      </c>
      <c r="N495" s="319">
        <f>IF(AND('Ações'!AT504="sim", 'Ações'!BF504="sim"), 1, 0)
</f>
        <v>0</v>
      </c>
      <c r="O495" s="319">
        <f>IF(AND('Ações'!AT504="sim", 'Ações'!BG504="sim"), 1, 0)
</f>
        <v>0</v>
      </c>
      <c r="P495" s="319">
        <f>IF(AND('Ações'!AT504="sim", 'Ações'!BH504="sim"), 1, 0)
</f>
        <v>0</v>
      </c>
      <c r="Q495" s="319">
        <f>IF(AND('Ações'!AT504="sim", 'Ações'!BI504="sim"), 1, 0)
</f>
        <v>0</v>
      </c>
      <c r="R495" s="319">
        <f>IF(AND('Ações'!AU504="sim", 'Ações'!BD504="sim"), 1, 0)
</f>
        <v>1</v>
      </c>
      <c r="S495" s="319">
        <f>IF(AND('Ações'!AU504="sim", 'Ações'!BE504="sim"), 1, 0)
</f>
        <v>0</v>
      </c>
      <c r="T495" s="319">
        <f>IF(AND('Ações'!AU504="sim", 'Ações'!BG504="sim"), 1, 0)
</f>
        <v>0</v>
      </c>
      <c r="U495" s="319">
        <f>IF(AND('Ações'!AU504="sim", 'Ações'!BH504="sim"), 1, 0)
</f>
        <v>0</v>
      </c>
      <c r="V495" s="319">
        <f>IF(AND('Ações'!AU504="sim", 'Ações'!BI504="sim"), 1, 0)
</f>
        <v>0</v>
      </c>
      <c r="W495" s="319">
        <f>IF(AND('Ações'!AV504="sim", 'Ações'!BD504="sim"), 1, 0)
</f>
        <v>1</v>
      </c>
      <c r="X495" s="319">
        <f>IF(AND('Ações'!AV504="sim", 'Ações'!BE504="sim"), 1, 0)
</f>
        <v>0</v>
      </c>
      <c r="Y495" s="319">
        <f>IF(AND('Ações'!AV504="sim", 'Ações'!BF504="sim"), 1, 0)
</f>
        <v>0</v>
      </c>
      <c r="Z495" s="319">
        <f>IF(AND('Ações'!AV504="sim", 'Ações'!BH504="sim"), 1, 0)
</f>
        <v>0</v>
      </c>
      <c r="AA495" s="319">
        <f>IF(AND('Ações'!AV504="sim", 'Ações'!BI504="sim"), 1, 0)
</f>
        <v>0</v>
      </c>
      <c r="AB495" s="319">
        <f>IF(AND('Ações'!AW504="sim", 'Ações'!BD504="sim"), 1, 0)
</f>
        <v>1</v>
      </c>
      <c r="AC495" s="319">
        <f>IF(AND('Ações'!AW504="sim", 'Ações'!BE504="sim"), 1, 0)
</f>
        <v>0</v>
      </c>
      <c r="AD495" s="319">
        <f>IF(AND('Ações'!AW504="sim", 'Ações'!BF504="sim"), 1, 0)
</f>
        <v>0</v>
      </c>
      <c r="AE495" s="319">
        <f>IF(AND('Ações'!AW504="sim", 'Ações'!BG504="sim"), 1, 0)
</f>
        <v>0</v>
      </c>
      <c r="AF495" s="319">
        <f>IF(AND('Ações'!AW504="sim", 'Ações'!BI504="sim"), 1, 0)
</f>
        <v>0</v>
      </c>
      <c r="AG495" s="319">
        <f>IF(AND('Ações'!AX504="sim", 'Ações'!BD504="sim"), 1, 0)
</f>
        <v>1</v>
      </c>
      <c r="AH495" s="319">
        <f>IF(AND('Ações'!AX504="sim", 'Ações'!BE504="sim"), 1, 0)
</f>
        <v>0</v>
      </c>
      <c r="AI495" s="319">
        <f>IF(AND('Ações'!AX504="sim", 'Ações'!BF504="sim"), 1, 0)
</f>
        <v>0</v>
      </c>
      <c r="AJ495" s="319">
        <f>IF(AND('Ações'!AX504="sim", 'Ações'!BG504="sim"), 1, 0)
</f>
        <v>0</v>
      </c>
      <c r="AK495" s="319">
        <f>IF(AND('Ações'!AX504="sim", 'Ações'!BH504="sim"), 1, 0)
</f>
        <v>0</v>
      </c>
    </row>
    <row r="496">
      <c r="B496" s="319">
        <f>IF(AND('Ações'!AS505="sim", 'Ações'!BD505="sim"), 1, 0)
</f>
        <v>1</v>
      </c>
      <c r="C496" s="319">
        <f>IF(AND('Ações'!AT505="sim", 'Ações'!BE505="sim"), 1, 0)
</f>
        <v>0</v>
      </c>
      <c r="D496" s="319">
        <f>IF(AND('Ações'!AU505="sim", 'Ações'!BF505="sim"), 1, 0)
</f>
        <v>0</v>
      </c>
      <c r="E496" s="319">
        <f>IF(AND('Ações'!AV505="sim", 'Ações'!BG505="sim"), 1, 0)
</f>
        <v>0</v>
      </c>
      <c r="F496" s="319">
        <f>IF(AND('Ações'!AW505="sim", 'Ações'!BH505="sim"), 1, 0)
</f>
        <v>0</v>
      </c>
      <c r="G496" s="319">
        <f>IF(AND('Ações'!AX505="sim", 'Ações'!BI505="sim"), 1, 0)
</f>
        <v>0</v>
      </c>
      <c r="H496" s="319">
        <f>IF(AND('Ações'!AS505="sim", 'Ações'!BE505="sim"), 1, 0)
</f>
        <v>0</v>
      </c>
      <c r="I496" s="319">
        <f>IF(AND('Ações'!AS505="sim", 'Ações'!BF505="sim"), 1, 0)
</f>
        <v>0</v>
      </c>
      <c r="J496" s="319">
        <f>IF(AND('Ações'!AS505="sim", 'Ações'!BG505="sim"), 1, 0)
</f>
        <v>0</v>
      </c>
      <c r="K496" s="319">
        <f>IF(AND('Ações'!AS505="sim", 'Ações'!BH505="sim"), 1, 0)
</f>
        <v>0</v>
      </c>
      <c r="L496" s="319">
        <f>IF(AND('Ações'!AS505="sim", 'Ações'!BI505="sim"), 1, 0)
</f>
        <v>0</v>
      </c>
      <c r="M496" s="319">
        <f>IF(AND('Ações'!AT505="sim", 'Ações'!BD505="sim"), 1, 0)
</f>
        <v>1</v>
      </c>
      <c r="N496" s="319">
        <f>IF(AND('Ações'!AT505="sim", 'Ações'!BF505="sim"), 1, 0)
</f>
        <v>0</v>
      </c>
      <c r="O496" s="319">
        <f>IF(AND('Ações'!AT505="sim", 'Ações'!BG505="sim"), 1, 0)
</f>
        <v>0</v>
      </c>
      <c r="P496" s="319">
        <f>IF(AND('Ações'!AT505="sim", 'Ações'!BH505="sim"), 1, 0)
</f>
        <v>0</v>
      </c>
      <c r="Q496" s="319">
        <f>IF(AND('Ações'!AT505="sim", 'Ações'!BI505="sim"), 1, 0)
</f>
        <v>0</v>
      </c>
      <c r="R496" s="319">
        <f>IF(AND('Ações'!AU505="sim", 'Ações'!BD505="sim"), 1, 0)
</f>
        <v>1</v>
      </c>
      <c r="S496" s="319">
        <f>IF(AND('Ações'!AU505="sim", 'Ações'!BE505="sim"), 1, 0)
</f>
        <v>0</v>
      </c>
      <c r="T496" s="319">
        <f>IF(AND('Ações'!AU505="sim", 'Ações'!BG505="sim"), 1, 0)
</f>
        <v>0</v>
      </c>
      <c r="U496" s="319">
        <f>IF(AND('Ações'!AU505="sim", 'Ações'!BH505="sim"), 1, 0)
</f>
        <v>0</v>
      </c>
      <c r="V496" s="319">
        <f>IF(AND('Ações'!AU505="sim", 'Ações'!BI505="sim"), 1, 0)
</f>
        <v>0</v>
      </c>
      <c r="W496" s="319">
        <f>IF(AND('Ações'!AV505="sim", 'Ações'!BD505="sim"), 1, 0)
</f>
        <v>1</v>
      </c>
      <c r="X496" s="319">
        <f>IF(AND('Ações'!AV505="sim", 'Ações'!BE505="sim"), 1, 0)
</f>
        <v>0</v>
      </c>
      <c r="Y496" s="319">
        <f>IF(AND('Ações'!AV505="sim", 'Ações'!BF505="sim"), 1, 0)
</f>
        <v>0</v>
      </c>
      <c r="Z496" s="319">
        <f>IF(AND('Ações'!AV505="sim", 'Ações'!BH505="sim"), 1, 0)
</f>
        <v>0</v>
      </c>
      <c r="AA496" s="319">
        <f>IF(AND('Ações'!AV505="sim", 'Ações'!BI505="sim"), 1, 0)
</f>
        <v>0</v>
      </c>
      <c r="AB496" s="319">
        <f>IF(AND('Ações'!AW505="sim", 'Ações'!BD505="sim"), 1, 0)
</f>
        <v>1</v>
      </c>
      <c r="AC496" s="319">
        <f>IF(AND('Ações'!AW505="sim", 'Ações'!BE505="sim"), 1, 0)
</f>
        <v>0</v>
      </c>
      <c r="AD496" s="319">
        <f>IF(AND('Ações'!AW505="sim", 'Ações'!BF505="sim"), 1, 0)
</f>
        <v>0</v>
      </c>
      <c r="AE496" s="319">
        <f>IF(AND('Ações'!AW505="sim", 'Ações'!BG505="sim"), 1, 0)
</f>
        <v>0</v>
      </c>
      <c r="AF496" s="319">
        <f>IF(AND('Ações'!AW505="sim", 'Ações'!BI505="sim"), 1, 0)
</f>
        <v>0</v>
      </c>
      <c r="AG496" s="319">
        <f>IF(AND('Ações'!AX505="sim", 'Ações'!BD505="sim"), 1, 0)
</f>
        <v>1</v>
      </c>
      <c r="AH496" s="319">
        <f>IF(AND('Ações'!AX505="sim", 'Ações'!BE505="sim"), 1, 0)
</f>
        <v>0</v>
      </c>
      <c r="AI496" s="319">
        <f>IF(AND('Ações'!AX505="sim", 'Ações'!BF505="sim"), 1, 0)
</f>
        <v>0</v>
      </c>
      <c r="AJ496" s="319">
        <f>IF(AND('Ações'!AX505="sim", 'Ações'!BG505="sim"), 1, 0)
</f>
        <v>0</v>
      </c>
      <c r="AK496" s="319">
        <f>IF(AND('Ações'!AX505="sim", 'Ações'!BH505="sim"), 1, 0)
</f>
        <v>0</v>
      </c>
    </row>
    <row r="497">
      <c r="B497" s="319">
        <f>IF(AND('Ações'!AS506="sim", 'Ações'!BD506="sim"), 1, 0)
</f>
        <v>1</v>
      </c>
      <c r="C497" s="319">
        <f>IF(AND('Ações'!AT506="sim", 'Ações'!BE506="sim"), 1, 0)
</f>
        <v>0</v>
      </c>
      <c r="D497" s="319">
        <f>IF(AND('Ações'!AU506="sim", 'Ações'!BF506="sim"), 1, 0)
</f>
        <v>0</v>
      </c>
      <c r="E497" s="319">
        <f>IF(AND('Ações'!AV506="sim", 'Ações'!BG506="sim"), 1, 0)
</f>
        <v>0</v>
      </c>
      <c r="F497" s="319">
        <f>IF(AND('Ações'!AW506="sim", 'Ações'!BH506="sim"), 1, 0)
</f>
        <v>0</v>
      </c>
      <c r="G497" s="319">
        <f>IF(AND('Ações'!AX506="sim", 'Ações'!BI506="sim"), 1, 0)
</f>
        <v>0</v>
      </c>
      <c r="H497" s="319">
        <f>IF(AND('Ações'!AS506="sim", 'Ações'!BE506="sim"), 1, 0)
</f>
        <v>0</v>
      </c>
      <c r="I497" s="319">
        <f>IF(AND('Ações'!AS506="sim", 'Ações'!BF506="sim"), 1, 0)
</f>
        <v>0</v>
      </c>
      <c r="J497" s="319">
        <f>IF(AND('Ações'!AS506="sim", 'Ações'!BG506="sim"), 1, 0)
</f>
        <v>0</v>
      </c>
      <c r="K497" s="319">
        <f>IF(AND('Ações'!AS506="sim", 'Ações'!BH506="sim"), 1, 0)
</f>
        <v>0</v>
      </c>
      <c r="L497" s="319">
        <f>IF(AND('Ações'!AS506="sim", 'Ações'!BI506="sim"), 1, 0)
</f>
        <v>0</v>
      </c>
      <c r="M497" s="319">
        <f>IF(AND('Ações'!AT506="sim", 'Ações'!BD506="sim"), 1, 0)
</f>
        <v>1</v>
      </c>
      <c r="N497" s="319">
        <f>IF(AND('Ações'!AT506="sim", 'Ações'!BF506="sim"), 1, 0)
</f>
        <v>0</v>
      </c>
      <c r="O497" s="319">
        <f>IF(AND('Ações'!AT506="sim", 'Ações'!BG506="sim"), 1, 0)
</f>
        <v>0</v>
      </c>
      <c r="P497" s="319">
        <f>IF(AND('Ações'!AT506="sim", 'Ações'!BH506="sim"), 1, 0)
</f>
        <v>0</v>
      </c>
      <c r="Q497" s="319">
        <f>IF(AND('Ações'!AT506="sim", 'Ações'!BI506="sim"), 1, 0)
</f>
        <v>0</v>
      </c>
      <c r="R497" s="319">
        <f>IF(AND('Ações'!AU506="sim", 'Ações'!BD506="sim"), 1, 0)
</f>
        <v>1</v>
      </c>
      <c r="S497" s="319">
        <f>IF(AND('Ações'!AU506="sim", 'Ações'!BE506="sim"), 1, 0)
</f>
        <v>0</v>
      </c>
      <c r="T497" s="319">
        <f>IF(AND('Ações'!AU506="sim", 'Ações'!BG506="sim"), 1, 0)
</f>
        <v>0</v>
      </c>
      <c r="U497" s="319">
        <f>IF(AND('Ações'!AU506="sim", 'Ações'!BH506="sim"), 1, 0)
</f>
        <v>0</v>
      </c>
      <c r="V497" s="319">
        <f>IF(AND('Ações'!AU506="sim", 'Ações'!BI506="sim"), 1, 0)
</f>
        <v>0</v>
      </c>
      <c r="W497" s="319">
        <f>IF(AND('Ações'!AV506="sim", 'Ações'!BD506="sim"), 1, 0)
</f>
        <v>1</v>
      </c>
      <c r="X497" s="319">
        <f>IF(AND('Ações'!AV506="sim", 'Ações'!BE506="sim"), 1, 0)
</f>
        <v>0</v>
      </c>
      <c r="Y497" s="319">
        <f>IF(AND('Ações'!AV506="sim", 'Ações'!BF506="sim"), 1, 0)
</f>
        <v>0</v>
      </c>
      <c r="Z497" s="319">
        <f>IF(AND('Ações'!AV506="sim", 'Ações'!BH506="sim"), 1, 0)
</f>
        <v>0</v>
      </c>
      <c r="AA497" s="319">
        <f>IF(AND('Ações'!AV506="sim", 'Ações'!BI506="sim"), 1, 0)
</f>
        <v>0</v>
      </c>
      <c r="AB497" s="319">
        <f>IF(AND('Ações'!AW506="sim", 'Ações'!BD506="sim"), 1, 0)
</f>
        <v>1</v>
      </c>
      <c r="AC497" s="319">
        <f>IF(AND('Ações'!AW506="sim", 'Ações'!BE506="sim"), 1, 0)
</f>
        <v>0</v>
      </c>
      <c r="AD497" s="319">
        <f>IF(AND('Ações'!AW506="sim", 'Ações'!BF506="sim"), 1, 0)
</f>
        <v>0</v>
      </c>
      <c r="AE497" s="319">
        <f>IF(AND('Ações'!AW506="sim", 'Ações'!BG506="sim"), 1, 0)
</f>
        <v>0</v>
      </c>
      <c r="AF497" s="319">
        <f>IF(AND('Ações'!AW506="sim", 'Ações'!BI506="sim"), 1, 0)
</f>
        <v>0</v>
      </c>
      <c r="AG497" s="319">
        <f>IF(AND('Ações'!AX506="sim", 'Ações'!BD506="sim"), 1, 0)
</f>
        <v>1</v>
      </c>
      <c r="AH497" s="319">
        <f>IF(AND('Ações'!AX506="sim", 'Ações'!BE506="sim"), 1, 0)
</f>
        <v>0</v>
      </c>
      <c r="AI497" s="319">
        <f>IF(AND('Ações'!AX506="sim", 'Ações'!BF506="sim"), 1, 0)
</f>
        <v>0</v>
      </c>
      <c r="AJ497" s="319">
        <f>IF(AND('Ações'!AX506="sim", 'Ações'!BG506="sim"), 1, 0)
</f>
        <v>0</v>
      </c>
      <c r="AK497" s="319">
        <f>IF(AND('Ações'!AX506="sim", 'Ações'!BH506="sim"), 1, 0)
</f>
        <v>0</v>
      </c>
    </row>
    <row r="498">
      <c r="B498" s="319">
        <f>IF(AND('Ações'!AS507="sim", 'Ações'!BD507="sim"), 1, 0)
</f>
        <v>1</v>
      </c>
      <c r="C498" s="319">
        <f>IF(AND('Ações'!AT507="sim", 'Ações'!BE507="sim"), 1, 0)
</f>
        <v>0</v>
      </c>
      <c r="D498" s="319">
        <f>IF(AND('Ações'!AU507="sim", 'Ações'!BF507="sim"), 1, 0)
</f>
        <v>0</v>
      </c>
      <c r="E498" s="319">
        <f>IF(AND('Ações'!AV507="sim", 'Ações'!BG507="sim"), 1, 0)
</f>
        <v>0</v>
      </c>
      <c r="F498" s="319">
        <f>IF(AND('Ações'!AW507="sim", 'Ações'!BH507="sim"), 1, 0)
</f>
        <v>0</v>
      </c>
      <c r="G498" s="319">
        <f>IF(AND('Ações'!AX507="sim", 'Ações'!BI507="sim"), 1, 0)
</f>
        <v>0</v>
      </c>
      <c r="H498" s="319">
        <f>IF(AND('Ações'!AS507="sim", 'Ações'!BE507="sim"), 1, 0)
</f>
        <v>0</v>
      </c>
      <c r="I498" s="319">
        <f>IF(AND('Ações'!AS507="sim", 'Ações'!BF507="sim"), 1, 0)
</f>
        <v>0</v>
      </c>
      <c r="J498" s="319">
        <f>IF(AND('Ações'!AS507="sim", 'Ações'!BG507="sim"), 1, 0)
</f>
        <v>0</v>
      </c>
      <c r="K498" s="319">
        <f>IF(AND('Ações'!AS507="sim", 'Ações'!BH507="sim"), 1, 0)
</f>
        <v>0</v>
      </c>
      <c r="L498" s="319">
        <f>IF(AND('Ações'!AS507="sim", 'Ações'!BI507="sim"), 1, 0)
</f>
        <v>0</v>
      </c>
      <c r="M498" s="319">
        <f>IF(AND('Ações'!AT507="sim", 'Ações'!BD507="sim"), 1, 0)
</f>
        <v>1</v>
      </c>
      <c r="N498" s="319">
        <f>IF(AND('Ações'!AT507="sim", 'Ações'!BF507="sim"), 1, 0)
</f>
        <v>0</v>
      </c>
      <c r="O498" s="319">
        <f>IF(AND('Ações'!AT507="sim", 'Ações'!BG507="sim"), 1, 0)
</f>
        <v>0</v>
      </c>
      <c r="P498" s="319">
        <f>IF(AND('Ações'!AT507="sim", 'Ações'!BH507="sim"), 1, 0)
</f>
        <v>0</v>
      </c>
      <c r="Q498" s="319">
        <f>IF(AND('Ações'!AT507="sim", 'Ações'!BI507="sim"), 1, 0)
</f>
        <v>0</v>
      </c>
      <c r="R498" s="319">
        <f>IF(AND('Ações'!AU507="sim", 'Ações'!BD507="sim"), 1, 0)
</f>
        <v>1</v>
      </c>
      <c r="S498" s="319">
        <f>IF(AND('Ações'!AU507="sim", 'Ações'!BE507="sim"), 1, 0)
</f>
        <v>0</v>
      </c>
      <c r="T498" s="319">
        <f>IF(AND('Ações'!AU507="sim", 'Ações'!BG507="sim"), 1, 0)
</f>
        <v>0</v>
      </c>
      <c r="U498" s="319">
        <f>IF(AND('Ações'!AU507="sim", 'Ações'!BH507="sim"), 1, 0)
</f>
        <v>0</v>
      </c>
      <c r="V498" s="319">
        <f>IF(AND('Ações'!AU507="sim", 'Ações'!BI507="sim"), 1, 0)
</f>
        <v>0</v>
      </c>
      <c r="W498" s="319">
        <f>IF(AND('Ações'!AV507="sim", 'Ações'!BD507="sim"), 1, 0)
</f>
        <v>1</v>
      </c>
      <c r="X498" s="319">
        <f>IF(AND('Ações'!AV507="sim", 'Ações'!BE507="sim"), 1, 0)
</f>
        <v>0</v>
      </c>
      <c r="Y498" s="319">
        <f>IF(AND('Ações'!AV507="sim", 'Ações'!BF507="sim"), 1, 0)
</f>
        <v>0</v>
      </c>
      <c r="Z498" s="319">
        <f>IF(AND('Ações'!AV507="sim", 'Ações'!BH507="sim"), 1, 0)
</f>
        <v>0</v>
      </c>
      <c r="AA498" s="319">
        <f>IF(AND('Ações'!AV507="sim", 'Ações'!BI507="sim"), 1, 0)
</f>
        <v>0</v>
      </c>
      <c r="AB498" s="319">
        <f>IF(AND('Ações'!AW507="sim", 'Ações'!BD507="sim"), 1, 0)
</f>
        <v>1</v>
      </c>
      <c r="AC498" s="319">
        <f>IF(AND('Ações'!AW507="sim", 'Ações'!BE507="sim"), 1, 0)
</f>
        <v>0</v>
      </c>
      <c r="AD498" s="319">
        <f>IF(AND('Ações'!AW507="sim", 'Ações'!BF507="sim"), 1, 0)
</f>
        <v>0</v>
      </c>
      <c r="AE498" s="319">
        <f>IF(AND('Ações'!AW507="sim", 'Ações'!BG507="sim"), 1, 0)
</f>
        <v>0</v>
      </c>
      <c r="AF498" s="319">
        <f>IF(AND('Ações'!AW507="sim", 'Ações'!BI507="sim"), 1, 0)
</f>
        <v>0</v>
      </c>
      <c r="AG498" s="319">
        <f>IF(AND('Ações'!AX507="sim", 'Ações'!BD507="sim"), 1, 0)
</f>
        <v>1</v>
      </c>
      <c r="AH498" s="319">
        <f>IF(AND('Ações'!AX507="sim", 'Ações'!BE507="sim"), 1, 0)
</f>
        <v>0</v>
      </c>
      <c r="AI498" s="319">
        <f>IF(AND('Ações'!AX507="sim", 'Ações'!BF507="sim"), 1, 0)
</f>
        <v>0</v>
      </c>
      <c r="AJ498" s="319">
        <f>IF(AND('Ações'!AX507="sim", 'Ações'!BG507="sim"), 1, 0)
</f>
        <v>0</v>
      </c>
      <c r="AK498" s="319">
        <f>IF(AND('Ações'!AX507="sim", 'Ações'!BH507="sim"), 1, 0)
</f>
        <v>0</v>
      </c>
    </row>
    <row r="499">
      <c r="B499" s="319">
        <f>IF(AND('Ações'!AS508="sim", 'Ações'!BD508="sim"), 1, 0)
</f>
        <v>1</v>
      </c>
      <c r="C499" s="319">
        <f>IF(AND('Ações'!AT508="sim", 'Ações'!BE508="sim"), 1, 0)
</f>
        <v>0</v>
      </c>
      <c r="D499" s="319">
        <f>IF(AND('Ações'!AU508="sim", 'Ações'!BF508="sim"), 1, 0)
</f>
        <v>0</v>
      </c>
      <c r="E499" s="319">
        <f>IF(AND('Ações'!AV508="sim", 'Ações'!BG508="sim"), 1, 0)
</f>
        <v>0</v>
      </c>
      <c r="F499" s="319">
        <f>IF(AND('Ações'!AW508="sim", 'Ações'!BH508="sim"), 1, 0)
</f>
        <v>0</v>
      </c>
      <c r="G499" s="319">
        <f>IF(AND('Ações'!AX508="sim", 'Ações'!BI508="sim"), 1, 0)
</f>
        <v>0</v>
      </c>
      <c r="H499" s="319">
        <f>IF(AND('Ações'!AS508="sim", 'Ações'!BE508="sim"), 1, 0)
</f>
        <v>0</v>
      </c>
      <c r="I499" s="319">
        <f>IF(AND('Ações'!AS508="sim", 'Ações'!BF508="sim"), 1, 0)
</f>
        <v>0</v>
      </c>
      <c r="J499" s="319">
        <f>IF(AND('Ações'!AS508="sim", 'Ações'!BG508="sim"), 1, 0)
</f>
        <v>0</v>
      </c>
      <c r="K499" s="319">
        <f>IF(AND('Ações'!AS508="sim", 'Ações'!BH508="sim"), 1, 0)
</f>
        <v>0</v>
      </c>
      <c r="L499" s="319">
        <f>IF(AND('Ações'!AS508="sim", 'Ações'!BI508="sim"), 1, 0)
</f>
        <v>0</v>
      </c>
      <c r="M499" s="319">
        <f>IF(AND('Ações'!AT508="sim", 'Ações'!BD508="sim"), 1, 0)
</f>
        <v>1</v>
      </c>
      <c r="N499" s="319">
        <f>IF(AND('Ações'!AT508="sim", 'Ações'!BF508="sim"), 1, 0)
</f>
        <v>0</v>
      </c>
      <c r="O499" s="319">
        <f>IF(AND('Ações'!AT508="sim", 'Ações'!BG508="sim"), 1, 0)
</f>
        <v>0</v>
      </c>
      <c r="P499" s="319">
        <f>IF(AND('Ações'!AT508="sim", 'Ações'!BH508="sim"), 1, 0)
</f>
        <v>0</v>
      </c>
      <c r="Q499" s="319">
        <f>IF(AND('Ações'!AT508="sim", 'Ações'!BI508="sim"), 1, 0)
</f>
        <v>0</v>
      </c>
      <c r="R499" s="319">
        <f>IF(AND('Ações'!AU508="sim", 'Ações'!BD508="sim"), 1, 0)
</f>
        <v>1</v>
      </c>
      <c r="S499" s="319">
        <f>IF(AND('Ações'!AU508="sim", 'Ações'!BE508="sim"), 1, 0)
</f>
        <v>0</v>
      </c>
      <c r="T499" s="319">
        <f>IF(AND('Ações'!AU508="sim", 'Ações'!BG508="sim"), 1, 0)
</f>
        <v>0</v>
      </c>
      <c r="U499" s="319">
        <f>IF(AND('Ações'!AU508="sim", 'Ações'!BH508="sim"), 1, 0)
</f>
        <v>0</v>
      </c>
      <c r="V499" s="319">
        <f>IF(AND('Ações'!AU508="sim", 'Ações'!BI508="sim"), 1, 0)
</f>
        <v>0</v>
      </c>
      <c r="W499" s="319">
        <f>IF(AND('Ações'!AV508="sim", 'Ações'!BD508="sim"), 1, 0)
</f>
        <v>1</v>
      </c>
      <c r="X499" s="319">
        <f>IF(AND('Ações'!AV508="sim", 'Ações'!BE508="sim"), 1, 0)
</f>
        <v>0</v>
      </c>
      <c r="Y499" s="319">
        <f>IF(AND('Ações'!AV508="sim", 'Ações'!BF508="sim"), 1, 0)
</f>
        <v>0</v>
      </c>
      <c r="Z499" s="319">
        <f>IF(AND('Ações'!AV508="sim", 'Ações'!BH508="sim"), 1, 0)
</f>
        <v>0</v>
      </c>
      <c r="AA499" s="319">
        <f>IF(AND('Ações'!AV508="sim", 'Ações'!BI508="sim"), 1, 0)
</f>
        <v>0</v>
      </c>
      <c r="AB499" s="319">
        <f>IF(AND('Ações'!AW508="sim", 'Ações'!BD508="sim"), 1, 0)
</f>
        <v>1</v>
      </c>
      <c r="AC499" s="319">
        <f>IF(AND('Ações'!AW508="sim", 'Ações'!BE508="sim"), 1, 0)
</f>
        <v>0</v>
      </c>
      <c r="AD499" s="319">
        <f>IF(AND('Ações'!AW508="sim", 'Ações'!BF508="sim"), 1, 0)
</f>
        <v>0</v>
      </c>
      <c r="AE499" s="319">
        <f>IF(AND('Ações'!AW508="sim", 'Ações'!BG508="sim"), 1, 0)
</f>
        <v>0</v>
      </c>
      <c r="AF499" s="319">
        <f>IF(AND('Ações'!AW508="sim", 'Ações'!BI508="sim"), 1, 0)
</f>
        <v>0</v>
      </c>
      <c r="AG499" s="319">
        <f>IF(AND('Ações'!AX508="sim", 'Ações'!BD508="sim"), 1, 0)
</f>
        <v>1</v>
      </c>
      <c r="AH499" s="319">
        <f>IF(AND('Ações'!AX508="sim", 'Ações'!BE508="sim"), 1, 0)
</f>
        <v>0</v>
      </c>
      <c r="AI499" s="319">
        <f>IF(AND('Ações'!AX508="sim", 'Ações'!BF508="sim"), 1, 0)
</f>
        <v>0</v>
      </c>
      <c r="AJ499" s="319">
        <f>IF(AND('Ações'!AX508="sim", 'Ações'!BG508="sim"), 1, 0)
</f>
        <v>0</v>
      </c>
      <c r="AK499" s="319">
        <f>IF(AND('Ações'!AX508="sim", 'Ações'!BH508="sim"), 1, 0)
</f>
        <v>0</v>
      </c>
    </row>
    <row r="500">
      <c r="B500" s="319">
        <f>IF(AND('Ações'!AS509="sim", 'Ações'!BD509="sim"), 1, 0)
</f>
        <v>1</v>
      </c>
      <c r="C500" s="319">
        <f>IF(AND('Ações'!AT509="sim", 'Ações'!BE509="sim"), 1, 0)
</f>
        <v>0</v>
      </c>
      <c r="D500" s="319">
        <f>IF(AND('Ações'!AU509="sim", 'Ações'!BF509="sim"), 1, 0)
</f>
        <v>0</v>
      </c>
      <c r="E500" s="319">
        <f>IF(AND('Ações'!AV509="sim", 'Ações'!BG509="sim"), 1, 0)
</f>
        <v>0</v>
      </c>
      <c r="F500" s="319">
        <f>IF(AND('Ações'!AW509="sim", 'Ações'!BH509="sim"), 1, 0)
</f>
        <v>0</v>
      </c>
      <c r="G500" s="319">
        <f>IF(AND('Ações'!AX509="sim", 'Ações'!BI509="sim"), 1, 0)
</f>
        <v>0</v>
      </c>
      <c r="H500" s="319">
        <f>IF(AND('Ações'!AS509="sim", 'Ações'!BE509="sim"), 1, 0)
</f>
        <v>0</v>
      </c>
      <c r="I500" s="319">
        <f>IF(AND('Ações'!AS509="sim", 'Ações'!BF509="sim"), 1, 0)
</f>
        <v>0</v>
      </c>
      <c r="J500" s="319">
        <f>IF(AND('Ações'!AS509="sim", 'Ações'!BG509="sim"), 1, 0)
</f>
        <v>0</v>
      </c>
      <c r="K500" s="319">
        <f>IF(AND('Ações'!AS509="sim", 'Ações'!BH509="sim"), 1, 0)
</f>
        <v>0</v>
      </c>
      <c r="L500" s="319">
        <f>IF(AND('Ações'!AS509="sim", 'Ações'!BI509="sim"), 1, 0)
</f>
        <v>0</v>
      </c>
      <c r="M500" s="319">
        <f>IF(AND('Ações'!AT509="sim", 'Ações'!BD509="sim"), 1, 0)
</f>
        <v>1</v>
      </c>
      <c r="N500" s="319">
        <f>IF(AND('Ações'!AT509="sim", 'Ações'!BF509="sim"), 1, 0)
</f>
        <v>0</v>
      </c>
      <c r="O500" s="319">
        <f>IF(AND('Ações'!AT509="sim", 'Ações'!BG509="sim"), 1, 0)
</f>
        <v>0</v>
      </c>
      <c r="P500" s="319">
        <f>IF(AND('Ações'!AT509="sim", 'Ações'!BH509="sim"), 1, 0)
</f>
        <v>0</v>
      </c>
      <c r="Q500" s="319">
        <f>IF(AND('Ações'!AT509="sim", 'Ações'!BI509="sim"), 1, 0)
</f>
        <v>0</v>
      </c>
      <c r="R500" s="319">
        <f>IF(AND('Ações'!AU509="sim", 'Ações'!BD509="sim"), 1, 0)
</f>
        <v>1</v>
      </c>
      <c r="S500" s="319">
        <f>IF(AND('Ações'!AU509="sim", 'Ações'!BE509="sim"), 1, 0)
</f>
        <v>0</v>
      </c>
      <c r="T500" s="319">
        <f>IF(AND('Ações'!AU509="sim", 'Ações'!BG509="sim"), 1, 0)
</f>
        <v>0</v>
      </c>
      <c r="U500" s="319">
        <f>IF(AND('Ações'!AU509="sim", 'Ações'!BH509="sim"), 1, 0)
</f>
        <v>0</v>
      </c>
      <c r="V500" s="319">
        <f>IF(AND('Ações'!AU509="sim", 'Ações'!BI509="sim"), 1, 0)
</f>
        <v>0</v>
      </c>
      <c r="W500" s="319">
        <f>IF(AND('Ações'!AV509="sim", 'Ações'!BD509="sim"), 1, 0)
</f>
        <v>1</v>
      </c>
      <c r="X500" s="319">
        <f>IF(AND('Ações'!AV509="sim", 'Ações'!BE509="sim"), 1, 0)
</f>
        <v>0</v>
      </c>
      <c r="Y500" s="319">
        <f>IF(AND('Ações'!AV509="sim", 'Ações'!BF509="sim"), 1, 0)
</f>
        <v>0</v>
      </c>
      <c r="Z500" s="319">
        <f>IF(AND('Ações'!AV509="sim", 'Ações'!BH509="sim"), 1, 0)
</f>
        <v>0</v>
      </c>
      <c r="AA500" s="319">
        <f>IF(AND('Ações'!AV509="sim", 'Ações'!BI509="sim"), 1, 0)
</f>
        <v>0</v>
      </c>
      <c r="AB500" s="319">
        <f>IF(AND('Ações'!AW509="sim", 'Ações'!BD509="sim"), 1, 0)
</f>
        <v>1</v>
      </c>
      <c r="AC500" s="319">
        <f>IF(AND('Ações'!AW509="sim", 'Ações'!BE509="sim"), 1, 0)
</f>
        <v>0</v>
      </c>
      <c r="AD500" s="319">
        <f>IF(AND('Ações'!AW509="sim", 'Ações'!BF509="sim"), 1, 0)
</f>
        <v>0</v>
      </c>
      <c r="AE500" s="319">
        <f>IF(AND('Ações'!AW509="sim", 'Ações'!BG509="sim"), 1, 0)
</f>
        <v>0</v>
      </c>
      <c r="AF500" s="319">
        <f>IF(AND('Ações'!AW509="sim", 'Ações'!BI509="sim"), 1, 0)
</f>
        <v>0</v>
      </c>
      <c r="AG500" s="319">
        <f>IF(AND('Ações'!AX509="sim", 'Ações'!BD509="sim"), 1, 0)
</f>
        <v>1</v>
      </c>
      <c r="AH500" s="319">
        <f>IF(AND('Ações'!AX509="sim", 'Ações'!BE509="sim"), 1, 0)
</f>
        <v>0</v>
      </c>
      <c r="AI500" s="319">
        <f>IF(AND('Ações'!AX509="sim", 'Ações'!BF509="sim"), 1, 0)
</f>
        <v>0</v>
      </c>
      <c r="AJ500" s="319">
        <f>IF(AND('Ações'!AX509="sim", 'Ações'!BG509="sim"), 1, 0)
</f>
        <v>0</v>
      </c>
      <c r="AK500" s="319">
        <f>IF(AND('Ações'!AX509="sim", 'Ações'!BH509="sim"), 1, 0)
</f>
        <v>0</v>
      </c>
    </row>
    <row r="501">
      <c r="B501" s="319">
        <f>IF(AND('Ações'!AS510="sim", 'Ações'!BD510="sim"), 1, 0)
</f>
        <v>1</v>
      </c>
      <c r="C501" s="319">
        <f>IF(AND('Ações'!AT510="sim", 'Ações'!BE510="sim"), 1, 0)
</f>
        <v>0</v>
      </c>
      <c r="D501" s="319">
        <f>IF(AND('Ações'!AU510="sim", 'Ações'!BF510="sim"), 1, 0)
</f>
        <v>0</v>
      </c>
      <c r="E501" s="319">
        <f>IF(AND('Ações'!AV510="sim", 'Ações'!BG510="sim"), 1, 0)
</f>
        <v>0</v>
      </c>
      <c r="F501" s="319">
        <f>IF(AND('Ações'!AW510="sim", 'Ações'!BH510="sim"), 1, 0)
</f>
        <v>0</v>
      </c>
      <c r="G501" s="319">
        <f>IF(AND('Ações'!AX510="sim", 'Ações'!BI510="sim"), 1, 0)
</f>
        <v>0</v>
      </c>
      <c r="H501" s="319">
        <f>IF(AND('Ações'!AS510="sim", 'Ações'!BE510="sim"), 1, 0)
</f>
        <v>0</v>
      </c>
      <c r="I501" s="319">
        <f>IF(AND('Ações'!AS510="sim", 'Ações'!BF510="sim"), 1, 0)
</f>
        <v>0</v>
      </c>
      <c r="J501" s="319">
        <f>IF(AND('Ações'!AS510="sim", 'Ações'!BG510="sim"), 1, 0)
</f>
        <v>0</v>
      </c>
      <c r="K501" s="319">
        <f>IF(AND('Ações'!AS510="sim", 'Ações'!BH510="sim"), 1, 0)
</f>
        <v>0</v>
      </c>
      <c r="L501" s="319">
        <f>IF(AND('Ações'!AS510="sim", 'Ações'!BI510="sim"), 1, 0)
</f>
        <v>0</v>
      </c>
      <c r="M501" s="319">
        <f>IF(AND('Ações'!AT510="sim", 'Ações'!BD510="sim"), 1, 0)
</f>
        <v>1</v>
      </c>
      <c r="N501" s="319">
        <f>IF(AND('Ações'!AT510="sim", 'Ações'!BF510="sim"), 1, 0)
</f>
        <v>0</v>
      </c>
      <c r="O501" s="319">
        <f>IF(AND('Ações'!AT510="sim", 'Ações'!BG510="sim"), 1, 0)
</f>
        <v>0</v>
      </c>
      <c r="P501" s="319">
        <f>IF(AND('Ações'!AT510="sim", 'Ações'!BH510="sim"), 1, 0)
</f>
        <v>0</v>
      </c>
      <c r="Q501" s="319">
        <f>IF(AND('Ações'!AT510="sim", 'Ações'!BI510="sim"), 1, 0)
</f>
        <v>0</v>
      </c>
      <c r="R501" s="319">
        <f>IF(AND('Ações'!AU510="sim", 'Ações'!BD510="sim"), 1, 0)
</f>
        <v>1</v>
      </c>
      <c r="S501" s="319">
        <f>IF(AND('Ações'!AU510="sim", 'Ações'!BE510="sim"), 1, 0)
</f>
        <v>0</v>
      </c>
      <c r="T501" s="319">
        <f>IF(AND('Ações'!AU510="sim", 'Ações'!BG510="sim"), 1, 0)
</f>
        <v>0</v>
      </c>
      <c r="U501" s="319">
        <f>IF(AND('Ações'!AU510="sim", 'Ações'!BH510="sim"), 1, 0)
</f>
        <v>0</v>
      </c>
      <c r="V501" s="319">
        <f>IF(AND('Ações'!AU510="sim", 'Ações'!BI510="sim"), 1, 0)
</f>
        <v>0</v>
      </c>
      <c r="W501" s="319">
        <f>IF(AND('Ações'!AV510="sim", 'Ações'!BD510="sim"), 1, 0)
</f>
        <v>1</v>
      </c>
      <c r="X501" s="319">
        <f>IF(AND('Ações'!AV510="sim", 'Ações'!BE510="sim"), 1, 0)
</f>
        <v>0</v>
      </c>
      <c r="Y501" s="319">
        <f>IF(AND('Ações'!AV510="sim", 'Ações'!BF510="sim"), 1, 0)
</f>
        <v>0</v>
      </c>
      <c r="Z501" s="319">
        <f>IF(AND('Ações'!AV510="sim", 'Ações'!BH510="sim"), 1, 0)
</f>
        <v>0</v>
      </c>
      <c r="AA501" s="319">
        <f>IF(AND('Ações'!AV510="sim", 'Ações'!BI510="sim"), 1, 0)
</f>
        <v>0</v>
      </c>
      <c r="AB501" s="319">
        <f>IF(AND('Ações'!AW510="sim", 'Ações'!BD510="sim"), 1, 0)
</f>
        <v>1</v>
      </c>
      <c r="AC501" s="319">
        <f>IF(AND('Ações'!AW510="sim", 'Ações'!BE510="sim"), 1, 0)
</f>
        <v>0</v>
      </c>
      <c r="AD501" s="319">
        <f>IF(AND('Ações'!AW510="sim", 'Ações'!BF510="sim"), 1, 0)
</f>
        <v>0</v>
      </c>
      <c r="AE501" s="319">
        <f>IF(AND('Ações'!AW510="sim", 'Ações'!BG510="sim"), 1, 0)
</f>
        <v>0</v>
      </c>
      <c r="AF501" s="319">
        <f>IF(AND('Ações'!AW510="sim", 'Ações'!BI510="sim"), 1, 0)
</f>
        <v>0</v>
      </c>
      <c r="AG501" s="319">
        <f>IF(AND('Ações'!AX510="sim", 'Ações'!BD510="sim"), 1, 0)
</f>
        <v>1</v>
      </c>
      <c r="AH501" s="319">
        <f>IF(AND('Ações'!AX510="sim", 'Ações'!BE510="sim"), 1, 0)
</f>
        <v>0</v>
      </c>
      <c r="AI501" s="319">
        <f>IF(AND('Ações'!AX510="sim", 'Ações'!BF510="sim"), 1, 0)
</f>
        <v>0</v>
      </c>
      <c r="AJ501" s="319">
        <f>IF(AND('Ações'!AX510="sim", 'Ações'!BG510="sim"), 1, 0)
</f>
        <v>0</v>
      </c>
      <c r="AK501" s="319">
        <f>IF(AND('Ações'!AX510="sim", 'Ações'!BH510="sim"), 1, 0)
</f>
        <v>0</v>
      </c>
    </row>
    <row r="502">
      <c r="B502" s="319">
        <f>IF(AND('Ações'!AS511="sim", 'Ações'!BD511="sim"), 1, 0)
</f>
        <v>1</v>
      </c>
      <c r="C502" s="319">
        <f>IF(AND('Ações'!AT511="sim", 'Ações'!BE511="sim"), 1, 0)
</f>
        <v>0</v>
      </c>
      <c r="D502" s="319">
        <f>IF(AND('Ações'!AU511="sim", 'Ações'!BF511="sim"), 1, 0)
</f>
        <v>0</v>
      </c>
      <c r="E502" s="319">
        <f>IF(AND('Ações'!AV511="sim", 'Ações'!BG511="sim"), 1, 0)
</f>
        <v>0</v>
      </c>
      <c r="F502" s="319">
        <f>IF(AND('Ações'!AW511="sim", 'Ações'!BH511="sim"), 1, 0)
</f>
        <v>0</v>
      </c>
      <c r="G502" s="319">
        <f>IF(AND('Ações'!AX511="sim", 'Ações'!BI511="sim"), 1, 0)
</f>
        <v>0</v>
      </c>
      <c r="H502" s="319">
        <f>IF(AND('Ações'!AS511="sim", 'Ações'!BE511="sim"), 1, 0)
</f>
        <v>0</v>
      </c>
      <c r="I502" s="319">
        <f>IF(AND('Ações'!AS511="sim", 'Ações'!BF511="sim"), 1, 0)
</f>
        <v>0</v>
      </c>
      <c r="J502" s="319">
        <f>IF(AND('Ações'!AS511="sim", 'Ações'!BG511="sim"), 1, 0)
</f>
        <v>0</v>
      </c>
      <c r="K502" s="319">
        <f>IF(AND('Ações'!AS511="sim", 'Ações'!BH511="sim"), 1, 0)
</f>
        <v>0</v>
      </c>
      <c r="L502" s="319">
        <f>IF(AND('Ações'!AS511="sim", 'Ações'!BI511="sim"), 1, 0)
</f>
        <v>0</v>
      </c>
      <c r="M502" s="319">
        <f>IF(AND('Ações'!AT511="sim", 'Ações'!BD511="sim"), 1, 0)
</f>
        <v>1</v>
      </c>
      <c r="N502" s="319">
        <f>IF(AND('Ações'!AT511="sim", 'Ações'!BF511="sim"), 1, 0)
</f>
        <v>0</v>
      </c>
      <c r="O502" s="319">
        <f>IF(AND('Ações'!AT511="sim", 'Ações'!BG511="sim"), 1, 0)
</f>
        <v>0</v>
      </c>
      <c r="P502" s="319">
        <f>IF(AND('Ações'!AT511="sim", 'Ações'!BH511="sim"), 1, 0)
</f>
        <v>0</v>
      </c>
      <c r="Q502" s="319">
        <f>IF(AND('Ações'!AT511="sim", 'Ações'!BI511="sim"), 1, 0)
</f>
        <v>0</v>
      </c>
      <c r="R502" s="319">
        <f>IF(AND('Ações'!AU511="sim", 'Ações'!BD511="sim"), 1, 0)
</f>
        <v>1</v>
      </c>
      <c r="S502" s="319">
        <f>IF(AND('Ações'!AU511="sim", 'Ações'!BE511="sim"), 1, 0)
</f>
        <v>0</v>
      </c>
      <c r="T502" s="319">
        <f>IF(AND('Ações'!AU511="sim", 'Ações'!BG511="sim"), 1, 0)
</f>
        <v>0</v>
      </c>
      <c r="U502" s="319">
        <f>IF(AND('Ações'!AU511="sim", 'Ações'!BH511="sim"), 1, 0)
</f>
        <v>0</v>
      </c>
      <c r="V502" s="319">
        <f>IF(AND('Ações'!AU511="sim", 'Ações'!BI511="sim"), 1, 0)
</f>
        <v>0</v>
      </c>
      <c r="W502" s="319">
        <f>IF(AND('Ações'!AV511="sim", 'Ações'!BD511="sim"), 1, 0)
</f>
        <v>1</v>
      </c>
      <c r="X502" s="319">
        <f>IF(AND('Ações'!AV511="sim", 'Ações'!BE511="sim"), 1, 0)
</f>
        <v>0</v>
      </c>
      <c r="Y502" s="319">
        <f>IF(AND('Ações'!AV511="sim", 'Ações'!BF511="sim"), 1, 0)
</f>
        <v>0</v>
      </c>
      <c r="Z502" s="319">
        <f>IF(AND('Ações'!AV511="sim", 'Ações'!BH511="sim"), 1, 0)
</f>
        <v>0</v>
      </c>
      <c r="AA502" s="319">
        <f>IF(AND('Ações'!AV511="sim", 'Ações'!BI511="sim"), 1, 0)
</f>
        <v>0</v>
      </c>
      <c r="AB502" s="319">
        <f>IF(AND('Ações'!AW511="sim", 'Ações'!BD511="sim"), 1, 0)
</f>
        <v>1</v>
      </c>
      <c r="AC502" s="319">
        <f>IF(AND('Ações'!AW511="sim", 'Ações'!BE511="sim"), 1, 0)
</f>
        <v>0</v>
      </c>
      <c r="AD502" s="319">
        <f>IF(AND('Ações'!AW511="sim", 'Ações'!BF511="sim"), 1, 0)
</f>
        <v>0</v>
      </c>
      <c r="AE502" s="319">
        <f>IF(AND('Ações'!AW511="sim", 'Ações'!BG511="sim"), 1, 0)
</f>
        <v>0</v>
      </c>
      <c r="AF502" s="319">
        <f>IF(AND('Ações'!AW511="sim", 'Ações'!BI511="sim"), 1, 0)
</f>
        <v>0</v>
      </c>
      <c r="AG502" s="319">
        <f>IF(AND('Ações'!AX511="sim", 'Ações'!BD511="sim"), 1, 0)
</f>
        <v>1</v>
      </c>
      <c r="AH502" s="319">
        <f>IF(AND('Ações'!AX511="sim", 'Ações'!BE511="sim"), 1, 0)
</f>
        <v>0</v>
      </c>
      <c r="AI502" s="319">
        <f>IF(AND('Ações'!AX511="sim", 'Ações'!BF511="sim"), 1, 0)
</f>
        <v>0</v>
      </c>
      <c r="AJ502" s="319">
        <f>IF(AND('Ações'!AX511="sim", 'Ações'!BG511="sim"), 1, 0)
</f>
        <v>0</v>
      </c>
      <c r="AK502" s="319">
        <f>IF(AND('Ações'!AX511="sim", 'Ações'!BH511="sim"), 1, 0)
</f>
        <v>0</v>
      </c>
    </row>
    <row r="503">
      <c r="B503" s="319">
        <f>IF(AND('Ações'!AS512="sim", 'Ações'!BD512="sim"), 1, 0)
</f>
        <v>1</v>
      </c>
      <c r="C503" s="319">
        <f>IF(AND('Ações'!AT512="sim", 'Ações'!BE512="sim"), 1, 0)
</f>
        <v>0</v>
      </c>
      <c r="D503" s="319">
        <f>IF(AND('Ações'!AU512="sim", 'Ações'!BF512="sim"), 1, 0)
</f>
        <v>0</v>
      </c>
      <c r="E503" s="319">
        <f>IF(AND('Ações'!AV512="sim", 'Ações'!BG512="sim"), 1, 0)
</f>
        <v>0</v>
      </c>
      <c r="F503" s="319">
        <f>IF(AND('Ações'!AW512="sim", 'Ações'!BH512="sim"), 1, 0)
</f>
        <v>0</v>
      </c>
      <c r="G503" s="319">
        <f>IF(AND('Ações'!AX512="sim", 'Ações'!BI512="sim"), 1, 0)
</f>
        <v>0</v>
      </c>
      <c r="H503" s="319">
        <f>IF(AND('Ações'!AS512="sim", 'Ações'!BE512="sim"), 1, 0)
</f>
        <v>0</v>
      </c>
      <c r="I503" s="319">
        <f>IF(AND('Ações'!AS512="sim", 'Ações'!BF512="sim"), 1, 0)
</f>
        <v>0</v>
      </c>
      <c r="J503" s="319">
        <f>IF(AND('Ações'!AS512="sim", 'Ações'!BG512="sim"), 1, 0)
</f>
        <v>0</v>
      </c>
      <c r="K503" s="319">
        <f>IF(AND('Ações'!AS512="sim", 'Ações'!BH512="sim"), 1, 0)
</f>
        <v>0</v>
      </c>
      <c r="L503" s="319">
        <f>IF(AND('Ações'!AS512="sim", 'Ações'!BI512="sim"), 1, 0)
</f>
        <v>0</v>
      </c>
      <c r="M503" s="319">
        <f>IF(AND('Ações'!AT512="sim", 'Ações'!BD512="sim"), 1, 0)
</f>
        <v>1</v>
      </c>
      <c r="N503" s="319">
        <f>IF(AND('Ações'!AT512="sim", 'Ações'!BF512="sim"), 1, 0)
</f>
        <v>0</v>
      </c>
      <c r="O503" s="319">
        <f>IF(AND('Ações'!AT512="sim", 'Ações'!BG512="sim"), 1, 0)
</f>
        <v>0</v>
      </c>
      <c r="P503" s="319">
        <f>IF(AND('Ações'!AT512="sim", 'Ações'!BH512="sim"), 1, 0)
</f>
        <v>0</v>
      </c>
      <c r="Q503" s="319">
        <f>IF(AND('Ações'!AT512="sim", 'Ações'!BI512="sim"), 1, 0)
</f>
        <v>0</v>
      </c>
      <c r="R503" s="319">
        <f>IF(AND('Ações'!AU512="sim", 'Ações'!BD512="sim"), 1, 0)
</f>
        <v>1</v>
      </c>
      <c r="S503" s="319">
        <f>IF(AND('Ações'!AU512="sim", 'Ações'!BE512="sim"), 1, 0)
</f>
        <v>0</v>
      </c>
      <c r="T503" s="319">
        <f>IF(AND('Ações'!AU512="sim", 'Ações'!BG512="sim"), 1, 0)
</f>
        <v>0</v>
      </c>
      <c r="U503" s="319">
        <f>IF(AND('Ações'!AU512="sim", 'Ações'!BH512="sim"), 1, 0)
</f>
        <v>0</v>
      </c>
      <c r="V503" s="319">
        <f>IF(AND('Ações'!AU512="sim", 'Ações'!BI512="sim"), 1, 0)
</f>
        <v>0</v>
      </c>
      <c r="W503" s="319">
        <f>IF(AND('Ações'!AV512="sim", 'Ações'!BD512="sim"), 1, 0)
</f>
        <v>1</v>
      </c>
      <c r="X503" s="319">
        <f>IF(AND('Ações'!AV512="sim", 'Ações'!BE512="sim"), 1, 0)
</f>
        <v>0</v>
      </c>
      <c r="Y503" s="319">
        <f>IF(AND('Ações'!AV512="sim", 'Ações'!BF512="sim"), 1, 0)
</f>
        <v>0</v>
      </c>
      <c r="Z503" s="319">
        <f>IF(AND('Ações'!AV512="sim", 'Ações'!BH512="sim"), 1, 0)
</f>
        <v>0</v>
      </c>
      <c r="AA503" s="319">
        <f>IF(AND('Ações'!AV512="sim", 'Ações'!BI512="sim"), 1, 0)
</f>
        <v>0</v>
      </c>
      <c r="AB503" s="319">
        <f>IF(AND('Ações'!AW512="sim", 'Ações'!BD512="sim"), 1, 0)
</f>
        <v>1</v>
      </c>
      <c r="AC503" s="319">
        <f>IF(AND('Ações'!AW512="sim", 'Ações'!BE512="sim"), 1, 0)
</f>
        <v>0</v>
      </c>
      <c r="AD503" s="319">
        <f>IF(AND('Ações'!AW512="sim", 'Ações'!BF512="sim"), 1, 0)
</f>
        <v>0</v>
      </c>
      <c r="AE503" s="319">
        <f>IF(AND('Ações'!AW512="sim", 'Ações'!BG512="sim"), 1, 0)
</f>
        <v>0</v>
      </c>
      <c r="AF503" s="319">
        <f>IF(AND('Ações'!AW512="sim", 'Ações'!BI512="sim"), 1, 0)
</f>
        <v>0</v>
      </c>
      <c r="AG503" s="319">
        <f>IF(AND('Ações'!AX512="sim", 'Ações'!BD512="sim"), 1, 0)
</f>
        <v>1</v>
      </c>
      <c r="AH503" s="319">
        <f>IF(AND('Ações'!AX512="sim", 'Ações'!BE512="sim"), 1, 0)
</f>
        <v>0</v>
      </c>
      <c r="AI503" s="319">
        <f>IF(AND('Ações'!AX512="sim", 'Ações'!BF512="sim"), 1, 0)
</f>
        <v>0</v>
      </c>
      <c r="AJ503" s="319">
        <f>IF(AND('Ações'!AX512="sim", 'Ações'!BG512="sim"), 1, 0)
</f>
        <v>0</v>
      </c>
      <c r="AK503" s="319">
        <f>IF(AND('Ações'!AX512="sim", 'Ações'!BH512="sim"), 1, 0)
</f>
        <v>0</v>
      </c>
    </row>
    <row r="504">
      <c r="B504" s="319">
        <f>IF(AND('Ações'!AS513="sim", 'Ações'!BD513="sim"), 1, 0)
</f>
        <v>0</v>
      </c>
      <c r="C504" s="319">
        <f>IF(AND('Ações'!AT513="sim", 'Ações'!BE513="sim"), 1, 0)
</f>
        <v>0</v>
      </c>
      <c r="D504" s="319">
        <f>IF(AND('Ações'!AU513="sim", 'Ações'!BF513="sim"), 1, 0)
</f>
        <v>0</v>
      </c>
      <c r="E504" s="319">
        <f>IF(AND('Ações'!AV513="sim", 'Ações'!BG513="sim"), 1, 0)
</f>
        <v>0</v>
      </c>
      <c r="F504" s="319">
        <f>IF(AND('Ações'!AW513="sim", 'Ações'!BH513="sim"), 1, 0)
</f>
        <v>0</v>
      </c>
      <c r="G504" s="319">
        <f>IF(AND('Ações'!AX513="sim", 'Ações'!BI513="sim"), 1, 0)
</f>
        <v>0</v>
      </c>
      <c r="H504" s="319">
        <f>IF(AND('Ações'!AS513="sim", 'Ações'!BE513="sim"), 1, 0)
</f>
        <v>0</v>
      </c>
      <c r="I504" s="319">
        <f>IF(AND('Ações'!AS513="sim", 'Ações'!BF513="sim"), 1, 0)
</f>
        <v>0</v>
      </c>
      <c r="J504" s="319">
        <f>IF(AND('Ações'!AS513="sim", 'Ações'!BG513="sim"), 1, 0)
</f>
        <v>0</v>
      </c>
      <c r="K504" s="319">
        <f>IF(AND('Ações'!AS513="sim", 'Ações'!BH513="sim"), 1, 0)
</f>
        <v>0</v>
      </c>
      <c r="L504" s="319">
        <f>IF(AND('Ações'!AS513="sim", 'Ações'!BI513="sim"), 1, 0)
</f>
        <v>0</v>
      </c>
      <c r="M504" s="319">
        <f>IF(AND('Ações'!AT513="sim", 'Ações'!BD513="sim"), 1, 0)
</f>
        <v>1</v>
      </c>
      <c r="N504" s="319">
        <f>IF(AND('Ações'!AT513="sim", 'Ações'!BF513="sim"), 1, 0)
</f>
        <v>0</v>
      </c>
      <c r="O504" s="319">
        <f>IF(AND('Ações'!AT513="sim", 'Ações'!BG513="sim"), 1, 0)
</f>
        <v>0</v>
      </c>
      <c r="P504" s="319">
        <f>IF(AND('Ações'!AT513="sim", 'Ações'!BH513="sim"), 1, 0)
</f>
        <v>0</v>
      </c>
      <c r="Q504" s="319">
        <f>IF(AND('Ações'!AT513="sim", 'Ações'!BI513="sim"), 1, 0)
</f>
        <v>0</v>
      </c>
      <c r="R504" s="319">
        <f>IF(AND('Ações'!AU513="sim", 'Ações'!BD513="sim"), 1, 0)
</f>
        <v>1</v>
      </c>
      <c r="S504" s="319">
        <f>IF(AND('Ações'!AU513="sim", 'Ações'!BE513="sim"), 1, 0)
</f>
        <v>0</v>
      </c>
      <c r="T504" s="319">
        <f>IF(AND('Ações'!AU513="sim", 'Ações'!BG513="sim"), 1, 0)
</f>
        <v>0</v>
      </c>
      <c r="U504" s="319">
        <f>IF(AND('Ações'!AU513="sim", 'Ações'!BH513="sim"), 1, 0)
</f>
        <v>0</v>
      </c>
      <c r="V504" s="319">
        <f>IF(AND('Ações'!AU513="sim", 'Ações'!BI513="sim"), 1, 0)
</f>
        <v>0</v>
      </c>
      <c r="W504" s="319">
        <f>IF(AND('Ações'!AV513="sim", 'Ações'!BD513="sim"), 1, 0)
</f>
        <v>1</v>
      </c>
      <c r="X504" s="319">
        <f>IF(AND('Ações'!AV513="sim", 'Ações'!BE513="sim"), 1, 0)
</f>
        <v>0</v>
      </c>
      <c r="Y504" s="319">
        <f>IF(AND('Ações'!AV513="sim", 'Ações'!BF513="sim"), 1, 0)
</f>
        <v>0</v>
      </c>
      <c r="Z504" s="319">
        <f>IF(AND('Ações'!AV513="sim", 'Ações'!BH513="sim"), 1, 0)
</f>
        <v>0</v>
      </c>
      <c r="AA504" s="319">
        <f>IF(AND('Ações'!AV513="sim", 'Ações'!BI513="sim"), 1, 0)
</f>
        <v>0</v>
      </c>
      <c r="AB504" s="319">
        <f>IF(AND('Ações'!AW513="sim", 'Ações'!BD513="sim"), 1, 0)
</f>
        <v>1</v>
      </c>
      <c r="AC504" s="319">
        <f>IF(AND('Ações'!AW513="sim", 'Ações'!BE513="sim"), 1, 0)
</f>
        <v>0</v>
      </c>
      <c r="AD504" s="319">
        <f>IF(AND('Ações'!AW513="sim", 'Ações'!BF513="sim"), 1, 0)
</f>
        <v>0</v>
      </c>
      <c r="AE504" s="319">
        <f>IF(AND('Ações'!AW513="sim", 'Ações'!BG513="sim"), 1, 0)
</f>
        <v>0</v>
      </c>
      <c r="AF504" s="319">
        <f>IF(AND('Ações'!AW513="sim", 'Ações'!BI513="sim"), 1, 0)
</f>
        <v>0</v>
      </c>
      <c r="AG504" s="319">
        <f>IF(AND('Ações'!AX513="sim", 'Ações'!BD513="sim"), 1, 0)
</f>
        <v>1</v>
      </c>
      <c r="AH504" s="319">
        <f>IF(AND('Ações'!AX513="sim", 'Ações'!BE513="sim"), 1, 0)
</f>
        <v>0</v>
      </c>
      <c r="AI504" s="319">
        <f>IF(AND('Ações'!AX513="sim", 'Ações'!BF513="sim"), 1, 0)
</f>
        <v>0</v>
      </c>
      <c r="AJ504" s="319">
        <f>IF(AND('Ações'!AX513="sim", 'Ações'!BG513="sim"), 1, 0)
</f>
        <v>0</v>
      </c>
      <c r="AK504" s="319">
        <f>IF(AND('Ações'!AX513="sim", 'Ações'!BH513="sim"), 1, 0)
</f>
        <v>0</v>
      </c>
    </row>
    <row r="505">
      <c r="B505" s="319">
        <f>IF(AND('Ações'!AS514="sim", 'Ações'!BD514="sim"), 1, 0)
</f>
        <v>0</v>
      </c>
      <c r="C505" s="319">
        <f>IF(AND('Ações'!AT514="sim", 'Ações'!BE514="sim"), 1, 0)
</f>
        <v>0</v>
      </c>
      <c r="D505" s="319">
        <f>IF(AND('Ações'!AU514="sim", 'Ações'!BF514="sim"), 1, 0)
</f>
        <v>0</v>
      </c>
      <c r="E505" s="319">
        <f>IF(AND('Ações'!AV514="sim", 'Ações'!BG514="sim"), 1, 0)
</f>
        <v>0</v>
      </c>
      <c r="F505" s="319">
        <f>IF(AND('Ações'!AW514="sim", 'Ações'!BH514="sim"), 1, 0)
</f>
        <v>0</v>
      </c>
      <c r="G505" s="319">
        <f>IF(AND('Ações'!AX514="sim", 'Ações'!BI514="sim"), 1, 0)
</f>
        <v>0</v>
      </c>
      <c r="H505" s="319">
        <f>IF(AND('Ações'!AS514="sim", 'Ações'!BE514="sim"), 1, 0)
</f>
        <v>0</v>
      </c>
      <c r="I505" s="319">
        <f>IF(AND('Ações'!AS514="sim", 'Ações'!BF514="sim"), 1, 0)
</f>
        <v>0</v>
      </c>
      <c r="J505" s="319">
        <f>IF(AND('Ações'!AS514="sim", 'Ações'!BG514="sim"), 1, 0)
</f>
        <v>0</v>
      </c>
      <c r="K505" s="319">
        <f>IF(AND('Ações'!AS514="sim", 'Ações'!BH514="sim"), 1, 0)
</f>
        <v>0</v>
      </c>
      <c r="L505" s="319">
        <f>IF(AND('Ações'!AS514="sim", 'Ações'!BI514="sim"), 1, 0)
</f>
        <v>0</v>
      </c>
      <c r="M505" s="319">
        <f>IF(AND('Ações'!AT514="sim", 'Ações'!BD514="sim"), 1, 0)
</f>
        <v>0</v>
      </c>
      <c r="N505" s="319">
        <f>IF(AND('Ações'!AT514="sim", 'Ações'!BF514="sim"), 1, 0)
</f>
        <v>0</v>
      </c>
      <c r="O505" s="319">
        <f>IF(AND('Ações'!AT514="sim", 'Ações'!BG514="sim"), 1, 0)
</f>
        <v>0</v>
      </c>
      <c r="P505" s="319">
        <f>IF(AND('Ações'!AT514="sim", 'Ações'!BH514="sim"), 1, 0)
</f>
        <v>0</v>
      </c>
      <c r="Q505" s="319">
        <f>IF(AND('Ações'!AT514="sim", 'Ações'!BI514="sim"), 1, 0)
</f>
        <v>0</v>
      </c>
      <c r="R505" s="319">
        <f>IF(AND('Ações'!AU514="sim", 'Ações'!BD514="sim"), 1, 0)
</f>
        <v>0</v>
      </c>
      <c r="S505" s="319">
        <f>IF(AND('Ações'!AU514="sim", 'Ações'!BE514="sim"), 1, 0)
</f>
        <v>0</v>
      </c>
      <c r="T505" s="319">
        <f>IF(AND('Ações'!AU514="sim", 'Ações'!BG514="sim"), 1, 0)
</f>
        <v>0</v>
      </c>
      <c r="U505" s="319">
        <f>IF(AND('Ações'!AU514="sim", 'Ações'!BH514="sim"), 1, 0)
</f>
        <v>0</v>
      </c>
      <c r="V505" s="319">
        <f>IF(AND('Ações'!AU514="sim", 'Ações'!BI514="sim"), 1, 0)
</f>
        <v>1</v>
      </c>
      <c r="W505" s="319">
        <f>IF(AND('Ações'!AV514="sim", 'Ações'!BD514="sim"), 1, 0)
</f>
        <v>0</v>
      </c>
      <c r="X505" s="319">
        <f>IF(AND('Ações'!AV514="sim", 'Ações'!BE514="sim"), 1, 0)
</f>
        <v>0</v>
      </c>
      <c r="Y505" s="319">
        <f>IF(AND('Ações'!AV514="sim", 'Ações'!BF514="sim"), 1, 0)
</f>
        <v>0</v>
      </c>
      <c r="Z505" s="319">
        <f>IF(AND('Ações'!AV514="sim", 'Ações'!BH514="sim"), 1, 0)
</f>
        <v>0</v>
      </c>
      <c r="AA505" s="319">
        <f>IF(AND('Ações'!AV514="sim", 'Ações'!BI514="sim"), 1, 0)
</f>
        <v>1</v>
      </c>
      <c r="AB505" s="319">
        <f>IF(AND('Ações'!AW514="sim", 'Ações'!BD514="sim"), 1, 0)
</f>
        <v>0</v>
      </c>
      <c r="AC505" s="319">
        <f>IF(AND('Ações'!AW514="sim", 'Ações'!BE514="sim"), 1, 0)
</f>
        <v>0</v>
      </c>
      <c r="AD505" s="319">
        <f>IF(AND('Ações'!AW514="sim", 'Ações'!BF514="sim"), 1, 0)
</f>
        <v>0</v>
      </c>
      <c r="AE505" s="319">
        <f>IF(AND('Ações'!AW514="sim", 'Ações'!BG514="sim"), 1, 0)
</f>
        <v>0</v>
      </c>
      <c r="AF505" s="319">
        <f>IF(AND('Ações'!AW514="sim", 'Ações'!BI514="sim"), 1, 0)
</f>
        <v>1</v>
      </c>
      <c r="AG505" s="319">
        <f>IF(AND('Ações'!AX514="sim", 'Ações'!BD514="sim"), 1, 0)
</f>
        <v>0</v>
      </c>
      <c r="AH505" s="319">
        <f>IF(AND('Ações'!AX514="sim", 'Ações'!BE514="sim"), 1, 0)
</f>
        <v>0</v>
      </c>
      <c r="AI505" s="319">
        <f>IF(AND('Ações'!AX514="sim", 'Ações'!BF514="sim"), 1, 0)
</f>
        <v>0</v>
      </c>
      <c r="AJ505" s="319">
        <f>IF(AND('Ações'!AX514="sim", 'Ações'!BG514="sim"), 1, 0)
</f>
        <v>0</v>
      </c>
      <c r="AK505" s="319">
        <f>IF(AND('Ações'!AX514="sim", 'Ações'!BH514="sim"), 1, 0)
</f>
        <v>0</v>
      </c>
    </row>
    <row r="506">
      <c r="B506" s="319">
        <f>IF(AND('Ações'!AS515="sim", 'Ações'!BD515="sim"), 1, 0)
</f>
        <v>0</v>
      </c>
      <c r="C506" s="319">
        <f>IF(AND('Ações'!AT515="sim", 'Ações'!BE515="sim"), 1, 0)
</f>
        <v>0</v>
      </c>
      <c r="D506" s="319">
        <f>IF(AND('Ações'!AU515="sim", 'Ações'!BF515="sim"), 1, 0)
</f>
        <v>0</v>
      </c>
      <c r="E506" s="319">
        <f>IF(AND('Ações'!AV515="sim", 'Ações'!BG515="sim"), 1, 0)
</f>
        <v>0</v>
      </c>
      <c r="F506" s="319">
        <f>IF(AND('Ações'!AW515="sim", 'Ações'!BH515="sim"), 1, 0)
</f>
        <v>0</v>
      </c>
      <c r="G506" s="319">
        <f>IF(AND('Ações'!AX515="sim", 'Ações'!BI515="sim"), 1, 0)
</f>
        <v>0</v>
      </c>
      <c r="H506" s="319">
        <f>IF(AND('Ações'!AS515="sim", 'Ações'!BE515="sim"), 1, 0)
</f>
        <v>0</v>
      </c>
      <c r="I506" s="319">
        <f>IF(AND('Ações'!AS515="sim", 'Ações'!BF515="sim"), 1, 0)
</f>
        <v>0</v>
      </c>
      <c r="J506" s="319">
        <f>IF(AND('Ações'!AS515="sim", 'Ações'!BG515="sim"), 1, 0)
</f>
        <v>0</v>
      </c>
      <c r="K506" s="319">
        <f>IF(AND('Ações'!AS515="sim", 'Ações'!BH515="sim"), 1, 0)
</f>
        <v>0</v>
      </c>
      <c r="L506" s="319">
        <f>IF(AND('Ações'!AS515="sim", 'Ações'!BI515="sim"), 1, 0)
</f>
        <v>0</v>
      </c>
      <c r="M506" s="319">
        <f>IF(AND('Ações'!AT515="sim", 'Ações'!BD515="sim"), 1, 0)
</f>
        <v>0</v>
      </c>
      <c r="N506" s="319">
        <f>IF(AND('Ações'!AT515="sim", 'Ações'!BF515="sim"), 1, 0)
</f>
        <v>0</v>
      </c>
      <c r="O506" s="319">
        <f>IF(AND('Ações'!AT515="sim", 'Ações'!BG515="sim"), 1, 0)
</f>
        <v>0</v>
      </c>
      <c r="P506" s="319">
        <f>IF(AND('Ações'!AT515="sim", 'Ações'!BH515="sim"), 1, 0)
</f>
        <v>0</v>
      </c>
      <c r="Q506" s="319">
        <f>IF(AND('Ações'!AT515="sim", 'Ações'!BI515="sim"), 1, 0)
</f>
        <v>0</v>
      </c>
      <c r="R506" s="319">
        <f>IF(AND('Ações'!AU515="sim", 'Ações'!BD515="sim"), 1, 0)
</f>
        <v>0</v>
      </c>
      <c r="S506" s="319">
        <f>IF(AND('Ações'!AU515="sim", 'Ações'!BE515="sim"), 1, 0)
</f>
        <v>0</v>
      </c>
      <c r="T506" s="319">
        <f>IF(AND('Ações'!AU515="sim", 'Ações'!BG515="sim"), 1, 0)
</f>
        <v>0</v>
      </c>
      <c r="U506" s="319">
        <f>IF(AND('Ações'!AU515="sim", 'Ações'!BH515="sim"), 1, 0)
</f>
        <v>0</v>
      </c>
      <c r="V506" s="319">
        <f>IF(AND('Ações'!AU515="sim", 'Ações'!BI515="sim"), 1, 0)
</f>
        <v>1</v>
      </c>
      <c r="W506" s="319">
        <f>IF(AND('Ações'!AV515="sim", 'Ações'!BD515="sim"), 1, 0)
</f>
        <v>0</v>
      </c>
      <c r="X506" s="319">
        <f>IF(AND('Ações'!AV515="sim", 'Ações'!BE515="sim"), 1, 0)
</f>
        <v>0</v>
      </c>
      <c r="Y506" s="319">
        <f>IF(AND('Ações'!AV515="sim", 'Ações'!BF515="sim"), 1, 0)
</f>
        <v>0</v>
      </c>
      <c r="Z506" s="319">
        <f>IF(AND('Ações'!AV515="sim", 'Ações'!BH515="sim"), 1, 0)
</f>
        <v>0</v>
      </c>
      <c r="AA506" s="319">
        <f>IF(AND('Ações'!AV515="sim", 'Ações'!BI515="sim"), 1, 0)
</f>
        <v>1</v>
      </c>
      <c r="AB506" s="319">
        <f>IF(AND('Ações'!AW515="sim", 'Ações'!BD515="sim"), 1, 0)
</f>
        <v>0</v>
      </c>
      <c r="AC506" s="319">
        <f>IF(AND('Ações'!AW515="sim", 'Ações'!BE515="sim"), 1, 0)
</f>
        <v>0</v>
      </c>
      <c r="AD506" s="319">
        <f>IF(AND('Ações'!AW515="sim", 'Ações'!BF515="sim"), 1, 0)
</f>
        <v>0</v>
      </c>
      <c r="AE506" s="319">
        <f>IF(AND('Ações'!AW515="sim", 'Ações'!BG515="sim"), 1, 0)
</f>
        <v>0</v>
      </c>
      <c r="AF506" s="319">
        <f>IF(AND('Ações'!AW515="sim", 'Ações'!BI515="sim"), 1, 0)
</f>
        <v>1</v>
      </c>
      <c r="AG506" s="319">
        <f>IF(AND('Ações'!AX515="sim", 'Ações'!BD515="sim"), 1, 0)
</f>
        <v>0</v>
      </c>
      <c r="AH506" s="319">
        <f>IF(AND('Ações'!AX515="sim", 'Ações'!BE515="sim"), 1, 0)
</f>
        <v>0</v>
      </c>
      <c r="AI506" s="319">
        <f>IF(AND('Ações'!AX515="sim", 'Ações'!BF515="sim"), 1, 0)
</f>
        <v>0</v>
      </c>
      <c r="AJ506" s="319">
        <f>IF(AND('Ações'!AX515="sim", 'Ações'!BG515="sim"), 1, 0)
</f>
        <v>0</v>
      </c>
      <c r="AK506" s="319">
        <f>IF(AND('Ações'!AX515="sim", 'Ações'!BH515="sim"), 1, 0)
</f>
        <v>0</v>
      </c>
    </row>
    <row r="507">
      <c r="B507" s="319">
        <f>IF(AND('Ações'!AS516="sim", 'Ações'!BD516="sim"), 1, 0)
</f>
        <v>0</v>
      </c>
      <c r="C507" s="319">
        <f>IF(AND('Ações'!AT516="sim", 'Ações'!BE516="sim"), 1, 0)
</f>
        <v>0</v>
      </c>
      <c r="D507" s="319">
        <f>IF(AND('Ações'!AU516="sim", 'Ações'!BF516="sim"), 1, 0)
</f>
        <v>0</v>
      </c>
      <c r="E507" s="319">
        <f>IF(AND('Ações'!AV516="sim", 'Ações'!BG516="sim"), 1, 0)
</f>
        <v>0</v>
      </c>
      <c r="F507" s="319">
        <f>IF(AND('Ações'!AW516="sim", 'Ações'!BH516="sim"), 1, 0)
</f>
        <v>0</v>
      </c>
      <c r="G507" s="319">
        <f>IF(AND('Ações'!AX516="sim", 'Ações'!BI516="sim"), 1, 0)
</f>
        <v>0</v>
      </c>
      <c r="H507" s="319">
        <f>IF(AND('Ações'!AS516="sim", 'Ações'!BE516="sim"), 1, 0)
</f>
        <v>0</v>
      </c>
      <c r="I507" s="319">
        <f>IF(AND('Ações'!AS516="sim", 'Ações'!BF516="sim"), 1, 0)
</f>
        <v>0</v>
      </c>
      <c r="J507" s="319">
        <f>IF(AND('Ações'!AS516="sim", 'Ações'!BG516="sim"), 1, 0)
</f>
        <v>0</v>
      </c>
      <c r="K507" s="319">
        <f>IF(AND('Ações'!AS516="sim", 'Ações'!BH516="sim"), 1, 0)
</f>
        <v>0</v>
      </c>
      <c r="L507" s="319">
        <f>IF(AND('Ações'!AS516="sim", 'Ações'!BI516="sim"), 1, 0)
</f>
        <v>0</v>
      </c>
      <c r="M507" s="319">
        <f>IF(AND('Ações'!AT516="sim", 'Ações'!BD516="sim"), 1, 0)
</f>
        <v>0</v>
      </c>
      <c r="N507" s="319">
        <f>IF(AND('Ações'!AT516="sim", 'Ações'!BF516="sim"), 1, 0)
</f>
        <v>0</v>
      </c>
      <c r="O507" s="319">
        <f>IF(AND('Ações'!AT516="sim", 'Ações'!BG516="sim"), 1, 0)
</f>
        <v>0</v>
      </c>
      <c r="P507" s="319">
        <f>IF(AND('Ações'!AT516="sim", 'Ações'!BH516="sim"), 1, 0)
</f>
        <v>0</v>
      </c>
      <c r="Q507" s="319">
        <f>IF(AND('Ações'!AT516="sim", 'Ações'!BI516="sim"), 1, 0)
</f>
        <v>0</v>
      </c>
      <c r="R507" s="319">
        <f>IF(AND('Ações'!AU516="sim", 'Ações'!BD516="sim"), 1, 0)
</f>
        <v>0</v>
      </c>
      <c r="S507" s="319">
        <f>IF(AND('Ações'!AU516="sim", 'Ações'!BE516="sim"), 1, 0)
</f>
        <v>0</v>
      </c>
      <c r="T507" s="319">
        <f>IF(AND('Ações'!AU516="sim", 'Ações'!BG516="sim"), 1, 0)
</f>
        <v>0</v>
      </c>
      <c r="U507" s="319">
        <f>IF(AND('Ações'!AU516="sim", 'Ações'!BH516="sim"), 1, 0)
</f>
        <v>0</v>
      </c>
      <c r="V507" s="319">
        <f>IF(AND('Ações'!AU516="sim", 'Ações'!BI516="sim"), 1, 0)
</f>
        <v>1</v>
      </c>
      <c r="W507" s="319">
        <f>IF(AND('Ações'!AV516="sim", 'Ações'!BD516="sim"), 1, 0)
</f>
        <v>0</v>
      </c>
      <c r="X507" s="319">
        <f>IF(AND('Ações'!AV516="sim", 'Ações'!BE516="sim"), 1, 0)
</f>
        <v>0</v>
      </c>
      <c r="Y507" s="319">
        <f>IF(AND('Ações'!AV516="sim", 'Ações'!BF516="sim"), 1, 0)
</f>
        <v>0</v>
      </c>
      <c r="Z507" s="319">
        <f>IF(AND('Ações'!AV516="sim", 'Ações'!BH516="sim"), 1, 0)
</f>
        <v>0</v>
      </c>
      <c r="AA507" s="319">
        <f>IF(AND('Ações'!AV516="sim", 'Ações'!BI516="sim"), 1, 0)
</f>
        <v>1</v>
      </c>
      <c r="AB507" s="319">
        <f>IF(AND('Ações'!AW516="sim", 'Ações'!BD516="sim"), 1, 0)
</f>
        <v>0</v>
      </c>
      <c r="AC507" s="319">
        <f>IF(AND('Ações'!AW516="sim", 'Ações'!BE516="sim"), 1, 0)
</f>
        <v>0</v>
      </c>
      <c r="AD507" s="319">
        <f>IF(AND('Ações'!AW516="sim", 'Ações'!BF516="sim"), 1, 0)
</f>
        <v>0</v>
      </c>
      <c r="AE507" s="319">
        <f>IF(AND('Ações'!AW516="sim", 'Ações'!BG516="sim"), 1, 0)
</f>
        <v>0</v>
      </c>
      <c r="AF507" s="319">
        <f>IF(AND('Ações'!AW516="sim", 'Ações'!BI516="sim"), 1, 0)
</f>
        <v>1</v>
      </c>
      <c r="AG507" s="319">
        <f>IF(AND('Ações'!AX516="sim", 'Ações'!BD516="sim"), 1, 0)
</f>
        <v>0</v>
      </c>
      <c r="AH507" s="319">
        <f>IF(AND('Ações'!AX516="sim", 'Ações'!BE516="sim"), 1, 0)
</f>
        <v>0</v>
      </c>
      <c r="AI507" s="319">
        <f>IF(AND('Ações'!AX516="sim", 'Ações'!BF516="sim"), 1, 0)
</f>
        <v>0</v>
      </c>
      <c r="AJ507" s="319">
        <f>IF(AND('Ações'!AX516="sim", 'Ações'!BG516="sim"), 1, 0)
</f>
        <v>0</v>
      </c>
      <c r="AK507" s="319">
        <f>IF(AND('Ações'!AX516="sim", 'Ações'!BH516="sim"), 1, 0)
</f>
        <v>0</v>
      </c>
    </row>
    <row r="508">
      <c r="B508" s="319">
        <f>IF(AND('Ações'!AS517="sim", 'Ações'!BD517="sim"), 1, 0)
</f>
        <v>0</v>
      </c>
      <c r="C508" s="319">
        <f>IF(AND('Ações'!AT517="sim", 'Ações'!BE517="sim"), 1, 0)
</f>
        <v>0</v>
      </c>
      <c r="D508" s="319">
        <f>IF(AND('Ações'!AU517="sim", 'Ações'!BF517="sim"), 1, 0)
</f>
        <v>0</v>
      </c>
      <c r="E508" s="319">
        <f>IF(AND('Ações'!AV517="sim", 'Ações'!BG517="sim"), 1, 0)
</f>
        <v>0</v>
      </c>
      <c r="F508" s="319">
        <f>IF(AND('Ações'!AW517="sim", 'Ações'!BH517="sim"), 1, 0)
</f>
        <v>0</v>
      </c>
      <c r="G508" s="319">
        <f>IF(AND('Ações'!AX517="sim", 'Ações'!BI517="sim"), 1, 0)
</f>
        <v>0</v>
      </c>
      <c r="H508" s="319">
        <f>IF(AND('Ações'!AS517="sim", 'Ações'!BE517="sim"), 1, 0)
</f>
        <v>0</v>
      </c>
      <c r="I508" s="319">
        <f>IF(AND('Ações'!AS517="sim", 'Ações'!BF517="sim"), 1, 0)
</f>
        <v>0</v>
      </c>
      <c r="J508" s="319">
        <f>IF(AND('Ações'!AS517="sim", 'Ações'!BG517="sim"), 1, 0)
</f>
        <v>0</v>
      </c>
      <c r="K508" s="319">
        <f>IF(AND('Ações'!AS517="sim", 'Ações'!BH517="sim"), 1, 0)
</f>
        <v>0</v>
      </c>
      <c r="L508" s="319">
        <f>IF(AND('Ações'!AS517="sim", 'Ações'!BI517="sim"), 1, 0)
</f>
        <v>0</v>
      </c>
      <c r="M508" s="319">
        <f>IF(AND('Ações'!AT517="sim", 'Ações'!BD517="sim"), 1, 0)
</f>
        <v>0</v>
      </c>
      <c r="N508" s="319">
        <f>IF(AND('Ações'!AT517="sim", 'Ações'!BF517="sim"), 1, 0)
</f>
        <v>0</v>
      </c>
      <c r="O508" s="319">
        <f>IF(AND('Ações'!AT517="sim", 'Ações'!BG517="sim"), 1, 0)
</f>
        <v>0</v>
      </c>
      <c r="P508" s="319">
        <f>IF(AND('Ações'!AT517="sim", 'Ações'!BH517="sim"), 1, 0)
</f>
        <v>0</v>
      </c>
      <c r="Q508" s="319">
        <f>IF(AND('Ações'!AT517="sim", 'Ações'!BI517="sim"), 1, 0)
</f>
        <v>0</v>
      </c>
      <c r="R508" s="319">
        <f>IF(AND('Ações'!AU517="sim", 'Ações'!BD517="sim"), 1, 0)
</f>
        <v>0</v>
      </c>
      <c r="S508" s="319">
        <f>IF(AND('Ações'!AU517="sim", 'Ações'!BE517="sim"), 1, 0)
</f>
        <v>0</v>
      </c>
      <c r="T508" s="319">
        <f>IF(AND('Ações'!AU517="sim", 'Ações'!BG517="sim"), 1, 0)
</f>
        <v>0</v>
      </c>
      <c r="U508" s="319">
        <f>IF(AND('Ações'!AU517="sim", 'Ações'!BH517="sim"), 1, 0)
</f>
        <v>0</v>
      </c>
      <c r="V508" s="319">
        <f>IF(AND('Ações'!AU517="sim", 'Ações'!BI517="sim"), 1, 0)
</f>
        <v>1</v>
      </c>
      <c r="W508" s="319">
        <f>IF(AND('Ações'!AV517="sim", 'Ações'!BD517="sim"), 1, 0)
</f>
        <v>0</v>
      </c>
      <c r="X508" s="319">
        <f>IF(AND('Ações'!AV517="sim", 'Ações'!BE517="sim"), 1, 0)
</f>
        <v>0</v>
      </c>
      <c r="Y508" s="319">
        <f>IF(AND('Ações'!AV517="sim", 'Ações'!BF517="sim"), 1, 0)
</f>
        <v>0</v>
      </c>
      <c r="Z508" s="319">
        <f>IF(AND('Ações'!AV517="sim", 'Ações'!BH517="sim"), 1, 0)
</f>
        <v>0</v>
      </c>
      <c r="AA508" s="319">
        <f>IF(AND('Ações'!AV517="sim", 'Ações'!BI517="sim"), 1, 0)
</f>
        <v>1</v>
      </c>
      <c r="AB508" s="319">
        <f>IF(AND('Ações'!AW517="sim", 'Ações'!BD517="sim"), 1, 0)
</f>
        <v>0</v>
      </c>
      <c r="AC508" s="319">
        <f>IF(AND('Ações'!AW517="sim", 'Ações'!BE517="sim"), 1, 0)
</f>
        <v>0</v>
      </c>
      <c r="AD508" s="319">
        <f>IF(AND('Ações'!AW517="sim", 'Ações'!BF517="sim"), 1, 0)
</f>
        <v>0</v>
      </c>
      <c r="AE508" s="319">
        <f>IF(AND('Ações'!AW517="sim", 'Ações'!BG517="sim"), 1, 0)
</f>
        <v>0</v>
      </c>
      <c r="AF508" s="319">
        <f>IF(AND('Ações'!AW517="sim", 'Ações'!BI517="sim"), 1, 0)
</f>
        <v>1</v>
      </c>
      <c r="AG508" s="319">
        <f>IF(AND('Ações'!AX517="sim", 'Ações'!BD517="sim"), 1, 0)
</f>
        <v>0</v>
      </c>
      <c r="AH508" s="319">
        <f>IF(AND('Ações'!AX517="sim", 'Ações'!BE517="sim"), 1, 0)
</f>
        <v>0</v>
      </c>
      <c r="AI508" s="319">
        <f>IF(AND('Ações'!AX517="sim", 'Ações'!BF517="sim"), 1, 0)
</f>
        <v>0</v>
      </c>
      <c r="AJ508" s="319">
        <f>IF(AND('Ações'!AX517="sim", 'Ações'!BG517="sim"), 1, 0)
</f>
        <v>0</v>
      </c>
      <c r="AK508" s="319">
        <f>IF(AND('Ações'!AX517="sim", 'Ações'!BH517="sim"), 1, 0)
</f>
        <v>0</v>
      </c>
    </row>
    <row r="509">
      <c r="B509" s="319">
        <f>IF(AND('Ações'!AS518="sim", 'Ações'!BD518="sim"), 1, 0)
</f>
        <v>0</v>
      </c>
      <c r="C509" s="319">
        <f>IF(AND('Ações'!AT518="sim", 'Ações'!BE518="sim"), 1, 0)
</f>
        <v>0</v>
      </c>
      <c r="D509" s="319">
        <f>IF(AND('Ações'!AU518="sim", 'Ações'!BF518="sim"), 1, 0)
</f>
        <v>0</v>
      </c>
      <c r="E509" s="319">
        <f>IF(AND('Ações'!AV518="sim", 'Ações'!BG518="sim"), 1, 0)
</f>
        <v>0</v>
      </c>
      <c r="F509" s="319">
        <f>IF(AND('Ações'!AW518="sim", 'Ações'!BH518="sim"), 1, 0)
</f>
        <v>0</v>
      </c>
      <c r="G509" s="319">
        <f>IF(AND('Ações'!AX518="sim", 'Ações'!BI518="sim"), 1, 0)
</f>
        <v>0</v>
      </c>
      <c r="H509" s="319">
        <f>IF(AND('Ações'!AS518="sim", 'Ações'!BE518="sim"), 1, 0)
</f>
        <v>0</v>
      </c>
      <c r="I509" s="319">
        <f>IF(AND('Ações'!AS518="sim", 'Ações'!BF518="sim"), 1, 0)
</f>
        <v>0</v>
      </c>
      <c r="J509" s="319">
        <f>IF(AND('Ações'!AS518="sim", 'Ações'!BG518="sim"), 1, 0)
</f>
        <v>0</v>
      </c>
      <c r="K509" s="319">
        <f>IF(AND('Ações'!AS518="sim", 'Ações'!BH518="sim"), 1, 0)
</f>
        <v>0</v>
      </c>
      <c r="L509" s="319">
        <f>IF(AND('Ações'!AS518="sim", 'Ações'!BI518="sim"), 1, 0)
</f>
        <v>0</v>
      </c>
      <c r="M509" s="319">
        <f>IF(AND('Ações'!AT518="sim", 'Ações'!BD518="sim"), 1, 0)
</f>
        <v>0</v>
      </c>
      <c r="N509" s="319">
        <f>IF(AND('Ações'!AT518="sim", 'Ações'!BF518="sim"), 1, 0)
</f>
        <v>0</v>
      </c>
      <c r="O509" s="319">
        <f>IF(AND('Ações'!AT518="sim", 'Ações'!BG518="sim"), 1, 0)
</f>
        <v>0</v>
      </c>
      <c r="P509" s="319">
        <f>IF(AND('Ações'!AT518="sim", 'Ações'!BH518="sim"), 1, 0)
</f>
        <v>0</v>
      </c>
      <c r="Q509" s="319">
        <f>IF(AND('Ações'!AT518="sim", 'Ações'!BI518="sim"), 1, 0)
</f>
        <v>0</v>
      </c>
      <c r="R509" s="319">
        <f>IF(AND('Ações'!AU518="sim", 'Ações'!BD518="sim"), 1, 0)
</f>
        <v>0</v>
      </c>
      <c r="S509" s="319">
        <f>IF(AND('Ações'!AU518="sim", 'Ações'!BE518="sim"), 1, 0)
</f>
        <v>0</v>
      </c>
      <c r="T509" s="319">
        <f>IF(AND('Ações'!AU518="sim", 'Ações'!BG518="sim"), 1, 0)
</f>
        <v>0</v>
      </c>
      <c r="U509" s="319">
        <f>IF(AND('Ações'!AU518="sim", 'Ações'!BH518="sim"), 1, 0)
</f>
        <v>0</v>
      </c>
      <c r="V509" s="319">
        <f>IF(AND('Ações'!AU518="sim", 'Ações'!BI518="sim"), 1, 0)
</f>
        <v>1</v>
      </c>
      <c r="W509" s="319">
        <f>IF(AND('Ações'!AV518="sim", 'Ações'!BD518="sim"), 1, 0)
</f>
        <v>0</v>
      </c>
      <c r="X509" s="319">
        <f>IF(AND('Ações'!AV518="sim", 'Ações'!BE518="sim"), 1, 0)
</f>
        <v>0</v>
      </c>
      <c r="Y509" s="319">
        <f>IF(AND('Ações'!AV518="sim", 'Ações'!BF518="sim"), 1, 0)
</f>
        <v>0</v>
      </c>
      <c r="Z509" s="319">
        <f>IF(AND('Ações'!AV518="sim", 'Ações'!BH518="sim"), 1, 0)
</f>
        <v>0</v>
      </c>
      <c r="AA509" s="319">
        <f>IF(AND('Ações'!AV518="sim", 'Ações'!BI518="sim"), 1, 0)
</f>
        <v>1</v>
      </c>
      <c r="AB509" s="319">
        <f>IF(AND('Ações'!AW518="sim", 'Ações'!BD518="sim"), 1, 0)
</f>
        <v>0</v>
      </c>
      <c r="AC509" s="319">
        <f>IF(AND('Ações'!AW518="sim", 'Ações'!BE518="sim"), 1, 0)
</f>
        <v>0</v>
      </c>
      <c r="AD509" s="319">
        <f>IF(AND('Ações'!AW518="sim", 'Ações'!BF518="sim"), 1, 0)
</f>
        <v>0</v>
      </c>
      <c r="AE509" s="319">
        <f>IF(AND('Ações'!AW518="sim", 'Ações'!BG518="sim"), 1, 0)
</f>
        <v>0</v>
      </c>
      <c r="AF509" s="319">
        <f>IF(AND('Ações'!AW518="sim", 'Ações'!BI518="sim"), 1, 0)
</f>
        <v>1</v>
      </c>
      <c r="AG509" s="319">
        <f>IF(AND('Ações'!AX518="sim", 'Ações'!BD518="sim"), 1, 0)
</f>
        <v>0</v>
      </c>
      <c r="AH509" s="319">
        <f>IF(AND('Ações'!AX518="sim", 'Ações'!BE518="sim"), 1, 0)
</f>
        <v>0</v>
      </c>
      <c r="AI509" s="319">
        <f>IF(AND('Ações'!AX518="sim", 'Ações'!BF518="sim"), 1, 0)
</f>
        <v>0</v>
      </c>
      <c r="AJ509" s="319">
        <f>IF(AND('Ações'!AX518="sim", 'Ações'!BG518="sim"), 1, 0)
</f>
        <v>0</v>
      </c>
      <c r="AK509" s="319">
        <f>IF(AND('Ações'!AX518="sim", 'Ações'!BH518="sim"), 1, 0)
</f>
        <v>0</v>
      </c>
    </row>
    <row r="510">
      <c r="B510" s="319">
        <f>IF(AND('Ações'!AS519="sim", 'Ações'!BD519="sim"), 1, 0)
</f>
        <v>0</v>
      </c>
      <c r="C510" s="319">
        <f>IF(AND('Ações'!AT519="sim", 'Ações'!BE519="sim"), 1, 0)
</f>
        <v>0</v>
      </c>
      <c r="D510" s="319">
        <f>IF(AND('Ações'!AU519="sim", 'Ações'!BF519="sim"), 1, 0)
</f>
        <v>0</v>
      </c>
      <c r="E510" s="319">
        <f>IF(AND('Ações'!AV519="sim", 'Ações'!BG519="sim"), 1, 0)
</f>
        <v>0</v>
      </c>
      <c r="F510" s="319">
        <f>IF(AND('Ações'!AW519="sim", 'Ações'!BH519="sim"), 1, 0)
</f>
        <v>0</v>
      </c>
      <c r="G510" s="319">
        <f>IF(AND('Ações'!AX519="sim", 'Ações'!BI519="sim"), 1, 0)
</f>
        <v>0</v>
      </c>
      <c r="H510" s="319">
        <f>IF(AND('Ações'!AS519="sim", 'Ações'!BE519="sim"), 1, 0)
</f>
        <v>0</v>
      </c>
      <c r="I510" s="319">
        <f>IF(AND('Ações'!AS519="sim", 'Ações'!BF519="sim"), 1, 0)
</f>
        <v>0</v>
      </c>
      <c r="J510" s="319">
        <f>IF(AND('Ações'!AS519="sim", 'Ações'!BG519="sim"), 1, 0)
</f>
        <v>0</v>
      </c>
      <c r="K510" s="319">
        <f>IF(AND('Ações'!AS519="sim", 'Ações'!BH519="sim"), 1, 0)
</f>
        <v>0</v>
      </c>
      <c r="L510" s="319">
        <f>IF(AND('Ações'!AS519="sim", 'Ações'!BI519="sim"), 1, 0)
</f>
        <v>0</v>
      </c>
      <c r="M510" s="319">
        <f>IF(AND('Ações'!AT519="sim", 'Ações'!BD519="sim"), 1, 0)
</f>
        <v>0</v>
      </c>
      <c r="N510" s="319">
        <f>IF(AND('Ações'!AT519="sim", 'Ações'!BF519="sim"), 1, 0)
</f>
        <v>0</v>
      </c>
      <c r="O510" s="319">
        <f>IF(AND('Ações'!AT519="sim", 'Ações'!BG519="sim"), 1, 0)
</f>
        <v>0</v>
      </c>
      <c r="P510" s="319">
        <f>IF(AND('Ações'!AT519="sim", 'Ações'!BH519="sim"), 1, 0)
</f>
        <v>0</v>
      </c>
      <c r="Q510" s="319">
        <f>IF(AND('Ações'!AT519="sim", 'Ações'!BI519="sim"), 1, 0)
</f>
        <v>0</v>
      </c>
      <c r="R510" s="319">
        <f>IF(AND('Ações'!AU519="sim", 'Ações'!BD519="sim"), 1, 0)
</f>
        <v>0</v>
      </c>
      <c r="S510" s="319">
        <f>IF(AND('Ações'!AU519="sim", 'Ações'!BE519="sim"), 1, 0)
</f>
        <v>0</v>
      </c>
      <c r="T510" s="319">
        <f>IF(AND('Ações'!AU519="sim", 'Ações'!BG519="sim"), 1, 0)
</f>
        <v>0</v>
      </c>
      <c r="U510" s="319">
        <f>IF(AND('Ações'!AU519="sim", 'Ações'!BH519="sim"), 1, 0)
</f>
        <v>0</v>
      </c>
      <c r="V510" s="319">
        <f>IF(AND('Ações'!AU519="sim", 'Ações'!BI519="sim"), 1, 0)
</f>
        <v>1</v>
      </c>
      <c r="W510" s="319">
        <f>IF(AND('Ações'!AV519="sim", 'Ações'!BD519="sim"), 1, 0)
</f>
        <v>0</v>
      </c>
      <c r="X510" s="319">
        <f>IF(AND('Ações'!AV519="sim", 'Ações'!BE519="sim"), 1, 0)
</f>
        <v>0</v>
      </c>
      <c r="Y510" s="319">
        <f>IF(AND('Ações'!AV519="sim", 'Ações'!BF519="sim"), 1, 0)
</f>
        <v>0</v>
      </c>
      <c r="Z510" s="319">
        <f>IF(AND('Ações'!AV519="sim", 'Ações'!BH519="sim"), 1, 0)
</f>
        <v>0</v>
      </c>
      <c r="AA510" s="319">
        <f>IF(AND('Ações'!AV519="sim", 'Ações'!BI519="sim"), 1, 0)
</f>
        <v>1</v>
      </c>
      <c r="AB510" s="319">
        <f>IF(AND('Ações'!AW519="sim", 'Ações'!BD519="sim"), 1, 0)
</f>
        <v>0</v>
      </c>
      <c r="AC510" s="319">
        <f>IF(AND('Ações'!AW519="sim", 'Ações'!BE519="sim"), 1, 0)
</f>
        <v>0</v>
      </c>
      <c r="AD510" s="319">
        <f>IF(AND('Ações'!AW519="sim", 'Ações'!BF519="sim"), 1, 0)
</f>
        <v>0</v>
      </c>
      <c r="AE510" s="319">
        <f>IF(AND('Ações'!AW519="sim", 'Ações'!BG519="sim"), 1, 0)
</f>
        <v>0</v>
      </c>
      <c r="AF510" s="319">
        <f>IF(AND('Ações'!AW519="sim", 'Ações'!BI519="sim"), 1, 0)
</f>
        <v>1</v>
      </c>
      <c r="AG510" s="319">
        <f>IF(AND('Ações'!AX519="sim", 'Ações'!BD519="sim"), 1, 0)
</f>
        <v>0</v>
      </c>
      <c r="AH510" s="319">
        <f>IF(AND('Ações'!AX519="sim", 'Ações'!BE519="sim"), 1, 0)
</f>
        <v>0</v>
      </c>
      <c r="AI510" s="319">
        <f>IF(AND('Ações'!AX519="sim", 'Ações'!BF519="sim"), 1, 0)
</f>
        <v>0</v>
      </c>
      <c r="AJ510" s="319">
        <f>IF(AND('Ações'!AX519="sim", 'Ações'!BG519="sim"), 1, 0)
</f>
        <v>0</v>
      </c>
      <c r="AK510" s="319">
        <f>IF(AND('Ações'!AX519="sim", 'Ações'!BH519="sim"), 1, 0)
</f>
        <v>0</v>
      </c>
    </row>
    <row r="511">
      <c r="B511" s="319">
        <f>IF(AND('Ações'!AS520="sim", 'Ações'!BD520="sim"), 1, 0)
</f>
        <v>0</v>
      </c>
      <c r="C511" s="319">
        <f>IF(AND('Ações'!AT520="sim", 'Ações'!BE520="sim"), 1, 0)
</f>
        <v>0</v>
      </c>
      <c r="D511" s="319">
        <f>IF(AND('Ações'!AU520="sim", 'Ações'!BF520="sim"), 1, 0)
</f>
        <v>0</v>
      </c>
      <c r="E511" s="319">
        <f>IF(AND('Ações'!AV520="sim", 'Ações'!BG520="sim"), 1, 0)
</f>
        <v>0</v>
      </c>
      <c r="F511" s="319">
        <f>IF(AND('Ações'!AW520="sim", 'Ações'!BH520="sim"), 1, 0)
</f>
        <v>0</v>
      </c>
      <c r="G511" s="319">
        <f>IF(AND('Ações'!AX520="sim", 'Ações'!BI520="sim"), 1, 0)
</f>
        <v>0</v>
      </c>
      <c r="H511" s="319">
        <f>IF(AND('Ações'!AS520="sim", 'Ações'!BE520="sim"), 1, 0)
</f>
        <v>0</v>
      </c>
      <c r="I511" s="319">
        <f>IF(AND('Ações'!AS520="sim", 'Ações'!BF520="sim"), 1, 0)
</f>
        <v>0</v>
      </c>
      <c r="J511" s="319">
        <f>IF(AND('Ações'!AS520="sim", 'Ações'!BG520="sim"), 1, 0)
</f>
        <v>0</v>
      </c>
      <c r="K511" s="319">
        <f>IF(AND('Ações'!AS520="sim", 'Ações'!BH520="sim"), 1, 0)
</f>
        <v>0</v>
      </c>
      <c r="L511" s="319">
        <f>IF(AND('Ações'!AS520="sim", 'Ações'!BI520="sim"), 1, 0)
</f>
        <v>0</v>
      </c>
      <c r="M511" s="319">
        <f>IF(AND('Ações'!AT520="sim", 'Ações'!BD520="sim"), 1, 0)
</f>
        <v>0</v>
      </c>
      <c r="N511" s="319">
        <f>IF(AND('Ações'!AT520="sim", 'Ações'!BF520="sim"), 1, 0)
</f>
        <v>0</v>
      </c>
      <c r="O511" s="319">
        <f>IF(AND('Ações'!AT520="sim", 'Ações'!BG520="sim"), 1, 0)
</f>
        <v>0</v>
      </c>
      <c r="P511" s="319">
        <f>IF(AND('Ações'!AT520="sim", 'Ações'!BH520="sim"), 1, 0)
</f>
        <v>0</v>
      </c>
      <c r="Q511" s="319">
        <f>IF(AND('Ações'!AT520="sim", 'Ações'!BI520="sim"), 1, 0)
</f>
        <v>0</v>
      </c>
      <c r="R511" s="319">
        <f>IF(AND('Ações'!AU520="sim", 'Ações'!BD520="sim"), 1, 0)
</f>
        <v>0</v>
      </c>
      <c r="S511" s="319">
        <f>IF(AND('Ações'!AU520="sim", 'Ações'!BE520="sim"), 1, 0)
</f>
        <v>0</v>
      </c>
      <c r="T511" s="319">
        <f>IF(AND('Ações'!AU520="sim", 'Ações'!BG520="sim"), 1, 0)
</f>
        <v>0</v>
      </c>
      <c r="U511" s="319">
        <f>IF(AND('Ações'!AU520="sim", 'Ações'!BH520="sim"), 1, 0)
</f>
        <v>0</v>
      </c>
      <c r="V511" s="319">
        <f>IF(AND('Ações'!AU520="sim", 'Ações'!BI520="sim"), 1, 0)
</f>
        <v>1</v>
      </c>
      <c r="W511" s="319">
        <f>IF(AND('Ações'!AV520="sim", 'Ações'!BD520="sim"), 1, 0)
</f>
        <v>0</v>
      </c>
      <c r="X511" s="319">
        <f>IF(AND('Ações'!AV520="sim", 'Ações'!BE520="sim"), 1, 0)
</f>
        <v>0</v>
      </c>
      <c r="Y511" s="319">
        <f>IF(AND('Ações'!AV520="sim", 'Ações'!BF520="sim"), 1, 0)
</f>
        <v>0</v>
      </c>
      <c r="Z511" s="319">
        <f>IF(AND('Ações'!AV520="sim", 'Ações'!BH520="sim"), 1, 0)
</f>
        <v>0</v>
      </c>
      <c r="AA511" s="319">
        <f>IF(AND('Ações'!AV520="sim", 'Ações'!BI520="sim"), 1, 0)
</f>
        <v>1</v>
      </c>
      <c r="AB511" s="319">
        <f>IF(AND('Ações'!AW520="sim", 'Ações'!BD520="sim"), 1, 0)
</f>
        <v>0</v>
      </c>
      <c r="AC511" s="319">
        <f>IF(AND('Ações'!AW520="sim", 'Ações'!BE520="sim"), 1, 0)
</f>
        <v>0</v>
      </c>
      <c r="AD511" s="319">
        <f>IF(AND('Ações'!AW520="sim", 'Ações'!BF520="sim"), 1, 0)
</f>
        <v>0</v>
      </c>
      <c r="AE511" s="319">
        <f>IF(AND('Ações'!AW520="sim", 'Ações'!BG520="sim"), 1, 0)
</f>
        <v>0</v>
      </c>
      <c r="AF511" s="319">
        <f>IF(AND('Ações'!AW520="sim", 'Ações'!BI520="sim"), 1, 0)
</f>
        <v>1</v>
      </c>
      <c r="AG511" s="319">
        <f>IF(AND('Ações'!AX520="sim", 'Ações'!BD520="sim"), 1, 0)
</f>
        <v>0</v>
      </c>
      <c r="AH511" s="319">
        <f>IF(AND('Ações'!AX520="sim", 'Ações'!BE520="sim"), 1, 0)
</f>
        <v>0</v>
      </c>
      <c r="AI511" s="319">
        <f>IF(AND('Ações'!AX520="sim", 'Ações'!BF520="sim"), 1, 0)
</f>
        <v>0</v>
      </c>
      <c r="AJ511" s="319">
        <f>IF(AND('Ações'!AX520="sim", 'Ações'!BG520="sim"), 1, 0)
</f>
        <v>0</v>
      </c>
      <c r="AK511" s="319">
        <f>IF(AND('Ações'!AX520="sim", 'Ações'!BH520="sim"), 1, 0)
</f>
        <v>0</v>
      </c>
    </row>
    <row r="512">
      <c r="B512" s="319">
        <f>IF(AND('Ações'!AS521="sim", 'Ações'!BD521="sim"), 1, 0)
</f>
        <v>0</v>
      </c>
      <c r="C512" s="319">
        <f>IF(AND('Ações'!AT521="sim", 'Ações'!BE521="sim"), 1, 0)
</f>
        <v>0</v>
      </c>
      <c r="D512" s="319">
        <f>IF(AND('Ações'!AU521="sim", 'Ações'!BF521="sim"), 1, 0)
</f>
        <v>0</v>
      </c>
      <c r="E512" s="319">
        <f>IF(AND('Ações'!AV521="sim", 'Ações'!BG521="sim"), 1, 0)
</f>
        <v>0</v>
      </c>
      <c r="F512" s="319">
        <f>IF(AND('Ações'!AW521="sim", 'Ações'!BH521="sim"), 1, 0)
</f>
        <v>0</v>
      </c>
      <c r="G512" s="319">
        <f>IF(AND('Ações'!AX521="sim", 'Ações'!BI521="sim"), 1, 0)
</f>
        <v>0</v>
      </c>
      <c r="H512" s="319">
        <f>IF(AND('Ações'!AS521="sim", 'Ações'!BE521="sim"), 1, 0)
</f>
        <v>0</v>
      </c>
      <c r="I512" s="319">
        <f>IF(AND('Ações'!AS521="sim", 'Ações'!BF521="sim"), 1, 0)
</f>
        <v>0</v>
      </c>
      <c r="J512" s="319">
        <f>IF(AND('Ações'!AS521="sim", 'Ações'!BG521="sim"), 1, 0)
</f>
        <v>0</v>
      </c>
      <c r="K512" s="319">
        <f>IF(AND('Ações'!AS521="sim", 'Ações'!BH521="sim"), 1, 0)
</f>
        <v>0</v>
      </c>
      <c r="L512" s="319">
        <f>IF(AND('Ações'!AS521="sim", 'Ações'!BI521="sim"), 1, 0)
</f>
        <v>0</v>
      </c>
      <c r="M512" s="319">
        <f>IF(AND('Ações'!AT521="sim", 'Ações'!BD521="sim"), 1, 0)
</f>
        <v>0</v>
      </c>
      <c r="N512" s="319">
        <f>IF(AND('Ações'!AT521="sim", 'Ações'!BF521="sim"), 1, 0)
</f>
        <v>0</v>
      </c>
      <c r="O512" s="319">
        <f>IF(AND('Ações'!AT521="sim", 'Ações'!BG521="sim"), 1, 0)
</f>
        <v>0</v>
      </c>
      <c r="P512" s="319">
        <f>IF(AND('Ações'!AT521="sim", 'Ações'!BH521="sim"), 1, 0)
</f>
        <v>0</v>
      </c>
      <c r="Q512" s="319">
        <f>IF(AND('Ações'!AT521="sim", 'Ações'!BI521="sim"), 1, 0)
</f>
        <v>0</v>
      </c>
      <c r="R512" s="319">
        <f>IF(AND('Ações'!AU521="sim", 'Ações'!BD521="sim"), 1, 0)
</f>
        <v>0</v>
      </c>
      <c r="S512" s="319">
        <f>IF(AND('Ações'!AU521="sim", 'Ações'!BE521="sim"), 1, 0)
</f>
        <v>0</v>
      </c>
      <c r="T512" s="319">
        <f>IF(AND('Ações'!AU521="sim", 'Ações'!BG521="sim"), 1, 0)
</f>
        <v>0</v>
      </c>
      <c r="U512" s="319">
        <f>IF(AND('Ações'!AU521="sim", 'Ações'!BH521="sim"), 1, 0)
</f>
        <v>0</v>
      </c>
      <c r="V512" s="319">
        <f>IF(AND('Ações'!AU521="sim", 'Ações'!BI521="sim"), 1, 0)
</f>
        <v>0</v>
      </c>
      <c r="W512" s="319">
        <f>IF(AND('Ações'!AV521="sim", 'Ações'!BD521="sim"), 1, 0)
</f>
        <v>0</v>
      </c>
      <c r="X512" s="319">
        <f>IF(AND('Ações'!AV521="sim", 'Ações'!BE521="sim"), 1, 0)
</f>
        <v>0</v>
      </c>
      <c r="Y512" s="319">
        <f>IF(AND('Ações'!AV521="sim", 'Ações'!BF521="sim"), 1, 0)
</f>
        <v>0</v>
      </c>
      <c r="Z512" s="319">
        <f>IF(AND('Ações'!AV521="sim", 'Ações'!BH521="sim"), 1, 0)
</f>
        <v>0</v>
      </c>
      <c r="AA512" s="319">
        <f>IF(AND('Ações'!AV521="sim", 'Ações'!BI521="sim"), 1, 0)
</f>
        <v>0</v>
      </c>
      <c r="AB512" s="319">
        <f>IF(AND('Ações'!AW521="sim", 'Ações'!BD521="sim"), 1, 0)
</f>
        <v>0</v>
      </c>
      <c r="AC512" s="319">
        <f>IF(AND('Ações'!AW521="sim", 'Ações'!BE521="sim"), 1, 0)
</f>
        <v>0</v>
      </c>
      <c r="AD512" s="319">
        <f>IF(AND('Ações'!AW521="sim", 'Ações'!BF521="sim"), 1, 0)
</f>
        <v>0</v>
      </c>
      <c r="AE512" s="319">
        <f>IF(AND('Ações'!AW521="sim", 'Ações'!BG521="sim"), 1, 0)
</f>
        <v>0</v>
      </c>
      <c r="AF512" s="319">
        <f>IF(AND('Ações'!AW521="sim", 'Ações'!BI521="sim"), 1, 0)
</f>
        <v>0</v>
      </c>
      <c r="AG512" s="319">
        <f>IF(AND('Ações'!AX521="sim", 'Ações'!BD521="sim"), 1, 0)
</f>
        <v>0</v>
      </c>
      <c r="AH512" s="319">
        <f>IF(AND('Ações'!AX521="sim", 'Ações'!BE521="sim"), 1, 0)
</f>
        <v>0</v>
      </c>
      <c r="AI512" s="319">
        <f>IF(AND('Ações'!AX521="sim", 'Ações'!BF521="sim"), 1, 0)
</f>
        <v>0</v>
      </c>
      <c r="AJ512" s="319">
        <f>IF(AND('Ações'!AX521="sim", 'Ações'!BG521="sim"), 1, 0)
</f>
        <v>0</v>
      </c>
      <c r="AK512" s="319">
        <f>IF(AND('Ações'!AX521="sim", 'Ações'!BH521="sim"), 1, 0)
</f>
        <v>0</v>
      </c>
    </row>
    <row r="513">
      <c r="B513" s="319">
        <f>IF(AND('Ações'!AS522="sim", 'Ações'!BD522="sim"), 1, 0)
</f>
        <v>0</v>
      </c>
      <c r="C513" s="319">
        <f>IF(AND('Ações'!AT522="sim", 'Ações'!BE522="sim"), 1, 0)
</f>
        <v>0</v>
      </c>
      <c r="D513" s="319">
        <f>IF(AND('Ações'!AU522="sim", 'Ações'!BF522="sim"), 1, 0)
</f>
        <v>0</v>
      </c>
      <c r="E513" s="319">
        <f>IF(AND('Ações'!AV522="sim", 'Ações'!BG522="sim"), 1, 0)
</f>
        <v>0</v>
      </c>
      <c r="F513" s="319">
        <f>IF(AND('Ações'!AW522="sim", 'Ações'!BH522="sim"), 1, 0)
</f>
        <v>0</v>
      </c>
      <c r="G513" s="319">
        <f>IF(AND('Ações'!AX522="sim", 'Ações'!BI522="sim"), 1, 0)
</f>
        <v>1</v>
      </c>
      <c r="H513" s="319">
        <f>IF(AND('Ações'!AS522="sim", 'Ações'!BE522="sim"), 1, 0)
</f>
        <v>0</v>
      </c>
      <c r="I513" s="319">
        <f>IF(AND('Ações'!AS522="sim", 'Ações'!BF522="sim"), 1, 0)
</f>
        <v>0</v>
      </c>
      <c r="J513" s="319">
        <f>IF(AND('Ações'!AS522="sim", 'Ações'!BG522="sim"), 1, 0)
</f>
        <v>0</v>
      </c>
      <c r="K513" s="319">
        <f>IF(AND('Ações'!AS522="sim", 'Ações'!BH522="sim"), 1, 0)
</f>
        <v>0</v>
      </c>
      <c r="L513" s="319">
        <f>IF(AND('Ações'!AS522="sim", 'Ações'!BI522="sim"), 1, 0)
</f>
        <v>0</v>
      </c>
      <c r="M513" s="319">
        <f>IF(AND('Ações'!AT522="sim", 'Ações'!BD522="sim"), 1, 0)
</f>
        <v>0</v>
      </c>
      <c r="N513" s="319">
        <f>IF(AND('Ações'!AT522="sim", 'Ações'!BF522="sim"), 1, 0)
</f>
        <v>0</v>
      </c>
      <c r="O513" s="319">
        <f>IF(AND('Ações'!AT522="sim", 'Ações'!BG522="sim"), 1, 0)
</f>
        <v>0</v>
      </c>
      <c r="P513" s="319">
        <f>IF(AND('Ações'!AT522="sim", 'Ações'!BH522="sim"), 1, 0)
</f>
        <v>0</v>
      </c>
      <c r="Q513" s="319">
        <f>IF(AND('Ações'!AT522="sim", 'Ações'!BI522="sim"), 1, 0)
</f>
        <v>0</v>
      </c>
      <c r="R513" s="319">
        <f>IF(AND('Ações'!AU522="sim", 'Ações'!BD522="sim"), 1, 0)
</f>
        <v>0</v>
      </c>
      <c r="S513" s="319">
        <f>IF(AND('Ações'!AU522="sim", 'Ações'!BE522="sim"), 1, 0)
</f>
        <v>0</v>
      </c>
      <c r="T513" s="319">
        <f>IF(AND('Ações'!AU522="sim", 'Ações'!BG522="sim"), 1, 0)
</f>
        <v>0</v>
      </c>
      <c r="U513" s="319">
        <f>IF(AND('Ações'!AU522="sim", 'Ações'!BH522="sim"), 1, 0)
</f>
        <v>0</v>
      </c>
      <c r="V513" s="319">
        <f>IF(AND('Ações'!AU522="sim", 'Ações'!BI522="sim"), 1, 0)
</f>
        <v>1</v>
      </c>
      <c r="W513" s="319">
        <f>IF(AND('Ações'!AV522="sim", 'Ações'!BD522="sim"), 1, 0)
</f>
        <v>0</v>
      </c>
      <c r="X513" s="319">
        <f>IF(AND('Ações'!AV522="sim", 'Ações'!BE522="sim"), 1, 0)
</f>
        <v>0</v>
      </c>
      <c r="Y513" s="319">
        <f>IF(AND('Ações'!AV522="sim", 'Ações'!BF522="sim"), 1, 0)
</f>
        <v>0</v>
      </c>
      <c r="Z513" s="319">
        <f>IF(AND('Ações'!AV522="sim", 'Ações'!BH522="sim"), 1, 0)
</f>
        <v>0</v>
      </c>
      <c r="AA513" s="319">
        <f>IF(AND('Ações'!AV522="sim", 'Ações'!BI522="sim"), 1, 0)
</f>
        <v>1</v>
      </c>
      <c r="AB513" s="319">
        <f>IF(AND('Ações'!AW522="sim", 'Ações'!BD522="sim"), 1, 0)
</f>
        <v>0</v>
      </c>
      <c r="AC513" s="319">
        <f>IF(AND('Ações'!AW522="sim", 'Ações'!BE522="sim"), 1, 0)
</f>
        <v>0</v>
      </c>
      <c r="AD513" s="319">
        <f>IF(AND('Ações'!AW522="sim", 'Ações'!BF522="sim"), 1, 0)
</f>
        <v>0</v>
      </c>
      <c r="AE513" s="319">
        <f>IF(AND('Ações'!AW522="sim", 'Ações'!BG522="sim"), 1, 0)
</f>
        <v>0</v>
      </c>
      <c r="AF513" s="319">
        <f>IF(AND('Ações'!AW522="sim", 'Ações'!BI522="sim"), 1, 0)
</f>
        <v>1</v>
      </c>
      <c r="AG513" s="319">
        <f>IF(AND('Ações'!AX522="sim", 'Ações'!BD522="sim"), 1, 0)
</f>
        <v>0</v>
      </c>
      <c r="AH513" s="319">
        <f>IF(AND('Ações'!AX522="sim", 'Ações'!BE522="sim"), 1, 0)
</f>
        <v>0</v>
      </c>
      <c r="AI513" s="319">
        <f>IF(AND('Ações'!AX522="sim", 'Ações'!BF522="sim"), 1, 0)
</f>
        <v>0</v>
      </c>
      <c r="AJ513" s="319">
        <f>IF(AND('Ações'!AX522="sim", 'Ações'!BG522="sim"), 1, 0)
</f>
        <v>0</v>
      </c>
      <c r="AK513" s="319">
        <f>IF(AND('Ações'!AX522="sim", 'Ações'!BH522="sim"), 1, 0)
</f>
        <v>0</v>
      </c>
    </row>
    <row r="514">
      <c r="B514" s="319">
        <f>IF(AND('Ações'!AS523="sim", 'Ações'!BD523="sim"), 1, 0)
</f>
        <v>0</v>
      </c>
      <c r="C514" s="319">
        <f>IF(AND('Ações'!AT523="sim", 'Ações'!BE523="sim"), 1, 0)
</f>
        <v>0</v>
      </c>
      <c r="D514" s="319">
        <f>IF(AND('Ações'!AU523="sim", 'Ações'!BF523="sim"), 1, 0)
</f>
        <v>0</v>
      </c>
      <c r="E514" s="319">
        <f>IF(AND('Ações'!AV523="sim", 'Ações'!BG523="sim"), 1, 0)
</f>
        <v>0</v>
      </c>
      <c r="F514" s="319">
        <f>IF(AND('Ações'!AW523="sim", 'Ações'!BH523="sim"), 1, 0)
</f>
        <v>0</v>
      </c>
      <c r="G514" s="319">
        <f>IF(AND('Ações'!AX523="sim", 'Ações'!BI523="sim"), 1, 0)
</f>
        <v>1</v>
      </c>
      <c r="H514" s="319">
        <f>IF(AND('Ações'!AS523="sim", 'Ações'!BE523="sim"), 1, 0)
</f>
        <v>0</v>
      </c>
      <c r="I514" s="319">
        <f>IF(AND('Ações'!AS523="sim", 'Ações'!BF523="sim"), 1, 0)
</f>
        <v>0</v>
      </c>
      <c r="J514" s="319">
        <f>IF(AND('Ações'!AS523="sim", 'Ações'!BG523="sim"), 1, 0)
</f>
        <v>0</v>
      </c>
      <c r="K514" s="319">
        <f>IF(AND('Ações'!AS523="sim", 'Ações'!BH523="sim"), 1, 0)
</f>
        <v>0</v>
      </c>
      <c r="L514" s="319">
        <f>IF(AND('Ações'!AS523="sim", 'Ações'!BI523="sim"), 1, 0)
</f>
        <v>0</v>
      </c>
      <c r="M514" s="319">
        <f>IF(AND('Ações'!AT523="sim", 'Ações'!BD523="sim"), 1, 0)
</f>
        <v>0</v>
      </c>
      <c r="N514" s="319">
        <f>IF(AND('Ações'!AT523="sim", 'Ações'!BF523="sim"), 1, 0)
</f>
        <v>0</v>
      </c>
      <c r="O514" s="319">
        <f>IF(AND('Ações'!AT523="sim", 'Ações'!BG523="sim"), 1, 0)
</f>
        <v>0</v>
      </c>
      <c r="P514" s="319">
        <f>IF(AND('Ações'!AT523="sim", 'Ações'!BH523="sim"), 1, 0)
</f>
        <v>0</v>
      </c>
      <c r="Q514" s="319">
        <f>IF(AND('Ações'!AT523="sim", 'Ações'!BI523="sim"), 1, 0)
</f>
        <v>0</v>
      </c>
      <c r="R514" s="319">
        <f>IF(AND('Ações'!AU523="sim", 'Ações'!BD523="sim"), 1, 0)
</f>
        <v>0</v>
      </c>
      <c r="S514" s="319">
        <f>IF(AND('Ações'!AU523="sim", 'Ações'!BE523="sim"), 1, 0)
</f>
        <v>0</v>
      </c>
      <c r="T514" s="319">
        <f>IF(AND('Ações'!AU523="sim", 'Ações'!BG523="sim"), 1, 0)
</f>
        <v>0</v>
      </c>
      <c r="U514" s="319">
        <f>IF(AND('Ações'!AU523="sim", 'Ações'!BH523="sim"), 1, 0)
</f>
        <v>0</v>
      </c>
      <c r="V514" s="319">
        <f>IF(AND('Ações'!AU523="sim", 'Ações'!BI523="sim"), 1, 0)
</f>
        <v>1</v>
      </c>
      <c r="W514" s="319">
        <f>IF(AND('Ações'!AV523="sim", 'Ações'!BD523="sim"), 1, 0)
</f>
        <v>0</v>
      </c>
      <c r="X514" s="319">
        <f>IF(AND('Ações'!AV523="sim", 'Ações'!BE523="sim"), 1, 0)
</f>
        <v>0</v>
      </c>
      <c r="Y514" s="319">
        <f>IF(AND('Ações'!AV523="sim", 'Ações'!BF523="sim"), 1, 0)
</f>
        <v>0</v>
      </c>
      <c r="Z514" s="319">
        <f>IF(AND('Ações'!AV523="sim", 'Ações'!BH523="sim"), 1, 0)
</f>
        <v>0</v>
      </c>
      <c r="AA514" s="319">
        <f>IF(AND('Ações'!AV523="sim", 'Ações'!BI523="sim"), 1, 0)
</f>
        <v>1</v>
      </c>
      <c r="AB514" s="319">
        <f>IF(AND('Ações'!AW523="sim", 'Ações'!BD523="sim"), 1, 0)
</f>
        <v>0</v>
      </c>
      <c r="AC514" s="319">
        <f>IF(AND('Ações'!AW523="sim", 'Ações'!BE523="sim"), 1, 0)
</f>
        <v>0</v>
      </c>
      <c r="AD514" s="319">
        <f>IF(AND('Ações'!AW523="sim", 'Ações'!BF523="sim"), 1, 0)
</f>
        <v>0</v>
      </c>
      <c r="AE514" s="319">
        <f>IF(AND('Ações'!AW523="sim", 'Ações'!BG523="sim"), 1, 0)
</f>
        <v>0</v>
      </c>
      <c r="AF514" s="319">
        <f>IF(AND('Ações'!AW523="sim", 'Ações'!BI523="sim"), 1, 0)
</f>
        <v>1</v>
      </c>
      <c r="AG514" s="319">
        <f>IF(AND('Ações'!AX523="sim", 'Ações'!BD523="sim"), 1, 0)
</f>
        <v>0</v>
      </c>
      <c r="AH514" s="319">
        <f>IF(AND('Ações'!AX523="sim", 'Ações'!BE523="sim"), 1, 0)
</f>
        <v>0</v>
      </c>
      <c r="AI514" s="319">
        <f>IF(AND('Ações'!AX523="sim", 'Ações'!BF523="sim"), 1, 0)
</f>
        <v>0</v>
      </c>
      <c r="AJ514" s="319">
        <f>IF(AND('Ações'!AX523="sim", 'Ações'!BG523="sim"), 1, 0)
</f>
        <v>0</v>
      </c>
      <c r="AK514" s="319">
        <f>IF(AND('Ações'!AX523="sim", 'Ações'!BH523="sim"), 1, 0)
</f>
        <v>0</v>
      </c>
    </row>
    <row r="515">
      <c r="B515" s="319">
        <f>IF(AND('Ações'!AS524="sim", 'Ações'!BD524="sim"), 1, 0)
</f>
        <v>0</v>
      </c>
      <c r="C515" s="319">
        <f>IF(AND('Ações'!AT524="sim", 'Ações'!BE524="sim"), 1, 0)
</f>
        <v>0</v>
      </c>
      <c r="D515" s="319">
        <f>IF(AND('Ações'!AU524="sim", 'Ações'!BF524="sim"), 1, 0)
</f>
        <v>0</v>
      </c>
      <c r="E515" s="319">
        <f>IF(AND('Ações'!AV524="sim", 'Ações'!BG524="sim"), 1, 0)
</f>
        <v>0</v>
      </c>
      <c r="F515" s="319">
        <f>IF(AND('Ações'!AW524="sim", 'Ações'!BH524="sim"), 1, 0)
</f>
        <v>0</v>
      </c>
      <c r="G515" s="319">
        <f>IF(AND('Ações'!AX524="sim", 'Ações'!BI524="sim"), 1, 0)
</f>
        <v>1</v>
      </c>
      <c r="H515" s="319">
        <f>IF(AND('Ações'!AS524="sim", 'Ações'!BE524="sim"), 1, 0)
</f>
        <v>0</v>
      </c>
      <c r="I515" s="319">
        <f>IF(AND('Ações'!AS524="sim", 'Ações'!BF524="sim"), 1, 0)
</f>
        <v>0</v>
      </c>
      <c r="J515" s="319">
        <f>IF(AND('Ações'!AS524="sim", 'Ações'!BG524="sim"), 1, 0)
</f>
        <v>0</v>
      </c>
      <c r="K515" s="319">
        <f>IF(AND('Ações'!AS524="sim", 'Ações'!BH524="sim"), 1, 0)
</f>
        <v>0</v>
      </c>
      <c r="L515" s="319">
        <f>IF(AND('Ações'!AS524="sim", 'Ações'!BI524="sim"), 1, 0)
</f>
        <v>0</v>
      </c>
      <c r="M515" s="319">
        <f>IF(AND('Ações'!AT524="sim", 'Ações'!BD524="sim"), 1, 0)
</f>
        <v>0</v>
      </c>
      <c r="N515" s="319">
        <f>IF(AND('Ações'!AT524="sim", 'Ações'!BF524="sim"), 1, 0)
</f>
        <v>0</v>
      </c>
      <c r="O515" s="319">
        <f>IF(AND('Ações'!AT524="sim", 'Ações'!BG524="sim"), 1, 0)
</f>
        <v>0</v>
      </c>
      <c r="P515" s="319">
        <f>IF(AND('Ações'!AT524="sim", 'Ações'!BH524="sim"), 1, 0)
</f>
        <v>0</v>
      </c>
      <c r="Q515" s="319">
        <f>IF(AND('Ações'!AT524="sim", 'Ações'!BI524="sim"), 1, 0)
</f>
        <v>0</v>
      </c>
      <c r="R515" s="319">
        <f>IF(AND('Ações'!AU524="sim", 'Ações'!BD524="sim"), 1, 0)
</f>
        <v>0</v>
      </c>
      <c r="S515" s="319">
        <f>IF(AND('Ações'!AU524="sim", 'Ações'!BE524="sim"), 1, 0)
</f>
        <v>0</v>
      </c>
      <c r="T515" s="319">
        <f>IF(AND('Ações'!AU524="sim", 'Ações'!BG524="sim"), 1, 0)
</f>
        <v>0</v>
      </c>
      <c r="U515" s="319">
        <f>IF(AND('Ações'!AU524="sim", 'Ações'!BH524="sim"), 1, 0)
</f>
        <v>0</v>
      </c>
      <c r="V515" s="319">
        <f>IF(AND('Ações'!AU524="sim", 'Ações'!BI524="sim"), 1, 0)
</f>
        <v>1</v>
      </c>
      <c r="W515" s="319">
        <f>IF(AND('Ações'!AV524="sim", 'Ações'!BD524="sim"), 1, 0)
</f>
        <v>0</v>
      </c>
      <c r="X515" s="319">
        <f>IF(AND('Ações'!AV524="sim", 'Ações'!BE524="sim"), 1, 0)
</f>
        <v>0</v>
      </c>
      <c r="Y515" s="319">
        <f>IF(AND('Ações'!AV524="sim", 'Ações'!BF524="sim"), 1, 0)
</f>
        <v>0</v>
      </c>
      <c r="Z515" s="319">
        <f>IF(AND('Ações'!AV524="sim", 'Ações'!BH524="sim"), 1, 0)
</f>
        <v>0</v>
      </c>
      <c r="AA515" s="319">
        <f>IF(AND('Ações'!AV524="sim", 'Ações'!BI524="sim"), 1, 0)
</f>
        <v>1</v>
      </c>
      <c r="AB515" s="319">
        <f>IF(AND('Ações'!AW524="sim", 'Ações'!BD524="sim"), 1, 0)
</f>
        <v>0</v>
      </c>
      <c r="AC515" s="319">
        <f>IF(AND('Ações'!AW524="sim", 'Ações'!BE524="sim"), 1, 0)
</f>
        <v>0</v>
      </c>
      <c r="AD515" s="319">
        <f>IF(AND('Ações'!AW524="sim", 'Ações'!BF524="sim"), 1, 0)
</f>
        <v>0</v>
      </c>
      <c r="AE515" s="319">
        <f>IF(AND('Ações'!AW524="sim", 'Ações'!BG524="sim"), 1, 0)
</f>
        <v>0</v>
      </c>
      <c r="AF515" s="319">
        <f>IF(AND('Ações'!AW524="sim", 'Ações'!BI524="sim"), 1, 0)
</f>
        <v>1</v>
      </c>
      <c r="AG515" s="319">
        <f>IF(AND('Ações'!AX524="sim", 'Ações'!BD524="sim"), 1, 0)
</f>
        <v>0</v>
      </c>
      <c r="AH515" s="319">
        <f>IF(AND('Ações'!AX524="sim", 'Ações'!BE524="sim"), 1, 0)
</f>
        <v>0</v>
      </c>
      <c r="AI515" s="319">
        <f>IF(AND('Ações'!AX524="sim", 'Ações'!BF524="sim"), 1, 0)
</f>
        <v>0</v>
      </c>
      <c r="AJ515" s="319">
        <f>IF(AND('Ações'!AX524="sim", 'Ações'!BG524="sim"), 1, 0)
</f>
        <v>0</v>
      </c>
      <c r="AK515" s="319">
        <f>IF(AND('Ações'!AX524="sim", 'Ações'!BH524="sim"), 1, 0)
</f>
        <v>0</v>
      </c>
    </row>
    <row r="516">
      <c r="B516" s="319">
        <f>IF(AND('Ações'!AS525="sim", 'Ações'!BD525="sim"), 1, 0)
</f>
        <v>0</v>
      </c>
      <c r="C516" s="319">
        <f>IF(AND('Ações'!AT525="sim", 'Ações'!BE525="sim"), 1, 0)
</f>
        <v>0</v>
      </c>
      <c r="D516" s="319">
        <f>IF(AND('Ações'!AU525="sim", 'Ações'!BF525="sim"), 1, 0)
</f>
        <v>0</v>
      </c>
      <c r="E516" s="319">
        <f>IF(AND('Ações'!AV525="sim", 'Ações'!BG525="sim"), 1, 0)
</f>
        <v>0</v>
      </c>
      <c r="F516" s="319">
        <f>IF(AND('Ações'!AW525="sim", 'Ações'!BH525="sim"), 1, 0)
</f>
        <v>0</v>
      </c>
      <c r="G516" s="319">
        <f>IF(AND('Ações'!AX525="sim", 'Ações'!BI525="sim"), 1, 0)
</f>
        <v>1</v>
      </c>
      <c r="H516" s="319">
        <f>IF(AND('Ações'!AS525="sim", 'Ações'!BE525="sim"), 1, 0)
</f>
        <v>0</v>
      </c>
      <c r="I516" s="319">
        <f>IF(AND('Ações'!AS525="sim", 'Ações'!BF525="sim"), 1, 0)
</f>
        <v>0</v>
      </c>
      <c r="J516" s="319">
        <f>IF(AND('Ações'!AS525="sim", 'Ações'!BG525="sim"), 1, 0)
</f>
        <v>0</v>
      </c>
      <c r="K516" s="319">
        <f>IF(AND('Ações'!AS525="sim", 'Ações'!BH525="sim"), 1, 0)
</f>
        <v>0</v>
      </c>
      <c r="L516" s="319">
        <f>IF(AND('Ações'!AS525="sim", 'Ações'!BI525="sim"), 1, 0)
</f>
        <v>0</v>
      </c>
      <c r="M516" s="319">
        <f>IF(AND('Ações'!AT525="sim", 'Ações'!BD525="sim"), 1, 0)
</f>
        <v>0</v>
      </c>
      <c r="N516" s="319">
        <f>IF(AND('Ações'!AT525="sim", 'Ações'!BF525="sim"), 1, 0)
</f>
        <v>0</v>
      </c>
      <c r="O516" s="319">
        <f>IF(AND('Ações'!AT525="sim", 'Ações'!BG525="sim"), 1, 0)
</f>
        <v>0</v>
      </c>
      <c r="P516" s="319">
        <f>IF(AND('Ações'!AT525="sim", 'Ações'!BH525="sim"), 1, 0)
</f>
        <v>0</v>
      </c>
      <c r="Q516" s="319">
        <f>IF(AND('Ações'!AT525="sim", 'Ações'!BI525="sim"), 1, 0)
</f>
        <v>0</v>
      </c>
      <c r="R516" s="319">
        <f>IF(AND('Ações'!AU525="sim", 'Ações'!BD525="sim"), 1, 0)
</f>
        <v>0</v>
      </c>
      <c r="S516" s="319">
        <f>IF(AND('Ações'!AU525="sim", 'Ações'!BE525="sim"), 1, 0)
</f>
        <v>0</v>
      </c>
      <c r="T516" s="319">
        <f>IF(AND('Ações'!AU525="sim", 'Ações'!BG525="sim"), 1, 0)
</f>
        <v>0</v>
      </c>
      <c r="U516" s="319">
        <f>IF(AND('Ações'!AU525="sim", 'Ações'!BH525="sim"), 1, 0)
</f>
        <v>0</v>
      </c>
      <c r="V516" s="319">
        <f>IF(AND('Ações'!AU525="sim", 'Ações'!BI525="sim"), 1, 0)
</f>
        <v>1</v>
      </c>
      <c r="W516" s="319">
        <f>IF(AND('Ações'!AV525="sim", 'Ações'!BD525="sim"), 1, 0)
</f>
        <v>0</v>
      </c>
      <c r="X516" s="319">
        <f>IF(AND('Ações'!AV525="sim", 'Ações'!BE525="sim"), 1, 0)
</f>
        <v>0</v>
      </c>
      <c r="Y516" s="319">
        <f>IF(AND('Ações'!AV525="sim", 'Ações'!BF525="sim"), 1, 0)
</f>
        <v>0</v>
      </c>
      <c r="Z516" s="319">
        <f>IF(AND('Ações'!AV525="sim", 'Ações'!BH525="sim"), 1, 0)
</f>
        <v>0</v>
      </c>
      <c r="AA516" s="319">
        <f>IF(AND('Ações'!AV525="sim", 'Ações'!BI525="sim"), 1, 0)
</f>
        <v>1</v>
      </c>
      <c r="AB516" s="319">
        <f>IF(AND('Ações'!AW525="sim", 'Ações'!BD525="sim"), 1, 0)
</f>
        <v>0</v>
      </c>
      <c r="AC516" s="319">
        <f>IF(AND('Ações'!AW525="sim", 'Ações'!BE525="sim"), 1, 0)
</f>
        <v>0</v>
      </c>
      <c r="AD516" s="319">
        <f>IF(AND('Ações'!AW525="sim", 'Ações'!BF525="sim"), 1, 0)
</f>
        <v>0</v>
      </c>
      <c r="AE516" s="319">
        <f>IF(AND('Ações'!AW525="sim", 'Ações'!BG525="sim"), 1, 0)
</f>
        <v>0</v>
      </c>
      <c r="AF516" s="319">
        <f>IF(AND('Ações'!AW525="sim", 'Ações'!BI525="sim"), 1, 0)
</f>
        <v>1</v>
      </c>
      <c r="AG516" s="319">
        <f>IF(AND('Ações'!AX525="sim", 'Ações'!BD525="sim"), 1, 0)
</f>
        <v>0</v>
      </c>
      <c r="AH516" s="319">
        <f>IF(AND('Ações'!AX525="sim", 'Ações'!BE525="sim"), 1, 0)
</f>
        <v>0</v>
      </c>
      <c r="AI516" s="319">
        <f>IF(AND('Ações'!AX525="sim", 'Ações'!BF525="sim"), 1, 0)
</f>
        <v>0</v>
      </c>
      <c r="AJ516" s="319">
        <f>IF(AND('Ações'!AX525="sim", 'Ações'!BG525="sim"), 1, 0)
</f>
        <v>0</v>
      </c>
      <c r="AK516" s="319">
        <f>IF(AND('Ações'!AX525="sim", 'Ações'!BH525="sim"), 1, 0)
</f>
        <v>0</v>
      </c>
    </row>
    <row r="517">
      <c r="B517" s="319">
        <f>IF(AND('Ações'!AS526="sim", 'Ações'!BD526="sim"), 1, 0)
</f>
        <v>0</v>
      </c>
      <c r="C517" s="319">
        <f>IF(AND('Ações'!AT526="sim", 'Ações'!BE526="sim"), 1, 0)
</f>
        <v>0</v>
      </c>
      <c r="D517" s="319">
        <f>IF(AND('Ações'!AU526="sim", 'Ações'!BF526="sim"), 1, 0)
</f>
        <v>0</v>
      </c>
      <c r="E517" s="319">
        <f>IF(AND('Ações'!AV526="sim", 'Ações'!BG526="sim"), 1, 0)
</f>
        <v>0</v>
      </c>
      <c r="F517" s="319">
        <f>IF(AND('Ações'!AW526="sim", 'Ações'!BH526="sim"), 1, 0)
</f>
        <v>0</v>
      </c>
      <c r="G517" s="319">
        <f>IF(AND('Ações'!AX526="sim", 'Ações'!BI526="sim"), 1, 0)
</f>
        <v>0</v>
      </c>
      <c r="H517" s="319">
        <f>IF(AND('Ações'!AS526="sim", 'Ações'!BE526="sim"), 1, 0)
</f>
        <v>0</v>
      </c>
      <c r="I517" s="319">
        <f>IF(AND('Ações'!AS526="sim", 'Ações'!BF526="sim"), 1, 0)
</f>
        <v>0</v>
      </c>
      <c r="J517" s="319">
        <f>IF(AND('Ações'!AS526="sim", 'Ações'!BG526="sim"), 1, 0)
</f>
        <v>0</v>
      </c>
      <c r="K517" s="319">
        <f>IF(AND('Ações'!AS526="sim", 'Ações'!BH526="sim"), 1, 0)
</f>
        <v>0</v>
      </c>
      <c r="L517" s="319">
        <f>IF(AND('Ações'!AS526="sim", 'Ações'!BI526="sim"), 1, 0)
</f>
        <v>0</v>
      </c>
      <c r="M517" s="319">
        <f>IF(AND('Ações'!AT526="sim", 'Ações'!BD526="sim"), 1, 0)
</f>
        <v>0</v>
      </c>
      <c r="N517" s="319">
        <f>IF(AND('Ações'!AT526="sim", 'Ações'!BF526="sim"), 1, 0)
</f>
        <v>0</v>
      </c>
      <c r="O517" s="319">
        <f>IF(AND('Ações'!AT526="sim", 'Ações'!BG526="sim"), 1, 0)
</f>
        <v>0</v>
      </c>
      <c r="P517" s="319">
        <f>IF(AND('Ações'!AT526="sim", 'Ações'!BH526="sim"), 1, 0)
</f>
        <v>0</v>
      </c>
      <c r="Q517" s="319">
        <f>IF(AND('Ações'!AT526="sim", 'Ações'!BI526="sim"), 1, 0)
</f>
        <v>0</v>
      </c>
      <c r="R517" s="319">
        <f>IF(AND('Ações'!AU526="sim", 'Ações'!BD526="sim"), 1, 0)
</f>
        <v>1</v>
      </c>
      <c r="S517" s="319">
        <f>IF(AND('Ações'!AU526="sim", 'Ações'!BE526="sim"), 1, 0)
</f>
        <v>0</v>
      </c>
      <c r="T517" s="319">
        <f>IF(AND('Ações'!AU526="sim", 'Ações'!BG526="sim"), 1, 0)
</f>
        <v>0</v>
      </c>
      <c r="U517" s="319">
        <f>IF(AND('Ações'!AU526="sim", 'Ações'!BH526="sim"), 1, 0)
</f>
        <v>0</v>
      </c>
      <c r="V517" s="319">
        <f>IF(AND('Ações'!AU526="sim", 'Ações'!BI526="sim"), 1, 0)
</f>
        <v>0</v>
      </c>
      <c r="W517" s="319">
        <f>IF(AND('Ações'!AV526="sim", 'Ações'!BD526="sim"), 1, 0)
</f>
        <v>1</v>
      </c>
      <c r="X517" s="319">
        <f>IF(AND('Ações'!AV526="sim", 'Ações'!BE526="sim"), 1, 0)
</f>
        <v>0</v>
      </c>
      <c r="Y517" s="319">
        <f>IF(AND('Ações'!AV526="sim", 'Ações'!BF526="sim"), 1, 0)
</f>
        <v>0</v>
      </c>
      <c r="Z517" s="319">
        <f>IF(AND('Ações'!AV526="sim", 'Ações'!BH526="sim"), 1, 0)
</f>
        <v>0</v>
      </c>
      <c r="AA517" s="319">
        <f>IF(AND('Ações'!AV526="sim", 'Ações'!BI526="sim"), 1, 0)
</f>
        <v>0</v>
      </c>
      <c r="AB517" s="319">
        <f>IF(AND('Ações'!AW526="sim", 'Ações'!BD526="sim"), 1, 0)
</f>
        <v>1</v>
      </c>
      <c r="AC517" s="319">
        <f>IF(AND('Ações'!AW526="sim", 'Ações'!BE526="sim"), 1, 0)
</f>
        <v>0</v>
      </c>
      <c r="AD517" s="319">
        <f>IF(AND('Ações'!AW526="sim", 'Ações'!BF526="sim"), 1, 0)
</f>
        <v>0</v>
      </c>
      <c r="AE517" s="319">
        <f>IF(AND('Ações'!AW526="sim", 'Ações'!BG526="sim"), 1, 0)
</f>
        <v>0</v>
      </c>
      <c r="AF517" s="319">
        <f>IF(AND('Ações'!AW526="sim", 'Ações'!BI526="sim"), 1, 0)
</f>
        <v>0</v>
      </c>
      <c r="AG517" s="319">
        <f>IF(AND('Ações'!AX526="sim", 'Ações'!BD526="sim"), 1, 0)
</f>
        <v>1</v>
      </c>
      <c r="AH517" s="319">
        <f>IF(AND('Ações'!AX526="sim", 'Ações'!BE526="sim"), 1, 0)
</f>
        <v>0</v>
      </c>
      <c r="AI517" s="319">
        <f>IF(AND('Ações'!AX526="sim", 'Ações'!BF526="sim"), 1, 0)
</f>
        <v>0</v>
      </c>
      <c r="AJ517" s="319">
        <f>IF(AND('Ações'!AX526="sim", 'Ações'!BG526="sim"), 1, 0)
</f>
        <v>0</v>
      </c>
      <c r="AK517" s="319">
        <f>IF(AND('Ações'!AX526="sim", 'Ações'!BH526="sim"), 1, 0)
</f>
        <v>0</v>
      </c>
    </row>
    <row r="518">
      <c r="B518" s="319">
        <f>IF(AND('Ações'!AS527="sim", 'Ações'!BD527="sim"), 1, 0)
</f>
        <v>0</v>
      </c>
      <c r="C518" s="319">
        <f>IF(AND('Ações'!AT527="sim", 'Ações'!BE527="sim"), 1, 0)
</f>
        <v>0</v>
      </c>
      <c r="D518" s="319">
        <f>IF(AND('Ações'!AU527="sim", 'Ações'!BF527="sim"), 1, 0)
</f>
        <v>0</v>
      </c>
      <c r="E518" s="319">
        <f>IF(AND('Ações'!AV527="sim", 'Ações'!BG527="sim"), 1, 0)
</f>
        <v>0</v>
      </c>
      <c r="F518" s="319">
        <f>IF(AND('Ações'!AW527="sim", 'Ações'!BH527="sim"), 1, 0)
</f>
        <v>0</v>
      </c>
      <c r="G518" s="319">
        <f>IF(AND('Ações'!AX527="sim", 'Ações'!BI527="sim"), 1, 0)
</f>
        <v>0</v>
      </c>
      <c r="H518" s="319">
        <f>IF(AND('Ações'!AS527="sim", 'Ações'!BE527="sim"), 1, 0)
</f>
        <v>0</v>
      </c>
      <c r="I518" s="319">
        <f>IF(AND('Ações'!AS527="sim", 'Ações'!BF527="sim"), 1, 0)
</f>
        <v>0</v>
      </c>
      <c r="J518" s="319">
        <f>IF(AND('Ações'!AS527="sim", 'Ações'!BG527="sim"), 1, 0)
</f>
        <v>0</v>
      </c>
      <c r="K518" s="319">
        <f>IF(AND('Ações'!AS527="sim", 'Ações'!BH527="sim"), 1, 0)
</f>
        <v>0</v>
      </c>
      <c r="L518" s="319">
        <f>IF(AND('Ações'!AS527="sim", 'Ações'!BI527="sim"), 1, 0)
</f>
        <v>0</v>
      </c>
      <c r="M518" s="319">
        <f>IF(AND('Ações'!AT527="sim", 'Ações'!BD527="sim"), 1, 0)
</f>
        <v>0</v>
      </c>
      <c r="N518" s="319">
        <f>IF(AND('Ações'!AT527="sim", 'Ações'!BF527="sim"), 1, 0)
</f>
        <v>0</v>
      </c>
      <c r="O518" s="319">
        <f>IF(AND('Ações'!AT527="sim", 'Ações'!BG527="sim"), 1, 0)
</f>
        <v>0</v>
      </c>
      <c r="P518" s="319">
        <f>IF(AND('Ações'!AT527="sim", 'Ações'!BH527="sim"), 1, 0)
</f>
        <v>0</v>
      </c>
      <c r="Q518" s="319">
        <f>IF(AND('Ações'!AT527="sim", 'Ações'!BI527="sim"), 1, 0)
</f>
        <v>0</v>
      </c>
      <c r="R518" s="319">
        <f>IF(AND('Ações'!AU527="sim", 'Ações'!BD527="sim"), 1, 0)
</f>
        <v>1</v>
      </c>
      <c r="S518" s="319">
        <f>IF(AND('Ações'!AU527="sim", 'Ações'!BE527="sim"), 1, 0)
</f>
        <v>0</v>
      </c>
      <c r="T518" s="319">
        <f>IF(AND('Ações'!AU527="sim", 'Ações'!BG527="sim"), 1, 0)
</f>
        <v>0</v>
      </c>
      <c r="U518" s="319">
        <f>IF(AND('Ações'!AU527="sim", 'Ações'!BH527="sim"), 1, 0)
</f>
        <v>0</v>
      </c>
      <c r="V518" s="319">
        <f>IF(AND('Ações'!AU527="sim", 'Ações'!BI527="sim"), 1, 0)
</f>
        <v>0</v>
      </c>
      <c r="W518" s="319">
        <f>IF(AND('Ações'!AV527="sim", 'Ações'!BD527="sim"), 1, 0)
</f>
        <v>1</v>
      </c>
      <c r="X518" s="319">
        <f>IF(AND('Ações'!AV527="sim", 'Ações'!BE527="sim"), 1, 0)
</f>
        <v>0</v>
      </c>
      <c r="Y518" s="319">
        <f>IF(AND('Ações'!AV527="sim", 'Ações'!BF527="sim"), 1, 0)
</f>
        <v>0</v>
      </c>
      <c r="Z518" s="319">
        <f>IF(AND('Ações'!AV527="sim", 'Ações'!BH527="sim"), 1, 0)
</f>
        <v>0</v>
      </c>
      <c r="AA518" s="319">
        <f>IF(AND('Ações'!AV527="sim", 'Ações'!BI527="sim"), 1, 0)
</f>
        <v>0</v>
      </c>
      <c r="AB518" s="319">
        <f>IF(AND('Ações'!AW527="sim", 'Ações'!BD527="sim"), 1, 0)
</f>
        <v>1</v>
      </c>
      <c r="AC518" s="319">
        <f>IF(AND('Ações'!AW527="sim", 'Ações'!BE527="sim"), 1, 0)
</f>
        <v>0</v>
      </c>
      <c r="AD518" s="319">
        <f>IF(AND('Ações'!AW527="sim", 'Ações'!BF527="sim"), 1, 0)
</f>
        <v>0</v>
      </c>
      <c r="AE518" s="319">
        <f>IF(AND('Ações'!AW527="sim", 'Ações'!BG527="sim"), 1, 0)
</f>
        <v>0</v>
      </c>
      <c r="AF518" s="319">
        <f>IF(AND('Ações'!AW527="sim", 'Ações'!BI527="sim"), 1, 0)
</f>
        <v>0</v>
      </c>
      <c r="AG518" s="319">
        <f>IF(AND('Ações'!AX527="sim", 'Ações'!BD527="sim"), 1, 0)
</f>
        <v>1</v>
      </c>
      <c r="AH518" s="319">
        <f>IF(AND('Ações'!AX527="sim", 'Ações'!BE527="sim"), 1, 0)
</f>
        <v>0</v>
      </c>
      <c r="AI518" s="319">
        <f>IF(AND('Ações'!AX527="sim", 'Ações'!BF527="sim"), 1, 0)
</f>
        <v>0</v>
      </c>
      <c r="AJ518" s="319">
        <f>IF(AND('Ações'!AX527="sim", 'Ações'!BG527="sim"), 1, 0)
</f>
        <v>0</v>
      </c>
      <c r="AK518" s="319">
        <f>IF(AND('Ações'!AX527="sim", 'Ações'!BH527="sim"), 1, 0)
</f>
        <v>0</v>
      </c>
    </row>
    <row r="519">
      <c r="B519" s="319">
        <f>IF(AND('Ações'!AS528="sim", 'Ações'!BD528="sim"), 1, 0)
</f>
        <v>0</v>
      </c>
      <c r="C519" s="319">
        <f>IF(AND('Ações'!AT528="sim", 'Ações'!BE528="sim"), 1, 0)
</f>
        <v>0</v>
      </c>
      <c r="D519" s="319">
        <f>IF(AND('Ações'!AU528="sim", 'Ações'!BF528="sim"), 1, 0)
</f>
        <v>0</v>
      </c>
      <c r="E519" s="319">
        <f>IF(AND('Ações'!AV528="sim", 'Ações'!BG528="sim"), 1, 0)
</f>
        <v>0</v>
      </c>
      <c r="F519" s="319">
        <f>IF(AND('Ações'!AW528="sim", 'Ações'!BH528="sim"), 1, 0)
</f>
        <v>0</v>
      </c>
      <c r="G519" s="319">
        <f>IF(AND('Ações'!AX528="sim", 'Ações'!BI528="sim"), 1, 0)
</f>
        <v>1</v>
      </c>
      <c r="H519" s="319">
        <f>IF(AND('Ações'!AS528="sim", 'Ações'!BE528="sim"), 1, 0)
</f>
        <v>0</v>
      </c>
      <c r="I519" s="319">
        <f>IF(AND('Ações'!AS528="sim", 'Ações'!BF528="sim"), 1, 0)
</f>
        <v>0</v>
      </c>
      <c r="J519" s="319">
        <f>IF(AND('Ações'!AS528="sim", 'Ações'!BG528="sim"), 1, 0)
</f>
        <v>0</v>
      </c>
      <c r="K519" s="319">
        <f>IF(AND('Ações'!AS528="sim", 'Ações'!BH528="sim"), 1, 0)
</f>
        <v>0</v>
      </c>
      <c r="L519" s="319">
        <f>IF(AND('Ações'!AS528="sim", 'Ações'!BI528="sim"), 1, 0)
</f>
        <v>1</v>
      </c>
      <c r="M519" s="319">
        <f>IF(AND('Ações'!AT528="sim", 'Ações'!BD528="sim"), 1, 0)
</f>
        <v>0</v>
      </c>
      <c r="N519" s="319">
        <f>IF(AND('Ações'!AT528="sim", 'Ações'!BF528="sim"), 1, 0)
</f>
        <v>0</v>
      </c>
      <c r="O519" s="319">
        <f>IF(AND('Ações'!AT528="sim", 'Ações'!BG528="sim"), 1, 0)
</f>
        <v>0</v>
      </c>
      <c r="P519" s="319">
        <f>IF(AND('Ações'!AT528="sim", 'Ações'!BH528="sim"), 1, 0)
</f>
        <v>0</v>
      </c>
      <c r="Q519" s="319">
        <f>IF(AND('Ações'!AT528="sim", 'Ações'!BI528="sim"), 1, 0)
</f>
        <v>1</v>
      </c>
      <c r="R519" s="319">
        <f>IF(AND('Ações'!AU528="sim", 'Ações'!BD528="sim"), 1, 0)
</f>
        <v>0</v>
      </c>
      <c r="S519" s="319">
        <f>IF(AND('Ações'!AU528="sim", 'Ações'!BE528="sim"), 1, 0)
</f>
        <v>0</v>
      </c>
      <c r="T519" s="319">
        <f>IF(AND('Ações'!AU528="sim", 'Ações'!BG528="sim"), 1, 0)
</f>
        <v>0</v>
      </c>
      <c r="U519" s="319">
        <f>IF(AND('Ações'!AU528="sim", 'Ações'!BH528="sim"), 1, 0)
</f>
        <v>0</v>
      </c>
      <c r="V519" s="319">
        <f>IF(AND('Ações'!AU528="sim", 'Ações'!BI528="sim"), 1, 0)
</f>
        <v>1</v>
      </c>
      <c r="W519" s="319">
        <f>IF(AND('Ações'!AV528="sim", 'Ações'!BD528="sim"), 1, 0)
</f>
        <v>0</v>
      </c>
      <c r="X519" s="319">
        <f>IF(AND('Ações'!AV528="sim", 'Ações'!BE528="sim"), 1, 0)
</f>
        <v>0</v>
      </c>
      <c r="Y519" s="319">
        <f>IF(AND('Ações'!AV528="sim", 'Ações'!BF528="sim"), 1, 0)
</f>
        <v>0</v>
      </c>
      <c r="Z519" s="319">
        <f>IF(AND('Ações'!AV528="sim", 'Ações'!BH528="sim"), 1, 0)
</f>
        <v>0</v>
      </c>
      <c r="AA519" s="319">
        <f>IF(AND('Ações'!AV528="sim", 'Ações'!BI528="sim"), 1, 0)
</f>
        <v>1</v>
      </c>
      <c r="AB519" s="319">
        <f>IF(AND('Ações'!AW528="sim", 'Ações'!BD528="sim"), 1, 0)
</f>
        <v>0</v>
      </c>
      <c r="AC519" s="319">
        <f>IF(AND('Ações'!AW528="sim", 'Ações'!BE528="sim"), 1, 0)
</f>
        <v>0</v>
      </c>
      <c r="AD519" s="319">
        <f>IF(AND('Ações'!AW528="sim", 'Ações'!BF528="sim"), 1, 0)
</f>
        <v>0</v>
      </c>
      <c r="AE519" s="319">
        <f>IF(AND('Ações'!AW528="sim", 'Ações'!BG528="sim"), 1, 0)
</f>
        <v>0</v>
      </c>
      <c r="AF519" s="319">
        <f>IF(AND('Ações'!AW528="sim", 'Ações'!BI528="sim"), 1, 0)
</f>
        <v>1</v>
      </c>
      <c r="AG519" s="319">
        <f>IF(AND('Ações'!AX528="sim", 'Ações'!BD528="sim"), 1, 0)
</f>
        <v>0</v>
      </c>
      <c r="AH519" s="319">
        <f>IF(AND('Ações'!AX528="sim", 'Ações'!BE528="sim"), 1, 0)
</f>
        <v>0</v>
      </c>
      <c r="AI519" s="319">
        <f>IF(AND('Ações'!AX528="sim", 'Ações'!BF528="sim"), 1, 0)
</f>
        <v>0</v>
      </c>
      <c r="AJ519" s="319">
        <f>IF(AND('Ações'!AX528="sim", 'Ações'!BG528="sim"), 1, 0)
</f>
        <v>0</v>
      </c>
      <c r="AK519" s="319">
        <f>IF(AND('Ações'!AX528="sim", 'Ações'!BH528="sim"), 1, 0)
</f>
        <v>0</v>
      </c>
    </row>
    <row r="520">
      <c r="B520" s="319">
        <f>IF(AND('Ações'!AS529="sim", 'Ações'!BD529="sim"), 1, 0)
</f>
        <v>0</v>
      </c>
      <c r="C520" s="319">
        <f>IF(AND('Ações'!AT529="sim", 'Ações'!BE529="sim"), 1, 0)
</f>
        <v>0</v>
      </c>
      <c r="D520" s="319">
        <f>IF(AND('Ações'!AU529="sim", 'Ações'!BF529="sim"), 1, 0)
</f>
        <v>0</v>
      </c>
      <c r="E520" s="319">
        <f>IF(AND('Ações'!AV529="sim", 'Ações'!BG529="sim"), 1, 0)
</f>
        <v>0</v>
      </c>
      <c r="F520" s="319">
        <f>IF(AND('Ações'!AW529="sim", 'Ações'!BH529="sim"), 1, 0)
</f>
        <v>0</v>
      </c>
      <c r="G520" s="319">
        <f>IF(AND('Ações'!AX529="sim", 'Ações'!BI529="sim"), 1, 0)
</f>
        <v>1</v>
      </c>
      <c r="H520" s="319">
        <f>IF(AND('Ações'!AS529="sim", 'Ações'!BE529="sim"), 1, 0)
</f>
        <v>0</v>
      </c>
      <c r="I520" s="319">
        <f>IF(AND('Ações'!AS529="sim", 'Ações'!BF529="sim"), 1, 0)
</f>
        <v>0</v>
      </c>
      <c r="J520" s="319">
        <f>IF(AND('Ações'!AS529="sim", 'Ações'!BG529="sim"), 1, 0)
</f>
        <v>0</v>
      </c>
      <c r="K520" s="319">
        <f>IF(AND('Ações'!AS529="sim", 'Ações'!BH529="sim"), 1, 0)
</f>
        <v>0</v>
      </c>
      <c r="L520" s="319">
        <f>IF(AND('Ações'!AS529="sim", 'Ações'!BI529="sim"), 1, 0)
</f>
        <v>1</v>
      </c>
      <c r="M520" s="319">
        <f>IF(AND('Ações'!AT529="sim", 'Ações'!BD529="sim"), 1, 0)
</f>
        <v>0</v>
      </c>
      <c r="N520" s="319">
        <f>IF(AND('Ações'!AT529="sim", 'Ações'!BF529="sim"), 1, 0)
</f>
        <v>0</v>
      </c>
      <c r="O520" s="319">
        <f>IF(AND('Ações'!AT529="sim", 'Ações'!BG529="sim"), 1, 0)
</f>
        <v>0</v>
      </c>
      <c r="P520" s="319">
        <f>IF(AND('Ações'!AT529="sim", 'Ações'!BH529="sim"), 1, 0)
</f>
        <v>0</v>
      </c>
      <c r="Q520" s="319">
        <f>IF(AND('Ações'!AT529="sim", 'Ações'!BI529="sim"), 1, 0)
</f>
        <v>1</v>
      </c>
      <c r="R520" s="319">
        <f>IF(AND('Ações'!AU529="sim", 'Ações'!BD529="sim"), 1, 0)
</f>
        <v>0</v>
      </c>
      <c r="S520" s="319">
        <f>IF(AND('Ações'!AU529="sim", 'Ações'!BE529="sim"), 1, 0)
</f>
        <v>0</v>
      </c>
      <c r="T520" s="319">
        <f>IF(AND('Ações'!AU529="sim", 'Ações'!BG529="sim"), 1, 0)
</f>
        <v>0</v>
      </c>
      <c r="U520" s="319">
        <f>IF(AND('Ações'!AU529="sim", 'Ações'!BH529="sim"), 1, 0)
</f>
        <v>0</v>
      </c>
      <c r="V520" s="319">
        <f>IF(AND('Ações'!AU529="sim", 'Ações'!BI529="sim"), 1, 0)
</f>
        <v>1</v>
      </c>
      <c r="W520" s="319">
        <f>IF(AND('Ações'!AV529="sim", 'Ações'!BD529="sim"), 1, 0)
</f>
        <v>0</v>
      </c>
      <c r="X520" s="319">
        <f>IF(AND('Ações'!AV529="sim", 'Ações'!BE529="sim"), 1, 0)
</f>
        <v>0</v>
      </c>
      <c r="Y520" s="319">
        <f>IF(AND('Ações'!AV529="sim", 'Ações'!BF529="sim"), 1, 0)
</f>
        <v>0</v>
      </c>
      <c r="Z520" s="319">
        <f>IF(AND('Ações'!AV529="sim", 'Ações'!BH529="sim"), 1, 0)
</f>
        <v>0</v>
      </c>
      <c r="AA520" s="319">
        <f>IF(AND('Ações'!AV529="sim", 'Ações'!BI529="sim"), 1, 0)
</f>
        <v>1</v>
      </c>
      <c r="AB520" s="319">
        <f>IF(AND('Ações'!AW529="sim", 'Ações'!BD529="sim"), 1, 0)
</f>
        <v>0</v>
      </c>
      <c r="AC520" s="319">
        <f>IF(AND('Ações'!AW529="sim", 'Ações'!BE529="sim"), 1, 0)
</f>
        <v>0</v>
      </c>
      <c r="AD520" s="319">
        <f>IF(AND('Ações'!AW529="sim", 'Ações'!BF529="sim"), 1, 0)
</f>
        <v>0</v>
      </c>
      <c r="AE520" s="319">
        <f>IF(AND('Ações'!AW529="sim", 'Ações'!BG529="sim"), 1, 0)
</f>
        <v>0</v>
      </c>
      <c r="AF520" s="319">
        <f>IF(AND('Ações'!AW529="sim", 'Ações'!BI529="sim"), 1, 0)
</f>
        <v>1</v>
      </c>
      <c r="AG520" s="319">
        <f>IF(AND('Ações'!AX529="sim", 'Ações'!BD529="sim"), 1, 0)
</f>
        <v>0</v>
      </c>
      <c r="AH520" s="319">
        <f>IF(AND('Ações'!AX529="sim", 'Ações'!BE529="sim"), 1, 0)
</f>
        <v>0</v>
      </c>
      <c r="AI520" s="319">
        <f>IF(AND('Ações'!AX529="sim", 'Ações'!BF529="sim"), 1, 0)
</f>
        <v>0</v>
      </c>
      <c r="AJ520" s="319">
        <f>IF(AND('Ações'!AX529="sim", 'Ações'!BG529="sim"), 1, 0)
</f>
        <v>0</v>
      </c>
      <c r="AK520" s="319">
        <f>IF(AND('Ações'!AX529="sim", 'Ações'!BH529="sim"), 1, 0)
</f>
        <v>0</v>
      </c>
    </row>
    <row r="521">
      <c r="B521" s="319">
        <f>IF(AND('Ações'!AS530="sim", 'Ações'!BD530="sim"), 1, 0)
</f>
        <v>0</v>
      </c>
      <c r="C521" s="319">
        <f>IF(AND('Ações'!AT530="sim", 'Ações'!BE530="sim"), 1, 0)
</f>
        <v>0</v>
      </c>
      <c r="D521" s="319">
        <f>IF(AND('Ações'!AU530="sim", 'Ações'!BF530="sim"), 1, 0)
</f>
        <v>0</v>
      </c>
      <c r="E521" s="319">
        <f>IF(AND('Ações'!AV530="sim", 'Ações'!BG530="sim"), 1, 0)
</f>
        <v>0</v>
      </c>
      <c r="F521" s="319">
        <f>IF(AND('Ações'!AW530="sim", 'Ações'!BH530="sim"), 1, 0)
</f>
        <v>0</v>
      </c>
      <c r="G521" s="319">
        <f>IF(AND('Ações'!AX530="sim", 'Ações'!BI530="sim"), 1, 0)
</f>
        <v>1</v>
      </c>
      <c r="H521" s="319">
        <f>IF(AND('Ações'!AS530="sim", 'Ações'!BE530="sim"), 1, 0)
</f>
        <v>0</v>
      </c>
      <c r="I521" s="319">
        <f>IF(AND('Ações'!AS530="sim", 'Ações'!BF530="sim"), 1, 0)
</f>
        <v>0</v>
      </c>
      <c r="J521" s="319">
        <f>IF(AND('Ações'!AS530="sim", 'Ações'!BG530="sim"), 1, 0)
</f>
        <v>0</v>
      </c>
      <c r="K521" s="319">
        <f>IF(AND('Ações'!AS530="sim", 'Ações'!BH530="sim"), 1, 0)
</f>
        <v>0</v>
      </c>
      <c r="L521" s="319">
        <f>IF(AND('Ações'!AS530="sim", 'Ações'!BI530="sim"), 1, 0)
</f>
        <v>1</v>
      </c>
      <c r="M521" s="319">
        <f>IF(AND('Ações'!AT530="sim", 'Ações'!BD530="sim"), 1, 0)
</f>
        <v>0</v>
      </c>
      <c r="N521" s="319">
        <f>IF(AND('Ações'!AT530="sim", 'Ações'!BF530="sim"), 1, 0)
</f>
        <v>0</v>
      </c>
      <c r="O521" s="319">
        <f>IF(AND('Ações'!AT530="sim", 'Ações'!BG530="sim"), 1, 0)
</f>
        <v>0</v>
      </c>
      <c r="P521" s="319">
        <f>IF(AND('Ações'!AT530="sim", 'Ações'!BH530="sim"), 1, 0)
</f>
        <v>0</v>
      </c>
      <c r="Q521" s="319">
        <f>IF(AND('Ações'!AT530="sim", 'Ações'!BI530="sim"), 1, 0)
</f>
        <v>1</v>
      </c>
      <c r="R521" s="319">
        <f>IF(AND('Ações'!AU530="sim", 'Ações'!BD530="sim"), 1, 0)
</f>
        <v>0</v>
      </c>
      <c r="S521" s="319">
        <f>IF(AND('Ações'!AU530="sim", 'Ações'!BE530="sim"), 1, 0)
</f>
        <v>0</v>
      </c>
      <c r="T521" s="319">
        <f>IF(AND('Ações'!AU530="sim", 'Ações'!BG530="sim"), 1, 0)
</f>
        <v>0</v>
      </c>
      <c r="U521" s="319">
        <f>IF(AND('Ações'!AU530="sim", 'Ações'!BH530="sim"), 1, 0)
</f>
        <v>0</v>
      </c>
      <c r="V521" s="319">
        <f>IF(AND('Ações'!AU530="sim", 'Ações'!BI530="sim"), 1, 0)
</f>
        <v>1</v>
      </c>
      <c r="W521" s="319">
        <f>IF(AND('Ações'!AV530="sim", 'Ações'!BD530="sim"), 1, 0)
</f>
        <v>0</v>
      </c>
      <c r="X521" s="319">
        <f>IF(AND('Ações'!AV530="sim", 'Ações'!BE530="sim"), 1, 0)
</f>
        <v>0</v>
      </c>
      <c r="Y521" s="319">
        <f>IF(AND('Ações'!AV530="sim", 'Ações'!BF530="sim"), 1, 0)
</f>
        <v>0</v>
      </c>
      <c r="Z521" s="319">
        <f>IF(AND('Ações'!AV530="sim", 'Ações'!BH530="sim"), 1, 0)
</f>
        <v>0</v>
      </c>
      <c r="AA521" s="319">
        <f>IF(AND('Ações'!AV530="sim", 'Ações'!BI530="sim"), 1, 0)
</f>
        <v>1</v>
      </c>
      <c r="AB521" s="319">
        <f>IF(AND('Ações'!AW530="sim", 'Ações'!BD530="sim"), 1, 0)
</f>
        <v>0</v>
      </c>
      <c r="AC521" s="319">
        <f>IF(AND('Ações'!AW530="sim", 'Ações'!BE530="sim"), 1, 0)
</f>
        <v>0</v>
      </c>
      <c r="AD521" s="319">
        <f>IF(AND('Ações'!AW530="sim", 'Ações'!BF530="sim"), 1, 0)
</f>
        <v>0</v>
      </c>
      <c r="AE521" s="319">
        <f>IF(AND('Ações'!AW530="sim", 'Ações'!BG530="sim"), 1, 0)
</f>
        <v>0</v>
      </c>
      <c r="AF521" s="319">
        <f>IF(AND('Ações'!AW530="sim", 'Ações'!BI530="sim"), 1, 0)
</f>
        <v>1</v>
      </c>
      <c r="AG521" s="319">
        <f>IF(AND('Ações'!AX530="sim", 'Ações'!BD530="sim"), 1, 0)
</f>
        <v>0</v>
      </c>
      <c r="AH521" s="319">
        <f>IF(AND('Ações'!AX530="sim", 'Ações'!BE530="sim"), 1, 0)
</f>
        <v>0</v>
      </c>
      <c r="AI521" s="319">
        <f>IF(AND('Ações'!AX530="sim", 'Ações'!BF530="sim"), 1, 0)
</f>
        <v>0</v>
      </c>
      <c r="AJ521" s="319">
        <f>IF(AND('Ações'!AX530="sim", 'Ações'!BG530="sim"), 1, 0)
</f>
        <v>0</v>
      </c>
      <c r="AK521" s="319">
        <f>IF(AND('Ações'!AX530="sim", 'Ações'!BH530="sim"), 1, 0)
</f>
        <v>0</v>
      </c>
    </row>
    <row r="522">
      <c r="B522" s="319">
        <f>IF(AND('Ações'!AS531="sim", 'Ações'!BD531="sim"), 1, 0)
</f>
        <v>0</v>
      </c>
      <c r="C522" s="319">
        <f>IF(AND('Ações'!AT531="sim", 'Ações'!BE531="sim"), 1, 0)
</f>
        <v>0</v>
      </c>
      <c r="D522" s="319">
        <f>IF(AND('Ações'!AU531="sim", 'Ações'!BF531="sim"), 1, 0)
</f>
        <v>0</v>
      </c>
      <c r="E522" s="319">
        <f>IF(AND('Ações'!AV531="sim", 'Ações'!BG531="sim"), 1, 0)
</f>
        <v>0</v>
      </c>
      <c r="F522" s="319">
        <f>IF(AND('Ações'!AW531="sim", 'Ações'!BH531="sim"), 1, 0)
</f>
        <v>0</v>
      </c>
      <c r="G522" s="319">
        <f>IF(AND('Ações'!AX531="sim", 'Ações'!BI531="sim"), 1, 0)
</f>
        <v>1</v>
      </c>
      <c r="H522" s="319">
        <f>IF(AND('Ações'!AS531="sim", 'Ações'!BE531="sim"), 1, 0)
</f>
        <v>0</v>
      </c>
      <c r="I522" s="319">
        <f>IF(AND('Ações'!AS531="sim", 'Ações'!BF531="sim"), 1, 0)
</f>
        <v>0</v>
      </c>
      <c r="J522" s="319">
        <f>IF(AND('Ações'!AS531="sim", 'Ações'!BG531="sim"), 1, 0)
</f>
        <v>0</v>
      </c>
      <c r="K522" s="319">
        <f>IF(AND('Ações'!AS531="sim", 'Ações'!BH531="sim"), 1, 0)
</f>
        <v>0</v>
      </c>
      <c r="L522" s="319">
        <f>IF(AND('Ações'!AS531="sim", 'Ações'!BI531="sim"), 1, 0)
</f>
        <v>1</v>
      </c>
      <c r="M522" s="319">
        <f>IF(AND('Ações'!AT531="sim", 'Ações'!BD531="sim"), 1, 0)
</f>
        <v>0</v>
      </c>
      <c r="N522" s="319">
        <f>IF(AND('Ações'!AT531="sim", 'Ações'!BF531="sim"), 1, 0)
</f>
        <v>0</v>
      </c>
      <c r="O522" s="319">
        <f>IF(AND('Ações'!AT531="sim", 'Ações'!BG531="sim"), 1, 0)
</f>
        <v>0</v>
      </c>
      <c r="P522" s="319">
        <f>IF(AND('Ações'!AT531="sim", 'Ações'!BH531="sim"), 1, 0)
</f>
        <v>0</v>
      </c>
      <c r="Q522" s="319">
        <f>IF(AND('Ações'!AT531="sim", 'Ações'!BI531="sim"), 1, 0)
</f>
        <v>1</v>
      </c>
      <c r="R522" s="319">
        <f>IF(AND('Ações'!AU531="sim", 'Ações'!BD531="sim"), 1, 0)
</f>
        <v>0</v>
      </c>
      <c r="S522" s="319">
        <f>IF(AND('Ações'!AU531="sim", 'Ações'!BE531="sim"), 1, 0)
</f>
        <v>0</v>
      </c>
      <c r="T522" s="319">
        <f>IF(AND('Ações'!AU531="sim", 'Ações'!BG531="sim"), 1, 0)
</f>
        <v>0</v>
      </c>
      <c r="U522" s="319">
        <f>IF(AND('Ações'!AU531="sim", 'Ações'!BH531="sim"), 1, 0)
</f>
        <v>0</v>
      </c>
      <c r="V522" s="319">
        <f>IF(AND('Ações'!AU531="sim", 'Ações'!BI531="sim"), 1, 0)
</f>
        <v>1</v>
      </c>
      <c r="W522" s="319">
        <f>IF(AND('Ações'!AV531="sim", 'Ações'!BD531="sim"), 1, 0)
</f>
        <v>0</v>
      </c>
      <c r="X522" s="319">
        <f>IF(AND('Ações'!AV531="sim", 'Ações'!BE531="sim"), 1, 0)
</f>
        <v>0</v>
      </c>
      <c r="Y522" s="319">
        <f>IF(AND('Ações'!AV531="sim", 'Ações'!BF531="sim"), 1, 0)
</f>
        <v>0</v>
      </c>
      <c r="Z522" s="319">
        <f>IF(AND('Ações'!AV531="sim", 'Ações'!BH531="sim"), 1, 0)
</f>
        <v>0</v>
      </c>
      <c r="AA522" s="319">
        <f>IF(AND('Ações'!AV531="sim", 'Ações'!BI531="sim"), 1, 0)
</f>
        <v>1</v>
      </c>
      <c r="AB522" s="319">
        <f>IF(AND('Ações'!AW531="sim", 'Ações'!BD531="sim"), 1, 0)
</f>
        <v>0</v>
      </c>
      <c r="AC522" s="319">
        <f>IF(AND('Ações'!AW531="sim", 'Ações'!BE531="sim"), 1, 0)
</f>
        <v>0</v>
      </c>
      <c r="AD522" s="319">
        <f>IF(AND('Ações'!AW531="sim", 'Ações'!BF531="sim"), 1, 0)
</f>
        <v>0</v>
      </c>
      <c r="AE522" s="319">
        <f>IF(AND('Ações'!AW531="sim", 'Ações'!BG531="sim"), 1, 0)
</f>
        <v>0</v>
      </c>
      <c r="AF522" s="319">
        <f>IF(AND('Ações'!AW531="sim", 'Ações'!BI531="sim"), 1, 0)
</f>
        <v>1</v>
      </c>
      <c r="AG522" s="319">
        <f>IF(AND('Ações'!AX531="sim", 'Ações'!BD531="sim"), 1, 0)
</f>
        <v>0</v>
      </c>
      <c r="AH522" s="319">
        <f>IF(AND('Ações'!AX531="sim", 'Ações'!BE531="sim"), 1, 0)
</f>
        <v>0</v>
      </c>
      <c r="AI522" s="319">
        <f>IF(AND('Ações'!AX531="sim", 'Ações'!BF531="sim"), 1, 0)
</f>
        <v>0</v>
      </c>
      <c r="AJ522" s="319">
        <f>IF(AND('Ações'!AX531="sim", 'Ações'!BG531="sim"), 1, 0)
</f>
        <v>0</v>
      </c>
      <c r="AK522" s="319">
        <f>IF(AND('Ações'!AX531="sim", 'Ações'!BH531="sim"), 1, 0)
</f>
        <v>0</v>
      </c>
    </row>
    <row r="523">
      <c r="B523" s="319">
        <f>IF(AND('Ações'!AS532="sim", 'Ações'!BD532="sim"), 1, 0)
</f>
        <v>1</v>
      </c>
      <c r="C523" s="319">
        <f>IF(AND('Ações'!AT532="sim", 'Ações'!BE532="sim"), 1, 0)
</f>
        <v>0</v>
      </c>
      <c r="D523" s="319">
        <f>IF(AND('Ações'!AU532="sim", 'Ações'!BF532="sim"), 1, 0)
</f>
        <v>0</v>
      </c>
      <c r="E523" s="319">
        <f>IF(AND('Ações'!AV532="sim", 'Ações'!BG532="sim"), 1, 0)
</f>
        <v>0</v>
      </c>
      <c r="F523" s="319">
        <f>IF(AND('Ações'!AW532="sim", 'Ações'!BH532="sim"), 1, 0)
</f>
        <v>0</v>
      </c>
      <c r="G523" s="319">
        <f>IF(AND('Ações'!AX532="sim", 'Ações'!BI532="sim"), 1, 0)
</f>
        <v>0</v>
      </c>
      <c r="H523" s="319">
        <f>IF(AND('Ações'!AS532="sim", 'Ações'!BE532="sim"), 1, 0)
</f>
        <v>0</v>
      </c>
      <c r="I523" s="319">
        <f>IF(AND('Ações'!AS532="sim", 'Ações'!BF532="sim"), 1, 0)
</f>
        <v>0</v>
      </c>
      <c r="J523" s="319">
        <f>IF(AND('Ações'!AS532="sim", 'Ações'!BG532="sim"), 1, 0)
</f>
        <v>0</v>
      </c>
      <c r="K523" s="319">
        <f>IF(AND('Ações'!AS532="sim", 'Ações'!BH532="sim"), 1, 0)
</f>
        <v>0</v>
      </c>
      <c r="L523" s="319">
        <f>IF(AND('Ações'!AS532="sim", 'Ações'!BI532="sim"), 1, 0)
</f>
        <v>0</v>
      </c>
      <c r="M523" s="319">
        <f>IF(AND('Ações'!AT532="sim", 'Ações'!BD532="sim"), 1, 0)
</f>
        <v>1</v>
      </c>
      <c r="N523" s="319">
        <f>IF(AND('Ações'!AT532="sim", 'Ações'!BF532="sim"), 1, 0)
</f>
        <v>0</v>
      </c>
      <c r="O523" s="319">
        <f>IF(AND('Ações'!AT532="sim", 'Ações'!BG532="sim"), 1, 0)
</f>
        <v>0</v>
      </c>
      <c r="P523" s="319">
        <f>IF(AND('Ações'!AT532="sim", 'Ações'!BH532="sim"), 1, 0)
</f>
        <v>0</v>
      </c>
      <c r="Q523" s="319">
        <f>IF(AND('Ações'!AT532="sim", 'Ações'!BI532="sim"), 1, 0)
</f>
        <v>0</v>
      </c>
      <c r="R523" s="319">
        <f>IF(AND('Ações'!AU532="sim", 'Ações'!BD532="sim"), 1, 0)
</f>
        <v>1</v>
      </c>
      <c r="S523" s="319">
        <f>IF(AND('Ações'!AU532="sim", 'Ações'!BE532="sim"), 1, 0)
</f>
        <v>0</v>
      </c>
      <c r="T523" s="319">
        <f>IF(AND('Ações'!AU532="sim", 'Ações'!BG532="sim"), 1, 0)
</f>
        <v>0</v>
      </c>
      <c r="U523" s="319">
        <f>IF(AND('Ações'!AU532="sim", 'Ações'!BH532="sim"), 1, 0)
</f>
        <v>0</v>
      </c>
      <c r="V523" s="319">
        <f>IF(AND('Ações'!AU532="sim", 'Ações'!BI532="sim"), 1, 0)
</f>
        <v>0</v>
      </c>
      <c r="W523" s="319">
        <f>IF(AND('Ações'!AV532="sim", 'Ações'!BD532="sim"), 1, 0)
</f>
        <v>1</v>
      </c>
      <c r="X523" s="319">
        <f>IF(AND('Ações'!AV532="sim", 'Ações'!BE532="sim"), 1, 0)
</f>
        <v>0</v>
      </c>
      <c r="Y523" s="319">
        <f>IF(AND('Ações'!AV532="sim", 'Ações'!BF532="sim"), 1, 0)
</f>
        <v>0</v>
      </c>
      <c r="Z523" s="319">
        <f>IF(AND('Ações'!AV532="sim", 'Ações'!BH532="sim"), 1, 0)
</f>
        <v>0</v>
      </c>
      <c r="AA523" s="319">
        <f>IF(AND('Ações'!AV532="sim", 'Ações'!BI532="sim"), 1, 0)
</f>
        <v>0</v>
      </c>
      <c r="AB523" s="319">
        <f>IF(AND('Ações'!AW532="sim", 'Ações'!BD532="sim"), 1, 0)
</f>
        <v>1</v>
      </c>
      <c r="AC523" s="319">
        <f>IF(AND('Ações'!AW532="sim", 'Ações'!BE532="sim"), 1, 0)
</f>
        <v>0</v>
      </c>
      <c r="AD523" s="319">
        <f>IF(AND('Ações'!AW532="sim", 'Ações'!BF532="sim"), 1, 0)
</f>
        <v>0</v>
      </c>
      <c r="AE523" s="319">
        <f>IF(AND('Ações'!AW532="sim", 'Ações'!BG532="sim"), 1, 0)
</f>
        <v>0</v>
      </c>
      <c r="AF523" s="319">
        <f>IF(AND('Ações'!AW532="sim", 'Ações'!BI532="sim"), 1, 0)
</f>
        <v>0</v>
      </c>
      <c r="AG523" s="319">
        <f>IF(AND('Ações'!AX532="sim", 'Ações'!BD532="sim"), 1, 0)
</f>
        <v>1</v>
      </c>
      <c r="AH523" s="319">
        <f>IF(AND('Ações'!AX532="sim", 'Ações'!BE532="sim"), 1, 0)
</f>
        <v>0</v>
      </c>
      <c r="AI523" s="319">
        <f>IF(AND('Ações'!AX532="sim", 'Ações'!BF532="sim"), 1, 0)
</f>
        <v>0</v>
      </c>
      <c r="AJ523" s="319">
        <f>IF(AND('Ações'!AX532="sim", 'Ações'!BG532="sim"), 1, 0)
</f>
        <v>0</v>
      </c>
      <c r="AK523" s="319">
        <f>IF(AND('Ações'!AX532="sim", 'Ações'!BH532="sim"), 1, 0)
</f>
        <v>0</v>
      </c>
    </row>
    <row r="524">
      <c r="B524" s="319">
        <f>IF(AND('Ações'!AS533="sim", 'Ações'!BD533="sim"), 1, 0)
</f>
        <v>0</v>
      </c>
      <c r="C524" s="319">
        <f>IF(AND('Ações'!AT533="sim", 'Ações'!BE533="sim"), 1, 0)
</f>
        <v>0</v>
      </c>
      <c r="D524" s="319">
        <f>IF(AND('Ações'!AU533="sim", 'Ações'!BF533="sim"), 1, 0)
</f>
        <v>0</v>
      </c>
      <c r="E524" s="319">
        <f>IF(AND('Ações'!AV533="sim", 'Ações'!BG533="sim"), 1, 0)
</f>
        <v>0</v>
      </c>
      <c r="F524" s="319">
        <f>IF(AND('Ações'!AW533="sim", 'Ações'!BH533="sim"), 1, 0)
</f>
        <v>0</v>
      </c>
      <c r="G524" s="319">
        <f>IF(AND('Ações'!AX533="sim", 'Ações'!BI533="sim"), 1, 0)
</f>
        <v>1</v>
      </c>
      <c r="H524" s="319">
        <f>IF(AND('Ações'!AS533="sim", 'Ações'!BE533="sim"), 1, 0)
</f>
        <v>0</v>
      </c>
      <c r="I524" s="319">
        <f>IF(AND('Ações'!AS533="sim", 'Ações'!BF533="sim"), 1, 0)
</f>
        <v>0</v>
      </c>
      <c r="J524" s="319">
        <f>IF(AND('Ações'!AS533="sim", 'Ações'!BG533="sim"), 1, 0)
</f>
        <v>0</v>
      </c>
      <c r="K524" s="319">
        <f>IF(AND('Ações'!AS533="sim", 'Ações'!BH533="sim"), 1, 0)
</f>
        <v>0</v>
      </c>
      <c r="L524" s="319">
        <f>IF(AND('Ações'!AS533="sim", 'Ações'!BI533="sim"), 1, 0)
</f>
        <v>1</v>
      </c>
      <c r="M524" s="319">
        <f>IF(AND('Ações'!AT533="sim", 'Ações'!BD533="sim"), 1, 0)
</f>
        <v>0</v>
      </c>
      <c r="N524" s="319">
        <f>IF(AND('Ações'!AT533="sim", 'Ações'!BF533="sim"), 1, 0)
</f>
        <v>0</v>
      </c>
      <c r="O524" s="319">
        <f>IF(AND('Ações'!AT533="sim", 'Ações'!BG533="sim"), 1, 0)
</f>
        <v>0</v>
      </c>
      <c r="P524" s="319">
        <f>IF(AND('Ações'!AT533="sim", 'Ações'!BH533="sim"), 1, 0)
</f>
        <v>0</v>
      </c>
      <c r="Q524" s="319">
        <f>IF(AND('Ações'!AT533="sim", 'Ações'!BI533="sim"), 1, 0)
</f>
        <v>1</v>
      </c>
      <c r="R524" s="319">
        <f>IF(AND('Ações'!AU533="sim", 'Ações'!BD533="sim"), 1, 0)
</f>
        <v>0</v>
      </c>
      <c r="S524" s="319">
        <f>IF(AND('Ações'!AU533="sim", 'Ações'!BE533="sim"), 1, 0)
</f>
        <v>0</v>
      </c>
      <c r="T524" s="319">
        <f>IF(AND('Ações'!AU533="sim", 'Ações'!BG533="sim"), 1, 0)
</f>
        <v>0</v>
      </c>
      <c r="U524" s="319">
        <f>IF(AND('Ações'!AU533="sim", 'Ações'!BH533="sim"), 1, 0)
</f>
        <v>0</v>
      </c>
      <c r="V524" s="319">
        <f>IF(AND('Ações'!AU533="sim", 'Ações'!BI533="sim"), 1, 0)
</f>
        <v>1</v>
      </c>
      <c r="W524" s="319">
        <f>IF(AND('Ações'!AV533="sim", 'Ações'!BD533="sim"), 1, 0)
</f>
        <v>0</v>
      </c>
      <c r="X524" s="319">
        <f>IF(AND('Ações'!AV533="sim", 'Ações'!BE533="sim"), 1, 0)
</f>
        <v>0</v>
      </c>
      <c r="Y524" s="319">
        <f>IF(AND('Ações'!AV533="sim", 'Ações'!BF533="sim"), 1, 0)
</f>
        <v>0</v>
      </c>
      <c r="Z524" s="319">
        <f>IF(AND('Ações'!AV533="sim", 'Ações'!BH533="sim"), 1, 0)
</f>
        <v>0</v>
      </c>
      <c r="AA524" s="319">
        <f>IF(AND('Ações'!AV533="sim", 'Ações'!BI533="sim"), 1, 0)
</f>
        <v>1</v>
      </c>
      <c r="AB524" s="319">
        <f>IF(AND('Ações'!AW533="sim", 'Ações'!BD533="sim"), 1, 0)
</f>
        <v>0</v>
      </c>
      <c r="AC524" s="319">
        <f>IF(AND('Ações'!AW533="sim", 'Ações'!BE533="sim"), 1, 0)
</f>
        <v>0</v>
      </c>
      <c r="AD524" s="319">
        <f>IF(AND('Ações'!AW533="sim", 'Ações'!BF533="sim"), 1, 0)
</f>
        <v>0</v>
      </c>
      <c r="AE524" s="319">
        <f>IF(AND('Ações'!AW533="sim", 'Ações'!BG533="sim"), 1, 0)
</f>
        <v>0</v>
      </c>
      <c r="AF524" s="319">
        <f>IF(AND('Ações'!AW533="sim", 'Ações'!BI533="sim"), 1, 0)
</f>
        <v>1</v>
      </c>
      <c r="AG524" s="319">
        <f>IF(AND('Ações'!AX533="sim", 'Ações'!BD533="sim"), 1, 0)
</f>
        <v>0</v>
      </c>
      <c r="AH524" s="319">
        <f>IF(AND('Ações'!AX533="sim", 'Ações'!BE533="sim"), 1, 0)
</f>
        <v>0</v>
      </c>
      <c r="AI524" s="319">
        <f>IF(AND('Ações'!AX533="sim", 'Ações'!BF533="sim"), 1, 0)
</f>
        <v>0</v>
      </c>
      <c r="AJ524" s="319">
        <f>IF(AND('Ações'!AX533="sim", 'Ações'!BG533="sim"), 1, 0)
</f>
        <v>0</v>
      </c>
      <c r="AK524" s="319">
        <f>IF(AND('Ações'!AX533="sim", 'Ações'!BH533="sim"), 1, 0)
</f>
        <v>0</v>
      </c>
    </row>
    <row r="525">
      <c r="B525" s="319">
        <f>IF(AND('Ações'!AS534="sim", 'Ações'!BD534="sim"), 1, 0)
</f>
        <v>1</v>
      </c>
      <c r="C525" s="319">
        <f>IF(AND('Ações'!AT534="sim", 'Ações'!BE534="sim"), 1, 0)
</f>
        <v>0</v>
      </c>
      <c r="D525" s="319">
        <f>IF(AND('Ações'!AU534="sim", 'Ações'!BF534="sim"), 1, 0)
</f>
        <v>0</v>
      </c>
      <c r="E525" s="319">
        <f>IF(AND('Ações'!AV534="sim", 'Ações'!BG534="sim"), 1, 0)
</f>
        <v>0</v>
      </c>
      <c r="F525" s="319">
        <f>IF(AND('Ações'!AW534="sim", 'Ações'!BH534="sim"), 1, 0)
</f>
        <v>0</v>
      </c>
      <c r="G525" s="319">
        <f>IF(AND('Ações'!AX534="sim", 'Ações'!BI534="sim"), 1, 0)
</f>
        <v>0</v>
      </c>
      <c r="H525" s="319">
        <f>IF(AND('Ações'!AS534="sim", 'Ações'!BE534="sim"), 1, 0)
</f>
        <v>0</v>
      </c>
      <c r="I525" s="319">
        <f>IF(AND('Ações'!AS534="sim", 'Ações'!BF534="sim"), 1, 0)
</f>
        <v>0</v>
      </c>
      <c r="J525" s="319">
        <f>IF(AND('Ações'!AS534="sim", 'Ações'!BG534="sim"), 1, 0)
</f>
        <v>0</v>
      </c>
      <c r="K525" s="319">
        <f>IF(AND('Ações'!AS534="sim", 'Ações'!BH534="sim"), 1, 0)
</f>
        <v>0</v>
      </c>
      <c r="L525" s="319">
        <f>IF(AND('Ações'!AS534="sim", 'Ações'!BI534="sim"), 1, 0)
</f>
        <v>0</v>
      </c>
      <c r="M525" s="319">
        <f>IF(AND('Ações'!AT534="sim", 'Ações'!BD534="sim"), 1, 0)
</f>
        <v>1</v>
      </c>
      <c r="N525" s="319">
        <f>IF(AND('Ações'!AT534="sim", 'Ações'!BF534="sim"), 1, 0)
</f>
        <v>0</v>
      </c>
      <c r="O525" s="319">
        <f>IF(AND('Ações'!AT534="sim", 'Ações'!BG534="sim"), 1, 0)
</f>
        <v>0</v>
      </c>
      <c r="P525" s="319">
        <f>IF(AND('Ações'!AT534="sim", 'Ações'!BH534="sim"), 1, 0)
</f>
        <v>0</v>
      </c>
      <c r="Q525" s="319">
        <f>IF(AND('Ações'!AT534="sim", 'Ações'!BI534="sim"), 1, 0)
</f>
        <v>0</v>
      </c>
      <c r="R525" s="319">
        <f>IF(AND('Ações'!AU534="sim", 'Ações'!BD534="sim"), 1, 0)
</f>
        <v>1</v>
      </c>
      <c r="S525" s="319">
        <f>IF(AND('Ações'!AU534="sim", 'Ações'!BE534="sim"), 1, 0)
</f>
        <v>0</v>
      </c>
      <c r="T525" s="319">
        <f>IF(AND('Ações'!AU534="sim", 'Ações'!BG534="sim"), 1, 0)
</f>
        <v>0</v>
      </c>
      <c r="U525" s="319">
        <f>IF(AND('Ações'!AU534="sim", 'Ações'!BH534="sim"), 1, 0)
</f>
        <v>0</v>
      </c>
      <c r="V525" s="319">
        <f>IF(AND('Ações'!AU534="sim", 'Ações'!BI534="sim"), 1, 0)
</f>
        <v>0</v>
      </c>
      <c r="W525" s="319">
        <f>IF(AND('Ações'!AV534="sim", 'Ações'!BD534="sim"), 1, 0)
</f>
        <v>1</v>
      </c>
      <c r="X525" s="319">
        <f>IF(AND('Ações'!AV534="sim", 'Ações'!BE534="sim"), 1, 0)
</f>
        <v>0</v>
      </c>
      <c r="Y525" s="319">
        <f>IF(AND('Ações'!AV534="sim", 'Ações'!BF534="sim"), 1, 0)
</f>
        <v>0</v>
      </c>
      <c r="Z525" s="319">
        <f>IF(AND('Ações'!AV534="sim", 'Ações'!BH534="sim"), 1, 0)
</f>
        <v>0</v>
      </c>
      <c r="AA525" s="319">
        <f>IF(AND('Ações'!AV534="sim", 'Ações'!BI534="sim"), 1, 0)
</f>
        <v>0</v>
      </c>
      <c r="AB525" s="319">
        <f>IF(AND('Ações'!AW534="sim", 'Ações'!BD534="sim"), 1, 0)
</f>
        <v>1</v>
      </c>
      <c r="AC525" s="319">
        <f>IF(AND('Ações'!AW534="sim", 'Ações'!BE534="sim"), 1, 0)
</f>
        <v>0</v>
      </c>
      <c r="AD525" s="319">
        <f>IF(AND('Ações'!AW534="sim", 'Ações'!BF534="sim"), 1, 0)
</f>
        <v>0</v>
      </c>
      <c r="AE525" s="319">
        <f>IF(AND('Ações'!AW534="sim", 'Ações'!BG534="sim"), 1, 0)
</f>
        <v>0</v>
      </c>
      <c r="AF525" s="319">
        <f>IF(AND('Ações'!AW534="sim", 'Ações'!BI534="sim"), 1, 0)
</f>
        <v>0</v>
      </c>
      <c r="AG525" s="319">
        <f>IF(AND('Ações'!AX534="sim", 'Ações'!BD534="sim"), 1, 0)
</f>
        <v>1</v>
      </c>
      <c r="AH525" s="319">
        <f>IF(AND('Ações'!AX534="sim", 'Ações'!BE534="sim"), 1, 0)
</f>
        <v>0</v>
      </c>
      <c r="AI525" s="319">
        <f>IF(AND('Ações'!AX534="sim", 'Ações'!BF534="sim"), 1, 0)
</f>
        <v>0</v>
      </c>
      <c r="AJ525" s="319">
        <f>IF(AND('Ações'!AX534="sim", 'Ações'!BG534="sim"), 1, 0)
</f>
        <v>0</v>
      </c>
      <c r="AK525" s="319">
        <f>IF(AND('Ações'!AX534="sim", 'Ações'!BH534="sim"), 1, 0)
</f>
        <v>0</v>
      </c>
    </row>
    <row r="526">
      <c r="B526" s="319">
        <f>IF(AND('Ações'!AS535="sim", 'Ações'!BD535="sim"), 1, 0)
</f>
        <v>1</v>
      </c>
      <c r="C526" s="319">
        <f>IF(AND('Ações'!AT535="sim", 'Ações'!BE535="sim"), 1, 0)
</f>
        <v>0</v>
      </c>
      <c r="D526" s="319">
        <f>IF(AND('Ações'!AU535="sim", 'Ações'!BF535="sim"), 1, 0)
</f>
        <v>0</v>
      </c>
      <c r="E526" s="319">
        <f>IF(AND('Ações'!AV535="sim", 'Ações'!BG535="sim"), 1, 0)
</f>
        <v>0</v>
      </c>
      <c r="F526" s="319">
        <f>IF(AND('Ações'!AW535="sim", 'Ações'!BH535="sim"), 1, 0)
</f>
        <v>0</v>
      </c>
      <c r="G526" s="319">
        <f>IF(AND('Ações'!AX535="sim", 'Ações'!BI535="sim"), 1, 0)
</f>
        <v>0</v>
      </c>
      <c r="H526" s="319">
        <f>IF(AND('Ações'!AS535="sim", 'Ações'!BE535="sim"), 1, 0)
</f>
        <v>0</v>
      </c>
      <c r="I526" s="319">
        <f>IF(AND('Ações'!AS535="sim", 'Ações'!BF535="sim"), 1, 0)
</f>
        <v>0</v>
      </c>
      <c r="J526" s="319">
        <f>IF(AND('Ações'!AS535="sim", 'Ações'!BG535="sim"), 1, 0)
</f>
        <v>0</v>
      </c>
      <c r="K526" s="319">
        <f>IF(AND('Ações'!AS535="sim", 'Ações'!BH535="sim"), 1, 0)
</f>
        <v>0</v>
      </c>
      <c r="L526" s="319">
        <f>IF(AND('Ações'!AS535="sim", 'Ações'!BI535="sim"), 1, 0)
</f>
        <v>0</v>
      </c>
      <c r="M526" s="319">
        <f>IF(AND('Ações'!AT535="sim", 'Ações'!BD535="sim"), 1, 0)
</f>
        <v>1</v>
      </c>
      <c r="N526" s="319">
        <f>IF(AND('Ações'!AT535="sim", 'Ações'!BF535="sim"), 1, 0)
</f>
        <v>0</v>
      </c>
      <c r="O526" s="319">
        <f>IF(AND('Ações'!AT535="sim", 'Ações'!BG535="sim"), 1, 0)
</f>
        <v>0</v>
      </c>
      <c r="P526" s="319">
        <f>IF(AND('Ações'!AT535="sim", 'Ações'!BH535="sim"), 1, 0)
</f>
        <v>0</v>
      </c>
      <c r="Q526" s="319">
        <f>IF(AND('Ações'!AT535="sim", 'Ações'!BI535="sim"), 1, 0)
</f>
        <v>0</v>
      </c>
      <c r="R526" s="319">
        <f>IF(AND('Ações'!AU535="sim", 'Ações'!BD535="sim"), 1, 0)
</f>
        <v>1</v>
      </c>
      <c r="S526" s="319">
        <f>IF(AND('Ações'!AU535="sim", 'Ações'!BE535="sim"), 1, 0)
</f>
        <v>0</v>
      </c>
      <c r="T526" s="319">
        <f>IF(AND('Ações'!AU535="sim", 'Ações'!BG535="sim"), 1, 0)
</f>
        <v>0</v>
      </c>
      <c r="U526" s="319">
        <f>IF(AND('Ações'!AU535="sim", 'Ações'!BH535="sim"), 1, 0)
</f>
        <v>0</v>
      </c>
      <c r="V526" s="319">
        <f>IF(AND('Ações'!AU535="sim", 'Ações'!BI535="sim"), 1, 0)
</f>
        <v>0</v>
      </c>
      <c r="W526" s="319">
        <f>IF(AND('Ações'!AV535="sim", 'Ações'!BD535="sim"), 1, 0)
</f>
        <v>1</v>
      </c>
      <c r="X526" s="319">
        <f>IF(AND('Ações'!AV535="sim", 'Ações'!BE535="sim"), 1, 0)
</f>
        <v>0</v>
      </c>
      <c r="Y526" s="319">
        <f>IF(AND('Ações'!AV535="sim", 'Ações'!BF535="sim"), 1, 0)
</f>
        <v>0</v>
      </c>
      <c r="Z526" s="319">
        <f>IF(AND('Ações'!AV535="sim", 'Ações'!BH535="sim"), 1, 0)
</f>
        <v>0</v>
      </c>
      <c r="AA526" s="319">
        <f>IF(AND('Ações'!AV535="sim", 'Ações'!BI535="sim"), 1, 0)
</f>
        <v>0</v>
      </c>
      <c r="AB526" s="319">
        <f>IF(AND('Ações'!AW535="sim", 'Ações'!BD535="sim"), 1, 0)
</f>
        <v>1</v>
      </c>
      <c r="AC526" s="319">
        <f>IF(AND('Ações'!AW535="sim", 'Ações'!BE535="sim"), 1, 0)
</f>
        <v>0</v>
      </c>
      <c r="AD526" s="319">
        <f>IF(AND('Ações'!AW535="sim", 'Ações'!BF535="sim"), 1, 0)
</f>
        <v>0</v>
      </c>
      <c r="AE526" s="319">
        <f>IF(AND('Ações'!AW535="sim", 'Ações'!BG535="sim"), 1, 0)
</f>
        <v>0</v>
      </c>
      <c r="AF526" s="319">
        <f>IF(AND('Ações'!AW535="sim", 'Ações'!BI535="sim"), 1, 0)
</f>
        <v>0</v>
      </c>
      <c r="AG526" s="319">
        <f>IF(AND('Ações'!AX535="sim", 'Ações'!BD535="sim"), 1, 0)
</f>
        <v>1</v>
      </c>
      <c r="AH526" s="319">
        <f>IF(AND('Ações'!AX535="sim", 'Ações'!BE535="sim"), 1, 0)
</f>
        <v>0</v>
      </c>
      <c r="AI526" s="319">
        <f>IF(AND('Ações'!AX535="sim", 'Ações'!BF535="sim"), 1, 0)
</f>
        <v>0</v>
      </c>
      <c r="AJ526" s="319">
        <f>IF(AND('Ações'!AX535="sim", 'Ações'!BG535="sim"), 1, 0)
</f>
        <v>0</v>
      </c>
      <c r="AK526" s="319">
        <f>IF(AND('Ações'!AX535="sim", 'Ações'!BH535="sim"), 1, 0)
</f>
        <v>0</v>
      </c>
    </row>
    <row r="527">
      <c r="B527" s="319">
        <f>IF(AND('Ações'!AS536="sim", 'Ações'!BD536="sim"), 1, 0)
</f>
        <v>0</v>
      </c>
      <c r="C527" s="319">
        <f>IF(AND('Ações'!AT536="sim", 'Ações'!BE536="sim"), 1, 0)
</f>
        <v>0</v>
      </c>
      <c r="D527" s="319">
        <f>IF(AND('Ações'!AU536="sim", 'Ações'!BF536="sim"), 1, 0)
</f>
        <v>0</v>
      </c>
      <c r="E527" s="319">
        <f>IF(AND('Ações'!AV536="sim", 'Ações'!BG536="sim"), 1, 0)
</f>
        <v>0</v>
      </c>
      <c r="F527" s="319">
        <f>IF(AND('Ações'!AW536="sim", 'Ações'!BH536="sim"), 1, 0)
</f>
        <v>0</v>
      </c>
      <c r="G527" s="319">
        <f>IF(AND('Ações'!AX536="sim", 'Ações'!BI536="sim"), 1, 0)
</f>
        <v>1</v>
      </c>
      <c r="H527" s="319">
        <f>IF(AND('Ações'!AS536="sim", 'Ações'!BE536="sim"), 1, 0)
</f>
        <v>0</v>
      </c>
      <c r="I527" s="319">
        <f>IF(AND('Ações'!AS536="sim", 'Ações'!BF536="sim"), 1, 0)
</f>
        <v>0</v>
      </c>
      <c r="J527" s="319">
        <f>IF(AND('Ações'!AS536="sim", 'Ações'!BG536="sim"), 1, 0)
</f>
        <v>0</v>
      </c>
      <c r="K527" s="319">
        <f>IF(AND('Ações'!AS536="sim", 'Ações'!BH536="sim"), 1, 0)
</f>
        <v>0</v>
      </c>
      <c r="L527" s="319">
        <f>IF(AND('Ações'!AS536="sim", 'Ações'!BI536="sim"), 1, 0)
</f>
        <v>0</v>
      </c>
      <c r="M527" s="319">
        <f>IF(AND('Ações'!AT536="sim", 'Ações'!BD536="sim"), 1, 0)
</f>
        <v>0</v>
      </c>
      <c r="N527" s="319">
        <f>IF(AND('Ações'!AT536="sim", 'Ações'!BF536="sim"), 1, 0)
</f>
        <v>0</v>
      </c>
      <c r="O527" s="319">
        <f>IF(AND('Ações'!AT536="sim", 'Ações'!BG536="sim"), 1, 0)
</f>
        <v>0</v>
      </c>
      <c r="P527" s="319">
        <f>IF(AND('Ações'!AT536="sim", 'Ações'!BH536="sim"), 1, 0)
</f>
        <v>0</v>
      </c>
      <c r="Q527" s="319">
        <f>IF(AND('Ações'!AT536="sim", 'Ações'!BI536="sim"), 1, 0)
</f>
        <v>0</v>
      </c>
      <c r="R527" s="319">
        <f>IF(AND('Ações'!AU536="sim", 'Ações'!BD536="sim"), 1, 0)
</f>
        <v>0</v>
      </c>
      <c r="S527" s="319">
        <f>IF(AND('Ações'!AU536="sim", 'Ações'!BE536="sim"), 1, 0)
</f>
        <v>0</v>
      </c>
      <c r="T527" s="319">
        <f>IF(AND('Ações'!AU536="sim", 'Ações'!BG536="sim"), 1, 0)
</f>
        <v>0</v>
      </c>
      <c r="U527" s="319">
        <f>IF(AND('Ações'!AU536="sim", 'Ações'!BH536="sim"), 1, 0)
</f>
        <v>0</v>
      </c>
      <c r="V527" s="319">
        <f>IF(AND('Ações'!AU536="sim", 'Ações'!BI536="sim"), 1, 0)
</f>
        <v>1</v>
      </c>
      <c r="W527" s="319">
        <f>IF(AND('Ações'!AV536="sim", 'Ações'!BD536="sim"), 1, 0)
</f>
        <v>0</v>
      </c>
      <c r="X527" s="319">
        <f>IF(AND('Ações'!AV536="sim", 'Ações'!BE536="sim"), 1, 0)
</f>
        <v>0</v>
      </c>
      <c r="Y527" s="319">
        <f>IF(AND('Ações'!AV536="sim", 'Ações'!BF536="sim"), 1, 0)
</f>
        <v>0</v>
      </c>
      <c r="Z527" s="319">
        <f>IF(AND('Ações'!AV536="sim", 'Ações'!BH536="sim"), 1, 0)
</f>
        <v>0</v>
      </c>
      <c r="AA527" s="319">
        <f>IF(AND('Ações'!AV536="sim", 'Ações'!BI536="sim"), 1, 0)
</f>
        <v>1</v>
      </c>
      <c r="AB527" s="319">
        <f>IF(AND('Ações'!AW536="sim", 'Ações'!BD536="sim"), 1, 0)
</f>
        <v>0</v>
      </c>
      <c r="AC527" s="319">
        <f>IF(AND('Ações'!AW536="sim", 'Ações'!BE536="sim"), 1, 0)
</f>
        <v>0</v>
      </c>
      <c r="AD527" s="319">
        <f>IF(AND('Ações'!AW536="sim", 'Ações'!BF536="sim"), 1, 0)
</f>
        <v>0</v>
      </c>
      <c r="AE527" s="319">
        <f>IF(AND('Ações'!AW536="sim", 'Ações'!BG536="sim"), 1, 0)
</f>
        <v>0</v>
      </c>
      <c r="AF527" s="319">
        <f>IF(AND('Ações'!AW536="sim", 'Ações'!BI536="sim"), 1, 0)
</f>
        <v>1</v>
      </c>
      <c r="AG527" s="319">
        <f>IF(AND('Ações'!AX536="sim", 'Ações'!BD536="sim"), 1, 0)
</f>
        <v>0</v>
      </c>
      <c r="AH527" s="319">
        <f>IF(AND('Ações'!AX536="sim", 'Ações'!BE536="sim"), 1, 0)
</f>
        <v>0</v>
      </c>
      <c r="AI527" s="319">
        <f>IF(AND('Ações'!AX536="sim", 'Ações'!BF536="sim"), 1, 0)
</f>
        <v>0</v>
      </c>
      <c r="AJ527" s="319">
        <f>IF(AND('Ações'!AX536="sim", 'Ações'!BG536="sim"), 1, 0)
</f>
        <v>0</v>
      </c>
      <c r="AK527" s="319">
        <f>IF(AND('Ações'!AX536="sim", 'Ações'!BH536="sim"), 1, 0)
</f>
        <v>0</v>
      </c>
    </row>
    <row r="528">
      <c r="B528" s="319">
        <f>IF(AND('Ações'!AS537="sim", 'Ações'!BD537="sim"), 1, 0)
</f>
        <v>0</v>
      </c>
      <c r="C528" s="319">
        <f>IF(AND('Ações'!AT537="sim", 'Ações'!BE537="sim"), 1, 0)
</f>
        <v>0</v>
      </c>
      <c r="D528" s="319">
        <f>IF(AND('Ações'!AU537="sim", 'Ações'!BF537="sim"), 1, 0)
</f>
        <v>0</v>
      </c>
      <c r="E528" s="319">
        <f>IF(AND('Ações'!AV537="sim", 'Ações'!BG537="sim"), 1, 0)
</f>
        <v>0</v>
      </c>
      <c r="F528" s="319">
        <f>IF(AND('Ações'!AW537="sim", 'Ações'!BH537="sim"), 1, 0)
</f>
        <v>0</v>
      </c>
      <c r="G528" s="319">
        <f>IF(AND('Ações'!AX537="sim", 'Ações'!BI537="sim"), 1, 0)
</f>
        <v>1</v>
      </c>
      <c r="H528" s="319">
        <f>IF(AND('Ações'!AS537="sim", 'Ações'!BE537="sim"), 1, 0)
</f>
        <v>0</v>
      </c>
      <c r="I528" s="319">
        <f>IF(AND('Ações'!AS537="sim", 'Ações'!BF537="sim"), 1, 0)
</f>
        <v>0</v>
      </c>
      <c r="J528" s="319">
        <f>IF(AND('Ações'!AS537="sim", 'Ações'!BG537="sim"), 1, 0)
</f>
        <v>0</v>
      </c>
      <c r="K528" s="319">
        <f>IF(AND('Ações'!AS537="sim", 'Ações'!BH537="sim"), 1, 0)
</f>
        <v>0</v>
      </c>
      <c r="L528" s="319">
        <f>IF(AND('Ações'!AS537="sim", 'Ações'!BI537="sim"), 1, 0)
</f>
        <v>0</v>
      </c>
      <c r="M528" s="319">
        <f>IF(AND('Ações'!AT537="sim", 'Ações'!BD537="sim"), 1, 0)
</f>
        <v>0</v>
      </c>
      <c r="N528" s="319">
        <f>IF(AND('Ações'!AT537="sim", 'Ações'!BF537="sim"), 1, 0)
</f>
        <v>0</v>
      </c>
      <c r="O528" s="319">
        <f>IF(AND('Ações'!AT537="sim", 'Ações'!BG537="sim"), 1, 0)
</f>
        <v>0</v>
      </c>
      <c r="P528" s="319">
        <f>IF(AND('Ações'!AT537="sim", 'Ações'!BH537="sim"), 1, 0)
</f>
        <v>0</v>
      </c>
      <c r="Q528" s="319">
        <f>IF(AND('Ações'!AT537="sim", 'Ações'!BI537="sim"), 1, 0)
</f>
        <v>0</v>
      </c>
      <c r="R528" s="319">
        <f>IF(AND('Ações'!AU537="sim", 'Ações'!BD537="sim"), 1, 0)
</f>
        <v>0</v>
      </c>
      <c r="S528" s="319">
        <f>IF(AND('Ações'!AU537="sim", 'Ações'!BE537="sim"), 1, 0)
</f>
        <v>0</v>
      </c>
      <c r="T528" s="319">
        <f>IF(AND('Ações'!AU537="sim", 'Ações'!BG537="sim"), 1, 0)
</f>
        <v>0</v>
      </c>
      <c r="U528" s="319">
        <f>IF(AND('Ações'!AU537="sim", 'Ações'!BH537="sim"), 1, 0)
</f>
        <v>0</v>
      </c>
      <c r="V528" s="319">
        <f>IF(AND('Ações'!AU537="sim", 'Ações'!BI537="sim"), 1, 0)
</f>
        <v>1</v>
      </c>
      <c r="W528" s="319">
        <f>IF(AND('Ações'!AV537="sim", 'Ações'!BD537="sim"), 1, 0)
</f>
        <v>0</v>
      </c>
      <c r="X528" s="319">
        <f>IF(AND('Ações'!AV537="sim", 'Ações'!BE537="sim"), 1, 0)
</f>
        <v>0</v>
      </c>
      <c r="Y528" s="319">
        <f>IF(AND('Ações'!AV537="sim", 'Ações'!BF537="sim"), 1, 0)
</f>
        <v>0</v>
      </c>
      <c r="Z528" s="319">
        <f>IF(AND('Ações'!AV537="sim", 'Ações'!BH537="sim"), 1, 0)
</f>
        <v>0</v>
      </c>
      <c r="AA528" s="319">
        <f>IF(AND('Ações'!AV537="sim", 'Ações'!BI537="sim"), 1, 0)
</f>
        <v>1</v>
      </c>
      <c r="AB528" s="319">
        <f>IF(AND('Ações'!AW537="sim", 'Ações'!BD537="sim"), 1, 0)
</f>
        <v>0</v>
      </c>
      <c r="AC528" s="319">
        <f>IF(AND('Ações'!AW537="sim", 'Ações'!BE537="sim"), 1, 0)
</f>
        <v>0</v>
      </c>
      <c r="AD528" s="319">
        <f>IF(AND('Ações'!AW537="sim", 'Ações'!BF537="sim"), 1, 0)
</f>
        <v>0</v>
      </c>
      <c r="AE528" s="319">
        <f>IF(AND('Ações'!AW537="sim", 'Ações'!BG537="sim"), 1, 0)
</f>
        <v>0</v>
      </c>
      <c r="AF528" s="319">
        <f>IF(AND('Ações'!AW537="sim", 'Ações'!BI537="sim"), 1, 0)
</f>
        <v>1</v>
      </c>
      <c r="AG528" s="319">
        <f>IF(AND('Ações'!AX537="sim", 'Ações'!BD537="sim"), 1, 0)
</f>
        <v>0</v>
      </c>
      <c r="AH528" s="319">
        <f>IF(AND('Ações'!AX537="sim", 'Ações'!BE537="sim"), 1, 0)
</f>
        <v>0</v>
      </c>
      <c r="AI528" s="319">
        <f>IF(AND('Ações'!AX537="sim", 'Ações'!BF537="sim"), 1, 0)
</f>
        <v>0</v>
      </c>
      <c r="AJ528" s="319">
        <f>IF(AND('Ações'!AX537="sim", 'Ações'!BG537="sim"), 1, 0)
</f>
        <v>0</v>
      </c>
      <c r="AK528" s="319">
        <f>IF(AND('Ações'!AX537="sim", 'Ações'!BH537="sim"), 1, 0)
</f>
        <v>0</v>
      </c>
    </row>
    <row r="529">
      <c r="B529" s="319">
        <f>IF(AND('Ações'!AS538="sim", 'Ações'!BD538="sim"), 1, 0)
</f>
        <v>0</v>
      </c>
      <c r="C529" s="319">
        <f>IF(AND('Ações'!AT538="sim", 'Ações'!BE538="sim"), 1, 0)
</f>
        <v>0</v>
      </c>
      <c r="D529" s="319">
        <f>IF(AND('Ações'!AU538="sim", 'Ações'!BF538="sim"), 1, 0)
</f>
        <v>0</v>
      </c>
      <c r="E529" s="319">
        <f>IF(AND('Ações'!AV538="sim", 'Ações'!BG538="sim"), 1, 0)
</f>
        <v>0</v>
      </c>
      <c r="F529" s="319">
        <f>IF(AND('Ações'!AW538="sim", 'Ações'!BH538="sim"), 1, 0)
</f>
        <v>0</v>
      </c>
      <c r="G529" s="319">
        <f>IF(AND('Ações'!AX538="sim", 'Ações'!BI538="sim"), 1, 0)
</f>
        <v>1</v>
      </c>
      <c r="H529" s="319">
        <f>IF(AND('Ações'!AS538="sim", 'Ações'!BE538="sim"), 1, 0)
</f>
        <v>0</v>
      </c>
      <c r="I529" s="319">
        <f>IF(AND('Ações'!AS538="sim", 'Ações'!BF538="sim"), 1, 0)
</f>
        <v>0</v>
      </c>
      <c r="J529" s="319">
        <f>IF(AND('Ações'!AS538="sim", 'Ações'!BG538="sim"), 1, 0)
</f>
        <v>0</v>
      </c>
      <c r="K529" s="319">
        <f>IF(AND('Ações'!AS538="sim", 'Ações'!BH538="sim"), 1, 0)
</f>
        <v>0</v>
      </c>
      <c r="L529" s="319">
        <f>IF(AND('Ações'!AS538="sim", 'Ações'!BI538="sim"), 1, 0)
</f>
        <v>0</v>
      </c>
      <c r="M529" s="319">
        <f>IF(AND('Ações'!AT538="sim", 'Ações'!BD538="sim"), 1, 0)
</f>
        <v>0</v>
      </c>
      <c r="N529" s="319">
        <f>IF(AND('Ações'!AT538="sim", 'Ações'!BF538="sim"), 1, 0)
</f>
        <v>0</v>
      </c>
      <c r="O529" s="319">
        <f>IF(AND('Ações'!AT538="sim", 'Ações'!BG538="sim"), 1, 0)
</f>
        <v>0</v>
      </c>
      <c r="P529" s="319">
        <f>IF(AND('Ações'!AT538="sim", 'Ações'!BH538="sim"), 1, 0)
</f>
        <v>0</v>
      </c>
      <c r="Q529" s="319">
        <f>IF(AND('Ações'!AT538="sim", 'Ações'!BI538="sim"), 1, 0)
</f>
        <v>0</v>
      </c>
      <c r="R529" s="319">
        <f>IF(AND('Ações'!AU538="sim", 'Ações'!BD538="sim"), 1, 0)
</f>
        <v>0</v>
      </c>
      <c r="S529" s="319">
        <f>IF(AND('Ações'!AU538="sim", 'Ações'!BE538="sim"), 1, 0)
</f>
        <v>0</v>
      </c>
      <c r="T529" s="319">
        <f>IF(AND('Ações'!AU538="sim", 'Ações'!BG538="sim"), 1, 0)
</f>
        <v>0</v>
      </c>
      <c r="U529" s="319">
        <f>IF(AND('Ações'!AU538="sim", 'Ações'!BH538="sim"), 1, 0)
</f>
        <v>0</v>
      </c>
      <c r="V529" s="319">
        <f>IF(AND('Ações'!AU538="sim", 'Ações'!BI538="sim"), 1, 0)
</f>
        <v>1</v>
      </c>
      <c r="W529" s="319">
        <f>IF(AND('Ações'!AV538="sim", 'Ações'!BD538="sim"), 1, 0)
</f>
        <v>0</v>
      </c>
      <c r="X529" s="319">
        <f>IF(AND('Ações'!AV538="sim", 'Ações'!BE538="sim"), 1, 0)
</f>
        <v>0</v>
      </c>
      <c r="Y529" s="319">
        <f>IF(AND('Ações'!AV538="sim", 'Ações'!BF538="sim"), 1, 0)
</f>
        <v>0</v>
      </c>
      <c r="Z529" s="319">
        <f>IF(AND('Ações'!AV538="sim", 'Ações'!BH538="sim"), 1, 0)
</f>
        <v>0</v>
      </c>
      <c r="AA529" s="319">
        <f>IF(AND('Ações'!AV538="sim", 'Ações'!BI538="sim"), 1, 0)
</f>
        <v>1</v>
      </c>
      <c r="AB529" s="319">
        <f>IF(AND('Ações'!AW538="sim", 'Ações'!BD538="sim"), 1, 0)
</f>
        <v>0</v>
      </c>
      <c r="AC529" s="319">
        <f>IF(AND('Ações'!AW538="sim", 'Ações'!BE538="sim"), 1, 0)
</f>
        <v>0</v>
      </c>
      <c r="AD529" s="319">
        <f>IF(AND('Ações'!AW538="sim", 'Ações'!BF538="sim"), 1, 0)
</f>
        <v>0</v>
      </c>
      <c r="AE529" s="319">
        <f>IF(AND('Ações'!AW538="sim", 'Ações'!BG538="sim"), 1, 0)
</f>
        <v>0</v>
      </c>
      <c r="AF529" s="319">
        <f>IF(AND('Ações'!AW538="sim", 'Ações'!BI538="sim"), 1, 0)
</f>
        <v>1</v>
      </c>
      <c r="AG529" s="319">
        <f>IF(AND('Ações'!AX538="sim", 'Ações'!BD538="sim"), 1, 0)
</f>
        <v>0</v>
      </c>
      <c r="AH529" s="319">
        <f>IF(AND('Ações'!AX538="sim", 'Ações'!BE538="sim"), 1, 0)
</f>
        <v>0</v>
      </c>
      <c r="AI529" s="319">
        <f>IF(AND('Ações'!AX538="sim", 'Ações'!BF538="sim"), 1, 0)
</f>
        <v>0</v>
      </c>
      <c r="AJ529" s="319">
        <f>IF(AND('Ações'!AX538="sim", 'Ações'!BG538="sim"), 1, 0)
</f>
        <v>0</v>
      </c>
      <c r="AK529" s="319">
        <f>IF(AND('Ações'!AX538="sim", 'Ações'!BH538="sim"), 1, 0)
</f>
        <v>0</v>
      </c>
    </row>
    <row r="530">
      <c r="B530" s="319">
        <f>IF(AND('Ações'!AS539="sim", 'Ações'!BD539="sim"), 1, 0)
</f>
        <v>0</v>
      </c>
      <c r="C530" s="319">
        <f>IF(AND('Ações'!AT539="sim", 'Ações'!BE539="sim"), 1, 0)
</f>
        <v>0</v>
      </c>
      <c r="D530" s="319">
        <f>IF(AND('Ações'!AU539="sim", 'Ações'!BF539="sim"), 1, 0)
</f>
        <v>0</v>
      </c>
      <c r="E530" s="319">
        <f>IF(AND('Ações'!AV539="sim", 'Ações'!BG539="sim"), 1, 0)
</f>
        <v>0</v>
      </c>
      <c r="F530" s="319">
        <f>IF(AND('Ações'!AW539="sim", 'Ações'!BH539="sim"), 1, 0)
</f>
        <v>0</v>
      </c>
      <c r="G530" s="319">
        <f>IF(AND('Ações'!AX539="sim", 'Ações'!BI539="sim"), 1, 0)
</f>
        <v>1</v>
      </c>
      <c r="H530" s="319">
        <f>IF(AND('Ações'!AS539="sim", 'Ações'!BE539="sim"), 1, 0)
</f>
        <v>0</v>
      </c>
      <c r="I530" s="319">
        <f>IF(AND('Ações'!AS539="sim", 'Ações'!BF539="sim"), 1, 0)
</f>
        <v>0</v>
      </c>
      <c r="J530" s="319">
        <f>IF(AND('Ações'!AS539="sim", 'Ações'!BG539="sim"), 1, 0)
</f>
        <v>0</v>
      </c>
      <c r="K530" s="319">
        <f>IF(AND('Ações'!AS539="sim", 'Ações'!BH539="sim"), 1, 0)
</f>
        <v>0</v>
      </c>
      <c r="L530" s="319">
        <f>IF(AND('Ações'!AS539="sim", 'Ações'!BI539="sim"), 1, 0)
</f>
        <v>0</v>
      </c>
      <c r="M530" s="319">
        <f>IF(AND('Ações'!AT539="sim", 'Ações'!BD539="sim"), 1, 0)
</f>
        <v>0</v>
      </c>
      <c r="N530" s="319">
        <f>IF(AND('Ações'!AT539="sim", 'Ações'!BF539="sim"), 1, 0)
</f>
        <v>0</v>
      </c>
      <c r="O530" s="319">
        <f>IF(AND('Ações'!AT539="sim", 'Ações'!BG539="sim"), 1, 0)
</f>
        <v>0</v>
      </c>
      <c r="P530" s="319">
        <f>IF(AND('Ações'!AT539="sim", 'Ações'!BH539="sim"), 1, 0)
</f>
        <v>0</v>
      </c>
      <c r="Q530" s="319">
        <f>IF(AND('Ações'!AT539="sim", 'Ações'!BI539="sim"), 1, 0)
</f>
        <v>0</v>
      </c>
      <c r="R530" s="319">
        <f>IF(AND('Ações'!AU539="sim", 'Ações'!BD539="sim"), 1, 0)
</f>
        <v>0</v>
      </c>
      <c r="S530" s="319">
        <f>IF(AND('Ações'!AU539="sim", 'Ações'!BE539="sim"), 1, 0)
</f>
        <v>0</v>
      </c>
      <c r="T530" s="319">
        <f>IF(AND('Ações'!AU539="sim", 'Ações'!BG539="sim"), 1, 0)
</f>
        <v>0</v>
      </c>
      <c r="U530" s="319">
        <f>IF(AND('Ações'!AU539="sim", 'Ações'!BH539="sim"), 1, 0)
</f>
        <v>0</v>
      </c>
      <c r="V530" s="319">
        <f>IF(AND('Ações'!AU539="sim", 'Ações'!BI539="sim"), 1, 0)
</f>
        <v>1</v>
      </c>
      <c r="W530" s="319">
        <f>IF(AND('Ações'!AV539="sim", 'Ações'!BD539="sim"), 1, 0)
</f>
        <v>0</v>
      </c>
      <c r="X530" s="319">
        <f>IF(AND('Ações'!AV539="sim", 'Ações'!BE539="sim"), 1, 0)
</f>
        <v>0</v>
      </c>
      <c r="Y530" s="319">
        <f>IF(AND('Ações'!AV539="sim", 'Ações'!BF539="sim"), 1, 0)
</f>
        <v>0</v>
      </c>
      <c r="Z530" s="319">
        <f>IF(AND('Ações'!AV539="sim", 'Ações'!BH539="sim"), 1, 0)
</f>
        <v>0</v>
      </c>
      <c r="AA530" s="319">
        <f>IF(AND('Ações'!AV539="sim", 'Ações'!BI539="sim"), 1, 0)
</f>
        <v>1</v>
      </c>
      <c r="AB530" s="319">
        <f>IF(AND('Ações'!AW539="sim", 'Ações'!BD539="sim"), 1, 0)
</f>
        <v>0</v>
      </c>
      <c r="AC530" s="319">
        <f>IF(AND('Ações'!AW539="sim", 'Ações'!BE539="sim"), 1, 0)
</f>
        <v>0</v>
      </c>
      <c r="AD530" s="319">
        <f>IF(AND('Ações'!AW539="sim", 'Ações'!BF539="sim"), 1, 0)
</f>
        <v>0</v>
      </c>
      <c r="AE530" s="319">
        <f>IF(AND('Ações'!AW539="sim", 'Ações'!BG539="sim"), 1, 0)
</f>
        <v>0</v>
      </c>
      <c r="AF530" s="319">
        <f>IF(AND('Ações'!AW539="sim", 'Ações'!BI539="sim"), 1, 0)
</f>
        <v>1</v>
      </c>
      <c r="AG530" s="319">
        <f>IF(AND('Ações'!AX539="sim", 'Ações'!BD539="sim"), 1, 0)
</f>
        <v>0</v>
      </c>
      <c r="AH530" s="319">
        <f>IF(AND('Ações'!AX539="sim", 'Ações'!BE539="sim"), 1, 0)
</f>
        <v>0</v>
      </c>
      <c r="AI530" s="319">
        <f>IF(AND('Ações'!AX539="sim", 'Ações'!BF539="sim"), 1, 0)
</f>
        <v>0</v>
      </c>
      <c r="AJ530" s="319">
        <f>IF(AND('Ações'!AX539="sim", 'Ações'!BG539="sim"), 1, 0)
</f>
        <v>0</v>
      </c>
      <c r="AK530" s="319">
        <f>IF(AND('Ações'!AX539="sim", 'Ações'!BH539="sim"), 1, 0)
</f>
        <v>0</v>
      </c>
    </row>
    <row r="531">
      <c r="B531" s="319">
        <f>IF(AND('Ações'!AS540="sim", 'Ações'!BD540="sim"), 1, 0)
</f>
        <v>0</v>
      </c>
      <c r="C531" s="319">
        <f>IF(AND('Ações'!AT540="sim", 'Ações'!BE540="sim"), 1, 0)
</f>
        <v>0</v>
      </c>
      <c r="D531" s="319">
        <f>IF(AND('Ações'!AU540="sim", 'Ações'!BF540="sim"), 1, 0)
</f>
        <v>0</v>
      </c>
      <c r="E531" s="319">
        <f>IF(AND('Ações'!AV540="sim", 'Ações'!BG540="sim"), 1, 0)
</f>
        <v>0</v>
      </c>
      <c r="F531" s="319">
        <f>IF(AND('Ações'!AW540="sim", 'Ações'!BH540="sim"), 1, 0)
</f>
        <v>0</v>
      </c>
      <c r="G531" s="319">
        <f>IF(AND('Ações'!AX540="sim", 'Ações'!BI540="sim"), 1, 0)
</f>
        <v>1</v>
      </c>
      <c r="H531" s="319">
        <f>IF(AND('Ações'!AS540="sim", 'Ações'!BE540="sim"), 1, 0)
</f>
        <v>0</v>
      </c>
      <c r="I531" s="319">
        <f>IF(AND('Ações'!AS540="sim", 'Ações'!BF540="sim"), 1, 0)
</f>
        <v>0</v>
      </c>
      <c r="J531" s="319">
        <f>IF(AND('Ações'!AS540="sim", 'Ações'!BG540="sim"), 1, 0)
</f>
        <v>0</v>
      </c>
      <c r="K531" s="319">
        <f>IF(AND('Ações'!AS540="sim", 'Ações'!BH540="sim"), 1, 0)
</f>
        <v>0</v>
      </c>
      <c r="L531" s="319">
        <f>IF(AND('Ações'!AS540="sim", 'Ações'!BI540="sim"), 1, 0)
</f>
        <v>0</v>
      </c>
      <c r="M531" s="319">
        <f>IF(AND('Ações'!AT540="sim", 'Ações'!BD540="sim"), 1, 0)
</f>
        <v>0</v>
      </c>
      <c r="N531" s="319">
        <f>IF(AND('Ações'!AT540="sim", 'Ações'!BF540="sim"), 1, 0)
</f>
        <v>0</v>
      </c>
      <c r="O531" s="319">
        <f>IF(AND('Ações'!AT540="sim", 'Ações'!BG540="sim"), 1, 0)
</f>
        <v>0</v>
      </c>
      <c r="P531" s="319">
        <f>IF(AND('Ações'!AT540="sim", 'Ações'!BH540="sim"), 1, 0)
</f>
        <v>0</v>
      </c>
      <c r="Q531" s="319">
        <f>IF(AND('Ações'!AT540="sim", 'Ações'!BI540="sim"), 1, 0)
</f>
        <v>0</v>
      </c>
      <c r="R531" s="319">
        <f>IF(AND('Ações'!AU540="sim", 'Ações'!BD540="sim"), 1, 0)
</f>
        <v>0</v>
      </c>
      <c r="S531" s="319">
        <f>IF(AND('Ações'!AU540="sim", 'Ações'!BE540="sim"), 1, 0)
</f>
        <v>0</v>
      </c>
      <c r="T531" s="319">
        <f>IF(AND('Ações'!AU540="sim", 'Ações'!BG540="sim"), 1, 0)
</f>
        <v>0</v>
      </c>
      <c r="U531" s="319">
        <f>IF(AND('Ações'!AU540="sim", 'Ações'!BH540="sim"), 1, 0)
</f>
        <v>0</v>
      </c>
      <c r="V531" s="319">
        <f>IF(AND('Ações'!AU540="sim", 'Ações'!BI540="sim"), 1, 0)
</f>
        <v>1</v>
      </c>
      <c r="W531" s="319">
        <f>IF(AND('Ações'!AV540="sim", 'Ações'!BD540="sim"), 1, 0)
</f>
        <v>0</v>
      </c>
      <c r="X531" s="319">
        <f>IF(AND('Ações'!AV540="sim", 'Ações'!BE540="sim"), 1, 0)
</f>
        <v>0</v>
      </c>
      <c r="Y531" s="319">
        <f>IF(AND('Ações'!AV540="sim", 'Ações'!BF540="sim"), 1, 0)
</f>
        <v>0</v>
      </c>
      <c r="Z531" s="319">
        <f>IF(AND('Ações'!AV540="sim", 'Ações'!BH540="sim"), 1, 0)
</f>
        <v>0</v>
      </c>
      <c r="AA531" s="319">
        <f>IF(AND('Ações'!AV540="sim", 'Ações'!BI540="sim"), 1, 0)
</f>
        <v>1</v>
      </c>
      <c r="AB531" s="319">
        <f>IF(AND('Ações'!AW540="sim", 'Ações'!BD540="sim"), 1, 0)
</f>
        <v>0</v>
      </c>
      <c r="AC531" s="319">
        <f>IF(AND('Ações'!AW540="sim", 'Ações'!BE540="sim"), 1, 0)
</f>
        <v>0</v>
      </c>
      <c r="AD531" s="319">
        <f>IF(AND('Ações'!AW540="sim", 'Ações'!BF540="sim"), 1, 0)
</f>
        <v>0</v>
      </c>
      <c r="AE531" s="319">
        <f>IF(AND('Ações'!AW540="sim", 'Ações'!BG540="sim"), 1, 0)
</f>
        <v>0</v>
      </c>
      <c r="AF531" s="319">
        <f>IF(AND('Ações'!AW540="sim", 'Ações'!BI540="sim"), 1, 0)
</f>
        <v>1</v>
      </c>
      <c r="AG531" s="319">
        <f>IF(AND('Ações'!AX540="sim", 'Ações'!BD540="sim"), 1, 0)
</f>
        <v>0</v>
      </c>
      <c r="AH531" s="319">
        <f>IF(AND('Ações'!AX540="sim", 'Ações'!BE540="sim"), 1, 0)
</f>
        <v>0</v>
      </c>
      <c r="AI531" s="319">
        <f>IF(AND('Ações'!AX540="sim", 'Ações'!BF540="sim"), 1, 0)
</f>
        <v>0</v>
      </c>
      <c r="AJ531" s="319">
        <f>IF(AND('Ações'!AX540="sim", 'Ações'!BG540="sim"), 1, 0)
</f>
        <v>0</v>
      </c>
      <c r="AK531" s="319">
        <f>IF(AND('Ações'!AX540="sim", 'Ações'!BH540="sim"), 1, 0)
</f>
        <v>0</v>
      </c>
    </row>
    <row r="532">
      <c r="B532" s="319">
        <f>IF(AND('Ações'!AS541="sim", 'Ações'!BD541="sim"), 1, 0)
</f>
        <v>0</v>
      </c>
      <c r="C532" s="319">
        <f>IF(AND('Ações'!AT541="sim", 'Ações'!BE541="sim"), 1, 0)
</f>
        <v>0</v>
      </c>
      <c r="D532" s="319">
        <f>IF(AND('Ações'!AU541="sim", 'Ações'!BF541="sim"), 1, 0)
</f>
        <v>0</v>
      </c>
      <c r="E532" s="319">
        <f>IF(AND('Ações'!AV541="sim", 'Ações'!BG541="sim"), 1, 0)
</f>
        <v>0</v>
      </c>
      <c r="F532" s="319">
        <f>IF(AND('Ações'!AW541="sim", 'Ações'!BH541="sim"), 1, 0)
</f>
        <v>0</v>
      </c>
      <c r="G532" s="319">
        <f>IF(AND('Ações'!AX541="sim", 'Ações'!BI541="sim"), 1, 0)
</f>
        <v>1</v>
      </c>
      <c r="H532" s="319">
        <f>IF(AND('Ações'!AS541="sim", 'Ações'!BE541="sim"), 1, 0)
</f>
        <v>0</v>
      </c>
      <c r="I532" s="319">
        <f>IF(AND('Ações'!AS541="sim", 'Ações'!BF541="sim"), 1, 0)
</f>
        <v>0</v>
      </c>
      <c r="J532" s="319">
        <f>IF(AND('Ações'!AS541="sim", 'Ações'!BG541="sim"), 1, 0)
</f>
        <v>0</v>
      </c>
      <c r="K532" s="319">
        <f>IF(AND('Ações'!AS541="sim", 'Ações'!BH541="sim"), 1, 0)
</f>
        <v>0</v>
      </c>
      <c r="L532" s="319">
        <f>IF(AND('Ações'!AS541="sim", 'Ações'!BI541="sim"), 1, 0)
</f>
        <v>0</v>
      </c>
      <c r="M532" s="319">
        <f>IF(AND('Ações'!AT541="sim", 'Ações'!BD541="sim"), 1, 0)
</f>
        <v>0</v>
      </c>
      <c r="N532" s="319">
        <f>IF(AND('Ações'!AT541="sim", 'Ações'!BF541="sim"), 1, 0)
</f>
        <v>0</v>
      </c>
      <c r="O532" s="319">
        <f>IF(AND('Ações'!AT541="sim", 'Ações'!BG541="sim"), 1, 0)
</f>
        <v>0</v>
      </c>
      <c r="P532" s="319">
        <f>IF(AND('Ações'!AT541="sim", 'Ações'!BH541="sim"), 1, 0)
</f>
        <v>0</v>
      </c>
      <c r="Q532" s="319">
        <f>IF(AND('Ações'!AT541="sim", 'Ações'!BI541="sim"), 1, 0)
</f>
        <v>0</v>
      </c>
      <c r="R532" s="319">
        <f>IF(AND('Ações'!AU541="sim", 'Ações'!BD541="sim"), 1, 0)
</f>
        <v>0</v>
      </c>
      <c r="S532" s="319">
        <f>IF(AND('Ações'!AU541="sim", 'Ações'!BE541="sim"), 1, 0)
</f>
        <v>0</v>
      </c>
      <c r="T532" s="319">
        <f>IF(AND('Ações'!AU541="sim", 'Ações'!BG541="sim"), 1, 0)
</f>
        <v>0</v>
      </c>
      <c r="U532" s="319">
        <f>IF(AND('Ações'!AU541="sim", 'Ações'!BH541="sim"), 1, 0)
</f>
        <v>0</v>
      </c>
      <c r="V532" s="319">
        <f>IF(AND('Ações'!AU541="sim", 'Ações'!BI541="sim"), 1, 0)
</f>
        <v>1</v>
      </c>
      <c r="W532" s="319">
        <f>IF(AND('Ações'!AV541="sim", 'Ações'!BD541="sim"), 1, 0)
</f>
        <v>0</v>
      </c>
      <c r="X532" s="319">
        <f>IF(AND('Ações'!AV541="sim", 'Ações'!BE541="sim"), 1, 0)
</f>
        <v>0</v>
      </c>
      <c r="Y532" s="319">
        <f>IF(AND('Ações'!AV541="sim", 'Ações'!BF541="sim"), 1, 0)
</f>
        <v>0</v>
      </c>
      <c r="Z532" s="319">
        <f>IF(AND('Ações'!AV541="sim", 'Ações'!BH541="sim"), 1, 0)
</f>
        <v>0</v>
      </c>
      <c r="AA532" s="319">
        <f>IF(AND('Ações'!AV541="sim", 'Ações'!BI541="sim"), 1, 0)
</f>
        <v>1</v>
      </c>
      <c r="AB532" s="319">
        <f>IF(AND('Ações'!AW541="sim", 'Ações'!BD541="sim"), 1, 0)
</f>
        <v>0</v>
      </c>
      <c r="AC532" s="319">
        <f>IF(AND('Ações'!AW541="sim", 'Ações'!BE541="sim"), 1, 0)
</f>
        <v>0</v>
      </c>
      <c r="AD532" s="319">
        <f>IF(AND('Ações'!AW541="sim", 'Ações'!BF541="sim"), 1, 0)
</f>
        <v>0</v>
      </c>
      <c r="AE532" s="319">
        <f>IF(AND('Ações'!AW541="sim", 'Ações'!BG541="sim"), 1, 0)
</f>
        <v>0</v>
      </c>
      <c r="AF532" s="319">
        <f>IF(AND('Ações'!AW541="sim", 'Ações'!BI541="sim"), 1, 0)
</f>
        <v>1</v>
      </c>
      <c r="AG532" s="319">
        <f>IF(AND('Ações'!AX541="sim", 'Ações'!BD541="sim"), 1, 0)
</f>
        <v>0</v>
      </c>
      <c r="AH532" s="319">
        <f>IF(AND('Ações'!AX541="sim", 'Ações'!BE541="sim"), 1, 0)
</f>
        <v>0</v>
      </c>
      <c r="AI532" s="319">
        <f>IF(AND('Ações'!AX541="sim", 'Ações'!BF541="sim"), 1, 0)
</f>
        <v>0</v>
      </c>
      <c r="AJ532" s="319">
        <f>IF(AND('Ações'!AX541="sim", 'Ações'!BG541="sim"), 1, 0)
</f>
        <v>0</v>
      </c>
      <c r="AK532" s="319">
        <f>IF(AND('Ações'!AX541="sim", 'Ações'!BH541="sim"), 1, 0)
</f>
        <v>0</v>
      </c>
    </row>
    <row r="533">
      <c r="B533" s="319">
        <f>IF(AND('Ações'!AS542="sim", 'Ações'!BD542="sim"), 1, 0)
</f>
        <v>0</v>
      </c>
      <c r="C533" s="319">
        <f>IF(AND('Ações'!AT542="sim", 'Ações'!BE542="sim"), 1, 0)
</f>
        <v>0</v>
      </c>
      <c r="D533" s="319">
        <f>IF(AND('Ações'!AU542="sim", 'Ações'!BF542="sim"), 1, 0)
</f>
        <v>0</v>
      </c>
      <c r="E533" s="319">
        <f>IF(AND('Ações'!AV542="sim", 'Ações'!BG542="sim"), 1, 0)
</f>
        <v>0</v>
      </c>
      <c r="F533" s="319">
        <f>IF(AND('Ações'!AW542="sim", 'Ações'!BH542="sim"), 1, 0)
</f>
        <v>0</v>
      </c>
      <c r="G533" s="319">
        <f>IF(AND('Ações'!AX542="sim", 'Ações'!BI542="sim"), 1, 0)
</f>
        <v>1</v>
      </c>
      <c r="H533" s="319">
        <f>IF(AND('Ações'!AS542="sim", 'Ações'!BE542="sim"), 1, 0)
</f>
        <v>0</v>
      </c>
      <c r="I533" s="319">
        <f>IF(AND('Ações'!AS542="sim", 'Ações'!BF542="sim"), 1, 0)
</f>
        <v>0</v>
      </c>
      <c r="J533" s="319">
        <f>IF(AND('Ações'!AS542="sim", 'Ações'!BG542="sim"), 1, 0)
</f>
        <v>0</v>
      </c>
      <c r="K533" s="319">
        <f>IF(AND('Ações'!AS542="sim", 'Ações'!BH542="sim"), 1, 0)
</f>
        <v>0</v>
      </c>
      <c r="L533" s="319">
        <f>IF(AND('Ações'!AS542="sim", 'Ações'!BI542="sim"), 1, 0)
</f>
        <v>0</v>
      </c>
      <c r="M533" s="319">
        <f>IF(AND('Ações'!AT542="sim", 'Ações'!BD542="sim"), 1, 0)
</f>
        <v>0</v>
      </c>
      <c r="N533" s="319">
        <f>IF(AND('Ações'!AT542="sim", 'Ações'!BF542="sim"), 1, 0)
</f>
        <v>0</v>
      </c>
      <c r="O533" s="319">
        <f>IF(AND('Ações'!AT542="sim", 'Ações'!BG542="sim"), 1, 0)
</f>
        <v>0</v>
      </c>
      <c r="P533" s="319">
        <f>IF(AND('Ações'!AT542="sim", 'Ações'!BH542="sim"), 1, 0)
</f>
        <v>0</v>
      </c>
      <c r="Q533" s="319">
        <f>IF(AND('Ações'!AT542="sim", 'Ações'!BI542="sim"), 1, 0)
</f>
        <v>0</v>
      </c>
      <c r="R533" s="319">
        <f>IF(AND('Ações'!AU542="sim", 'Ações'!BD542="sim"), 1, 0)
</f>
        <v>0</v>
      </c>
      <c r="S533" s="319">
        <f>IF(AND('Ações'!AU542="sim", 'Ações'!BE542="sim"), 1, 0)
</f>
        <v>0</v>
      </c>
      <c r="T533" s="319">
        <f>IF(AND('Ações'!AU542="sim", 'Ações'!BG542="sim"), 1, 0)
</f>
        <v>0</v>
      </c>
      <c r="U533" s="319">
        <f>IF(AND('Ações'!AU542="sim", 'Ações'!BH542="sim"), 1, 0)
</f>
        <v>0</v>
      </c>
      <c r="V533" s="319">
        <f>IF(AND('Ações'!AU542="sim", 'Ações'!BI542="sim"), 1, 0)
</f>
        <v>1</v>
      </c>
      <c r="W533" s="319">
        <f>IF(AND('Ações'!AV542="sim", 'Ações'!BD542="sim"), 1, 0)
</f>
        <v>0</v>
      </c>
      <c r="X533" s="319">
        <f>IF(AND('Ações'!AV542="sim", 'Ações'!BE542="sim"), 1, 0)
</f>
        <v>0</v>
      </c>
      <c r="Y533" s="319">
        <f>IF(AND('Ações'!AV542="sim", 'Ações'!BF542="sim"), 1, 0)
</f>
        <v>0</v>
      </c>
      <c r="Z533" s="319">
        <f>IF(AND('Ações'!AV542="sim", 'Ações'!BH542="sim"), 1, 0)
</f>
        <v>0</v>
      </c>
      <c r="AA533" s="319">
        <f>IF(AND('Ações'!AV542="sim", 'Ações'!BI542="sim"), 1, 0)
</f>
        <v>1</v>
      </c>
      <c r="AB533" s="319">
        <f>IF(AND('Ações'!AW542="sim", 'Ações'!BD542="sim"), 1, 0)
</f>
        <v>0</v>
      </c>
      <c r="AC533" s="319">
        <f>IF(AND('Ações'!AW542="sim", 'Ações'!BE542="sim"), 1, 0)
</f>
        <v>0</v>
      </c>
      <c r="AD533" s="319">
        <f>IF(AND('Ações'!AW542="sim", 'Ações'!BF542="sim"), 1, 0)
</f>
        <v>0</v>
      </c>
      <c r="AE533" s="319">
        <f>IF(AND('Ações'!AW542="sim", 'Ações'!BG542="sim"), 1, 0)
</f>
        <v>0</v>
      </c>
      <c r="AF533" s="319">
        <f>IF(AND('Ações'!AW542="sim", 'Ações'!BI542="sim"), 1, 0)
</f>
        <v>1</v>
      </c>
      <c r="AG533" s="319">
        <f>IF(AND('Ações'!AX542="sim", 'Ações'!BD542="sim"), 1, 0)
</f>
        <v>0</v>
      </c>
      <c r="AH533" s="319">
        <f>IF(AND('Ações'!AX542="sim", 'Ações'!BE542="sim"), 1, 0)
</f>
        <v>0</v>
      </c>
      <c r="AI533" s="319">
        <f>IF(AND('Ações'!AX542="sim", 'Ações'!BF542="sim"), 1, 0)
</f>
        <v>0</v>
      </c>
      <c r="AJ533" s="319">
        <f>IF(AND('Ações'!AX542="sim", 'Ações'!BG542="sim"), 1, 0)
</f>
        <v>0</v>
      </c>
      <c r="AK533" s="319">
        <f>IF(AND('Ações'!AX542="sim", 'Ações'!BH542="sim"), 1, 0)
</f>
        <v>0</v>
      </c>
    </row>
    <row r="534">
      <c r="B534" s="319">
        <f>IF(AND('Ações'!AS543="sim", 'Ações'!BD543="sim"), 1, 0)
</f>
        <v>0</v>
      </c>
      <c r="C534" s="319">
        <f>IF(AND('Ações'!AT543="sim", 'Ações'!BE543="sim"), 1, 0)
</f>
        <v>0</v>
      </c>
      <c r="D534" s="319">
        <f>IF(AND('Ações'!AU543="sim", 'Ações'!BF543="sim"), 1, 0)
</f>
        <v>0</v>
      </c>
      <c r="E534" s="319">
        <f>IF(AND('Ações'!AV543="sim", 'Ações'!BG543="sim"), 1, 0)
</f>
        <v>0</v>
      </c>
      <c r="F534" s="319">
        <f>IF(AND('Ações'!AW543="sim", 'Ações'!BH543="sim"), 1, 0)
</f>
        <v>0</v>
      </c>
      <c r="G534" s="319">
        <f>IF(AND('Ações'!AX543="sim", 'Ações'!BI543="sim"), 1, 0)
</f>
        <v>1</v>
      </c>
      <c r="H534" s="319">
        <f>IF(AND('Ações'!AS543="sim", 'Ações'!BE543="sim"), 1, 0)
</f>
        <v>0</v>
      </c>
      <c r="I534" s="319">
        <f>IF(AND('Ações'!AS543="sim", 'Ações'!BF543="sim"), 1, 0)
</f>
        <v>0</v>
      </c>
      <c r="J534" s="319">
        <f>IF(AND('Ações'!AS543="sim", 'Ações'!BG543="sim"), 1, 0)
</f>
        <v>0</v>
      </c>
      <c r="K534" s="319">
        <f>IF(AND('Ações'!AS543="sim", 'Ações'!BH543="sim"), 1, 0)
</f>
        <v>0</v>
      </c>
      <c r="L534" s="319">
        <f>IF(AND('Ações'!AS543="sim", 'Ações'!BI543="sim"), 1, 0)
</f>
        <v>0</v>
      </c>
      <c r="M534" s="319">
        <f>IF(AND('Ações'!AT543="sim", 'Ações'!BD543="sim"), 1, 0)
</f>
        <v>0</v>
      </c>
      <c r="N534" s="319">
        <f>IF(AND('Ações'!AT543="sim", 'Ações'!BF543="sim"), 1, 0)
</f>
        <v>0</v>
      </c>
      <c r="O534" s="319">
        <f>IF(AND('Ações'!AT543="sim", 'Ações'!BG543="sim"), 1, 0)
</f>
        <v>0</v>
      </c>
      <c r="P534" s="319">
        <f>IF(AND('Ações'!AT543="sim", 'Ações'!BH543="sim"), 1, 0)
</f>
        <v>0</v>
      </c>
      <c r="Q534" s="319">
        <f>IF(AND('Ações'!AT543="sim", 'Ações'!BI543="sim"), 1, 0)
</f>
        <v>0</v>
      </c>
      <c r="R534" s="319">
        <f>IF(AND('Ações'!AU543="sim", 'Ações'!BD543="sim"), 1, 0)
</f>
        <v>0</v>
      </c>
      <c r="S534" s="319">
        <f>IF(AND('Ações'!AU543="sim", 'Ações'!BE543="sim"), 1, 0)
</f>
        <v>0</v>
      </c>
      <c r="T534" s="319">
        <f>IF(AND('Ações'!AU543="sim", 'Ações'!BG543="sim"), 1, 0)
</f>
        <v>0</v>
      </c>
      <c r="U534" s="319">
        <f>IF(AND('Ações'!AU543="sim", 'Ações'!BH543="sim"), 1, 0)
</f>
        <v>0</v>
      </c>
      <c r="V534" s="319">
        <f>IF(AND('Ações'!AU543="sim", 'Ações'!BI543="sim"), 1, 0)
</f>
        <v>1</v>
      </c>
      <c r="W534" s="319">
        <f>IF(AND('Ações'!AV543="sim", 'Ações'!BD543="sim"), 1, 0)
</f>
        <v>0</v>
      </c>
      <c r="X534" s="319">
        <f>IF(AND('Ações'!AV543="sim", 'Ações'!BE543="sim"), 1, 0)
</f>
        <v>0</v>
      </c>
      <c r="Y534" s="319">
        <f>IF(AND('Ações'!AV543="sim", 'Ações'!BF543="sim"), 1, 0)
</f>
        <v>0</v>
      </c>
      <c r="Z534" s="319">
        <f>IF(AND('Ações'!AV543="sim", 'Ações'!BH543="sim"), 1, 0)
</f>
        <v>0</v>
      </c>
      <c r="AA534" s="319">
        <f>IF(AND('Ações'!AV543="sim", 'Ações'!BI543="sim"), 1, 0)
</f>
        <v>1</v>
      </c>
      <c r="AB534" s="319">
        <f>IF(AND('Ações'!AW543="sim", 'Ações'!BD543="sim"), 1, 0)
</f>
        <v>0</v>
      </c>
      <c r="AC534" s="319">
        <f>IF(AND('Ações'!AW543="sim", 'Ações'!BE543="sim"), 1, 0)
</f>
        <v>0</v>
      </c>
      <c r="AD534" s="319">
        <f>IF(AND('Ações'!AW543="sim", 'Ações'!BF543="sim"), 1, 0)
</f>
        <v>0</v>
      </c>
      <c r="AE534" s="319">
        <f>IF(AND('Ações'!AW543="sim", 'Ações'!BG543="sim"), 1, 0)
</f>
        <v>0</v>
      </c>
      <c r="AF534" s="319">
        <f>IF(AND('Ações'!AW543="sim", 'Ações'!BI543="sim"), 1, 0)
</f>
        <v>1</v>
      </c>
      <c r="AG534" s="319">
        <f>IF(AND('Ações'!AX543="sim", 'Ações'!BD543="sim"), 1, 0)
</f>
        <v>0</v>
      </c>
      <c r="AH534" s="319">
        <f>IF(AND('Ações'!AX543="sim", 'Ações'!BE543="sim"), 1, 0)
</f>
        <v>0</v>
      </c>
      <c r="AI534" s="319">
        <f>IF(AND('Ações'!AX543="sim", 'Ações'!BF543="sim"), 1, 0)
</f>
        <v>0</v>
      </c>
      <c r="AJ534" s="319">
        <f>IF(AND('Ações'!AX543="sim", 'Ações'!BG543="sim"), 1, 0)
</f>
        <v>0</v>
      </c>
      <c r="AK534" s="319">
        <f>IF(AND('Ações'!AX543="sim", 'Ações'!BH543="sim"), 1, 0)
</f>
        <v>0</v>
      </c>
    </row>
    <row r="535">
      <c r="B535" s="319">
        <f>IF(AND('Ações'!AS544="sim", 'Ações'!BD544="sim"), 1, 0)
</f>
        <v>0</v>
      </c>
      <c r="C535" s="319">
        <f>IF(AND('Ações'!AT544="sim", 'Ações'!BE544="sim"), 1, 0)
</f>
        <v>0</v>
      </c>
      <c r="D535" s="319">
        <f>IF(AND('Ações'!AU544="sim", 'Ações'!BF544="sim"), 1, 0)
</f>
        <v>0</v>
      </c>
      <c r="E535" s="319">
        <f>IF(AND('Ações'!AV544="sim", 'Ações'!BG544="sim"), 1, 0)
</f>
        <v>0</v>
      </c>
      <c r="F535" s="319">
        <f>IF(AND('Ações'!AW544="sim", 'Ações'!BH544="sim"), 1, 0)
</f>
        <v>0</v>
      </c>
      <c r="G535" s="319">
        <f>IF(AND('Ações'!AX544="sim", 'Ações'!BI544="sim"), 1, 0)
</f>
        <v>1</v>
      </c>
      <c r="H535" s="319">
        <f>IF(AND('Ações'!AS544="sim", 'Ações'!BE544="sim"), 1, 0)
</f>
        <v>0</v>
      </c>
      <c r="I535" s="319">
        <f>IF(AND('Ações'!AS544="sim", 'Ações'!BF544="sim"), 1, 0)
</f>
        <v>0</v>
      </c>
      <c r="J535" s="319">
        <f>IF(AND('Ações'!AS544="sim", 'Ações'!BG544="sim"), 1, 0)
</f>
        <v>0</v>
      </c>
      <c r="K535" s="319">
        <f>IF(AND('Ações'!AS544="sim", 'Ações'!BH544="sim"), 1, 0)
</f>
        <v>0</v>
      </c>
      <c r="L535" s="319">
        <f>IF(AND('Ações'!AS544="sim", 'Ações'!BI544="sim"), 1, 0)
</f>
        <v>0</v>
      </c>
      <c r="M535" s="319">
        <f>IF(AND('Ações'!AT544="sim", 'Ações'!BD544="sim"), 1, 0)
</f>
        <v>0</v>
      </c>
      <c r="N535" s="319">
        <f>IF(AND('Ações'!AT544="sim", 'Ações'!BF544="sim"), 1, 0)
</f>
        <v>0</v>
      </c>
      <c r="O535" s="319">
        <f>IF(AND('Ações'!AT544="sim", 'Ações'!BG544="sim"), 1, 0)
</f>
        <v>0</v>
      </c>
      <c r="P535" s="319">
        <f>IF(AND('Ações'!AT544="sim", 'Ações'!BH544="sim"), 1, 0)
</f>
        <v>0</v>
      </c>
      <c r="Q535" s="319">
        <f>IF(AND('Ações'!AT544="sim", 'Ações'!BI544="sim"), 1, 0)
</f>
        <v>0</v>
      </c>
      <c r="R535" s="319">
        <f>IF(AND('Ações'!AU544="sim", 'Ações'!BD544="sim"), 1, 0)
</f>
        <v>1</v>
      </c>
      <c r="S535" s="319">
        <f>IF(AND('Ações'!AU544="sim", 'Ações'!BE544="sim"), 1, 0)
</f>
        <v>0</v>
      </c>
      <c r="T535" s="319">
        <f>IF(AND('Ações'!AU544="sim", 'Ações'!BG544="sim"), 1, 0)
</f>
        <v>0</v>
      </c>
      <c r="U535" s="319">
        <f>IF(AND('Ações'!AU544="sim", 'Ações'!BH544="sim"), 1, 0)
</f>
        <v>0</v>
      </c>
      <c r="V535" s="319">
        <f>IF(AND('Ações'!AU544="sim", 'Ações'!BI544="sim"), 1, 0)
</f>
        <v>1</v>
      </c>
      <c r="W535" s="319">
        <f>IF(AND('Ações'!AV544="sim", 'Ações'!BD544="sim"), 1, 0)
</f>
        <v>1</v>
      </c>
      <c r="X535" s="319">
        <f>IF(AND('Ações'!AV544="sim", 'Ações'!BE544="sim"), 1, 0)
</f>
        <v>0</v>
      </c>
      <c r="Y535" s="319">
        <f>IF(AND('Ações'!AV544="sim", 'Ações'!BF544="sim"), 1, 0)
</f>
        <v>0</v>
      </c>
      <c r="Z535" s="319">
        <f>IF(AND('Ações'!AV544="sim", 'Ações'!BH544="sim"), 1, 0)
</f>
        <v>0</v>
      </c>
      <c r="AA535" s="319">
        <f>IF(AND('Ações'!AV544="sim", 'Ações'!BI544="sim"), 1, 0)
</f>
        <v>1</v>
      </c>
      <c r="AB535" s="319">
        <f>IF(AND('Ações'!AW544="sim", 'Ações'!BD544="sim"), 1, 0)
</f>
        <v>1</v>
      </c>
      <c r="AC535" s="319">
        <f>IF(AND('Ações'!AW544="sim", 'Ações'!BE544="sim"), 1, 0)
</f>
        <v>0</v>
      </c>
      <c r="AD535" s="319">
        <f>IF(AND('Ações'!AW544="sim", 'Ações'!BF544="sim"), 1, 0)
</f>
        <v>0</v>
      </c>
      <c r="AE535" s="319">
        <f>IF(AND('Ações'!AW544="sim", 'Ações'!BG544="sim"), 1, 0)
</f>
        <v>0</v>
      </c>
      <c r="AF535" s="319">
        <f>IF(AND('Ações'!AW544="sim", 'Ações'!BI544="sim"), 1, 0)
</f>
        <v>1</v>
      </c>
      <c r="AG535" s="319">
        <f>IF(AND('Ações'!AX544="sim", 'Ações'!BD544="sim"), 1, 0)
</f>
        <v>1</v>
      </c>
      <c r="AH535" s="319">
        <f>IF(AND('Ações'!AX544="sim", 'Ações'!BE544="sim"), 1, 0)
</f>
        <v>0</v>
      </c>
      <c r="AI535" s="319">
        <f>IF(AND('Ações'!AX544="sim", 'Ações'!BF544="sim"), 1, 0)
</f>
        <v>0</v>
      </c>
      <c r="AJ535" s="319">
        <f>IF(AND('Ações'!AX544="sim", 'Ações'!BG544="sim"), 1, 0)
</f>
        <v>0</v>
      </c>
      <c r="AK535" s="319">
        <f>IF(AND('Ações'!AX544="sim", 'Ações'!BH544="sim"), 1, 0)
</f>
        <v>0</v>
      </c>
    </row>
    <row r="536">
      <c r="B536" s="319">
        <f>IF(AND('Ações'!AS545="sim", 'Ações'!BD545="sim"), 1, 0)
</f>
        <v>0</v>
      </c>
      <c r="C536" s="319">
        <f>IF(AND('Ações'!AT545="sim", 'Ações'!BE545="sim"), 1, 0)
</f>
        <v>0</v>
      </c>
      <c r="D536" s="319">
        <f>IF(AND('Ações'!AU545="sim", 'Ações'!BF545="sim"), 1, 0)
</f>
        <v>0</v>
      </c>
      <c r="E536" s="319">
        <f>IF(AND('Ações'!AV545="sim", 'Ações'!BG545="sim"), 1, 0)
</f>
        <v>0</v>
      </c>
      <c r="F536" s="319">
        <f>IF(AND('Ações'!AW545="sim", 'Ações'!BH545="sim"), 1, 0)
</f>
        <v>0</v>
      </c>
      <c r="G536" s="319">
        <f>IF(AND('Ações'!AX545="sim", 'Ações'!BI545="sim"), 1, 0)
</f>
        <v>1</v>
      </c>
      <c r="H536" s="319">
        <f>IF(AND('Ações'!AS545="sim", 'Ações'!BE545="sim"), 1, 0)
</f>
        <v>0</v>
      </c>
      <c r="I536" s="319">
        <f>IF(AND('Ações'!AS545="sim", 'Ações'!BF545="sim"), 1, 0)
</f>
        <v>0</v>
      </c>
      <c r="J536" s="319">
        <f>IF(AND('Ações'!AS545="sim", 'Ações'!BG545="sim"), 1, 0)
</f>
        <v>0</v>
      </c>
      <c r="K536" s="319">
        <f>IF(AND('Ações'!AS545="sim", 'Ações'!BH545="sim"), 1, 0)
</f>
        <v>0</v>
      </c>
      <c r="L536" s="319">
        <f>IF(AND('Ações'!AS545="sim", 'Ações'!BI545="sim"), 1, 0)
</f>
        <v>0</v>
      </c>
      <c r="M536" s="319">
        <f>IF(AND('Ações'!AT545="sim", 'Ações'!BD545="sim"), 1, 0)
</f>
        <v>0</v>
      </c>
      <c r="N536" s="319">
        <f>IF(AND('Ações'!AT545="sim", 'Ações'!BF545="sim"), 1, 0)
</f>
        <v>0</v>
      </c>
      <c r="O536" s="319">
        <f>IF(AND('Ações'!AT545="sim", 'Ações'!BG545="sim"), 1, 0)
</f>
        <v>0</v>
      </c>
      <c r="P536" s="319">
        <f>IF(AND('Ações'!AT545="sim", 'Ações'!BH545="sim"), 1, 0)
</f>
        <v>0</v>
      </c>
      <c r="Q536" s="319">
        <f>IF(AND('Ações'!AT545="sim", 'Ações'!BI545="sim"), 1, 0)
</f>
        <v>0</v>
      </c>
      <c r="R536" s="319">
        <f>IF(AND('Ações'!AU545="sim", 'Ações'!BD545="sim"), 1, 0)
</f>
        <v>0</v>
      </c>
      <c r="S536" s="319">
        <f>IF(AND('Ações'!AU545="sim", 'Ações'!BE545="sim"), 1, 0)
</f>
        <v>0</v>
      </c>
      <c r="T536" s="319">
        <f>IF(AND('Ações'!AU545="sim", 'Ações'!BG545="sim"), 1, 0)
</f>
        <v>0</v>
      </c>
      <c r="U536" s="319">
        <f>IF(AND('Ações'!AU545="sim", 'Ações'!BH545="sim"), 1, 0)
</f>
        <v>0</v>
      </c>
      <c r="V536" s="319">
        <f>IF(AND('Ações'!AU545="sim", 'Ações'!BI545="sim"), 1, 0)
</f>
        <v>1</v>
      </c>
      <c r="W536" s="319">
        <f>IF(AND('Ações'!AV545="sim", 'Ações'!BD545="sim"), 1, 0)
</f>
        <v>0</v>
      </c>
      <c r="X536" s="319">
        <f>IF(AND('Ações'!AV545="sim", 'Ações'!BE545="sim"), 1, 0)
</f>
        <v>0</v>
      </c>
      <c r="Y536" s="319">
        <f>IF(AND('Ações'!AV545="sim", 'Ações'!BF545="sim"), 1, 0)
</f>
        <v>0</v>
      </c>
      <c r="Z536" s="319">
        <f>IF(AND('Ações'!AV545="sim", 'Ações'!BH545="sim"), 1, 0)
</f>
        <v>0</v>
      </c>
      <c r="AA536" s="319">
        <f>IF(AND('Ações'!AV545="sim", 'Ações'!BI545="sim"), 1, 0)
</f>
        <v>1</v>
      </c>
      <c r="AB536" s="319">
        <f>IF(AND('Ações'!AW545="sim", 'Ações'!BD545="sim"), 1, 0)
</f>
        <v>0</v>
      </c>
      <c r="AC536" s="319">
        <f>IF(AND('Ações'!AW545="sim", 'Ações'!BE545="sim"), 1, 0)
</f>
        <v>0</v>
      </c>
      <c r="AD536" s="319">
        <f>IF(AND('Ações'!AW545="sim", 'Ações'!BF545="sim"), 1, 0)
</f>
        <v>0</v>
      </c>
      <c r="AE536" s="319">
        <f>IF(AND('Ações'!AW545="sim", 'Ações'!BG545="sim"), 1, 0)
</f>
        <v>0</v>
      </c>
      <c r="AF536" s="319">
        <f>IF(AND('Ações'!AW545="sim", 'Ações'!BI545="sim"), 1, 0)
</f>
        <v>1</v>
      </c>
      <c r="AG536" s="319">
        <f>IF(AND('Ações'!AX545="sim", 'Ações'!BD545="sim"), 1, 0)
</f>
        <v>0</v>
      </c>
      <c r="AH536" s="319">
        <f>IF(AND('Ações'!AX545="sim", 'Ações'!BE545="sim"), 1, 0)
</f>
        <v>0</v>
      </c>
      <c r="AI536" s="319">
        <f>IF(AND('Ações'!AX545="sim", 'Ações'!BF545="sim"), 1, 0)
</f>
        <v>0</v>
      </c>
      <c r="AJ536" s="319">
        <f>IF(AND('Ações'!AX545="sim", 'Ações'!BG545="sim"), 1, 0)
</f>
        <v>0</v>
      </c>
      <c r="AK536" s="319">
        <f>IF(AND('Ações'!AX545="sim", 'Ações'!BH545="sim"), 1, 0)
</f>
        <v>0</v>
      </c>
    </row>
    <row r="537">
      <c r="B537" s="319">
        <f>IF(AND('Ações'!AS546="sim", 'Ações'!BD546="sim"), 1, 0)
</f>
        <v>0</v>
      </c>
      <c r="C537" s="319">
        <f>IF(AND('Ações'!AT546="sim", 'Ações'!BE546="sim"), 1, 0)
</f>
        <v>0</v>
      </c>
      <c r="D537" s="319">
        <f>IF(AND('Ações'!AU546="sim", 'Ações'!BF546="sim"), 1, 0)
</f>
        <v>0</v>
      </c>
      <c r="E537" s="319">
        <f>IF(AND('Ações'!AV546="sim", 'Ações'!BG546="sim"), 1, 0)
</f>
        <v>0</v>
      </c>
      <c r="F537" s="319">
        <f>IF(AND('Ações'!AW546="sim", 'Ações'!BH546="sim"), 1, 0)
</f>
        <v>0</v>
      </c>
      <c r="G537" s="319">
        <f>IF(AND('Ações'!AX546="sim", 'Ações'!BI546="sim"), 1, 0)
</f>
        <v>1</v>
      </c>
      <c r="H537" s="319">
        <f>IF(AND('Ações'!AS546="sim", 'Ações'!BE546="sim"), 1, 0)
</f>
        <v>0</v>
      </c>
      <c r="I537" s="319">
        <f>IF(AND('Ações'!AS546="sim", 'Ações'!BF546="sim"), 1, 0)
</f>
        <v>0</v>
      </c>
      <c r="J537" s="319">
        <f>IF(AND('Ações'!AS546="sim", 'Ações'!BG546="sim"), 1, 0)
</f>
        <v>0</v>
      </c>
      <c r="K537" s="319">
        <f>IF(AND('Ações'!AS546="sim", 'Ações'!BH546="sim"), 1, 0)
</f>
        <v>0</v>
      </c>
      <c r="L537" s="319">
        <f>IF(AND('Ações'!AS546="sim", 'Ações'!BI546="sim"), 1, 0)
</f>
        <v>0</v>
      </c>
      <c r="M537" s="319">
        <f>IF(AND('Ações'!AT546="sim", 'Ações'!BD546="sim"), 1, 0)
</f>
        <v>0</v>
      </c>
      <c r="N537" s="319">
        <f>IF(AND('Ações'!AT546="sim", 'Ações'!BF546="sim"), 1, 0)
</f>
        <v>0</v>
      </c>
      <c r="O537" s="319">
        <f>IF(AND('Ações'!AT546="sim", 'Ações'!BG546="sim"), 1, 0)
</f>
        <v>0</v>
      </c>
      <c r="P537" s="319">
        <f>IF(AND('Ações'!AT546="sim", 'Ações'!BH546="sim"), 1, 0)
</f>
        <v>0</v>
      </c>
      <c r="Q537" s="319">
        <f>IF(AND('Ações'!AT546="sim", 'Ações'!BI546="sim"), 1, 0)
</f>
        <v>0</v>
      </c>
      <c r="R537" s="319">
        <f>IF(AND('Ações'!AU546="sim", 'Ações'!BD546="sim"), 1, 0)
</f>
        <v>0</v>
      </c>
      <c r="S537" s="319">
        <f>IF(AND('Ações'!AU546="sim", 'Ações'!BE546="sim"), 1, 0)
</f>
        <v>0</v>
      </c>
      <c r="T537" s="319">
        <f>IF(AND('Ações'!AU546="sim", 'Ações'!BG546="sim"), 1, 0)
</f>
        <v>0</v>
      </c>
      <c r="U537" s="319">
        <f>IF(AND('Ações'!AU546="sim", 'Ações'!BH546="sim"), 1, 0)
</f>
        <v>0</v>
      </c>
      <c r="V537" s="319">
        <f>IF(AND('Ações'!AU546="sim", 'Ações'!BI546="sim"), 1, 0)
</f>
        <v>1</v>
      </c>
      <c r="W537" s="319">
        <f>IF(AND('Ações'!AV546="sim", 'Ações'!BD546="sim"), 1, 0)
</f>
        <v>0</v>
      </c>
      <c r="X537" s="319">
        <f>IF(AND('Ações'!AV546="sim", 'Ações'!BE546="sim"), 1, 0)
</f>
        <v>0</v>
      </c>
      <c r="Y537" s="319">
        <f>IF(AND('Ações'!AV546="sim", 'Ações'!BF546="sim"), 1, 0)
</f>
        <v>0</v>
      </c>
      <c r="Z537" s="319">
        <f>IF(AND('Ações'!AV546="sim", 'Ações'!BH546="sim"), 1, 0)
</f>
        <v>0</v>
      </c>
      <c r="AA537" s="319">
        <f>IF(AND('Ações'!AV546="sim", 'Ações'!BI546="sim"), 1, 0)
</f>
        <v>1</v>
      </c>
      <c r="AB537" s="319">
        <f>IF(AND('Ações'!AW546="sim", 'Ações'!BD546="sim"), 1, 0)
</f>
        <v>0</v>
      </c>
      <c r="AC537" s="319">
        <f>IF(AND('Ações'!AW546="sim", 'Ações'!BE546="sim"), 1, 0)
</f>
        <v>0</v>
      </c>
      <c r="AD537" s="319">
        <f>IF(AND('Ações'!AW546="sim", 'Ações'!BF546="sim"), 1, 0)
</f>
        <v>0</v>
      </c>
      <c r="AE537" s="319">
        <f>IF(AND('Ações'!AW546="sim", 'Ações'!BG546="sim"), 1, 0)
</f>
        <v>0</v>
      </c>
      <c r="AF537" s="319">
        <f>IF(AND('Ações'!AW546="sim", 'Ações'!BI546="sim"), 1, 0)
</f>
        <v>1</v>
      </c>
      <c r="AG537" s="319">
        <f>IF(AND('Ações'!AX546="sim", 'Ações'!BD546="sim"), 1, 0)
</f>
        <v>0</v>
      </c>
      <c r="AH537" s="319">
        <f>IF(AND('Ações'!AX546="sim", 'Ações'!BE546="sim"), 1, 0)
</f>
        <v>0</v>
      </c>
      <c r="AI537" s="319">
        <f>IF(AND('Ações'!AX546="sim", 'Ações'!BF546="sim"), 1, 0)
</f>
        <v>0</v>
      </c>
      <c r="AJ537" s="319">
        <f>IF(AND('Ações'!AX546="sim", 'Ações'!BG546="sim"), 1, 0)
</f>
        <v>0</v>
      </c>
      <c r="AK537" s="319">
        <f>IF(AND('Ações'!AX546="sim", 'Ações'!BH546="sim"), 1, 0)
</f>
        <v>0</v>
      </c>
    </row>
    <row r="538">
      <c r="B538" s="319">
        <f>IF(AND('Ações'!AS547="sim", 'Ações'!BD547="sim"), 1, 0)
</f>
        <v>0</v>
      </c>
      <c r="C538" s="319">
        <f>IF(AND('Ações'!AT547="sim", 'Ações'!BE547="sim"), 1, 0)
</f>
        <v>0</v>
      </c>
      <c r="D538" s="319">
        <f>IF(AND('Ações'!AU547="sim", 'Ações'!BF547="sim"), 1, 0)
</f>
        <v>0</v>
      </c>
      <c r="E538" s="319">
        <f>IF(AND('Ações'!AV547="sim", 'Ações'!BG547="sim"), 1, 0)
</f>
        <v>0</v>
      </c>
      <c r="F538" s="319">
        <f>IF(AND('Ações'!AW547="sim", 'Ações'!BH547="sim"), 1, 0)
</f>
        <v>0</v>
      </c>
      <c r="G538" s="319">
        <f>IF(AND('Ações'!AX547="sim", 'Ações'!BI547="sim"), 1, 0)
</f>
        <v>1</v>
      </c>
      <c r="H538" s="319">
        <f>IF(AND('Ações'!AS547="sim", 'Ações'!BE547="sim"), 1, 0)
</f>
        <v>0</v>
      </c>
      <c r="I538" s="319">
        <f>IF(AND('Ações'!AS547="sim", 'Ações'!BF547="sim"), 1, 0)
</f>
        <v>0</v>
      </c>
      <c r="J538" s="319">
        <f>IF(AND('Ações'!AS547="sim", 'Ações'!BG547="sim"), 1, 0)
</f>
        <v>0</v>
      </c>
      <c r="K538" s="319">
        <f>IF(AND('Ações'!AS547="sim", 'Ações'!BH547="sim"), 1, 0)
</f>
        <v>0</v>
      </c>
      <c r="L538" s="319">
        <f>IF(AND('Ações'!AS547="sim", 'Ações'!BI547="sim"), 1, 0)
</f>
        <v>0</v>
      </c>
      <c r="M538" s="319">
        <f>IF(AND('Ações'!AT547="sim", 'Ações'!BD547="sim"), 1, 0)
</f>
        <v>0</v>
      </c>
      <c r="N538" s="319">
        <f>IF(AND('Ações'!AT547="sim", 'Ações'!BF547="sim"), 1, 0)
</f>
        <v>0</v>
      </c>
      <c r="O538" s="319">
        <f>IF(AND('Ações'!AT547="sim", 'Ações'!BG547="sim"), 1, 0)
</f>
        <v>0</v>
      </c>
      <c r="P538" s="319">
        <f>IF(AND('Ações'!AT547="sim", 'Ações'!BH547="sim"), 1, 0)
</f>
        <v>0</v>
      </c>
      <c r="Q538" s="319">
        <f>IF(AND('Ações'!AT547="sim", 'Ações'!BI547="sim"), 1, 0)
</f>
        <v>0</v>
      </c>
      <c r="R538" s="319">
        <f>IF(AND('Ações'!AU547="sim", 'Ações'!BD547="sim"), 1, 0)
</f>
        <v>0</v>
      </c>
      <c r="S538" s="319">
        <f>IF(AND('Ações'!AU547="sim", 'Ações'!BE547="sim"), 1, 0)
</f>
        <v>0</v>
      </c>
      <c r="T538" s="319">
        <f>IF(AND('Ações'!AU547="sim", 'Ações'!BG547="sim"), 1, 0)
</f>
        <v>0</v>
      </c>
      <c r="U538" s="319">
        <f>IF(AND('Ações'!AU547="sim", 'Ações'!BH547="sim"), 1, 0)
</f>
        <v>0</v>
      </c>
      <c r="V538" s="319">
        <f>IF(AND('Ações'!AU547="sim", 'Ações'!BI547="sim"), 1, 0)
</f>
        <v>1</v>
      </c>
      <c r="W538" s="319">
        <f>IF(AND('Ações'!AV547="sim", 'Ações'!BD547="sim"), 1, 0)
</f>
        <v>0</v>
      </c>
      <c r="X538" s="319">
        <f>IF(AND('Ações'!AV547="sim", 'Ações'!BE547="sim"), 1, 0)
</f>
        <v>0</v>
      </c>
      <c r="Y538" s="319">
        <f>IF(AND('Ações'!AV547="sim", 'Ações'!BF547="sim"), 1, 0)
</f>
        <v>0</v>
      </c>
      <c r="Z538" s="319">
        <f>IF(AND('Ações'!AV547="sim", 'Ações'!BH547="sim"), 1, 0)
</f>
        <v>0</v>
      </c>
      <c r="AA538" s="319">
        <f>IF(AND('Ações'!AV547="sim", 'Ações'!BI547="sim"), 1, 0)
</f>
        <v>1</v>
      </c>
      <c r="AB538" s="319">
        <f>IF(AND('Ações'!AW547="sim", 'Ações'!BD547="sim"), 1, 0)
</f>
        <v>0</v>
      </c>
      <c r="AC538" s="319">
        <f>IF(AND('Ações'!AW547="sim", 'Ações'!BE547="sim"), 1, 0)
</f>
        <v>0</v>
      </c>
      <c r="AD538" s="319">
        <f>IF(AND('Ações'!AW547="sim", 'Ações'!BF547="sim"), 1, 0)
</f>
        <v>0</v>
      </c>
      <c r="AE538" s="319">
        <f>IF(AND('Ações'!AW547="sim", 'Ações'!BG547="sim"), 1, 0)
</f>
        <v>0</v>
      </c>
      <c r="AF538" s="319">
        <f>IF(AND('Ações'!AW547="sim", 'Ações'!BI547="sim"), 1, 0)
</f>
        <v>1</v>
      </c>
      <c r="AG538" s="319">
        <f>IF(AND('Ações'!AX547="sim", 'Ações'!BD547="sim"), 1, 0)
</f>
        <v>0</v>
      </c>
      <c r="AH538" s="319">
        <f>IF(AND('Ações'!AX547="sim", 'Ações'!BE547="sim"), 1, 0)
</f>
        <v>0</v>
      </c>
      <c r="AI538" s="319">
        <f>IF(AND('Ações'!AX547="sim", 'Ações'!BF547="sim"), 1, 0)
</f>
        <v>0</v>
      </c>
      <c r="AJ538" s="319">
        <f>IF(AND('Ações'!AX547="sim", 'Ações'!BG547="sim"), 1, 0)
</f>
        <v>0</v>
      </c>
      <c r="AK538" s="319">
        <f>IF(AND('Ações'!AX547="sim", 'Ações'!BH547="sim"), 1, 0)
</f>
        <v>0</v>
      </c>
    </row>
    <row r="539">
      <c r="B539" s="319">
        <f>IF(AND('Ações'!AS548="sim", 'Ações'!BD548="sim"), 1, 0)
</f>
        <v>0</v>
      </c>
      <c r="C539" s="319">
        <f>IF(AND('Ações'!AT548="sim", 'Ações'!BE548="sim"), 1, 0)
</f>
        <v>0</v>
      </c>
      <c r="D539" s="319">
        <f>IF(AND('Ações'!AU548="sim", 'Ações'!BF548="sim"), 1, 0)
</f>
        <v>0</v>
      </c>
      <c r="E539" s="319">
        <f>IF(AND('Ações'!AV548="sim", 'Ações'!BG548="sim"), 1, 0)
</f>
        <v>0</v>
      </c>
      <c r="F539" s="319">
        <f>IF(AND('Ações'!AW548="sim", 'Ações'!BH548="sim"), 1, 0)
</f>
        <v>0</v>
      </c>
      <c r="G539" s="319">
        <f>IF(AND('Ações'!AX548="sim", 'Ações'!BI548="sim"), 1, 0)
</f>
        <v>1</v>
      </c>
      <c r="H539" s="319">
        <f>IF(AND('Ações'!AS548="sim", 'Ações'!BE548="sim"), 1, 0)
</f>
        <v>0</v>
      </c>
      <c r="I539" s="319">
        <f>IF(AND('Ações'!AS548="sim", 'Ações'!BF548="sim"), 1, 0)
</f>
        <v>0</v>
      </c>
      <c r="J539" s="319">
        <f>IF(AND('Ações'!AS548="sim", 'Ações'!BG548="sim"), 1, 0)
</f>
        <v>0</v>
      </c>
      <c r="K539" s="319">
        <f>IF(AND('Ações'!AS548="sim", 'Ações'!BH548="sim"), 1, 0)
</f>
        <v>0</v>
      </c>
      <c r="L539" s="319">
        <f>IF(AND('Ações'!AS548="sim", 'Ações'!BI548="sim"), 1, 0)
</f>
        <v>0</v>
      </c>
      <c r="M539" s="319">
        <f>IF(AND('Ações'!AT548="sim", 'Ações'!BD548="sim"), 1, 0)
</f>
        <v>0</v>
      </c>
      <c r="N539" s="319">
        <f>IF(AND('Ações'!AT548="sim", 'Ações'!BF548="sim"), 1, 0)
</f>
        <v>0</v>
      </c>
      <c r="O539" s="319">
        <f>IF(AND('Ações'!AT548="sim", 'Ações'!BG548="sim"), 1, 0)
</f>
        <v>0</v>
      </c>
      <c r="P539" s="319">
        <f>IF(AND('Ações'!AT548="sim", 'Ações'!BH548="sim"), 1, 0)
</f>
        <v>0</v>
      </c>
      <c r="Q539" s="319">
        <f>IF(AND('Ações'!AT548="sim", 'Ações'!BI548="sim"), 1, 0)
</f>
        <v>0</v>
      </c>
      <c r="R539" s="319">
        <f>IF(AND('Ações'!AU548="sim", 'Ações'!BD548="sim"), 1, 0)
</f>
        <v>0</v>
      </c>
      <c r="S539" s="319">
        <f>IF(AND('Ações'!AU548="sim", 'Ações'!BE548="sim"), 1, 0)
</f>
        <v>0</v>
      </c>
      <c r="T539" s="319">
        <f>IF(AND('Ações'!AU548="sim", 'Ações'!BG548="sim"), 1, 0)
</f>
        <v>0</v>
      </c>
      <c r="U539" s="319">
        <f>IF(AND('Ações'!AU548="sim", 'Ações'!BH548="sim"), 1, 0)
</f>
        <v>0</v>
      </c>
      <c r="V539" s="319">
        <f>IF(AND('Ações'!AU548="sim", 'Ações'!BI548="sim"), 1, 0)
</f>
        <v>1</v>
      </c>
      <c r="W539" s="319">
        <f>IF(AND('Ações'!AV548="sim", 'Ações'!BD548="sim"), 1, 0)
</f>
        <v>0</v>
      </c>
      <c r="X539" s="319">
        <f>IF(AND('Ações'!AV548="sim", 'Ações'!BE548="sim"), 1, 0)
</f>
        <v>0</v>
      </c>
      <c r="Y539" s="319">
        <f>IF(AND('Ações'!AV548="sim", 'Ações'!BF548="sim"), 1, 0)
</f>
        <v>0</v>
      </c>
      <c r="Z539" s="319">
        <f>IF(AND('Ações'!AV548="sim", 'Ações'!BH548="sim"), 1, 0)
</f>
        <v>0</v>
      </c>
      <c r="AA539" s="319">
        <f>IF(AND('Ações'!AV548="sim", 'Ações'!BI548="sim"), 1, 0)
</f>
        <v>1</v>
      </c>
      <c r="AB539" s="319">
        <f>IF(AND('Ações'!AW548="sim", 'Ações'!BD548="sim"), 1, 0)
</f>
        <v>0</v>
      </c>
      <c r="AC539" s="319">
        <f>IF(AND('Ações'!AW548="sim", 'Ações'!BE548="sim"), 1, 0)
</f>
        <v>0</v>
      </c>
      <c r="AD539" s="319">
        <f>IF(AND('Ações'!AW548="sim", 'Ações'!BF548="sim"), 1, 0)
</f>
        <v>0</v>
      </c>
      <c r="AE539" s="319">
        <f>IF(AND('Ações'!AW548="sim", 'Ações'!BG548="sim"), 1, 0)
</f>
        <v>0</v>
      </c>
      <c r="AF539" s="319">
        <f>IF(AND('Ações'!AW548="sim", 'Ações'!BI548="sim"), 1, 0)
</f>
        <v>1</v>
      </c>
      <c r="AG539" s="319">
        <f>IF(AND('Ações'!AX548="sim", 'Ações'!BD548="sim"), 1, 0)
</f>
        <v>0</v>
      </c>
      <c r="AH539" s="319">
        <f>IF(AND('Ações'!AX548="sim", 'Ações'!BE548="sim"), 1, 0)
</f>
        <v>0</v>
      </c>
      <c r="AI539" s="319">
        <f>IF(AND('Ações'!AX548="sim", 'Ações'!BF548="sim"), 1, 0)
</f>
        <v>0</v>
      </c>
      <c r="AJ539" s="319">
        <f>IF(AND('Ações'!AX548="sim", 'Ações'!BG548="sim"), 1, 0)
</f>
        <v>0</v>
      </c>
      <c r="AK539" s="319">
        <f>IF(AND('Ações'!AX548="sim", 'Ações'!BH548="sim"), 1, 0)
</f>
        <v>0</v>
      </c>
    </row>
    <row r="540">
      <c r="B540" s="319">
        <f>IF(AND('Ações'!AS549="sim", 'Ações'!BD549="sim"), 1, 0)
</f>
        <v>0</v>
      </c>
      <c r="C540" s="319">
        <f>IF(AND('Ações'!AT549="sim", 'Ações'!BE549="sim"), 1, 0)
</f>
        <v>0</v>
      </c>
      <c r="D540" s="319">
        <f>IF(AND('Ações'!AU549="sim", 'Ações'!BF549="sim"), 1, 0)
</f>
        <v>0</v>
      </c>
      <c r="E540" s="319">
        <f>IF(AND('Ações'!AV549="sim", 'Ações'!BG549="sim"), 1, 0)
</f>
        <v>0</v>
      </c>
      <c r="F540" s="319">
        <f>IF(AND('Ações'!AW549="sim", 'Ações'!BH549="sim"), 1, 0)
</f>
        <v>0</v>
      </c>
      <c r="G540" s="319">
        <f>IF(AND('Ações'!AX549="sim", 'Ações'!BI549="sim"), 1, 0)
</f>
        <v>1</v>
      </c>
      <c r="H540" s="319">
        <f>IF(AND('Ações'!AS549="sim", 'Ações'!BE549="sim"), 1, 0)
</f>
        <v>0</v>
      </c>
      <c r="I540" s="319">
        <f>IF(AND('Ações'!AS549="sim", 'Ações'!BF549="sim"), 1, 0)
</f>
        <v>0</v>
      </c>
      <c r="J540" s="319">
        <f>IF(AND('Ações'!AS549="sim", 'Ações'!BG549="sim"), 1, 0)
</f>
        <v>0</v>
      </c>
      <c r="K540" s="319">
        <f>IF(AND('Ações'!AS549="sim", 'Ações'!BH549="sim"), 1, 0)
</f>
        <v>0</v>
      </c>
      <c r="L540" s="319">
        <f>IF(AND('Ações'!AS549="sim", 'Ações'!BI549="sim"), 1, 0)
</f>
        <v>0</v>
      </c>
      <c r="M540" s="319">
        <f>IF(AND('Ações'!AT549="sim", 'Ações'!BD549="sim"), 1, 0)
</f>
        <v>0</v>
      </c>
      <c r="N540" s="319">
        <f>IF(AND('Ações'!AT549="sim", 'Ações'!BF549="sim"), 1, 0)
</f>
        <v>0</v>
      </c>
      <c r="O540" s="319">
        <f>IF(AND('Ações'!AT549="sim", 'Ações'!BG549="sim"), 1, 0)
</f>
        <v>0</v>
      </c>
      <c r="P540" s="319">
        <f>IF(AND('Ações'!AT549="sim", 'Ações'!BH549="sim"), 1, 0)
</f>
        <v>0</v>
      </c>
      <c r="Q540" s="319">
        <f>IF(AND('Ações'!AT549="sim", 'Ações'!BI549="sim"), 1, 0)
</f>
        <v>0</v>
      </c>
      <c r="R540" s="319">
        <f>IF(AND('Ações'!AU549="sim", 'Ações'!BD549="sim"), 1, 0)
</f>
        <v>0</v>
      </c>
      <c r="S540" s="319">
        <f>IF(AND('Ações'!AU549="sim", 'Ações'!BE549="sim"), 1, 0)
</f>
        <v>0</v>
      </c>
      <c r="T540" s="319">
        <f>IF(AND('Ações'!AU549="sim", 'Ações'!BG549="sim"), 1, 0)
</f>
        <v>0</v>
      </c>
      <c r="U540" s="319">
        <f>IF(AND('Ações'!AU549="sim", 'Ações'!BH549="sim"), 1, 0)
</f>
        <v>0</v>
      </c>
      <c r="V540" s="319">
        <f>IF(AND('Ações'!AU549="sim", 'Ações'!BI549="sim"), 1, 0)
</f>
        <v>1</v>
      </c>
      <c r="W540" s="319">
        <f>IF(AND('Ações'!AV549="sim", 'Ações'!BD549="sim"), 1, 0)
</f>
        <v>0</v>
      </c>
      <c r="X540" s="319">
        <f>IF(AND('Ações'!AV549="sim", 'Ações'!BE549="sim"), 1, 0)
</f>
        <v>0</v>
      </c>
      <c r="Y540" s="319">
        <f>IF(AND('Ações'!AV549="sim", 'Ações'!BF549="sim"), 1, 0)
</f>
        <v>0</v>
      </c>
      <c r="Z540" s="319">
        <f>IF(AND('Ações'!AV549="sim", 'Ações'!BH549="sim"), 1, 0)
</f>
        <v>0</v>
      </c>
      <c r="AA540" s="319">
        <f>IF(AND('Ações'!AV549="sim", 'Ações'!BI549="sim"), 1, 0)
</f>
        <v>1</v>
      </c>
      <c r="AB540" s="319">
        <f>IF(AND('Ações'!AW549="sim", 'Ações'!BD549="sim"), 1, 0)
</f>
        <v>0</v>
      </c>
      <c r="AC540" s="319">
        <f>IF(AND('Ações'!AW549="sim", 'Ações'!BE549="sim"), 1, 0)
</f>
        <v>0</v>
      </c>
      <c r="AD540" s="319">
        <f>IF(AND('Ações'!AW549="sim", 'Ações'!BF549="sim"), 1, 0)
</f>
        <v>0</v>
      </c>
      <c r="AE540" s="319">
        <f>IF(AND('Ações'!AW549="sim", 'Ações'!BG549="sim"), 1, 0)
</f>
        <v>0</v>
      </c>
      <c r="AF540" s="319">
        <f>IF(AND('Ações'!AW549="sim", 'Ações'!BI549="sim"), 1, 0)
</f>
        <v>1</v>
      </c>
      <c r="AG540" s="319">
        <f>IF(AND('Ações'!AX549="sim", 'Ações'!BD549="sim"), 1, 0)
</f>
        <v>0</v>
      </c>
      <c r="AH540" s="319">
        <f>IF(AND('Ações'!AX549="sim", 'Ações'!BE549="sim"), 1, 0)
</f>
        <v>0</v>
      </c>
      <c r="AI540" s="319">
        <f>IF(AND('Ações'!AX549="sim", 'Ações'!BF549="sim"), 1, 0)
</f>
        <v>0</v>
      </c>
      <c r="AJ540" s="319">
        <f>IF(AND('Ações'!AX549="sim", 'Ações'!BG549="sim"), 1, 0)
</f>
        <v>0</v>
      </c>
      <c r="AK540" s="319">
        <f>IF(AND('Ações'!AX549="sim", 'Ações'!BH549="sim"), 1, 0)
</f>
        <v>0</v>
      </c>
    </row>
    <row r="541">
      <c r="B541" s="319">
        <f>IF(AND('Ações'!AS550="sim", 'Ações'!BD550="sim"), 1, 0)
</f>
        <v>0</v>
      </c>
      <c r="C541" s="319">
        <f>IF(AND('Ações'!AT550="sim", 'Ações'!BE550="sim"), 1, 0)
</f>
        <v>0</v>
      </c>
      <c r="D541" s="319">
        <f>IF(AND('Ações'!AU550="sim", 'Ações'!BF550="sim"), 1, 0)
</f>
        <v>0</v>
      </c>
      <c r="E541" s="319">
        <f>IF(AND('Ações'!AV550="sim", 'Ações'!BG550="sim"), 1, 0)
</f>
        <v>0</v>
      </c>
      <c r="F541" s="319">
        <f>IF(AND('Ações'!AW550="sim", 'Ações'!BH550="sim"), 1, 0)
</f>
        <v>0</v>
      </c>
      <c r="G541" s="319">
        <f>IF(AND('Ações'!AX550="sim", 'Ações'!BI550="sim"), 1, 0)
</f>
        <v>1</v>
      </c>
      <c r="H541" s="319">
        <f>IF(AND('Ações'!AS550="sim", 'Ações'!BE550="sim"), 1, 0)
</f>
        <v>0</v>
      </c>
      <c r="I541" s="319">
        <f>IF(AND('Ações'!AS550="sim", 'Ações'!BF550="sim"), 1, 0)
</f>
        <v>0</v>
      </c>
      <c r="J541" s="319">
        <f>IF(AND('Ações'!AS550="sim", 'Ações'!BG550="sim"), 1, 0)
</f>
        <v>0</v>
      </c>
      <c r="K541" s="319">
        <f>IF(AND('Ações'!AS550="sim", 'Ações'!BH550="sim"), 1, 0)
</f>
        <v>0</v>
      </c>
      <c r="L541" s="319">
        <f>IF(AND('Ações'!AS550="sim", 'Ações'!BI550="sim"), 1, 0)
</f>
        <v>0</v>
      </c>
      <c r="M541" s="319">
        <f>IF(AND('Ações'!AT550="sim", 'Ações'!BD550="sim"), 1, 0)
</f>
        <v>0</v>
      </c>
      <c r="N541" s="319">
        <f>IF(AND('Ações'!AT550="sim", 'Ações'!BF550="sim"), 1, 0)
</f>
        <v>0</v>
      </c>
      <c r="O541" s="319">
        <f>IF(AND('Ações'!AT550="sim", 'Ações'!BG550="sim"), 1, 0)
</f>
        <v>0</v>
      </c>
      <c r="P541" s="319">
        <f>IF(AND('Ações'!AT550="sim", 'Ações'!BH550="sim"), 1, 0)
</f>
        <v>0</v>
      </c>
      <c r="Q541" s="319">
        <f>IF(AND('Ações'!AT550="sim", 'Ações'!BI550="sim"), 1, 0)
</f>
        <v>0</v>
      </c>
      <c r="R541" s="319">
        <f>IF(AND('Ações'!AU550="sim", 'Ações'!BD550="sim"), 1, 0)
</f>
        <v>0</v>
      </c>
      <c r="S541" s="319">
        <f>IF(AND('Ações'!AU550="sim", 'Ações'!BE550="sim"), 1, 0)
</f>
        <v>0</v>
      </c>
      <c r="T541" s="319">
        <f>IF(AND('Ações'!AU550="sim", 'Ações'!BG550="sim"), 1, 0)
</f>
        <v>0</v>
      </c>
      <c r="U541" s="319">
        <f>IF(AND('Ações'!AU550="sim", 'Ações'!BH550="sim"), 1, 0)
</f>
        <v>0</v>
      </c>
      <c r="V541" s="319">
        <f>IF(AND('Ações'!AU550="sim", 'Ações'!BI550="sim"), 1, 0)
</f>
        <v>1</v>
      </c>
      <c r="W541" s="319">
        <f>IF(AND('Ações'!AV550="sim", 'Ações'!BD550="sim"), 1, 0)
</f>
        <v>0</v>
      </c>
      <c r="X541" s="319">
        <f>IF(AND('Ações'!AV550="sim", 'Ações'!BE550="sim"), 1, 0)
</f>
        <v>0</v>
      </c>
      <c r="Y541" s="319">
        <f>IF(AND('Ações'!AV550="sim", 'Ações'!BF550="sim"), 1, 0)
</f>
        <v>0</v>
      </c>
      <c r="Z541" s="319">
        <f>IF(AND('Ações'!AV550="sim", 'Ações'!BH550="sim"), 1, 0)
</f>
        <v>0</v>
      </c>
      <c r="AA541" s="319">
        <f>IF(AND('Ações'!AV550="sim", 'Ações'!BI550="sim"), 1, 0)
</f>
        <v>1</v>
      </c>
      <c r="AB541" s="319">
        <f>IF(AND('Ações'!AW550="sim", 'Ações'!BD550="sim"), 1, 0)
</f>
        <v>0</v>
      </c>
      <c r="AC541" s="319">
        <f>IF(AND('Ações'!AW550="sim", 'Ações'!BE550="sim"), 1, 0)
</f>
        <v>0</v>
      </c>
      <c r="AD541" s="319">
        <f>IF(AND('Ações'!AW550="sim", 'Ações'!BF550="sim"), 1, 0)
</f>
        <v>0</v>
      </c>
      <c r="AE541" s="319">
        <f>IF(AND('Ações'!AW550="sim", 'Ações'!BG550="sim"), 1, 0)
</f>
        <v>0</v>
      </c>
      <c r="AF541" s="319">
        <f>IF(AND('Ações'!AW550="sim", 'Ações'!BI550="sim"), 1, 0)
</f>
        <v>1</v>
      </c>
      <c r="AG541" s="319">
        <f>IF(AND('Ações'!AX550="sim", 'Ações'!BD550="sim"), 1, 0)
</f>
        <v>0</v>
      </c>
      <c r="AH541" s="319">
        <f>IF(AND('Ações'!AX550="sim", 'Ações'!BE550="sim"), 1, 0)
</f>
        <v>0</v>
      </c>
      <c r="AI541" s="319">
        <f>IF(AND('Ações'!AX550="sim", 'Ações'!BF550="sim"), 1, 0)
</f>
        <v>0</v>
      </c>
      <c r="AJ541" s="319">
        <f>IF(AND('Ações'!AX550="sim", 'Ações'!BG550="sim"), 1, 0)
</f>
        <v>0</v>
      </c>
      <c r="AK541" s="319">
        <f>IF(AND('Ações'!AX550="sim", 'Ações'!BH550="sim"), 1, 0)
</f>
        <v>0</v>
      </c>
    </row>
    <row r="542">
      <c r="B542" s="319">
        <f>IF(AND('Ações'!AS551="sim", 'Ações'!BD551="sim"), 1, 0)
</f>
        <v>0</v>
      </c>
      <c r="C542" s="319">
        <f>IF(AND('Ações'!AT551="sim", 'Ações'!BE551="sim"), 1, 0)
</f>
        <v>0</v>
      </c>
      <c r="D542" s="319">
        <f>IF(AND('Ações'!AU551="sim", 'Ações'!BF551="sim"), 1, 0)
</f>
        <v>0</v>
      </c>
      <c r="E542" s="319">
        <f>IF(AND('Ações'!AV551="sim", 'Ações'!BG551="sim"), 1, 0)
</f>
        <v>0</v>
      </c>
      <c r="F542" s="319">
        <f>IF(AND('Ações'!AW551="sim", 'Ações'!BH551="sim"), 1, 0)
</f>
        <v>0</v>
      </c>
      <c r="G542" s="319">
        <f>IF(AND('Ações'!AX551="sim", 'Ações'!BI551="sim"), 1, 0)
</f>
        <v>0</v>
      </c>
      <c r="H542" s="319">
        <f>IF(AND('Ações'!AS551="sim", 'Ações'!BE551="sim"), 1, 0)
</f>
        <v>0</v>
      </c>
      <c r="I542" s="319">
        <f>IF(AND('Ações'!AS551="sim", 'Ações'!BF551="sim"), 1, 0)
</f>
        <v>0</v>
      </c>
      <c r="J542" s="319">
        <f>IF(AND('Ações'!AS551="sim", 'Ações'!BG551="sim"), 1, 0)
</f>
        <v>0</v>
      </c>
      <c r="K542" s="319">
        <f>IF(AND('Ações'!AS551="sim", 'Ações'!BH551="sim"), 1, 0)
</f>
        <v>0</v>
      </c>
      <c r="L542" s="319">
        <f>IF(AND('Ações'!AS551="sim", 'Ações'!BI551="sim"), 1, 0)
</f>
        <v>0</v>
      </c>
      <c r="M542" s="319">
        <f>IF(AND('Ações'!AT551="sim", 'Ações'!BD551="sim"), 1, 0)
</f>
        <v>0</v>
      </c>
      <c r="N542" s="319">
        <f>IF(AND('Ações'!AT551="sim", 'Ações'!BF551="sim"), 1, 0)
</f>
        <v>0</v>
      </c>
      <c r="O542" s="319">
        <f>IF(AND('Ações'!AT551="sim", 'Ações'!BG551="sim"), 1, 0)
</f>
        <v>0</v>
      </c>
      <c r="P542" s="319">
        <f>IF(AND('Ações'!AT551="sim", 'Ações'!BH551="sim"), 1, 0)
</f>
        <v>0</v>
      </c>
      <c r="Q542" s="319">
        <f>IF(AND('Ações'!AT551="sim", 'Ações'!BI551="sim"), 1, 0)
</f>
        <v>0</v>
      </c>
      <c r="R542" s="319">
        <f>IF(AND('Ações'!AU551="sim", 'Ações'!BD551="sim"), 1, 0)
</f>
        <v>1</v>
      </c>
      <c r="S542" s="319">
        <f>IF(AND('Ações'!AU551="sim", 'Ações'!BE551="sim"), 1, 0)
</f>
        <v>0</v>
      </c>
      <c r="T542" s="319">
        <f>IF(AND('Ações'!AU551="sim", 'Ações'!BG551="sim"), 1, 0)
</f>
        <v>0</v>
      </c>
      <c r="U542" s="319">
        <f>IF(AND('Ações'!AU551="sim", 'Ações'!BH551="sim"), 1, 0)
</f>
        <v>0</v>
      </c>
      <c r="V542" s="319">
        <f>IF(AND('Ações'!AU551="sim", 'Ações'!BI551="sim"), 1, 0)
</f>
        <v>0</v>
      </c>
      <c r="W542" s="319">
        <f>IF(AND('Ações'!AV551="sim", 'Ações'!BD551="sim"), 1, 0)
</f>
        <v>1</v>
      </c>
      <c r="X542" s="319">
        <f>IF(AND('Ações'!AV551="sim", 'Ações'!BE551="sim"), 1, 0)
</f>
        <v>0</v>
      </c>
      <c r="Y542" s="319">
        <f>IF(AND('Ações'!AV551="sim", 'Ações'!BF551="sim"), 1, 0)
</f>
        <v>0</v>
      </c>
      <c r="Z542" s="319">
        <f>IF(AND('Ações'!AV551="sim", 'Ações'!BH551="sim"), 1, 0)
</f>
        <v>0</v>
      </c>
      <c r="AA542" s="319">
        <f>IF(AND('Ações'!AV551="sim", 'Ações'!BI551="sim"), 1, 0)
</f>
        <v>0</v>
      </c>
      <c r="AB542" s="319">
        <f>IF(AND('Ações'!AW551="sim", 'Ações'!BD551="sim"), 1, 0)
</f>
        <v>1</v>
      </c>
      <c r="AC542" s="319">
        <f>IF(AND('Ações'!AW551="sim", 'Ações'!BE551="sim"), 1, 0)
</f>
        <v>0</v>
      </c>
      <c r="AD542" s="319">
        <f>IF(AND('Ações'!AW551="sim", 'Ações'!BF551="sim"), 1, 0)
</f>
        <v>0</v>
      </c>
      <c r="AE542" s="319">
        <f>IF(AND('Ações'!AW551="sim", 'Ações'!BG551="sim"), 1, 0)
</f>
        <v>0</v>
      </c>
      <c r="AF542" s="319">
        <f>IF(AND('Ações'!AW551="sim", 'Ações'!BI551="sim"), 1, 0)
</f>
        <v>0</v>
      </c>
      <c r="AG542" s="319">
        <f>IF(AND('Ações'!AX551="sim", 'Ações'!BD551="sim"), 1, 0)
</f>
        <v>1</v>
      </c>
      <c r="AH542" s="319">
        <f>IF(AND('Ações'!AX551="sim", 'Ações'!BE551="sim"), 1, 0)
</f>
        <v>0</v>
      </c>
      <c r="AI542" s="319">
        <f>IF(AND('Ações'!AX551="sim", 'Ações'!BF551="sim"), 1, 0)
</f>
        <v>0</v>
      </c>
      <c r="AJ542" s="319">
        <f>IF(AND('Ações'!AX551="sim", 'Ações'!BG551="sim"), 1, 0)
</f>
        <v>0</v>
      </c>
      <c r="AK542" s="319">
        <f>IF(AND('Ações'!AX551="sim", 'Ações'!BH551="sim"), 1, 0)
</f>
        <v>0</v>
      </c>
    </row>
    <row r="543">
      <c r="B543" s="319">
        <f>IF(AND('Ações'!AS552="sim", 'Ações'!BD552="sim"), 1, 0)
</f>
        <v>0</v>
      </c>
      <c r="C543" s="319">
        <f>IF(AND('Ações'!AT552="sim", 'Ações'!BE552="sim"), 1, 0)
</f>
        <v>0</v>
      </c>
      <c r="D543" s="319">
        <f>IF(AND('Ações'!AU552="sim", 'Ações'!BF552="sim"), 1, 0)
</f>
        <v>0</v>
      </c>
      <c r="E543" s="319">
        <f>IF(AND('Ações'!AV552="sim", 'Ações'!BG552="sim"), 1, 0)
</f>
        <v>0</v>
      </c>
      <c r="F543" s="319">
        <f>IF(AND('Ações'!AW552="sim", 'Ações'!BH552="sim"), 1, 0)
</f>
        <v>0</v>
      </c>
      <c r="G543" s="319">
        <f>IF(AND('Ações'!AX552="sim", 'Ações'!BI552="sim"), 1, 0)
</f>
        <v>0</v>
      </c>
      <c r="H543" s="319">
        <f>IF(AND('Ações'!AS552="sim", 'Ações'!BE552="sim"), 1, 0)
</f>
        <v>0</v>
      </c>
      <c r="I543" s="319">
        <f>IF(AND('Ações'!AS552="sim", 'Ações'!BF552="sim"), 1, 0)
</f>
        <v>0</v>
      </c>
      <c r="J543" s="319">
        <f>IF(AND('Ações'!AS552="sim", 'Ações'!BG552="sim"), 1, 0)
</f>
        <v>0</v>
      </c>
      <c r="K543" s="319">
        <f>IF(AND('Ações'!AS552="sim", 'Ações'!BH552="sim"), 1, 0)
</f>
        <v>0</v>
      </c>
      <c r="L543" s="319">
        <f>IF(AND('Ações'!AS552="sim", 'Ações'!BI552="sim"), 1, 0)
</f>
        <v>0</v>
      </c>
      <c r="M543" s="319">
        <f>IF(AND('Ações'!AT552="sim", 'Ações'!BD552="sim"), 1, 0)
</f>
        <v>0</v>
      </c>
      <c r="N543" s="319">
        <f>IF(AND('Ações'!AT552="sim", 'Ações'!BF552="sim"), 1, 0)
</f>
        <v>0</v>
      </c>
      <c r="O543" s="319">
        <f>IF(AND('Ações'!AT552="sim", 'Ações'!BG552="sim"), 1, 0)
</f>
        <v>0</v>
      </c>
      <c r="P543" s="319">
        <f>IF(AND('Ações'!AT552="sim", 'Ações'!BH552="sim"), 1, 0)
</f>
        <v>0</v>
      </c>
      <c r="Q543" s="319">
        <f>IF(AND('Ações'!AT552="sim", 'Ações'!BI552="sim"), 1, 0)
</f>
        <v>0</v>
      </c>
      <c r="R543" s="319">
        <f>IF(AND('Ações'!AU552="sim", 'Ações'!BD552="sim"), 1, 0)
</f>
        <v>0</v>
      </c>
      <c r="S543" s="319">
        <f>IF(AND('Ações'!AU552="sim", 'Ações'!BE552="sim"), 1, 0)
</f>
        <v>0</v>
      </c>
      <c r="T543" s="319">
        <f>IF(AND('Ações'!AU552="sim", 'Ações'!BG552="sim"), 1, 0)
</f>
        <v>0</v>
      </c>
      <c r="U543" s="319">
        <f>IF(AND('Ações'!AU552="sim", 'Ações'!BH552="sim"), 1, 0)
</f>
        <v>0</v>
      </c>
      <c r="V543" s="319">
        <f>IF(AND('Ações'!AU552="sim", 'Ações'!BI552="sim"), 1, 0)
</f>
        <v>0</v>
      </c>
      <c r="W543" s="319">
        <f>IF(AND('Ações'!AV552="sim", 'Ações'!BD552="sim"), 1, 0)
</f>
        <v>0</v>
      </c>
      <c r="X543" s="319">
        <f>IF(AND('Ações'!AV552="sim", 'Ações'!BE552="sim"), 1, 0)
</f>
        <v>0</v>
      </c>
      <c r="Y543" s="319">
        <f>IF(AND('Ações'!AV552="sim", 'Ações'!BF552="sim"), 1, 0)
</f>
        <v>0</v>
      </c>
      <c r="Z543" s="319">
        <f>IF(AND('Ações'!AV552="sim", 'Ações'!BH552="sim"), 1, 0)
</f>
        <v>0</v>
      </c>
      <c r="AA543" s="319">
        <f>IF(AND('Ações'!AV552="sim", 'Ações'!BI552="sim"), 1, 0)
</f>
        <v>0</v>
      </c>
      <c r="AB543" s="319">
        <f>IF(AND('Ações'!AW552="sim", 'Ações'!BD552="sim"), 1, 0)
</f>
        <v>0</v>
      </c>
      <c r="AC543" s="319">
        <f>IF(AND('Ações'!AW552="sim", 'Ações'!BE552="sim"), 1, 0)
</f>
        <v>0</v>
      </c>
      <c r="AD543" s="319">
        <f>IF(AND('Ações'!AW552="sim", 'Ações'!BF552="sim"), 1, 0)
</f>
        <v>0</v>
      </c>
      <c r="AE543" s="319">
        <f>IF(AND('Ações'!AW552="sim", 'Ações'!BG552="sim"), 1, 0)
</f>
        <v>0</v>
      </c>
      <c r="AF543" s="319">
        <f>IF(AND('Ações'!AW552="sim", 'Ações'!BI552="sim"), 1, 0)
</f>
        <v>0</v>
      </c>
      <c r="AG543" s="319">
        <f>IF(AND('Ações'!AX552="sim", 'Ações'!BD552="sim"), 1, 0)
</f>
        <v>0</v>
      </c>
      <c r="AH543" s="319">
        <f>IF(AND('Ações'!AX552="sim", 'Ações'!BE552="sim"), 1, 0)
</f>
        <v>0</v>
      </c>
      <c r="AI543" s="319">
        <f>IF(AND('Ações'!AX552="sim", 'Ações'!BF552="sim"), 1, 0)
</f>
        <v>0</v>
      </c>
      <c r="AJ543" s="319">
        <f>IF(AND('Ações'!AX552="sim", 'Ações'!BG552="sim"), 1, 0)
</f>
        <v>0</v>
      </c>
      <c r="AK543" s="319">
        <f>IF(AND('Ações'!AX552="sim", 'Ações'!BH552="sim"), 1, 0)
</f>
        <v>0</v>
      </c>
    </row>
    <row r="544">
      <c r="B544" s="319">
        <f>IF(AND('Ações'!AS553="sim", 'Ações'!BD553="sim"), 1, 0)
</f>
        <v>0</v>
      </c>
      <c r="C544" s="319">
        <f>IF(AND('Ações'!AT553="sim", 'Ações'!BE553="sim"), 1, 0)
</f>
        <v>0</v>
      </c>
      <c r="D544" s="319">
        <f>IF(AND('Ações'!AU553="sim", 'Ações'!BF553="sim"), 1, 0)
</f>
        <v>0</v>
      </c>
      <c r="E544" s="319">
        <f>IF(AND('Ações'!AV553="sim", 'Ações'!BG553="sim"), 1, 0)
</f>
        <v>0</v>
      </c>
      <c r="F544" s="319">
        <f>IF(AND('Ações'!AW553="sim", 'Ações'!BH553="sim"), 1, 0)
</f>
        <v>1</v>
      </c>
      <c r="G544" s="319">
        <f>IF(AND('Ações'!AX553="sim", 'Ações'!BI553="sim"), 1, 0)
</f>
        <v>1</v>
      </c>
      <c r="H544" s="319">
        <f>IF(AND('Ações'!AS553="sim", 'Ações'!BE553="sim"), 1, 0)
</f>
        <v>0</v>
      </c>
      <c r="I544" s="319">
        <f>IF(AND('Ações'!AS553="sim", 'Ações'!BF553="sim"), 1, 0)
</f>
        <v>0</v>
      </c>
      <c r="J544" s="319">
        <f>IF(AND('Ações'!AS553="sim", 'Ações'!BG553="sim"), 1, 0)
</f>
        <v>0</v>
      </c>
      <c r="K544" s="319">
        <f>IF(AND('Ações'!AS553="sim", 'Ações'!BH553="sim"), 1, 0)
</f>
        <v>0</v>
      </c>
      <c r="L544" s="319">
        <f>IF(AND('Ações'!AS553="sim", 'Ações'!BI553="sim"), 1, 0)
</f>
        <v>0</v>
      </c>
      <c r="M544" s="319">
        <f>IF(AND('Ações'!AT553="sim", 'Ações'!BD553="sim"), 1, 0)
</f>
        <v>0</v>
      </c>
      <c r="N544" s="319">
        <f>IF(AND('Ações'!AT553="sim", 'Ações'!BF553="sim"), 1, 0)
</f>
        <v>0</v>
      </c>
      <c r="O544" s="319">
        <f>IF(AND('Ações'!AT553="sim", 'Ações'!BG553="sim"), 1, 0)
</f>
        <v>0</v>
      </c>
      <c r="P544" s="319">
        <f>IF(AND('Ações'!AT553="sim", 'Ações'!BH553="sim"), 1, 0)
</f>
        <v>0</v>
      </c>
      <c r="Q544" s="319">
        <f>IF(AND('Ações'!AT553="sim", 'Ações'!BI553="sim"), 1, 0)
</f>
        <v>0</v>
      </c>
      <c r="R544" s="319">
        <f>IF(AND('Ações'!AU553="sim", 'Ações'!BD553="sim"), 1, 0)
</f>
        <v>0</v>
      </c>
      <c r="S544" s="319">
        <f>IF(AND('Ações'!AU553="sim", 'Ações'!BE553="sim"), 1, 0)
</f>
        <v>0</v>
      </c>
      <c r="T544" s="319">
        <f>IF(AND('Ações'!AU553="sim", 'Ações'!BG553="sim"), 1, 0)
</f>
        <v>0</v>
      </c>
      <c r="U544" s="319">
        <f>IF(AND('Ações'!AU553="sim", 'Ações'!BH553="sim"), 1, 0)
</f>
        <v>0</v>
      </c>
      <c r="V544" s="319">
        <f>IF(AND('Ações'!AU553="sim", 'Ações'!BI553="sim"), 1, 0)
</f>
        <v>0</v>
      </c>
      <c r="W544" s="319">
        <f>IF(AND('Ações'!AV553="sim", 'Ações'!BD553="sim"), 1, 0)
</f>
        <v>0</v>
      </c>
      <c r="X544" s="319">
        <f>IF(AND('Ações'!AV553="sim", 'Ações'!BE553="sim"), 1, 0)
</f>
        <v>0</v>
      </c>
      <c r="Y544" s="319">
        <f>IF(AND('Ações'!AV553="sim", 'Ações'!BF553="sim"), 1, 0)
</f>
        <v>0</v>
      </c>
      <c r="Z544" s="319">
        <f>IF(AND('Ações'!AV553="sim", 'Ações'!BH553="sim"), 1, 0)
</f>
        <v>1</v>
      </c>
      <c r="AA544" s="319">
        <f>IF(AND('Ações'!AV553="sim", 'Ações'!BI553="sim"), 1, 0)
</f>
        <v>1</v>
      </c>
      <c r="AB544" s="319">
        <f>IF(AND('Ações'!AW553="sim", 'Ações'!BD553="sim"), 1, 0)
</f>
        <v>0</v>
      </c>
      <c r="AC544" s="319">
        <f>IF(AND('Ações'!AW553="sim", 'Ações'!BE553="sim"), 1, 0)
</f>
        <v>0</v>
      </c>
      <c r="AD544" s="319">
        <f>IF(AND('Ações'!AW553="sim", 'Ações'!BF553="sim"), 1, 0)
</f>
        <v>0</v>
      </c>
      <c r="AE544" s="319">
        <f>IF(AND('Ações'!AW553="sim", 'Ações'!BG553="sim"), 1, 0)
</f>
        <v>0</v>
      </c>
      <c r="AF544" s="319">
        <f>IF(AND('Ações'!AW553="sim", 'Ações'!BI553="sim"), 1, 0)
</f>
        <v>1</v>
      </c>
      <c r="AG544" s="319">
        <f>IF(AND('Ações'!AX553="sim", 'Ações'!BD553="sim"), 1, 0)
</f>
        <v>0</v>
      </c>
      <c r="AH544" s="319">
        <f>IF(AND('Ações'!AX553="sim", 'Ações'!BE553="sim"), 1, 0)
</f>
        <v>0</v>
      </c>
      <c r="AI544" s="319">
        <f>IF(AND('Ações'!AX553="sim", 'Ações'!BF553="sim"), 1, 0)
</f>
        <v>0</v>
      </c>
      <c r="AJ544" s="319">
        <f>IF(AND('Ações'!AX553="sim", 'Ações'!BG553="sim"), 1, 0)
</f>
        <v>0</v>
      </c>
      <c r="AK544" s="319">
        <f>IF(AND('Ações'!AX553="sim", 'Ações'!BH553="sim"), 1, 0)
</f>
        <v>1</v>
      </c>
    </row>
    <row r="545">
      <c r="B545" s="319">
        <f>IF(AND('Ações'!AS554="sim", 'Ações'!BD554="sim"), 1, 0)
</f>
        <v>0</v>
      </c>
      <c r="C545" s="319">
        <f>IF(AND('Ações'!AT554="sim", 'Ações'!BE554="sim"), 1, 0)
</f>
        <v>0</v>
      </c>
      <c r="D545" s="319">
        <f>IF(AND('Ações'!AU554="sim", 'Ações'!BF554="sim"), 1, 0)
</f>
        <v>0</v>
      </c>
      <c r="E545" s="319">
        <f>IF(AND('Ações'!AV554="sim", 'Ações'!BG554="sim"), 1, 0)
</f>
        <v>0</v>
      </c>
      <c r="F545" s="319">
        <f>IF(AND('Ações'!AW554="sim", 'Ações'!BH554="sim"), 1, 0)
</f>
        <v>1</v>
      </c>
      <c r="G545" s="319">
        <f>IF(AND('Ações'!AX554="sim", 'Ações'!BI554="sim"), 1, 0)
</f>
        <v>1</v>
      </c>
      <c r="H545" s="319">
        <f>IF(AND('Ações'!AS554="sim", 'Ações'!BE554="sim"), 1, 0)
</f>
        <v>0</v>
      </c>
      <c r="I545" s="319">
        <f>IF(AND('Ações'!AS554="sim", 'Ações'!BF554="sim"), 1, 0)
</f>
        <v>0</v>
      </c>
      <c r="J545" s="319">
        <f>IF(AND('Ações'!AS554="sim", 'Ações'!BG554="sim"), 1, 0)
</f>
        <v>0</v>
      </c>
      <c r="K545" s="319">
        <f>IF(AND('Ações'!AS554="sim", 'Ações'!BH554="sim"), 1, 0)
</f>
        <v>0</v>
      </c>
      <c r="L545" s="319">
        <f>IF(AND('Ações'!AS554="sim", 'Ações'!BI554="sim"), 1, 0)
</f>
        <v>0</v>
      </c>
      <c r="M545" s="319">
        <f>IF(AND('Ações'!AT554="sim", 'Ações'!BD554="sim"), 1, 0)
</f>
        <v>0</v>
      </c>
      <c r="N545" s="319">
        <f>IF(AND('Ações'!AT554="sim", 'Ações'!BF554="sim"), 1, 0)
</f>
        <v>0</v>
      </c>
      <c r="O545" s="319">
        <f>IF(AND('Ações'!AT554="sim", 'Ações'!BG554="sim"), 1, 0)
</f>
        <v>0</v>
      </c>
      <c r="P545" s="319">
        <f>IF(AND('Ações'!AT554="sim", 'Ações'!BH554="sim"), 1, 0)
</f>
        <v>0</v>
      </c>
      <c r="Q545" s="319">
        <f>IF(AND('Ações'!AT554="sim", 'Ações'!BI554="sim"), 1, 0)
</f>
        <v>0</v>
      </c>
      <c r="R545" s="319">
        <f>IF(AND('Ações'!AU554="sim", 'Ações'!BD554="sim"), 1, 0)
</f>
        <v>0</v>
      </c>
      <c r="S545" s="319">
        <f>IF(AND('Ações'!AU554="sim", 'Ações'!BE554="sim"), 1, 0)
</f>
        <v>0</v>
      </c>
      <c r="T545" s="319">
        <f>IF(AND('Ações'!AU554="sim", 'Ações'!BG554="sim"), 1, 0)
</f>
        <v>0</v>
      </c>
      <c r="U545" s="319">
        <f>IF(AND('Ações'!AU554="sim", 'Ações'!BH554="sim"), 1, 0)
</f>
        <v>0</v>
      </c>
      <c r="V545" s="319">
        <f>IF(AND('Ações'!AU554="sim", 'Ações'!BI554="sim"), 1, 0)
</f>
        <v>0</v>
      </c>
      <c r="W545" s="319">
        <f>IF(AND('Ações'!AV554="sim", 'Ações'!BD554="sim"), 1, 0)
</f>
        <v>0</v>
      </c>
      <c r="X545" s="319">
        <f>IF(AND('Ações'!AV554="sim", 'Ações'!BE554="sim"), 1, 0)
</f>
        <v>0</v>
      </c>
      <c r="Y545" s="319">
        <f>IF(AND('Ações'!AV554="sim", 'Ações'!BF554="sim"), 1, 0)
</f>
        <v>0</v>
      </c>
      <c r="Z545" s="319">
        <f>IF(AND('Ações'!AV554="sim", 'Ações'!BH554="sim"), 1, 0)
</f>
        <v>1</v>
      </c>
      <c r="AA545" s="319">
        <f>IF(AND('Ações'!AV554="sim", 'Ações'!BI554="sim"), 1, 0)
</f>
        <v>1</v>
      </c>
      <c r="AB545" s="319">
        <f>IF(AND('Ações'!AW554="sim", 'Ações'!BD554="sim"), 1, 0)
</f>
        <v>0</v>
      </c>
      <c r="AC545" s="319">
        <f>IF(AND('Ações'!AW554="sim", 'Ações'!BE554="sim"), 1, 0)
</f>
        <v>0</v>
      </c>
      <c r="AD545" s="319">
        <f>IF(AND('Ações'!AW554="sim", 'Ações'!BF554="sim"), 1, 0)
</f>
        <v>0</v>
      </c>
      <c r="AE545" s="319">
        <f>IF(AND('Ações'!AW554="sim", 'Ações'!BG554="sim"), 1, 0)
</f>
        <v>0</v>
      </c>
      <c r="AF545" s="319">
        <f>IF(AND('Ações'!AW554="sim", 'Ações'!BI554="sim"), 1, 0)
</f>
        <v>1</v>
      </c>
      <c r="AG545" s="319">
        <f>IF(AND('Ações'!AX554="sim", 'Ações'!BD554="sim"), 1, 0)
</f>
        <v>0</v>
      </c>
      <c r="AH545" s="319">
        <f>IF(AND('Ações'!AX554="sim", 'Ações'!BE554="sim"), 1, 0)
</f>
        <v>0</v>
      </c>
      <c r="AI545" s="319">
        <f>IF(AND('Ações'!AX554="sim", 'Ações'!BF554="sim"), 1, 0)
</f>
        <v>0</v>
      </c>
      <c r="AJ545" s="319">
        <f>IF(AND('Ações'!AX554="sim", 'Ações'!BG554="sim"), 1, 0)
</f>
        <v>0</v>
      </c>
      <c r="AK545" s="319">
        <f>IF(AND('Ações'!AX554="sim", 'Ações'!BH554="sim"), 1, 0)
</f>
        <v>1</v>
      </c>
    </row>
    <row r="546">
      <c r="B546" s="319">
        <f>IF(AND('Ações'!AS555="sim", 'Ações'!BD555="sim"), 1, 0)
</f>
        <v>0</v>
      </c>
      <c r="C546" s="319">
        <f>IF(AND('Ações'!AT555="sim", 'Ações'!BE555="sim"), 1, 0)
</f>
        <v>0</v>
      </c>
      <c r="D546" s="319">
        <f>IF(AND('Ações'!AU555="sim", 'Ações'!BF555="sim"), 1, 0)
</f>
        <v>0</v>
      </c>
      <c r="E546" s="319">
        <f>IF(AND('Ações'!AV555="sim", 'Ações'!BG555="sim"), 1, 0)
</f>
        <v>0</v>
      </c>
      <c r="F546" s="319">
        <f>IF(AND('Ações'!AW555="sim", 'Ações'!BH555="sim"), 1, 0)
</f>
        <v>0</v>
      </c>
      <c r="G546" s="319">
        <f>IF(AND('Ações'!AX555="sim", 'Ações'!BI555="sim"), 1, 0)
</f>
        <v>1</v>
      </c>
      <c r="H546" s="319">
        <f>IF(AND('Ações'!AS555="sim", 'Ações'!BE555="sim"), 1, 0)
</f>
        <v>0</v>
      </c>
      <c r="I546" s="319">
        <f>IF(AND('Ações'!AS555="sim", 'Ações'!BF555="sim"), 1, 0)
</f>
        <v>0</v>
      </c>
      <c r="J546" s="319">
        <f>IF(AND('Ações'!AS555="sim", 'Ações'!BG555="sim"), 1, 0)
</f>
        <v>0</v>
      </c>
      <c r="K546" s="319">
        <f>IF(AND('Ações'!AS555="sim", 'Ações'!BH555="sim"), 1, 0)
</f>
        <v>0</v>
      </c>
      <c r="L546" s="319">
        <f>IF(AND('Ações'!AS555="sim", 'Ações'!BI555="sim"), 1, 0)
</f>
        <v>0</v>
      </c>
      <c r="M546" s="319">
        <f>IF(AND('Ações'!AT555="sim", 'Ações'!BD555="sim"), 1, 0)
</f>
        <v>0</v>
      </c>
      <c r="N546" s="319">
        <f>IF(AND('Ações'!AT555="sim", 'Ações'!BF555="sim"), 1, 0)
</f>
        <v>0</v>
      </c>
      <c r="O546" s="319">
        <f>IF(AND('Ações'!AT555="sim", 'Ações'!BG555="sim"), 1, 0)
</f>
        <v>0</v>
      </c>
      <c r="P546" s="319">
        <f>IF(AND('Ações'!AT555="sim", 'Ações'!BH555="sim"), 1, 0)
</f>
        <v>0</v>
      </c>
      <c r="Q546" s="319">
        <f>IF(AND('Ações'!AT555="sim", 'Ações'!BI555="sim"), 1, 0)
</f>
        <v>0</v>
      </c>
      <c r="R546" s="319">
        <f>IF(AND('Ações'!AU555="sim", 'Ações'!BD555="sim"), 1, 0)
</f>
        <v>0</v>
      </c>
      <c r="S546" s="319">
        <f>IF(AND('Ações'!AU555="sim", 'Ações'!BE555="sim"), 1, 0)
</f>
        <v>0</v>
      </c>
      <c r="T546" s="319">
        <f>IF(AND('Ações'!AU555="sim", 'Ações'!BG555="sim"), 1, 0)
</f>
        <v>0</v>
      </c>
      <c r="U546" s="319">
        <f>IF(AND('Ações'!AU555="sim", 'Ações'!BH555="sim"), 1, 0)
</f>
        <v>0</v>
      </c>
      <c r="V546" s="319">
        <f>IF(AND('Ações'!AU555="sim", 'Ações'!BI555="sim"), 1, 0)
</f>
        <v>0</v>
      </c>
      <c r="W546" s="319">
        <f>IF(AND('Ações'!AV555="sim", 'Ações'!BD555="sim"), 1, 0)
</f>
        <v>0</v>
      </c>
      <c r="X546" s="319">
        <f>IF(AND('Ações'!AV555="sim", 'Ações'!BE555="sim"), 1, 0)
</f>
        <v>0</v>
      </c>
      <c r="Y546" s="319">
        <f>IF(AND('Ações'!AV555="sim", 'Ações'!BF555="sim"), 1, 0)
</f>
        <v>0</v>
      </c>
      <c r="Z546" s="319">
        <f>IF(AND('Ações'!AV555="sim", 'Ações'!BH555="sim"), 1, 0)
</f>
        <v>0</v>
      </c>
      <c r="AA546" s="319">
        <f>IF(AND('Ações'!AV555="sim", 'Ações'!BI555="sim"), 1, 0)
</f>
        <v>1</v>
      </c>
      <c r="AB546" s="319">
        <f>IF(AND('Ações'!AW555="sim", 'Ações'!BD555="sim"), 1, 0)
</f>
        <v>0</v>
      </c>
      <c r="AC546" s="319">
        <f>IF(AND('Ações'!AW555="sim", 'Ações'!BE555="sim"), 1, 0)
</f>
        <v>0</v>
      </c>
      <c r="AD546" s="319">
        <f>IF(AND('Ações'!AW555="sim", 'Ações'!BF555="sim"), 1, 0)
</f>
        <v>0</v>
      </c>
      <c r="AE546" s="319">
        <f>IF(AND('Ações'!AW555="sim", 'Ações'!BG555="sim"), 1, 0)
</f>
        <v>0</v>
      </c>
      <c r="AF546" s="319">
        <f>IF(AND('Ações'!AW555="sim", 'Ações'!BI555="sim"), 1, 0)
</f>
        <v>1</v>
      </c>
      <c r="AG546" s="319">
        <f>IF(AND('Ações'!AX555="sim", 'Ações'!BD555="sim"), 1, 0)
</f>
        <v>0</v>
      </c>
      <c r="AH546" s="319">
        <f>IF(AND('Ações'!AX555="sim", 'Ações'!BE555="sim"), 1, 0)
</f>
        <v>0</v>
      </c>
      <c r="AI546" s="319">
        <f>IF(AND('Ações'!AX555="sim", 'Ações'!BF555="sim"), 1, 0)
</f>
        <v>0</v>
      </c>
      <c r="AJ546" s="319">
        <f>IF(AND('Ações'!AX555="sim", 'Ações'!BG555="sim"), 1, 0)
</f>
        <v>0</v>
      </c>
      <c r="AK546" s="319">
        <f>IF(AND('Ações'!AX555="sim", 'Ações'!BH555="sim"), 1, 0)
</f>
        <v>0</v>
      </c>
    </row>
    <row r="547">
      <c r="B547" s="319">
        <f>IF(AND('Ações'!AS556="sim", 'Ações'!BD556="sim"), 1, 0)
</f>
        <v>0</v>
      </c>
      <c r="C547" s="319">
        <f>IF(AND('Ações'!AT556="sim", 'Ações'!BE556="sim"), 1, 0)
</f>
        <v>0</v>
      </c>
      <c r="D547" s="319">
        <f>IF(AND('Ações'!AU556="sim", 'Ações'!BF556="sim"), 1, 0)
</f>
        <v>0</v>
      </c>
      <c r="E547" s="319">
        <f>IF(AND('Ações'!AV556="sim", 'Ações'!BG556="sim"), 1, 0)
</f>
        <v>0</v>
      </c>
      <c r="F547" s="319">
        <f>IF(AND('Ações'!AW556="sim", 'Ações'!BH556="sim"), 1, 0)
</f>
        <v>0</v>
      </c>
      <c r="G547" s="319">
        <f>IF(AND('Ações'!AX556="sim", 'Ações'!BI556="sim"), 1, 0)
</f>
        <v>1</v>
      </c>
      <c r="H547" s="319">
        <f>IF(AND('Ações'!AS556="sim", 'Ações'!BE556="sim"), 1, 0)
</f>
        <v>0</v>
      </c>
      <c r="I547" s="319">
        <f>IF(AND('Ações'!AS556="sim", 'Ações'!BF556="sim"), 1, 0)
</f>
        <v>0</v>
      </c>
      <c r="J547" s="319">
        <f>IF(AND('Ações'!AS556="sim", 'Ações'!BG556="sim"), 1, 0)
</f>
        <v>0</v>
      </c>
      <c r="K547" s="319">
        <f>IF(AND('Ações'!AS556="sim", 'Ações'!BH556="sim"), 1, 0)
</f>
        <v>0</v>
      </c>
      <c r="L547" s="319">
        <f>IF(AND('Ações'!AS556="sim", 'Ações'!BI556="sim"), 1, 0)
</f>
        <v>0</v>
      </c>
      <c r="M547" s="319">
        <f>IF(AND('Ações'!AT556="sim", 'Ações'!BD556="sim"), 1, 0)
</f>
        <v>0</v>
      </c>
      <c r="N547" s="319">
        <f>IF(AND('Ações'!AT556="sim", 'Ações'!BF556="sim"), 1, 0)
</f>
        <v>0</v>
      </c>
      <c r="O547" s="319">
        <f>IF(AND('Ações'!AT556="sim", 'Ações'!BG556="sim"), 1, 0)
</f>
        <v>0</v>
      </c>
      <c r="P547" s="319">
        <f>IF(AND('Ações'!AT556="sim", 'Ações'!BH556="sim"), 1, 0)
</f>
        <v>0</v>
      </c>
      <c r="Q547" s="319">
        <f>IF(AND('Ações'!AT556="sim", 'Ações'!BI556="sim"), 1, 0)
</f>
        <v>0</v>
      </c>
      <c r="R547" s="319">
        <f>IF(AND('Ações'!AU556="sim", 'Ações'!BD556="sim"), 1, 0)
</f>
        <v>0</v>
      </c>
      <c r="S547" s="319">
        <f>IF(AND('Ações'!AU556="sim", 'Ações'!BE556="sim"), 1, 0)
</f>
        <v>0</v>
      </c>
      <c r="T547" s="319">
        <f>IF(AND('Ações'!AU556="sim", 'Ações'!BG556="sim"), 1, 0)
</f>
        <v>0</v>
      </c>
      <c r="U547" s="319">
        <f>IF(AND('Ações'!AU556="sim", 'Ações'!BH556="sim"), 1, 0)
</f>
        <v>0</v>
      </c>
      <c r="V547" s="319">
        <f>IF(AND('Ações'!AU556="sim", 'Ações'!BI556="sim"), 1, 0)
</f>
        <v>0</v>
      </c>
      <c r="W547" s="319">
        <f>IF(AND('Ações'!AV556="sim", 'Ações'!BD556="sim"), 1, 0)
</f>
        <v>0</v>
      </c>
      <c r="X547" s="319">
        <f>IF(AND('Ações'!AV556="sim", 'Ações'!BE556="sim"), 1, 0)
</f>
        <v>0</v>
      </c>
      <c r="Y547" s="319">
        <f>IF(AND('Ações'!AV556="sim", 'Ações'!BF556="sim"), 1, 0)
</f>
        <v>0</v>
      </c>
      <c r="Z547" s="319">
        <f>IF(AND('Ações'!AV556="sim", 'Ações'!BH556="sim"), 1, 0)
</f>
        <v>0</v>
      </c>
      <c r="AA547" s="319">
        <f>IF(AND('Ações'!AV556="sim", 'Ações'!BI556="sim"), 1, 0)
</f>
        <v>1</v>
      </c>
      <c r="AB547" s="319">
        <f>IF(AND('Ações'!AW556="sim", 'Ações'!BD556="sim"), 1, 0)
</f>
        <v>0</v>
      </c>
      <c r="AC547" s="319">
        <f>IF(AND('Ações'!AW556="sim", 'Ações'!BE556="sim"), 1, 0)
</f>
        <v>0</v>
      </c>
      <c r="AD547" s="319">
        <f>IF(AND('Ações'!AW556="sim", 'Ações'!BF556="sim"), 1, 0)
</f>
        <v>0</v>
      </c>
      <c r="AE547" s="319">
        <f>IF(AND('Ações'!AW556="sim", 'Ações'!BG556="sim"), 1, 0)
</f>
        <v>0</v>
      </c>
      <c r="AF547" s="319">
        <f>IF(AND('Ações'!AW556="sim", 'Ações'!BI556="sim"), 1, 0)
</f>
        <v>1</v>
      </c>
      <c r="AG547" s="319">
        <f>IF(AND('Ações'!AX556="sim", 'Ações'!BD556="sim"), 1, 0)
</f>
        <v>0</v>
      </c>
      <c r="AH547" s="319">
        <f>IF(AND('Ações'!AX556="sim", 'Ações'!BE556="sim"), 1, 0)
</f>
        <v>0</v>
      </c>
      <c r="AI547" s="319">
        <f>IF(AND('Ações'!AX556="sim", 'Ações'!BF556="sim"), 1, 0)
</f>
        <v>0</v>
      </c>
      <c r="AJ547" s="319">
        <f>IF(AND('Ações'!AX556="sim", 'Ações'!BG556="sim"), 1, 0)
</f>
        <v>0</v>
      </c>
      <c r="AK547" s="319">
        <f>IF(AND('Ações'!AX556="sim", 'Ações'!BH556="sim"), 1, 0)
</f>
        <v>0</v>
      </c>
    </row>
    <row r="548">
      <c r="B548" s="319">
        <f>IF(AND('Ações'!AS557="sim", 'Ações'!BD557="sim"), 1, 0)
</f>
        <v>0</v>
      </c>
      <c r="C548" s="319">
        <f>IF(AND('Ações'!AT557="sim", 'Ações'!BE557="sim"), 1, 0)
</f>
        <v>0</v>
      </c>
      <c r="D548" s="319">
        <f>IF(AND('Ações'!AU557="sim", 'Ações'!BF557="sim"), 1, 0)
</f>
        <v>0</v>
      </c>
      <c r="E548" s="319">
        <f>IF(AND('Ações'!AV557="sim", 'Ações'!BG557="sim"), 1, 0)
</f>
        <v>0</v>
      </c>
      <c r="F548" s="319">
        <f>IF(AND('Ações'!AW557="sim", 'Ações'!BH557="sim"), 1, 0)
</f>
        <v>0</v>
      </c>
      <c r="G548" s="319">
        <f>IF(AND('Ações'!AX557="sim", 'Ações'!BI557="sim"), 1, 0)
</f>
        <v>1</v>
      </c>
      <c r="H548" s="319">
        <f>IF(AND('Ações'!AS557="sim", 'Ações'!BE557="sim"), 1, 0)
</f>
        <v>0</v>
      </c>
      <c r="I548" s="319">
        <f>IF(AND('Ações'!AS557="sim", 'Ações'!BF557="sim"), 1, 0)
</f>
        <v>0</v>
      </c>
      <c r="J548" s="319">
        <f>IF(AND('Ações'!AS557="sim", 'Ações'!BG557="sim"), 1, 0)
</f>
        <v>0</v>
      </c>
      <c r="K548" s="319">
        <f>IF(AND('Ações'!AS557="sim", 'Ações'!BH557="sim"), 1, 0)
</f>
        <v>0</v>
      </c>
      <c r="L548" s="319">
        <f>IF(AND('Ações'!AS557="sim", 'Ações'!BI557="sim"), 1, 0)
</f>
        <v>0</v>
      </c>
      <c r="M548" s="319">
        <f>IF(AND('Ações'!AT557="sim", 'Ações'!BD557="sim"), 1, 0)
</f>
        <v>0</v>
      </c>
      <c r="N548" s="319">
        <f>IF(AND('Ações'!AT557="sim", 'Ações'!BF557="sim"), 1, 0)
</f>
        <v>0</v>
      </c>
      <c r="O548" s="319">
        <f>IF(AND('Ações'!AT557="sim", 'Ações'!BG557="sim"), 1, 0)
</f>
        <v>0</v>
      </c>
      <c r="P548" s="319">
        <f>IF(AND('Ações'!AT557="sim", 'Ações'!BH557="sim"), 1, 0)
</f>
        <v>0</v>
      </c>
      <c r="Q548" s="319">
        <f>IF(AND('Ações'!AT557="sim", 'Ações'!BI557="sim"), 1, 0)
</f>
        <v>0</v>
      </c>
      <c r="R548" s="319">
        <f>IF(AND('Ações'!AU557="sim", 'Ações'!BD557="sim"), 1, 0)
</f>
        <v>0</v>
      </c>
      <c r="S548" s="319">
        <f>IF(AND('Ações'!AU557="sim", 'Ações'!BE557="sim"), 1, 0)
</f>
        <v>0</v>
      </c>
      <c r="T548" s="319">
        <f>IF(AND('Ações'!AU557="sim", 'Ações'!BG557="sim"), 1, 0)
</f>
        <v>0</v>
      </c>
      <c r="U548" s="319">
        <f>IF(AND('Ações'!AU557="sim", 'Ações'!BH557="sim"), 1, 0)
</f>
        <v>0</v>
      </c>
      <c r="V548" s="319">
        <f>IF(AND('Ações'!AU557="sim", 'Ações'!BI557="sim"), 1, 0)
</f>
        <v>0</v>
      </c>
      <c r="W548" s="319">
        <f>IF(AND('Ações'!AV557="sim", 'Ações'!BD557="sim"), 1, 0)
</f>
        <v>0</v>
      </c>
      <c r="X548" s="319">
        <f>IF(AND('Ações'!AV557="sim", 'Ações'!BE557="sim"), 1, 0)
</f>
        <v>0</v>
      </c>
      <c r="Y548" s="319">
        <f>IF(AND('Ações'!AV557="sim", 'Ações'!BF557="sim"), 1, 0)
</f>
        <v>0</v>
      </c>
      <c r="Z548" s="319">
        <f>IF(AND('Ações'!AV557="sim", 'Ações'!BH557="sim"), 1, 0)
</f>
        <v>0</v>
      </c>
      <c r="AA548" s="319">
        <f>IF(AND('Ações'!AV557="sim", 'Ações'!BI557="sim"), 1, 0)
</f>
        <v>1</v>
      </c>
      <c r="AB548" s="319">
        <f>IF(AND('Ações'!AW557="sim", 'Ações'!BD557="sim"), 1, 0)
</f>
        <v>0</v>
      </c>
      <c r="AC548" s="319">
        <f>IF(AND('Ações'!AW557="sim", 'Ações'!BE557="sim"), 1, 0)
</f>
        <v>0</v>
      </c>
      <c r="AD548" s="319">
        <f>IF(AND('Ações'!AW557="sim", 'Ações'!BF557="sim"), 1, 0)
</f>
        <v>0</v>
      </c>
      <c r="AE548" s="319">
        <f>IF(AND('Ações'!AW557="sim", 'Ações'!BG557="sim"), 1, 0)
</f>
        <v>0</v>
      </c>
      <c r="AF548" s="319">
        <f>IF(AND('Ações'!AW557="sim", 'Ações'!BI557="sim"), 1, 0)
</f>
        <v>1</v>
      </c>
      <c r="AG548" s="319">
        <f>IF(AND('Ações'!AX557="sim", 'Ações'!BD557="sim"), 1, 0)
</f>
        <v>0</v>
      </c>
      <c r="AH548" s="319">
        <f>IF(AND('Ações'!AX557="sim", 'Ações'!BE557="sim"), 1, 0)
</f>
        <v>0</v>
      </c>
      <c r="AI548" s="319">
        <f>IF(AND('Ações'!AX557="sim", 'Ações'!BF557="sim"), 1, 0)
</f>
        <v>0</v>
      </c>
      <c r="AJ548" s="319">
        <f>IF(AND('Ações'!AX557="sim", 'Ações'!BG557="sim"), 1, 0)
</f>
        <v>0</v>
      </c>
      <c r="AK548" s="319">
        <f>IF(AND('Ações'!AX557="sim", 'Ações'!BH557="sim"), 1, 0)
</f>
        <v>0</v>
      </c>
    </row>
    <row r="549">
      <c r="B549" s="319">
        <f>IF(AND('Ações'!AS558="sim", 'Ações'!BD558="sim"), 1, 0)
</f>
        <v>0</v>
      </c>
      <c r="C549" s="319">
        <f>IF(AND('Ações'!AT558="sim", 'Ações'!BE558="sim"), 1, 0)
</f>
        <v>0</v>
      </c>
      <c r="D549" s="319">
        <f>IF(AND('Ações'!AU558="sim", 'Ações'!BF558="sim"), 1, 0)
</f>
        <v>0</v>
      </c>
      <c r="E549" s="319">
        <f>IF(AND('Ações'!AV558="sim", 'Ações'!BG558="sim"), 1, 0)
</f>
        <v>0</v>
      </c>
      <c r="F549" s="319">
        <f>IF(AND('Ações'!AW558="sim", 'Ações'!BH558="sim"), 1, 0)
</f>
        <v>0</v>
      </c>
      <c r="G549" s="319">
        <f>IF(AND('Ações'!AX558="sim", 'Ações'!BI558="sim"), 1, 0)
</f>
        <v>1</v>
      </c>
      <c r="H549" s="319">
        <f>IF(AND('Ações'!AS558="sim", 'Ações'!BE558="sim"), 1, 0)
</f>
        <v>0</v>
      </c>
      <c r="I549" s="319">
        <f>IF(AND('Ações'!AS558="sim", 'Ações'!BF558="sim"), 1, 0)
</f>
        <v>0</v>
      </c>
      <c r="J549" s="319">
        <f>IF(AND('Ações'!AS558="sim", 'Ações'!BG558="sim"), 1, 0)
</f>
        <v>0</v>
      </c>
      <c r="K549" s="319">
        <f>IF(AND('Ações'!AS558="sim", 'Ações'!BH558="sim"), 1, 0)
</f>
        <v>0</v>
      </c>
      <c r="L549" s="319">
        <f>IF(AND('Ações'!AS558="sim", 'Ações'!BI558="sim"), 1, 0)
</f>
        <v>0</v>
      </c>
      <c r="M549" s="319">
        <f>IF(AND('Ações'!AT558="sim", 'Ações'!BD558="sim"), 1, 0)
</f>
        <v>0</v>
      </c>
      <c r="N549" s="319">
        <f>IF(AND('Ações'!AT558="sim", 'Ações'!BF558="sim"), 1, 0)
</f>
        <v>0</v>
      </c>
      <c r="O549" s="319">
        <f>IF(AND('Ações'!AT558="sim", 'Ações'!BG558="sim"), 1, 0)
</f>
        <v>0</v>
      </c>
      <c r="P549" s="319">
        <f>IF(AND('Ações'!AT558="sim", 'Ações'!BH558="sim"), 1, 0)
</f>
        <v>0</v>
      </c>
      <c r="Q549" s="319">
        <f>IF(AND('Ações'!AT558="sim", 'Ações'!BI558="sim"), 1, 0)
</f>
        <v>0</v>
      </c>
      <c r="R549" s="319">
        <f>IF(AND('Ações'!AU558="sim", 'Ações'!BD558="sim"), 1, 0)
</f>
        <v>0</v>
      </c>
      <c r="S549" s="319">
        <f>IF(AND('Ações'!AU558="sim", 'Ações'!BE558="sim"), 1, 0)
</f>
        <v>0</v>
      </c>
      <c r="T549" s="319">
        <f>IF(AND('Ações'!AU558="sim", 'Ações'!BG558="sim"), 1, 0)
</f>
        <v>0</v>
      </c>
      <c r="U549" s="319">
        <f>IF(AND('Ações'!AU558="sim", 'Ações'!BH558="sim"), 1, 0)
</f>
        <v>0</v>
      </c>
      <c r="V549" s="319">
        <f>IF(AND('Ações'!AU558="sim", 'Ações'!BI558="sim"), 1, 0)
</f>
        <v>0</v>
      </c>
      <c r="W549" s="319">
        <f>IF(AND('Ações'!AV558="sim", 'Ações'!BD558="sim"), 1, 0)
</f>
        <v>0</v>
      </c>
      <c r="X549" s="319">
        <f>IF(AND('Ações'!AV558="sim", 'Ações'!BE558="sim"), 1, 0)
</f>
        <v>0</v>
      </c>
      <c r="Y549" s="319">
        <f>IF(AND('Ações'!AV558="sim", 'Ações'!BF558="sim"), 1, 0)
</f>
        <v>0</v>
      </c>
      <c r="Z549" s="319">
        <f>IF(AND('Ações'!AV558="sim", 'Ações'!BH558="sim"), 1, 0)
</f>
        <v>0</v>
      </c>
      <c r="AA549" s="319">
        <f>IF(AND('Ações'!AV558="sim", 'Ações'!BI558="sim"), 1, 0)
</f>
        <v>1</v>
      </c>
      <c r="AB549" s="319">
        <f>IF(AND('Ações'!AW558="sim", 'Ações'!BD558="sim"), 1, 0)
</f>
        <v>0</v>
      </c>
      <c r="AC549" s="319">
        <f>IF(AND('Ações'!AW558="sim", 'Ações'!BE558="sim"), 1, 0)
</f>
        <v>0</v>
      </c>
      <c r="AD549" s="319">
        <f>IF(AND('Ações'!AW558="sim", 'Ações'!BF558="sim"), 1, 0)
</f>
        <v>0</v>
      </c>
      <c r="AE549" s="319">
        <f>IF(AND('Ações'!AW558="sim", 'Ações'!BG558="sim"), 1, 0)
</f>
        <v>0</v>
      </c>
      <c r="AF549" s="319">
        <f>IF(AND('Ações'!AW558="sim", 'Ações'!BI558="sim"), 1, 0)
</f>
        <v>1</v>
      </c>
      <c r="AG549" s="319">
        <f>IF(AND('Ações'!AX558="sim", 'Ações'!BD558="sim"), 1, 0)
</f>
        <v>0</v>
      </c>
      <c r="AH549" s="319">
        <f>IF(AND('Ações'!AX558="sim", 'Ações'!BE558="sim"), 1, 0)
</f>
        <v>0</v>
      </c>
      <c r="AI549" s="319">
        <f>IF(AND('Ações'!AX558="sim", 'Ações'!BF558="sim"), 1, 0)
</f>
        <v>0</v>
      </c>
      <c r="AJ549" s="319">
        <f>IF(AND('Ações'!AX558="sim", 'Ações'!BG558="sim"), 1, 0)
</f>
        <v>0</v>
      </c>
      <c r="AK549" s="319">
        <f>IF(AND('Ações'!AX558="sim", 'Ações'!BH558="sim"), 1, 0)
</f>
        <v>0</v>
      </c>
    </row>
    <row r="550">
      <c r="B550" s="319">
        <f>IF(AND('Ações'!AS559="sim", 'Ações'!BD559="sim"), 1, 0)
</f>
        <v>0</v>
      </c>
      <c r="C550" s="319">
        <f>IF(AND('Ações'!AT559="sim", 'Ações'!BE559="sim"), 1, 0)
</f>
        <v>0</v>
      </c>
      <c r="D550" s="319">
        <f>IF(AND('Ações'!AU559="sim", 'Ações'!BF559="sim"), 1, 0)
</f>
        <v>0</v>
      </c>
      <c r="E550" s="319">
        <f>IF(AND('Ações'!AV559="sim", 'Ações'!BG559="sim"), 1, 0)
</f>
        <v>0</v>
      </c>
      <c r="F550" s="319">
        <f>IF(AND('Ações'!AW559="sim", 'Ações'!BH559="sim"), 1, 0)
</f>
        <v>0</v>
      </c>
      <c r="G550" s="319">
        <f>IF(AND('Ações'!AX559="sim", 'Ações'!BI559="sim"), 1, 0)
</f>
        <v>1</v>
      </c>
      <c r="H550" s="319">
        <f>IF(AND('Ações'!AS559="sim", 'Ações'!BE559="sim"), 1, 0)
</f>
        <v>0</v>
      </c>
      <c r="I550" s="319">
        <f>IF(AND('Ações'!AS559="sim", 'Ações'!BF559="sim"), 1, 0)
</f>
        <v>0</v>
      </c>
      <c r="J550" s="319">
        <f>IF(AND('Ações'!AS559="sim", 'Ações'!BG559="sim"), 1, 0)
</f>
        <v>0</v>
      </c>
      <c r="K550" s="319">
        <f>IF(AND('Ações'!AS559="sim", 'Ações'!BH559="sim"), 1, 0)
</f>
        <v>0</v>
      </c>
      <c r="L550" s="319">
        <f>IF(AND('Ações'!AS559="sim", 'Ações'!BI559="sim"), 1, 0)
</f>
        <v>0</v>
      </c>
      <c r="M550" s="319">
        <f>IF(AND('Ações'!AT559="sim", 'Ações'!BD559="sim"), 1, 0)
</f>
        <v>0</v>
      </c>
      <c r="N550" s="319">
        <f>IF(AND('Ações'!AT559="sim", 'Ações'!BF559="sim"), 1, 0)
</f>
        <v>0</v>
      </c>
      <c r="O550" s="319">
        <f>IF(AND('Ações'!AT559="sim", 'Ações'!BG559="sim"), 1, 0)
</f>
        <v>0</v>
      </c>
      <c r="P550" s="319">
        <f>IF(AND('Ações'!AT559="sim", 'Ações'!BH559="sim"), 1, 0)
</f>
        <v>0</v>
      </c>
      <c r="Q550" s="319">
        <f>IF(AND('Ações'!AT559="sim", 'Ações'!BI559="sim"), 1, 0)
</f>
        <v>0</v>
      </c>
      <c r="R550" s="319">
        <f>IF(AND('Ações'!AU559="sim", 'Ações'!BD559="sim"), 1, 0)
</f>
        <v>0</v>
      </c>
      <c r="S550" s="319">
        <f>IF(AND('Ações'!AU559="sim", 'Ações'!BE559="sim"), 1, 0)
</f>
        <v>0</v>
      </c>
      <c r="T550" s="319">
        <f>IF(AND('Ações'!AU559="sim", 'Ações'!BG559="sim"), 1, 0)
</f>
        <v>0</v>
      </c>
      <c r="U550" s="319">
        <f>IF(AND('Ações'!AU559="sim", 'Ações'!BH559="sim"), 1, 0)
</f>
        <v>0</v>
      </c>
      <c r="V550" s="319">
        <f>IF(AND('Ações'!AU559="sim", 'Ações'!BI559="sim"), 1, 0)
</f>
        <v>0</v>
      </c>
      <c r="W550" s="319">
        <f>IF(AND('Ações'!AV559="sim", 'Ações'!BD559="sim"), 1, 0)
</f>
        <v>0</v>
      </c>
      <c r="X550" s="319">
        <f>IF(AND('Ações'!AV559="sim", 'Ações'!BE559="sim"), 1, 0)
</f>
        <v>0</v>
      </c>
      <c r="Y550" s="319">
        <f>IF(AND('Ações'!AV559="sim", 'Ações'!BF559="sim"), 1, 0)
</f>
        <v>0</v>
      </c>
      <c r="Z550" s="319">
        <f>IF(AND('Ações'!AV559="sim", 'Ações'!BH559="sim"), 1, 0)
</f>
        <v>0</v>
      </c>
      <c r="AA550" s="319">
        <f>IF(AND('Ações'!AV559="sim", 'Ações'!BI559="sim"), 1, 0)
</f>
        <v>1</v>
      </c>
      <c r="AB550" s="319">
        <f>IF(AND('Ações'!AW559="sim", 'Ações'!BD559="sim"), 1, 0)
</f>
        <v>0</v>
      </c>
      <c r="AC550" s="319">
        <f>IF(AND('Ações'!AW559="sim", 'Ações'!BE559="sim"), 1, 0)
</f>
        <v>0</v>
      </c>
      <c r="AD550" s="319">
        <f>IF(AND('Ações'!AW559="sim", 'Ações'!BF559="sim"), 1, 0)
</f>
        <v>0</v>
      </c>
      <c r="AE550" s="319">
        <f>IF(AND('Ações'!AW559="sim", 'Ações'!BG559="sim"), 1, 0)
</f>
        <v>0</v>
      </c>
      <c r="AF550" s="319">
        <f>IF(AND('Ações'!AW559="sim", 'Ações'!BI559="sim"), 1, 0)
</f>
        <v>1</v>
      </c>
      <c r="AG550" s="319">
        <f>IF(AND('Ações'!AX559="sim", 'Ações'!BD559="sim"), 1, 0)
</f>
        <v>0</v>
      </c>
      <c r="AH550" s="319">
        <f>IF(AND('Ações'!AX559="sim", 'Ações'!BE559="sim"), 1, 0)
</f>
        <v>0</v>
      </c>
      <c r="AI550" s="319">
        <f>IF(AND('Ações'!AX559="sim", 'Ações'!BF559="sim"), 1, 0)
</f>
        <v>0</v>
      </c>
      <c r="AJ550" s="319">
        <f>IF(AND('Ações'!AX559="sim", 'Ações'!BG559="sim"), 1, 0)
</f>
        <v>0</v>
      </c>
      <c r="AK550" s="319">
        <f>IF(AND('Ações'!AX559="sim", 'Ações'!BH559="sim"), 1, 0)
</f>
        <v>0</v>
      </c>
    </row>
    <row r="551">
      <c r="B551" s="319">
        <f>IF(AND('Ações'!AS560="sim", 'Ações'!BD560="sim"), 1, 0)
</f>
        <v>0</v>
      </c>
      <c r="C551" s="319">
        <f>IF(AND('Ações'!AT560="sim", 'Ações'!BE560="sim"), 1, 0)
</f>
        <v>0</v>
      </c>
      <c r="D551" s="319">
        <f>IF(AND('Ações'!AU560="sim", 'Ações'!BF560="sim"), 1, 0)
</f>
        <v>0</v>
      </c>
      <c r="E551" s="319">
        <f>IF(AND('Ações'!AV560="sim", 'Ações'!BG560="sim"), 1, 0)
</f>
        <v>0</v>
      </c>
      <c r="F551" s="319">
        <f>IF(AND('Ações'!AW560="sim", 'Ações'!BH560="sim"), 1, 0)
</f>
        <v>0</v>
      </c>
      <c r="G551" s="319">
        <f>IF(AND('Ações'!AX560="sim", 'Ações'!BI560="sim"), 1, 0)
</f>
        <v>1</v>
      </c>
      <c r="H551" s="319">
        <f>IF(AND('Ações'!AS560="sim", 'Ações'!BE560="sim"), 1, 0)
</f>
        <v>0</v>
      </c>
      <c r="I551" s="319">
        <f>IF(AND('Ações'!AS560="sim", 'Ações'!BF560="sim"), 1, 0)
</f>
        <v>0</v>
      </c>
      <c r="J551" s="319">
        <f>IF(AND('Ações'!AS560="sim", 'Ações'!BG560="sim"), 1, 0)
</f>
        <v>0</v>
      </c>
      <c r="K551" s="319">
        <f>IF(AND('Ações'!AS560="sim", 'Ações'!BH560="sim"), 1, 0)
</f>
        <v>0</v>
      </c>
      <c r="L551" s="319">
        <f>IF(AND('Ações'!AS560="sim", 'Ações'!BI560="sim"), 1, 0)
</f>
        <v>0</v>
      </c>
      <c r="M551" s="319">
        <f>IF(AND('Ações'!AT560="sim", 'Ações'!BD560="sim"), 1, 0)
</f>
        <v>0</v>
      </c>
      <c r="N551" s="319">
        <f>IF(AND('Ações'!AT560="sim", 'Ações'!BF560="sim"), 1, 0)
</f>
        <v>0</v>
      </c>
      <c r="O551" s="319">
        <f>IF(AND('Ações'!AT560="sim", 'Ações'!BG560="sim"), 1, 0)
</f>
        <v>0</v>
      </c>
      <c r="P551" s="319">
        <f>IF(AND('Ações'!AT560="sim", 'Ações'!BH560="sim"), 1, 0)
</f>
        <v>0</v>
      </c>
      <c r="Q551" s="319">
        <f>IF(AND('Ações'!AT560="sim", 'Ações'!BI560="sim"), 1, 0)
</f>
        <v>0</v>
      </c>
      <c r="R551" s="319">
        <f>IF(AND('Ações'!AU560="sim", 'Ações'!BD560="sim"), 1, 0)
</f>
        <v>0</v>
      </c>
      <c r="S551" s="319">
        <f>IF(AND('Ações'!AU560="sim", 'Ações'!BE560="sim"), 1, 0)
</f>
        <v>0</v>
      </c>
      <c r="T551" s="319">
        <f>IF(AND('Ações'!AU560="sim", 'Ações'!BG560="sim"), 1, 0)
</f>
        <v>0</v>
      </c>
      <c r="U551" s="319">
        <f>IF(AND('Ações'!AU560="sim", 'Ações'!BH560="sim"), 1, 0)
</f>
        <v>0</v>
      </c>
      <c r="V551" s="319">
        <f>IF(AND('Ações'!AU560="sim", 'Ações'!BI560="sim"), 1, 0)
</f>
        <v>0</v>
      </c>
      <c r="W551" s="319">
        <f>IF(AND('Ações'!AV560="sim", 'Ações'!BD560="sim"), 1, 0)
</f>
        <v>0</v>
      </c>
      <c r="X551" s="319">
        <f>IF(AND('Ações'!AV560="sim", 'Ações'!BE560="sim"), 1, 0)
</f>
        <v>0</v>
      </c>
      <c r="Y551" s="319">
        <f>IF(AND('Ações'!AV560="sim", 'Ações'!BF560="sim"), 1, 0)
</f>
        <v>0</v>
      </c>
      <c r="Z551" s="319">
        <f>IF(AND('Ações'!AV560="sim", 'Ações'!BH560="sim"), 1, 0)
</f>
        <v>0</v>
      </c>
      <c r="AA551" s="319">
        <f>IF(AND('Ações'!AV560="sim", 'Ações'!BI560="sim"), 1, 0)
</f>
        <v>1</v>
      </c>
      <c r="AB551" s="319">
        <f>IF(AND('Ações'!AW560="sim", 'Ações'!BD560="sim"), 1, 0)
</f>
        <v>0</v>
      </c>
      <c r="AC551" s="319">
        <f>IF(AND('Ações'!AW560="sim", 'Ações'!BE560="sim"), 1, 0)
</f>
        <v>0</v>
      </c>
      <c r="AD551" s="319">
        <f>IF(AND('Ações'!AW560="sim", 'Ações'!BF560="sim"), 1, 0)
</f>
        <v>0</v>
      </c>
      <c r="AE551" s="319">
        <f>IF(AND('Ações'!AW560="sim", 'Ações'!BG560="sim"), 1, 0)
</f>
        <v>0</v>
      </c>
      <c r="AF551" s="319">
        <f>IF(AND('Ações'!AW560="sim", 'Ações'!BI560="sim"), 1, 0)
</f>
        <v>1</v>
      </c>
      <c r="AG551" s="319">
        <f>IF(AND('Ações'!AX560="sim", 'Ações'!BD560="sim"), 1, 0)
</f>
        <v>0</v>
      </c>
      <c r="AH551" s="319">
        <f>IF(AND('Ações'!AX560="sim", 'Ações'!BE560="sim"), 1, 0)
</f>
        <v>0</v>
      </c>
      <c r="AI551" s="319">
        <f>IF(AND('Ações'!AX560="sim", 'Ações'!BF560="sim"), 1, 0)
</f>
        <v>0</v>
      </c>
      <c r="AJ551" s="319">
        <f>IF(AND('Ações'!AX560="sim", 'Ações'!BG560="sim"), 1, 0)
</f>
        <v>0</v>
      </c>
      <c r="AK551" s="319">
        <f>IF(AND('Ações'!AX560="sim", 'Ações'!BH560="sim"), 1, 0)
</f>
        <v>0</v>
      </c>
    </row>
    <row r="552">
      <c r="B552" s="319">
        <f>IF(AND('Ações'!AS561="sim", 'Ações'!BD561="sim"), 1, 0)
</f>
        <v>0</v>
      </c>
      <c r="C552" s="319">
        <f>IF(AND('Ações'!AT561="sim", 'Ações'!BE561="sim"), 1, 0)
</f>
        <v>0</v>
      </c>
      <c r="D552" s="319">
        <f>IF(AND('Ações'!AU561="sim", 'Ações'!BF561="sim"), 1, 0)
</f>
        <v>0</v>
      </c>
      <c r="E552" s="319">
        <f>IF(AND('Ações'!AV561="sim", 'Ações'!BG561="sim"), 1, 0)
</f>
        <v>0</v>
      </c>
      <c r="F552" s="319">
        <f>IF(AND('Ações'!AW561="sim", 'Ações'!BH561="sim"), 1, 0)
</f>
        <v>0</v>
      </c>
      <c r="G552" s="319">
        <f>IF(AND('Ações'!AX561="sim", 'Ações'!BI561="sim"), 1, 0)
</f>
        <v>1</v>
      </c>
      <c r="H552" s="319">
        <f>IF(AND('Ações'!AS561="sim", 'Ações'!BE561="sim"), 1, 0)
</f>
        <v>0</v>
      </c>
      <c r="I552" s="319">
        <f>IF(AND('Ações'!AS561="sim", 'Ações'!BF561="sim"), 1, 0)
</f>
        <v>0</v>
      </c>
      <c r="J552" s="319">
        <f>IF(AND('Ações'!AS561="sim", 'Ações'!BG561="sim"), 1, 0)
</f>
        <v>0</v>
      </c>
      <c r="K552" s="319">
        <f>IF(AND('Ações'!AS561="sim", 'Ações'!BH561="sim"), 1, 0)
</f>
        <v>0</v>
      </c>
      <c r="L552" s="319">
        <f>IF(AND('Ações'!AS561="sim", 'Ações'!BI561="sim"), 1, 0)
</f>
        <v>0</v>
      </c>
      <c r="M552" s="319">
        <f>IF(AND('Ações'!AT561="sim", 'Ações'!BD561="sim"), 1, 0)
</f>
        <v>0</v>
      </c>
      <c r="N552" s="319">
        <f>IF(AND('Ações'!AT561="sim", 'Ações'!BF561="sim"), 1, 0)
</f>
        <v>0</v>
      </c>
      <c r="O552" s="319">
        <f>IF(AND('Ações'!AT561="sim", 'Ações'!BG561="sim"), 1, 0)
</f>
        <v>0</v>
      </c>
      <c r="P552" s="319">
        <f>IF(AND('Ações'!AT561="sim", 'Ações'!BH561="sim"), 1, 0)
</f>
        <v>0</v>
      </c>
      <c r="Q552" s="319">
        <f>IF(AND('Ações'!AT561="sim", 'Ações'!BI561="sim"), 1, 0)
</f>
        <v>0</v>
      </c>
      <c r="R552" s="319">
        <f>IF(AND('Ações'!AU561="sim", 'Ações'!BD561="sim"), 1, 0)
</f>
        <v>0</v>
      </c>
      <c r="S552" s="319">
        <f>IF(AND('Ações'!AU561="sim", 'Ações'!BE561="sim"), 1, 0)
</f>
        <v>0</v>
      </c>
      <c r="T552" s="319">
        <f>IF(AND('Ações'!AU561="sim", 'Ações'!BG561="sim"), 1, 0)
</f>
        <v>0</v>
      </c>
      <c r="U552" s="319">
        <f>IF(AND('Ações'!AU561="sim", 'Ações'!BH561="sim"), 1, 0)
</f>
        <v>0</v>
      </c>
      <c r="V552" s="319">
        <f>IF(AND('Ações'!AU561="sim", 'Ações'!BI561="sim"), 1, 0)
</f>
        <v>0</v>
      </c>
      <c r="W552" s="319">
        <f>IF(AND('Ações'!AV561="sim", 'Ações'!BD561="sim"), 1, 0)
</f>
        <v>0</v>
      </c>
      <c r="X552" s="319">
        <f>IF(AND('Ações'!AV561="sim", 'Ações'!BE561="sim"), 1, 0)
</f>
        <v>0</v>
      </c>
      <c r="Y552" s="319">
        <f>IF(AND('Ações'!AV561="sim", 'Ações'!BF561="sim"), 1, 0)
</f>
        <v>0</v>
      </c>
      <c r="Z552" s="319">
        <f>IF(AND('Ações'!AV561="sim", 'Ações'!BH561="sim"), 1, 0)
</f>
        <v>0</v>
      </c>
      <c r="AA552" s="319">
        <f>IF(AND('Ações'!AV561="sim", 'Ações'!BI561="sim"), 1, 0)
</f>
        <v>1</v>
      </c>
      <c r="AB552" s="319">
        <f>IF(AND('Ações'!AW561="sim", 'Ações'!BD561="sim"), 1, 0)
</f>
        <v>0</v>
      </c>
      <c r="AC552" s="319">
        <f>IF(AND('Ações'!AW561="sim", 'Ações'!BE561="sim"), 1, 0)
</f>
        <v>0</v>
      </c>
      <c r="AD552" s="319">
        <f>IF(AND('Ações'!AW561="sim", 'Ações'!BF561="sim"), 1, 0)
</f>
        <v>0</v>
      </c>
      <c r="AE552" s="319">
        <f>IF(AND('Ações'!AW561="sim", 'Ações'!BG561="sim"), 1, 0)
</f>
        <v>0</v>
      </c>
      <c r="AF552" s="319">
        <f>IF(AND('Ações'!AW561="sim", 'Ações'!BI561="sim"), 1, 0)
</f>
        <v>1</v>
      </c>
      <c r="AG552" s="319">
        <f>IF(AND('Ações'!AX561="sim", 'Ações'!BD561="sim"), 1, 0)
</f>
        <v>0</v>
      </c>
      <c r="AH552" s="319">
        <f>IF(AND('Ações'!AX561="sim", 'Ações'!BE561="sim"), 1, 0)
</f>
        <v>0</v>
      </c>
      <c r="AI552" s="319">
        <f>IF(AND('Ações'!AX561="sim", 'Ações'!BF561="sim"), 1, 0)
</f>
        <v>0</v>
      </c>
      <c r="AJ552" s="319">
        <f>IF(AND('Ações'!AX561="sim", 'Ações'!BG561="sim"), 1, 0)
</f>
        <v>0</v>
      </c>
      <c r="AK552" s="319">
        <f>IF(AND('Ações'!AX561="sim", 'Ações'!BH561="sim"), 1, 0)
</f>
        <v>0</v>
      </c>
    </row>
    <row r="553">
      <c r="B553" s="319">
        <f>IF(AND('Ações'!AS562="sim", 'Ações'!BD562="sim"), 1, 0)
</f>
        <v>0</v>
      </c>
      <c r="C553" s="319">
        <f>IF(AND('Ações'!AT562="sim", 'Ações'!BE562="sim"), 1, 0)
</f>
        <v>0</v>
      </c>
      <c r="D553" s="319">
        <f>IF(AND('Ações'!AU562="sim", 'Ações'!BF562="sim"), 1, 0)
</f>
        <v>0</v>
      </c>
      <c r="E553" s="319">
        <f>IF(AND('Ações'!AV562="sim", 'Ações'!BG562="sim"), 1, 0)
</f>
        <v>0</v>
      </c>
      <c r="F553" s="319">
        <f>IF(AND('Ações'!AW562="sim", 'Ações'!BH562="sim"), 1, 0)
</f>
        <v>0</v>
      </c>
      <c r="G553" s="319">
        <f>IF(AND('Ações'!AX562="sim", 'Ações'!BI562="sim"), 1, 0)
</f>
        <v>1</v>
      </c>
      <c r="H553" s="319">
        <f>IF(AND('Ações'!AS562="sim", 'Ações'!BE562="sim"), 1, 0)
</f>
        <v>0</v>
      </c>
      <c r="I553" s="319">
        <f>IF(AND('Ações'!AS562="sim", 'Ações'!BF562="sim"), 1, 0)
</f>
        <v>0</v>
      </c>
      <c r="J553" s="319">
        <f>IF(AND('Ações'!AS562="sim", 'Ações'!BG562="sim"), 1, 0)
</f>
        <v>0</v>
      </c>
      <c r="K553" s="319">
        <f>IF(AND('Ações'!AS562="sim", 'Ações'!BH562="sim"), 1, 0)
</f>
        <v>0</v>
      </c>
      <c r="L553" s="319">
        <f>IF(AND('Ações'!AS562="sim", 'Ações'!BI562="sim"), 1, 0)
</f>
        <v>0</v>
      </c>
      <c r="M553" s="319">
        <f>IF(AND('Ações'!AT562="sim", 'Ações'!BD562="sim"), 1, 0)
</f>
        <v>0</v>
      </c>
      <c r="N553" s="319">
        <f>IF(AND('Ações'!AT562="sim", 'Ações'!BF562="sim"), 1, 0)
</f>
        <v>0</v>
      </c>
      <c r="O553" s="319">
        <f>IF(AND('Ações'!AT562="sim", 'Ações'!BG562="sim"), 1, 0)
</f>
        <v>0</v>
      </c>
      <c r="P553" s="319">
        <f>IF(AND('Ações'!AT562="sim", 'Ações'!BH562="sim"), 1, 0)
</f>
        <v>0</v>
      </c>
      <c r="Q553" s="319">
        <f>IF(AND('Ações'!AT562="sim", 'Ações'!BI562="sim"), 1, 0)
</f>
        <v>0</v>
      </c>
      <c r="R553" s="319">
        <f>IF(AND('Ações'!AU562="sim", 'Ações'!BD562="sim"), 1, 0)
</f>
        <v>0</v>
      </c>
      <c r="S553" s="319">
        <f>IF(AND('Ações'!AU562="sim", 'Ações'!BE562="sim"), 1, 0)
</f>
        <v>0</v>
      </c>
      <c r="T553" s="319">
        <f>IF(AND('Ações'!AU562="sim", 'Ações'!BG562="sim"), 1, 0)
</f>
        <v>0</v>
      </c>
      <c r="U553" s="319">
        <f>IF(AND('Ações'!AU562="sim", 'Ações'!BH562="sim"), 1, 0)
</f>
        <v>0</v>
      </c>
      <c r="V553" s="319">
        <f>IF(AND('Ações'!AU562="sim", 'Ações'!BI562="sim"), 1, 0)
</f>
        <v>0</v>
      </c>
      <c r="W553" s="319">
        <f>IF(AND('Ações'!AV562="sim", 'Ações'!BD562="sim"), 1, 0)
</f>
        <v>0</v>
      </c>
      <c r="X553" s="319">
        <f>IF(AND('Ações'!AV562="sim", 'Ações'!BE562="sim"), 1, 0)
</f>
        <v>0</v>
      </c>
      <c r="Y553" s="319">
        <f>IF(AND('Ações'!AV562="sim", 'Ações'!BF562="sim"), 1, 0)
</f>
        <v>0</v>
      </c>
      <c r="Z553" s="319">
        <f>IF(AND('Ações'!AV562="sim", 'Ações'!BH562="sim"), 1, 0)
</f>
        <v>0</v>
      </c>
      <c r="AA553" s="319">
        <f>IF(AND('Ações'!AV562="sim", 'Ações'!BI562="sim"), 1, 0)
</f>
        <v>1</v>
      </c>
      <c r="AB553" s="319">
        <f>IF(AND('Ações'!AW562="sim", 'Ações'!BD562="sim"), 1, 0)
</f>
        <v>0</v>
      </c>
      <c r="AC553" s="319">
        <f>IF(AND('Ações'!AW562="sim", 'Ações'!BE562="sim"), 1, 0)
</f>
        <v>0</v>
      </c>
      <c r="AD553" s="319">
        <f>IF(AND('Ações'!AW562="sim", 'Ações'!BF562="sim"), 1, 0)
</f>
        <v>0</v>
      </c>
      <c r="AE553" s="319">
        <f>IF(AND('Ações'!AW562="sim", 'Ações'!BG562="sim"), 1, 0)
</f>
        <v>0</v>
      </c>
      <c r="AF553" s="319">
        <f>IF(AND('Ações'!AW562="sim", 'Ações'!BI562="sim"), 1, 0)
</f>
        <v>1</v>
      </c>
      <c r="AG553" s="319">
        <f>IF(AND('Ações'!AX562="sim", 'Ações'!BD562="sim"), 1, 0)
</f>
        <v>0</v>
      </c>
      <c r="AH553" s="319">
        <f>IF(AND('Ações'!AX562="sim", 'Ações'!BE562="sim"), 1, 0)
</f>
        <v>0</v>
      </c>
      <c r="AI553" s="319">
        <f>IF(AND('Ações'!AX562="sim", 'Ações'!BF562="sim"), 1, 0)
</f>
        <v>0</v>
      </c>
      <c r="AJ553" s="319">
        <f>IF(AND('Ações'!AX562="sim", 'Ações'!BG562="sim"), 1, 0)
</f>
        <v>0</v>
      </c>
      <c r="AK553" s="319">
        <f>IF(AND('Ações'!AX562="sim", 'Ações'!BH562="sim"), 1, 0)
</f>
        <v>0</v>
      </c>
    </row>
    <row r="554">
      <c r="B554" s="319" t="str">
        <f t="shared" ref="B554:AK554" si="6">IF(AND(#REF!="sim", #REF!="sim"), 1, 0)
</f>
        <v>#REF!</v>
      </c>
      <c r="C554" s="319" t="str">
        <f t="shared" si="6"/>
        <v>#REF!</v>
      </c>
      <c r="D554" s="319" t="str">
        <f t="shared" si="6"/>
        <v>#REF!</v>
      </c>
      <c r="E554" s="319" t="str">
        <f t="shared" si="6"/>
        <v>#REF!</v>
      </c>
      <c r="F554" s="319" t="str">
        <f t="shared" si="6"/>
        <v>#REF!</v>
      </c>
      <c r="G554" s="319" t="str">
        <f t="shared" si="6"/>
        <v>#REF!</v>
      </c>
      <c r="H554" s="319" t="str">
        <f t="shared" si="6"/>
        <v>#REF!</v>
      </c>
      <c r="I554" s="319" t="str">
        <f t="shared" si="6"/>
        <v>#REF!</v>
      </c>
      <c r="J554" s="319" t="str">
        <f t="shared" si="6"/>
        <v>#REF!</v>
      </c>
      <c r="K554" s="319" t="str">
        <f t="shared" si="6"/>
        <v>#REF!</v>
      </c>
      <c r="L554" s="319" t="str">
        <f t="shared" si="6"/>
        <v>#REF!</v>
      </c>
      <c r="M554" s="319" t="str">
        <f t="shared" si="6"/>
        <v>#REF!</v>
      </c>
      <c r="N554" s="319" t="str">
        <f t="shared" si="6"/>
        <v>#REF!</v>
      </c>
      <c r="O554" s="319" t="str">
        <f t="shared" si="6"/>
        <v>#REF!</v>
      </c>
      <c r="P554" s="319" t="str">
        <f t="shared" si="6"/>
        <v>#REF!</v>
      </c>
      <c r="Q554" s="319" t="str">
        <f t="shared" si="6"/>
        <v>#REF!</v>
      </c>
      <c r="R554" s="319" t="str">
        <f t="shared" si="6"/>
        <v>#REF!</v>
      </c>
      <c r="S554" s="319" t="str">
        <f t="shared" si="6"/>
        <v>#REF!</v>
      </c>
      <c r="T554" s="319" t="str">
        <f t="shared" si="6"/>
        <v>#REF!</v>
      </c>
      <c r="U554" s="319" t="str">
        <f t="shared" si="6"/>
        <v>#REF!</v>
      </c>
      <c r="V554" s="319" t="str">
        <f t="shared" si="6"/>
        <v>#REF!</v>
      </c>
      <c r="W554" s="319" t="str">
        <f t="shared" si="6"/>
        <v>#REF!</v>
      </c>
      <c r="X554" s="319" t="str">
        <f t="shared" si="6"/>
        <v>#REF!</v>
      </c>
      <c r="Y554" s="319" t="str">
        <f t="shared" si="6"/>
        <v>#REF!</v>
      </c>
      <c r="Z554" s="319" t="str">
        <f t="shared" si="6"/>
        <v>#REF!</v>
      </c>
      <c r="AA554" s="319" t="str">
        <f t="shared" si="6"/>
        <v>#REF!</v>
      </c>
      <c r="AB554" s="319" t="str">
        <f t="shared" si="6"/>
        <v>#REF!</v>
      </c>
      <c r="AC554" s="319" t="str">
        <f t="shared" si="6"/>
        <v>#REF!</v>
      </c>
      <c r="AD554" s="319" t="str">
        <f t="shared" si="6"/>
        <v>#REF!</v>
      </c>
      <c r="AE554" s="319" t="str">
        <f t="shared" si="6"/>
        <v>#REF!</v>
      </c>
      <c r="AF554" s="319" t="str">
        <f t="shared" si="6"/>
        <v>#REF!</v>
      </c>
      <c r="AG554" s="319" t="str">
        <f t="shared" si="6"/>
        <v>#REF!</v>
      </c>
      <c r="AH554" s="319" t="str">
        <f t="shared" si="6"/>
        <v>#REF!</v>
      </c>
      <c r="AI554" s="319" t="str">
        <f t="shared" si="6"/>
        <v>#REF!</v>
      </c>
      <c r="AJ554" s="319" t="str">
        <f t="shared" si="6"/>
        <v>#REF!</v>
      </c>
      <c r="AK554" s="319" t="str">
        <f t="shared" si="6"/>
        <v>#REF!</v>
      </c>
    </row>
    <row r="555">
      <c r="B555" s="319">
        <f>IF(AND('Ações'!AS563="sim", 'Ações'!BD563="sim"), 1, 0)
</f>
        <v>0</v>
      </c>
      <c r="C555" s="319">
        <f>IF(AND('Ações'!AT563="sim", 'Ações'!BE563="sim"), 1, 0)
</f>
        <v>0</v>
      </c>
      <c r="D555" s="319">
        <f>IF(AND('Ações'!AU563="sim", 'Ações'!BF563="sim"), 1, 0)
</f>
        <v>0</v>
      </c>
      <c r="E555" s="319">
        <f>IF(AND('Ações'!AV563="sim", 'Ações'!BG563="sim"), 1, 0)
</f>
        <v>0</v>
      </c>
      <c r="F555" s="319">
        <f>IF(AND('Ações'!AW563="sim", 'Ações'!BH563="sim"), 1, 0)
</f>
        <v>0</v>
      </c>
      <c r="G555" s="319">
        <f>IF(AND('Ações'!AX563="sim", 'Ações'!BI563="sim"), 1, 0)
</f>
        <v>1</v>
      </c>
      <c r="H555" s="319">
        <f>IF(AND('Ações'!AS563="sim", 'Ações'!BE563="sim"), 1, 0)
</f>
        <v>0</v>
      </c>
      <c r="I555" s="319">
        <f>IF(AND('Ações'!AS563="sim", 'Ações'!BF563="sim"), 1, 0)
</f>
        <v>0</v>
      </c>
      <c r="J555" s="319">
        <f>IF(AND('Ações'!AS563="sim", 'Ações'!BG563="sim"), 1, 0)
</f>
        <v>0</v>
      </c>
      <c r="K555" s="319">
        <f>IF(AND('Ações'!AS563="sim", 'Ações'!BH563="sim"), 1, 0)
</f>
        <v>0</v>
      </c>
      <c r="L555" s="319">
        <f>IF(AND('Ações'!AS563="sim", 'Ações'!BI563="sim"), 1, 0)
</f>
        <v>0</v>
      </c>
      <c r="M555" s="319">
        <f>IF(AND('Ações'!AT563="sim", 'Ações'!BD563="sim"), 1, 0)
</f>
        <v>0</v>
      </c>
      <c r="N555" s="319">
        <f>IF(AND('Ações'!AT563="sim", 'Ações'!BF563="sim"), 1, 0)
</f>
        <v>0</v>
      </c>
      <c r="O555" s="319">
        <f>IF(AND('Ações'!AT563="sim", 'Ações'!BG563="sim"), 1, 0)
</f>
        <v>0</v>
      </c>
      <c r="P555" s="319">
        <f>IF(AND('Ações'!AT563="sim", 'Ações'!BH563="sim"), 1, 0)
</f>
        <v>0</v>
      </c>
      <c r="Q555" s="319">
        <f>IF(AND('Ações'!AT563="sim", 'Ações'!BI563="sim"), 1, 0)
</f>
        <v>0</v>
      </c>
      <c r="R555" s="319">
        <f>IF(AND('Ações'!AU563="sim", 'Ações'!BD563="sim"), 1, 0)
</f>
        <v>0</v>
      </c>
      <c r="S555" s="319">
        <f>IF(AND('Ações'!AU563="sim", 'Ações'!BE563="sim"), 1, 0)
</f>
        <v>0</v>
      </c>
      <c r="T555" s="319">
        <f>IF(AND('Ações'!AU563="sim", 'Ações'!BG563="sim"), 1, 0)
</f>
        <v>0</v>
      </c>
      <c r="U555" s="319">
        <f>IF(AND('Ações'!AU563="sim", 'Ações'!BH563="sim"), 1, 0)
</f>
        <v>0</v>
      </c>
      <c r="V555" s="319">
        <f>IF(AND('Ações'!AU563="sim", 'Ações'!BI563="sim"), 1, 0)
</f>
        <v>0</v>
      </c>
      <c r="W555" s="319">
        <f>IF(AND('Ações'!AV563="sim", 'Ações'!BD563="sim"), 1, 0)
</f>
        <v>0</v>
      </c>
      <c r="X555" s="319">
        <f>IF(AND('Ações'!AV563="sim", 'Ações'!BE563="sim"), 1, 0)
</f>
        <v>0</v>
      </c>
      <c r="Y555" s="319">
        <f>IF(AND('Ações'!AV563="sim", 'Ações'!BF563="sim"), 1, 0)
</f>
        <v>0</v>
      </c>
      <c r="Z555" s="319">
        <f>IF(AND('Ações'!AV563="sim", 'Ações'!BH563="sim"), 1, 0)
</f>
        <v>0</v>
      </c>
      <c r="AA555" s="319">
        <f>IF(AND('Ações'!AV563="sim", 'Ações'!BI563="sim"), 1, 0)
</f>
        <v>1</v>
      </c>
      <c r="AB555" s="319">
        <f>IF(AND('Ações'!AW563="sim", 'Ações'!BD563="sim"), 1, 0)
</f>
        <v>0</v>
      </c>
      <c r="AC555" s="319">
        <f>IF(AND('Ações'!AW563="sim", 'Ações'!BE563="sim"), 1, 0)
</f>
        <v>0</v>
      </c>
      <c r="AD555" s="319">
        <f>IF(AND('Ações'!AW563="sim", 'Ações'!BF563="sim"), 1, 0)
</f>
        <v>0</v>
      </c>
      <c r="AE555" s="319">
        <f>IF(AND('Ações'!AW563="sim", 'Ações'!BG563="sim"), 1, 0)
</f>
        <v>0</v>
      </c>
      <c r="AF555" s="319">
        <f>IF(AND('Ações'!AW563="sim", 'Ações'!BI563="sim"), 1, 0)
</f>
        <v>1</v>
      </c>
      <c r="AG555" s="319">
        <f>IF(AND('Ações'!AX563="sim", 'Ações'!BD563="sim"), 1, 0)
</f>
        <v>0</v>
      </c>
      <c r="AH555" s="319">
        <f>IF(AND('Ações'!AX563="sim", 'Ações'!BE563="sim"), 1, 0)
</f>
        <v>0</v>
      </c>
      <c r="AI555" s="319">
        <f>IF(AND('Ações'!AX563="sim", 'Ações'!BF563="sim"), 1, 0)
</f>
        <v>0</v>
      </c>
      <c r="AJ555" s="319">
        <f>IF(AND('Ações'!AX563="sim", 'Ações'!BG563="sim"), 1, 0)
</f>
        <v>0</v>
      </c>
      <c r="AK555" s="319">
        <f>IF(AND('Ações'!AX563="sim", 'Ações'!BH563="sim"), 1, 0)
</f>
        <v>0</v>
      </c>
    </row>
    <row r="556">
      <c r="B556" s="319">
        <f>IF(AND('Ações'!AS564="sim", 'Ações'!BD564="sim"), 1, 0)
</f>
        <v>0</v>
      </c>
      <c r="C556" s="319">
        <f>IF(AND('Ações'!AT564="sim", 'Ações'!BE564="sim"), 1, 0)
</f>
        <v>0</v>
      </c>
      <c r="D556" s="319">
        <f>IF(AND('Ações'!AU564="sim", 'Ações'!BF564="sim"), 1, 0)
</f>
        <v>0</v>
      </c>
      <c r="E556" s="319">
        <f>IF(AND('Ações'!AV564="sim", 'Ações'!BG564="sim"), 1, 0)
</f>
        <v>0</v>
      </c>
      <c r="F556" s="319">
        <f>IF(AND('Ações'!AW564="sim", 'Ações'!BH564="sim"), 1, 0)
</f>
        <v>0</v>
      </c>
      <c r="G556" s="319">
        <f>IF(AND('Ações'!AX564="sim", 'Ações'!BI564="sim"), 1, 0)
</f>
        <v>1</v>
      </c>
      <c r="H556" s="319">
        <f>IF(AND('Ações'!AS564="sim", 'Ações'!BE564="sim"), 1, 0)
</f>
        <v>0</v>
      </c>
      <c r="I556" s="319">
        <f>IF(AND('Ações'!AS564="sim", 'Ações'!BF564="sim"), 1, 0)
</f>
        <v>0</v>
      </c>
      <c r="J556" s="319">
        <f>IF(AND('Ações'!AS564="sim", 'Ações'!BG564="sim"), 1, 0)
</f>
        <v>0</v>
      </c>
      <c r="K556" s="319">
        <f>IF(AND('Ações'!AS564="sim", 'Ações'!BH564="sim"), 1, 0)
</f>
        <v>0</v>
      </c>
      <c r="L556" s="319">
        <f>IF(AND('Ações'!AS564="sim", 'Ações'!BI564="sim"), 1, 0)
</f>
        <v>0</v>
      </c>
      <c r="M556" s="319">
        <f>IF(AND('Ações'!AT564="sim", 'Ações'!BD564="sim"), 1, 0)
</f>
        <v>0</v>
      </c>
      <c r="N556" s="319">
        <f>IF(AND('Ações'!AT564="sim", 'Ações'!BF564="sim"), 1, 0)
</f>
        <v>0</v>
      </c>
      <c r="O556" s="319">
        <f>IF(AND('Ações'!AT564="sim", 'Ações'!BG564="sim"), 1, 0)
</f>
        <v>0</v>
      </c>
      <c r="P556" s="319">
        <f>IF(AND('Ações'!AT564="sim", 'Ações'!BH564="sim"), 1, 0)
</f>
        <v>0</v>
      </c>
      <c r="Q556" s="319">
        <f>IF(AND('Ações'!AT564="sim", 'Ações'!BI564="sim"), 1, 0)
</f>
        <v>0</v>
      </c>
      <c r="R556" s="319">
        <f>IF(AND('Ações'!AU564="sim", 'Ações'!BD564="sim"), 1, 0)
</f>
        <v>0</v>
      </c>
      <c r="S556" s="319">
        <f>IF(AND('Ações'!AU564="sim", 'Ações'!BE564="sim"), 1, 0)
</f>
        <v>0</v>
      </c>
      <c r="T556" s="319">
        <f>IF(AND('Ações'!AU564="sim", 'Ações'!BG564="sim"), 1, 0)
</f>
        <v>0</v>
      </c>
      <c r="U556" s="319">
        <f>IF(AND('Ações'!AU564="sim", 'Ações'!BH564="sim"), 1, 0)
</f>
        <v>0</v>
      </c>
      <c r="V556" s="319">
        <f>IF(AND('Ações'!AU564="sim", 'Ações'!BI564="sim"), 1, 0)
</f>
        <v>0</v>
      </c>
      <c r="W556" s="319">
        <f>IF(AND('Ações'!AV564="sim", 'Ações'!BD564="sim"), 1, 0)
</f>
        <v>0</v>
      </c>
      <c r="X556" s="319">
        <f>IF(AND('Ações'!AV564="sim", 'Ações'!BE564="sim"), 1, 0)
</f>
        <v>0</v>
      </c>
      <c r="Y556" s="319">
        <f>IF(AND('Ações'!AV564="sim", 'Ações'!BF564="sim"), 1, 0)
</f>
        <v>0</v>
      </c>
      <c r="Z556" s="319">
        <f>IF(AND('Ações'!AV564="sim", 'Ações'!BH564="sim"), 1, 0)
</f>
        <v>0</v>
      </c>
      <c r="AA556" s="319">
        <f>IF(AND('Ações'!AV564="sim", 'Ações'!BI564="sim"), 1, 0)
</f>
        <v>1</v>
      </c>
      <c r="AB556" s="319">
        <f>IF(AND('Ações'!AW564="sim", 'Ações'!BD564="sim"), 1, 0)
</f>
        <v>0</v>
      </c>
      <c r="AC556" s="319">
        <f>IF(AND('Ações'!AW564="sim", 'Ações'!BE564="sim"), 1, 0)
</f>
        <v>0</v>
      </c>
      <c r="AD556" s="319">
        <f>IF(AND('Ações'!AW564="sim", 'Ações'!BF564="sim"), 1, 0)
</f>
        <v>0</v>
      </c>
      <c r="AE556" s="319">
        <f>IF(AND('Ações'!AW564="sim", 'Ações'!BG564="sim"), 1, 0)
</f>
        <v>0</v>
      </c>
      <c r="AF556" s="319">
        <f>IF(AND('Ações'!AW564="sim", 'Ações'!BI564="sim"), 1, 0)
</f>
        <v>1</v>
      </c>
      <c r="AG556" s="319">
        <f>IF(AND('Ações'!AX564="sim", 'Ações'!BD564="sim"), 1, 0)
</f>
        <v>0</v>
      </c>
      <c r="AH556" s="319">
        <f>IF(AND('Ações'!AX564="sim", 'Ações'!BE564="sim"), 1, 0)
</f>
        <v>0</v>
      </c>
      <c r="AI556" s="319">
        <f>IF(AND('Ações'!AX564="sim", 'Ações'!BF564="sim"), 1, 0)
</f>
        <v>0</v>
      </c>
      <c r="AJ556" s="319">
        <f>IF(AND('Ações'!AX564="sim", 'Ações'!BG564="sim"), 1, 0)
</f>
        <v>0</v>
      </c>
      <c r="AK556" s="319">
        <f>IF(AND('Ações'!AX564="sim", 'Ações'!BH564="sim"), 1, 0)
</f>
        <v>0</v>
      </c>
    </row>
    <row r="557">
      <c r="B557" s="319">
        <f>IF(AND('Ações'!AS565="sim", 'Ações'!BD565="sim"), 1, 0)
</f>
        <v>0</v>
      </c>
      <c r="C557" s="319">
        <f>IF(AND('Ações'!AT565="sim", 'Ações'!BE565="sim"), 1, 0)
</f>
        <v>0</v>
      </c>
      <c r="D557" s="319">
        <f>IF(AND('Ações'!AU565="sim", 'Ações'!BF565="sim"), 1, 0)
</f>
        <v>0</v>
      </c>
      <c r="E557" s="319">
        <f>IF(AND('Ações'!AV565="sim", 'Ações'!BG565="sim"), 1, 0)
</f>
        <v>0</v>
      </c>
      <c r="F557" s="319">
        <f>IF(AND('Ações'!AW565="sim", 'Ações'!BH565="sim"), 1, 0)
</f>
        <v>0</v>
      </c>
      <c r="G557" s="319">
        <f>IF(AND('Ações'!AX565="sim", 'Ações'!BI565="sim"), 1, 0)
</f>
        <v>1</v>
      </c>
      <c r="H557" s="319">
        <f>IF(AND('Ações'!AS565="sim", 'Ações'!BE565="sim"), 1, 0)
</f>
        <v>0</v>
      </c>
      <c r="I557" s="319">
        <f>IF(AND('Ações'!AS565="sim", 'Ações'!BF565="sim"), 1, 0)
</f>
        <v>0</v>
      </c>
      <c r="J557" s="319">
        <f>IF(AND('Ações'!AS565="sim", 'Ações'!BG565="sim"), 1, 0)
</f>
        <v>0</v>
      </c>
      <c r="K557" s="319">
        <f>IF(AND('Ações'!AS565="sim", 'Ações'!BH565="sim"), 1, 0)
</f>
        <v>0</v>
      </c>
      <c r="L557" s="319">
        <f>IF(AND('Ações'!AS565="sim", 'Ações'!BI565="sim"), 1, 0)
</f>
        <v>0</v>
      </c>
      <c r="M557" s="319">
        <f>IF(AND('Ações'!AT565="sim", 'Ações'!BD565="sim"), 1, 0)
</f>
        <v>0</v>
      </c>
      <c r="N557" s="319">
        <f>IF(AND('Ações'!AT565="sim", 'Ações'!BF565="sim"), 1, 0)
</f>
        <v>0</v>
      </c>
      <c r="O557" s="319">
        <f>IF(AND('Ações'!AT565="sim", 'Ações'!BG565="sim"), 1, 0)
</f>
        <v>0</v>
      </c>
      <c r="P557" s="319">
        <f>IF(AND('Ações'!AT565="sim", 'Ações'!BH565="sim"), 1, 0)
</f>
        <v>0</v>
      </c>
      <c r="Q557" s="319">
        <f>IF(AND('Ações'!AT565="sim", 'Ações'!BI565="sim"), 1, 0)
</f>
        <v>0</v>
      </c>
      <c r="R557" s="319">
        <f>IF(AND('Ações'!AU565="sim", 'Ações'!BD565="sim"), 1, 0)
</f>
        <v>0</v>
      </c>
      <c r="S557" s="319">
        <f>IF(AND('Ações'!AU565="sim", 'Ações'!BE565="sim"), 1, 0)
</f>
        <v>0</v>
      </c>
      <c r="T557" s="319">
        <f>IF(AND('Ações'!AU565="sim", 'Ações'!BG565="sim"), 1, 0)
</f>
        <v>0</v>
      </c>
      <c r="U557" s="319">
        <f>IF(AND('Ações'!AU565="sim", 'Ações'!BH565="sim"), 1, 0)
</f>
        <v>0</v>
      </c>
      <c r="V557" s="319">
        <f>IF(AND('Ações'!AU565="sim", 'Ações'!BI565="sim"), 1, 0)
</f>
        <v>0</v>
      </c>
      <c r="W557" s="319">
        <f>IF(AND('Ações'!AV565="sim", 'Ações'!BD565="sim"), 1, 0)
</f>
        <v>0</v>
      </c>
      <c r="X557" s="319">
        <f>IF(AND('Ações'!AV565="sim", 'Ações'!BE565="sim"), 1, 0)
</f>
        <v>0</v>
      </c>
      <c r="Y557" s="319">
        <f>IF(AND('Ações'!AV565="sim", 'Ações'!BF565="sim"), 1, 0)
</f>
        <v>0</v>
      </c>
      <c r="Z557" s="319">
        <f>IF(AND('Ações'!AV565="sim", 'Ações'!BH565="sim"), 1, 0)
</f>
        <v>0</v>
      </c>
      <c r="AA557" s="319">
        <f>IF(AND('Ações'!AV565="sim", 'Ações'!BI565="sim"), 1, 0)
</f>
        <v>1</v>
      </c>
      <c r="AB557" s="319">
        <f>IF(AND('Ações'!AW565="sim", 'Ações'!BD565="sim"), 1, 0)
</f>
        <v>0</v>
      </c>
      <c r="AC557" s="319">
        <f>IF(AND('Ações'!AW565="sim", 'Ações'!BE565="sim"), 1, 0)
</f>
        <v>0</v>
      </c>
      <c r="AD557" s="319">
        <f>IF(AND('Ações'!AW565="sim", 'Ações'!BF565="sim"), 1, 0)
</f>
        <v>0</v>
      </c>
      <c r="AE557" s="319">
        <f>IF(AND('Ações'!AW565="sim", 'Ações'!BG565="sim"), 1, 0)
</f>
        <v>0</v>
      </c>
      <c r="AF557" s="319">
        <f>IF(AND('Ações'!AW565="sim", 'Ações'!BI565="sim"), 1, 0)
</f>
        <v>1</v>
      </c>
      <c r="AG557" s="319">
        <f>IF(AND('Ações'!AX565="sim", 'Ações'!BD565="sim"), 1, 0)
</f>
        <v>0</v>
      </c>
      <c r="AH557" s="319">
        <f>IF(AND('Ações'!AX565="sim", 'Ações'!BE565="sim"), 1, 0)
</f>
        <v>0</v>
      </c>
      <c r="AI557" s="319">
        <f>IF(AND('Ações'!AX565="sim", 'Ações'!BF565="sim"), 1, 0)
</f>
        <v>0</v>
      </c>
      <c r="AJ557" s="319">
        <f>IF(AND('Ações'!AX565="sim", 'Ações'!BG565="sim"), 1, 0)
</f>
        <v>0</v>
      </c>
      <c r="AK557" s="319">
        <f>IF(AND('Ações'!AX565="sim", 'Ações'!BH565="sim"), 1, 0)
</f>
        <v>0</v>
      </c>
    </row>
    <row r="558">
      <c r="B558" s="319">
        <f>IF(AND('Ações'!AS566="sim", 'Ações'!BD566="sim"), 1, 0)
</f>
        <v>0</v>
      </c>
      <c r="C558" s="319">
        <f>IF(AND('Ações'!AT566="sim", 'Ações'!BE566="sim"), 1, 0)
</f>
        <v>0</v>
      </c>
      <c r="D558" s="319">
        <f>IF(AND('Ações'!AU566="sim", 'Ações'!BF566="sim"), 1, 0)
</f>
        <v>0</v>
      </c>
      <c r="E558" s="319">
        <f>IF(AND('Ações'!AV566="sim", 'Ações'!BG566="sim"), 1, 0)
</f>
        <v>0</v>
      </c>
      <c r="F558" s="319">
        <f>IF(AND('Ações'!AW566="sim", 'Ações'!BH566="sim"), 1, 0)
</f>
        <v>0</v>
      </c>
      <c r="G558" s="319">
        <f>IF(AND('Ações'!AX566="sim", 'Ações'!BI566="sim"), 1, 0)
</f>
        <v>1</v>
      </c>
      <c r="H558" s="319">
        <f>IF(AND('Ações'!AS566="sim", 'Ações'!BE566="sim"), 1, 0)
</f>
        <v>0</v>
      </c>
      <c r="I558" s="319">
        <f>IF(AND('Ações'!AS566="sim", 'Ações'!BF566="sim"), 1, 0)
</f>
        <v>0</v>
      </c>
      <c r="J558" s="319">
        <f>IF(AND('Ações'!AS566="sim", 'Ações'!BG566="sim"), 1, 0)
</f>
        <v>0</v>
      </c>
      <c r="K558" s="319">
        <f>IF(AND('Ações'!AS566="sim", 'Ações'!BH566="sim"), 1, 0)
</f>
        <v>0</v>
      </c>
      <c r="L558" s="319">
        <f>IF(AND('Ações'!AS566="sim", 'Ações'!BI566="sim"), 1, 0)
</f>
        <v>0</v>
      </c>
      <c r="M558" s="319">
        <f>IF(AND('Ações'!AT566="sim", 'Ações'!BD566="sim"), 1, 0)
</f>
        <v>0</v>
      </c>
      <c r="N558" s="319">
        <f>IF(AND('Ações'!AT566="sim", 'Ações'!BF566="sim"), 1, 0)
</f>
        <v>0</v>
      </c>
      <c r="O558" s="319">
        <f>IF(AND('Ações'!AT566="sim", 'Ações'!BG566="sim"), 1, 0)
</f>
        <v>0</v>
      </c>
      <c r="P558" s="319">
        <f>IF(AND('Ações'!AT566="sim", 'Ações'!BH566="sim"), 1, 0)
</f>
        <v>0</v>
      </c>
      <c r="Q558" s="319">
        <f>IF(AND('Ações'!AT566="sim", 'Ações'!BI566="sim"), 1, 0)
</f>
        <v>0</v>
      </c>
      <c r="R558" s="319">
        <f>IF(AND('Ações'!AU566="sim", 'Ações'!BD566="sim"), 1, 0)
</f>
        <v>0</v>
      </c>
      <c r="S558" s="319">
        <f>IF(AND('Ações'!AU566="sim", 'Ações'!BE566="sim"), 1, 0)
</f>
        <v>0</v>
      </c>
      <c r="T558" s="319">
        <f>IF(AND('Ações'!AU566="sim", 'Ações'!BG566="sim"), 1, 0)
</f>
        <v>0</v>
      </c>
      <c r="U558" s="319">
        <f>IF(AND('Ações'!AU566="sim", 'Ações'!BH566="sim"), 1, 0)
</f>
        <v>0</v>
      </c>
      <c r="V558" s="319">
        <f>IF(AND('Ações'!AU566="sim", 'Ações'!BI566="sim"), 1, 0)
</f>
        <v>0</v>
      </c>
      <c r="W558" s="319">
        <f>IF(AND('Ações'!AV566="sim", 'Ações'!BD566="sim"), 1, 0)
</f>
        <v>0</v>
      </c>
      <c r="X558" s="319">
        <f>IF(AND('Ações'!AV566="sim", 'Ações'!BE566="sim"), 1, 0)
</f>
        <v>0</v>
      </c>
      <c r="Y558" s="319">
        <f>IF(AND('Ações'!AV566="sim", 'Ações'!BF566="sim"), 1, 0)
</f>
        <v>0</v>
      </c>
      <c r="Z558" s="319">
        <f>IF(AND('Ações'!AV566="sim", 'Ações'!BH566="sim"), 1, 0)
</f>
        <v>0</v>
      </c>
      <c r="AA558" s="319">
        <f>IF(AND('Ações'!AV566="sim", 'Ações'!BI566="sim"), 1, 0)
</f>
        <v>1</v>
      </c>
      <c r="AB558" s="319">
        <f>IF(AND('Ações'!AW566="sim", 'Ações'!BD566="sim"), 1, 0)
</f>
        <v>0</v>
      </c>
      <c r="AC558" s="319">
        <f>IF(AND('Ações'!AW566="sim", 'Ações'!BE566="sim"), 1, 0)
</f>
        <v>0</v>
      </c>
      <c r="AD558" s="319">
        <f>IF(AND('Ações'!AW566="sim", 'Ações'!BF566="sim"), 1, 0)
</f>
        <v>0</v>
      </c>
      <c r="AE558" s="319">
        <f>IF(AND('Ações'!AW566="sim", 'Ações'!BG566="sim"), 1, 0)
</f>
        <v>0</v>
      </c>
      <c r="AF558" s="319">
        <f>IF(AND('Ações'!AW566="sim", 'Ações'!BI566="sim"), 1, 0)
</f>
        <v>1</v>
      </c>
      <c r="AG558" s="319">
        <f>IF(AND('Ações'!AX566="sim", 'Ações'!BD566="sim"), 1, 0)
</f>
        <v>0</v>
      </c>
      <c r="AH558" s="319">
        <f>IF(AND('Ações'!AX566="sim", 'Ações'!BE566="sim"), 1, 0)
</f>
        <v>0</v>
      </c>
      <c r="AI558" s="319">
        <f>IF(AND('Ações'!AX566="sim", 'Ações'!BF566="sim"), 1, 0)
</f>
        <v>0</v>
      </c>
      <c r="AJ558" s="319">
        <f>IF(AND('Ações'!AX566="sim", 'Ações'!BG566="sim"), 1, 0)
</f>
        <v>0</v>
      </c>
      <c r="AK558" s="319">
        <f>IF(AND('Ações'!AX566="sim", 'Ações'!BH566="sim"), 1, 0)
</f>
        <v>0</v>
      </c>
    </row>
    <row r="559">
      <c r="B559" s="319">
        <f>IF(AND('Ações'!AS567="sim", 'Ações'!BD567="sim"), 1, 0)
</f>
        <v>0</v>
      </c>
      <c r="C559" s="319">
        <f>IF(AND('Ações'!AT567="sim", 'Ações'!BE567="sim"), 1, 0)
</f>
        <v>0</v>
      </c>
      <c r="D559" s="319">
        <f>IF(AND('Ações'!AU567="sim", 'Ações'!BF567="sim"), 1, 0)
</f>
        <v>0</v>
      </c>
      <c r="E559" s="319">
        <f>IF(AND('Ações'!AV567="sim", 'Ações'!BG567="sim"), 1, 0)
</f>
        <v>0</v>
      </c>
      <c r="F559" s="319">
        <f>IF(AND('Ações'!AW567="sim", 'Ações'!BH567="sim"), 1, 0)
</f>
        <v>0</v>
      </c>
      <c r="G559" s="319">
        <f>IF(AND('Ações'!AX567="sim", 'Ações'!BI567="sim"), 1, 0)
</f>
        <v>1</v>
      </c>
      <c r="H559" s="319">
        <f>IF(AND('Ações'!AS567="sim", 'Ações'!BE567="sim"), 1, 0)
</f>
        <v>0</v>
      </c>
      <c r="I559" s="319">
        <f>IF(AND('Ações'!AS567="sim", 'Ações'!BF567="sim"), 1, 0)
</f>
        <v>0</v>
      </c>
      <c r="J559" s="319">
        <f>IF(AND('Ações'!AS567="sim", 'Ações'!BG567="sim"), 1, 0)
</f>
        <v>0</v>
      </c>
      <c r="K559" s="319">
        <f>IF(AND('Ações'!AS567="sim", 'Ações'!BH567="sim"), 1, 0)
</f>
        <v>0</v>
      </c>
      <c r="L559" s="319">
        <f>IF(AND('Ações'!AS567="sim", 'Ações'!BI567="sim"), 1, 0)
</f>
        <v>0</v>
      </c>
      <c r="M559" s="319">
        <f>IF(AND('Ações'!AT567="sim", 'Ações'!BD567="sim"), 1, 0)
</f>
        <v>0</v>
      </c>
      <c r="N559" s="319">
        <f>IF(AND('Ações'!AT567="sim", 'Ações'!BF567="sim"), 1, 0)
</f>
        <v>0</v>
      </c>
      <c r="O559" s="319">
        <f>IF(AND('Ações'!AT567="sim", 'Ações'!BG567="sim"), 1, 0)
</f>
        <v>0</v>
      </c>
      <c r="P559" s="319">
        <f>IF(AND('Ações'!AT567="sim", 'Ações'!BH567="sim"), 1, 0)
</f>
        <v>0</v>
      </c>
      <c r="Q559" s="319">
        <f>IF(AND('Ações'!AT567="sim", 'Ações'!BI567="sim"), 1, 0)
</f>
        <v>0</v>
      </c>
      <c r="R559" s="319">
        <f>IF(AND('Ações'!AU567="sim", 'Ações'!BD567="sim"), 1, 0)
</f>
        <v>0</v>
      </c>
      <c r="S559" s="319">
        <f>IF(AND('Ações'!AU567="sim", 'Ações'!BE567="sim"), 1, 0)
</f>
        <v>0</v>
      </c>
      <c r="T559" s="319">
        <f>IF(AND('Ações'!AU567="sim", 'Ações'!BG567="sim"), 1, 0)
</f>
        <v>0</v>
      </c>
      <c r="U559" s="319">
        <f>IF(AND('Ações'!AU567="sim", 'Ações'!BH567="sim"), 1, 0)
</f>
        <v>0</v>
      </c>
      <c r="V559" s="319">
        <f>IF(AND('Ações'!AU567="sim", 'Ações'!BI567="sim"), 1, 0)
</f>
        <v>0</v>
      </c>
      <c r="W559" s="319">
        <f>IF(AND('Ações'!AV567="sim", 'Ações'!BD567="sim"), 1, 0)
</f>
        <v>0</v>
      </c>
      <c r="X559" s="319">
        <f>IF(AND('Ações'!AV567="sim", 'Ações'!BE567="sim"), 1, 0)
</f>
        <v>0</v>
      </c>
      <c r="Y559" s="319">
        <f>IF(AND('Ações'!AV567="sim", 'Ações'!BF567="sim"), 1, 0)
</f>
        <v>0</v>
      </c>
      <c r="Z559" s="319">
        <f>IF(AND('Ações'!AV567="sim", 'Ações'!BH567="sim"), 1, 0)
</f>
        <v>0</v>
      </c>
      <c r="AA559" s="319">
        <f>IF(AND('Ações'!AV567="sim", 'Ações'!BI567="sim"), 1, 0)
</f>
        <v>1</v>
      </c>
      <c r="AB559" s="319">
        <f>IF(AND('Ações'!AW567="sim", 'Ações'!BD567="sim"), 1, 0)
</f>
        <v>0</v>
      </c>
      <c r="AC559" s="319">
        <f>IF(AND('Ações'!AW567="sim", 'Ações'!BE567="sim"), 1, 0)
</f>
        <v>0</v>
      </c>
      <c r="AD559" s="319">
        <f>IF(AND('Ações'!AW567="sim", 'Ações'!BF567="sim"), 1, 0)
</f>
        <v>0</v>
      </c>
      <c r="AE559" s="319">
        <f>IF(AND('Ações'!AW567="sim", 'Ações'!BG567="sim"), 1, 0)
</f>
        <v>0</v>
      </c>
      <c r="AF559" s="319">
        <f>IF(AND('Ações'!AW567="sim", 'Ações'!BI567="sim"), 1, 0)
</f>
        <v>1</v>
      </c>
      <c r="AG559" s="319">
        <f>IF(AND('Ações'!AX567="sim", 'Ações'!BD567="sim"), 1, 0)
</f>
        <v>0</v>
      </c>
      <c r="AH559" s="319">
        <f>IF(AND('Ações'!AX567="sim", 'Ações'!BE567="sim"), 1, 0)
</f>
        <v>0</v>
      </c>
      <c r="AI559" s="319">
        <f>IF(AND('Ações'!AX567="sim", 'Ações'!BF567="sim"), 1, 0)
</f>
        <v>0</v>
      </c>
      <c r="AJ559" s="319">
        <f>IF(AND('Ações'!AX567="sim", 'Ações'!BG567="sim"), 1, 0)
</f>
        <v>0</v>
      </c>
      <c r="AK559" s="319">
        <f>IF(AND('Ações'!AX567="sim", 'Ações'!BH567="sim"), 1, 0)
</f>
        <v>0</v>
      </c>
    </row>
    <row r="560">
      <c r="B560" s="319">
        <f>IF(AND('Ações'!AS568="sim", 'Ações'!BD568="sim"), 1, 0)
</f>
        <v>0</v>
      </c>
      <c r="C560" s="319">
        <f>IF(AND('Ações'!AT568="sim", 'Ações'!BE568="sim"), 1, 0)
</f>
        <v>0</v>
      </c>
      <c r="D560" s="319">
        <f>IF(AND('Ações'!AU568="sim", 'Ações'!BF568="sim"), 1, 0)
</f>
        <v>0</v>
      </c>
      <c r="E560" s="319">
        <f>IF(AND('Ações'!AV568="sim", 'Ações'!BG568="sim"), 1, 0)
</f>
        <v>0</v>
      </c>
      <c r="F560" s="319">
        <f>IF(AND('Ações'!AW568="sim", 'Ações'!BH568="sim"), 1, 0)
</f>
        <v>0</v>
      </c>
      <c r="G560" s="319">
        <f>IF(AND('Ações'!AX568="sim", 'Ações'!BI568="sim"), 1, 0)
</f>
        <v>1</v>
      </c>
      <c r="H560" s="319">
        <f>IF(AND('Ações'!AS568="sim", 'Ações'!BE568="sim"), 1, 0)
</f>
        <v>0</v>
      </c>
      <c r="I560" s="319">
        <f>IF(AND('Ações'!AS568="sim", 'Ações'!BF568="sim"), 1, 0)
</f>
        <v>0</v>
      </c>
      <c r="J560" s="319">
        <f>IF(AND('Ações'!AS568="sim", 'Ações'!BG568="sim"), 1, 0)
</f>
        <v>0</v>
      </c>
      <c r="K560" s="319">
        <f>IF(AND('Ações'!AS568="sim", 'Ações'!BH568="sim"), 1, 0)
</f>
        <v>0</v>
      </c>
      <c r="L560" s="319">
        <f>IF(AND('Ações'!AS568="sim", 'Ações'!BI568="sim"), 1, 0)
</f>
        <v>0</v>
      </c>
      <c r="M560" s="319">
        <f>IF(AND('Ações'!AT568="sim", 'Ações'!BD568="sim"), 1, 0)
</f>
        <v>0</v>
      </c>
      <c r="N560" s="319">
        <f>IF(AND('Ações'!AT568="sim", 'Ações'!BF568="sim"), 1, 0)
</f>
        <v>0</v>
      </c>
      <c r="O560" s="319">
        <f>IF(AND('Ações'!AT568="sim", 'Ações'!BG568="sim"), 1, 0)
</f>
        <v>0</v>
      </c>
      <c r="P560" s="319">
        <f>IF(AND('Ações'!AT568="sim", 'Ações'!BH568="sim"), 1, 0)
</f>
        <v>0</v>
      </c>
      <c r="Q560" s="319">
        <f>IF(AND('Ações'!AT568="sim", 'Ações'!BI568="sim"), 1, 0)
</f>
        <v>0</v>
      </c>
      <c r="R560" s="319">
        <f>IF(AND('Ações'!AU568="sim", 'Ações'!BD568="sim"), 1, 0)
</f>
        <v>0</v>
      </c>
      <c r="S560" s="319">
        <f>IF(AND('Ações'!AU568="sim", 'Ações'!BE568="sim"), 1, 0)
</f>
        <v>0</v>
      </c>
      <c r="T560" s="319">
        <f>IF(AND('Ações'!AU568="sim", 'Ações'!BG568="sim"), 1, 0)
</f>
        <v>0</v>
      </c>
      <c r="U560" s="319">
        <f>IF(AND('Ações'!AU568="sim", 'Ações'!BH568="sim"), 1, 0)
</f>
        <v>0</v>
      </c>
      <c r="V560" s="319">
        <f>IF(AND('Ações'!AU568="sim", 'Ações'!BI568="sim"), 1, 0)
</f>
        <v>0</v>
      </c>
      <c r="W560" s="319">
        <f>IF(AND('Ações'!AV568="sim", 'Ações'!BD568="sim"), 1, 0)
</f>
        <v>0</v>
      </c>
      <c r="X560" s="319">
        <f>IF(AND('Ações'!AV568="sim", 'Ações'!BE568="sim"), 1, 0)
</f>
        <v>0</v>
      </c>
      <c r="Y560" s="319">
        <f>IF(AND('Ações'!AV568="sim", 'Ações'!BF568="sim"), 1, 0)
</f>
        <v>0</v>
      </c>
      <c r="Z560" s="319">
        <f>IF(AND('Ações'!AV568="sim", 'Ações'!BH568="sim"), 1, 0)
</f>
        <v>0</v>
      </c>
      <c r="AA560" s="319">
        <f>IF(AND('Ações'!AV568="sim", 'Ações'!BI568="sim"), 1, 0)
</f>
        <v>1</v>
      </c>
      <c r="AB560" s="319">
        <f>IF(AND('Ações'!AW568="sim", 'Ações'!BD568="sim"), 1, 0)
</f>
        <v>0</v>
      </c>
      <c r="AC560" s="319">
        <f>IF(AND('Ações'!AW568="sim", 'Ações'!BE568="sim"), 1, 0)
</f>
        <v>0</v>
      </c>
      <c r="AD560" s="319">
        <f>IF(AND('Ações'!AW568="sim", 'Ações'!BF568="sim"), 1, 0)
</f>
        <v>0</v>
      </c>
      <c r="AE560" s="319">
        <f>IF(AND('Ações'!AW568="sim", 'Ações'!BG568="sim"), 1, 0)
</f>
        <v>0</v>
      </c>
      <c r="AF560" s="319">
        <f>IF(AND('Ações'!AW568="sim", 'Ações'!BI568="sim"), 1, 0)
</f>
        <v>1</v>
      </c>
      <c r="AG560" s="319">
        <f>IF(AND('Ações'!AX568="sim", 'Ações'!BD568="sim"), 1, 0)
</f>
        <v>0</v>
      </c>
      <c r="AH560" s="319">
        <f>IF(AND('Ações'!AX568="sim", 'Ações'!BE568="sim"), 1, 0)
</f>
        <v>0</v>
      </c>
      <c r="AI560" s="319">
        <f>IF(AND('Ações'!AX568="sim", 'Ações'!BF568="sim"), 1, 0)
</f>
        <v>0</v>
      </c>
      <c r="AJ560" s="319">
        <f>IF(AND('Ações'!AX568="sim", 'Ações'!BG568="sim"), 1, 0)
</f>
        <v>0</v>
      </c>
      <c r="AK560" s="319">
        <f>IF(AND('Ações'!AX568="sim", 'Ações'!BH568="sim"), 1, 0)
</f>
        <v>0</v>
      </c>
    </row>
    <row r="561">
      <c r="B561" s="319">
        <f>IF(AND('Ações'!AS569="sim", 'Ações'!BD569="sim"), 1, 0)
</f>
        <v>0</v>
      </c>
      <c r="C561" s="319">
        <f>IF(AND('Ações'!AT569="sim", 'Ações'!BE569="sim"), 1, 0)
</f>
        <v>0</v>
      </c>
      <c r="D561" s="319">
        <f>IF(AND('Ações'!AU569="sim", 'Ações'!BF569="sim"), 1, 0)
</f>
        <v>0</v>
      </c>
      <c r="E561" s="319">
        <f>IF(AND('Ações'!AV569="sim", 'Ações'!BG569="sim"), 1, 0)
</f>
        <v>0</v>
      </c>
      <c r="F561" s="319">
        <f>IF(AND('Ações'!AW569="sim", 'Ações'!BH569="sim"), 1, 0)
</f>
        <v>0</v>
      </c>
      <c r="G561" s="319">
        <f>IF(AND('Ações'!AX569="sim", 'Ações'!BI569="sim"), 1, 0)
</f>
        <v>1</v>
      </c>
      <c r="H561" s="319">
        <f>IF(AND('Ações'!AS569="sim", 'Ações'!BE569="sim"), 1, 0)
</f>
        <v>0</v>
      </c>
      <c r="I561" s="319">
        <f>IF(AND('Ações'!AS569="sim", 'Ações'!BF569="sim"), 1, 0)
</f>
        <v>0</v>
      </c>
      <c r="J561" s="319">
        <f>IF(AND('Ações'!AS569="sim", 'Ações'!BG569="sim"), 1, 0)
</f>
        <v>0</v>
      </c>
      <c r="K561" s="319">
        <f>IF(AND('Ações'!AS569="sim", 'Ações'!BH569="sim"), 1, 0)
</f>
        <v>0</v>
      </c>
      <c r="L561" s="319">
        <f>IF(AND('Ações'!AS569="sim", 'Ações'!BI569="sim"), 1, 0)
</f>
        <v>0</v>
      </c>
      <c r="M561" s="319">
        <f>IF(AND('Ações'!AT569="sim", 'Ações'!BD569="sim"), 1, 0)
</f>
        <v>0</v>
      </c>
      <c r="N561" s="319">
        <f>IF(AND('Ações'!AT569="sim", 'Ações'!BF569="sim"), 1, 0)
</f>
        <v>0</v>
      </c>
      <c r="O561" s="319">
        <f>IF(AND('Ações'!AT569="sim", 'Ações'!BG569="sim"), 1, 0)
</f>
        <v>0</v>
      </c>
      <c r="P561" s="319">
        <f>IF(AND('Ações'!AT569="sim", 'Ações'!BH569="sim"), 1, 0)
</f>
        <v>0</v>
      </c>
      <c r="Q561" s="319">
        <f>IF(AND('Ações'!AT569="sim", 'Ações'!BI569="sim"), 1, 0)
</f>
        <v>0</v>
      </c>
      <c r="R561" s="319">
        <f>IF(AND('Ações'!AU569="sim", 'Ações'!BD569="sim"), 1, 0)
</f>
        <v>0</v>
      </c>
      <c r="S561" s="319">
        <f>IF(AND('Ações'!AU569="sim", 'Ações'!BE569="sim"), 1, 0)
</f>
        <v>0</v>
      </c>
      <c r="T561" s="319">
        <f>IF(AND('Ações'!AU569="sim", 'Ações'!BG569="sim"), 1, 0)
</f>
        <v>0</v>
      </c>
      <c r="U561" s="319">
        <f>IF(AND('Ações'!AU569="sim", 'Ações'!BH569="sim"), 1, 0)
</f>
        <v>0</v>
      </c>
      <c r="V561" s="319">
        <f>IF(AND('Ações'!AU569="sim", 'Ações'!BI569="sim"), 1, 0)
</f>
        <v>0</v>
      </c>
      <c r="W561" s="319">
        <f>IF(AND('Ações'!AV569="sim", 'Ações'!BD569="sim"), 1, 0)
</f>
        <v>0</v>
      </c>
      <c r="X561" s="319">
        <f>IF(AND('Ações'!AV569="sim", 'Ações'!BE569="sim"), 1, 0)
</f>
        <v>0</v>
      </c>
      <c r="Y561" s="319">
        <f>IF(AND('Ações'!AV569="sim", 'Ações'!BF569="sim"), 1, 0)
</f>
        <v>0</v>
      </c>
      <c r="Z561" s="319">
        <f>IF(AND('Ações'!AV569="sim", 'Ações'!BH569="sim"), 1, 0)
</f>
        <v>0</v>
      </c>
      <c r="AA561" s="319">
        <f>IF(AND('Ações'!AV569="sim", 'Ações'!BI569="sim"), 1, 0)
</f>
        <v>1</v>
      </c>
      <c r="AB561" s="319">
        <f>IF(AND('Ações'!AW569="sim", 'Ações'!BD569="sim"), 1, 0)
</f>
        <v>0</v>
      </c>
      <c r="AC561" s="319">
        <f>IF(AND('Ações'!AW569="sim", 'Ações'!BE569="sim"), 1, 0)
</f>
        <v>0</v>
      </c>
      <c r="AD561" s="319">
        <f>IF(AND('Ações'!AW569="sim", 'Ações'!BF569="sim"), 1, 0)
</f>
        <v>0</v>
      </c>
      <c r="AE561" s="319">
        <f>IF(AND('Ações'!AW569="sim", 'Ações'!BG569="sim"), 1, 0)
</f>
        <v>0</v>
      </c>
      <c r="AF561" s="319">
        <f>IF(AND('Ações'!AW569="sim", 'Ações'!BI569="sim"), 1, 0)
</f>
        <v>1</v>
      </c>
      <c r="AG561" s="319">
        <f>IF(AND('Ações'!AX569="sim", 'Ações'!BD569="sim"), 1, 0)
</f>
        <v>0</v>
      </c>
      <c r="AH561" s="319">
        <f>IF(AND('Ações'!AX569="sim", 'Ações'!BE569="sim"), 1, 0)
</f>
        <v>0</v>
      </c>
      <c r="AI561" s="319">
        <f>IF(AND('Ações'!AX569="sim", 'Ações'!BF569="sim"), 1, 0)
</f>
        <v>0</v>
      </c>
      <c r="AJ561" s="319">
        <f>IF(AND('Ações'!AX569="sim", 'Ações'!BG569="sim"), 1, 0)
</f>
        <v>0</v>
      </c>
      <c r="AK561" s="319">
        <f>IF(AND('Ações'!AX569="sim", 'Ações'!BH569="sim"), 1, 0)
</f>
        <v>0</v>
      </c>
    </row>
    <row r="562">
      <c r="B562" s="319">
        <f>IF(AND('Ações'!AS570="sim", 'Ações'!BD570="sim"), 1, 0)
</f>
        <v>0</v>
      </c>
      <c r="C562" s="319">
        <f>IF(AND('Ações'!AT570="sim", 'Ações'!BE570="sim"), 1, 0)
</f>
        <v>0</v>
      </c>
      <c r="D562" s="319">
        <f>IF(AND('Ações'!AU570="sim", 'Ações'!BF570="sim"), 1, 0)
</f>
        <v>0</v>
      </c>
      <c r="E562" s="319">
        <f>IF(AND('Ações'!AV570="sim", 'Ações'!BG570="sim"), 1, 0)
</f>
        <v>0</v>
      </c>
      <c r="F562" s="319">
        <f>IF(AND('Ações'!AW570="sim", 'Ações'!BH570="sim"), 1, 0)
</f>
        <v>0</v>
      </c>
      <c r="G562" s="319">
        <f>IF(AND('Ações'!AX570="sim", 'Ações'!BI570="sim"), 1, 0)
</f>
        <v>1</v>
      </c>
      <c r="H562" s="319">
        <f>IF(AND('Ações'!AS570="sim", 'Ações'!BE570="sim"), 1, 0)
</f>
        <v>0</v>
      </c>
      <c r="I562" s="319">
        <f>IF(AND('Ações'!AS570="sim", 'Ações'!BF570="sim"), 1, 0)
</f>
        <v>0</v>
      </c>
      <c r="J562" s="319">
        <f>IF(AND('Ações'!AS570="sim", 'Ações'!BG570="sim"), 1, 0)
</f>
        <v>0</v>
      </c>
      <c r="K562" s="319">
        <f>IF(AND('Ações'!AS570="sim", 'Ações'!BH570="sim"), 1, 0)
</f>
        <v>0</v>
      </c>
      <c r="L562" s="319">
        <f>IF(AND('Ações'!AS570="sim", 'Ações'!BI570="sim"), 1, 0)
</f>
        <v>0</v>
      </c>
      <c r="M562" s="319">
        <f>IF(AND('Ações'!AT570="sim", 'Ações'!BD570="sim"), 1, 0)
</f>
        <v>0</v>
      </c>
      <c r="N562" s="319">
        <f>IF(AND('Ações'!AT570="sim", 'Ações'!BF570="sim"), 1, 0)
</f>
        <v>0</v>
      </c>
      <c r="O562" s="319">
        <f>IF(AND('Ações'!AT570="sim", 'Ações'!BG570="sim"), 1, 0)
</f>
        <v>0</v>
      </c>
      <c r="P562" s="319">
        <f>IF(AND('Ações'!AT570="sim", 'Ações'!BH570="sim"), 1, 0)
</f>
        <v>0</v>
      </c>
      <c r="Q562" s="319">
        <f>IF(AND('Ações'!AT570="sim", 'Ações'!BI570="sim"), 1, 0)
</f>
        <v>0</v>
      </c>
      <c r="R562" s="319">
        <f>IF(AND('Ações'!AU570="sim", 'Ações'!BD570="sim"), 1, 0)
</f>
        <v>0</v>
      </c>
      <c r="S562" s="319">
        <f>IF(AND('Ações'!AU570="sim", 'Ações'!BE570="sim"), 1, 0)
</f>
        <v>0</v>
      </c>
      <c r="T562" s="319">
        <f>IF(AND('Ações'!AU570="sim", 'Ações'!BG570="sim"), 1, 0)
</f>
        <v>0</v>
      </c>
      <c r="U562" s="319">
        <f>IF(AND('Ações'!AU570="sim", 'Ações'!BH570="sim"), 1, 0)
</f>
        <v>0</v>
      </c>
      <c r="V562" s="319">
        <f>IF(AND('Ações'!AU570="sim", 'Ações'!BI570="sim"), 1, 0)
</f>
        <v>0</v>
      </c>
      <c r="W562" s="319">
        <f>IF(AND('Ações'!AV570="sim", 'Ações'!BD570="sim"), 1, 0)
</f>
        <v>0</v>
      </c>
      <c r="X562" s="319">
        <f>IF(AND('Ações'!AV570="sim", 'Ações'!BE570="sim"), 1, 0)
</f>
        <v>0</v>
      </c>
      <c r="Y562" s="319">
        <f>IF(AND('Ações'!AV570="sim", 'Ações'!BF570="sim"), 1, 0)
</f>
        <v>0</v>
      </c>
      <c r="Z562" s="319">
        <f>IF(AND('Ações'!AV570="sim", 'Ações'!BH570="sim"), 1, 0)
</f>
        <v>0</v>
      </c>
      <c r="AA562" s="319">
        <f>IF(AND('Ações'!AV570="sim", 'Ações'!BI570="sim"), 1, 0)
</f>
        <v>0</v>
      </c>
      <c r="AB562" s="319">
        <f>IF(AND('Ações'!AW570="sim", 'Ações'!BD570="sim"), 1, 0)
</f>
        <v>0</v>
      </c>
      <c r="AC562" s="319">
        <f>IF(AND('Ações'!AW570="sim", 'Ações'!BE570="sim"), 1, 0)
</f>
        <v>0</v>
      </c>
      <c r="AD562" s="319">
        <f>IF(AND('Ações'!AW570="sim", 'Ações'!BF570="sim"), 1, 0)
</f>
        <v>0</v>
      </c>
      <c r="AE562" s="319">
        <f>IF(AND('Ações'!AW570="sim", 'Ações'!BG570="sim"), 1, 0)
</f>
        <v>0</v>
      </c>
      <c r="AF562" s="319">
        <f>IF(AND('Ações'!AW570="sim", 'Ações'!BI570="sim"), 1, 0)
</f>
        <v>1</v>
      </c>
      <c r="AG562" s="319">
        <f>IF(AND('Ações'!AX570="sim", 'Ações'!BD570="sim"), 1, 0)
</f>
        <v>0</v>
      </c>
      <c r="AH562" s="319">
        <f>IF(AND('Ações'!AX570="sim", 'Ações'!BE570="sim"), 1, 0)
</f>
        <v>0</v>
      </c>
      <c r="AI562" s="319">
        <f>IF(AND('Ações'!AX570="sim", 'Ações'!BF570="sim"), 1, 0)
</f>
        <v>0</v>
      </c>
      <c r="AJ562" s="319">
        <f>IF(AND('Ações'!AX570="sim", 'Ações'!BG570="sim"), 1, 0)
</f>
        <v>0</v>
      </c>
      <c r="AK562" s="319">
        <f>IF(AND('Ações'!AX570="sim", 'Ações'!BH570="sim"), 1, 0)
</f>
        <v>0</v>
      </c>
    </row>
    <row r="563">
      <c r="B563" s="319">
        <f>IF(AND('Ações'!AS571="sim", 'Ações'!BD571="sim"), 1, 0)
</f>
        <v>0</v>
      </c>
      <c r="C563" s="319">
        <f>IF(AND('Ações'!AT571="sim", 'Ações'!BE571="sim"), 1, 0)
</f>
        <v>0</v>
      </c>
      <c r="D563" s="319">
        <f>IF(AND('Ações'!AU571="sim", 'Ações'!BF571="sim"), 1, 0)
</f>
        <v>0</v>
      </c>
      <c r="E563" s="319">
        <f>IF(AND('Ações'!AV571="sim", 'Ações'!BG571="sim"), 1, 0)
</f>
        <v>0</v>
      </c>
      <c r="F563" s="319">
        <f>IF(AND('Ações'!AW571="sim", 'Ações'!BH571="sim"), 1, 0)
</f>
        <v>0</v>
      </c>
      <c r="G563" s="319">
        <f>IF(AND('Ações'!AX571="sim", 'Ações'!BI571="sim"), 1, 0)
</f>
        <v>1</v>
      </c>
      <c r="H563" s="319">
        <f>IF(AND('Ações'!AS571="sim", 'Ações'!BE571="sim"), 1, 0)
</f>
        <v>0</v>
      </c>
      <c r="I563" s="319">
        <f>IF(AND('Ações'!AS571="sim", 'Ações'!BF571="sim"), 1, 0)
</f>
        <v>0</v>
      </c>
      <c r="J563" s="319">
        <f>IF(AND('Ações'!AS571="sim", 'Ações'!BG571="sim"), 1, 0)
</f>
        <v>0</v>
      </c>
      <c r="K563" s="319">
        <f>IF(AND('Ações'!AS571="sim", 'Ações'!BH571="sim"), 1, 0)
</f>
        <v>0</v>
      </c>
      <c r="L563" s="319">
        <f>IF(AND('Ações'!AS571="sim", 'Ações'!BI571="sim"), 1, 0)
</f>
        <v>0</v>
      </c>
      <c r="M563" s="319">
        <f>IF(AND('Ações'!AT571="sim", 'Ações'!BD571="sim"), 1, 0)
</f>
        <v>0</v>
      </c>
      <c r="N563" s="319">
        <f>IF(AND('Ações'!AT571="sim", 'Ações'!BF571="sim"), 1, 0)
</f>
        <v>0</v>
      </c>
      <c r="O563" s="319">
        <f>IF(AND('Ações'!AT571="sim", 'Ações'!BG571="sim"), 1, 0)
</f>
        <v>0</v>
      </c>
      <c r="P563" s="319">
        <f>IF(AND('Ações'!AT571="sim", 'Ações'!BH571="sim"), 1, 0)
</f>
        <v>0</v>
      </c>
      <c r="Q563" s="319">
        <f>IF(AND('Ações'!AT571="sim", 'Ações'!BI571="sim"), 1, 0)
</f>
        <v>0</v>
      </c>
      <c r="R563" s="319">
        <f>IF(AND('Ações'!AU571="sim", 'Ações'!BD571="sim"), 1, 0)
</f>
        <v>0</v>
      </c>
      <c r="S563" s="319">
        <f>IF(AND('Ações'!AU571="sim", 'Ações'!BE571="sim"), 1, 0)
</f>
        <v>0</v>
      </c>
      <c r="T563" s="319">
        <f>IF(AND('Ações'!AU571="sim", 'Ações'!BG571="sim"), 1, 0)
</f>
        <v>0</v>
      </c>
      <c r="U563" s="319">
        <f>IF(AND('Ações'!AU571="sim", 'Ações'!BH571="sim"), 1, 0)
</f>
        <v>0</v>
      </c>
      <c r="V563" s="319">
        <f>IF(AND('Ações'!AU571="sim", 'Ações'!BI571="sim"), 1, 0)
</f>
        <v>0</v>
      </c>
      <c r="W563" s="319">
        <f>IF(AND('Ações'!AV571="sim", 'Ações'!BD571="sim"), 1, 0)
</f>
        <v>0</v>
      </c>
      <c r="X563" s="319">
        <f>IF(AND('Ações'!AV571="sim", 'Ações'!BE571="sim"), 1, 0)
</f>
        <v>0</v>
      </c>
      <c r="Y563" s="319">
        <f>IF(AND('Ações'!AV571="sim", 'Ações'!BF571="sim"), 1, 0)
</f>
        <v>0</v>
      </c>
      <c r="Z563" s="319">
        <f>IF(AND('Ações'!AV571="sim", 'Ações'!BH571="sim"), 1, 0)
</f>
        <v>0</v>
      </c>
      <c r="AA563" s="319">
        <f>IF(AND('Ações'!AV571="sim", 'Ações'!BI571="sim"), 1, 0)
</f>
        <v>0</v>
      </c>
      <c r="AB563" s="319">
        <f>IF(AND('Ações'!AW571="sim", 'Ações'!BD571="sim"), 1, 0)
</f>
        <v>0</v>
      </c>
      <c r="AC563" s="319">
        <f>IF(AND('Ações'!AW571="sim", 'Ações'!BE571="sim"), 1, 0)
</f>
        <v>0</v>
      </c>
      <c r="AD563" s="319">
        <f>IF(AND('Ações'!AW571="sim", 'Ações'!BF571="sim"), 1, 0)
</f>
        <v>0</v>
      </c>
      <c r="AE563" s="319">
        <f>IF(AND('Ações'!AW571="sim", 'Ações'!BG571="sim"), 1, 0)
</f>
        <v>0</v>
      </c>
      <c r="AF563" s="319">
        <f>IF(AND('Ações'!AW571="sim", 'Ações'!BI571="sim"), 1, 0)
</f>
        <v>1</v>
      </c>
      <c r="AG563" s="319">
        <f>IF(AND('Ações'!AX571="sim", 'Ações'!BD571="sim"), 1, 0)
</f>
        <v>0</v>
      </c>
      <c r="AH563" s="319">
        <f>IF(AND('Ações'!AX571="sim", 'Ações'!BE571="sim"), 1, 0)
</f>
        <v>0</v>
      </c>
      <c r="AI563" s="319">
        <f>IF(AND('Ações'!AX571="sim", 'Ações'!BF571="sim"), 1, 0)
</f>
        <v>0</v>
      </c>
      <c r="AJ563" s="319">
        <f>IF(AND('Ações'!AX571="sim", 'Ações'!BG571="sim"), 1, 0)
</f>
        <v>0</v>
      </c>
      <c r="AK563" s="319">
        <f>IF(AND('Ações'!AX571="sim", 'Ações'!BH571="sim"), 1, 0)
</f>
        <v>0</v>
      </c>
    </row>
    <row r="564">
      <c r="B564" s="319">
        <f>IF(AND('Ações'!AS572="sim", 'Ações'!BD572="sim"), 1, 0)
</f>
        <v>0</v>
      </c>
      <c r="C564" s="319">
        <f>IF(AND('Ações'!AT572="sim", 'Ações'!BE572="sim"), 1, 0)
</f>
        <v>0</v>
      </c>
      <c r="D564" s="319">
        <f>IF(AND('Ações'!AU572="sim", 'Ações'!BF572="sim"), 1, 0)
</f>
        <v>0</v>
      </c>
      <c r="E564" s="319">
        <f>IF(AND('Ações'!AV572="sim", 'Ações'!BG572="sim"), 1, 0)
</f>
        <v>0</v>
      </c>
      <c r="F564" s="319">
        <f>IF(AND('Ações'!AW572="sim", 'Ações'!BH572="sim"), 1, 0)
</f>
        <v>0</v>
      </c>
      <c r="G564" s="319">
        <f>IF(AND('Ações'!AX572="sim", 'Ações'!BI572="sim"), 1, 0)
</f>
        <v>1</v>
      </c>
      <c r="H564" s="319">
        <f>IF(AND('Ações'!AS572="sim", 'Ações'!BE572="sim"), 1, 0)
</f>
        <v>0</v>
      </c>
      <c r="I564" s="319">
        <f>IF(AND('Ações'!AS572="sim", 'Ações'!BF572="sim"), 1, 0)
</f>
        <v>0</v>
      </c>
      <c r="J564" s="319">
        <f>IF(AND('Ações'!AS572="sim", 'Ações'!BG572="sim"), 1, 0)
</f>
        <v>0</v>
      </c>
      <c r="K564" s="319">
        <f>IF(AND('Ações'!AS572="sim", 'Ações'!BH572="sim"), 1, 0)
</f>
        <v>0</v>
      </c>
      <c r="L564" s="319">
        <f>IF(AND('Ações'!AS572="sim", 'Ações'!BI572="sim"), 1, 0)
</f>
        <v>0</v>
      </c>
      <c r="M564" s="319">
        <f>IF(AND('Ações'!AT572="sim", 'Ações'!BD572="sim"), 1, 0)
</f>
        <v>0</v>
      </c>
      <c r="N564" s="319">
        <f>IF(AND('Ações'!AT572="sim", 'Ações'!BF572="sim"), 1, 0)
</f>
        <v>0</v>
      </c>
      <c r="O564" s="319">
        <f>IF(AND('Ações'!AT572="sim", 'Ações'!BG572="sim"), 1, 0)
</f>
        <v>0</v>
      </c>
      <c r="P564" s="319">
        <f>IF(AND('Ações'!AT572="sim", 'Ações'!BH572="sim"), 1, 0)
</f>
        <v>0</v>
      </c>
      <c r="Q564" s="319">
        <f>IF(AND('Ações'!AT572="sim", 'Ações'!BI572="sim"), 1, 0)
</f>
        <v>0</v>
      </c>
      <c r="R564" s="319">
        <f>IF(AND('Ações'!AU572="sim", 'Ações'!BD572="sim"), 1, 0)
</f>
        <v>0</v>
      </c>
      <c r="S564" s="319">
        <f>IF(AND('Ações'!AU572="sim", 'Ações'!BE572="sim"), 1, 0)
</f>
        <v>0</v>
      </c>
      <c r="T564" s="319">
        <f>IF(AND('Ações'!AU572="sim", 'Ações'!BG572="sim"), 1, 0)
</f>
        <v>0</v>
      </c>
      <c r="U564" s="319">
        <f>IF(AND('Ações'!AU572="sim", 'Ações'!BH572="sim"), 1, 0)
</f>
        <v>0</v>
      </c>
      <c r="V564" s="319">
        <f>IF(AND('Ações'!AU572="sim", 'Ações'!BI572="sim"), 1, 0)
</f>
        <v>0</v>
      </c>
      <c r="W564" s="319">
        <f>IF(AND('Ações'!AV572="sim", 'Ações'!BD572="sim"), 1, 0)
</f>
        <v>0</v>
      </c>
      <c r="X564" s="319">
        <f>IF(AND('Ações'!AV572="sim", 'Ações'!BE572="sim"), 1, 0)
</f>
        <v>0</v>
      </c>
      <c r="Y564" s="319">
        <f>IF(AND('Ações'!AV572="sim", 'Ações'!BF572="sim"), 1, 0)
</f>
        <v>0</v>
      </c>
      <c r="Z564" s="319">
        <f>IF(AND('Ações'!AV572="sim", 'Ações'!BH572="sim"), 1, 0)
</f>
        <v>0</v>
      </c>
      <c r="AA564" s="319">
        <f>IF(AND('Ações'!AV572="sim", 'Ações'!BI572="sim"), 1, 0)
</f>
        <v>0</v>
      </c>
      <c r="AB564" s="319">
        <f>IF(AND('Ações'!AW572="sim", 'Ações'!BD572="sim"), 1, 0)
</f>
        <v>0</v>
      </c>
      <c r="AC564" s="319">
        <f>IF(AND('Ações'!AW572="sim", 'Ações'!BE572="sim"), 1, 0)
</f>
        <v>0</v>
      </c>
      <c r="AD564" s="319">
        <f>IF(AND('Ações'!AW572="sim", 'Ações'!BF572="sim"), 1, 0)
</f>
        <v>0</v>
      </c>
      <c r="AE564" s="319">
        <f>IF(AND('Ações'!AW572="sim", 'Ações'!BG572="sim"), 1, 0)
</f>
        <v>0</v>
      </c>
      <c r="AF564" s="319">
        <f>IF(AND('Ações'!AW572="sim", 'Ações'!BI572="sim"), 1, 0)
</f>
        <v>1</v>
      </c>
      <c r="AG564" s="319">
        <f>IF(AND('Ações'!AX572="sim", 'Ações'!BD572="sim"), 1, 0)
</f>
        <v>0</v>
      </c>
      <c r="AH564" s="319">
        <f>IF(AND('Ações'!AX572="sim", 'Ações'!BE572="sim"), 1, 0)
</f>
        <v>0</v>
      </c>
      <c r="AI564" s="319">
        <f>IF(AND('Ações'!AX572="sim", 'Ações'!BF572="sim"), 1, 0)
</f>
        <v>0</v>
      </c>
      <c r="AJ564" s="319">
        <f>IF(AND('Ações'!AX572="sim", 'Ações'!BG572="sim"), 1, 0)
</f>
        <v>0</v>
      </c>
      <c r="AK564" s="319">
        <f>IF(AND('Ações'!AX572="sim", 'Ações'!BH572="sim"), 1, 0)
</f>
        <v>0</v>
      </c>
    </row>
    <row r="565">
      <c r="B565" s="319">
        <f>IF(AND('Ações'!AS573="sim", 'Ações'!BD573="sim"), 1, 0)
</f>
        <v>0</v>
      </c>
      <c r="C565" s="319">
        <f>IF(AND('Ações'!AT573="sim", 'Ações'!BE573="sim"), 1, 0)
</f>
        <v>0</v>
      </c>
      <c r="D565" s="319">
        <f>IF(AND('Ações'!AU573="sim", 'Ações'!BF573="sim"), 1, 0)
</f>
        <v>0</v>
      </c>
      <c r="E565" s="319">
        <f>IF(AND('Ações'!AV573="sim", 'Ações'!BG573="sim"), 1, 0)
</f>
        <v>0</v>
      </c>
      <c r="F565" s="319">
        <f>IF(AND('Ações'!AW573="sim", 'Ações'!BH573="sim"), 1, 0)
</f>
        <v>0</v>
      </c>
      <c r="G565" s="319">
        <f>IF(AND('Ações'!AX573="sim", 'Ações'!BI573="sim"), 1, 0)
</f>
        <v>1</v>
      </c>
      <c r="H565" s="319">
        <f>IF(AND('Ações'!AS573="sim", 'Ações'!BE573="sim"), 1, 0)
</f>
        <v>0</v>
      </c>
      <c r="I565" s="319">
        <f>IF(AND('Ações'!AS573="sim", 'Ações'!BF573="sim"), 1, 0)
</f>
        <v>0</v>
      </c>
      <c r="J565" s="319">
        <f>IF(AND('Ações'!AS573="sim", 'Ações'!BG573="sim"), 1, 0)
</f>
        <v>0</v>
      </c>
      <c r="K565" s="319">
        <f>IF(AND('Ações'!AS573="sim", 'Ações'!BH573="sim"), 1, 0)
</f>
        <v>0</v>
      </c>
      <c r="L565" s="319">
        <f>IF(AND('Ações'!AS573="sim", 'Ações'!BI573="sim"), 1, 0)
</f>
        <v>0</v>
      </c>
      <c r="M565" s="319">
        <f>IF(AND('Ações'!AT573="sim", 'Ações'!BD573="sim"), 1, 0)
</f>
        <v>0</v>
      </c>
      <c r="N565" s="319">
        <f>IF(AND('Ações'!AT573="sim", 'Ações'!BF573="sim"), 1, 0)
</f>
        <v>0</v>
      </c>
      <c r="O565" s="319">
        <f>IF(AND('Ações'!AT573="sim", 'Ações'!BG573="sim"), 1, 0)
</f>
        <v>0</v>
      </c>
      <c r="P565" s="319">
        <f>IF(AND('Ações'!AT573="sim", 'Ações'!BH573="sim"), 1, 0)
</f>
        <v>0</v>
      </c>
      <c r="Q565" s="319">
        <f>IF(AND('Ações'!AT573="sim", 'Ações'!BI573="sim"), 1, 0)
</f>
        <v>0</v>
      </c>
      <c r="R565" s="319">
        <f>IF(AND('Ações'!AU573="sim", 'Ações'!BD573="sim"), 1, 0)
</f>
        <v>0</v>
      </c>
      <c r="S565" s="319">
        <f>IF(AND('Ações'!AU573="sim", 'Ações'!BE573="sim"), 1, 0)
</f>
        <v>0</v>
      </c>
      <c r="T565" s="319">
        <f>IF(AND('Ações'!AU573="sim", 'Ações'!BG573="sim"), 1, 0)
</f>
        <v>0</v>
      </c>
      <c r="U565" s="319">
        <f>IF(AND('Ações'!AU573="sim", 'Ações'!BH573="sim"), 1, 0)
</f>
        <v>0</v>
      </c>
      <c r="V565" s="319">
        <f>IF(AND('Ações'!AU573="sim", 'Ações'!BI573="sim"), 1, 0)
</f>
        <v>0</v>
      </c>
      <c r="W565" s="319">
        <f>IF(AND('Ações'!AV573="sim", 'Ações'!BD573="sim"), 1, 0)
</f>
        <v>0</v>
      </c>
      <c r="X565" s="319">
        <f>IF(AND('Ações'!AV573="sim", 'Ações'!BE573="sim"), 1, 0)
</f>
        <v>0</v>
      </c>
      <c r="Y565" s="319">
        <f>IF(AND('Ações'!AV573="sim", 'Ações'!BF573="sim"), 1, 0)
</f>
        <v>0</v>
      </c>
      <c r="Z565" s="319">
        <f>IF(AND('Ações'!AV573="sim", 'Ações'!BH573="sim"), 1, 0)
</f>
        <v>0</v>
      </c>
      <c r="AA565" s="319">
        <f>IF(AND('Ações'!AV573="sim", 'Ações'!BI573="sim"), 1, 0)
</f>
        <v>0</v>
      </c>
      <c r="AB565" s="319">
        <f>IF(AND('Ações'!AW573="sim", 'Ações'!BD573="sim"), 1, 0)
</f>
        <v>0</v>
      </c>
      <c r="AC565" s="319">
        <f>IF(AND('Ações'!AW573="sim", 'Ações'!BE573="sim"), 1, 0)
</f>
        <v>0</v>
      </c>
      <c r="AD565" s="319">
        <f>IF(AND('Ações'!AW573="sim", 'Ações'!BF573="sim"), 1, 0)
</f>
        <v>0</v>
      </c>
      <c r="AE565" s="319">
        <f>IF(AND('Ações'!AW573="sim", 'Ações'!BG573="sim"), 1, 0)
</f>
        <v>0</v>
      </c>
      <c r="AF565" s="319">
        <f>IF(AND('Ações'!AW573="sim", 'Ações'!BI573="sim"), 1, 0)
</f>
        <v>1</v>
      </c>
      <c r="AG565" s="319">
        <f>IF(AND('Ações'!AX573="sim", 'Ações'!BD573="sim"), 1, 0)
</f>
        <v>0</v>
      </c>
      <c r="AH565" s="319">
        <f>IF(AND('Ações'!AX573="sim", 'Ações'!BE573="sim"), 1, 0)
</f>
        <v>0</v>
      </c>
      <c r="AI565" s="319">
        <f>IF(AND('Ações'!AX573="sim", 'Ações'!BF573="sim"), 1, 0)
</f>
        <v>0</v>
      </c>
      <c r="AJ565" s="319">
        <f>IF(AND('Ações'!AX573="sim", 'Ações'!BG573="sim"), 1, 0)
</f>
        <v>0</v>
      </c>
      <c r="AK565" s="319">
        <f>IF(AND('Ações'!AX573="sim", 'Ações'!BH573="sim"), 1, 0)
</f>
        <v>0</v>
      </c>
    </row>
    <row r="566">
      <c r="B566" s="319">
        <f>IF(AND('Ações'!AS574="sim", 'Ações'!BD574="sim"), 1, 0)
</f>
        <v>1</v>
      </c>
      <c r="C566" s="319">
        <f>IF(AND('Ações'!AT574="sim", 'Ações'!BE574="sim"), 1, 0)
</f>
        <v>0</v>
      </c>
      <c r="D566" s="319">
        <f>IF(AND('Ações'!AU574="sim", 'Ações'!BF574="sim"), 1, 0)
</f>
        <v>0</v>
      </c>
      <c r="E566" s="319">
        <f>IF(AND('Ações'!AV574="sim", 'Ações'!BG574="sim"), 1, 0)
</f>
        <v>0</v>
      </c>
      <c r="F566" s="319">
        <f>IF(AND('Ações'!AW574="sim", 'Ações'!BH574="sim"), 1, 0)
</f>
        <v>0</v>
      </c>
      <c r="G566" s="319">
        <f>IF(AND('Ações'!AX574="sim", 'Ações'!BI574="sim"), 1, 0)
</f>
        <v>0</v>
      </c>
      <c r="H566" s="319">
        <f>IF(AND('Ações'!AS574="sim", 'Ações'!BE574="sim"), 1, 0)
</f>
        <v>0</v>
      </c>
      <c r="I566" s="319">
        <f>IF(AND('Ações'!AS574="sim", 'Ações'!BF574="sim"), 1, 0)
</f>
        <v>0</v>
      </c>
      <c r="J566" s="319">
        <f>IF(AND('Ações'!AS574="sim", 'Ações'!BG574="sim"), 1, 0)
</f>
        <v>0</v>
      </c>
      <c r="K566" s="319">
        <f>IF(AND('Ações'!AS574="sim", 'Ações'!BH574="sim"), 1, 0)
</f>
        <v>0</v>
      </c>
      <c r="L566" s="319">
        <f>IF(AND('Ações'!AS574="sim", 'Ações'!BI574="sim"), 1, 0)
</f>
        <v>0</v>
      </c>
      <c r="M566" s="319">
        <f>IF(AND('Ações'!AT574="sim", 'Ações'!BD574="sim"), 1, 0)
</f>
        <v>0</v>
      </c>
      <c r="N566" s="319">
        <f>IF(AND('Ações'!AT574="sim", 'Ações'!BF574="sim"), 1, 0)
</f>
        <v>0</v>
      </c>
      <c r="O566" s="319">
        <f>IF(AND('Ações'!AT574="sim", 'Ações'!BG574="sim"), 1, 0)
</f>
        <v>0</v>
      </c>
      <c r="P566" s="319">
        <f>IF(AND('Ações'!AT574="sim", 'Ações'!BH574="sim"), 1, 0)
</f>
        <v>0</v>
      </c>
      <c r="Q566" s="319">
        <f>IF(AND('Ações'!AT574="sim", 'Ações'!BI574="sim"), 1, 0)
</f>
        <v>0</v>
      </c>
      <c r="R566" s="319">
        <f>IF(AND('Ações'!AU574="sim", 'Ações'!BD574="sim"), 1, 0)
</f>
        <v>0</v>
      </c>
      <c r="S566" s="319">
        <f>IF(AND('Ações'!AU574="sim", 'Ações'!BE574="sim"), 1, 0)
</f>
        <v>0</v>
      </c>
      <c r="T566" s="319">
        <f>IF(AND('Ações'!AU574="sim", 'Ações'!BG574="sim"), 1, 0)
</f>
        <v>0</v>
      </c>
      <c r="U566" s="319">
        <f>IF(AND('Ações'!AU574="sim", 'Ações'!BH574="sim"), 1, 0)
</f>
        <v>0</v>
      </c>
      <c r="V566" s="319">
        <f>IF(AND('Ações'!AU574="sim", 'Ações'!BI574="sim"), 1, 0)
</f>
        <v>0</v>
      </c>
      <c r="W566" s="319">
        <f>IF(AND('Ações'!AV574="sim", 'Ações'!BD574="sim"), 1, 0)
</f>
        <v>0</v>
      </c>
      <c r="X566" s="319">
        <f>IF(AND('Ações'!AV574="sim", 'Ações'!BE574="sim"), 1, 0)
</f>
        <v>0</v>
      </c>
      <c r="Y566" s="319">
        <f>IF(AND('Ações'!AV574="sim", 'Ações'!BF574="sim"), 1, 0)
</f>
        <v>0</v>
      </c>
      <c r="Z566" s="319">
        <f>IF(AND('Ações'!AV574="sim", 'Ações'!BH574="sim"), 1, 0)
</f>
        <v>0</v>
      </c>
      <c r="AA566" s="319">
        <f>IF(AND('Ações'!AV574="sim", 'Ações'!BI574="sim"), 1, 0)
</f>
        <v>0</v>
      </c>
      <c r="AB566" s="319">
        <f>IF(AND('Ações'!AW574="sim", 'Ações'!BD574="sim"), 1, 0)
</f>
        <v>0</v>
      </c>
      <c r="AC566" s="319">
        <f>IF(AND('Ações'!AW574="sim", 'Ações'!BE574="sim"), 1, 0)
</f>
        <v>0</v>
      </c>
      <c r="AD566" s="319">
        <f>IF(AND('Ações'!AW574="sim", 'Ações'!BF574="sim"), 1, 0)
</f>
        <v>0</v>
      </c>
      <c r="AE566" s="319">
        <f>IF(AND('Ações'!AW574="sim", 'Ações'!BG574="sim"), 1, 0)
</f>
        <v>0</v>
      </c>
      <c r="AF566" s="319">
        <f>IF(AND('Ações'!AW574="sim", 'Ações'!BI574="sim"), 1, 0)
</f>
        <v>0</v>
      </c>
      <c r="AG566" s="319">
        <f>IF(AND('Ações'!AX574="sim", 'Ações'!BD574="sim"), 1, 0)
</f>
        <v>0</v>
      </c>
      <c r="AH566" s="319">
        <f>IF(AND('Ações'!AX574="sim", 'Ações'!BE574="sim"), 1, 0)
</f>
        <v>0</v>
      </c>
      <c r="AI566" s="319">
        <f>IF(AND('Ações'!AX574="sim", 'Ações'!BF574="sim"), 1, 0)
</f>
        <v>0</v>
      </c>
      <c r="AJ566" s="319">
        <f>IF(AND('Ações'!AX574="sim", 'Ações'!BG574="sim"), 1, 0)
</f>
        <v>0</v>
      </c>
      <c r="AK566" s="319">
        <f>IF(AND('Ações'!AX574="sim", 'Ações'!BH574="sim"), 1, 0)
</f>
        <v>0</v>
      </c>
    </row>
    <row r="567">
      <c r="B567" s="319">
        <f>IF(AND('Ações'!AS575="sim", 'Ações'!BD575="sim"), 1, 0)
</f>
        <v>1</v>
      </c>
      <c r="C567" s="319">
        <f>IF(AND('Ações'!AT575="sim", 'Ações'!BE575="sim"), 1, 0)
</f>
        <v>0</v>
      </c>
      <c r="D567" s="319">
        <f>IF(AND('Ações'!AU575="sim", 'Ações'!BF575="sim"), 1, 0)
</f>
        <v>0</v>
      </c>
      <c r="E567" s="319">
        <f>IF(AND('Ações'!AV575="sim", 'Ações'!BG575="sim"), 1, 0)
</f>
        <v>0</v>
      </c>
      <c r="F567" s="319">
        <f>IF(AND('Ações'!AW575="sim", 'Ações'!BH575="sim"), 1, 0)
</f>
        <v>0</v>
      </c>
      <c r="G567" s="319">
        <f>IF(AND('Ações'!AX575="sim", 'Ações'!BI575="sim"), 1, 0)
</f>
        <v>0</v>
      </c>
      <c r="H567" s="319">
        <f>IF(AND('Ações'!AS575="sim", 'Ações'!BE575="sim"), 1, 0)
</f>
        <v>0</v>
      </c>
      <c r="I567" s="319">
        <f>IF(AND('Ações'!AS575="sim", 'Ações'!BF575="sim"), 1, 0)
</f>
        <v>0</v>
      </c>
      <c r="J567" s="319">
        <f>IF(AND('Ações'!AS575="sim", 'Ações'!BG575="sim"), 1, 0)
</f>
        <v>0</v>
      </c>
      <c r="K567" s="319">
        <f>IF(AND('Ações'!AS575="sim", 'Ações'!BH575="sim"), 1, 0)
</f>
        <v>0</v>
      </c>
      <c r="L567" s="319">
        <f>IF(AND('Ações'!AS575="sim", 'Ações'!BI575="sim"), 1, 0)
</f>
        <v>0</v>
      </c>
      <c r="M567" s="319">
        <f>IF(AND('Ações'!AT575="sim", 'Ações'!BD575="sim"), 1, 0)
</f>
        <v>0</v>
      </c>
      <c r="N567" s="319">
        <f>IF(AND('Ações'!AT575="sim", 'Ações'!BF575="sim"), 1, 0)
</f>
        <v>0</v>
      </c>
      <c r="O567" s="319">
        <f>IF(AND('Ações'!AT575="sim", 'Ações'!BG575="sim"), 1, 0)
</f>
        <v>0</v>
      </c>
      <c r="P567" s="319">
        <f>IF(AND('Ações'!AT575="sim", 'Ações'!BH575="sim"), 1, 0)
</f>
        <v>0</v>
      </c>
      <c r="Q567" s="319">
        <f>IF(AND('Ações'!AT575="sim", 'Ações'!BI575="sim"), 1, 0)
</f>
        <v>0</v>
      </c>
      <c r="R567" s="319">
        <f>IF(AND('Ações'!AU575="sim", 'Ações'!BD575="sim"), 1, 0)
</f>
        <v>0</v>
      </c>
      <c r="S567" s="319">
        <f>IF(AND('Ações'!AU575="sim", 'Ações'!BE575="sim"), 1, 0)
</f>
        <v>0</v>
      </c>
      <c r="T567" s="319">
        <f>IF(AND('Ações'!AU575="sim", 'Ações'!BG575="sim"), 1, 0)
</f>
        <v>0</v>
      </c>
      <c r="U567" s="319">
        <f>IF(AND('Ações'!AU575="sim", 'Ações'!BH575="sim"), 1, 0)
</f>
        <v>0</v>
      </c>
      <c r="V567" s="319">
        <f>IF(AND('Ações'!AU575="sim", 'Ações'!BI575="sim"), 1, 0)
</f>
        <v>0</v>
      </c>
      <c r="W567" s="319">
        <f>IF(AND('Ações'!AV575="sim", 'Ações'!BD575="sim"), 1, 0)
</f>
        <v>0</v>
      </c>
      <c r="X567" s="319">
        <f>IF(AND('Ações'!AV575="sim", 'Ações'!BE575="sim"), 1, 0)
</f>
        <v>0</v>
      </c>
      <c r="Y567" s="319">
        <f>IF(AND('Ações'!AV575="sim", 'Ações'!BF575="sim"), 1, 0)
</f>
        <v>0</v>
      </c>
      <c r="Z567" s="319">
        <f>IF(AND('Ações'!AV575="sim", 'Ações'!BH575="sim"), 1, 0)
</f>
        <v>0</v>
      </c>
      <c r="AA567" s="319">
        <f>IF(AND('Ações'!AV575="sim", 'Ações'!BI575="sim"), 1, 0)
</f>
        <v>0</v>
      </c>
      <c r="AB567" s="319">
        <f>IF(AND('Ações'!AW575="sim", 'Ações'!BD575="sim"), 1, 0)
</f>
        <v>0</v>
      </c>
      <c r="AC567" s="319">
        <f>IF(AND('Ações'!AW575="sim", 'Ações'!BE575="sim"), 1, 0)
</f>
        <v>0</v>
      </c>
      <c r="AD567" s="319">
        <f>IF(AND('Ações'!AW575="sim", 'Ações'!BF575="sim"), 1, 0)
</f>
        <v>0</v>
      </c>
      <c r="AE567" s="319">
        <f>IF(AND('Ações'!AW575="sim", 'Ações'!BG575="sim"), 1, 0)
</f>
        <v>0</v>
      </c>
      <c r="AF567" s="319">
        <f>IF(AND('Ações'!AW575="sim", 'Ações'!BI575="sim"), 1, 0)
</f>
        <v>0</v>
      </c>
      <c r="AG567" s="319">
        <f>IF(AND('Ações'!AX575="sim", 'Ações'!BD575="sim"), 1, 0)
</f>
        <v>0</v>
      </c>
      <c r="AH567" s="319">
        <f>IF(AND('Ações'!AX575="sim", 'Ações'!BE575="sim"), 1, 0)
</f>
        <v>0</v>
      </c>
      <c r="AI567" s="319">
        <f>IF(AND('Ações'!AX575="sim", 'Ações'!BF575="sim"), 1, 0)
</f>
        <v>0</v>
      </c>
      <c r="AJ567" s="319">
        <f>IF(AND('Ações'!AX575="sim", 'Ações'!BG575="sim"), 1, 0)
</f>
        <v>0</v>
      </c>
      <c r="AK567" s="319">
        <f>IF(AND('Ações'!AX575="sim", 'Ações'!BH575="sim"), 1, 0)
</f>
        <v>0</v>
      </c>
    </row>
    <row r="568">
      <c r="B568" s="319">
        <f>IF(AND('Ações'!AS576="sim", 'Ações'!BD576="sim"), 1, 0)
</f>
        <v>1</v>
      </c>
      <c r="C568" s="319">
        <f>IF(AND('Ações'!AT576="sim", 'Ações'!BE576="sim"), 1, 0)
</f>
        <v>0</v>
      </c>
      <c r="D568" s="319">
        <f>IF(AND('Ações'!AU576="sim", 'Ações'!BF576="sim"), 1, 0)
</f>
        <v>0</v>
      </c>
      <c r="E568" s="319">
        <f>IF(AND('Ações'!AV576="sim", 'Ações'!BG576="sim"), 1, 0)
</f>
        <v>0</v>
      </c>
      <c r="F568" s="319">
        <f>IF(AND('Ações'!AW576="sim", 'Ações'!BH576="sim"), 1, 0)
</f>
        <v>0</v>
      </c>
      <c r="G568" s="319">
        <f>IF(AND('Ações'!AX576="sim", 'Ações'!BI576="sim"), 1, 0)
</f>
        <v>0</v>
      </c>
      <c r="H568" s="319">
        <f>IF(AND('Ações'!AS576="sim", 'Ações'!BE576="sim"), 1, 0)
</f>
        <v>0</v>
      </c>
      <c r="I568" s="319">
        <f>IF(AND('Ações'!AS576="sim", 'Ações'!BF576="sim"), 1, 0)
</f>
        <v>0</v>
      </c>
      <c r="J568" s="319">
        <f>IF(AND('Ações'!AS576="sim", 'Ações'!BG576="sim"), 1, 0)
</f>
        <v>0</v>
      </c>
      <c r="K568" s="319">
        <f>IF(AND('Ações'!AS576="sim", 'Ações'!BH576="sim"), 1, 0)
</f>
        <v>0</v>
      </c>
      <c r="L568" s="319">
        <f>IF(AND('Ações'!AS576="sim", 'Ações'!BI576="sim"), 1, 0)
</f>
        <v>0</v>
      </c>
      <c r="M568" s="319">
        <f>IF(AND('Ações'!AT576="sim", 'Ações'!BD576="sim"), 1, 0)
</f>
        <v>0</v>
      </c>
      <c r="N568" s="319">
        <f>IF(AND('Ações'!AT576="sim", 'Ações'!BF576="sim"), 1, 0)
</f>
        <v>0</v>
      </c>
      <c r="O568" s="319">
        <f>IF(AND('Ações'!AT576="sim", 'Ações'!BG576="sim"), 1, 0)
</f>
        <v>0</v>
      </c>
      <c r="P568" s="319">
        <f>IF(AND('Ações'!AT576="sim", 'Ações'!BH576="sim"), 1, 0)
</f>
        <v>0</v>
      </c>
      <c r="Q568" s="319">
        <f>IF(AND('Ações'!AT576="sim", 'Ações'!BI576="sim"), 1, 0)
</f>
        <v>0</v>
      </c>
      <c r="R568" s="319">
        <f>IF(AND('Ações'!AU576="sim", 'Ações'!BD576="sim"), 1, 0)
</f>
        <v>0</v>
      </c>
      <c r="S568" s="319">
        <f>IF(AND('Ações'!AU576="sim", 'Ações'!BE576="sim"), 1, 0)
</f>
        <v>0</v>
      </c>
      <c r="T568" s="319">
        <f>IF(AND('Ações'!AU576="sim", 'Ações'!BG576="sim"), 1, 0)
</f>
        <v>0</v>
      </c>
      <c r="U568" s="319">
        <f>IF(AND('Ações'!AU576="sim", 'Ações'!BH576="sim"), 1, 0)
</f>
        <v>0</v>
      </c>
      <c r="V568" s="319">
        <f>IF(AND('Ações'!AU576="sim", 'Ações'!BI576="sim"), 1, 0)
</f>
        <v>0</v>
      </c>
      <c r="W568" s="319">
        <f>IF(AND('Ações'!AV576="sim", 'Ações'!BD576="sim"), 1, 0)
</f>
        <v>0</v>
      </c>
      <c r="X568" s="319">
        <f>IF(AND('Ações'!AV576="sim", 'Ações'!BE576="sim"), 1, 0)
</f>
        <v>0</v>
      </c>
      <c r="Y568" s="319">
        <f>IF(AND('Ações'!AV576="sim", 'Ações'!BF576="sim"), 1, 0)
</f>
        <v>0</v>
      </c>
      <c r="Z568" s="319">
        <f>IF(AND('Ações'!AV576="sim", 'Ações'!BH576="sim"), 1, 0)
</f>
        <v>0</v>
      </c>
      <c r="AA568" s="319">
        <f>IF(AND('Ações'!AV576="sim", 'Ações'!BI576="sim"), 1, 0)
</f>
        <v>0</v>
      </c>
      <c r="AB568" s="319">
        <f>IF(AND('Ações'!AW576="sim", 'Ações'!BD576="sim"), 1, 0)
</f>
        <v>0</v>
      </c>
      <c r="AC568" s="319">
        <f>IF(AND('Ações'!AW576="sim", 'Ações'!BE576="sim"), 1, 0)
</f>
        <v>0</v>
      </c>
      <c r="AD568" s="319">
        <f>IF(AND('Ações'!AW576="sim", 'Ações'!BF576="sim"), 1, 0)
</f>
        <v>0</v>
      </c>
      <c r="AE568" s="319">
        <f>IF(AND('Ações'!AW576="sim", 'Ações'!BG576="sim"), 1, 0)
</f>
        <v>0</v>
      </c>
      <c r="AF568" s="319">
        <f>IF(AND('Ações'!AW576="sim", 'Ações'!BI576="sim"), 1, 0)
</f>
        <v>0</v>
      </c>
      <c r="AG568" s="319">
        <f>IF(AND('Ações'!AX576="sim", 'Ações'!BD576="sim"), 1, 0)
</f>
        <v>0</v>
      </c>
      <c r="AH568" s="319">
        <f>IF(AND('Ações'!AX576="sim", 'Ações'!BE576="sim"), 1, 0)
</f>
        <v>0</v>
      </c>
      <c r="AI568" s="319">
        <f>IF(AND('Ações'!AX576="sim", 'Ações'!BF576="sim"), 1, 0)
</f>
        <v>0</v>
      </c>
      <c r="AJ568" s="319">
        <f>IF(AND('Ações'!AX576="sim", 'Ações'!BG576="sim"), 1, 0)
</f>
        <v>0</v>
      </c>
      <c r="AK568" s="319">
        <f>IF(AND('Ações'!AX576="sim", 'Ações'!BH576="sim"), 1, 0)
</f>
        <v>0</v>
      </c>
    </row>
    <row r="569">
      <c r="B569" s="319">
        <f>IF(AND('Ações'!AS577="sim", 'Ações'!BD577="sim"), 1, 0)
</f>
        <v>0</v>
      </c>
      <c r="C569" s="319">
        <f>IF(AND('Ações'!AT577="sim", 'Ações'!BE577="sim"), 1, 0)
</f>
        <v>0</v>
      </c>
      <c r="D569" s="319">
        <f>IF(AND('Ações'!AU577="sim", 'Ações'!BF577="sim"), 1, 0)
</f>
        <v>0</v>
      </c>
      <c r="E569" s="319">
        <f>IF(AND('Ações'!AV577="sim", 'Ações'!BG577="sim"), 1, 0)
</f>
        <v>0</v>
      </c>
      <c r="F569" s="319">
        <f>IF(AND('Ações'!AW577="sim", 'Ações'!BH577="sim"), 1, 0)
</f>
        <v>0</v>
      </c>
      <c r="G569" s="319">
        <f>IF(AND('Ações'!AX577="sim", 'Ações'!BI577="sim"), 1, 0)
</f>
        <v>1</v>
      </c>
      <c r="H569" s="319">
        <f>IF(AND('Ações'!AS577="sim", 'Ações'!BE577="sim"), 1, 0)
</f>
        <v>0</v>
      </c>
      <c r="I569" s="319">
        <f>IF(AND('Ações'!AS577="sim", 'Ações'!BF577="sim"), 1, 0)
</f>
        <v>0</v>
      </c>
      <c r="J569" s="319">
        <f>IF(AND('Ações'!AS577="sim", 'Ações'!BG577="sim"), 1, 0)
</f>
        <v>0</v>
      </c>
      <c r="K569" s="319">
        <f>IF(AND('Ações'!AS577="sim", 'Ações'!BH577="sim"), 1, 0)
</f>
        <v>0</v>
      </c>
      <c r="L569" s="319">
        <f>IF(AND('Ações'!AS577="sim", 'Ações'!BI577="sim"), 1, 0)
</f>
        <v>0</v>
      </c>
      <c r="M569" s="319">
        <f>IF(AND('Ações'!AT577="sim", 'Ações'!BD577="sim"), 1, 0)
</f>
        <v>0</v>
      </c>
      <c r="N569" s="319">
        <f>IF(AND('Ações'!AT577="sim", 'Ações'!BF577="sim"), 1, 0)
</f>
        <v>0</v>
      </c>
      <c r="O569" s="319">
        <f>IF(AND('Ações'!AT577="sim", 'Ações'!BG577="sim"), 1, 0)
</f>
        <v>0</v>
      </c>
      <c r="P569" s="319">
        <f>IF(AND('Ações'!AT577="sim", 'Ações'!BH577="sim"), 1, 0)
</f>
        <v>0</v>
      </c>
      <c r="Q569" s="319">
        <f>IF(AND('Ações'!AT577="sim", 'Ações'!BI577="sim"), 1, 0)
</f>
        <v>0</v>
      </c>
      <c r="R569" s="319">
        <f>IF(AND('Ações'!AU577="sim", 'Ações'!BD577="sim"), 1, 0)
</f>
        <v>0</v>
      </c>
      <c r="S569" s="319">
        <f>IF(AND('Ações'!AU577="sim", 'Ações'!BE577="sim"), 1, 0)
</f>
        <v>0</v>
      </c>
      <c r="T569" s="319">
        <f>IF(AND('Ações'!AU577="sim", 'Ações'!BG577="sim"), 1, 0)
</f>
        <v>0</v>
      </c>
      <c r="U569" s="319">
        <f>IF(AND('Ações'!AU577="sim", 'Ações'!BH577="sim"), 1, 0)
</f>
        <v>0</v>
      </c>
      <c r="V569" s="319">
        <f>IF(AND('Ações'!AU577="sim", 'Ações'!BI577="sim"), 1, 0)
</f>
        <v>0</v>
      </c>
      <c r="W569" s="319">
        <f>IF(AND('Ações'!AV577="sim", 'Ações'!BD577="sim"), 1, 0)
</f>
        <v>0</v>
      </c>
      <c r="X569" s="319">
        <f>IF(AND('Ações'!AV577="sim", 'Ações'!BE577="sim"), 1, 0)
</f>
        <v>0</v>
      </c>
      <c r="Y569" s="319">
        <f>IF(AND('Ações'!AV577="sim", 'Ações'!BF577="sim"), 1, 0)
</f>
        <v>0</v>
      </c>
      <c r="Z569" s="319">
        <f>IF(AND('Ações'!AV577="sim", 'Ações'!BH577="sim"), 1, 0)
</f>
        <v>0</v>
      </c>
      <c r="AA569" s="319">
        <f>IF(AND('Ações'!AV577="sim", 'Ações'!BI577="sim"), 1, 0)
</f>
        <v>0</v>
      </c>
      <c r="AB569" s="319">
        <f>IF(AND('Ações'!AW577="sim", 'Ações'!BD577="sim"), 1, 0)
</f>
        <v>0</v>
      </c>
      <c r="AC569" s="319">
        <f>IF(AND('Ações'!AW577="sim", 'Ações'!BE577="sim"), 1, 0)
</f>
        <v>0</v>
      </c>
      <c r="AD569" s="319">
        <f>IF(AND('Ações'!AW577="sim", 'Ações'!BF577="sim"), 1, 0)
</f>
        <v>0</v>
      </c>
      <c r="AE569" s="319">
        <f>IF(AND('Ações'!AW577="sim", 'Ações'!BG577="sim"), 1, 0)
</f>
        <v>0</v>
      </c>
      <c r="AF569" s="319">
        <f>IF(AND('Ações'!AW577="sim", 'Ações'!BI577="sim"), 1, 0)
</f>
        <v>1</v>
      </c>
      <c r="AG569" s="319">
        <f>IF(AND('Ações'!AX577="sim", 'Ações'!BD577="sim"), 1, 0)
</f>
        <v>0</v>
      </c>
      <c r="AH569" s="319">
        <f>IF(AND('Ações'!AX577="sim", 'Ações'!BE577="sim"), 1, 0)
</f>
        <v>0</v>
      </c>
      <c r="AI569" s="319">
        <f>IF(AND('Ações'!AX577="sim", 'Ações'!BF577="sim"), 1, 0)
</f>
        <v>0</v>
      </c>
      <c r="AJ569" s="319">
        <f>IF(AND('Ações'!AX577="sim", 'Ações'!BG577="sim"), 1, 0)
</f>
        <v>0</v>
      </c>
      <c r="AK569" s="319">
        <f>IF(AND('Ações'!AX577="sim", 'Ações'!BH577="sim"), 1, 0)
</f>
        <v>0</v>
      </c>
    </row>
    <row r="570">
      <c r="B570" s="319">
        <f>IF(AND('Ações'!AS578="sim", 'Ações'!BD578="sim"), 1, 0)
</f>
        <v>0</v>
      </c>
      <c r="C570" s="319">
        <f>IF(AND('Ações'!AT578="sim", 'Ações'!BE578="sim"), 1, 0)
</f>
        <v>0</v>
      </c>
      <c r="D570" s="319">
        <f>IF(AND('Ações'!AU578="sim", 'Ações'!BF578="sim"), 1, 0)
</f>
        <v>0</v>
      </c>
      <c r="E570" s="319">
        <f>IF(AND('Ações'!AV578="sim", 'Ações'!BG578="sim"), 1, 0)
</f>
        <v>0</v>
      </c>
      <c r="F570" s="319">
        <f>IF(AND('Ações'!AW578="sim", 'Ações'!BH578="sim"), 1, 0)
</f>
        <v>0</v>
      </c>
      <c r="G570" s="319">
        <f>IF(AND('Ações'!AX578="sim", 'Ações'!BI578="sim"), 1, 0)
</f>
        <v>1</v>
      </c>
      <c r="H570" s="319">
        <f>IF(AND('Ações'!AS578="sim", 'Ações'!BE578="sim"), 1, 0)
</f>
        <v>0</v>
      </c>
      <c r="I570" s="319">
        <f>IF(AND('Ações'!AS578="sim", 'Ações'!BF578="sim"), 1, 0)
</f>
        <v>0</v>
      </c>
      <c r="J570" s="319">
        <f>IF(AND('Ações'!AS578="sim", 'Ações'!BG578="sim"), 1, 0)
</f>
        <v>0</v>
      </c>
      <c r="K570" s="319">
        <f>IF(AND('Ações'!AS578="sim", 'Ações'!BH578="sim"), 1, 0)
</f>
        <v>0</v>
      </c>
      <c r="L570" s="319">
        <f>IF(AND('Ações'!AS578="sim", 'Ações'!BI578="sim"), 1, 0)
</f>
        <v>0</v>
      </c>
      <c r="M570" s="319">
        <f>IF(AND('Ações'!AT578="sim", 'Ações'!BD578="sim"), 1, 0)
</f>
        <v>0</v>
      </c>
      <c r="N570" s="319">
        <f>IF(AND('Ações'!AT578="sim", 'Ações'!BF578="sim"), 1, 0)
</f>
        <v>0</v>
      </c>
      <c r="O570" s="319">
        <f>IF(AND('Ações'!AT578="sim", 'Ações'!BG578="sim"), 1, 0)
</f>
        <v>0</v>
      </c>
      <c r="P570" s="319">
        <f>IF(AND('Ações'!AT578="sim", 'Ações'!BH578="sim"), 1, 0)
</f>
        <v>0</v>
      </c>
      <c r="Q570" s="319">
        <f>IF(AND('Ações'!AT578="sim", 'Ações'!BI578="sim"), 1, 0)
</f>
        <v>0</v>
      </c>
      <c r="R570" s="319">
        <f>IF(AND('Ações'!AU578="sim", 'Ações'!BD578="sim"), 1, 0)
</f>
        <v>0</v>
      </c>
      <c r="S570" s="319">
        <f>IF(AND('Ações'!AU578="sim", 'Ações'!BE578="sim"), 1, 0)
</f>
        <v>0</v>
      </c>
      <c r="T570" s="319">
        <f>IF(AND('Ações'!AU578="sim", 'Ações'!BG578="sim"), 1, 0)
</f>
        <v>0</v>
      </c>
      <c r="U570" s="319">
        <f>IF(AND('Ações'!AU578="sim", 'Ações'!BH578="sim"), 1, 0)
</f>
        <v>0</v>
      </c>
      <c r="V570" s="319">
        <f>IF(AND('Ações'!AU578="sim", 'Ações'!BI578="sim"), 1, 0)
</f>
        <v>0</v>
      </c>
      <c r="W570" s="319">
        <f>IF(AND('Ações'!AV578="sim", 'Ações'!BD578="sim"), 1, 0)
</f>
        <v>0</v>
      </c>
      <c r="X570" s="319">
        <f>IF(AND('Ações'!AV578="sim", 'Ações'!BE578="sim"), 1, 0)
</f>
        <v>0</v>
      </c>
      <c r="Y570" s="319">
        <f>IF(AND('Ações'!AV578="sim", 'Ações'!BF578="sim"), 1, 0)
</f>
        <v>0</v>
      </c>
      <c r="Z570" s="319">
        <f>IF(AND('Ações'!AV578="sim", 'Ações'!BH578="sim"), 1, 0)
</f>
        <v>0</v>
      </c>
      <c r="AA570" s="319">
        <f>IF(AND('Ações'!AV578="sim", 'Ações'!BI578="sim"), 1, 0)
</f>
        <v>0</v>
      </c>
      <c r="AB570" s="319">
        <f>IF(AND('Ações'!AW578="sim", 'Ações'!BD578="sim"), 1, 0)
</f>
        <v>1</v>
      </c>
      <c r="AC570" s="319">
        <f>IF(AND('Ações'!AW578="sim", 'Ações'!BE578="sim"), 1, 0)
</f>
        <v>0</v>
      </c>
      <c r="AD570" s="319">
        <f>IF(AND('Ações'!AW578="sim", 'Ações'!BF578="sim"), 1, 0)
</f>
        <v>0</v>
      </c>
      <c r="AE570" s="319">
        <f>IF(AND('Ações'!AW578="sim", 'Ações'!BG578="sim"), 1, 0)
</f>
        <v>0</v>
      </c>
      <c r="AF570" s="319">
        <f>IF(AND('Ações'!AW578="sim", 'Ações'!BI578="sim"), 1, 0)
</f>
        <v>1</v>
      </c>
      <c r="AG570" s="319">
        <f>IF(AND('Ações'!AX578="sim", 'Ações'!BD578="sim"), 1, 0)
</f>
        <v>1</v>
      </c>
      <c r="AH570" s="319">
        <f>IF(AND('Ações'!AX578="sim", 'Ações'!BE578="sim"), 1, 0)
</f>
        <v>0</v>
      </c>
      <c r="AI570" s="319">
        <f>IF(AND('Ações'!AX578="sim", 'Ações'!BF578="sim"), 1, 0)
</f>
        <v>0</v>
      </c>
      <c r="AJ570" s="319">
        <f>IF(AND('Ações'!AX578="sim", 'Ações'!BG578="sim"), 1, 0)
</f>
        <v>0</v>
      </c>
      <c r="AK570" s="319">
        <f>IF(AND('Ações'!AX578="sim", 'Ações'!BH578="sim"), 1, 0)
</f>
        <v>0</v>
      </c>
    </row>
    <row r="571">
      <c r="B571" s="319">
        <f>IF(AND('Ações'!AS579="sim", 'Ações'!BD579="sim"), 1, 0)
</f>
        <v>0</v>
      </c>
      <c r="C571" s="319">
        <f>IF(AND('Ações'!AT579="sim", 'Ações'!BE579="sim"), 1, 0)
</f>
        <v>0</v>
      </c>
      <c r="D571" s="319">
        <f>IF(AND('Ações'!AU579="sim", 'Ações'!BF579="sim"), 1, 0)
</f>
        <v>0</v>
      </c>
      <c r="E571" s="319">
        <f>IF(AND('Ações'!AV579="sim", 'Ações'!BG579="sim"), 1, 0)
</f>
        <v>0</v>
      </c>
      <c r="F571" s="319">
        <f>IF(AND('Ações'!AW579="sim", 'Ações'!BH579="sim"), 1, 0)
</f>
        <v>0</v>
      </c>
      <c r="G571" s="319">
        <f>IF(AND('Ações'!AX579="sim", 'Ações'!BI579="sim"), 1, 0)
</f>
        <v>1</v>
      </c>
      <c r="H571" s="319">
        <f>IF(AND('Ações'!AS579="sim", 'Ações'!BE579="sim"), 1, 0)
</f>
        <v>0</v>
      </c>
      <c r="I571" s="319">
        <f>IF(AND('Ações'!AS579="sim", 'Ações'!BF579="sim"), 1, 0)
</f>
        <v>0</v>
      </c>
      <c r="J571" s="319">
        <f>IF(AND('Ações'!AS579="sim", 'Ações'!BG579="sim"), 1, 0)
</f>
        <v>0</v>
      </c>
      <c r="K571" s="319">
        <f>IF(AND('Ações'!AS579="sim", 'Ações'!BH579="sim"), 1, 0)
</f>
        <v>0</v>
      </c>
      <c r="L571" s="319">
        <f>IF(AND('Ações'!AS579="sim", 'Ações'!BI579="sim"), 1, 0)
</f>
        <v>0</v>
      </c>
      <c r="M571" s="319">
        <f>IF(AND('Ações'!AT579="sim", 'Ações'!BD579="sim"), 1, 0)
</f>
        <v>0</v>
      </c>
      <c r="N571" s="319">
        <f>IF(AND('Ações'!AT579="sim", 'Ações'!BF579="sim"), 1, 0)
</f>
        <v>0</v>
      </c>
      <c r="O571" s="319">
        <f>IF(AND('Ações'!AT579="sim", 'Ações'!BG579="sim"), 1, 0)
</f>
        <v>0</v>
      </c>
      <c r="P571" s="319">
        <f>IF(AND('Ações'!AT579="sim", 'Ações'!BH579="sim"), 1, 0)
</f>
        <v>0</v>
      </c>
      <c r="Q571" s="319">
        <f>IF(AND('Ações'!AT579="sim", 'Ações'!BI579="sim"), 1, 0)
</f>
        <v>0</v>
      </c>
      <c r="R571" s="319">
        <f>IF(AND('Ações'!AU579="sim", 'Ações'!BD579="sim"), 1, 0)
</f>
        <v>0</v>
      </c>
      <c r="S571" s="319">
        <f>IF(AND('Ações'!AU579="sim", 'Ações'!BE579="sim"), 1, 0)
</f>
        <v>0</v>
      </c>
      <c r="T571" s="319">
        <f>IF(AND('Ações'!AU579="sim", 'Ações'!BG579="sim"), 1, 0)
</f>
        <v>0</v>
      </c>
      <c r="U571" s="319">
        <f>IF(AND('Ações'!AU579="sim", 'Ações'!BH579="sim"), 1, 0)
</f>
        <v>0</v>
      </c>
      <c r="V571" s="319">
        <f>IF(AND('Ações'!AU579="sim", 'Ações'!BI579="sim"), 1, 0)
</f>
        <v>0</v>
      </c>
      <c r="W571" s="319">
        <f>IF(AND('Ações'!AV579="sim", 'Ações'!BD579="sim"), 1, 0)
</f>
        <v>0</v>
      </c>
      <c r="X571" s="319">
        <f>IF(AND('Ações'!AV579="sim", 'Ações'!BE579="sim"), 1, 0)
</f>
        <v>0</v>
      </c>
      <c r="Y571" s="319">
        <f>IF(AND('Ações'!AV579="sim", 'Ações'!BF579="sim"), 1, 0)
</f>
        <v>0</v>
      </c>
      <c r="Z571" s="319">
        <f>IF(AND('Ações'!AV579="sim", 'Ações'!BH579="sim"), 1, 0)
</f>
        <v>0</v>
      </c>
      <c r="AA571" s="319">
        <f>IF(AND('Ações'!AV579="sim", 'Ações'!BI579="sim"), 1, 0)
</f>
        <v>0</v>
      </c>
      <c r="AB571" s="319">
        <f>IF(AND('Ações'!AW579="sim", 'Ações'!BD579="sim"), 1, 0)
</f>
        <v>0</v>
      </c>
      <c r="AC571" s="319">
        <f>IF(AND('Ações'!AW579="sim", 'Ações'!BE579="sim"), 1, 0)
</f>
        <v>0</v>
      </c>
      <c r="AD571" s="319">
        <f>IF(AND('Ações'!AW579="sim", 'Ações'!BF579="sim"), 1, 0)
</f>
        <v>0</v>
      </c>
      <c r="AE571" s="319">
        <f>IF(AND('Ações'!AW579="sim", 'Ações'!BG579="sim"), 1, 0)
</f>
        <v>0</v>
      </c>
      <c r="AF571" s="319">
        <f>IF(AND('Ações'!AW579="sim", 'Ações'!BI579="sim"), 1, 0)
</f>
        <v>1</v>
      </c>
      <c r="AG571" s="319">
        <f>IF(AND('Ações'!AX579="sim", 'Ações'!BD579="sim"), 1, 0)
</f>
        <v>0</v>
      </c>
      <c r="AH571" s="319">
        <f>IF(AND('Ações'!AX579="sim", 'Ações'!BE579="sim"), 1, 0)
</f>
        <v>0</v>
      </c>
      <c r="AI571" s="319">
        <f>IF(AND('Ações'!AX579="sim", 'Ações'!BF579="sim"), 1, 0)
</f>
        <v>0</v>
      </c>
      <c r="AJ571" s="319">
        <f>IF(AND('Ações'!AX579="sim", 'Ações'!BG579="sim"), 1, 0)
</f>
        <v>0</v>
      </c>
      <c r="AK571" s="319">
        <f>IF(AND('Ações'!AX579="sim", 'Ações'!BH579="sim"), 1, 0)
</f>
        <v>0</v>
      </c>
    </row>
    <row r="572">
      <c r="B572" s="319">
        <f>IF(AND('Ações'!AS580="sim", 'Ações'!BD580="sim"), 1, 0)
</f>
        <v>0</v>
      </c>
      <c r="C572" s="319">
        <f>IF(AND('Ações'!AT580="sim", 'Ações'!BE580="sim"), 1, 0)
</f>
        <v>0</v>
      </c>
      <c r="D572" s="319">
        <f>IF(AND('Ações'!AU580="sim", 'Ações'!BF580="sim"), 1, 0)
</f>
        <v>0</v>
      </c>
      <c r="E572" s="319">
        <f>IF(AND('Ações'!AV580="sim", 'Ações'!BG580="sim"), 1, 0)
</f>
        <v>0</v>
      </c>
      <c r="F572" s="319">
        <f>IF(AND('Ações'!AW580="sim", 'Ações'!BH580="sim"), 1, 0)
</f>
        <v>0</v>
      </c>
      <c r="G572" s="319">
        <f>IF(AND('Ações'!AX580="sim", 'Ações'!BI580="sim"), 1, 0)
</f>
        <v>1</v>
      </c>
      <c r="H572" s="319">
        <f>IF(AND('Ações'!AS580="sim", 'Ações'!BE580="sim"), 1, 0)
</f>
        <v>0</v>
      </c>
      <c r="I572" s="319">
        <f>IF(AND('Ações'!AS580="sim", 'Ações'!BF580="sim"), 1, 0)
</f>
        <v>0</v>
      </c>
      <c r="J572" s="319">
        <f>IF(AND('Ações'!AS580="sim", 'Ações'!BG580="sim"), 1, 0)
</f>
        <v>0</v>
      </c>
      <c r="K572" s="319">
        <f>IF(AND('Ações'!AS580="sim", 'Ações'!BH580="sim"), 1, 0)
</f>
        <v>0</v>
      </c>
      <c r="L572" s="319">
        <f>IF(AND('Ações'!AS580="sim", 'Ações'!BI580="sim"), 1, 0)
</f>
        <v>0</v>
      </c>
      <c r="M572" s="319">
        <f>IF(AND('Ações'!AT580="sim", 'Ações'!BD580="sim"), 1, 0)
</f>
        <v>0</v>
      </c>
      <c r="N572" s="319">
        <f>IF(AND('Ações'!AT580="sim", 'Ações'!BF580="sim"), 1, 0)
</f>
        <v>0</v>
      </c>
      <c r="O572" s="319">
        <f>IF(AND('Ações'!AT580="sim", 'Ações'!BG580="sim"), 1, 0)
</f>
        <v>0</v>
      </c>
      <c r="P572" s="319">
        <f>IF(AND('Ações'!AT580="sim", 'Ações'!BH580="sim"), 1, 0)
</f>
        <v>0</v>
      </c>
      <c r="Q572" s="319">
        <f>IF(AND('Ações'!AT580="sim", 'Ações'!BI580="sim"), 1, 0)
</f>
        <v>0</v>
      </c>
      <c r="R572" s="319">
        <f>IF(AND('Ações'!AU580="sim", 'Ações'!BD580="sim"), 1, 0)
</f>
        <v>0</v>
      </c>
      <c r="S572" s="319">
        <f>IF(AND('Ações'!AU580="sim", 'Ações'!BE580="sim"), 1, 0)
</f>
        <v>0</v>
      </c>
      <c r="T572" s="319">
        <f>IF(AND('Ações'!AU580="sim", 'Ações'!BG580="sim"), 1, 0)
</f>
        <v>0</v>
      </c>
      <c r="U572" s="319">
        <f>IF(AND('Ações'!AU580="sim", 'Ações'!BH580="sim"), 1, 0)
</f>
        <v>0</v>
      </c>
      <c r="V572" s="319">
        <f>IF(AND('Ações'!AU580="sim", 'Ações'!BI580="sim"), 1, 0)
</f>
        <v>0</v>
      </c>
      <c r="W572" s="319">
        <f>IF(AND('Ações'!AV580="sim", 'Ações'!BD580="sim"), 1, 0)
</f>
        <v>0</v>
      </c>
      <c r="X572" s="319">
        <f>IF(AND('Ações'!AV580="sim", 'Ações'!BE580="sim"), 1, 0)
</f>
        <v>0</v>
      </c>
      <c r="Y572" s="319">
        <f>IF(AND('Ações'!AV580="sim", 'Ações'!BF580="sim"), 1, 0)
</f>
        <v>0</v>
      </c>
      <c r="Z572" s="319">
        <f>IF(AND('Ações'!AV580="sim", 'Ações'!BH580="sim"), 1, 0)
</f>
        <v>0</v>
      </c>
      <c r="AA572" s="319">
        <f>IF(AND('Ações'!AV580="sim", 'Ações'!BI580="sim"), 1, 0)
</f>
        <v>1</v>
      </c>
      <c r="AB572" s="319">
        <f>IF(AND('Ações'!AW580="sim", 'Ações'!BD580="sim"), 1, 0)
</f>
        <v>0</v>
      </c>
      <c r="AC572" s="319">
        <f>IF(AND('Ações'!AW580="sim", 'Ações'!BE580="sim"), 1, 0)
</f>
        <v>0</v>
      </c>
      <c r="AD572" s="319">
        <f>IF(AND('Ações'!AW580="sim", 'Ações'!BF580="sim"), 1, 0)
</f>
        <v>0</v>
      </c>
      <c r="AE572" s="319">
        <f>IF(AND('Ações'!AW580="sim", 'Ações'!BG580="sim"), 1, 0)
</f>
        <v>0</v>
      </c>
      <c r="AF572" s="319">
        <f>IF(AND('Ações'!AW580="sim", 'Ações'!BI580="sim"), 1, 0)
</f>
        <v>1</v>
      </c>
      <c r="AG572" s="319">
        <f>IF(AND('Ações'!AX580="sim", 'Ações'!BD580="sim"), 1, 0)
</f>
        <v>0</v>
      </c>
      <c r="AH572" s="319">
        <f>IF(AND('Ações'!AX580="sim", 'Ações'!BE580="sim"), 1, 0)
</f>
        <v>0</v>
      </c>
      <c r="AI572" s="319">
        <f>IF(AND('Ações'!AX580="sim", 'Ações'!BF580="sim"), 1, 0)
</f>
        <v>0</v>
      </c>
      <c r="AJ572" s="319">
        <f>IF(AND('Ações'!AX580="sim", 'Ações'!BG580="sim"), 1, 0)
</f>
        <v>0</v>
      </c>
      <c r="AK572" s="319">
        <f>IF(AND('Ações'!AX580="sim", 'Ações'!BH580="sim"), 1, 0)
</f>
        <v>0</v>
      </c>
    </row>
    <row r="573">
      <c r="B573" s="319">
        <f>IF(AND('Ações'!AS581="sim", 'Ações'!BD581="sim"), 1, 0)
</f>
        <v>0</v>
      </c>
      <c r="C573" s="319">
        <f>IF(AND('Ações'!AT581="sim", 'Ações'!BE581="sim"), 1, 0)
</f>
        <v>0</v>
      </c>
      <c r="D573" s="319">
        <f>IF(AND('Ações'!AU581="sim", 'Ações'!BF581="sim"), 1, 0)
</f>
        <v>0</v>
      </c>
      <c r="E573" s="319">
        <f>IF(AND('Ações'!AV581="sim", 'Ações'!BG581="sim"), 1, 0)
</f>
        <v>0</v>
      </c>
      <c r="F573" s="319">
        <f>IF(AND('Ações'!AW581="sim", 'Ações'!BH581="sim"), 1, 0)
</f>
        <v>0</v>
      </c>
      <c r="G573" s="319">
        <f>IF(AND('Ações'!AX581="sim", 'Ações'!BI581="sim"), 1, 0)
</f>
        <v>1</v>
      </c>
      <c r="H573" s="319">
        <f>IF(AND('Ações'!AS581="sim", 'Ações'!BE581="sim"), 1, 0)
</f>
        <v>0</v>
      </c>
      <c r="I573" s="319">
        <f>IF(AND('Ações'!AS581="sim", 'Ações'!BF581="sim"), 1, 0)
</f>
        <v>0</v>
      </c>
      <c r="J573" s="319">
        <f>IF(AND('Ações'!AS581="sim", 'Ações'!BG581="sim"), 1, 0)
</f>
        <v>0</v>
      </c>
      <c r="K573" s="319">
        <f>IF(AND('Ações'!AS581="sim", 'Ações'!BH581="sim"), 1, 0)
</f>
        <v>0</v>
      </c>
      <c r="L573" s="319">
        <f>IF(AND('Ações'!AS581="sim", 'Ações'!BI581="sim"), 1, 0)
</f>
        <v>0</v>
      </c>
      <c r="M573" s="319">
        <f>IF(AND('Ações'!AT581="sim", 'Ações'!BD581="sim"), 1, 0)
</f>
        <v>0</v>
      </c>
      <c r="N573" s="319">
        <f>IF(AND('Ações'!AT581="sim", 'Ações'!BF581="sim"), 1, 0)
</f>
        <v>0</v>
      </c>
      <c r="O573" s="319">
        <f>IF(AND('Ações'!AT581="sim", 'Ações'!BG581="sim"), 1, 0)
</f>
        <v>0</v>
      </c>
      <c r="P573" s="319">
        <f>IF(AND('Ações'!AT581="sim", 'Ações'!BH581="sim"), 1, 0)
</f>
        <v>0</v>
      </c>
      <c r="Q573" s="319">
        <f>IF(AND('Ações'!AT581="sim", 'Ações'!BI581="sim"), 1, 0)
</f>
        <v>0</v>
      </c>
      <c r="R573" s="319">
        <f>IF(AND('Ações'!AU581="sim", 'Ações'!BD581="sim"), 1, 0)
</f>
        <v>0</v>
      </c>
      <c r="S573" s="319">
        <f>IF(AND('Ações'!AU581="sim", 'Ações'!BE581="sim"), 1, 0)
</f>
        <v>0</v>
      </c>
      <c r="T573" s="319">
        <f>IF(AND('Ações'!AU581="sim", 'Ações'!BG581="sim"), 1, 0)
</f>
        <v>0</v>
      </c>
      <c r="U573" s="319">
        <f>IF(AND('Ações'!AU581="sim", 'Ações'!BH581="sim"), 1, 0)
</f>
        <v>0</v>
      </c>
      <c r="V573" s="319">
        <f>IF(AND('Ações'!AU581="sim", 'Ações'!BI581="sim"), 1, 0)
</f>
        <v>0</v>
      </c>
      <c r="W573" s="319">
        <f>IF(AND('Ações'!AV581="sim", 'Ações'!BD581="sim"), 1, 0)
</f>
        <v>0</v>
      </c>
      <c r="X573" s="319">
        <f>IF(AND('Ações'!AV581="sim", 'Ações'!BE581="sim"), 1, 0)
</f>
        <v>0</v>
      </c>
      <c r="Y573" s="319">
        <f>IF(AND('Ações'!AV581="sim", 'Ações'!BF581="sim"), 1, 0)
</f>
        <v>0</v>
      </c>
      <c r="Z573" s="319">
        <f>IF(AND('Ações'!AV581="sim", 'Ações'!BH581="sim"), 1, 0)
</f>
        <v>0</v>
      </c>
      <c r="AA573" s="319">
        <f>IF(AND('Ações'!AV581="sim", 'Ações'!BI581="sim"), 1, 0)
</f>
        <v>1</v>
      </c>
      <c r="AB573" s="319">
        <f>IF(AND('Ações'!AW581="sim", 'Ações'!BD581="sim"), 1, 0)
</f>
        <v>0</v>
      </c>
      <c r="AC573" s="319">
        <f>IF(AND('Ações'!AW581="sim", 'Ações'!BE581="sim"), 1, 0)
</f>
        <v>0</v>
      </c>
      <c r="AD573" s="319">
        <f>IF(AND('Ações'!AW581="sim", 'Ações'!BF581="sim"), 1, 0)
</f>
        <v>0</v>
      </c>
      <c r="AE573" s="319">
        <f>IF(AND('Ações'!AW581="sim", 'Ações'!BG581="sim"), 1, 0)
</f>
        <v>0</v>
      </c>
      <c r="AF573" s="319">
        <f>IF(AND('Ações'!AW581="sim", 'Ações'!BI581="sim"), 1, 0)
</f>
        <v>1</v>
      </c>
      <c r="AG573" s="319">
        <f>IF(AND('Ações'!AX581="sim", 'Ações'!BD581="sim"), 1, 0)
</f>
        <v>0</v>
      </c>
      <c r="AH573" s="319">
        <f>IF(AND('Ações'!AX581="sim", 'Ações'!BE581="sim"), 1, 0)
</f>
        <v>0</v>
      </c>
      <c r="AI573" s="319">
        <f>IF(AND('Ações'!AX581="sim", 'Ações'!BF581="sim"), 1, 0)
</f>
        <v>0</v>
      </c>
      <c r="AJ573" s="319">
        <f>IF(AND('Ações'!AX581="sim", 'Ações'!BG581="sim"), 1, 0)
</f>
        <v>0</v>
      </c>
      <c r="AK573" s="319">
        <f>IF(AND('Ações'!AX581="sim", 'Ações'!BH581="sim"), 1, 0)
</f>
        <v>0</v>
      </c>
    </row>
    <row r="574">
      <c r="B574" s="319">
        <f>IF(AND('Ações'!AS582="sim", 'Ações'!BD582="sim"), 1, 0)
</f>
        <v>0</v>
      </c>
      <c r="C574" s="319">
        <f>IF(AND('Ações'!AT582="sim", 'Ações'!BE582="sim"), 1, 0)
</f>
        <v>0</v>
      </c>
      <c r="D574" s="319">
        <f>IF(AND('Ações'!AU582="sim", 'Ações'!BF582="sim"), 1, 0)
</f>
        <v>0</v>
      </c>
      <c r="E574" s="319">
        <f>IF(AND('Ações'!AV582="sim", 'Ações'!BG582="sim"), 1, 0)
</f>
        <v>0</v>
      </c>
      <c r="F574" s="319">
        <f>IF(AND('Ações'!AW582="sim", 'Ações'!BH582="sim"), 1, 0)
</f>
        <v>0</v>
      </c>
      <c r="G574" s="319">
        <f>IF(AND('Ações'!AX582="sim", 'Ações'!BI582="sim"), 1, 0)
</f>
        <v>1</v>
      </c>
      <c r="H574" s="319">
        <f>IF(AND('Ações'!AS582="sim", 'Ações'!BE582="sim"), 1, 0)
</f>
        <v>0</v>
      </c>
      <c r="I574" s="319">
        <f>IF(AND('Ações'!AS582="sim", 'Ações'!BF582="sim"), 1, 0)
</f>
        <v>0</v>
      </c>
      <c r="J574" s="319">
        <f>IF(AND('Ações'!AS582="sim", 'Ações'!BG582="sim"), 1, 0)
</f>
        <v>0</v>
      </c>
      <c r="K574" s="319">
        <f>IF(AND('Ações'!AS582="sim", 'Ações'!BH582="sim"), 1, 0)
</f>
        <v>0</v>
      </c>
      <c r="L574" s="319">
        <f>IF(AND('Ações'!AS582="sim", 'Ações'!BI582="sim"), 1, 0)
</f>
        <v>0</v>
      </c>
      <c r="M574" s="319">
        <f>IF(AND('Ações'!AT582="sim", 'Ações'!BD582="sim"), 1, 0)
</f>
        <v>0</v>
      </c>
      <c r="N574" s="319">
        <f>IF(AND('Ações'!AT582="sim", 'Ações'!BF582="sim"), 1, 0)
</f>
        <v>0</v>
      </c>
      <c r="O574" s="319">
        <f>IF(AND('Ações'!AT582="sim", 'Ações'!BG582="sim"), 1, 0)
</f>
        <v>0</v>
      </c>
      <c r="P574" s="319">
        <f>IF(AND('Ações'!AT582="sim", 'Ações'!BH582="sim"), 1, 0)
</f>
        <v>0</v>
      </c>
      <c r="Q574" s="319">
        <f>IF(AND('Ações'!AT582="sim", 'Ações'!BI582="sim"), 1, 0)
</f>
        <v>0</v>
      </c>
      <c r="R574" s="319">
        <f>IF(AND('Ações'!AU582="sim", 'Ações'!BD582="sim"), 1, 0)
</f>
        <v>0</v>
      </c>
      <c r="S574" s="319">
        <f>IF(AND('Ações'!AU582="sim", 'Ações'!BE582="sim"), 1, 0)
</f>
        <v>0</v>
      </c>
      <c r="T574" s="319">
        <f>IF(AND('Ações'!AU582="sim", 'Ações'!BG582="sim"), 1, 0)
</f>
        <v>0</v>
      </c>
      <c r="U574" s="319">
        <f>IF(AND('Ações'!AU582="sim", 'Ações'!BH582="sim"), 1, 0)
</f>
        <v>0</v>
      </c>
      <c r="V574" s="319">
        <f>IF(AND('Ações'!AU582="sim", 'Ações'!BI582="sim"), 1, 0)
</f>
        <v>0</v>
      </c>
      <c r="W574" s="319">
        <f>IF(AND('Ações'!AV582="sim", 'Ações'!BD582="sim"), 1, 0)
</f>
        <v>0</v>
      </c>
      <c r="X574" s="319">
        <f>IF(AND('Ações'!AV582="sim", 'Ações'!BE582="sim"), 1, 0)
</f>
        <v>0</v>
      </c>
      <c r="Y574" s="319">
        <f>IF(AND('Ações'!AV582="sim", 'Ações'!BF582="sim"), 1, 0)
</f>
        <v>0</v>
      </c>
      <c r="Z574" s="319">
        <f>IF(AND('Ações'!AV582="sim", 'Ações'!BH582="sim"), 1, 0)
</f>
        <v>0</v>
      </c>
      <c r="AA574" s="319">
        <f>IF(AND('Ações'!AV582="sim", 'Ações'!BI582="sim"), 1, 0)
</f>
        <v>1</v>
      </c>
      <c r="AB574" s="319">
        <f>IF(AND('Ações'!AW582="sim", 'Ações'!BD582="sim"), 1, 0)
</f>
        <v>0</v>
      </c>
      <c r="AC574" s="319">
        <f>IF(AND('Ações'!AW582="sim", 'Ações'!BE582="sim"), 1, 0)
</f>
        <v>0</v>
      </c>
      <c r="AD574" s="319">
        <f>IF(AND('Ações'!AW582="sim", 'Ações'!BF582="sim"), 1, 0)
</f>
        <v>0</v>
      </c>
      <c r="AE574" s="319">
        <f>IF(AND('Ações'!AW582="sim", 'Ações'!BG582="sim"), 1, 0)
</f>
        <v>0</v>
      </c>
      <c r="AF574" s="319">
        <f>IF(AND('Ações'!AW582="sim", 'Ações'!BI582="sim"), 1, 0)
</f>
        <v>1</v>
      </c>
      <c r="AG574" s="319">
        <f>IF(AND('Ações'!AX582="sim", 'Ações'!BD582="sim"), 1, 0)
</f>
        <v>0</v>
      </c>
      <c r="AH574" s="319">
        <f>IF(AND('Ações'!AX582="sim", 'Ações'!BE582="sim"), 1, 0)
</f>
        <v>0</v>
      </c>
      <c r="AI574" s="319">
        <f>IF(AND('Ações'!AX582="sim", 'Ações'!BF582="sim"), 1, 0)
</f>
        <v>0</v>
      </c>
      <c r="AJ574" s="319">
        <f>IF(AND('Ações'!AX582="sim", 'Ações'!BG582="sim"), 1, 0)
</f>
        <v>0</v>
      </c>
      <c r="AK574" s="319">
        <f>IF(AND('Ações'!AX582="sim", 'Ações'!BH582="sim"), 1, 0)
</f>
        <v>0</v>
      </c>
    </row>
    <row r="575">
      <c r="B575" s="319">
        <f>IF(AND('Ações'!AS583="sim", 'Ações'!BD583="sim"), 1, 0)
</f>
        <v>0</v>
      </c>
      <c r="C575" s="319">
        <f>IF(AND('Ações'!AT583="sim", 'Ações'!BE583="sim"), 1, 0)
</f>
        <v>0</v>
      </c>
      <c r="D575" s="319">
        <f>IF(AND('Ações'!AU583="sim", 'Ações'!BF583="sim"), 1, 0)
</f>
        <v>0</v>
      </c>
      <c r="E575" s="319">
        <f>IF(AND('Ações'!AV583="sim", 'Ações'!BG583="sim"), 1, 0)
</f>
        <v>0</v>
      </c>
      <c r="F575" s="319">
        <f>IF(AND('Ações'!AW583="sim", 'Ações'!BH583="sim"), 1, 0)
</f>
        <v>0</v>
      </c>
      <c r="G575" s="319">
        <f>IF(AND('Ações'!AX583="sim", 'Ações'!BI583="sim"), 1, 0)
</f>
        <v>1</v>
      </c>
      <c r="H575" s="319">
        <f>IF(AND('Ações'!AS583="sim", 'Ações'!BE583="sim"), 1, 0)
</f>
        <v>0</v>
      </c>
      <c r="I575" s="319">
        <f>IF(AND('Ações'!AS583="sim", 'Ações'!BF583="sim"), 1, 0)
</f>
        <v>0</v>
      </c>
      <c r="J575" s="319">
        <f>IF(AND('Ações'!AS583="sim", 'Ações'!BG583="sim"), 1, 0)
</f>
        <v>0</v>
      </c>
      <c r="K575" s="319">
        <f>IF(AND('Ações'!AS583="sim", 'Ações'!BH583="sim"), 1, 0)
</f>
        <v>0</v>
      </c>
      <c r="L575" s="319">
        <f>IF(AND('Ações'!AS583="sim", 'Ações'!BI583="sim"), 1, 0)
</f>
        <v>1</v>
      </c>
      <c r="M575" s="319">
        <f>IF(AND('Ações'!AT583="sim", 'Ações'!BD583="sim"), 1, 0)
</f>
        <v>0</v>
      </c>
      <c r="N575" s="319">
        <f>IF(AND('Ações'!AT583="sim", 'Ações'!BF583="sim"), 1, 0)
</f>
        <v>0</v>
      </c>
      <c r="O575" s="319">
        <f>IF(AND('Ações'!AT583="sim", 'Ações'!BG583="sim"), 1, 0)
</f>
        <v>0</v>
      </c>
      <c r="P575" s="319">
        <f>IF(AND('Ações'!AT583="sim", 'Ações'!BH583="sim"), 1, 0)
</f>
        <v>0</v>
      </c>
      <c r="Q575" s="319">
        <f>IF(AND('Ações'!AT583="sim", 'Ações'!BI583="sim"), 1, 0)
</f>
        <v>0</v>
      </c>
      <c r="R575" s="319">
        <f>IF(AND('Ações'!AU583="sim", 'Ações'!BD583="sim"), 1, 0)
</f>
        <v>0</v>
      </c>
      <c r="S575" s="319">
        <f>IF(AND('Ações'!AU583="sim", 'Ações'!BE583="sim"), 1, 0)
</f>
        <v>0</v>
      </c>
      <c r="T575" s="319">
        <f>IF(AND('Ações'!AU583="sim", 'Ações'!BG583="sim"), 1, 0)
</f>
        <v>0</v>
      </c>
      <c r="U575" s="319">
        <f>IF(AND('Ações'!AU583="sim", 'Ações'!BH583="sim"), 1, 0)
</f>
        <v>0</v>
      </c>
      <c r="V575" s="319">
        <f>IF(AND('Ações'!AU583="sim", 'Ações'!BI583="sim"), 1, 0)
</f>
        <v>0</v>
      </c>
      <c r="W575" s="319">
        <f>IF(AND('Ações'!AV583="sim", 'Ações'!BD583="sim"), 1, 0)
</f>
        <v>0</v>
      </c>
      <c r="X575" s="319">
        <f>IF(AND('Ações'!AV583="sim", 'Ações'!BE583="sim"), 1, 0)
</f>
        <v>0</v>
      </c>
      <c r="Y575" s="319">
        <f>IF(AND('Ações'!AV583="sim", 'Ações'!BF583="sim"), 1, 0)
</f>
        <v>0</v>
      </c>
      <c r="Z575" s="319">
        <f>IF(AND('Ações'!AV583="sim", 'Ações'!BH583="sim"), 1, 0)
</f>
        <v>0</v>
      </c>
      <c r="AA575" s="319">
        <f>IF(AND('Ações'!AV583="sim", 'Ações'!BI583="sim"), 1, 0)
</f>
        <v>0</v>
      </c>
      <c r="AB575" s="319">
        <f>IF(AND('Ações'!AW583="sim", 'Ações'!BD583="sim"), 1, 0)
</f>
        <v>0</v>
      </c>
      <c r="AC575" s="319">
        <f>IF(AND('Ações'!AW583="sim", 'Ações'!BE583="sim"), 1, 0)
</f>
        <v>0</v>
      </c>
      <c r="AD575" s="319">
        <f>IF(AND('Ações'!AW583="sim", 'Ações'!BF583="sim"), 1, 0)
</f>
        <v>0</v>
      </c>
      <c r="AE575" s="319">
        <f>IF(AND('Ações'!AW583="sim", 'Ações'!BG583="sim"), 1, 0)
</f>
        <v>0</v>
      </c>
      <c r="AF575" s="319">
        <f>IF(AND('Ações'!AW583="sim", 'Ações'!BI583="sim"), 1, 0)
</f>
        <v>1</v>
      </c>
      <c r="AG575" s="319">
        <f>IF(AND('Ações'!AX583="sim", 'Ações'!BD583="sim"), 1, 0)
</f>
        <v>0</v>
      </c>
      <c r="AH575" s="319">
        <f>IF(AND('Ações'!AX583="sim", 'Ações'!BE583="sim"), 1, 0)
</f>
        <v>0</v>
      </c>
      <c r="AI575" s="319">
        <f>IF(AND('Ações'!AX583="sim", 'Ações'!BF583="sim"), 1, 0)
</f>
        <v>0</v>
      </c>
      <c r="AJ575" s="319">
        <f>IF(AND('Ações'!AX583="sim", 'Ações'!BG583="sim"), 1, 0)
</f>
        <v>0</v>
      </c>
      <c r="AK575" s="319">
        <f>IF(AND('Ações'!AX583="sim", 'Ações'!BH583="sim"), 1, 0)
</f>
        <v>0</v>
      </c>
    </row>
    <row r="576">
      <c r="B576" s="319">
        <f>IF(AND('Ações'!AS584="sim", 'Ações'!BD584="sim"), 1, 0)
</f>
        <v>0</v>
      </c>
      <c r="C576" s="319">
        <f>IF(AND('Ações'!AT584="sim", 'Ações'!BE584="sim"), 1, 0)
</f>
        <v>0</v>
      </c>
      <c r="D576" s="319">
        <f>IF(AND('Ações'!AU584="sim", 'Ações'!BF584="sim"), 1, 0)
</f>
        <v>0</v>
      </c>
      <c r="E576" s="319">
        <f>IF(AND('Ações'!AV584="sim", 'Ações'!BG584="sim"), 1, 0)
</f>
        <v>0</v>
      </c>
      <c r="F576" s="319">
        <f>IF(AND('Ações'!AW584="sim", 'Ações'!BH584="sim"), 1, 0)
</f>
        <v>0</v>
      </c>
      <c r="G576" s="319">
        <f>IF(AND('Ações'!AX584="sim", 'Ações'!BI584="sim"), 1, 0)
</f>
        <v>1</v>
      </c>
      <c r="H576" s="319">
        <f>IF(AND('Ações'!AS584="sim", 'Ações'!BE584="sim"), 1, 0)
</f>
        <v>0</v>
      </c>
      <c r="I576" s="319">
        <f>IF(AND('Ações'!AS584="sim", 'Ações'!BF584="sim"), 1, 0)
</f>
        <v>0</v>
      </c>
      <c r="J576" s="319">
        <f>IF(AND('Ações'!AS584="sim", 'Ações'!BG584="sim"), 1, 0)
</f>
        <v>0</v>
      </c>
      <c r="K576" s="319">
        <f>IF(AND('Ações'!AS584="sim", 'Ações'!BH584="sim"), 1, 0)
</f>
        <v>0</v>
      </c>
      <c r="L576" s="319">
        <f>IF(AND('Ações'!AS584="sim", 'Ações'!BI584="sim"), 1, 0)
</f>
        <v>1</v>
      </c>
      <c r="M576" s="319">
        <f>IF(AND('Ações'!AT584="sim", 'Ações'!BD584="sim"), 1, 0)
</f>
        <v>0</v>
      </c>
      <c r="N576" s="319">
        <f>IF(AND('Ações'!AT584="sim", 'Ações'!BF584="sim"), 1, 0)
</f>
        <v>0</v>
      </c>
      <c r="O576" s="319">
        <f>IF(AND('Ações'!AT584="sim", 'Ações'!BG584="sim"), 1, 0)
</f>
        <v>0</v>
      </c>
      <c r="P576" s="319">
        <f>IF(AND('Ações'!AT584="sim", 'Ações'!BH584="sim"), 1, 0)
</f>
        <v>0</v>
      </c>
      <c r="Q576" s="319">
        <f>IF(AND('Ações'!AT584="sim", 'Ações'!BI584="sim"), 1, 0)
</f>
        <v>0</v>
      </c>
      <c r="R576" s="319">
        <f>IF(AND('Ações'!AU584="sim", 'Ações'!BD584="sim"), 1, 0)
</f>
        <v>0</v>
      </c>
      <c r="S576" s="319">
        <f>IF(AND('Ações'!AU584="sim", 'Ações'!BE584="sim"), 1, 0)
</f>
        <v>0</v>
      </c>
      <c r="T576" s="319">
        <f>IF(AND('Ações'!AU584="sim", 'Ações'!BG584="sim"), 1, 0)
</f>
        <v>0</v>
      </c>
      <c r="U576" s="319">
        <f>IF(AND('Ações'!AU584="sim", 'Ações'!BH584="sim"), 1, 0)
</f>
        <v>0</v>
      </c>
      <c r="V576" s="319">
        <f>IF(AND('Ações'!AU584="sim", 'Ações'!BI584="sim"), 1, 0)
</f>
        <v>0</v>
      </c>
      <c r="W576" s="319">
        <f>IF(AND('Ações'!AV584="sim", 'Ações'!BD584="sim"), 1, 0)
</f>
        <v>0</v>
      </c>
      <c r="X576" s="319">
        <f>IF(AND('Ações'!AV584="sim", 'Ações'!BE584="sim"), 1, 0)
</f>
        <v>0</v>
      </c>
      <c r="Y576" s="319">
        <f>IF(AND('Ações'!AV584="sim", 'Ações'!BF584="sim"), 1, 0)
</f>
        <v>0</v>
      </c>
      <c r="Z576" s="319">
        <f>IF(AND('Ações'!AV584="sim", 'Ações'!BH584="sim"), 1, 0)
</f>
        <v>0</v>
      </c>
      <c r="AA576" s="319">
        <f>IF(AND('Ações'!AV584="sim", 'Ações'!BI584="sim"), 1, 0)
</f>
        <v>0</v>
      </c>
      <c r="AB576" s="319">
        <f>IF(AND('Ações'!AW584="sim", 'Ações'!BD584="sim"), 1, 0)
</f>
        <v>0</v>
      </c>
      <c r="AC576" s="319">
        <f>IF(AND('Ações'!AW584="sim", 'Ações'!BE584="sim"), 1, 0)
</f>
        <v>0</v>
      </c>
      <c r="AD576" s="319">
        <f>IF(AND('Ações'!AW584="sim", 'Ações'!BF584="sim"), 1, 0)
</f>
        <v>0</v>
      </c>
      <c r="AE576" s="319">
        <f>IF(AND('Ações'!AW584="sim", 'Ações'!BG584="sim"), 1, 0)
</f>
        <v>0</v>
      </c>
      <c r="AF576" s="319">
        <f>IF(AND('Ações'!AW584="sim", 'Ações'!BI584="sim"), 1, 0)
</f>
        <v>1</v>
      </c>
      <c r="AG576" s="319">
        <f>IF(AND('Ações'!AX584="sim", 'Ações'!BD584="sim"), 1, 0)
</f>
        <v>0</v>
      </c>
      <c r="AH576" s="319">
        <f>IF(AND('Ações'!AX584="sim", 'Ações'!BE584="sim"), 1, 0)
</f>
        <v>0</v>
      </c>
      <c r="AI576" s="319">
        <f>IF(AND('Ações'!AX584="sim", 'Ações'!BF584="sim"), 1, 0)
</f>
        <v>0</v>
      </c>
      <c r="AJ576" s="319">
        <f>IF(AND('Ações'!AX584="sim", 'Ações'!BG584="sim"), 1, 0)
</f>
        <v>0</v>
      </c>
      <c r="AK576" s="319">
        <f>IF(AND('Ações'!AX584="sim", 'Ações'!BH584="sim"), 1, 0)
</f>
        <v>0</v>
      </c>
    </row>
    <row r="577">
      <c r="B577" s="319">
        <f>IF(AND('Ações'!AS585="sim", 'Ações'!BD585="sim"), 1, 0)
</f>
        <v>0</v>
      </c>
      <c r="C577" s="319">
        <f>IF(AND('Ações'!AT585="sim", 'Ações'!BE585="sim"), 1, 0)
</f>
        <v>0</v>
      </c>
      <c r="D577" s="319">
        <f>IF(AND('Ações'!AU585="sim", 'Ações'!BF585="sim"), 1, 0)
</f>
        <v>0</v>
      </c>
      <c r="E577" s="319">
        <f>IF(AND('Ações'!AV585="sim", 'Ações'!BG585="sim"), 1, 0)
</f>
        <v>0</v>
      </c>
      <c r="F577" s="319">
        <f>IF(AND('Ações'!AW585="sim", 'Ações'!BH585="sim"), 1, 0)
</f>
        <v>0</v>
      </c>
      <c r="G577" s="319">
        <f>IF(AND('Ações'!AX585="sim", 'Ações'!BI585="sim"), 1, 0)
</f>
        <v>1</v>
      </c>
      <c r="H577" s="319">
        <f>IF(AND('Ações'!AS585="sim", 'Ações'!BE585="sim"), 1, 0)
</f>
        <v>0</v>
      </c>
      <c r="I577" s="319">
        <f>IF(AND('Ações'!AS585="sim", 'Ações'!BF585="sim"), 1, 0)
</f>
        <v>0</v>
      </c>
      <c r="J577" s="319">
        <f>IF(AND('Ações'!AS585="sim", 'Ações'!BG585="sim"), 1, 0)
</f>
        <v>0</v>
      </c>
      <c r="K577" s="319">
        <f>IF(AND('Ações'!AS585="sim", 'Ações'!BH585="sim"), 1, 0)
</f>
        <v>0</v>
      </c>
      <c r="L577" s="319">
        <f>IF(AND('Ações'!AS585="sim", 'Ações'!BI585="sim"), 1, 0)
</f>
        <v>1</v>
      </c>
      <c r="M577" s="319">
        <f>IF(AND('Ações'!AT585="sim", 'Ações'!BD585="sim"), 1, 0)
</f>
        <v>0</v>
      </c>
      <c r="N577" s="319">
        <f>IF(AND('Ações'!AT585="sim", 'Ações'!BF585="sim"), 1, 0)
</f>
        <v>0</v>
      </c>
      <c r="O577" s="319">
        <f>IF(AND('Ações'!AT585="sim", 'Ações'!BG585="sim"), 1, 0)
</f>
        <v>0</v>
      </c>
      <c r="P577" s="319">
        <f>IF(AND('Ações'!AT585="sim", 'Ações'!BH585="sim"), 1, 0)
</f>
        <v>0</v>
      </c>
      <c r="Q577" s="319">
        <f>IF(AND('Ações'!AT585="sim", 'Ações'!BI585="sim"), 1, 0)
</f>
        <v>0</v>
      </c>
      <c r="R577" s="319">
        <f>IF(AND('Ações'!AU585="sim", 'Ações'!BD585="sim"), 1, 0)
</f>
        <v>0</v>
      </c>
      <c r="S577" s="319">
        <f>IF(AND('Ações'!AU585="sim", 'Ações'!BE585="sim"), 1, 0)
</f>
        <v>0</v>
      </c>
      <c r="T577" s="319">
        <f>IF(AND('Ações'!AU585="sim", 'Ações'!BG585="sim"), 1, 0)
</f>
        <v>0</v>
      </c>
      <c r="U577" s="319">
        <f>IF(AND('Ações'!AU585="sim", 'Ações'!BH585="sim"), 1, 0)
</f>
        <v>0</v>
      </c>
      <c r="V577" s="319">
        <f>IF(AND('Ações'!AU585="sim", 'Ações'!BI585="sim"), 1, 0)
</f>
        <v>0</v>
      </c>
      <c r="W577" s="319">
        <f>IF(AND('Ações'!AV585="sim", 'Ações'!BD585="sim"), 1, 0)
</f>
        <v>0</v>
      </c>
      <c r="X577" s="319">
        <f>IF(AND('Ações'!AV585="sim", 'Ações'!BE585="sim"), 1, 0)
</f>
        <v>0</v>
      </c>
      <c r="Y577" s="319">
        <f>IF(AND('Ações'!AV585="sim", 'Ações'!BF585="sim"), 1, 0)
</f>
        <v>0</v>
      </c>
      <c r="Z577" s="319">
        <f>IF(AND('Ações'!AV585="sim", 'Ações'!BH585="sim"), 1, 0)
</f>
        <v>0</v>
      </c>
      <c r="AA577" s="319">
        <f>IF(AND('Ações'!AV585="sim", 'Ações'!BI585="sim"), 1, 0)
</f>
        <v>0</v>
      </c>
      <c r="AB577" s="319">
        <f>IF(AND('Ações'!AW585="sim", 'Ações'!BD585="sim"), 1, 0)
</f>
        <v>0</v>
      </c>
      <c r="AC577" s="319">
        <f>IF(AND('Ações'!AW585="sim", 'Ações'!BE585="sim"), 1, 0)
</f>
        <v>0</v>
      </c>
      <c r="AD577" s="319">
        <f>IF(AND('Ações'!AW585="sim", 'Ações'!BF585="sim"), 1, 0)
</f>
        <v>0</v>
      </c>
      <c r="AE577" s="319">
        <f>IF(AND('Ações'!AW585="sim", 'Ações'!BG585="sim"), 1, 0)
</f>
        <v>0</v>
      </c>
      <c r="AF577" s="319">
        <f>IF(AND('Ações'!AW585="sim", 'Ações'!BI585="sim"), 1, 0)
</f>
        <v>1</v>
      </c>
      <c r="AG577" s="319">
        <f>IF(AND('Ações'!AX585="sim", 'Ações'!BD585="sim"), 1, 0)
</f>
        <v>0</v>
      </c>
      <c r="AH577" s="319">
        <f>IF(AND('Ações'!AX585="sim", 'Ações'!BE585="sim"), 1, 0)
</f>
        <v>0</v>
      </c>
      <c r="AI577" s="319">
        <f>IF(AND('Ações'!AX585="sim", 'Ações'!BF585="sim"), 1, 0)
</f>
        <v>0</v>
      </c>
      <c r="AJ577" s="319">
        <f>IF(AND('Ações'!AX585="sim", 'Ações'!BG585="sim"), 1, 0)
</f>
        <v>0</v>
      </c>
      <c r="AK577" s="319">
        <f>IF(AND('Ações'!AX585="sim", 'Ações'!BH585="sim"), 1, 0)
</f>
        <v>0</v>
      </c>
    </row>
    <row r="578">
      <c r="B578" s="319">
        <f>IF(AND('Ações'!AS586="sim", 'Ações'!BD586="sim"), 1, 0)
</f>
        <v>0</v>
      </c>
      <c r="C578" s="319">
        <f>IF(AND('Ações'!AT586="sim", 'Ações'!BE586="sim"), 1, 0)
</f>
        <v>0</v>
      </c>
      <c r="D578" s="319">
        <f>IF(AND('Ações'!AU586="sim", 'Ações'!BF586="sim"), 1, 0)
</f>
        <v>0</v>
      </c>
      <c r="E578" s="319">
        <f>IF(AND('Ações'!AV586="sim", 'Ações'!BG586="sim"), 1, 0)
</f>
        <v>0</v>
      </c>
      <c r="F578" s="319">
        <f>IF(AND('Ações'!AW586="sim", 'Ações'!BH586="sim"), 1, 0)
</f>
        <v>0</v>
      </c>
      <c r="G578" s="319">
        <f>IF(AND('Ações'!AX586="sim", 'Ações'!BI586="sim"), 1, 0)
</f>
        <v>1</v>
      </c>
      <c r="H578" s="319">
        <f>IF(AND('Ações'!AS586="sim", 'Ações'!BE586="sim"), 1, 0)
</f>
        <v>0</v>
      </c>
      <c r="I578" s="319">
        <f>IF(AND('Ações'!AS586="sim", 'Ações'!BF586="sim"), 1, 0)
</f>
        <v>0</v>
      </c>
      <c r="J578" s="319">
        <f>IF(AND('Ações'!AS586="sim", 'Ações'!BG586="sim"), 1, 0)
</f>
        <v>0</v>
      </c>
      <c r="K578" s="319">
        <f>IF(AND('Ações'!AS586="sim", 'Ações'!BH586="sim"), 1, 0)
</f>
        <v>0</v>
      </c>
      <c r="L578" s="319">
        <f>IF(AND('Ações'!AS586="sim", 'Ações'!BI586="sim"), 1, 0)
</f>
        <v>1</v>
      </c>
      <c r="M578" s="319">
        <f>IF(AND('Ações'!AT586="sim", 'Ações'!BD586="sim"), 1, 0)
</f>
        <v>0</v>
      </c>
      <c r="N578" s="319">
        <f>IF(AND('Ações'!AT586="sim", 'Ações'!BF586="sim"), 1, 0)
</f>
        <v>0</v>
      </c>
      <c r="O578" s="319">
        <f>IF(AND('Ações'!AT586="sim", 'Ações'!BG586="sim"), 1, 0)
</f>
        <v>0</v>
      </c>
      <c r="P578" s="319">
        <f>IF(AND('Ações'!AT586="sim", 'Ações'!BH586="sim"), 1, 0)
</f>
        <v>0</v>
      </c>
      <c r="Q578" s="319">
        <f>IF(AND('Ações'!AT586="sim", 'Ações'!BI586="sim"), 1, 0)
</f>
        <v>0</v>
      </c>
      <c r="R578" s="319">
        <f>IF(AND('Ações'!AU586="sim", 'Ações'!BD586="sim"), 1, 0)
</f>
        <v>0</v>
      </c>
      <c r="S578" s="319">
        <f>IF(AND('Ações'!AU586="sim", 'Ações'!BE586="sim"), 1, 0)
</f>
        <v>0</v>
      </c>
      <c r="T578" s="319">
        <f>IF(AND('Ações'!AU586="sim", 'Ações'!BG586="sim"), 1, 0)
</f>
        <v>0</v>
      </c>
      <c r="U578" s="319">
        <f>IF(AND('Ações'!AU586="sim", 'Ações'!BH586="sim"), 1, 0)
</f>
        <v>0</v>
      </c>
      <c r="V578" s="319">
        <f>IF(AND('Ações'!AU586="sim", 'Ações'!BI586="sim"), 1, 0)
</f>
        <v>0</v>
      </c>
      <c r="W578" s="319">
        <f>IF(AND('Ações'!AV586="sim", 'Ações'!BD586="sim"), 1, 0)
</f>
        <v>0</v>
      </c>
      <c r="X578" s="319">
        <f>IF(AND('Ações'!AV586="sim", 'Ações'!BE586="sim"), 1, 0)
</f>
        <v>0</v>
      </c>
      <c r="Y578" s="319">
        <f>IF(AND('Ações'!AV586="sim", 'Ações'!BF586="sim"), 1, 0)
</f>
        <v>0</v>
      </c>
      <c r="Z578" s="319">
        <f>IF(AND('Ações'!AV586="sim", 'Ações'!BH586="sim"), 1, 0)
</f>
        <v>0</v>
      </c>
      <c r="AA578" s="319">
        <f>IF(AND('Ações'!AV586="sim", 'Ações'!BI586="sim"), 1, 0)
</f>
        <v>0</v>
      </c>
      <c r="AB578" s="319">
        <f>IF(AND('Ações'!AW586="sim", 'Ações'!BD586="sim"), 1, 0)
</f>
        <v>0</v>
      </c>
      <c r="AC578" s="319">
        <f>IF(AND('Ações'!AW586="sim", 'Ações'!BE586="sim"), 1, 0)
</f>
        <v>0</v>
      </c>
      <c r="AD578" s="319">
        <f>IF(AND('Ações'!AW586="sim", 'Ações'!BF586="sim"), 1, 0)
</f>
        <v>0</v>
      </c>
      <c r="AE578" s="319">
        <f>IF(AND('Ações'!AW586="sim", 'Ações'!BG586="sim"), 1, 0)
</f>
        <v>0</v>
      </c>
      <c r="AF578" s="319">
        <f>IF(AND('Ações'!AW586="sim", 'Ações'!BI586="sim"), 1, 0)
</f>
        <v>1</v>
      </c>
      <c r="AG578" s="319">
        <f>IF(AND('Ações'!AX586="sim", 'Ações'!BD586="sim"), 1, 0)
</f>
        <v>0</v>
      </c>
      <c r="AH578" s="319">
        <f>IF(AND('Ações'!AX586="sim", 'Ações'!BE586="sim"), 1, 0)
</f>
        <v>0</v>
      </c>
      <c r="AI578" s="319">
        <f>IF(AND('Ações'!AX586="sim", 'Ações'!BF586="sim"), 1, 0)
</f>
        <v>0</v>
      </c>
      <c r="AJ578" s="319">
        <f>IF(AND('Ações'!AX586="sim", 'Ações'!BG586="sim"), 1, 0)
</f>
        <v>0</v>
      </c>
      <c r="AK578" s="319">
        <f>IF(AND('Ações'!AX586="sim", 'Ações'!BH586="sim"), 1, 0)
</f>
        <v>0</v>
      </c>
    </row>
    <row r="579">
      <c r="B579" s="319">
        <f>IF(AND('Ações'!AS587="sim", 'Ações'!BD587="sim"), 1, 0)
</f>
        <v>0</v>
      </c>
      <c r="C579" s="319">
        <f>IF(AND('Ações'!AT587="sim", 'Ações'!BE587="sim"), 1, 0)
</f>
        <v>0</v>
      </c>
      <c r="D579" s="319">
        <f>IF(AND('Ações'!AU587="sim", 'Ações'!BF587="sim"), 1, 0)
</f>
        <v>0</v>
      </c>
      <c r="E579" s="319">
        <f>IF(AND('Ações'!AV587="sim", 'Ações'!BG587="sim"), 1, 0)
</f>
        <v>0</v>
      </c>
      <c r="F579" s="319">
        <f>IF(AND('Ações'!AW587="sim", 'Ações'!BH587="sim"), 1, 0)
</f>
        <v>0</v>
      </c>
      <c r="G579" s="319">
        <f>IF(AND('Ações'!AX587="sim", 'Ações'!BI587="sim"), 1, 0)
</f>
        <v>0</v>
      </c>
      <c r="H579" s="319">
        <f>IF(AND('Ações'!AS587="sim", 'Ações'!BE587="sim"), 1, 0)
</f>
        <v>0</v>
      </c>
      <c r="I579" s="319">
        <f>IF(AND('Ações'!AS587="sim", 'Ações'!BF587="sim"), 1, 0)
</f>
        <v>0</v>
      </c>
      <c r="J579" s="319">
        <f>IF(AND('Ações'!AS587="sim", 'Ações'!BG587="sim"), 1, 0)
</f>
        <v>0</v>
      </c>
      <c r="K579" s="319">
        <f>IF(AND('Ações'!AS587="sim", 'Ações'!BH587="sim"), 1, 0)
</f>
        <v>0</v>
      </c>
      <c r="L579" s="319">
        <f>IF(AND('Ações'!AS587="sim", 'Ações'!BI587="sim"), 1, 0)
</f>
        <v>0</v>
      </c>
      <c r="M579" s="319">
        <f>IF(AND('Ações'!AT587="sim", 'Ações'!BD587="sim"), 1, 0)
</f>
        <v>0</v>
      </c>
      <c r="N579" s="319">
        <f>IF(AND('Ações'!AT587="sim", 'Ações'!BF587="sim"), 1, 0)
</f>
        <v>0</v>
      </c>
      <c r="O579" s="319">
        <f>IF(AND('Ações'!AT587="sim", 'Ações'!BG587="sim"), 1, 0)
</f>
        <v>0</v>
      </c>
      <c r="P579" s="319">
        <f>IF(AND('Ações'!AT587="sim", 'Ações'!BH587="sim"), 1, 0)
</f>
        <v>0</v>
      </c>
      <c r="Q579" s="319">
        <f>IF(AND('Ações'!AT587="sim", 'Ações'!BI587="sim"), 1, 0)
</f>
        <v>0</v>
      </c>
      <c r="R579" s="319">
        <f>IF(AND('Ações'!AU587="sim", 'Ações'!BD587="sim"), 1, 0)
</f>
        <v>0</v>
      </c>
      <c r="S579" s="319">
        <f>IF(AND('Ações'!AU587="sim", 'Ações'!BE587="sim"), 1, 0)
</f>
        <v>0</v>
      </c>
      <c r="T579" s="319">
        <f>IF(AND('Ações'!AU587="sim", 'Ações'!BG587="sim"), 1, 0)
</f>
        <v>0</v>
      </c>
      <c r="U579" s="319">
        <f>IF(AND('Ações'!AU587="sim", 'Ações'!BH587="sim"), 1, 0)
</f>
        <v>0</v>
      </c>
      <c r="V579" s="319">
        <f>IF(AND('Ações'!AU587="sim", 'Ações'!BI587="sim"), 1, 0)
</f>
        <v>0</v>
      </c>
      <c r="W579" s="319">
        <f>IF(AND('Ações'!AV587="sim", 'Ações'!BD587="sim"), 1, 0)
</f>
        <v>1</v>
      </c>
      <c r="X579" s="319">
        <f>IF(AND('Ações'!AV587="sim", 'Ações'!BE587="sim"), 1, 0)
</f>
        <v>0</v>
      </c>
      <c r="Y579" s="319">
        <f>IF(AND('Ações'!AV587="sim", 'Ações'!BF587="sim"), 1, 0)
</f>
        <v>0</v>
      </c>
      <c r="Z579" s="319">
        <f>IF(AND('Ações'!AV587="sim", 'Ações'!BH587="sim"), 1, 0)
</f>
        <v>0</v>
      </c>
      <c r="AA579" s="319">
        <f>IF(AND('Ações'!AV587="sim", 'Ações'!BI587="sim"), 1, 0)
</f>
        <v>0</v>
      </c>
      <c r="AB579" s="319">
        <f>IF(AND('Ações'!AW587="sim", 'Ações'!BD587="sim"), 1, 0)
</f>
        <v>1</v>
      </c>
      <c r="AC579" s="319">
        <f>IF(AND('Ações'!AW587="sim", 'Ações'!BE587="sim"), 1, 0)
</f>
        <v>0</v>
      </c>
      <c r="AD579" s="319">
        <f>IF(AND('Ações'!AW587="sim", 'Ações'!BF587="sim"), 1, 0)
</f>
        <v>0</v>
      </c>
      <c r="AE579" s="319">
        <f>IF(AND('Ações'!AW587="sim", 'Ações'!BG587="sim"), 1, 0)
</f>
        <v>0</v>
      </c>
      <c r="AF579" s="319">
        <f>IF(AND('Ações'!AW587="sim", 'Ações'!BI587="sim"), 1, 0)
</f>
        <v>0</v>
      </c>
      <c r="AG579" s="319">
        <f>IF(AND('Ações'!AX587="sim", 'Ações'!BD587="sim"), 1, 0)
</f>
        <v>1</v>
      </c>
      <c r="AH579" s="319">
        <f>IF(AND('Ações'!AX587="sim", 'Ações'!BE587="sim"), 1, 0)
</f>
        <v>0</v>
      </c>
      <c r="AI579" s="319">
        <f>IF(AND('Ações'!AX587="sim", 'Ações'!BF587="sim"), 1, 0)
</f>
        <v>0</v>
      </c>
      <c r="AJ579" s="319">
        <f>IF(AND('Ações'!AX587="sim", 'Ações'!BG587="sim"), 1, 0)
</f>
        <v>0</v>
      </c>
      <c r="AK579" s="319">
        <f>IF(AND('Ações'!AX587="sim", 'Ações'!BH587="sim"), 1, 0)
</f>
        <v>0</v>
      </c>
    </row>
    <row r="580">
      <c r="B580" s="319">
        <f>IF(AND('Ações'!AS588="sim", 'Ações'!BD588="sim"), 1, 0)
</f>
        <v>0</v>
      </c>
      <c r="C580" s="319">
        <f>IF(AND('Ações'!AT588="sim", 'Ações'!BE588="sim"), 1, 0)
</f>
        <v>0</v>
      </c>
      <c r="D580" s="319">
        <f>IF(AND('Ações'!AU588="sim", 'Ações'!BF588="sim"), 1, 0)
</f>
        <v>0</v>
      </c>
      <c r="E580" s="319">
        <f>IF(AND('Ações'!AV588="sim", 'Ações'!BG588="sim"), 1, 0)
</f>
        <v>0</v>
      </c>
      <c r="F580" s="319">
        <f>IF(AND('Ações'!AW588="sim", 'Ações'!BH588="sim"), 1, 0)
</f>
        <v>0</v>
      </c>
      <c r="G580" s="319">
        <f>IF(AND('Ações'!AX588="sim", 'Ações'!BI588="sim"), 1, 0)
</f>
        <v>1</v>
      </c>
      <c r="H580" s="319">
        <f>IF(AND('Ações'!AS588="sim", 'Ações'!BE588="sim"), 1, 0)
</f>
        <v>0</v>
      </c>
      <c r="I580" s="319">
        <f>IF(AND('Ações'!AS588="sim", 'Ações'!BF588="sim"), 1, 0)
</f>
        <v>0</v>
      </c>
      <c r="J580" s="319">
        <f>IF(AND('Ações'!AS588="sim", 'Ações'!BG588="sim"), 1, 0)
</f>
        <v>0</v>
      </c>
      <c r="K580" s="319">
        <f>IF(AND('Ações'!AS588="sim", 'Ações'!BH588="sim"), 1, 0)
</f>
        <v>0</v>
      </c>
      <c r="L580" s="319">
        <f>IF(AND('Ações'!AS588="sim", 'Ações'!BI588="sim"), 1, 0)
</f>
        <v>0</v>
      </c>
      <c r="M580" s="319">
        <f>IF(AND('Ações'!AT588="sim", 'Ações'!BD588="sim"), 1, 0)
</f>
        <v>0</v>
      </c>
      <c r="N580" s="319">
        <f>IF(AND('Ações'!AT588="sim", 'Ações'!BF588="sim"), 1, 0)
</f>
        <v>0</v>
      </c>
      <c r="O580" s="319">
        <f>IF(AND('Ações'!AT588="sim", 'Ações'!BG588="sim"), 1, 0)
</f>
        <v>0</v>
      </c>
      <c r="P580" s="319">
        <f>IF(AND('Ações'!AT588="sim", 'Ações'!BH588="sim"), 1, 0)
</f>
        <v>0</v>
      </c>
      <c r="Q580" s="319">
        <f>IF(AND('Ações'!AT588="sim", 'Ações'!BI588="sim"), 1, 0)
</f>
        <v>0</v>
      </c>
      <c r="R580" s="319">
        <f>IF(AND('Ações'!AU588="sim", 'Ações'!BD588="sim"), 1, 0)
</f>
        <v>0</v>
      </c>
      <c r="S580" s="319">
        <f>IF(AND('Ações'!AU588="sim", 'Ações'!BE588="sim"), 1, 0)
</f>
        <v>0</v>
      </c>
      <c r="T580" s="319">
        <f>IF(AND('Ações'!AU588="sim", 'Ações'!BG588="sim"), 1, 0)
</f>
        <v>0</v>
      </c>
      <c r="U580" s="319">
        <f>IF(AND('Ações'!AU588="sim", 'Ações'!BH588="sim"), 1, 0)
</f>
        <v>0</v>
      </c>
      <c r="V580" s="319">
        <f>IF(AND('Ações'!AU588="sim", 'Ações'!BI588="sim"), 1, 0)
</f>
        <v>0</v>
      </c>
      <c r="W580" s="319">
        <f>IF(AND('Ações'!AV588="sim", 'Ações'!BD588="sim"), 1, 0)
</f>
        <v>0</v>
      </c>
      <c r="X580" s="319">
        <f>IF(AND('Ações'!AV588="sim", 'Ações'!BE588="sim"), 1, 0)
</f>
        <v>0</v>
      </c>
      <c r="Y580" s="319">
        <f>IF(AND('Ações'!AV588="sim", 'Ações'!BF588="sim"), 1, 0)
</f>
        <v>0</v>
      </c>
      <c r="Z580" s="319">
        <f>IF(AND('Ações'!AV588="sim", 'Ações'!BH588="sim"), 1, 0)
</f>
        <v>0</v>
      </c>
      <c r="AA580" s="319">
        <f>IF(AND('Ações'!AV588="sim", 'Ações'!BI588="sim"), 1, 0)
</f>
        <v>1</v>
      </c>
      <c r="AB580" s="319">
        <f>IF(AND('Ações'!AW588="sim", 'Ações'!BD588="sim"), 1, 0)
</f>
        <v>0</v>
      </c>
      <c r="AC580" s="319">
        <f>IF(AND('Ações'!AW588="sim", 'Ações'!BE588="sim"), 1, 0)
</f>
        <v>0</v>
      </c>
      <c r="AD580" s="319">
        <f>IF(AND('Ações'!AW588="sim", 'Ações'!BF588="sim"), 1, 0)
</f>
        <v>0</v>
      </c>
      <c r="AE580" s="319">
        <f>IF(AND('Ações'!AW588="sim", 'Ações'!BG588="sim"), 1, 0)
</f>
        <v>0</v>
      </c>
      <c r="AF580" s="319">
        <f>IF(AND('Ações'!AW588="sim", 'Ações'!BI588="sim"), 1, 0)
</f>
        <v>1</v>
      </c>
      <c r="AG580" s="319">
        <f>IF(AND('Ações'!AX588="sim", 'Ações'!BD588="sim"), 1, 0)
</f>
        <v>0</v>
      </c>
      <c r="AH580" s="319">
        <f>IF(AND('Ações'!AX588="sim", 'Ações'!BE588="sim"), 1, 0)
</f>
        <v>0</v>
      </c>
      <c r="AI580" s="319">
        <f>IF(AND('Ações'!AX588="sim", 'Ações'!BF588="sim"), 1, 0)
</f>
        <v>0</v>
      </c>
      <c r="AJ580" s="319">
        <f>IF(AND('Ações'!AX588="sim", 'Ações'!BG588="sim"), 1, 0)
</f>
        <v>0</v>
      </c>
      <c r="AK580" s="319">
        <f>IF(AND('Ações'!AX588="sim", 'Ações'!BH588="sim"), 1, 0)
</f>
        <v>0</v>
      </c>
    </row>
    <row r="581">
      <c r="B581" s="319">
        <f>IF(AND('Ações'!AS589="sim", 'Ações'!BD589="sim"), 1, 0)
</f>
        <v>0</v>
      </c>
      <c r="C581" s="319">
        <f>IF(AND('Ações'!AT589="sim", 'Ações'!BE589="sim"), 1, 0)
</f>
        <v>0</v>
      </c>
      <c r="D581" s="319">
        <f>IF(AND('Ações'!AU589="sim", 'Ações'!BF589="sim"), 1, 0)
</f>
        <v>0</v>
      </c>
      <c r="E581" s="319">
        <f>IF(AND('Ações'!AV589="sim", 'Ações'!BG589="sim"), 1, 0)
</f>
        <v>0</v>
      </c>
      <c r="F581" s="319">
        <f>IF(AND('Ações'!AW589="sim", 'Ações'!BH589="sim"), 1, 0)
</f>
        <v>0</v>
      </c>
      <c r="G581" s="319">
        <f>IF(AND('Ações'!AX589="sim", 'Ações'!BI589="sim"), 1, 0)
</f>
        <v>0</v>
      </c>
      <c r="H581" s="319">
        <f>IF(AND('Ações'!AS589="sim", 'Ações'!BE589="sim"), 1, 0)
</f>
        <v>0</v>
      </c>
      <c r="I581" s="319">
        <f>IF(AND('Ações'!AS589="sim", 'Ações'!BF589="sim"), 1, 0)
</f>
        <v>0</v>
      </c>
      <c r="J581" s="319">
        <f>IF(AND('Ações'!AS589="sim", 'Ações'!BG589="sim"), 1, 0)
</f>
        <v>0</v>
      </c>
      <c r="K581" s="319">
        <f>IF(AND('Ações'!AS589="sim", 'Ações'!BH589="sim"), 1, 0)
</f>
        <v>0</v>
      </c>
      <c r="L581" s="319">
        <f>IF(AND('Ações'!AS589="sim", 'Ações'!BI589="sim"), 1, 0)
</f>
        <v>0</v>
      </c>
      <c r="M581" s="319">
        <f>IF(AND('Ações'!AT589="sim", 'Ações'!BD589="sim"), 1, 0)
</f>
        <v>0</v>
      </c>
      <c r="N581" s="319">
        <f>IF(AND('Ações'!AT589="sim", 'Ações'!BF589="sim"), 1, 0)
</f>
        <v>0</v>
      </c>
      <c r="O581" s="319">
        <f>IF(AND('Ações'!AT589="sim", 'Ações'!BG589="sim"), 1, 0)
</f>
        <v>0</v>
      </c>
      <c r="P581" s="319">
        <f>IF(AND('Ações'!AT589="sim", 'Ações'!BH589="sim"), 1, 0)
</f>
        <v>0</v>
      </c>
      <c r="Q581" s="319">
        <f>IF(AND('Ações'!AT589="sim", 'Ações'!BI589="sim"), 1, 0)
</f>
        <v>0</v>
      </c>
      <c r="R581" s="319">
        <f>IF(AND('Ações'!AU589="sim", 'Ações'!BD589="sim"), 1, 0)
</f>
        <v>0</v>
      </c>
      <c r="S581" s="319">
        <f>IF(AND('Ações'!AU589="sim", 'Ações'!BE589="sim"), 1, 0)
</f>
        <v>0</v>
      </c>
      <c r="T581" s="319">
        <f>IF(AND('Ações'!AU589="sim", 'Ações'!BG589="sim"), 1, 0)
</f>
        <v>0</v>
      </c>
      <c r="U581" s="319">
        <f>IF(AND('Ações'!AU589="sim", 'Ações'!BH589="sim"), 1, 0)
</f>
        <v>0</v>
      </c>
      <c r="V581" s="319">
        <f>IF(AND('Ações'!AU589="sim", 'Ações'!BI589="sim"), 1, 0)
</f>
        <v>0</v>
      </c>
      <c r="W581" s="319">
        <f>IF(AND('Ações'!AV589="sim", 'Ações'!BD589="sim"), 1, 0)
</f>
        <v>1</v>
      </c>
      <c r="X581" s="319">
        <f>IF(AND('Ações'!AV589="sim", 'Ações'!BE589="sim"), 1, 0)
</f>
        <v>0</v>
      </c>
      <c r="Y581" s="319">
        <f>IF(AND('Ações'!AV589="sim", 'Ações'!BF589="sim"), 1, 0)
</f>
        <v>0</v>
      </c>
      <c r="Z581" s="319">
        <f>IF(AND('Ações'!AV589="sim", 'Ações'!BH589="sim"), 1, 0)
</f>
        <v>0</v>
      </c>
      <c r="AA581" s="319">
        <f>IF(AND('Ações'!AV589="sim", 'Ações'!BI589="sim"), 1, 0)
</f>
        <v>0</v>
      </c>
      <c r="AB581" s="319">
        <f>IF(AND('Ações'!AW589="sim", 'Ações'!BD589="sim"), 1, 0)
</f>
        <v>1</v>
      </c>
      <c r="AC581" s="319">
        <f>IF(AND('Ações'!AW589="sim", 'Ações'!BE589="sim"), 1, 0)
</f>
        <v>0</v>
      </c>
      <c r="AD581" s="319">
        <f>IF(AND('Ações'!AW589="sim", 'Ações'!BF589="sim"), 1, 0)
</f>
        <v>0</v>
      </c>
      <c r="AE581" s="319">
        <f>IF(AND('Ações'!AW589="sim", 'Ações'!BG589="sim"), 1, 0)
</f>
        <v>0</v>
      </c>
      <c r="AF581" s="319">
        <f>IF(AND('Ações'!AW589="sim", 'Ações'!BI589="sim"), 1, 0)
</f>
        <v>0</v>
      </c>
      <c r="AG581" s="319">
        <f>IF(AND('Ações'!AX589="sim", 'Ações'!BD589="sim"), 1, 0)
</f>
        <v>1</v>
      </c>
      <c r="AH581" s="319">
        <f>IF(AND('Ações'!AX589="sim", 'Ações'!BE589="sim"), 1, 0)
</f>
        <v>0</v>
      </c>
      <c r="AI581" s="319">
        <f>IF(AND('Ações'!AX589="sim", 'Ações'!BF589="sim"), 1, 0)
</f>
        <v>0</v>
      </c>
      <c r="AJ581" s="319">
        <f>IF(AND('Ações'!AX589="sim", 'Ações'!BG589="sim"), 1, 0)
</f>
        <v>0</v>
      </c>
      <c r="AK581" s="319">
        <f>IF(AND('Ações'!AX589="sim", 'Ações'!BH589="sim"), 1, 0)
</f>
        <v>0</v>
      </c>
    </row>
    <row r="582">
      <c r="B582" s="319">
        <f>IF(AND('Ações'!AS590="sim", 'Ações'!BD590="sim"), 1, 0)
</f>
        <v>0</v>
      </c>
      <c r="C582" s="319">
        <f>IF(AND('Ações'!AT590="sim", 'Ações'!BE590="sim"), 1, 0)
</f>
        <v>0</v>
      </c>
      <c r="D582" s="319">
        <f>IF(AND('Ações'!AU590="sim", 'Ações'!BF590="sim"), 1, 0)
</f>
        <v>0</v>
      </c>
      <c r="E582" s="319">
        <f>IF(AND('Ações'!AV590="sim", 'Ações'!BG590="sim"), 1, 0)
</f>
        <v>0</v>
      </c>
      <c r="F582" s="319">
        <f>IF(AND('Ações'!AW590="sim", 'Ações'!BH590="sim"), 1, 0)
</f>
        <v>0</v>
      </c>
      <c r="G582" s="319">
        <f>IF(AND('Ações'!AX590="sim", 'Ações'!BI590="sim"), 1, 0)
</f>
        <v>0</v>
      </c>
      <c r="H582" s="319">
        <f>IF(AND('Ações'!AS590="sim", 'Ações'!BE590="sim"), 1, 0)
</f>
        <v>0</v>
      </c>
      <c r="I582" s="319">
        <f>IF(AND('Ações'!AS590="sim", 'Ações'!BF590="sim"), 1, 0)
</f>
        <v>0</v>
      </c>
      <c r="J582" s="319">
        <f>IF(AND('Ações'!AS590="sim", 'Ações'!BG590="sim"), 1, 0)
</f>
        <v>0</v>
      </c>
      <c r="K582" s="319">
        <f>IF(AND('Ações'!AS590="sim", 'Ações'!BH590="sim"), 1, 0)
</f>
        <v>0</v>
      </c>
      <c r="L582" s="319">
        <f>IF(AND('Ações'!AS590="sim", 'Ações'!BI590="sim"), 1, 0)
</f>
        <v>0</v>
      </c>
      <c r="M582" s="319">
        <f>IF(AND('Ações'!AT590="sim", 'Ações'!BD590="sim"), 1, 0)
</f>
        <v>0</v>
      </c>
      <c r="N582" s="319">
        <f>IF(AND('Ações'!AT590="sim", 'Ações'!BF590="sim"), 1, 0)
</f>
        <v>0</v>
      </c>
      <c r="O582" s="319">
        <f>IF(AND('Ações'!AT590="sim", 'Ações'!BG590="sim"), 1, 0)
</f>
        <v>0</v>
      </c>
      <c r="P582" s="319">
        <f>IF(AND('Ações'!AT590="sim", 'Ações'!BH590="sim"), 1, 0)
</f>
        <v>0</v>
      </c>
      <c r="Q582" s="319">
        <f>IF(AND('Ações'!AT590="sim", 'Ações'!BI590="sim"), 1, 0)
</f>
        <v>0</v>
      </c>
      <c r="R582" s="319">
        <f>IF(AND('Ações'!AU590="sim", 'Ações'!BD590="sim"), 1, 0)
</f>
        <v>0</v>
      </c>
      <c r="S582" s="319">
        <f>IF(AND('Ações'!AU590="sim", 'Ações'!BE590="sim"), 1, 0)
</f>
        <v>0</v>
      </c>
      <c r="T582" s="319">
        <f>IF(AND('Ações'!AU590="sim", 'Ações'!BG590="sim"), 1, 0)
</f>
        <v>0</v>
      </c>
      <c r="U582" s="319">
        <f>IF(AND('Ações'!AU590="sim", 'Ações'!BH590="sim"), 1, 0)
</f>
        <v>0</v>
      </c>
      <c r="V582" s="319">
        <f>IF(AND('Ações'!AU590="sim", 'Ações'!BI590="sim"), 1, 0)
</f>
        <v>0</v>
      </c>
      <c r="W582" s="319">
        <f>IF(AND('Ações'!AV590="sim", 'Ações'!BD590="sim"), 1, 0)
</f>
        <v>1</v>
      </c>
      <c r="X582" s="319">
        <f>IF(AND('Ações'!AV590="sim", 'Ações'!BE590="sim"), 1, 0)
</f>
        <v>0</v>
      </c>
      <c r="Y582" s="319">
        <f>IF(AND('Ações'!AV590="sim", 'Ações'!BF590="sim"), 1, 0)
</f>
        <v>0</v>
      </c>
      <c r="Z582" s="319">
        <f>IF(AND('Ações'!AV590="sim", 'Ações'!BH590="sim"), 1, 0)
</f>
        <v>0</v>
      </c>
      <c r="AA582" s="319">
        <f>IF(AND('Ações'!AV590="sim", 'Ações'!BI590="sim"), 1, 0)
</f>
        <v>0</v>
      </c>
      <c r="AB582" s="319">
        <f>IF(AND('Ações'!AW590="sim", 'Ações'!BD590="sim"), 1, 0)
</f>
        <v>1</v>
      </c>
      <c r="AC582" s="319">
        <f>IF(AND('Ações'!AW590="sim", 'Ações'!BE590="sim"), 1, 0)
</f>
        <v>0</v>
      </c>
      <c r="AD582" s="319">
        <f>IF(AND('Ações'!AW590="sim", 'Ações'!BF590="sim"), 1, 0)
</f>
        <v>0</v>
      </c>
      <c r="AE582" s="319">
        <f>IF(AND('Ações'!AW590="sim", 'Ações'!BG590="sim"), 1, 0)
</f>
        <v>0</v>
      </c>
      <c r="AF582" s="319">
        <f>IF(AND('Ações'!AW590="sim", 'Ações'!BI590="sim"), 1, 0)
</f>
        <v>0</v>
      </c>
      <c r="AG582" s="319">
        <f>IF(AND('Ações'!AX590="sim", 'Ações'!BD590="sim"), 1, 0)
</f>
        <v>1</v>
      </c>
      <c r="AH582" s="319">
        <f>IF(AND('Ações'!AX590="sim", 'Ações'!BE590="sim"), 1, 0)
</f>
        <v>0</v>
      </c>
      <c r="AI582" s="319">
        <f>IF(AND('Ações'!AX590="sim", 'Ações'!BF590="sim"), 1, 0)
</f>
        <v>0</v>
      </c>
      <c r="AJ582" s="319">
        <f>IF(AND('Ações'!AX590="sim", 'Ações'!BG590="sim"), 1, 0)
</f>
        <v>0</v>
      </c>
      <c r="AK582" s="319">
        <f>IF(AND('Ações'!AX590="sim", 'Ações'!BH590="sim"), 1, 0)
</f>
        <v>0</v>
      </c>
    </row>
    <row r="583">
      <c r="B583" s="319">
        <f>IF(AND('Ações'!AS591="sim", 'Ações'!BD591="sim"), 1, 0)
</f>
        <v>0</v>
      </c>
      <c r="C583" s="319">
        <f>IF(AND('Ações'!AT591="sim", 'Ações'!BE591="sim"), 1, 0)
</f>
        <v>0</v>
      </c>
      <c r="D583" s="319">
        <f>IF(AND('Ações'!AU591="sim", 'Ações'!BF591="sim"), 1, 0)
</f>
        <v>0</v>
      </c>
      <c r="E583" s="319">
        <f>IF(AND('Ações'!AV591="sim", 'Ações'!BG591="sim"), 1, 0)
</f>
        <v>0</v>
      </c>
      <c r="F583" s="319">
        <f>IF(AND('Ações'!AW591="sim", 'Ações'!BH591="sim"), 1, 0)
</f>
        <v>0</v>
      </c>
      <c r="G583" s="319">
        <f>IF(AND('Ações'!AX591="sim", 'Ações'!BI591="sim"), 1, 0)
</f>
        <v>0</v>
      </c>
      <c r="H583" s="319">
        <f>IF(AND('Ações'!AS591="sim", 'Ações'!BE591="sim"), 1, 0)
</f>
        <v>0</v>
      </c>
      <c r="I583" s="319">
        <f>IF(AND('Ações'!AS591="sim", 'Ações'!BF591="sim"), 1, 0)
</f>
        <v>0</v>
      </c>
      <c r="J583" s="319">
        <f>IF(AND('Ações'!AS591="sim", 'Ações'!BG591="sim"), 1, 0)
</f>
        <v>0</v>
      </c>
      <c r="K583" s="319">
        <f>IF(AND('Ações'!AS591="sim", 'Ações'!BH591="sim"), 1, 0)
</f>
        <v>0</v>
      </c>
      <c r="L583" s="319">
        <f>IF(AND('Ações'!AS591="sim", 'Ações'!BI591="sim"), 1, 0)
</f>
        <v>0</v>
      </c>
      <c r="M583" s="319">
        <f>IF(AND('Ações'!AT591="sim", 'Ações'!BD591="sim"), 1, 0)
</f>
        <v>0</v>
      </c>
      <c r="N583" s="319">
        <f>IF(AND('Ações'!AT591="sim", 'Ações'!BF591="sim"), 1, 0)
</f>
        <v>0</v>
      </c>
      <c r="O583" s="319">
        <f>IF(AND('Ações'!AT591="sim", 'Ações'!BG591="sim"), 1, 0)
</f>
        <v>0</v>
      </c>
      <c r="P583" s="319">
        <f>IF(AND('Ações'!AT591="sim", 'Ações'!BH591="sim"), 1, 0)
</f>
        <v>0</v>
      </c>
      <c r="Q583" s="319">
        <f>IF(AND('Ações'!AT591="sim", 'Ações'!BI591="sim"), 1, 0)
</f>
        <v>0</v>
      </c>
      <c r="R583" s="319">
        <f>IF(AND('Ações'!AU591="sim", 'Ações'!BD591="sim"), 1, 0)
</f>
        <v>0</v>
      </c>
      <c r="S583" s="319">
        <f>IF(AND('Ações'!AU591="sim", 'Ações'!BE591="sim"), 1, 0)
</f>
        <v>0</v>
      </c>
      <c r="T583" s="319">
        <f>IF(AND('Ações'!AU591="sim", 'Ações'!BG591="sim"), 1, 0)
</f>
        <v>0</v>
      </c>
      <c r="U583" s="319">
        <f>IF(AND('Ações'!AU591="sim", 'Ações'!BH591="sim"), 1, 0)
</f>
        <v>0</v>
      </c>
      <c r="V583" s="319">
        <f>IF(AND('Ações'!AU591="sim", 'Ações'!BI591="sim"), 1, 0)
</f>
        <v>0</v>
      </c>
      <c r="W583" s="319">
        <f>IF(AND('Ações'!AV591="sim", 'Ações'!BD591="sim"), 1, 0)
</f>
        <v>1</v>
      </c>
      <c r="X583" s="319">
        <f>IF(AND('Ações'!AV591="sim", 'Ações'!BE591="sim"), 1, 0)
</f>
        <v>0</v>
      </c>
      <c r="Y583" s="319">
        <f>IF(AND('Ações'!AV591="sim", 'Ações'!BF591="sim"), 1, 0)
</f>
        <v>0</v>
      </c>
      <c r="Z583" s="319">
        <f>IF(AND('Ações'!AV591="sim", 'Ações'!BH591="sim"), 1, 0)
</f>
        <v>0</v>
      </c>
      <c r="AA583" s="319">
        <f>IF(AND('Ações'!AV591="sim", 'Ações'!BI591="sim"), 1, 0)
</f>
        <v>0</v>
      </c>
      <c r="AB583" s="319">
        <f>IF(AND('Ações'!AW591="sim", 'Ações'!BD591="sim"), 1, 0)
</f>
        <v>1</v>
      </c>
      <c r="AC583" s="319">
        <f>IF(AND('Ações'!AW591="sim", 'Ações'!BE591="sim"), 1, 0)
</f>
        <v>0</v>
      </c>
      <c r="AD583" s="319">
        <f>IF(AND('Ações'!AW591="sim", 'Ações'!BF591="sim"), 1, 0)
</f>
        <v>0</v>
      </c>
      <c r="AE583" s="319">
        <f>IF(AND('Ações'!AW591="sim", 'Ações'!BG591="sim"), 1, 0)
</f>
        <v>0</v>
      </c>
      <c r="AF583" s="319">
        <f>IF(AND('Ações'!AW591="sim", 'Ações'!BI591="sim"), 1, 0)
</f>
        <v>0</v>
      </c>
      <c r="AG583" s="319">
        <f>IF(AND('Ações'!AX591="sim", 'Ações'!BD591="sim"), 1, 0)
</f>
        <v>1</v>
      </c>
      <c r="AH583" s="319">
        <f>IF(AND('Ações'!AX591="sim", 'Ações'!BE591="sim"), 1, 0)
</f>
        <v>0</v>
      </c>
      <c r="AI583" s="319">
        <f>IF(AND('Ações'!AX591="sim", 'Ações'!BF591="sim"), 1, 0)
</f>
        <v>0</v>
      </c>
      <c r="AJ583" s="319">
        <f>IF(AND('Ações'!AX591="sim", 'Ações'!BG591="sim"), 1, 0)
</f>
        <v>0</v>
      </c>
      <c r="AK583" s="319">
        <f>IF(AND('Ações'!AX591="sim", 'Ações'!BH591="sim"), 1, 0)
</f>
        <v>0</v>
      </c>
    </row>
    <row r="584">
      <c r="B584" s="319">
        <f>IF(AND('Ações'!AS592="sim", 'Ações'!BD592="sim"), 1, 0)
</f>
        <v>0</v>
      </c>
      <c r="C584" s="319">
        <f>IF(AND('Ações'!AT592="sim", 'Ações'!BE592="sim"), 1, 0)
</f>
        <v>0</v>
      </c>
      <c r="D584" s="319">
        <f>IF(AND('Ações'!AU592="sim", 'Ações'!BF592="sim"), 1, 0)
</f>
        <v>0</v>
      </c>
      <c r="E584" s="319">
        <f>IF(AND('Ações'!AV592="sim", 'Ações'!BG592="sim"), 1, 0)
</f>
        <v>0</v>
      </c>
      <c r="F584" s="319">
        <f>IF(AND('Ações'!AW592="sim", 'Ações'!BH592="sim"), 1, 0)
</f>
        <v>0</v>
      </c>
      <c r="G584" s="319">
        <f>IF(AND('Ações'!AX592="sim", 'Ações'!BI592="sim"), 1, 0)
</f>
        <v>0</v>
      </c>
      <c r="H584" s="319">
        <f>IF(AND('Ações'!AS592="sim", 'Ações'!BE592="sim"), 1, 0)
</f>
        <v>0</v>
      </c>
      <c r="I584" s="319">
        <f>IF(AND('Ações'!AS592="sim", 'Ações'!BF592="sim"), 1, 0)
</f>
        <v>0</v>
      </c>
      <c r="J584" s="319">
        <f>IF(AND('Ações'!AS592="sim", 'Ações'!BG592="sim"), 1, 0)
</f>
        <v>0</v>
      </c>
      <c r="K584" s="319">
        <f>IF(AND('Ações'!AS592="sim", 'Ações'!BH592="sim"), 1, 0)
</f>
        <v>0</v>
      </c>
      <c r="L584" s="319">
        <f>IF(AND('Ações'!AS592="sim", 'Ações'!BI592="sim"), 1, 0)
</f>
        <v>0</v>
      </c>
      <c r="M584" s="319">
        <f>IF(AND('Ações'!AT592="sim", 'Ações'!BD592="sim"), 1, 0)
</f>
        <v>0</v>
      </c>
      <c r="N584" s="319">
        <f>IF(AND('Ações'!AT592="sim", 'Ações'!BF592="sim"), 1, 0)
</f>
        <v>0</v>
      </c>
      <c r="O584" s="319">
        <f>IF(AND('Ações'!AT592="sim", 'Ações'!BG592="sim"), 1, 0)
</f>
        <v>0</v>
      </c>
      <c r="P584" s="319">
        <f>IF(AND('Ações'!AT592="sim", 'Ações'!BH592="sim"), 1, 0)
</f>
        <v>0</v>
      </c>
      <c r="Q584" s="319">
        <f>IF(AND('Ações'!AT592="sim", 'Ações'!BI592="sim"), 1, 0)
</f>
        <v>0</v>
      </c>
      <c r="R584" s="319">
        <f>IF(AND('Ações'!AU592="sim", 'Ações'!BD592="sim"), 1, 0)
</f>
        <v>0</v>
      </c>
      <c r="S584" s="319">
        <f>IF(AND('Ações'!AU592="sim", 'Ações'!BE592="sim"), 1, 0)
</f>
        <v>0</v>
      </c>
      <c r="T584" s="319">
        <f>IF(AND('Ações'!AU592="sim", 'Ações'!BG592="sim"), 1, 0)
</f>
        <v>0</v>
      </c>
      <c r="U584" s="319">
        <f>IF(AND('Ações'!AU592="sim", 'Ações'!BH592="sim"), 1, 0)
</f>
        <v>0</v>
      </c>
      <c r="V584" s="319">
        <f>IF(AND('Ações'!AU592="sim", 'Ações'!BI592="sim"), 1, 0)
</f>
        <v>0</v>
      </c>
      <c r="W584" s="319">
        <f>IF(AND('Ações'!AV592="sim", 'Ações'!BD592="sim"), 1, 0)
</f>
        <v>1</v>
      </c>
      <c r="X584" s="319">
        <f>IF(AND('Ações'!AV592="sim", 'Ações'!BE592="sim"), 1, 0)
</f>
        <v>0</v>
      </c>
      <c r="Y584" s="319">
        <f>IF(AND('Ações'!AV592="sim", 'Ações'!BF592="sim"), 1, 0)
</f>
        <v>0</v>
      </c>
      <c r="Z584" s="319">
        <f>IF(AND('Ações'!AV592="sim", 'Ações'!BH592="sim"), 1, 0)
</f>
        <v>0</v>
      </c>
      <c r="AA584" s="319">
        <f>IF(AND('Ações'!AV592="sim", 'Ações'!BI592="sim"), 1, 0)
</f>
        <v>0</v>
      </c>
      <c r="AB584" s="319">
        <f>IF(AND('Ações'!AW592="sim", 'Ações'!BD592="sim"), 1, 0)
</f>
        <v>1</v>
      </c>
      <c r="AC584" s="319">
        <f>IF(AND('Ações'!AW592="sim", 'Ações'!BE592="sim"), 1, 0)
</f>
        <v>0</v>
      </c>
      <c r="AD584" s="319">
        <f>IF(AND('Ações'!AW592="sim", 'Ações'!BF592="sim"), 1, 0)
</f>
        <v>0</v>
      </c>
      <c r="AE584" s="319">
        <f>IF(AND('Ações'!AW592="sim", 'Ações'!BG592="sim"), 1, 0)
</f>
        <v>0</v>
      </c>
      <c r="AF584" s="319">
        <f>IF(AND('Ações'!AW592="sim", 'Ações'!BI592="sim"), 1, 0)
</f>
        <v>0</v>
      </c>
      <c r="AG584" s="319">
        <f>IF(AND('Ações'!AX592="sim", 'Ações'!BD592="sim"), 1, 0)
</f>
        <v>1</v>
      </c>
      <c r="AH584" s="319">
        <f>IF(AND('Ações'!AX592="sim", 'Ações'!BE592="sim"), 1, 0)
</f>
        <v>0</v>
      </c>
      <c r="AI584" s="319">
        <f>IF(AND('Ações'!AX592="sim", 'Ações'!BF592="sim"), 1, 0)
</f>
        <v>0</v>
      </c>
      <c r="AJ584" s="319">
        <f>IF(AND('Ações'!AX592="sim", 'Ações'!BG592="sim"), 1, 0)
</f>
        <v>0</v>
      </c>
      <c r="AK584" s="319">
        <f>IF(AND('Ações'!AX592="sim", 'Ações'!BH592="sim"), 1, 0)
</f>
        <v>0</v>
      </c>
    </row>
    <row r="585">
      <c r="B585" s="319">
        <f>IF(AND('Ações'!AS593="sim", 'Ações'!BD593="sim"), 1, 0)
</f>
        <v>0</v>
      </c>
      <c r="C585" s="319">
        <f>IF(AND('Ações'!AT593="sim", 'Ações'!BE593="sim"), 1, 0)
</f>
        <v>0</v>
      </c>
      <c r="D585" s="319">
        <f>IF(AND('Ações'!AU593="sim", 'Ações'!BF593="sim"), 1, 0)
</f>
        <v>0</v>
      </c>
      <c r="E585" s="319">
        <f>IF(AND('Ações'!AV593="sim", 'Ações'!BG593="sim"), 1, 0)
</f>
        <v>0</v>
      </c>
      <c r="F585" s="319">
        <f>IF(AND('Ações'!AW593="sim", 'Ações'!BH593="sim"), 1, 0)
</f>
        <v>0</v>
      </c>
      <c r="G585" s="319">
        <f>IF(AND('Ações'!AX593="sim", 'Ações'!BI593="sim"), 1, 0)
</f>
        <v>1</v>
      </c>
      <c r="H585" s="319">
        <f>IF(AND('Ações'!AS593="sim", 'Ações'!BE593="sim"), 1, 0)
</f>
        <v>0</v>
      </c>
      <c r="I585" s="319">
        <f>IF(AND('Ações'!AS593="sim", 'Ações'!BF593="sim"), 1, 0)
</f>
        <v>0</v>
      </c>
      <c r="J585" s="319">
        <f>IF(AND('Ações'!AS593="sim", 'Ações'!BG593="sim"), 1, 0)
</f>
        <v>0</v>
      </c>
      <c r="K585" s="319">
        <f>IF(AND('Ações'!AS593="sim", 'Ações'!BH593="sim"), 1, 0)
</f>
        <v>0</v>
      </c>
      <c r="L585" s="319">
        <f>IF(AND('Ações'!AS593="sim", 'Ações'!BI593="sim"), 1, 0)
</f>
        <v>0</v>
      </c>
      <c r="M585" s="319">
        <f>IF(AND('Ações'!AT593="sim", 'Ações'!BD593="sim"), 1, 0)
</f>
        <v>0</v>
      </c>
      <c r="N585" s="319">
        <f>IF(AND('Ações'!AT593="sim", 'Ações'!BF593="sim"), 1, 0)
</f>
        <v>0</v>
      </c>
      <c r="O585" s="319">
        <f>IF(AND('Ações'!AT593="sim", 'Ações'!BG593="sim"), 1, 0)
</f>
        <v>0</v>
      </c>
      <c r="P585" s="319">
        <f>IF(AND('Ações'!AT593="sim", 'Ações'!BH593="sim"), 1, 0)
</f>
        <v>0</v>
      </c>
      <c r="Q585" s="319">
        <f>IF(AND('Ações'!AT593="sim", 'Ações'!BI593="sim"), 1, 0)
</f>
        <v>0</v>
      </c>
      <c r="R585" s="319">
        <f>IF(AND('Ações'!AU593="sim", 'Ações'!BD593="sim"), 1, 0)
</f>
        <v>0</v>
      </c>
      <c r="S585" s="319">
        <f>IF(AND('Ações'!AU593="sim", 'Ações'!BE593="sim"), 1, 0)
</f>
        <v>0</v>
      </c>
      <c r="T585" s="319">
        <f>IF(AND('Ações'!AU593="sim", 'Ações'!BG593="sim"), 1, 0)
</f>
        <v>0</v>
      </c>
      <c r="U585" s="319">
        <f>IF(AND('Ações'!AU593="sim", 'Ações'!BH593="sim"), 1, 0)
</f>
        <v>0</v>
      </c>
      <c r="V585" s="319">
        <f>IF(AND('Ações'!AU593="sim", 'Ações'!BI593="sim"), 1, 0)
</f>
        <v>0</v>
      </c>
      <c r="W585" s="319">
        <f>IF(AND('Ações'!AV593="sim", 'Ações'!BD593="sim"), 1, 0)
</f>
        <v>0</v>
      </c>
      <c r="X585" s="319">
        <f>IF(AND('Ações'!AV593="sim", 'Ações'!BE593="sim"), 1, 0)
</f>
        <v>0</v>
      </c>
      <c r="Y585" s="319">
        <f>IF(AND('Ações'!AV593="sim", 'Ações'!BF593="sim"), 1, 0)
</f>
        <v>0</v>
      </c>
      <c r="Z585" s="319">
        <f>IF(AND('Ações'!AV593="sim", 'Ações'!BH593="sim"), 1, 0)
</f>
        <v>0</v>
      </c>
      <c r="AA585" s="319">
        <f>IF(AND('Ações'!AV593="sim", 'Ações'!BI593="sim"), 1, 0)
</f>
        <v>1</v>
      </c>
      <c r="AB585" s="319">
        <f>IF(AND('Ações'!AW593="sim", 'Ações'!BD593="sim"), 1, 0)
</f>
        <v>0</v>
      </c>
      <c r="AC585" s="319">
        <f>IF(AND('Ações'!AW593="sim", 'Ações'!BE593="sim"), 1, 0)
</f>
        <v>0</v>
      </c>
      <c r="AD585" s="319">
        <f>IF(AND('Ações'!AW593="sim", 'Ações'!BF593="sim"), 1, 0)
</f>
        <v>0</v>
      </c>
      <c r="AE585" s="319">
        <f>IF(AND('Ações'!AW593="sim", 'Ações'!BG593="sim"), 1, 0)
</f>
        <v>0</v>
      </c>
      <c r="AF585" s="319">
        <f>IF(AND('Ações'!AW593="sim", 'Ações'!BI593="sim"), 1, 0)
</f>
        <v>1</v>
      </c>
      <c r="AG585" s="319">
        <f>IF(AND('Ações'!AX593="sim", 'Ações'!BD593="sim"), 1, 0)
</f>
        <v>0</v>
      </c>
      <c r="AH585" s="319">
        <f>IF(AND('Ações'!AX593="sim", 'Ações'!BE593="sim"), 1, 0)
</f>
        <v>0</v>
      </c>
      <c r="AI585" s="319">
        <f>IF(AND('Ações'!AX593="sim", 'Ações'!BF593="sim"), 1, 0)
</f>
        <v>0</v>
      </c>
      <c r="AJ585" s="319">
        <f>IF(AND('Ações'!AX593="sim", 'Ações'!BG593="sim"), 1, 0)
</f>
        <v>0</v>
      </c>
      <c r="AK585" s="319">
        <f>IF(AND('Ações'!AX593="sim", 'Ações'!BH593="sim"), 1, 0)
</f>
        <v>0</v>
      </c>
    </row>
    <row r="586">
      <c r="B586" s="319">
        <f>IF(AND('Ações'!AS594="sim", 'Ações'!BD594="sim"), 1, 0)
</f>
        <v>0</v>
      </c>
      <c r="C586" s="319">
        <f>IF(AND('Ações'!AT594="sim", 'Ações'!BE594="sim"), 1, 0)
</f>
        <v>0</v>
      </c>
      <c r="D586" s="319">
        <f>IF(AND('Ações'!AU594="sim", 'Ações'!BF594="sim"), 1, 0)
</f>
        <v>0</v>
      </c>
      <c r="E586" s="319">
        <f>IF(AND('Ações'!AV594="sim", 'Ações'!BG594="sim"), 1, 0)
</f>
        <v>0</v>
      </c>
      <c r="F586" s="319">
        <f>IF(AND('Ações'!AW594="sim", 'Ações'!BH594="sim"), 1, 0)
</f>
        <v>0</v>
      </c>
      <c r="G586" s="319">
        <f>IF(AND('Ações'!AX594="sim", 'Ações'!BI594="sim"), 1, 0)
</f>
        <v>0</v>
      </c>
      <c r="H586" s="319">
        <f>IF(AND('Ações'!AS594="sim", 'Ações'!BE594="sim"), 1, 0)
</f>
        <v>0</v>
      </c>
      <c r="I586" s="319">
        <f>IF(AND('Ações'!AS594="sim", 'Ações'!BF594="sim"), 1, 0)
</f>
        <v>0</v>
      </c>
      <c r="J586" s="319">
        <f>IF(AND('Ações'!AS594="sim", 'Ações'!BG594="sim"), 1, 0)
</f>
        <v>0</v>
      </c>
      <c r="K586" s="319">
        <f>IF(AND('Ações'!AS594="sim", 'Ações'!BH594="sim"), 1, 0)
</f>
        <v>0</v>
      </c>
      <c r="L586" s="319">
        <f>IF(AND('Ações'!AS594="sim", 'Ações'!BI594="sim"), 1, 0)
</f>
        <v>0</v>
      </c>
      <c r="M586" s="319">
        <f>IF(AND('Ações'!AT594="sim", 'Ações'!BD594="sim"), 1, 0)
</f>
        <v>0</v>
      </c>
      <c r="N586" s="319">
        <f>IF(AND('Ações'!AT594="sim", 'Ações'!BF594="sim"), 1, 0)
</f>
        <v>0</v>
      </c>
      <c r="O586" s="319">
        <f>IF(AND('Ações'!AT594="sim", 'Ações'!BG594="sim"), 1, 0)
</f>
        <v>0</v>
      </c>
      <c r="P586" s="319">
        <f>IF(AND('Ações'!AT594="sim", 'Ações'!BH594="sim"), 1, 0)
</f>
        <v>0</v>
      </c>
      <c r="Q586" s="319">
        <f>IF(AND('Ações'!AT594="sim", 'Ações'!BI594="sim"), 1, 0)
</f>
        <v>0</v>
      </c>
      <c r="R586" s="319">
        <f>IF(AND('Ações'!AU594="sim", 'Ações'!BD594="sim"), 1, 0)
</f>
        <v>0</v>
      </c>
      <c r="S586" s="319">
        <f>IF(AND('Ações'!AU594="sim", 'Ações'!BE594="sim"), 1, 0)
</f>
        <v>0</v>
      </c>
      <c r="T586" s="319">
        <f>IF(AND('Ações'!AU594="sim", 'Ações'!BG594="sim"), 1, 0)
</f>
        <v>0</v>
      </c>
      <c r="U586" s="319">
        <f>IF(AND('Ações'!AU594="sim", 'Ações'!BH594="sim"), 1, 0)
</f>
        <v>0</v>
      </c>
      <c r="V586" s="319">
        <f>IF(AND('Ações'!AU594="sim", 'Ações'!BI594="sim"), 1, 0)
</f>
        <v>0</v>
      </c>
      <c r="W586" s="319">
        <f>IF(AND('Ações'!AV594="sim", 'Ações'!BD594="sim"), 1, 0)
</f>
        <v>1</v>
      </c>
      <c r="X586" s="319">
        <f>IF(AND('Ações'!AV594="sim", 'Ações'!BE594="sim"), 1, 0)
</f>
        <v>0</v>
      </c>
      <c r="Y586" s="319">
        <f>IF(AND('Ações'!AV594="sim", 'Ações'!BF594="sim"), 1, 0)
</f>
        <v>0</v>
      </c>
      <c r="Z586" s="319">
        <f>IF(AND('Ações'!AV594="sim", 'Ações'!BH594="sim"), 1, 0)
</f>
        <v>0</v>
      </c>
      <c r="AA586" s="319">
        <f>IF(AND('Ações'!AV594="sim", 'Ações'!BI594="sim"), 1, 0)
</f>
        <v>0</v>
      </c>
      <c r="AB586" s="319">
        <f>IF(AND('Ações'!AW594="sim", 'Ações'!BD594="sim"), 1, 0)
</f>
        <v>1</v>
      </c>
      <c r="AC586" s="319">
        <f>IF(AND('Ações'!AW594="sim", 'Ações'!BE594="sim"), 1, 0)
</f>
        <v>0</v>
      </c>
      <c r="AD586" s="319">
        <f>IF(AND('Ações'!AW594="sim", 'Ações'!BF594="sim"), 1, 0)
</f>
        <v>0</v>
      </c>
      <c r="AE586" s="319">
        <f>IF(AND('Ações'!AW594="sim", 'Ações'!BG594="sim"), 1, 0)
</f>
        <v>0</v>
      </c>
      <c r="AF586" s="319">
        <f>IF(AND('Ações'!AW594="sim", 'Ações'!BI594="sim"), 1, 0)
</f>
        <v>0</v>
      </c>
      <c r="AG586" s="319">
        <f>IF(AND('Ações'!AX594="sim", 'Ações'!BD594="sim"), 1, 0)
</f>
        <v>1</v>
      </c>
      <c r="AH586" s="319">
        <f>IF(AND('Ações'!AX594="sim", 'Ações'!BE594="sim"), 1, 0)
</f>
        <v>0</v>
      </c>
      <c r="AI586" s="319">
        <f>IF(AND('Ações'!AX594="sim", 'Ações'!BF594="sim"), 1, 0)
</f>
        <v>0</v>
      </c>
      <c r="AJ586" s="319">
        <f>IF(AND('Ações'!AX594="sim", 'Ações'!BG594="sim"), 1, 0)
</f>
        <v>0</v>
      </c>
      <c r="AK586" s="319">
        <f>IF(AND('Ações'!AX594="sim", 'Ações'!BH594="sim"), 1, 0)
</f>
        <v>0</v>
      </c>
    </row>
    <row r="587">
      <c r="B587" s="319">
        <f>IF(AND('Ações'!AS595="sim", 'Ações'!BD595="sim"), 1, 0)
</f>
        <v>0</v>
      </c>
      <c r="C587" s="319">
        <f>IF(AND('Ações'!AT595="sim", 'Ações'!BE595="sim"), 1, 0)
</f>
        <v>0</v>
      </c>
      <c r="D587" s="319">
        <f>IF(AND('Ações'!AU595="sim", 'Ações'!BF595="sim"), 1, 0)
</f>
        <v>0</v>
      </c>
      <c r="E587" s="319">
        <f>IF(AND('Ações'!AV595="sim", 'Ações'!BG595="sim"), 1, 0)
</f>
        <v>0</v>
      </c>
      <c r="F587" s="319">
        <f>IF(AND('Ações'!AW595="sim", 'Ações'!BH595="sim"), 1, 0)
</f>
        <v>0</v>
      </c>
      <c r="G587" s="319">
        <f>IF(AND('Ações'!AX595="sim", 'Ações'!BI595="sim"), 1, 0)
</f>
        <v>0</v>
      </c>
      <c r="H587" s="319">
        <f>IF(AND('Ações'!AS595="sim", 'Ações'!BE595="sim"), 1, 0)
</f>
        <v>0</v>
      </c>
      <c r="I587" s="319">
        <f>IF(AND('Ações'!AS595="sim", 'Ações'!BF595="sim"), 1, 0)
</f>
        <v>0</v>
      </c>
      <c r="J587" s="319">
        <f>IF(AND('Ações'!AS595="sim", 'Ações'!BG595="sim"), 1, 0)
</f>
        <v>0</v>
      </c>
      <c r="K587" s="319">
        <f>IF(AND('Ações'!AS595="sim", 'Ações'!BH595="sim"), 1, 0)
</f>
        <v>0</v>
      </c>
      <c r="L587" s="319">
        <f>IF(AND('Ações'!AS595="sim", 'Ações'!BI595="sim"), 1, 0)
</f>
        <v>0</v>
      </c>
      <c r="M587" s="319">
        <f>IF(AND('Ações'!AT595="sim", 'Ações'!BD595="sim"), 1, 0)
</f>
        <v>0</v>
      </c>
      <c r="N587" s="319">
        <f>IF(AND('Ações'!AT595="sim", 'Ações'!BF595="sim"), 1, 0)
</f>
        <v>0</v>
      </c>
      <c r="O587" s="319">
        <f>IF(AND('Ações'!AT595="sim", 'Ações'!BG595="sim"), 1, 0)
</f>
        <v>0</v>
      </c>
      <c r="P587" s="319">
        <f>IF(AND('Ações'!AT595="sim", 'Ações'!BH595="sim"), 1, 0)
</f>
        <v>0</v>
      </c>
      <c r="Q587" s="319">
        <f>IF(AND('Ações'!AT595="sim", 'Ações'!BI595="sim"), 1, 0)
</f>
        <v>0</v>
      </c>
      <c r="R587" s="319">
        <f>IF(AND('Ações'!AU595="sim", 'Ações'!BD595="sim"), 1, 0)
</f>
        <v>0</v>
      </c>
      <c r="S587" s="319">
        <f>IF(AND('Ações'!AU595="sim", 'Ações'!BE595="sim"), 1, 0)
</f>
        <v>0</v>
      </c>
      <c r="T587" s="319">
        <f>IF(AND('Ações'!AU595="sim", 'Ações'!BG595="sim"), 1, 0)
</f>
        <v>0</v>
      </c>
      <c r="U587" s="319">
        <f>IF(AND('Ações'!AU595="sim", 'Ações'!BH595="sim"), 1, 0)
</f>
        <v>0</v>
      </c>
      <c r="V587" s="319">
        <f>IF(AND('Ações'!AU595="sim", 'Ações'!BI595="sim"), 1, 0)
</f>
        <v>0</v>
      </c>
      <c r="W587" s="319">
        <f>IF(AND('Ações'!AV595="sim", 'Ações'!BD595="sim"), 1, 0)
</f>
        <v>1</v>
      </c>
      <c r="X587" s="319">
        <f>IF(AND('Ações'!AV595="sim", 'Ações'!BE595="sim"), 1, 0)
</f>
        <v>0</v>
      </c>
      <c r="Y587" s="319">
        <f>IF(AND('Ações'!AV595="sim", 'Ações'!BF595="sim"), 1, 0)
</f>
        <v>0</v>
      </c>
      <c r="Z587" s="319">
        <f>IF(AND('Ações'!AV595="sim", 'Ações'!BH595="sim"), 1, 0)
</f>
        <v>0</v>
      </c>
      <c r="AA587" s="319">
        <f>IF(AND('Ações'!AV595="sim", 'Ações'!BI595="sim"), 1, 0)
</f>
        <v>0</v>
      </c>
      <c r="AB587" s="319">
        <f>IF(AND('Ações'!AW595="sim", 'Ações'!BD595="sim"), 1, 0)
</f>
        <v>1</v>
      </c>
      <c r="AC587" s="319">
        <f>IF(AND('Ações'!AW595="sim", 'Ações'!BE595="sim"), 1, 0)
</f>
        <v>0</v>
      </c>
      <c r="AD587" s="319">
        <f>IF(AND('Ações'!AW595="sim", 'Ações'!BF595="sim"), 1, 0)
</f>
        <v>0</v>
      </c>
      <c r="AE587" s="319">
        <f>IF(AND('Ações'!AW595="sim", 'Ações'!BG595="sim"), 1, 0)
</f>
        <v>0</v>
      </c>
      <c r="AF587" s="319">
        <f>IF(AND('Ações'!AW595="sim", 'Ações'!BI595="sim"), 1, 0)
</f>
        <v>0</v>
      </c>
      <c r="AG587" s="319">
        <f>IF(AND('Ações'!AX595="sim", 'Ações'!BD595="sim"), 1, 0)
</f>
        <v>1</v>
      </c>
      <c r="AH587" s="319">
        <f>IF(AND('Ações'!AX595="sim", 'Ações'!BE595="sim"), 1, 0)
</f>
        <v>0</v>
      </c>
      <c r="AI587" s="319">
        <f>IF(AND('Ações'!AX595="sim", 'Ações'!BF595="sim"), 1, 0)
</f>
        <v>0</v>
      </c>
      <c r="AJ587" s="319">
        <f>IF(AND('Ações'!AX595="sim", 'Ações'!BG595="sim"), 1, 0)
</f>
        <v>0</v>
      </c>
      <c r="AK587" s="319">
        <f>IF(AND('Ações'!AX595="sim", 'Ações'!BH595="sim"), 1, 0)
</f>
        <v>0</v>
      </c>
    </row>
    <row r="588">
      <c r="B588" s="319">
        <f>IF(AND('Ações'!AS596="sim", 'Ações'!BD596="sim"), 1, 0)
</f>
        <v>0</v>
      </c>
      <c r="C588" s="319">
        <f>IF(AND('Ações'!AT596="sim", 'Ações'!BE596="sim"), 1, 0)
</f>
        <v>0</v>
      </c>
      <c r="D588" s="319">
        <f>IF(AND('Ações'!AU596="sim", 'Ações'!BF596="sim"), 1, 0)
</f>
        <v>0</v>
      </c>
      <c r="E588" s="319">
        <f>IF(AND('Ações'!AV596="sim", 'Ações'!BG596="sim"), 1, 0)
</f>
        <v>0</v>
      </c>
      <c r="F588" s="319">
        <f>IF(AND('Ações'!AW596="sim", 'Ações'!BH596="sim"), 1, 0)
</f>
        <v>0</v>
      </c>
      <c r="G588" s="319">
        <f>IF(AND('Ações'!AX596="sim", 'Ações'!BI596="sim"), 1, 0)
</f>
        <v>0</v>
      </c>
      <c r="H588" s="319">
        <f>IF(AND('Ações'!AS596="sim", 'Ações'!BE596="sim"), 1, 0)
</f>
        <v>0</v>
      </c>
      <c r="I588" s="319">
        <f>IF(AND('Ações'!AS596="sim", 'Ações'!BF596="sim"), 1, 0)
</f>
        <v>0</v>
      </c>
      <c r="J588" s="319">
        <f>IF(AND('Ações'!AS596="sim", 'Ações'!BG596="sim"), 1, 0)
</f>
        <v>0</v>
      </c>
      <c r="K588" s="319">
        <f>IF(AND('Ações'!AS596="sim", 'Ações'!BH596="sim"), 1, 0)
</f>
        <v>0</v>
      </c>
      <c r="L588" s="319">
        <f>IF(AND('Ações'!AS596="sim", 'Ações'!BI596="sim"), 1, 0)
</f>
        <v>0</v>
      </c>
      <c r="M588" s="319">
        <f>IF(AND('Ações'!AT596="sim", 'Ações'!BD596="sim"), 1, 0)
</f>
        <v>0</v>
      </c>
      <c r="N588" s="319">
        <f>IF(AND('Ações'!AT596="sim", 'Ações'!BF596="sim"), 1, 0)
</f>
        <v>0</v>
      </c>
      <c r="O588" s="319">
        <f>IF(AND('Ações'!AT596="sim", 'Ações'!BG596="sim"), 1, 0)
</f>
        <v>0</v>
      </c>
      <c r="P588" s="319">
        <f>IF(AND('Ações'!AT596="sim", 'Ações'!BH596="sim"), 1, 0)
</f>
        <v>0</v>
      </c>
      <c r="Q588" s="319">
        <f>IF(AND('Ações'!AT596="sim", 'Ações'!BI596="sim"), 1, 0)
</f>
        <v>0</v>
      </c>
      <c r="R588" s="319">
        <f>IF(AND('Ações'!AU596="sim", 'Ações'!BD596="sim"), 1, 0)
</f>
        <v>0</v>
      </c>
      <c r="S588" s="319">
        <f>IF(AND('Ações'!AU596="sim", 'Ações'!BE596="sim"), 1, 0)
</f>
        <v>0</v>
      </c>
      <c r="T588" s="319">
        <f>IF(AND('Ações'!AU596="sim", 'Ações'!BG596="sim"), 1, 0)
</f>
        <v>0</v>
      </c>
      <c r="U588" s="319">
        <f>IF(AND('Ações'!AU596="sim", 'Ações'!BH596="sim"), 1, 0)
</f>
        <v>0</v>
      </c>
      <c r="V588" s="319">
        <f>IF(AND('Ações'!AU596="sim", 'Ações'!BI596="sim"), 1, 0)
</f>
        <v>0</v>
      </c>
      <c r="W588" s="319">
        <f>IF(AND('Ações'!AV596="sim", 'Ações'!BD596="sim"), 1, 0)
</f>
        <v>1</v>
      </c>
      <c r="X588" s="319">
        <f>IF(AND('Ações'!AV596="sim", 'Ações'!BE596="sim"), 1, 0)
</f>
        <v>0</v>
      </c>
      <c r="Y588" s="319">
        <f>IF(AND('Ações'!AV596="sim", 'Ações'!BF596="sim"), 1, 0)
</f>
        <v>0</v>
      </c>
      <c r="Z588" s="319">
        <f>IF(AND('Ações'!AV596="sim", 'Ações'!BH596="sim"), 1, 0)
</f>
        <v>0</v>
      </c>
      <c r="AA588" s="319">
        <f>IF(AND('Ações'!AV596="sim", 'Ações'!BI596="sim"), 1, 0)
</f>
        <v>0</v>
      </c>
      <c r="AB588" s="319">
        <f>IF(AND('Ações'!AW596="sim", 'Ações'!BD596="sim"), 1, 0)
</f>
        <v>1</v>
      </c>
      <c r="AC588" s="319">
        <f>IF(AND('Ações'!AW596="sim", 'Ações'!BE596="sim"), 1, 0)
</f>
        <v>0</v>
      </c>
      <c r="AD588" s="319">
        <f>IF(AND('Ações'!AW596="sim", 'Ações'!BF596="sim"), 1, 0)
</f>
        <v>0</v>
      </c>
      <c r="AE588" s="319">
        <f>IF(AND('Ações'!AW596="sim", 'Ações'!BG596="sim"), 1, 0)
</f>
        <v>0</v>
      </c>
      <c r="AF588" s="319">
        <f>IF(AND('Ações'!AW596="sim", 'Ações'!BI596="sim"), 1, 0)
</f>
        <v>0</v>
      </c>
      <c r="AG588" s="319">
        <f>IF(AND('Ações'!AX596="sim", 'Ações'!BD596="sim"), 1, 0)
</f>
        <v>1</v>
      </c>
      <c r="AH588" s="319">
        <f>IF(AND('Ações'!AX596="sim", 'Ações'!BE596="sim"), 1, 0)
</f>
        <v>0</v>
      </c>
      <c r="AI588" s="319">
        <f>IF(AND('Ações'!AX596="sim", 'Ações'!BF596="sim"), 1, 0)
</f>
        <v>0</v>
      </c>
      <c r="AJ588" s="319">
        <f>IF(AND('Ações'!AX596="sim", 'Ações'!BG596="sim"), 1, 0)
</f>
        <v>0</v>
      </c>
      <c r="AK588" s="319">
        <f>IF(AND('Ações'!AX596="sim", 'Ações'!BH596="sim"), 1, 0)
</f>
        <v>0</v>
      </c>
    </row>
    <row r="589">
      <c r="B589" s="319">
        <f>IF(AND('Ações'!AS597="sim", 'Ações'!BD597="sim"), 1, 0)
</f>
        <v>0</v>
      </c>
      <c r="C589" s="319">
        <f>IF(AND('Ações'!AT597="sim", 'Ações'!BE597="sim"), 1, 0)
</f>
        <v>0</v>
      </c>
      <c r="D589" s="319">
        <f>IF(AND('Ações'!AU597="sim", 'Ações'!BF597="sim"), 1, 0)
</f>
        <v>0</v>
      </c>
      <c r="E589" s="319">
        <f>IF(AND('Ações'!AV597="sim", 'Ações'!BG597="sim"), 1, 0)
</f>
        <v>0</v>
      </c>
      <c r="F589" s="319">
        <f>IF(AND('Ações'!AW597="sim", 'Ações'!BH597="sim"), 1, 0)
</f>
        <v>0</v>
      </c>
      <c r="G589" s="319">
        <f>IF(AND('Ações'!AX597="sim", 'Ações'!BI597="sim"), 1, 0)
</f>
        <v>1</v>
      </c>
      <c r="H589" s="319">
        <f>IF(AND('Ações'!AS597="sim", 'Ações'!BE597="sim"), 1, 0)
</f>
        <v>0</v>
      </c>
      <c r="I589" s="319">
        <f>IF(AND('Ações'!AS597="sim", 'Ações'!BF597="sim"), 1, 0)
</f>
        <v>0</v>
      </c>
      <c r="J589" s="319">
        <f>IF(AND('Ações'!AS597="sim", 'Ações'!BG597="sim"), 1, 0)
</f>
        <v>0</v>
      </c>
      <c r="K589" s="319">
        <f>IF(AND('Ações'!AS597="sim", 'Ações'!BH597="sim"), 1, 0)
</f>
        <v>0</v>
      </c>
      <c r="L589" s="319">
        <f>IF(AND('Ações'!AS597="sim", 'Ações'!BI597="sim"), 1, 0)
</f>
        <v>0</v>
      </c>
      <c r="M589" s="319">
        <f>IF(AND('Ações'!AT597="sim", 'Ações'!BD597="sim"), 1, 0)
</f>
        <v>0</v>
      </c>
      <c r="N589" s="319">
        <f>IF(AND('Ações'!AT597="sim", 'Ações'!BF597="sim"), 1, 0)
</f>
        <v>0</v>
      </c>
      <c r="O589" s="319">
        <f>IF(AND('Ações'!AT597="sim", 'Ações'!BG597="sim"), 1, 0)
</f>
        <v>0</v>
      </c>
      <c r="P589" s="319">
        <f>IF(AND('Ações'!AT597="sim", 'Ações'!BH597="sim"), 1, 0)
</f>
        <v>0</v>
      </c>
      <c r="Q589" s="319">
        <f>IF(AND('Ações'!AT597="sim", 'Ações'!BI597="sim"), 1, 0)
</f>
        <v>0</v>
      </c>
      <c r="R589" s="319">
        <f>IF(AND('Ações'!AU597="sim", 'Ações'!BD597="sim"), 1, 0)
</f>
        <v>0</v>
      </c>
      <c r="S589" s="319">
        <f>IF(AND('Ações'!AU597="sim", 'Ações'!BE597="sim"), 1, 0)
</f>
        <v>0</v>
      </c>
      <c r="T589" s="319">
        <f>IF(AND('Ações'!AU597="sim", 'Ações'!BG597="sim"), 1, 0)
</f>
        <v>0</v>
      </c>
      <c r="U589" s="319">
        <f>IF(AND('Ações'!AU597="sim", 'Ações'!BH597="sim"), 1, 0)
</f>
        <v>0</v>
      </c>
      <c r="V589" s="319">
        <f>IF(AND('Ações'!AU597="sim", 'Ações'!BI597="sim"), 1, 0)
</f>
        <v>0</v>
      </c>
      <c r="W589" s="319">
        <f>IF(AND('Ações'!AV597="sim", 'Ações'!BD597="sim"), 1, 0)
</f>
        <v>0</v>
      </c>
      <c r="X589" s="319">
        <f>IF(AND('Ações'!AV597="sim", 'Ações'!BE597="sim"), 1, 0)
</f>
        <v>0</v>
      </c>
      <c r="Y589" s="319">
        <f>IF(AND('Ações'!AV597="sim", 'Ações'!BF597="sim"), 1, 0)
</f>
        <v>0</v>
      </c>
      <c r="Z589" s="319">
        <f>IF(AND('Ações'!AV597="sim", 'Ações'!BH597="sim"), 1, 0)
</f>
        <v>0</v>
      </c>
      <c r="AA589" s="319">
        <f>IF(AND('Ações'!AV597="sim", 'Ações'!BI597="sim"), 1, 0)
</f>
        <v>1</v>
      </c>
      <c r="AB589" s="319">
        <f>IF(AND('Ações'!AW597="sim", 'Ações'!BD597="sim"), 1, 0)
</f>
        <v>0</v>
      </c>
      <c r="AC589" s="319">
        <f>IF(AND('Ações'!AW597="sim", 'Ações'!BE597="sim"), 1, 0)
</f>
        <v>0</v>
      </c>
      <c r="AD589" s="319">
        <f>IF(AND('Ações'!AW597="sim", 'Ações'!BF597="sim"), 1, 0)
</f>
        <v>0</v>
      </c>
      <c r="AE589" s="319">
        <f>IF(AND('Ações'!AW597="sim", 'Ações'!BG597="sim"), 1, 0)
</f>
        <v>0</v>
      </c>
      <c r="AF589" s="319">
        <f>IF(AND('Ações'!AW597="sim", 'Ações'!BI597="sim"), 1, 0)
</f>
        <v>1</v>
      </c>
      <c r="AG589" s="319">
        <f>IF(AND('Ações'!AX597="sim", 'Ações'!BD597="sim"), 1, 0)
</f>
        <v>0</v>
      </c>
      <c r="AH589" s="319">
        <f>IF(AND('Ações'!AX597="sim", 'Ações'!BE597="sim"), 1, 0)
</f>
        <v>0</v>
      </c>
      <c r="AI589" s="319">
        <f>IF(AND('Ações'!AX597="sim", 'Ações'!BF597="sim"), 1, 0)
</f>
        <v>0</v>
      </c>
      <c r="AJ589" s="319">
        <f>IF(AND('Ações'!AX597="sim", 'Ações'!BG597="sim"), 1, 0)
</f>
        <v>0</v>
      </c>
      <c r="AK589" s="319">
        <f>IF(AND('Ações'!AX597="sim", 'Ações'!BH597="sim"), 1, 0)
</f>
        <v>0</v>
      </c>
    </row>
    <row r="590">
      <c r="B590" s="319">
        <f>IF(AND('Ações'!AS598="sim", 'Ações'!BD598="sim"), 1, 0)
</f>
        <v>0</v>
      </c>
      <c r="C590" s="319">
        <f>IF(AND('Ações'!AT598="sim", 'Ações'!BE598="sim"), 1, 0)
</f>
        <v>0</v>
      </c>
      <c r="D590" s="319">
        <f>IF(AND('Ações'!AU598="sim", 'Ações'!BF598="sim"), 1, 0)
</f>
        <v>0</v>
      </c>
      <c r="E590" s="319">
        <f>IF(AND('Ações'!AV598="sim", 'Ações'!BG598="sim"), 1, 0)
</f>
        <v>0</v>
      </c>
      <c r="F590" s="319">
        <f>IF(AND('Ações'!AW598="sim", 'Ações'!BH598="sim"), 1, 0)
</f>
        <v>0</v>
      </c>
      <c r="G590" s="319">
        <f>IF(AND('Ações'!AX598="sim", 'Ações'!BI598="sim"), 1, 0)
</f>
        <v>1</v>
      </c>
      <c r="H590" s="319">
        <f>IF(AND('Ações'!AS598="sim", 'Ações'!BE598="sim"), 1, 0)
</f>
        <v>0</v>
      </c>
      <c r="I590" s="319">
        <f>IF(AND('Ações'!AS598="sim", 'Ações'!BF598="sim"), 1, 0)
</f>
        <v>0</v>
      </c>
      <c r="J590" s="319">
        <f>IF(AND('Ações'!AS598="sim", 'Ações'!BG598="sim"), 1, 0)
</f>
        <v>0</v>
      </c>
      <c r="K590" s="319">
        <f>IF(AND('Ações'!AS598="sim", 'Ações'!BH598="sim"), 1, 0)
</f>
        <v>0</v>
      </c>
      <c r="L590" s="319">
        <f>IF(AND('Ações'!AS598="sim", 'Ações'!BI598="sim"), 1, 0)
</f>
        <v>0</v>
      </c>
      <c r="M590" s="319">
        <f>IF(AND('Ações'!AT598="sim", 'Ações'!BD598="sim"), 1, 0)
</f>
        <v>0</v>
      </c>
      <c r="N590" s="319">
        <f>IF(AND('Ações'!AT598="sim", 'Ações'!BF598="sim"), 1, 0)
</f>
        <v>0</v>
      </c>
      <c r="O590" s="319">
        <f>IF(AND('Ações'!AT598="sim", 'Ações'!BG598="sim"), 1, 0)
</f>
        <v>0</v>
      </c>
      <c r="P590" s="319">
        <f>IF(AND('Ações'!AT598="sim", 'Ações'!BH598="sim"), 1, 0)
</f>
        <v>0</v>
      </c>
      <c r="Q590" s="319">
        <f>IF(AND('Ações'!AT598="sim", 'Ações'!BI598="sim"), 1, 0)
</f>
        <v>0</v>
      </c>
      <c r="R590" s="319">
        <f>IF(AND('Ações'!AU598="sim", 'Ações'!BD598="sim"), 1, 0)
</f>
        <v>0</v>
      </c>
      <c r="S590" s="319">
        <f>IF(AND('Ações'!AU598="sim", 'Ações'!BE598="sim"), 1, 0)
</f>
        <v>0</v>
      </c>
      <c r="T590" s="319">
        <f>IF(AND('Ações'!AU598="sim", 'Ações'!BG598="sim"), 1, 0)
</f>
        <v>0</v>
      </c>
      <c r="U590" s="319">
        <f>IF(AND('Ações'!AU598="sim", 'Ações'!BH598="sim"), 1, 0)
</f>
        <v>0</v>
      </c>
      <c r="V590" s="319">
        <f>IF(AND('Ações'!AU598="sim", 'Ações'!BI598="sim"), 1, 0)
</f>
        <v>0</v>
      </c>
      <c r="W590" s="319">
        <f>IF(AND('Ações'!AV598="sim", 'Ações'!BD598="sim"), 1, 0)
</f>
        <v>0</v>
      </c>
      <c r="X590" s="319">
        <f>IF(AND('Ações'!AV598="sim", 'Ações'!BE598="sim"), 1, 0)
</f>
        <v>0</v>
      </c>
      <c r="Y590" s="319">
        <f>IF(AND('Ações'!AV598="sim", 'Ações'!BF598="sim"), 1, 0)
</f>
        <v>0</v>
      </c>
      <c r="Z590" s="319">
        <f>IF(AND('Ações'!AV598="sim", 'Ações'!BH598="sim"), 1, 0)
</f>
        <v>0</v>
      </c>
      <c r="AA590" s="319">
        <f>IF(AND('Ações'!AV598="sim", 'Ações'!BI598="sim"), 1, 0)
</f>
        <v>1</v>
      </c>
      <c r="AB590" s="319">
        <f>IF(AND('Ações'!AW598="sim", 'Ações'!BD598="sim"), 1, 0)
</f>
        <v>0</v>
      </c>
      <c r="AC590" s="319">
        <f>IF(AND('Ações'!AW598="sim", 'Ações'!BE598="sim"), 1, 0)
</f>
        <v>0</v>
      </c>
      <c r="AD590" s="319">
        <f>IF(AND('Ações'!AW598="sim", 'Ações'!BF598="sim"), 1, 0)
</f>
        <v>0</v>
      </c>
      <c r="AE590" s="319">
        <f>IF(AND('Ações'!AW598="sim", 'Ações'!BG598="sim"), 1, 0)
</f>
        <v>0</v>
      </c>
      <c r="AF590" s="319">
        <f>IF(AND('Ações'!AW598="sim", 'Ações'!BI598="sim"), 1, 0)
</f>
        <v>1</v>
      </c>
      <c r="AG590" s="319">
        <f>IF(AND('Ações'!AX598="sim", 'Ações'!BD598="sim"), 1, 0)
</f>
        <v>0</v>
      </c>
      <c r="AH590" s="319">
        <f>IF(AND('Ações'!AX598="sim", 'Ações'!BE598="sim"), 1, 0)
</f>
        <v>0</v>
      </c>
      <c r="AI590" s="319">
        <f>IF(AND('Ações'!AX598="sim", 'Ações'!BF598="sim"), 1, 0)
</f>
        <v>0</v>
      </c>
      <c r="AJ590" s="319">
        <f>IF(AND('Ações'!AX598="sim", 'Ações'!BG598="sim"), 1, 0)
</f>
        <v>0</v>
      </c>
      <c r="AK590" s="319">
        <f>IF(AND('Ações'!AX598="sim", 'Ações'!BH598="sim"), 1, 0)
</f>
        <v>0</v>
      </c>
    </row>
    <row r="591">
      <c r="B591" s="319">
        <f>IF(AND('Ações'!AS599="sim", 'Ações'!BD599="sim"), 1, 0)
</f>
        <v>0</v>
      </c>
      <c r="C591" s="319">
        <f>IF(AND('Ações'!AT599="sim", 'Ações'!BE599="sim"), 1, 0)
</f>
        <v>0</v>
      </c>
      <c r="D591" s="319">
        <f>IF(AND('Ações'!AU599="sim", 'Ações'!BF599="sim"), 1, 0)
</f>
        <v>0</v>
      </c>
      <c r="E591" s="319">
        <f>IF(AND('Ações'!AV599="sim", 'Ações'!BG599="sim"), 1, 0)
</f>
        <v>0</v>
      </c>
      <c r="F591" s="319">
        <f>IF(AND('Ações'!AW599="sim", 'Ações'!BH599="sim"), 1, 0)
</f>
        <v>0</v>
      </c>
      <c r="G591" s="319">
        <f>IF(AND('Ações'!AX599="sim", 'Ações'!BI599="sim"), 1, 0)
</f>
        <v>1</v>
      </c>
      <c r="H591" s="319">
        <f>IF(AND('Ações'!AS599="sim", 'Ações'!BE599="sim"), 1, 0)
</f>
        <v>0</v>
      </c>
      <c r="I591" s="319">
        <f>IF(AND('Ações'!AS599="sim", 'Ações'!BF599="sim"), 1, 0)
</f>
        <v>0</v>
      </c>
      <c r="J591" s="319">
        <f>IF(AND('Ações'!AS599="sim", 'Ações'!BG599="sim"), 1, 0)
</f>
        <v>0</v>
      </c>
      <c r="K591" s="319">
        <f>IF(AND('Ações'!AS599="sim", 'Ações'!BH599="sim"), 1, 0)
</f>
        <v>0</v>
      </c>
      <c r="L591" s="319">
        <f>IF(AND('Ações'!AS599="sim", 'Ações'!BI599="sim"), 1, 0)
</f>
        <v>0</v>
      </c>
      <c r="M591" s="319">
        <f>IF(AND('Ações'!AT599="sim", 'Ações'!BD599="sim"), 1, 0)
</f>
        <v>0</v>
      </c>
      <c r="N591" s="319">
        <f>IF(AND('Ações'!AT599="sim", 'Ações'!BF599="sim"), 1, 0)
</f>
        <v>0</v>
      </c>
      <c r="O591" s="319">
        <f>IF(AND('Ações'!AT599="sim", 'Ações'!BG599="sim"), 1, 0)
</f>
        <v>0</v>
      </c>
      <c r="P591" s="319">
        <f>IF(AND('Ações'!AT599="sim", 'Ações'!BH599="sim"), 1, 0)
</f>
        <v>0</v>
      </c>
      <c r="Q591" s="319">
        <f>IF(AND('Ações'!AT599="sim", 'Ações'!BI599="sim"), 1, 0)
</f>
        <v>0</v>
      </c>
      <c r="R591" s="319">
        <f>IF(AND('Ações'!AU599="sim", 'Ações'!BD599="sim"), 1, 0)
</f>
        <v>0</v>
      </c>
      <c r="S591" s="319">
        <f>IF(AND('Ações'!AU599="sim", 'Ações'!BE599="sim"), 1, 0)
</f>
        <v>0</v>
      </c>
      <c r="T591" s="319">
        <f>IF(AND('Ações'!AU599="sim", 'Ações'!BG599="sim"), 1, 0)
</f>
        <v>0</v>
      </c>
      <c r="U591" s="319">
        <f>IF(AND('Ações'!AU599="sim", 'Ações'!BH599="sim"), 1, 0)
</f>
        <v>0</v>
      </c>
      <c r="V591" s="319">
        <f>IF(AND('Ações'!AU599="sim", 'Ações'!BI599="sim"), 1, 0)
</f>
        <v>0</v>
      </c>
      <c r="W591" s="319">
        <f>IF(AND('Ações'!AV599="sim", 'Ações'!BD599="sim"), 1, 0)
</f>
        <v>0</v>
      </c>
      <c r="X591" s="319">
        <f>IF(AND('Ações'!AV599="sim", 'Ações'!BE599="sim"), 1, 0)
</f>
        <v>0</v>
      </c>
      <c r="Y591" s="319">
        <f>IF(AND('Ações'!AV599="sim", 'Ações'!BF599="sim"), 1, 0)
</f>
        <v>0</v>
      </c>
      <c r="Z591" s="319">
        <f>IF(AND('Ações'!AV599="sim", 'Ações'!BH599="sim"), 1, 0)
</f>
        <v>0</v>
      </c>
      <c r="AA591" s="319">
        <f>IF(AND('Ações'!AV599="sim", 'Ações'!BI599="sim"), 1, 0)
</f>
        <v>1</v>
      </c>
      <c r="AB591" s="319">
        <f>IF(AND('Ações'!AW599="sim", 'Ações'!BD599="sim"), 1, 0)
</f>
        <v>0</v>
      </c>
      <c r="AC591" s="319">
        <f>IF(AND('Ações'!AW599="sim", 'Ações'!BE599="sim"), 1, 0)
</f>
        <v>0</v>
      </c>
      <c r="AD591" s="319">
        <f>IF(AND('Ações'!AW599="sim", 'Ações'!BF599="sim"), 1, 0)
</f>
        <v>0</v>
      </c>
      <c r="AE591" s="319">
        <f>IF(AND('Ações'!AW599="sim", 'Ações'!BG599="sim"), 1, 0)
</f>
        <v>0</v>
      </c>
      <c r="AF591" s="319">
        <f>IF(AND('Ações'!AW599="sim", 'Ações'!BI599="sim"), 1, 0)
</f>
        <v>1</v>
      </c>
      <c r="AG591" s="319">
        <f>IF(AND('Ações'!AX599="sim", 'Ações'!BD599="sim"), 1, 0)
</f>
        <v>0</v>
      </c>
      <c r="AH591" s="319">
        <f>IF(AND('Ações'!AX599="sim", 'Ações'!BE599="sim"), 1, 0)
</f>
        <v>0</v>
      </c>
      <c r="AI591" s="319">
        <f>IF(AND('Ações'!AX599="sim", 'Ações'!BF599="sim"), 1, 0)
</f>
        <v>0</v>
      </c>
      <c r="AJ591" s="319">
        <f>IF(AND('Ações'!AX599="sim", 'Ações'!BG599="sim"), 1, 0)
</f>
        <v>0</v>
      </c>
      <c r="AK591" s="319">
        <f>IF(AND('Ações'!AX599="sim", 'Ações'!BH599="sim"), 1, 0)
</f>
        <v>0</v>
      </c>
    </row>
    <row r="592">
      <c r="B592" s="319">
        <f>IF(AND('Ações'!AS600="sim", 'Ações'!BD600="sim"), 1, 0)
</f>
        <v>0</v>
      </c>
      <c r="C592" s="319">
        <f>IF(AND('Ações'!AT600="sim", 'Ações'!BE600="sim"), 1, 0)
</f>
        <v>0</v>
      </c>
      <c r="D592" s="319">
        <f>IF(AND('Ações'!AU600="sim", 'Ações'!BF600="sim"), 1, 0)
</f>
        <v>0</v>
      </c>
      <c r="E592" s="319">
        <f>IF(AND('Ações'!AV600="sim", 'Ações'!BG600="sim"), 1, 0)
</f>
        <v>0</v>
      </c>
      <c r="F592" s="319">
        <f>IF(AND('Ações'!AW600="sim", 'Ações'!BH600="sim"), 1, 0)
</f>
        <v>0</v>
      </c>
      <c r="G592" s="319">
        <f>IF(AND('Ações'!AX600="sim", 'Ações'!BI600="sim"), 1, 0)
</f>
        <v>1</v>
      </c>
      <c r="H592" s="319">
        <f>IF(AND('Ações'!AS600="sim", 'Ações'!BE600="sim"), 1, 0)
</f>
        <v>0</v>
      </c>
      <c r="I592" s="319">
        <f>IF(AND('Ações'!AS600="sim", 'Ações'!BF600="sim"), 1, 0)
</f>
        <v>0</v>
      </c>
      <c r="J592" s="319">
        <f>IF(AND('Ações'!AS600="sim", 'Ações'!BG600="sim"), 1, 0)
</f>
        <v>0</v>
      </c>
      <c r="K592" s="319">
        <f>IF(AND('Ações'!AS600="sim", 'Ações'!BH600="sim"), 1, 0)
</f>
        <v>0</v>
      </c>
      <c r="L592" s="319">
        <f>IF(AND('Ações'!AS600="sim", 'Ações'!BI600="sim"), 1, 0)
</f>
        <v>0</v>
      </c>
      <c r="M592" s="319">
        <f>IF(AND('Ações'!AT600="sim", 'Ações'!BD600="sim"), 1, 0)
</f>
        <v>0</v>
      </c>
      <c r="N592" s="319">
        <f>IF(AND('Ações'!AT600="sim", 'Ações'!BF600="sim"), 1, 0)
</f>
        <v>0</v>
      </c>
      <c r="O592" s="319">
        <f>IF(AND('Ações'!AT600="sim", 'Ações'!BG600="sim"), 1, 0)
</f>
        <v>0</v>
      </c>
      <c r="P592" s="319">
        <f>IF(AND('Ações'!AT600="sim", 'Ações'!BH600="sim"), 1, 0)
</f>
        <v>0</v>
      </c>
      <c r="Q592" s="319">
        <f>IF(AND('Ações'!AT600="sim", 'Ações'!BI600="sim"), 1, 0)
</f>
        <v>0</v>
      </c>
      <c r="R592" s="319">
        <f>IF(AND('Ações'!AU600="sim", 'Ações'!BD600="sim"), 1, 0)
</f>
        <v>0</v>
      </c>
      <c r="S592" s="319">
        <f>IF(AND('Ações'!AU600="sim", 'Ações'!BE600="sim"), 1, 0)
</f>
        <v>0</v>
      </c>
      <c r="T592" s="319">
        <f>IF(AND('Ações'!AU600="sim", 'Ações'!BG600="sim"), 1, 0)
</f>
        <v>0</v>
      </c>
      <c r="U592" s="319">
        <f>IF(AND('Ações'!AU600="sim", 'Ações'!BH600="sim"), 1, 0)
</f>
        <v>0</v>
      </c>
      <c r="V592" s="319">
        <f>IF(AND('Ações'!AU600="sim", 'Ações'!BI600="sim"), 1, 0)
</f>
        <v>0</v>
      </c>
      <c r="W592" s="319">
        <f>IF(AND('Ações'!AV600="sim", 'Ações'!BD600="sim"), 1, 0)
</f>
        <v>0</v>
      </c>
      <c r="X592" s="319">
        <f>IF(AND('Ações'!AV600="sim", 'Ações'!BE600="sim"), 1, 0)
</f>
        <v>0</v>
      </c>
      <c r="Y592" s="319">
        <f>IF(AND('Ações'!AV600="sim", 'Ações'!BF600="sim"), 1, 0)
</f>
        <v>0</v>
      </c>
      <c r="Z592" s="319">
        <f>IF(AND('Ações'!AV600="sim", 'Ações'!BH600="sim"), 1, 0)
</f>
        <v>0</v>
      </c>
      <c r="AA592" s="319">
        <f>IF(AND('Ações'!AV600="sim", 'Ações'!BI600="sim"), 1, 0)
</f>
        <v>1</v>
      </c>
      <c r="AB592" s="319">
        <f>IF(AND('Ações'!AW600="sim", 'Ações'!BD600="sim"), 1, 0)
</f>
        <v>0</v>
      </c>
      <c r="AC592" s="319">
        <f>IF(AND('Ações'!AW600="sim", 'Ações'!BE600="sim"), 1, 0)
</f>
        <v>0</v>
      </c>
      <c r="AD592" s="319">
        <f>IF(AND('Ações'!AW600="sim", 'Ações'!BF600="sim"), 1, 0)
</f>
        <v>0</v>
      </c>
      <c r="AE592" s="319">
        <f>IF(AND('Ações'!AW600="sim", 'Ações'!BG600="sim"), 1, 0)
</f>
        <v>0</v>
      </c>
      <c r="AF592" s="319">
        <f>IF(AND('Ações'!AW600="sim", 'Ações'!BI600="sim"), 1, 0)
</f>
        <v>1</v>
      </c>
      <c r="AG592" s="319">
        <f>IF(AND('Ações'!AX600="sim", 'Ações'!BD600="sim"), 1, 0)
</f>
        <v>0</v>
      </c>
      <c r="AH592" s="319">
        <f>IF(AND('Ações'!AX600="sim", 'Ações'!BE600="sim"), 1, 0)
</f>
        <v>0</v>
      </c>
      <c r="AI592" s="319">
        <f>IF(AND('Ações'!AX600="sim", 'Ações'!BF600="sim"), 1, 0)
</f>
        <v>0</v>
      </c>
      <c r="AJ592" s="319">
        <f>IF(AND('Ações'!AX600="sim", 'Ações'!BG600="sim"), 1, 0)
</f>
        <v>0</v>
      </c>
      <c r="AK592" s="319">
        <f>IF(AND('Ações'!AX600="sim", 'Ações'!BH600="sim"), 1, 0)
</f>
        <v>0</v>
      </c>
    </row>
    <row r="593">
      <c r="B593" s="319">
        <f>IF(AND('Ações'!AS601="sim", 'Ações'!BD601="sim"), 1, 0)
</f>
        <v>0</v>
      </c>
      <c r="C593" s="319">
        <f>IF(AND('Ações'!AT601="sim", 'Ações'!BE601="sim"), 1, 0)
</f>
        <v>0</v>
      </c>
      <c r="D593" s="319">
        <f>IF(AND('Ações'!AU601="sim", 'Ações'!BF601="sim"), 1, 0)
</f>
        <v>0</v>
      </c>
      <c r="E593" s="319">
        <f>IF(AND('Ações'!AV601="sim", 'Ações'!BG601="sim"), 1, 0)
</f>
        <v>0</v>
      </c>
      <c r="F593" s="319">
        <f>IF(AND('Ações'!AW601="sim", 'Ações'!BH601="sim"), 1, 0)
</f>
        <v>0</v>
      </c>
      <c r="G593" s="319">
        <f>IF(AND('Ações'!AX601="sim", 'Ações'!BI601="sim"), 1, 0)
</f>
        <v>1</v>
      </c>
      <c r="H593" s="319">
        <f>IF(AND('Ações'!AS601="sim", 'Ações'!BE601="sim"), 1, 0)
</f>
        <v>0</v>
      </c>
      <c r="I593" s="319">
        <f>IF(AND('Ações'!AS601="sim", 'Ações'!BF601="sim"), 1, 0)
</f>
        <v>0</v>
      </c>
      <c r="J593" s="319">
        <f>IF(AND('Ações'!AS601="sim", 'Ações'!BG601="sim"), 1, 0)
</f>
        <v>0</v>
      </c>
      <c r="K593" s="319">
        <f>IF(AND('Ações'!AS601="sim", 'Ações'!BH601="sim"), 1, 0)
</f>
        <v>0</v>
      </c>
      <c r="L593" s="319">
        <f>IF(AND('Ações'!AS601="sim", 'Ações'!BI601="sim"), 1, 0)
</f>
        <v>0</v>
      </c>
      <c r="M593" s="319">
        <f>IF(AND('Ações'!AT601="sim", 'Ações'!BD601="sim"), 1, 0)
</f>
        <v>0</v>
      </c>
      <c r="N593" s="319">
        <f>IF(AND('Ações'!AT601="sim", 'Ações'!BF601="sim"), 1, 0)
</f>
        <v>0</v>
      </c>
      <c r="O593" s="319">
        <f>IF(AND('Ações'!AT601="sim", 'Ações'!BG601="sim"), 1, 0)
</f>
        <v>0</v>
      </c>
      <c r="P593" s="319">
        <f>IF(AND('Ações'!AT601="sim", 'Ações'!BH601="sim"), 1, 0)
</f>
        <v>0</v>
      </c>
      <c r="Q593" s="319">
        <f>IF(AND('Ações'!AT601="sim", 'Ações'!BI601="sim"), 1, 0)
</f>
        <v>0</v>
      </c>
      <c r="R593" s="319">
        <f>IF(AND('Ações'!AU601="sim", 'Ações'!BD601="sim"), 1, 0)
</f>
        <v>0</v>
      </c>
      <c r="S593" s="319">
        <f>IF(AND('Ações'!AU601="sim", 'Ações'!BE601="sim"), 1, 0)
</f>
        <v>0</v>
      </c>
      <c r="T593" s="319">
        <f>IF(AND('Ações'!AU601="sim", 'Ações'!BG601="sim"), 1, 0)
</f>
        <v>0</v>
      </c>
      <c r="U593" s="319">
        <f>IF(AND('Ações'!AU601="sim", 'Ações'!BH601="sim"), 1, 0)
</f>
        <v>0</v>
      </c>
      <c r="V593" s="319">
        <f>IF(AND('Ações'!AU601="sim", 'Ações'!BI601="sim"), 1, 0)
</f>
        <v>0</v>
      </c>
      <c r="W593" s="319">
        <f>IF(AND('Ações'!AV601="sim", 'Ações'!BD601="sim"), 1, 0)
</f>
        <v>0</v>
      </c>
      <c r="X593" s="319">
        <f>IF(AND('Ações'!AV601="sim", 'Ações'!BE601="sim"), 1, 0)
</f>
        <v>0</v>
      </c>
      <c r="Y593" s="319">
        <f>IF(AND('Ações'!AV601="sim", 'Ações'!BF601="sim"), 1, 0)
</f>
        <v>0</v>
      </c>
      <c r="Z593" s="319">
        <f>IF(AND('Ações'!AV601="sim", 'Ações'!BH601="sim"), 1, 0)
</f>
        <v>0</v>
      </c>
      <c r="AA593" s="319">
        <f>IF(AND('Ações'!AV601="sim", 'Ações'!BI601="sim"), 1, 0)
</f>
        <v>1</v>
      </c>
      <c r="AB593" s="319">
        <f>IF(AND('Ações'!AW601="sim", 'Ações'!BD601="sim"), 1, 0)
</f>
        <v>0</v>
      </c>
      <c r="AC593" s="319">
        <f>IF(AND('Ações'!AW601="sim", 'Ações'!BE601="sim"), 1, 0)
</f>
        <v>0</v>
      </c>
      <c r="AD593" s="319">
        <f>IF(AND('Ações'!AW601="sim", 'Ações'!BF601="sim"), 1, 0)
</f>
        <v>0</v>
      </c>
      <c r="AE593" s="319">
        <f>IF(AND('Ações'!AW601="sim", 'Ações'!BG601="sim"), 1, 0)
</f>
        <v>0</v>
      </c>
      <c r="AF593" s="319">
        <f>IF(AND('Ações'!AW601="sim", 'Ações'!BI601="sim"), 1, 0)
</f>
        <v>1</v>
      </c>
      <c r="AG593" s="319">
        <f>IF(AND('Ações'!AX601="sim", 'Ações'!BD601="sim"), 1, 0)
</f>
        <v>0</v>
      </c>
      <c r="AH593" s="319">
        <f>IF(AND('Ações'!AX601="sim", 'Ações'!BE601="sim"), 1, 0)
</f>
        <v>0</v>
      </c>
      <c r="AI593" s="319">
        <f>IF(AND('Ações'!AX601="sim", 'Ações'!BF601="sim"), 1, 0)
</f>
        <v>0</v>
      </c>
      <c r="AJ593" s="319">
        <f>IF(AND('Ações'!AX601="sim", 'Ações'!BG601="sim"), 1, 0)
</f>
        <v>0</v>
      </c>
      <c r="AK593" s="319">
        <f>IF(AND('Ações'!AX601="sim", 'Ações'!BH601="sim"), 1, 0)
</f>
        <v>0</v>
      </c>
    </row>
    <row r="594">
      <c r="B594" s="319">
        <f>IF(AND('Ações'!AS602="sim", 'Ações'!BD602="sim"), 1, 0)
</f>
        <v>0</v>
      </c>
      <c r="C594" s="319">
        <f>IF(AND('Ações'!AT602="sim", 'Ações'!BE602="sim"), 1, 0)
</f>
        <v>0</v>
      </c>
      <c r="D594" s="319">
        <f>IF(AND('Ações'!AU602="sim", 'Ações'!BF602="sim"), 1, 0)
</f>
        <v>0</v>
      </c>
      <c r="E594" s="319">
        <f>IF(AND('Ações'!AV602="sim", 'Ações'!BG602="sim"), 1, 0)
</f>
        <v>0</v>
      </c>
      <c r="F594" s="319">
        <f>IF(AND('Ações'!AW602="sim", 'Ações'!BH602="sim"), 1, 0)
</f>
        <v>0</v>
      </c>
      <c r="G594" s="319">
        <f>IF(AND('Ações'!AX602="sim", 'Ações'!BI602="sim"), 1, 0)
</f>
        <v>1</v>
      </c>
      <c r="H594" s="319">
        <f>IF(AND('Ações'!AS602="sim", 'Ações'!BE602="sim"), 1, 0)
</f>
        <v>0</v>
      </c>
      <c r="I594" s="319">
        <f>IF(AND('Ações'!AS602="sim", 'Ações'!BF602="sim"), 1, 0)
</f>
        <v>0</v>
      </c>
      <c r="J594" s="319">
        <f>IF(AND('Ações'!AS602="sim", 'Ações'!BG602="sim"), 1, 0)
</f>
        <v>0</v>
      </c>
      <c r="K594" s="319">
        <f>IF(AND('Ações'!AS602="sim", 'Ações'!BH602="sim"), 1, 0)
</f>
        <v>0</v>
      </c>
      <c r="L594" s="319">
        <f>IF(AND('Ações'!AS602="sim", 'Ações'!BI602="sim"), 1, 0)
</f>
        <v>0</v>
      </c>
      <c r="M594" s="319">
        <f>IF(AND('Ações'!AT602="sim", 'Ações'!BD602="sim"), 1, 0)
</f>
        <v>0</v>
      </c>
      <c r="N594" s="319">
        <f>IF(AND('Ações'!AT602="sim", 'Ações'!BF602="sim"), 1, 0)
</f>
        <v>0</v>
      </c>
      <c r="O594" s="319">
        <f>IF(AND('Ações'!AT602="sim", 'Ações'!BG602="sim"), 1, 0)
</f>
        <v>0</v>
      </c>
      <c r="P594" s="319">
        <f>IF(AND('Ações'!AT602="sim", 'Ações'!BH602="sim"), 1, 0)
</f>
        <v>0</v>
      </c>
      <c r="Q594" s="319">
        <f>IF(AND('Ações'!AT602="sim", 'Ações'!BI602="sim"), 1, 0)
</f>
        <v>0</v>
      </c>
      <c r="R594" s="319">
        <f>IF(AND('Ações'!AU602="sim", 'Ações'!BD602="sim"), 1, 0)
</f>
        <v>0</v>
      </c>
      <c r="S594" s="319">
        <f>IF(AND('Ações'!AU602="sim", 'Ações'!BE602="sim"), 1, 0)
</f>
        <v>0</v>
      </c>
      <c r="T594" s="319">
        <f>IF(AND('Ações'!AU602="sim", 'Ações'!BG602="sim"), 1, 0)
</f>
        <v>0</v>
      </c>
      <c r="U594" s="319">
        <f>IF(AND('Ações'!AU602="sim", 'Ações'!BH602="sim"), 1, 0)
</f>
        <v>0</v>
      </c>
      <c r="V594" s="319">
        <f>IF(AND('Ações'!AU602="sim", 'Ações'!BI602="sim"), 1, 0)
</f>
        <v>0</v>
      </c>
      <c r="W594" s="319">
        <f>IF(AND('Ações'!AV602="sim", 'Ações'!BD602="sim"), 1, 0)
</f>
        <v>0</v>
      </c>
      <c r="X594" s="319">
        <f>IF(AND('Ações'!AV602="sim", 'Ações'!BE602="sim"), 1, 0)
</f>
        <v>0</v>
      </c>
      <c r="Y594" s="319">
        <f>IF(AND('Ações'!AV602="sim", 'Ações'!BF602="sim"), 1, 0)
</f>
        <v>0</v>
      </c>
      <c r="Z594" s="319">
        <f>IF(AND('Ações'!AV602="sim", 'Ações'!BH602="sim"), 1, 0)
</f>
        <v>0</v>
      </c>
      <c r="AA594" s="319">
        <f>IF(AND('Ações'!AV602="sim", 'Ações'!BI602="sim"), 1, 0)
</f>
        <v>1</v>
      </c>
      <c r="AB594" s="319">
        <f>IF(AND('Ações'!AW602="sim", 'Ações'!BD602="sim"), 1, 0)
</f>
        <v>0</v>
      </c>
      <c r="AC594" s="319">
        <f>IF(AND('Ações'!AW602="sim", 'Ações'!BE602="sim"), 1, 0)
</f>
        <v>0</v>
      </c>
      <c r="AD594" s="319">
        <f>IF(AND('Ações'!AW602="sim", 'Ações'!BF602="sim"), 1, 0)
</f>
        <v>0</v>
      </c>
      <c r="AE594" s="319">
        <f>IF(AND('Ações'!AW602="sim", 'Ações'!BG602="sim"), 1, 0)
</f>
        <v>0</v>
      </c>
      <c r="AF594" s="319">
        <f>IF(AND('Ações'!AW602="sim", 'Ações'!BI602="sim"), 1, 0)
</f>
        <v>1</v>
      </c>
      <c r="AG594" s="319">
        <f>IF(AND('Ações'!AX602="sim", 'Ações'!BD602="sim"), 1, 0)
</f>
        <v>0</v>
      </c>
      <c r="AH594" s="319">
        <f>IF(AND('Ações'!AX602="sim", 'Ações'!BE602="sim"), 1, 0)
</f>
        <v>0</v>
      </c>
      <c r="AI594" s="319">
        <f>IF(AND('Ações'!AX602="sim", 'Ações'!BF602="sim"), 1, 0)
</f>
        <v>0</v>
      </c>
      <c r="AJ594" s="319">
        <f>IF(AND('Ações'!AX602="sim", 'Ações'!BG602="sim"), 1, 0)
</f>
        <v>0</v>
      </c>
      <c r="AK594" s="319">
        <f>IF(AND('Ações'!AX602="sim", 'Ações'!BH602="sim"), 1, 0)
</f>
        <v>0</v>
      </c>
    </row>
    <row r="595">
      <c r="B595" s="319">
        <f>IF(AND('Ações'!AS603="sim", 'Ações'!BD603="sim"), 1, 0)
</f>
        <v>0</v>
      </c>
      <c r="C595" s="319">
        <f>IF(AND('Ações'!AT603="sim", 'Ações'!BE603="sim"), 1, 0)
</f>
        <v>0</v>
      </c>
      <c r="D595" s="319">
        <f>IF(AND('Ações'!AU603="sim", 'Ações'!BF603="sim"), 1, 0)
</f>
        <v>0</v>
      </c>
      <c r="E595" s="319">
        <f>IF(AND('Ações'!AV603="sim", 'Ações'!BG603="sim"), 1, 0)
</f>
        <v>0</v>
      </c>
      <c r="F595" s="319">
        <f>IF(AND('Ações'!AW603="sim", 'Ações'!BH603="sim"), 1, 0)
</f>
        <v>0</v>
      </c>
      <c r="G595" s="319">
        <f>IF(AND('Ações'!AX603="sim", 'Ações'!BI603="sim"), 1, 0)
</f>
        <v>1</v>
      </c>
      <c r="H595" s="319">
        <f>IF(AND('Ações'!AS603="sim", 'Ações'!BE603="sim"), 1, 0)
</f>
        <v>0</v>
      </c>
      <c r="I595" s="319">
        <f>IF(AND('Ações'!AS603="sim", 'Ações'!BF603="sim"), 1, 0)
</f>
        <v>0</v>
      </c>
      <c r="J595" s="319">
        <f>IF(AND('Ações'!AS603="sim", 'Ações'!BG603="sim"), 1, 0)
</f>
        <v>0</v>
      </c>
      <c r="K595" s="319">
        <f>IF(AND('Ações'!AS603="sim", 'Ações'!BH603="sim"), 1, 0)
</f>
        <v>0</v>
      </c>
      <c r="L595" s="319">
        <f>IF(AND('Ações'!AS603="sim", 'Ações'!BI603="sim"), 1, 0)
</f>
        <v>0</v>
      </c>
      <c r="M595" s="319">
        <f>IF(AND('Ações'!AT603="sim", 'Ações'!BD603="sim"), 1, 0)
</f>
        <v>0</v>
      </c>
      <c r="N595" s="319">
        <f>IF(AND('Ações'!AT603="sim", 'Ações'!BF603="sim"), 1, 0)
</f>
        <v>0</v>
      </c>
      <c r="O595" s="319">
        <f>IF(AND('Ações'!AT603="sim", 'Ações'!BG603="sim"), 1, 0)
</f>
        <v>0</v>
      </c>
      <c r="P595" s="319">
        <f>IF(AND('Ações'!AT603="sim", 'Ações'!BH603="sim"), 1, 0)
</f>
        <v>0</v>
      </c>
      <c r="Q595" s="319">
        <f>IF(AND('Ações'!AT603="sim", 'Ações'!BI603="sim"), 1, 0)
</f>
        <v>0</v>
      </c>
      <c r="R595" s="319">
        <f>IF(AND('Ações'!AU603="sim", 'Ações'!BD603="sim"), 1, 0)
</f>
        <v>0</v>
      </c>
      <c r="S595" s="319">
        <f>IF(AND('Ações'!AU603="sim", 'Ações'!BE603="sim"), 1, 0)
</f>
        <v>0</v>
      </c>
      <c r="T595" s="319">
        <f>IF(AND('Ações'!AU603="sim", 'Ações'!BG603="sim"), 1, 0)
</f>
        <v>0</v>
      </c>
      <c r="U595" s="319">
        <f>IF(AND('Ações'!AU603="sim", 'Ações'!BH603="sim"), 1, 0)
</f>
        <v>0</v>
      </c>
      <c r="V595" s="319">
        <f>IF(AND('Ações'!AU603="sim", 'Ações'!BI603="sim"), 1, 0)
</f>
        <v>0</v>
      </c>
      <c r="W595" s="319">
        <f>IF(AND('Ações'!AV603="sim", 'Ações'!BD603="sim"), 1, 0)
</f>
        <v>0</v>
      </c>
      <c r="X595" s="319">
        <f>IF(AND('Ações'!AV603="sim", 'Ações'!BE603="sim"), 1, 0)
</f>
        <v>0</v>
      </c>
      <c r="Y595" s="319">
        <f>IF(AND('Ações'!AV603="sim", 'Ações'!BF603="sim"), 1, 0)
</f>
        <v>0</v>
      </c>
      <c r="Z595" s="319">
        <f>IF(AND('Ações'!AV603="sim", 'Ações'!BH603="sim"), 1, 0)
</f>
        <v>0</v>
      </c>
      <c r="AA595" s="319">
        <f>IF(AND('Ações'!AV603="sim", 'Ações'!BI603="sim"), 1, 0)
</f>
        <v>1</v>
      </c>
      <c r="AB595" s="319">
        <f>IF(AND('Ações'!AW603="sim", 'Ações'!BD603="sim"), 1, 0)
</f>
        <v>0</v>
      </c>
      <c r="AC595" s="319">
        <f>IF(AND('Ações'!AW603="sim", 'Ações'!BE603="sim"), 1, 0)
</f>
        <v>0</v>
      </c>
      <c r="AD595" s="319">
        <f>IF(AND('Ações'!AW603="sim", 'Ações'!BF603="sim"), 1, 0)
</f>
        <v>0</v>
      </c>
      <c r="AE595" s="319">
        <f>IF(AND('Ações'!AW603="sim", 'Ações'!BG603="sim"), 1, 0)
</f>
        <v>0</v>
      </c>
      <c r="AF595" s="319">
        <f>IF(AND('Ações'!AW603="sim", 'Ações'!BI603="sim"), 1, 0)
</f>
        <v>1</v>
      </c>
      <c r="AG595" s="319">
        <f>IF(AND('Ações'!AX603="sim", 'Ações'!BD603="sim"), 1, 0)
</f>
        <v>0</v>
      </c>
      <c r="AH595" s="319">
        <f>IF(AND('Ações'!AX603="sim", 'Ações'!BE603="sim"), 1, 0)
</f>
        <v>0</v>
      </c>
      <c r="AI595" s="319">
        <f>IF(AND('Ações'!AX603="sim", 'Ações'!BF603="sim"), 1, 0)
</f>
        <v>0</v>
      </c>
      <c r="AJ595" s="319">
        <f>IF(AND('Ações'!AX603="sim", 'Ações'!BG603="sim"), 1, 0)
</f>
        <v>0</v>
      </c>
      <c r="AK595" s="319">
        <f>IF(AND('Ações'!AX603="sim", 'Ações'!BH603="sim"), 1, 0)
</f>
        <v>0</v>
      </c>
    </row>
    <row r="596">
      <c r="B596" s="319">
        <f>IF(AND('Ações'!AS604="sim", 'Ações'!BD604="sim"), 1, 0)
</f>
        <v>0</v>
      </c>
      <c r="C596" s="319">
        <f>IF(AND('Ações'!AT604="sim", 'Ações'!BE604="sim"), 1, 0)
</f>
        <v>0</v>
      </c>
      <c r="D596" s="319">
        <f>IF(AND('Ações'!AU604="sim", 'Ações'!BF604="sim"), 1, 0)
</f>
        <v>0</v>
      </c>
      <c r="E596" s="319">
        <f>IF(AND('Ações'!AV604="sim", 'Ações'!BG604="sim"), 1, 0)
</f>
        <v>0</v>
      </c>
      <c r="F596" s="319">
        <f>IF(AND('Ações'!AW604="sim", 'Ações'!BH604="sim"), 1, 0)
</f>
        <v>1</v>
      </c>
      <c r="G596" s="319">
        <f>IF(AND('Ações'!AX604="sim", 'Ações'!BI604="sim"), 1, 0)
</f>
        <v>1</v>
      </c>
      <c r="H596" s="319">
        <f>IF(AND('Ações'!AS604="sim", 'Ações'!BE604="sim"), 1, 0)
</f>
        <v>0</v>
      </c>
      <c r="I596" s="319">
        <f>IF(AND('Ações'!AS604="sim", 'Ações'!BF604="sim"), 1, 0)
</f>
        <v>0</v>
      </c>
      <c r="J596" s="319">
        <f>IF(AND('Ações'!AS604="sim", 'Ações'!BG604="sim"), 1, 0)
</f>
        <v>0</v>
      </c>
      <c r="K596" s="319">
        <f>IF(AND('Ações'!AS604="sim", 'Ações'!BH604="sim"), 1, 0)
</f>
        <v>0</v>
      </c>
      <c r="L596" s="319">
        <f>IF(AND('Ações'!AS604="sim", 'Ações'!BI604="sim"), 1, 0)
</f>
        <v>0</v>
      </c>
      <c r="M596" s="319">
        <f>IF(AND('Ações'!AT604="sim", 'Ações'!BD604="sim"), 1, 0)
</f>
        <v>0</v>
      </c>
      <c r="N596" s="319">
        <f>IF(AND('Ações'!AT604="sim", 'Ações'!BF604="sim"), 1, 0)
</f>
        <v>0</v>
      </c>
      <c r="O596" s="319">
        <f>IF(AND('Ações'!AT604="sim", 'Ações'!BG604="sim"), 1, 0)
</f>
        <v>0</v>
      </c>
      <c r="P596" s="319">
        <f>IF(AND('Ações'!AT604="sim", 'Ações'!BH604="sim"), 1, 0)
</f>
        <v>0</v>
      </c>
      <c r="Q596" s="319">
        <f>IF(AND('Ações'!AT604="sim", 'Ações'!BI604="sim"), 1, 0)
</f>
        <v>0</v>
      </c>
      <c r="R596" s="319">
        <f>IF(AND('Ações'!AU604="sim", 'Ações'!BD604="sim"), 1, 0)
</f>
        <v>0</v>
      </c>
      <c r="S596" s="319">
        <f>IF(AND('Ações'!AU604="sim", 'Ações'!BE604="sim"), 1, 0)
</f>
        <v>0</v>
      </c>
      <c r="T596" s="319">
        <f>IF(AND('Ações'!AU604="sim", 'Ações'!BG604="sim"), 1, 0)
</f>
        <v>0</v>
      </c>
      <c r="U596" s="319">
        <f>IF(AND('Ações'!AU604="sim", 'Ações'!BH604="sim"), 1, 0)
</f>
        <v>0</v>
      </c>
      <c r="V596" s="319">
        <f>IF(AND('Ações'!AU604="sim", 'Ações'!BI604="sim"), 1, 0)
</f>
        <v>0</v>
      </c>
      <c r="W596" s="319">
        <f>IF(AND('Ações'!AV604="sim", 'Ações'!BD604="sim"), 1, 0)
</f>
        <v>0</v>
      </c>
      <c r="X596" s="319">
        <f>IF(AND('Ações'!AV604="sim", 'Ações'!BE604="sim"), 1, 0)
</f>
        <v>0</v>
      </c>
      <c r="Y596" s="319">
        <f>IF(AND('Ações'!AV604="sim", 'Ações'!BF604="sim"), 1, 0)
</f>
        <v>0</v>
      </c>
      <c r="Z596" s="319">
        <f>IF(AND('Ações'!AV604="sim", 'Ações'!BH604="sim"), 1, 0)
</f>
        <v>1</v>
      </c>
      <c r="AA596" s="319">
        <f>IF(AND('Ações'!AV604="sim", 'Ações'!BI604="sim"), 1, 0)
</f>
        <v>1</v>
      </c>
      <c r="AB596" s="319">
        <f>IF(AND('Ações'!AW604="sim", 'Ações'!BD604="sim"), 1, 0)
</f>
        <v>0</v>
      </c>
      <c r="AC596" s="319">
        <f>IF(AND('Ações'!AW604="sim", 'Ações'!BE604="sim"), 1, 0)
</f>
        <v>0</v>
      </c>
      <c r="AD596" s="319">
        <f>IF(AND('Ações'!AW604="sim", 'Ações'!BF604="sim"), 1, 0)
</f>
        <v>0</v>
      </c>
      <c r="AE596" s="319">
        <f>IF(AND('Ações'!AW604="sim", 'Ações'!BG604="sim"), 1, 0)
</f>
        <v>0</v>
      </c>
      <c r="AF596" s="319">
        <f>IF(AND('Ações'!AW604="sim", 'Ações'!BI604="sim"), 1, 0)
</f>
        <v>1</v>
      </c>
      <c r="AG596" s="319">
        <f>IF(AND('Ações'!AX604="sim", 'Ações'!BD604="sim"), 1, 0)
</f>
        <v>0</v>
      </c>
      <c r="AH596" s="319">
        <f>IF(AND('Ações'!AX604="sim", 'Ações'!BE604="sim"), 1, 0)
</f>
        <v>0</v>
      </c>
      <c r="AI596" s="319">
        <f>IF(AND('Ações'!AX604="sim", 'Ações'!BF604="sim"), 1, 0)
</f>
        <v>0</v>
      </c>
      <c r="AJ596" s="319">
        <f>IF(AND('Ações'!AX604="sim", 'Ações'!BG604="sim"), 1, 0)
</f>
        <v>0</v>
      </c>
      <c r="AK596" s="319">
        <f>IF(AND('Ações'!AX604="sim", 'Ações'!BH604="sim"), 1, 0)
</f>
        <v>1</v>
      </c>
    </row>
    <row r="597">
      <c r="B597" s="319">
        <f>IF(AND('Ações'!AS605="sim", 'Ações'!BD605="sim"), 1, 0)
</f>
        <v>0</v>
      </c>
      <c r="C597" s="319">
        <f>IF(AND('Ações'!AT605="sim", 'Ações'!BE605="sim"), 1, 0)
</f>
        <v>0</v>
      </c>
      <c r="D597" s="319">
        <f>IF(AND('Ações'!AU605="sim", 'Ações'!BF605="sim"), 1, 0)
</f>
        <v>0</v>
      </c>
      <c r="E597" s="319">
        <f>IF(AND('Ações'!AV605="sim", 'Ações'!BG605="sim"), 1, 0)
</f>
        <v>0</v>
      </c>
      <c r="F597" s="319">
        <f>IF(AND('Ações'!AW605="sim", 'Ações'!BH605="sim"), 1, 0)
</f>
        <v>0</v>
      </c>
      <c r="G597" s="319">
        <f>IF(AND('Ações'!AX605="sim", 'Ações'!BI605="sim"), 1, 0)
</f>
        <v>1</v>
      </c>
      <c r="H597" s="319">
        <f>IF(AND('Ações'!AS605="sim", 'Ações'!BE605="sim"), 1, 0)
</f>
        <v>0</v>
      </c>
      <c r="I597" s="319">
        <f>IF(AND('Ações'!AS605="sim", 'Ações'!BF605="sim"), 1, 0)
</f>
        <v>0</v>
      </c>
      <c r="J597" s="319">
        <f>IF(AND('Ações'!AS605="sim", 'Ações'!BG605="sim"), 1, 0)
</f>
        <v>0</v>
      </c>
      <c r="K597" s="319">
        <f>IF(AND('Ações'!AS605="sim", 'Ações'!BH605="sim"), 1, 0)
</f>
        <v>0</v>
      </c>
      <c r="L597" s="319">
        <f>IF(AND('Ações'!AS605="sim", 'Ações'!BI605="sim"), 1, 0)
</f>
        <v>0</v>
      </c>
      <c r="M597" s="319">
        <f>IF(AND('Ações'!AT605="sim", 'Ações'!BD605="sim"), 1, 0)
</f>
        <v>0</v>
      </c>
      <c r="N597" s="319">
        <f>IF(AND('Ações'!AT605="sim", 'Ações'!BF605="sim"), 1, 0)
</f>
        <v>0</v>
      </c>
      <c r="O597" s="319">
        <f>IF(AND('Ações'!AT605="sim", 'Ações'!BG605="sim"), 1, 0)
</f>
        <v>0</v>
      </c>
      <c r="P597" s="319">
        <f>IF(AND('Ações'!AT605="sim", 'Ações'!BH605="sim"), 1, 0)
</f>
        <v>0</v>
      </c>
      <c r="Q597" s="319">
        <f>IF(AND('Ações'!AT605="sim", 'Ações'!BI605="sim"), 1, 0)
</f>
        <v>0</v>
      </c>
      <c r="R597" s="319">
        <f>IF(AND('Ações'!AU605="sim", 'Ações'!BD605="sim"), 1, 0)
</f>
        <v>0</v>
      </c>
      <c r="S597" s="319">
        <f>IF(AND('Ações'!AU605="sim", 'Ações'!BE605="sim"), 1, 0)
</f>
        <v>0</v>
      </c>
      <c r="T597" s="319">
        <f>IF(AND('Ações'!AU605="sim", 'Ações'!BG605="sim"), 1, 0)
</f>
        <v>0</v>
      </c>
      <c r="U597" s="319">
        <f>IF(AND('Ações'!AU605="sim", 'Ações'!BH605="sim"), 1, 0)
</f>
        <v>0</v>
      </c>
      <c r="V597" s="319">
        <f>IF(AND('Ações'!AU605="sim", 'Ações'!BI605="sim"), 1, 0)
</f>
        <v>0</v>
      </c>
      <c r="W597" s="319">
        <f>IF(AND('Ações'!AV605="sim", 'Ações'!BD605="sim"), 1, 0)
</f>
        <v>1</v>
      </c>
      <c r="X597" s="319">
        <f>IF(AND('Ações'!AV605="sim", 'Ações'!BE605="sim"), 1, 0)
</f>
        <v>0</v>
      </c>
      <c r="Y597" s="319">
        <f>IF(AND('Ações'!AV605="sim", 'Ações'!BF605="sim"), 1, 0)
</f>
        <v>0</v>
      </c>
      <c r="Z597" s="319">
        <f>IF(AND('Ações'!AV605="sim", 'Ações'!BH605="sim"), 1, 0)
</f>
        <v>0</v>
      </c>
      <c r="AA597" s="319">
        <f>IF(AND('Ações'!AV605="sim", 'Ações'!BI605="sim"), 1, 0)
</f>
        <v>1</v>
      </c>
      <c r="AB597" s="319">
        <f>IF(AND('Ações'!AW605="sim", 'Ações'!BD605="sim"), 1, 0)
</f>
        <v>1</v>
      </c>
      <c r="AC597" s="319">
        <f>IF(AND('Ações'!AW605="sim", 'Ações'!BE605="sim"), 1, 0)
</f>
        <v>0</v>
      </c>
      <c r="AD597" s="319">
        <f>IF(AND('Ações'!AW605="sim", 'Ações'!BF605="sim"), 1, 0)
</f>
        <v>0</v>
      </c>
      <c r="AE597" s="319">
        <f>IF(AND('Ações'!AW605="sim", 'Ações'!BG605="sim"), 1, 0)
</f>
        <v>0</v>
      </c>
      <c r="AF597" s="319">
        <f>IF(AND('Ações'!AW605="sim", 'Ações'!BI605="sim"), 1, 0)
</f>
        <v>1</v>
      </c>
      <c r="AG597" s="319">
        <f>IF(AND('Ações'!AX605="sim", 'Ações'!BD605="sim"), 1, 0)
</f>
        <v>1</v>
      </c>
      <c r="AH597" s="319">
        <f>IF(AND('Ações'!AX605="sim", 'Ações'!BE605="sim"), 1, 0)
</f>
        <v>0</v>
      </c>
      <c r="AI597" s="319">
        <f>IF(AND('Ações'!AX605="sim", 'Ações'!BF605="sim"), 1, 0)
</f>
        <v>0</v>
      </c>
      <c r="AJ597" s="319">
        <f>IF(AND('Ações'!AX605="sim", 'Ações'!BG605="sim"), 1, 0)
</f>
        <v>0</v>
      </c>
      <c r="AK597" s="319">
        <f>IF(AND('Ações'!AX605="sim", 'Ações'!BH605="sim"), 1, 0)
</f>
        <v>0</v>
      </c>
    </row>
    <row r="598">
      <c r="B598" s="319">
        <f>IF(AND('Ações'!AS606="sim", 'Ações'!BD606="sim"), 1, 0)
</f>
        <v>0</v>
      </c>
      <c r="C598" s="319">
        <f>IF(AND('Ações'!AT606="sim", 'Ações'!BE606="sim"), 1, 0)
</f>
        <v>0</v>
      </c>
      <c r="D598" s="319">
        <f>IF(AND('Ações'!AU606="sim", 'Ações'!BF606="sim"), 1, 0)
</f>
        <v>0</v>
      </c>
      <c r="E598" s="319">
        <f>IF(AND('Ações'!AV606="sim", 'Ações'!BG606="sim"), 1, 0)
</f>
        <v>0</v>
      </c>
      <c r="F598" s="319">
        <f>IF(AND('Ações'!AW606="sim", 'Ações'!BH606="sim"), 1, 0)
</f>
        <v>0</v>
      </c>
      <c r="G598" s="319">
        <f>IF(AND('Ações'!AX606="sim", 'Ações'!BI606="sim"), 1, 0)
</f>
        <v>1</v>
      </c>
      <c r="H598" s="319">
        <f>IF(AND('Ações'!AS606="sim", 'Ações'!BE606="sim"), 1, 0)
</f>
        <v>0</v>
      </c>
      <c r="I598" s="319">
        <f>IF(AND('Ações'!AS606="sim", 'Ações'!BF606="sim"), 1, 0)
</f>
        <v>0</v>
      </c>
      <c r="J598" s="319">
        <f>IF(AND('Ações'!AS606="sim", 'Ações'!BG606="sim"), 1, 0)
</f>
        <v>0</v>
      </c>
      <c r="K598" s="319">
        <f>IF(AND('Ações'!AS606="sim", 'Ações'!BH606="sim"), 1, 0)
</f>
        <v>0</v>
      </c>
      <c r="L598" s="319">
        <f>IF(AND('Ações'!AS606="sim", 'Ações'!BI606="sim"), 1, 0)
</f>
        <v>0</v>
      </c>
      <c r="M598" s="319">
        <f>IF(AND('Ações'!AT606="sim", 'Ações'!BD606="sim"), 1, 0)
</f>
        <v>0</v>
      </c>
      <c r="N598" s="319">
        <f>IF(AND('Ações'!AT606="sim", 'Ações'!BF606="sim"), 1, 0)
</f>
        <v>0</v>
      </c>
      <c r="O598" s="319">
        <f>IF(AND('Ações'!AT606="sim", 'Ações'!BG606="sim"), 1, 0)
</f>
        <v>0</v>
      </c>
      <c r="P598" s="319">
        <f>IF(AND('Ações'!AT606="sim", 'Ações'!BH606="sim"), 1, 0)
</f>
        <v>0</v>
      </c>
      <c r="Q598" s="319">
        <f>IF(AND('Ações'!AT606="sim", 'Ações'!BI606="sim"), 1, 0)
</f>
        <v>0</v>
      </c>
      <c r="R598" s="319">
        <f>IF(AND('Ações'!AU606="sim", 'Ações'!BD606="sim"), 1, 0)
</f>
        <v>0</v>
      </c>
      <c r="S598" s="319">
        <f>IF(AND('Ações'!AU606="sim", 'Ações'!BE606="sim"), 1, 0)
</f>
        <v>0</v>
      </c>
      <c r="T598" s="319">
        <f>IF(AND('Ações'!AU606="sim", 'Ações'!BG606="sim"), 1, 0)
</f>
        <v>0</v>
      </c>
      <c r="U598" s="319">
        <f>IF(AND('Ações'!AU606="sim", 'Ações'!BH606="sim"), 1, 0)
</f>
        <v>0</v>
      </c>
      <c r="V598" s="319">
        <f>IF(AND('Ações'!AU606="sim", 'Ações'!BI606="sim"), 1, 0)
</f>
        <v>0</v>
      </c>
      <c r="W598" s="319">
        <f>IF(AND('Ações'!AV606="sim", 'Ações'!BD606="sim"), 1, 0)
</f>
        <v>0</v>
      </c>
      <c r="X598" s="319">
        <f>IF(AND('Ações'!AV606="sim", 'Ações'!BE606="sim"), 1, 0)
</f>
        <v>0</v>
      </c>
      <c r="Y598" s="319">
        <f>IF(AND('Ações'!AV606="sim", 'Ações'!BF606="sim"), 1, 0)
</f>
        <v>0</v>
      </c>
      <c r="Z598" s="319">
        <f>IF(AND('Ações'!AV606="sim", 'Ações'!BH606="sim"), 1, 0)
</f>
        <v>0</v>
      </c>
      <c r="AA598" s="319">
        <f>IF(AND('Ações'!AV606="sim", 'Ações'!BI606="sim"), 1, 0)
</f>
        <v>1</v>
      </c>
      <c r="AB598" s="319">
        <f>IF(AND('Ações'!AW606="sim", 'Ações'!BD606="sim"), 1, 0)
</f>
        <v>0</v>
      </c>
      <c r="AC598" s="319">
        <f>IF(AND('Ações'!AW606="sim", 'Ações'!BE606="sim"), 1, 0)
</f>
        <v>0</v>
      </c>
      <c r="AD598" s="319">
        <f>IF(AND('Ações'!AW606="sim", 'Ações'!BF606="sim"), 1, 0)
</f>
        <v>0</v>
      </c>
      <c r="AE598" s="319">
        <f>IF(AND('Ações'!AW606="sim", 'Ações'!BG606="sim"), 1, 0)
</f>
        <v>0</v>
      </c>
      <c r="AF598" s="319">
        <f>IF(AND('Ações'!AW606="sim", 'Ações'!BI606="sim"), 1, 0)
</f>
        <v>1</v>
      </c>
      <c r="AG598" s="319">
        <f>IF(AND('Ações'!AX606="sim", 'Ações'!BD606="sim"), 1, 0)
</f>
        <v>0</v>
      </c>
      <c r="AH598" s="319">
        <f>IF(AND('Ações'!AX606="sim", 'Ações'!BE606="sim"), 1, 0)
</f>
        <v>0</v>
      </c>
      <c r="AI598" s="319">
        <f>IF(AND('Ações'!AX606="sim", 'Ações'!BF606="sim"), 1, 0)
</f>
        <v>0</v>
      </c>
      <c r="AJ598" s="319">
        <f>IF(AND('Ações'!AX606="sim", 'Ações'!BG606="sim"), 1, 0)
</f>
        <v>0</v>
      </c>
      <c r="AK598" s="319">
        <f>IF(AND('Ações'!AX606="sim", 'Ações'!BH606="sim"), 1, 0)
</f>
        <v>0</v>
      </c>
    </row>
    <row r="599">
      <c r="B599" s="319">
        <f>IF(AND('Ações'!AS607="sim", 'Ações'!BD607="sim"), 1, 0)
</f>
        <v>0</v>
      </c>
      <c r="C599" s="319">
        <f>IF(AND('Ações'!AT607="sim", 'Ações'!BE607="sim"), 1, 0)
</f>
        <v>0</v>
      </c>
      <c r="D599" s="319">
        <f>IF(AND('Ações'!AU607="sim", 'Ações'!BF607="sim"), 1, 0)
</f>
        <v>0</v>
      </c>
      <c r="E599" s="319">
        <f>IF(AND('Ações'!AV607="sim", 'Ações'!BG607="sim"), 1, 0)
</f>
        <v>0</v>
      </c>
      <c r="F599" s="319">
        <f>IF(AND('Ações'!AW607="sim", 'Ações'!BH607="sim"), 1, 0)
</f>
        <v>0</v>
      </c>
      <c r="G599" s="319">
        <f>IF(AND('Ações'!AX607="sim", 'Ações'!BI607="sim"), 1, 0)
</f>
        <v>1</v>
      </c>
      <c r="H599" s="319">
        <f>IF(AND('Ações'!AS607="sim", 'Ações'!BE607="sim"), 1, 0)
</f>
        <v>0</v>
      </c>
      <c r="I599" s="319">
        <f>IF(AND('Ações'!AS607="sim", 'Ações'!BF607="sim"), 1, 0)
</f>
        <v>0</v>
      </c>
      <c r="J599" s="319">
        <f>IF(AND('Ações'!AS607="sim", 'Ações'!BG607="sim"), 1, 0)
</f>
        <v>0</v>
      </c>
      <c r="K599" s="319">
        <f>IF(AND('Ações'!AS607="sim", 'Ações'!BH607="sim"), 1, 0)
</f>
        <v>0</v>
      </c>
      <c r="L599" s="319">
        <f>IF(AND('Ações'!AS607="sim", 'Ações'!BI607="sim"), 1, 0)
</f>
        <v>0</v>
      </c>
      <c r="M599" s="319">
        <f>IF(AND('Ações'!AT607="sim", 'Ações'!BD607="sim"), 1, 0)
</f>
        <v>0</v>
      </c>
      <c r="N599" s="319">
        <f>IF(AND('Ações'!AT607="sim", 'Ações'!BF607="sim"), 1, 0)
</f>
        <v>0</v>
      </c>
      <c r="O599" s="319">
        <f>IF(AND('Ações'!AT607="sim", 'Ações'!BG607="sim"), 1, 0)
</f>
        <v>0</v>
      </c>
      <c r="P599" s="319">
        <f>IF(AND('Ações'!AT607="sim", 'Ações'!BH607="sim"), 1, 0)
</f>
        <v>0</v>
      </c>
      <c r="Q599" s="319">
        <f>IF(AND('Ações'!AT607="sim", 'Ações'!BI607="sim"), 1, 0)
</f>
        <v>0</v>
      </c>
      <c r="R599" s="319">
        <f>IF(AND('Ações'!AU607="sim", 'Ações'!BD607="sim"), 1, 0)
</f>
        <v>0</v>
      </c>
      <c r="S599" s="319">
        <f>IF(AND('Ações'!AU607="sim", 'Ações'!BE607="sim"), 1, 0)
</f>
        <v>0</v>
      </c>
      <c r="T599" s="319">
        <f>IF(AND('Ações'!AU607="sim", 'Ações'!BG607="sim"), 1, 0)
</f>
        <v>0</v>
      </c>
      <c r="U599" s="319">
        <f>IF(AND('Ações'!AU607="sim", 'Ações'!BH607="sim"), 1, 0)
</f>
        <v>0</v>
      </c>
      <c r="V599" s="319">
        <f>IF(AND('Ações'!AU607="sim", 'Ações'!BI607="sim"), 1, 0)
</f>
        <v>0</v>
      </c>
      <c r="W599" s="319">
        <f>IF(AND('Ações'!AV607="sim", 'Ações'!BD607="sim"), 1, 0)
</f>
        <v>1</v>
      </c>
      <c r="X599" s="319">
        <f>IF(AND('Ações'!AV607="sim", 'Ações'!BE607="sim"), 1, 0)
</f>
        <v>0</v>
      </c>
      <c r="Y599" s="319">
        <f>IF(AND('Ações'!AV607="sim", 'Ações'!BF607="sim"), 1, 0)
</f>
        <v>0</v>
      </c>
      <c r="Z599" s="319">
        <f>IF(AND('Ações'!AV607="sim", 'Ações'!BH607="sim"), 1, 0)
</f>
        <v>0</v>
      </c>
      <c r="AA599" s="319">
        <f>IF(AND('Ações'!AV607="sim", 'Ações'!BI607="sim"), 1, 0)
</f>
        <v>1</v>
      </c>
      <c r="AB599" s="319">
        <f>IF(AND('Ações'!AW607="sim", 'Ações'!BD607="sim"), 1, 0)
</f>
        <v>1</v>
      </c>
      <c r="AC599" s="319">
        <f>IF(AND('Ações'!AW607="sim", 'Ações'!BE607="sim"), 1, 0)
</f>
        <v>0</v>
      </c>
      <c r="AD599" s="319">
        <f>IF(AND('Ações'!AW607="sim", 'Ações'!BF607="sim"), 1, 0)
</f>
        <v>0</v>
      </c>
      <c r="AE599" s="319">
        <f>IF(AND('Ações'!AW607="sim", 'Ações'!BG607="sim"), 1, 0)
</f>
        <v>0</v>
      </c>
      <c r="AF599" s="319">
        <f>IF(AND('Ações'!AW607="sim", 'Ações'!BI607="sim"), 1, 0)
</f>
        <v>1</v>
      </c>
      <c r="AG599" s="319">
        <f>IF(AND('Ações'!AX607="sim", 'Ações'!BD607="sim"), 1, 0)
</f>
        <v>1</v>
      </c>
      <c r="AH599" s="319">
        <f>IF(AND('Ações'!AX607="sim", 'Ações'!BE607="sim"), 1, 0)
</f>
        <v>0</v>
      </c>
      <c r="AI599" s="319">
        <f>IF(AND('Ações'!AX607="sim", 'Ações'!BF607="sim"), 1, 0)
</f>
        <v>0</v>
      </c>
      <c r="AJ599" s="319">
        <f>IF(AND('Ações'!AX607="sim", 'Ações'!BG607="sim"), 1, 0)
</f>
        <v>0</v>
      </c>
      <c r="AK599" s="319">
        <f>IF(AND('Ações'!AX607="sim", 'Ações'!BH607="sim"), 1, 0)
</f>
        <v>0</v>
      </c>
    </row>
    <row r="600">
      <c r="B600" s="319">
        <f>IF(AND('Ações'!AS608="sim", 'Ações'!BD608="sim"), 1, 0)
</f>
        <v>0</v>
      </c>
      <c r="C600" s="319">
        <f>IF(AND('Ações'!AT608="sim", 'Ações'!BE608="sim"), 1, 0)
</f>
        <v>0</v>
      </c>
      <c r="D600" s="319">
        <f>IF(AND('Ações'!AU608="sim", 'Ações'!BF608="sim"), 1, 0)
</f>
        <v>0</v>
      </c>
      <c r="E600" s="319">
        <f>IF(AND('Ações'!AV608="sim", 'Ações'!BG608="sim"), 1, 0)
</f>
        <v>0</v>
      </c>
      <c r="F600" s="319">
        <f>IF(AND('Ações'!AW608="sim", 'Ações'!BH608="sim"), 1, 0)
</f>
        <v>0</v>
      </c>
      <c r="G600" s="319">
        <f>IF(AND('Ações'!AX608="sim", 'Ações'!BI608="sim"), 1, 0)
</f>
        <v>1</v>
      </c>
      <c r="H600" s="319">
        <f>IF(AND('Ações'!AS608="sim", 'Ações'!BE608="sim"), 1, 0)
</f>
        <v>0</v>
      </c>
      <c r="I600" s="319">
        <f>IF(AND('Ações'!AS608="sim", 'Ações'!BF608="sim"), 1, 0)
</f>
        <v>0</v>
      </c>
      <c r="J600" s="319">
        <f>IF(AND('Ações'!AS608="sim", 'Ações'!BG608="sim"), 1, 0)
</f>
        <v>0</v>
      </c>
      <c r="K600" s="319">
        <f>IF(AND('Ações'!AS608="sim", 'Ações'!BH608="sim"), 1, 0)
</f>
        <v>0</v>
      </c>
      <c r="L600" s="319">
        <f>IF(AND('Ações'!AS608="sim", 'Ações'!BI608="sim"), 1, 0)
</f>
        <v>0</v>
      </c>
      <c r="M600" s="319">
        <f>IF(AND('Ações'!AT608="sim", 'Ações'!BD608="sim"), 1, 0)
</f>
        <v>0</v>
      </c>
      <c r="N600" s="319">
        <f>IF(AND('Ações'!AT608="sim", 'Ações'!BF608="sim"), 1, 0)
</f>
        <v>0</v>
      </c>
      <c r="O600" s="319">
        <f>IF(AND('Ações'!AT608="sim", 'Ações'!BG608="sim"), 1, 0)
</f>
        <v>0</v>
      </c>
      <c r="P600" s="319">
        <f>IF(AND('Ações'!AT608="sim", 'Ações'!BH608="sim"), 1, 0)
</f>
        <v>0</v>
      </c>
      <c r="Q600" s="319">
        <f>IF(AND('Ações'!AT608="sim", 'Ações'!BI608="sim"), 1, 0)
</f>
        <v>0</v>
      </c>
      <c r="R600" s="319">
        <f>IF(AND('Ações'!AU608="sim", 'Ações'!BD608="sim"), 1, 0)
</f>
        <v>0</v>
      </c>
      <c r="S600" s="319">
        <f>IF(AND('Ações'!AU608="sim", 'Ações'!BE608="sim"), 1, 0)
</f>
        <v>0</v>
      </c>
      <c r="T600" s="319">
        <f>IF(AND('Ações'!AU608="sim", 'Ações'!BG608="sim"), 1, 0)
</f>
        <v>0</v>
      </c>
      <c r="U600" s="319">
        <f>IF(AND('Ações'!AU608="sim", 'Ações'!BH608="sim"), 1, 0)
</f>
        <v>0</v>
      </c>
      <c r="V600" s="319">
        <f>IF(AND('Ações'!AU608="sim", 'Ações'!BI608="sim"), 1, 0)
</f>
        <v>0</v>
      </c>
      <c r="W600" s="319">
        <f>IF(AND('Ações'!AV608="sim", 'Ações'!BD608="sim"), 1, 0)
</f>
        <v>0</v>
      </c>
      <c r="X600" s="319">
        <f>IF(AND('Ações'!AV608="sim", 'Ações'!BE608="sim"), 1, 0)
</f>
        <v>0</v>
      </c>
      <c r="Y600" s="319">
        <f>IF(AND('Ações'!AV608="sim", 'Ações'!BF608="sim"), 1, 0)
</f>
        <v>0</v>
      </c>
      <c r="Z600" s="319">
        <f>IF(AND('Ações'!AV608="sim", 'Ações'!BH608="sim"), 1, 0)
</f>
        <v>0</v>
      </c>
      <c r="AA600" s="319">
        <f>IF(AND('Ações'!AV608="sim", 'Ações'!BI608="sim"), 1, 0)
</f>
        <v>1</v>
      </c>
      <c r="AB600" s="319">
        <f>IF(AND('Ações'!AW608="sim", 'Ações'!BD608="sim"), 1, 0)
</f>
        <v>0</v>
      </c>
      <c r="AC600" s="319">
        <f>IF(AND('Ações'!AW608="sim", 'Ações'!BE608="sim"), 1, 0)
</f>
        <v>0</v>
      </c>
      <c r="AD600" s="319">
        <f>IF(AND('Ações'!AW608="sim", 'Ações'!BF608="sim"), 1, 0)
</f>
        <v>0</v>
      </c>
      <c r="AE600" s="319">
        <f>IF(AND('Ações'!AW608="sim", 'Ações'!BG608="sim"), 1, 0)
</f>
        <v>0</v>
      </c>
      <c r="AF600" s="319">
        <f>IF(AND('Ações'!AW608="sim", 'Ações'!BI608="sim"), 1, 0)
</f>
        <v>1</v>
      </c>
      <c r="AG600" s="319">
        <f>IF(AND('Ações'!AX608="sim", 'Ações'!BD608="sim"), 1, 0)
</f>
        <v>0</v>
      </c>
      <c r="AH600" s="319">
        <f>IF(AND('Ações'!AX608="sim", 'Ações'!BE608="sim"), 1, 0)
</f>
        <v>0</v>
      </c>
      <c r="AI600" s="319">
        <f>IF(AND('Ações'!AX608="sim", 'Ações'!BF608="sim"), 1, 0)
</f>
        <v>0</v>
      </c>
      <c r="AJ600" s="319">
        <f>IF(AND('Ações'!AX608="sim", 'Ações'!BG608="sim"), 1, 0)
</f>
        <v>0</v>
      </c>
      <c r="AK600" s="319">
        <f>IF(AND('Ações'!AX608="sim", 'Ações'!BH608="sim"), 1, 0)
</f>
        <v>0</v>
      </c>
    </row>
    <row r="601">
      <c r="B601" s="319">
        <f>IF(AND('Ações'!AS609="sim", 'Ações'!BD609="sim"), 1, 0)
</f>
        <v>0</v>
      </c>
      <c r="C601" s="319">
        <f>IF(AND('Ações'!AT609="sim", 'Ações'!BE609="sim"), 1, 0)
</f>
        <v>0</v>
      </c>
      <c r="D601" s="319">
        <f>IF(AND('Ações'!AU609="sim", 'Ações'!BF609="sim"), 1, 0)
</f>
        <v>0</v>
      </c>
      <c r="E601" s="319">
        <f>IF(AND('Ações'!AV609="sim", 'Ações'!BG609="sim"), 1, 0)
</f>
        <v>0</v>
      </c>
      <c r="F601" s="319">
        <f>IF(AND('Ações'!AW609="sim", 'Ações'!BH609="sim"), 1, 0)
</f>
        <v>0</v>
      </c>
      <c r="G601" s="319">
        <f>IF(AND('Ações'!AX609="sim", 'Ações'!BI609="sim"), 1, 0)
</f>
        <v>1</v>
      </c>
      <c r="H601" s="319">
        <f>IF(AND('Ações'!AS609="sim", 'Ações'!BE609="sim"), 1, 0)
</f>
        <v>0</v>
      </c>
      <c r="I601" s="319">
        <f>IF(AND('Ações'!AS609="sim", 'Ações'!BF609="sim"), 1, 0)
</f>
        <v>0</v>
      </c>
      <c r="J601" s="319">
        <f>IF(AND('Ações'!AS609="sim", 'Ações'!BG609="sim"), 1, 0)
</f>
        <v>0</v>
      </c>
      <c r="K601" s="319">
        <f>IF(AND('Ações'!AS609="sim", 'Ações'!BH609="sim"), 1, 0)
</f>
        <v>0</v>
      </c>
      <c r="L601" s="319">
        <f>IF(AND('Ações'!AS609="sim", 'Ações'!BI609="sim"), 1, 0)
</f>
        <v>0</v>
      </c>
      <c r="M601" s="319">
        <f>IF(AND('Ações'!AT609="sim", 'Ações'!BD609="sim"), 1, 0)
</f>
        <v>0</v>
      </c>
      <c r="N601" s="319">
        <f>IF(AND('Ações'!AT609="sim", 'Ações'!BF609="sim"), 1, 0)
</f>
        <v>0</v>
      </c>
      <c r="O601" s="319">
        <f>IF(AND('Ações'!AT609="sim", 'Ações'!BG609="sim"), 1, 0)
</f>
        <v>0</v>
      </c>
      <c r="P601" s="319">
        <f>IF(AND('Ações'!AT609="sim", 'Ações'!BH609="sim"), 1, 0)
</f>
        <v>0</v>
      </c>
      <c r="Q601" s="319">
        <f>IF(AND('Ações'!AT609="sim", 'Ações'!BI609="sim"), 1, 0)
</f>
        <v>0</v>
      </c>
      <c r="R601" s="319">
        <f>IF(AND('Ações'!AU609="sim", 'Ações'!BD609="sim"), 1, 0)
</f>
        <v>0</v>
      </c>
      <c r="S601" s="319">
        <f>IF(AND('Ações'!AU609="sim", 'Ações'!BE609="sim"), 1, 0)
</f>
        <v>0</v>
      </c>
      <c r="T601" s="319">
        <f>IF(AND('Ações'!AU609="sim", 'Ações'!BG609="sim"), 1, 0)
</f>
        <v>0</v>
      </c>
      <c r="U601" s="319">
        <f>IF(AND('Ações'!AU609="sim", 'Ações'!BH609="sim"), 1, 0)
</f>
        <v>0</v>
      </c>
      <c r="V601" s="319">
        <f>IF(AND('Ações'!AU609="sim", 'Ações'!BI609="sim"), 1, 0)
</f>
        <v>0</v>
      </c>
      <c r="W601" s="319">
        <f>IF(AND('Ações'!AV609="sim", 'Ações'!BD609="sim"), 1, 0)
</f>
        <v>0</v>
      </c>
      <c r="X601" s="319">
        <f>IF(AND('Ações'!AV609="sim", 'Ações'!BE609="sim"), 1, 0)
</f>
        <v>0</v>
      </c>
      <c r="Y601" s="319">
        <f>IF(AND('Ações'!AV609="sim", 'Ações'!BF609="sim"), 1, 0)
</f>
        <v>0</v>
      </c>
      <c r="Z601" s="319">
        <f>IF(AND('Ações'!AV609="sim", 'Ações'!BH609="sim"), 1, 0)
</f>
        <v>0</v>
      </c>
      <c r="AA601" s="319">
        <f>IF(AND('Ações'!AV609="sim", 'Ações'!BI609="sim"), 1, 0)
</f>
        <v>1</v>
      </c>
      <c r="AB601" s="319">
        <f>IF(AND('Ações'!AW609="sim", 'Ações'!BD609="sim"), 1, 0)
</f>
        <v>0</v>
      </c>
      <c r="AC601" s="319">
        <f>IF(AND('Ações'!AW609="sim", 'Ações'!BE609="sim"), 1, 0)
</f>
        <v>0</v>
      </c>
      <c r="AD601" s="319">
        <f>IF(AND('Ações'!AW609="sim", 'Ações'!BF609="sim"), 1, 0)
</f>
        <v>0</v>
      </c>
      <c r="AE601" s="319">
        <f>IF(AND('Ações'!AW609="sim", 'Ações'!BG609="sim"), 1, 0)
</f>
        <v>0</v>
      </c>
      <c r="AF601" s="319">
        <f>IF(AND('Ações'!AW609="sim", 'Ações'!BI609="sim"), 1, 0)
</f>
        <v>1</v>
      </c>
      <c r="AG601" s="319">
        <f>IF(AND('Ações'!AX609="sim", 'Ações'!BD609="sim"), 1, 0)
</f>
        <v>0</v>
      </c>
      <c r="AH601" s="319">
        <f>IF(AND('Ações'!AX609="sim", 'Ações'!BE609="sim"), 1, 0)
</f>
        <v>0</v>
      </c>
      <c r="AI601" s="319">
        <f>IF(AND('Ações'!AX609="sim", 'Ações'!BF609="sim"), 1, 0)
</f>
        <v>0</v>
      </c>
      <c r="AJ601" s="319">
        <f>IF(AND('Ações'!AX609="sim", 'Ações'!BG609="sim"), 1, 0)
</f>
        <v>0</v>
      </c>
      <c r="AK601" s="319">
        <f>IF(AND('Ações'!AX609="sim", 'Ações'!BH609="sim"), 1, 0)
</f>
        <v>0</v>
      </c>
    </row>
    <row r="602">
      <c r="B602" s="319">
        <f>IF(AND('Ações'!AS610="sim", 'Ações'!BD610="sim"), 1, 0)
</f>
        <v>0</v>
      </c>
      <c r="C602" s="319">
        <f>IF(AND('Ações'!AT610="sim", 'Ações'!BE610="sim"), 1, 0)
</f>
        <v>0</v>
      </c>
      <c r="D602" s="319">
        <f>IF(AND('Ações'!AU610="sim", 'Ações'!BF610="sim"), 1, 0)
</f>
        <v>0</v>
      </c>
      <c r="E602" s="319">
        <f>IF(AND('Ações'!AV610="sim", 'Ações'!BG610="sim"), 1, 0)
</f>
        <v>0</v>
      </c>
      <c r="F602" s="319">
        <f>IF(AND('Ações'!AW610="sim", 'Ações'!BH610="sim"), 1, 0)
</f>
        <v>0</v>
      </c>
      <c r="G602" s="319">
        <f>IF(AND('Ações'!AX610="sim", 'Ações'!BI610="sim"), 1, 0)
</f>
        <v>1</v>
      </c>
      <c r="H602" s="319">
        <f>IF(AND('Ações'!AS610="sim", 'Ações'!BE610="sim"), 1, 0)
</f>
        <v>0</v>
      </c>
      <c r="I602" s="319">
        <f>IF(AND('Ações'!AS610="sim", 'Ações'!BF610="sim"), 1, 0)
</f>
        <v>0</v>
      </c>
      <c r="J602" s="319">
        <f>IF(AND('Ações'!AS610="sim", 'Ações'!BG610="sim"), 1, 0)
</f>
        <v>0</v>
      </c>
      <c r="K602" s="319">
        <f>IF(AND('Ações'!AS610="sim", 'Ações'!BH610="sim"), 1, 0)
</f>
        <v>0</v>
      </c>
      <c r="L602" s="319">
        <f>IF(AND('Ações'!AS610="sim", 'Ações'!BI610="sim"), 1, 0)
</f>
        <v>0</v>
      </c>
      <c r="M602" s="319">
        <f>IF(AND('Ações'!AT610="sim", 'Ações'!BD610="sim"), 1, 0)
</f>
        <v>0</v>
      </c>
      <c r="N602" s="319">
        <f>IF(AND('Ações'!AT610="sim", 'Ações'!BF610="sim"), 1, 0)
</f>
        <v>0</v>
      </c>
      <c r="O602" s="319">
        <f>IF(AND('Ações'!AT610="sim", 'Ações'!BG610="sim"), 1, 0)
</f>
        <v>0</v>
      </c>
      <c r="P602" s="319">
        <f>IF(AND('Ações'!AT610="sim", 'Ações'!BH610="sim"), 1, 0)
</f>
        <v>0</v>
      </c>
      <c r="Q602" s="319">
        <f>IF(AND('Ações'!AT610="sim", 'Ações'!BI610="sim"), 1, 0)
</f>
        <v>0</v>
      </c>
      <c r="R602" s="319">
        <f>IF(AND('Ações'!AU610="sim", 'Ações'!BD610="sim"), 1, 0)
</f>
        <v>0</v>
      </c>
      <c r="S602" s="319">
        <f>IF(AND('Ações'!AU610="sim", 'Ações'!BE610="sim"), 1, 0)
</f>
        <v>0</v>
      </c>
      <c r="T602" s="319">
        <f>IF(AND('Ações'!AU610="sim", 'Ações'!BG610="sim"), 1, 0)
</f>
        <v>0</v>
      </c>
      <c r="U602" s="319">
        <f>IF(AND('Ações'!AU610="sim", 'Ações'!BH610="sim"), 1, 0)
</f>
        <v>0</v>
      </c>
      <c r="V602" s="319">
        <f>IF(AND('Ações'!AU610="sim", 'Ações'!BI610="sim"), 1, 0)
</f>
        <v>0</v>
      </c>
      <c r="W602" s="319">
        <f>IF(AND('Ações'!AV610="sim", 'Ações'!BD610="sim"), 1, 0)
</f>
        <v>0</v>
      </c>
      <c r="X602" s="319">
        <f>IF(AND('Ações'!AV610="sim", 'Ações'!BE610="sim"), 1, 0)
</f>
        <v>0</v>
      </c>
      <c r="Y602" s="319">
        <f>IF(AND('Ações'!AV610="sim", 'Ações'!BF610="sim"), 1, 0)
</f>
        <v>0</v>
      </c>
      <c r="Z602" s="319">
        <f>IF(AND('Ações'!AV610="sim", 'Ações'!BH610="sim"), 1, 0)
</f>
        <v>0</v>
      </c>
      <c r="AA602" s="319">
        <f>IF(AND('Ações'!AV610="sim", 'Ações'!BI610="sim"), 1, 0)
</f>
        <v>1</v>
      </c>
      <c r="AB602" s="319">
        <f>IF(AND('Ações'!AW610="sim", 'Ações'!BD610="sim"), 1, 0)
</f>
        <v>0</v>
      </c>
      <c r="AC602" s="319">
        <f>IF(AND('Ações'!AW610="sim", 'Ações'!BE610="sim"), 1, 0)
</f>
        <v>0</v>
      </c>
      <c r="AD602" s="319">
        <f>IF(AND('Ações'!AW610="sim", 'Ações'!BF610="sim"), 1, 0)
</f>
        <v>0</v>
      </c>
      <c r="AE602" s="319">
        <f>IF(AND('Ações'!AW610="sim", 'Ações'!BG610="sim"), 1, 0)
</f>
        <v>0</v>
      </c>
      <c r="AF602" s="319">
        <f>IF(AND('Ações'!AW610="sim", 'Ações'!BI610="sim"), 1, 0)
</f>
        <v>1</v>
      </c>
      <c r="AG602" s="319">
        <f>IF(AND('Ações'!AX610="sim", 'Ações'!BD610="sim"), 1, 0)
</f>
        <v>0</v>
      </c>
      <c r="AH602" s="319">
        <f>IF(AND('Ações'!AX610="sim", 'Ações'!BE610="sim"), 1, 0)
</f>
        <v>0</v>
      </c>
      <c r="AI602" s="319">
        <f>IF(AND('Ações'!AX610="sim", 'Ações'!BF610="sim"), 1, 0)
</f>
        <v>0</v>
      </c>
      <c r="AJ602" s="319">
        <f>IF(AND('Ações'!AX610="sim", 'Ações'!BG610="sim"), 1, 0)
</f>
        <v>0</v>
      </c>
      <c r="AK602" s="319">
        <f>IF(AND('Ações'!AX610="sim", 'Ações'!BH610="sim"), 1, 0)
</f>
        <v>0</v>
      </c>
    </row>
    <row r="603">
      <c r="B603" s="319">
        <f>IF(AND('Ações'!AS611="sim", 'Ações'!BD611="sim"), 1, 0)
</f>
        <v>0</v>
      </c>
      <c r="C603" s="319">
        <f>IF(AND('Ações'!AT611="sim", 'Ações'!BE611="sim"), 1, 0)
</f>
        <v>0</v>
      </c>
      <c r="D603" s="319">
        <f>IF(AND('Ações'!AU611="sim", 'Ações'!BF611="sim"), 1, 0)
</f>
        <v>0</v>
      </c>
      <c r="E603" s="319">
        <f>IF(AND('Ações'!AV611="sim", 'Ações'!BG611="sim"), 1, 0)
</f>
        <v>0</v>
      </c>
      <c r="F603" s="319">
        <f>IF(AND('Ações'!AW611="sim", 'Ações'!BH611="sim"), 1, 0)
</f>
        <v>1</v>
      </c>
      <c r="G603" s="319">
        <f>IF(AND('Ações'!AX611="sim", 'Ações'!BI611="sim"), 1, 0)
</f>
        <v>0</v>
      </c>
      <c r="H603" s="319">
        <f>IF(AND('Ações'!AS611="sim", 'Ações'!BE611="sim"), 1, 0)
</f>
        <v>0</v>
      </c>
      <c r="I603" s="319">
        <f>IF(AND('Ações'!AS611="sim", 'Ações'!BF611="sim"), 1, 0)
</f>
        <v>0</v>
      </c>
      <c r="J603" s="319">
        <f>IF(AND('Ações'!AS611="sim", 'Ações'!BG611="sim"), 1, 0)
</f>
        <v>0</v>
      </c>
      <c r="K603" s="319">
        <f>IF(AND('Ações'!AS611="sim", 'Ações'!BH611="sim"), 1, 0)
</f>
        <v>0</v>
      </c>
      <c r="L603" s="319">
        <f>IF(AND('Ações'!AS611="sim", 'Ações'!BI611="sim"), 1, 0)
</f>
        <v>0</v>
      </c>
      <c r="M603" s="319">
        <f>IF(AND('Ações'!AT611="sim", 'Ações'!BD611="sim"), 1, 0)
</f>
        <v>0</v>
      </c>
      <c r="N603" s="319">
        <f>IF(AND('Ações'!AT611="sim", 'Ações'!BF611="sim"), 1, 0)
</f>
        <v>0</v>
      </c>
      <c r="O603" s="319">
        <f>IF(AND('Ações'!AT611="sim", 'Ações'!BG611="sim"), 1, 0)
</f>
        <v>0</v>
      </c>
      <c r="P603" s="319">
        <f>IF(AND('Ações'!AT611="sim", 'Ações'!BH611="sim"), 1, 0)
</f>
        <v>0</v>
      </c>
      <c r="Q603" s="319">
        <f>IF(AND('Ações'!AT611="sim", 'Ações'!BI611="sim"), 1, 0)
</f>
        <v>0</v>
      </c>
      <c r="R603" s="319">
        <f>IF(AND('Ações'!AU611="sim", 'Ações'!BD611="sim"), 1, 0)
</f>
        <v>0</v>
      </c>
      <c r="S603" s="319">
        <f>IF(AND('Ações'!AU611="sim", 'Ações'!BE611="sim"), 1, 0)
</f>
        <v>0</v>
      </c>
      <c r="T603" s="319">
        <f>IF(AND('Ações'!AU611="sim", 'Ações'!BG611="sim"), 1, 0)
</f>
        <v>0</v>
      </c>
      <c r="U603" s="319">
        <f>IF(AND('Ações'!AU611="sim", 'Ações'!BH611="sim"), 1, 0)
</f>
        <v>0</v>
      </c>
      <c r="V603" s="319">
        <f>IF(AND('Ações'!AU611="sim", 'Ações'!BI611="sim"), 1, 0)
</f>
        <v>0</v>
      </c>
      <c r="W603" s="319">
        <f>IF(AND('Ações'!AV611="sim", 'Ações'!BD611="sim"), 1, 0)
</f>
        <v>1</v>
      </c>
      <c r="X603" s="319">
        <f>IF(AND('Ações'!AV611="sim", 'Ações'!BE611="sim"), 1, 0)
</f>
        <v>0</v>
      </c>
      <c r="Y603" s="319">
        <f>IF(AND('Ações'!AV611="sim", 'Ações'!BF611="sim"), 1, 0)
</f>
        <v>0</v>
      </c>
      <c r="Z603" s="319">
        <f>IF(AND('Ações'!AV611="sim", 'Ações'!BH611="sim"), 1, 0)
</f>
        <v>1</v>
      </c>
      <c r="AA603" s="319">
        <f>IF(AND('Ações'!AV611="sim", 'Ações'!BI611="sim"), 1, 0)
</f>
        <v>0</v>
      </c>
      <c r="AB603" s="319">
        <f>IF(AND('Ações'!AW611="sim", 'Ações'!BD611="sim"), 1, 0)
</f>
        <v>1</v>
      </c>
      <c r="AC603" s="319">
        <f>IF(AND('Ações'!AW611="sim", 'Ações'!BE611="sim"), 1, 0)
</f>
        <v>0</v>
      </c>
      <c r="AD603" s="319">
        <f>IF(AND('Ações'!AW611="sim", 'Ações'!BF611="sim"), 1, 0)
</f>
        <v>0</v>
      </c>
      <c r="AE603" s="319">
        <f>IF(AND('Ações'!AW611="sim", 'Ações'!BG611="sim"), 1, 0)
</f>
        <v>0</v>
      </c>
      <c r="AF603" s="319">
        <f>IF(AND('Ações'!AW611="sim", 'Ações'!BI611="sim"), 1, 0)
</f>
        <v>0</v>
      </c>
      <c r="AG603" s="319">
        <f>IF(AND('Ações'!AX611="sim", 'Ações'!BD611="sim"), 1, 0)
</f>
        <v>1</v>
      </c>
      <c r="AH603" s="319">
        <f>IF(AND('Ações'!AX611="sim", 'Ações'!BE611="sim"), 1, 0)
</f>
        <v>0</v>
      </c>
      <c r="AI603" s="319">
        <f>IF(AND('Ações'!AX611="sim", 'Ações'!BF611="sim"), 1, 0)
</f>
        <v>0</v>
      </c>
      <c r="AJ603" s="319">
        <f>IF(AND('Ações'!AX611="sim", 'Ações'!BG611="sim"), 1, 0)
</f>
        <v>0</v>
      </c>
      <c r="AK603" s="319">
        <f>IF(AND('Ações'!AX611="sim", 'Ações'!BH611="sim"), 1, 0)
</f>
        <v>1</v>
      </c>
    </row>
    <row r="604">
      <c r="B604" s="319">
        <f>IF(AND('Ações'!AS612="sim", 'Ações'!BD612="sim"), 1, 0)
</f>
        <v>0</v>
      </c>
      <c r="C604" s="319">
        <f>IF(AND('Ações'!AT612="sim", 'Ações'!BE612="sim"), 1, 0)
</f>
        <v>0</v>
      </c>
      <c r="D604" s="319">
        <f>IF(AND('Ações'!AU612="sim", 'Ações'!BF612="sim"), 1, 0)
</f>
        <v>0</v>
      </c>
      <c r="E604" s="319">
        <f>IF(AND('Ações'!AV612="sim", 'Ações'!BG612="sim"), 1, 0)
</f>
        <v>0</v>
      </c>
      <c r="F604" s="319">
        <f>IF(AND('Ações'!AW612="sim", 'Ações'!BH612="sim"), 1, 0)
</f>
        <v>0</v>
      </c>
      <c r="G604" s="319">
        <f>IF(AND('Ações'!AX612="sim", 'Ações'!BI612="sim"), 1, 0)
</f>
        <v>0</v>
      </c>
      <c r="H604" s="319">
        <f>IF(AND('Ações'!AS612="sim", 'Ações'!BE612="sim"), 1, 0)
</f>
        <v>0</v>
      </c>
      <c r="I604" s="319">
        <f>IF(AND('Ações'!AS612="sim", 'Ações'!BF612="sim"), 1, 0)
</f>
        <v>0</v>
      </c>
      <c r="J604" s="319">
        <f>IF(AND('Ações'!AS612="sim", 'Ações'!BG612="sim"), 1, 0)
</f>
        <v>0</v>
      </c>
      <c r="K604" s="319">
        <f>IF(AND('Ações'!AS612="sim", 'Ações'!BH612="sim"), 1, 0)
</f>
        <v>0</v>
      </c>
      <c r="L604" s="319">
        <f>IF(AND('Ações'!AS612="sim", 'Ações'!BI612="sim"), 1, 0)
</f>
        <v>0</v>
      </c>
      <c r="M604" s="319">
        <f>IF(AND('Ações'!AT612="sim", 'Ações'!BD612="sim"), 1, 0)
</f>
        <v>0</v>
      </c>
      <c r="N604" s="319">
        <f>IF(AND('Ações'!AT612="sim", 'Ações'!BF612="sim"), 1, 0)
</f>
        <v>0</v>
      </c>
      <c r="O604" s="319">
        <f>IF(AND('Ações'!AT612="sim", 'Ações'!BG612="sim"), 1, 0)
</f>
        <v>0</v>
      </c>
      <c r="P604" s="319">
        <f>IF(AND('Ações'!AT612="sim", 'Ações'!BH612="sim"), 1, 0)
</f>
        <v>0</v>
      </c>
      <c r="Q604" s="319">
        <f>IF(AND('Ações'!AT612="sim", 'Ações'!BI612="sim"), 1, 0)
</f>
        <v>0</v>
      </c>
      <c r="R604" s="319">
        <f>IF(AND('Ações'!AU612="sim", 'Ações'!BD612="sim"), 1, 0)
</f>
        <v>0</v>
      </c>
      <c r="S604" s="319">
        <f>IF(AND('Ações'!AU612="sim", 'Ações'!BE612="sim"), 1, 0)
</f>
        <v>0</v>
      </c>
      <c r="T604" s="319">
        <f>IF(AND('Ações'!AU612="sim", 'Ações'!BG612="sim"), 1, 0)
</f>
        <v>0</v>
      </c>
      <c r="U604" s="319">
        <f>IF(AND('Ações'!AU612="sim", 'Ações'!BH612="sim"), 1, 0)
</f>
        <v>0</v>
      </c>
      <c r="V604" s="319">
        <f>IF(AND('Ações'!AU612="sim", 'Ações'!BI612="sim"), 1, 0)
</f>
        <v>0</v>
      </c>
      <c r="W604" s="319">
        <f>IF(AND('Ações'!AV612="sim", 'Ações'!BD612="sim"), 1, 0)
</f>
        <v>1</v>
      </c>
      <c r="X604" s="319">
        <f>IF(AND('Ações'!AV612="sim", 'Ações'!BE612="sim"), 1, 0)
</f>
        <v>0</v>
      </c>
      <c r="Y604" s="319">
        <f>IF(AND('Ações'!AV612="sim", 'Ações'!BF612="sim"), 1, 0)
</f>
        <v>0</v>
      </c>
      <c r="Z604" s="319">
        <f>IF(AND('Ações'!AV612="sim", 'Ações'!BH612="sim"), 1, 0)
</f>
        <v>0</v>
      </c>
      <c r="AA604" s="319">
        <f>IF(AND('Ações'!AV612="sim", 'Ações'!BI612="sim"), 1, 0)
</f>
        <v>0</v>
      </c>
      <c r="AB604" s="319">
        <f>IF(AND('Ações'!AW612="sim", 'Ações'!BD612="sim"), 1, 0)
</f>
        <v>1</v>
      </c>
      <c r="AC604" s="319">
        <f>IF(AND('Ações'!AW612="sim", 'Ações'!BE612="sim"), 1, 0)
</f>
        <v>0</v>
      </c>
      <c r="AD604" s="319">
        <f>IF(AND('Ações'!AW612="sim", 'Ações'!BF612="sim"), 1, 0)
</f>
        <v>0</v>
      </c>
      <c r="AE604" s="319">
        <f>IF(AND('Ações'!AW612="sim", 'Ações'!BG612="sim"), 1, 0)
</f>
        <v>0</v>
      </c>
      <c r="AF604" s="319">
        <f>IF(AND('Ações'!AW612="sim", 'Ações'!BI612="sim"), 1, 0)
</f>
        <v>0</v>
      </c>
      <c r="AG604" s="319">
        <f>IF(AND('Ações'!AX612="sim", 'Ações'!BD612="sim"), 1, 0)
</f>
        <v>1</v>
      </c>
      <c r="AH604" s="319">
        <f>IF(AND('Ações'!AX612="sim", 'Ações'!BE612="sim"), 1, 0)
</f>
        <v>0</v>
      </c>
      <c r="AI604" s="319">
        <f>IF(AND('Ações'!AX612="sim", 'Ações'!BF612="sim"), 1, 0)
</f>
        <v>0</v>
      </c>
      <c r="AJ604" s="319">
        <f>IF(AND('Ações'!AX612="sim", 'Ações'!BG612="sim"), 1, 0)
</f>
        <v>0</v>
      </c>
      <c r="AK604" s="319">
        <f>IF(AND('Ações'!AX612="sim", 'Ações'!BH612="sim"), 1, 0)
</f>
        <v>0</v>
      </c>
    </row>
    <row r="605">
      <c r="B605" s="319">
        <f>IF(AND('Ações'!AS613="sim", 'Ações'!BD613="sim"), 1, 0)
</f>
        <v>0</v>
      </c>
      <c r="C605" s="319">
        <f>IF(AND('Ações'!AT613="sim", 'Ações'!BE613="sim"), 1, 0)
</f>
        <v>0</v>
      </c>
      <c r="D605" s="319">
        <f>IF(AND('Ações'!AU613="sim", 'Ações'!BF613="sim"), 1, 0)
</f>
        <v>0</v>
      </c>
      <c r="E605" s="319">
        <f>IF(AND('Ações'!AV613="sim", 'Ações'!BG613="sim"), 1, 0)
</f>
        <v>0</v>
      </c>
      <c r="F605" s="319">
        <f>IF(AND('Ações'!AW613="sim", 'Ações'!BH613="sim"), 1, 0)
</f>
        <v>0</v>
      </c>
      <c r="G605" s="319">
        <f>IF(AND('Ações'!AX613="sim", 'Ações'!BI613="sim"), 1, 0)
</f>
        <v>0</v>
      </c>
      <c r="H605" s="319">
        <f>IF(AND('Ações'!AS613="sim", 'Ações'!BE613="sim"), 1, 0)
</f>
        <v>0</v>
      </c>
      <c r="I605" s="319">
        <f>IF(AND('Ações'!AS613="sim", 'Ações'!BF613="sim"), 1, 0)
</f>
        <v>0</v>
      </c>
      <c r="J605" s="319">
        <f>IF(AND('Ações'!AS613="sim", 'Ações'!BG613="sim"), 1, 0)
</f>
        <v>0</v>
      </c>
      <c r="K605" s="319">
        <f>IF(AND('Ações'!AS613="sim", 'Ações'!BH613="sim"), 1, 0)
</f>
        <v>0</v>
      </c>
      <c r="L605" s="319">
        <f>IF(AND('Ações'!AS613="sim", 'Ações'!BI613="sim"), 1, 0)
</f>
        <v>0</v>
      </c>
      <c r="M605" s="319">
        <f>IF(AND('Ações'!AT613="sim", 'Ações'!BD613="sim"), 1, 0)
</f>
        <v>0</v>
      </c>
      <c r="N605" s="319">
        <f>IF(AND('Ações'!AT613="sim", 'Ações'!BF613="sim"), 1, 0)
</f>
        <v>0</v>
      </c>
      <c r="O605" s="319">
        <f>IF(AND('Ações'!AT613="sim", 'Ações'!BG613="sim"), 1, 0)
</f>
        <v>0</v>
      </c>
      <c r="P605" s="319">
        <f>IF(AND('Ações'!AT613="sim", 'Ações'!BH613="sim"), 1, 0)
</f>
        <v>0</v>
      </c>
      <c r="Q605" s="319">
        <f>IF(AND('Ações'!AT613="sim", 'Ações'!BI613="sim"), 1, 0)
</f>
        <v>0</v>
      </c>
      <c r="R605" s="319">
        <f>IF(AND('Ações'!AU613="sim", 'Ações'!BD613="sim"), 1, 0)
</f>
        <v>0</v>
      </c>
      <c r="S605" s="319">
        <f>IF(AND('Ações'!AU613="sim", 'Ações'!BE613="sim"), 1, 0)
</f>
        <v>0</v>
      </c>
      <c r="T605" s="319">
        <f>IF(AND('Ações'!AU613="sim", 'Ações'!BG613="sim"), 1, 0)
</f>
        <v>0</v>
      </c>
      <c r="U605" s="319">
        <f>IF(AND('Ações'!AU613="sim", 'Ações'!BH613="sim"), 1, 0)
</f>
        <v>0</v>
      </c>
      <c r="V605" s="319">
        <f>IF(AND('Ações'!AU613="sim", 'Ações'!BI613="sim"), 1, 0)
</f>
        <v>0</v>
      </c>
      <c r="W605" s="319">
        <f>IF(AND('Ações'!AV613="sim", 'Ações'!BD613="sim"), 1, 0)
</f>
        <v>1</v>
      </c>
      <c r="X605" s="319">
        <f>IF(AND('Ações'!AV613="sim", 'Ações'!BE613="sim"), 1, 0)
</f>
        <v>0</v>
      </c>
      <c r="Y605" s="319">
        <f>IF(AND('Ações'!AV613="sim", 'Ações'!BF613="sim"), 1, 0)
</f>
        <v>0</v>
      </c>
      <c r="Z605" s="319">
        <f>IF(AND('Ações'!AV613="sim", 'Ações'!BH613="sim"), 1, 0)
</f>
        <v>0</v>
      </c>
      <c r="AA605" s="319">
        <f>IF(AND('Ações'!AV613="sim", 'Ações'!BI613="sim"), 1, 0)
</f>
        <v>0</v>
      </c>
      <c r="AB605" s="319">
        <f>IF(AND('Ações'!AW613="sim", 'Ações'!BD613="sim"), 1, 0)
</f>
        <v>1</v>
      </c>
      <c r="AC605" s="319">
        <f>IF(AND('Ações'!AW613="sim", 'Ações'!BE613="sim"), 1, 0)
</f>
        <v>0</v>
      </c>
      <c r="AD605" s="319">
        <f>IF(AND('Ações'!AW613="sim", 'Ações'!BF613="sim"), 1, 0)
</f>
        <v>0</v>
      </c>
      <c r="AE605" s="319">
        <f>IF(AND('Ações'!AW613="sim", 'Ações'!BG613="sim"), 1, 0)
</f>
        <v>0</v>
      </c>
      <c r="AF605" s="319">
        <f>IF(AND('Ações'!AW613="sim", 'Ações'!BI613="sim"), 1, 0)
</f>
        <v>0</v>
      </c>
      <c r="AG605" s="319">
        <f>IF(AND('Ações'!AX613="sim", 'Ações'!BD613="sim"), 1, 0)
</f>
        <v>1</v>
      </c>
      <c r="AH605" s="319">
        <f>IF(AND('Ações'!AX613="sim", 'Ações'!BE613="sim"), 1, 0)
</f>
        <v>0</v>
      </c>
      <c r="AI605" s="319">
        <f>IF(AND('Ações'!AX613="sim", 'Ações'!BF613="sim"), 1, 0)
</f>
        <v>0</v>
      </c>
      <c r="AJ605" s="319">
        <f>IF(AND('Ações'!AX613="sim", 'Ações'!BG613="sim"), 1, 0)
</f>
        <v>0</v>
      </c>
      <c r="AK605" s="319">
        <f>IF(AND('Ações'!AX613="sim", 'Ações'!BH613="sim"), 1, 0)
</f>
        <v>0</v>
      </c>
    </row>
    <row r="606">
      <c r="B606" s="319">
        <f>IF(AND('Ações'!AS614="sim", 'Ações'!BD614="sim"), 1, 0)
</f>
        <v>0</v>
      </c>
      <c r="C606" s="319">
        <f>IF(AND('Ações'!AT614="sim", 'Ações'!BE614="sim"), 1, 0)
</f>
        <v>0</v>
      </c>
      <c r="D606" s="319">
        <f>IF(AND('Ações'!AU614="sim", 'Ações'!BF614="sim"), 1, 0)
</f>
        <v>0</v>
      </c>
      <c r="E606" s="319">
        <f>IF(AND('Ações'!AV614="sim", 'Ações'!BG614="sim"), 1, 0)
</f>
        <v>0</v>
      </c>
      <c r="F606" s="319">
        <f>IF(AND('Ações'!AW614="sim", 'Ações'!BH614="sim"), 1, 0)
</f>
        <v>0</v>
      </c>
      <c r="G606" s="319">
        <f>IF(AND('Ações'!AX614="sim", 'Ações'!BI614="sim"), 1, 0)
</f>
        <v>0</v>
      </c>
      <c r="H606" s="319">
        <f>IF(AND('Ações'!AS614="sim", 'Ações'!BE614="sim"), 1, 0)
</f>
        <v>0</v>
      </c>
      <c r="I606" s="319">
        <f>IF(AND('Ações'!AS614="sim", 'Ações'!BF614="sim"), 1, 0)
</f>
        <v>0</v>
      </c>
      <c r="J606" s="319">
        <f>IF(AND('Ações'!AS614="sim", 'Ações'!BG614="sim"), 1, 0)
</f>
        <v>0</v>
      </c>
      <c r="K606" s="319">
        <f>IF(AND('Ações'!AS614="sim", 'Ações'!BH614="sim"), 1, 0)
</f>
        <v>0</v>
      </c>
      <c r="L606" s="319">
        <f>IF(AND('Ações'!AS614="sim", 'Ações'!BI614="sim"), 1, 0)
</f>
        <v>0</v>
      </c>
      <c r="M606" s="319">
        <f>IF(AND('Ações'!AT614="sim", 'Ações'!BD614="sim"), 1, 0)
</f>
        <v>0</v>
      </c>
      <c r="N606" s="319">
        <f>IF(AND('Ações'!AT614="sim", 'Ações'!BF614="sim"), 1, 0)
</f>
        <v>0</v>
      </c>
      <c r="O606" s="319">
        <f>IF(AND('Ações'!AT614="sim", 'Ações'!BG614="sim"), 1, 0)
</f>
        <v>0</v>
      </c>
      <c r="P606" s="319">
        <f>IF(AND('Ações'!AT614="sim", 'Ações'!BH614="sim"), 1, 0)
</f>
        <v>0</v>
      </c>
      <c r="Q606" s="319">
        <f>IF(AND('Ações'!AT614="sim", 'Ações'!BI614="sim"), 1, 0)
</f>
        <v>0</v>
      </c>
      <c r="R606" s="319">
        <f>IF(AND('Ações'!AU614="sim", 'Ações'!BD614="sim"), 1, 0)
</f>
        <v>0</v>
      </c>
      <c r="S606" s="319">
        <f>IF(AND('Ações'!AU614="sim", 'Ações'!BE614="sim"), 1, 0)
</f>
        <v>0</v>
      </c>
      <c r="T606" s="319">
        <f>IF(AND('Ações'!AU614="sim", 'Ações'!BG614="sim"), 1, 0)
</f>
        <v>0</v>
      </c>
      <c r="U606" s="319">
        <f>IF(AND('Ações'!AU614="sim", 'Ações'!BH614="sim"), 1, 0)
</f>
        <v>0</v>
      </c>
      <c r="V606" s="319">
        <f>IF(AND('Ações'!AU614="sim", 'Ações'!BI614="sim"), 1, 0)
</f>
        <v>0</v>
      </c>
      <c r="W606" s="319">
        <f>IF(AND('Ações'!AV614="sim", 'Ações'!BD614="sim"), 1, 0)
</f>
        <v>1</v>
      </c>
      <c r="X606" s="319">
        <f>IF(AND('Ações'!AV614="sim", 'Ações'!BE614="sim"), 1, 0)
</f>
        <v>0</v>
      </c>
      <c r="Y606" s="319">
        <f>IF(AND('Ações'!AV614="sim", 'Ações'!BF614="sim"), 1, 0)
</f>
        <v>0</v>
      </c>
      <c r="Z606" s="319">
        <f>IF(AND('Ações'!AV614="sim", 'Ações'!BH614="sim"), 1, 0)
</f>
        <v>0</v>
      </c>
      <c r="AA606" s="319">
        <f>IF(AND('Ações'!AV614="sim", 'Ações'!BI614="sim"), 1, 0)
</f>
        <v>0</v>
      </c>
      <c r="AB606" s="319">
        <f>IF(AND('Ações'!AW614="sim", 'Ações'!BD614="sim"), 1, 0)
</f>
        <v>1</v>
      </c>
      <c r="AC606" s="319">
        <f>IF(AND('Ações'!AW614="sim", 'Ações'!BE614="sim"), 1, 0)
</f>
        <v>0</v>
      </c>
      <c r="AD606" s="319">
        <f>IF(AND('Ações'!AW614="sim", 'Ações'!BF614="sim"), 1, 0)
</f>
        <v>0</v>
      </c>
      <c r="AE606" s="319">
        <f>IF(AND('Ações'!AW614="sim", 'Ações'!BG614="sim"), 1, 0)
</f>
        <v>0</v>
      </c>
      <c r="AF606" s="319">
        <f>IF(AND('Ações'!AW614="sim", 'Ações'!BI614="sim"), 1, 0)
</f>
        <v>0</v>
      </c>
      <c r="AG606" s="319">
        <f>IF(AND('Ações'!AX614="sim", 'Ações'!BD614="sim"), 1, 0)
</f>
        <v>1</v>
      </c>
      <c r="AH606" s="319">
        <f>IF(AND('Ações'!AX614="sim", 'Ações'!BE614="sim"), 1, 0)
</f>
        <v>0</v>
      </c>
      <c r="AI606" s="319">
        <f>IF(AND('Ações'!AX614="sim", 'Ações'!BF614="sim"), 1, 0)
</f>
        <v>0</v>
      </c>
      <c r="AJ606" s="319">
        <f>IF(AND('Ações'!AX614="sim", 'Ações'!BG614="sim"), 1, 0)
</f>
        <v>0</v>
      </c>
      <c r="AK606" s="319">
        <f>IF(AND('Ações'!AX614="sim", 'Ações'!BH614="sim"), 1, 0)
</f>
        <v>0</v>
      </c>
    </row>
    <row r="607">
      <c r="B607" s="319">
        <f>IF(AND('Ações'!AS615="sim", 'Ações'!BD615="sim"), 1, 0)
</f>
        <v>0</v>
      </c>
      <c r="C607" s="319">
        <f>IF(AND('Ações'!AT615="sim", 'Ações'!BE615="sim"), 1, 0)
</f>
        <v>0</v>
      </c>
      <c r="D607" s="319">
        <f>IF(AND('Ações'!AU615="sim", 'Ações'!BF615="sim"), 1, 0)
</f>
        <v>0</v>
      </c>
      <c r="E607" s="319">
        <f>IF(AND('Ações'!AV615="sim", 'Ações'!BG615="sim"), 1, 0)
</f>
        <v>0</v>
      </c>
      <c r="F607" s="319">
        <f>IF(AND('Ações'!AW615="sim", 'Ações'!BH615="sim"), 1, 0)
</f>
        <v>0</v>
      </c>
      <c r="G607" s="319">
        <f>IF(AND('Ações'!AX615="sim", 'Ações'!BI615="sim"), 1, 0)
</f>
        <v>1</v>
      </c>
      <c r="H607" s="319">
        <f>IF(AND('Ações'!AS615="sim", 'Ações'!BE615="sim"), 1, 0)
</f>
        <v>0</v>
      </c>
      <c r="I607" s="319">
        <f>IF(AND('Ações'!AS615="sim", 'Ações'!BF615="sim"), 1, 0)
</f>
        <v>0</v>
      </c>
      <c r="J607" s="319">
        <f>IF(AND('Ações'!AS615="sim", 'Ações'!BG615="sim"), 1, 0)
</f>
        <v>0</v>
      </c>
      <c r="K607" s="319">
        <f>IF(AND('Ações'!AS615="sim", 'Ações'!BH615="sim"), 1, 0)
</f>
        <v>0</v>
      </c>
      <c r="L607" s="319">
        <f>IF(AND('Ações'!AS615="sim", 'Ações'!BI615="sim"), 1, 0)
</f>
        <v>0</v>
      </c>
      <c r="M607" s="319">
        <f>IF(AND('Ações'!AT615="sim", 'Ações'!BD615="sim"), 1, 0)
</f>
        <v>0</v>
      </c>
      <c r="N607" s="319">
        <f>IF(AND('Ações'!AT615="sim", 'Ações'!BF615="sim"), 1, 0)
</f>
        <v>0</v>
      </c>
      <c r="O607" s="319">
        <f>IF(AND('Ações'!AT615="sim", 'Ações'!BG615="sim"), 1, 0)
</f>
        <v>0</v>
      </c>
      <c r="P607" s="319">
        <f>IF(AND('Ações'!AT615="sim", 'Ações'!BH615="sim"), 1, 0)
</f>
        <v>0</v>
      </c>
      <c r="Q607" s="319">
        <f>IF(AND('Ações'!AT615="sim", 'Ações'!BI615="sim"), 1, 0)
</f>
        <v>0</v>
      </c>
      <c r="R607" s="319">
        <f>IF(AND('Ações'!AU615="sim", 'Ações'!BD615="sim"), 1, 0)
</f>
        <v>0</v>
      </c>
      <c r="S607" s="319">
        <f>IF(AND('Ações'!AU615="sim", 'Ações'!BE615="sim"), 1, 0)
</f>
        <v>0</v>
      </c>
      <c r="T607" s="319">
        <f>IF(AND('Ações'!AU615="sim", 'Ações'!BG615="sim"), 1, 0)
</f>
        <v>0</v>
      </c>
      <c r="U607" s="319">
        <f>IF(AND('Ações'!AU615="sim", 'Ações'!BH615="sim"), 1, 0)
</f>
        <v>0</v>
      </c>
      <c r="V607" s="319">
        <f>IF(AND('Ações'!AU615="sim", 'Ações'!BI615="sim"), 1, 0)
</f>
        <v>0</v>
      </c>
      <c r="W607" s="319">
        <f>IF(AND('Ações'!AV615="sim", 'Ações'!BD615="sim"), 1, 0)
</f>
        <v>1</v>
      </c>
      <c r="X607" s="319">
        <f>IF(AND('Ações'!AV615="sim", 'Ações'!BE615="sim"), 1, 0)
</f>
        <v>0</v>
      </c>
      <c r="Y607" s="319">
        <f>IF(AND('Ações'!AV615="sim", 'Ações'!BF615="sim"), 1, 0)
</f>
        <v>0</v>
      </c>
      <c r="Z607" s="319">
        <f>IF(AND('Ações'!AV615="sim", 'Ações'!BH615="sim"), 1, 0)
</f>
        <v>0</v>
      </c>
      <c r="AA607" s="319">
        <f>IF(AND('Ações'!AV615="sim", 'Ações'!BI615="sim"), 1, 0)
</f>
        <v>1</v>
      </c>
      <c r="AB607" s="319">
        <f>IF(AND('Ações'!AW615="sim", 'Ações'!BD615="sim"), 1, 0)
</f>
        <v>1</v>
      </c>
      <c r="AC607" s="319">
        <f>IF(AND('Ações'!AW615="sim", 'Ações'!BE615="sim"), 1, 0)
</f>
        <v>0</v>
      </c>
      <c r="AD607" s="319">
        <f>IF(AND('Ações'!AW615="sim", 'Ações'!BF615="sim"), 1, 0)
</f>
        <v>0</v>
      </c>
      <c r="AE607" s="319">
        <f>IF(AND('Ações'!AW615="sim", 'Ações'!BG615="sim"), 1, 0)
</f>
        <v>0</v>
      </c>
      <c r="AF607" s="319">
        <f>IF(AND('Ações'!AW615="sim", 'Ações'!BI615="sim"), 1, 0)
</f>
        <v>1</v>
      </c>
      <c r="AG607" s="319">
        <f>IF(AND('Ações'!AX615="sim", 'Ações'!BD615="sim"), 1, 0)
</f>
        <v>1</v>
      </c>
      <c r="AH607" s="319">
        <f>IF(AND('Ações'!AX615="sim", 'Ações'!BE615="sim"), 1, 0)
</f>
        <v>0</v>
      </c>
      <c r="AI607" s="319">
        <f>IF(AND('Ações'!AX615="sim", 'Ações'!BF615="sim"), 1, 0)
</f>
        <v>0</v>
      </c>
      <c r="AJ607" s="319">
        <f>IF(AND('Ações'!AX615="sim", 'Ações'!BG615="sim"), 1, 0)
</f>
        <v>0</v>
      </c>
      <c r="AK607" s="319">
        <f>IF(AND('Ações'!AX615="sim", 'Ações'!BH615="sim"), 1, 0)
</f>
        <v>0</v>
      </c>
    </row>
    <row r="608">
      <c r="B608" s="319" t="str">
        <f t="shared" ref="B608:AK608" si="7">IF(AND(#REF!="sim", #REF!="sim"), 1, 0)
</f>
        <v>#REF!</v>
      </c>
      <c r="C608" s="319" t="str">
        <f t="shared" si="7"/>
        <v>#REF!</v>
      </c>
      <c r="D608" s="319" t="str">
        <f t="shared" si="7"/>
        <v>#REF!</v>
      </c>
      <c r="E608" s="319" t="str">
        <f t="shared" si="7"/>
        <v>#REF!</v>
      </c>
      <c r="F608" s="319" t="str">
        <f t="shared" si="7"/>
        <v>#REF!</v>
      </c>
      <c r="G608" s="319" t="str">
        <f t="shared" si="7"/>
        <v>#REF!</v>
      </c>
      <c r="H608" s="319" t="str">
        <f t="shared" si="7"/>
        <v>#REF!</v>
      </c>
      <c r="I608" s="319" t="str">
        <f t="shared" si="7"/>
        <v>#REF!</v>
      </c>
      <c r="J608" s="319" t="str">
        <f t="shared" si="7"/>
        <v>#REF!</v>
      </c>
      <c r="K608" s="319" t="str">
        <f t="shared" si="7"/>
        <v>#REF!</v>
      </c>
      <c r="L608" s="319" t="str">
        <f t="shared" si="7"/>
        <v>#REF!</v>
      </c>
      <c r="M608" s="319" t="str">
        <f t="shared" si="7"/>
        <v>#REF!</v>
      </c>
      <c r="N608" s="319" t="str">
        <f t="shared" si="7"/>
        <v>#REF!</v>
      </c>
      <c r="O608" s="319" t="str">
        <f t="shared" si="7"/>
        <v>#REF!</v>
      </c>
      <c r="P608" s="319" t="str">
        <f t="shared" si="7"/>
        <v>#REF!</v>
      </c>
      <c r="Q608" s="319" t="str">
        <f t="shared" si="7"/>
        <v>#REF!</v>
      </c>
      <c r="R608" s="319" t="str">
        <f t="shared" si="7"/>
        <v>#REF!</v>
      </c>
      <c r="S608" s="319" t="str">
        <f t="shared" si="7"/>
        <v>#REF!</v>
      </c>
      <c r="T608" s="319" t="str">
        <f t="shared" si="7"/>
        <v>#REF!</v>
      </c>
      <c r="U608" s="319" t="str">
        <f t="shared" si="7"/>
        <v>#REF!</v>
      </c>
      <c r="V608" s="319" t="str">
        <f t="shared" si="7"/>
        <v>#REF!</v>
      </c>
      <c r="W608" s="319" t="str">
        <f t="shared" si="7"/>
        <v>#REF!</v>
      </c>
      <c r="X608" s="319" t="str">
        <f t="shared" si="7"/>
        <v>#REF!</v>
      </c>
      <c r="Y608" s="319" t="str">
        <f t="shared" si="7"/>
        <v>#REF!</v>
      </c>
      <c r="Z608" s="319" t="str">
        <f t="shared" si="7"/>
        <v>#REF!</v>
      </c>
      <c r="AA608" s="319" t="str">
        <f t="shared" si="7"/>
        <v>#REF!</v>
      </c>
      <c r="AB608" s="319" t="str">
        <f t="shared" si="7"/>
        <v>#REF!</v>
      </c>
      <c r="AC608" s="319" t="str">
        <f t="shared" si="7"/>
        <v>#REF!</v>
      </c>
      <c r="AD608" s="319" t="str">
        <f t="shared" si="7"/>
        <v>#REF!</v>
      </c>
      <c r="AE608" s="319" t="str">
        <f t="shared" si="7"/>
        <v>#REF!</v>
      </c>
      <c r="AF608" s="319" t="str">
        <f t="shared" si="7"/>
        <v>#REF!</v>
      </c>
      <c r="AG608" s="319" t="str">
        <f t="shared" si="7"/>
        <v>#REF!</v>
      </c>
      <c r="AH608" s="319" t="str">
        <f t="shared" si="7"/>
        <v>#REF!</v>
      </c>
      <c r="AI608" s="319" t="str">
        <f t="shared" si="7"/>
        <v>#REF!</v>
      </c>
      <c r="AJ608" s="319" t="str">
        <f t="shared" si="7"/>
        <v>#REF!</v>
      </c>
      <c r="AK608" s="319" t="str">
        <f t="shared" si="7"/>
        <v>#REF!</v>
      </c>
    </row>
    <row r="609">
      <c r="B609" s="319">
        <f>IF(AND('Ações'!AS616="sim", 'Ações'!BD616="sim"), 1, 0)
</f>
        <v>0</v>
      </c>
      <c r="C609" s="319">
        <f>IF(AND('Ações'!AT616="sim", 'Ações'!BE616="sim"), 1, 0)
</f>
        <v>0</v>
      </c>
      <c r="D609" s="319">
        <f>IF(AND('Ações'!AU616="sim", 'Ações'!BF616="sim"), 1, 0)
</f>
        <v>0</v>
      </c>
      <c r="E609" s="319">
        <f>IF(AND('Ações'!AV616="sim", 'Ações'!BG616="sim"), 1, 0)
</f>
        <v>0</v>
      </c>
      <c r="F609" s="319">
        <f>IF(AND('Ações'!AW616="sim", 'Ações'!BH616="sim"), 1, 0)
</f>
        <v>0</v>
      </c>
      <c r="G609" s="319">
        <f>IF(AND('Ações'!AX616="sim", 'Ações'!BI616="sim"), 1, 0)
</f>
        <v>1</v>
      </c>
      <c r="H609" s="319">
        <f>IF(AND('Ações'!AS616="sim", 'Ações'!BE616="sim"), 1, 0)
</f>
        <v>0</v>
      </c>
      <c r="I609" s="319">
        <f>IF(AND('Ações'!AS616="sim", 'Ações'!BF616="sim"), 1, 0)
</f>
        <v>0</v>
      </c>
      <c r="J609" s="319">
        <f>IF(AND('Ações'!AS616="sim", 'Ações'!BG616="sim"), 1, 0)
</f>
        <v>0</v>
      </c>
      <c r="K609" s="319">
        <f>IF(AND('Ações'!AS616="sim", 'Ações'!BH616="sim"), 1, 0)
</f>
        <v>0</v>
      </c>
      <c r="L609" s="319">
        <f>IF(AND('Ações'!AS616="sim", 'Ações'!BI616="sim"), 1, 0)
</f>
        <v>0</v>
      </c>
      <c r="M609" s="319">
        <f>IF(AND('Ações'!AT616="sim", 'Ações'!BD616="sim"), 1, 0)
</f>
        <v>0</v>
      </c>
      <c r="N609" s="319">
        <f>IF(AND('Ações'!AT616="sim", 'Ações'!BF616="sim"), 1, 0)
</f>
        <v>0</v>
      </c>
      <c r="O609" s="319">
        <f>IF(AND('Ações'!AT616="sim", 'Ações'!BG616="sim"), 1, 0)
</f>
        <v>0</v>
      </c>
      <c r="P609" s="319">
        <f>IF(AND('Ações'!AT616="sim", 'Ações'!BH616="sim"), 1, 0)
</f>
        <v>0</v>
      </c>
      <c r="Q609" s="319">
        <f>IF(AND('Ações'!AT616="sim", 'Ações'!BI616="sim"), 1, 0)
</f>
        <v>0</v>
      </c>
      <c r="R609" s="319">
        <f>IF(AND('Ações'!AU616="sim", 'Ações'!BD616="sim"), 1, 0)
</f>
        <v>0</v>
      </c>
      <c r="S609" s="319">
        <f>IF(AND('Ações'!AU616="sim", 'Ações'!BE616="sim"), 1, 0)
</f>
        <v>0</v>
      </c>
      <c r="T609" s="319">
        <f>IF(AND('Ações'!AU616="sim", 'Ações'!BG616="sim"), 1, 0)
</f>
        <v>0</v>
      </c>
      <c r="U609" s="319">
        <f>IF(AND('Ações'!AU616="sim", 'Ações'!BH616="sim"), 1, 0)
</f>
        <v>0</v>
      </c>
      <c r="V609" s="319">
        <f>IF(AND('Ações'!AU616="sim", 'Ações'!BI616="sim"), 1, 0)
</f>
        <v>0</v>
      </c>
      <c r="W609" s="319">
        <f>IF(AND('Ações'!AV616="sim", 'Ações'!BD616="sim"), 1, 0)
</f>
        <v>0</v>
      </c>
      <c r="X609" s="319">
        <f>IF(AND('Ações'!AV616="sim", 'Ações'!BE616="sim"), 1, 0)
</f>
        <v>0</v>
      </c>
      <c r="Y609" s="319">
        <f>IF(AND('Ações'!AV616="sim", 'Ações'!BF616="sim"), 1, 0)
</f>
        <v>0</v>
      </c>
      <c r="Z609" s="319">
        <f>IF(AND('Ações'!AV616="sim", 'Ações'!BH616="sim"), 1, 0)
</f>
        <v>0</v>
      </c>
      <c r="AA609" s="319">
        <f>IF(AND('Ações'!AV616="sim", 'Ações'!BI616="sim"), 1, 0)
</f>
        <v>1</v>
      </c>
      <c r="AB609" s="319">
        <f>IF(AND('Ações'!AW616="sim", 'Ações'!BD616="sim"), 1, 0)
</f>
        <v>0</v>
      </c>
      <c r="AC609" s="319">
        <f>IF(AND('Ações'!AW616="sim", 'Ações'!BE616="sim"), 1, 0)
</f>
        <v>0</v>
      </c>
      <c r="AD609" s="319">
        <f>IF(AND('Ações'!AW616="sim", 'Ações'!BF616="sim"), 1, 0)
</f>
        <v>0</v>
      </c>
      <c r="AE609" s="319">
        <f>IF(AND('Ações'!AW616="sim", 'Ações'!BG616="sim"), 1, 0)
</f>
        <v>0</v>
      </c>
      <c r="AF609" s="319">
        <f>IF(AND('Ações'!AW616="sim", 'Ações'!BI616="sim"), 1, 0)
</f>
        <v>1</v>
      </c>
      <c r="AG609" s="319">
        <f>IF(AND('Ações'!AX616="sim", 'Ações'!BD616="sim"), 1, 0)
</f>
        <v>0</v>
      </c>
      <c r="AH609" s="319">
        <f>IF(AND('Ações'!AX616="sim", 'Ações'!BE616="sim"), 1, 0)
</f>
        <v>0</v>
      </c>
      <c r="AI609" s="319">
        <f>IF(AND('Ações'!AX616="sim", 'Ações'!BF616="sim"), 1, 0)
</f>
        <v>0</v>
      </c>
      <c r="AJ609" s="319">
        <f>IF(AND('Ações'!AX616="sim", 'Ações'!BG616="sim"), 1, 0)
</f>
        <v>0</v>
      </c>
      <c r="AK609" s="319">
        <f>IF(AND('Ações'!AX616="sim", 'Ações'!BH616="sim"), 1, 0)
</f>
        <v>0</v>
      </c>
    </row>
    <row r="610">
      <c r="B610" s="319">
        <f>IF(AND('Ações'!AS617="sim", 'Ações'!BD617="sim"), 1, 0)
</f>
        <v>0</v>
      </c>
      <c r="C610" s="319">
        <f>IF(AND('Ações'!AT617="sim", 'Ações'!BE617="sim"), 1, 0)
</f>
        <v>0</v>
      </c>
      <c r="D610" s="319">
        <f>IF(AND('Ações'!AU617="sim", 'Ações'!BF617="sim"), 1, 0)
</f>
        <v>0</v>
      </c>
      <c r="E610" s="319">
        <f>IF(AND('Ações'!AV617="sim", 'Ações'!BG617="sim"), 1, 0)
</f>
        <v>0</v>
      </c>
      <c r="F610" s="319">
        <f>IF(AND('Ações'!AW617="sim", 'Ações'!BH617="sim"), 1, 0)
</f>
        <v>0</v>
      </c>
      <c r="G610" s="319">
        <f>IF(AND('Ações'!AX617="sim", 'Ações'!BI617="sim"), 1, 0)
</f>
        <v>1</v>
      </c>
      <c r="H610" s="319">
        <f>IF(AND('Ações'!AS617="sim", 'Ações'!BE617="sim"), 1, 0)
</f>
        <v>0</v>
      </c>
      <c r="I610" s="319">
        <f>IF(AND('Ações'!AS617="sim", 'Ações'!BF617="sim"), 1, 0)
</f>
        <v>0</v>
      </c>
      <c r="J610" s="319">
        <f>IF(AND('Ações'!AS617="sim", 'Ações'!BG617="sim"), 1, 0)
</f>
        <v>0</v>
      </c>
      <c r="K610" s="319">
        <f>IF(AND('Ações'!AS617="sim", 'Ações'!BH617="sim"), 1, 0)
</f>
        <v>0</v>
      </c>
      <c r="L610" s="319">
        <f>IF(AND('Ações'!AS617="sim", 'Ações'!BI617="sim"), 1, 0)
</f>
        <v>0</v>
      </c>
      <c r="M610" s="319">
        <f>IF(AND('Ações'!AT617="sim", 'Ações'!BD617="sim"), 1, 0)
</f>
        <v>0</v>
      </c>
      <c r="N610" s="319">
        <f>IF(AND('Ações'!AT617="sim", 'Ações'!BF617="sim"), 1, 0)
</f>
        <v>0</v>
      </c>
      <c r="O610" s="319">
        <f>IF(AND('Ações'!AT617="sim", 'Ações'!BG617="sim"), 1, 0)
</f>
        <v>0</v>
      </c>
      <c r="P610" s="319">
        <f>IF(AND('Ações'!AT617="sim", 'Ações'!BH617="sim"), 1, 0)
</f>
        <v>0</v>
      </c>
      <c r="Q610" s="319">
        <f>IF(AND('Ações'!AT617="sim", 'Ações'!BI617="sim"), 1, 0)
</f>
        <v>0</v>
      </c>
      <c r="R610" s="319">
        <f>IF(AND('Ações'!AU617="sim", 'Ações'!BD617="sim"), 1, 0)
</f>
        <v>0</v>
      </c>
      <c r="S610" s="319">
        <f>IF(AND('Ações'!AU617="sim", 'Ações'!BE617="sim"), 1, 0)
</f>
        <v>0</v>
      </c>
      <c r="T610" s="319">
        <f>IF(AND('Ações'!AU617="sim", 'Ações'!BG617="sim"), 1, 0)
</f>
        <v>0</v>
      </c>
      <c r="U610" s="319">
        <f>IF(AND('Ações'!AU617="sim", 'Ações'!BH617="sim"), 1, 0)
</f>
        <v>0</v>
      </c>
      <c r="V610" s="319">
        <f>IF(AND('Ações'!AU617="sim", 'Ações'!BI617="sim"), 1, 0)
</f>
        <v>0</v>
      </c>
      <c r="W610" s="319">
        <f>IF(AND('Ações'!AV617="sim", 'Ações'!BD617="sim"), 1, 0)
</f>
        <v>0</v>
      </c>
      <c r="X610" s="319">
        <f>IF(AND('Ações'!AV617="sim", 'Ações'!BE617="sim"), 1, 0)
</f>
        <v>0</v>
      </c>
      <c r="Y610" s="319">
        <f>IF(AND('Ações'!AV617="sim", 'Ações'!BF617="sim"), 1, 0)
</f>
        <v>0</v>
      </c>
      <c r="Z610" s="319">
        <f>IF(AND('Ações'!AV617="sim", 'Ações'!BH617="sim"), 1, 0)
</f>
        <v>0</v>
      </c>
      <c r="AA610" s="319">
        <f>IF(AND('Ações'!AV617="sim", 'Ações'!BI617="sim"), 1, 0)
</f>
        <v>1</v>
      </c>
      <c r="AB610" s="319">
        <f>IF(AND('Ações'!AW617="sim", 'Ações'!BD617="sim"), 1, 0)
</f>
        <v>0</v>
      </c>
      <c r="AC610" s="319">
        <f>IF(AND('Ações'!AW617="sim", 'Ações'!BE617="sim"), 1, 0)
</f>
        <v>0</v>
      </c>
      <c r="AD610" s="319">
        <f>IF(AND('Ações'!AW617="sim", 'Ações'!BF617="sim"), 1, 0)
</f>
        <v>0</v>
      </c>
      <c r="AE610" s="319">
        <f>IF(AND('Ações'!AW617="sim", 'Ações'!BG617="sim"), 1, 0)
</f>
        <v>0</v>
      </c>
      <c r="AF610" s="319">
        <f>IF(AND('Ações'!AW617="sim", 'Ações'!BI617="sim"), 1, 0)
</f>
        <v>1</v>
      </c>
      <c r="AG610" s="319">
        <f>IF(AND('Ações'!AX617="sim", 'Ações'!BD617="sim"), 1, 0)
</f>
        <v>0</v>
      </c>
      <c r="AH610" s="319">
        <f>IF(AND('Ações'!AX617="sim", 'Ações'!BE617="sim"), 1, 0)
</f>
        <v>0</v>
      </c>
      <c r="AI610" s="319">
        <f>IF(AND('Ações'!AX617="sim", 'Ações'!BF617="sim"), 1, 0)
</f>
        <v>0</v>
      </c>
      <c r="AJ610" s="319">
        <f>IF(AND('Ações'!AX617="sim", 'Ações'!BG617="sim"), 1, 0)
</f>
        <v>0</v>
      </c>
      <c r="AK610" s="319">
        <f>IF(AND('Ações'!AX617="sim", 'Ações'!BH617="sim"), 1, 0)
</f>
        <v>0</v>
      </c>
    </row>
    <row r="611">
      <c r="B611" s="319">
        <f>IF(AND('Ações'!AS618="sim", 'Ações'!BD618="sim"), 1, 0)
</f>
        <v>0</v>
      </c>
      <c r="C611" s="319">
        <f>IF(AND('Ações'!AT618="sim", 'Ações'!BE618="sim"), 1, 0)
</f>
        <v>0</v>
      </c>
      <c r="D611" s="319">
        <f>IF(AND('Ações'!AU618="sim", 'Ações'!BF618="sim"), 1, 0)
</f>
        <v>0</v>
      </c>
      <c r="E611" s="319">
        <f>IF(AND('Ações'!AV618="sim", 'Ações'!BG618="sim"), 1, 0)
</f>
        <v>0</v>
      </c>
      <c r="F611" s="319">
        <f>IF(AND('Ações'!AW618="sim", 'Ações'!BH618="sim"), 1, 0)
</f>
        <v>0</v>
      </c>
      <c r="G611" s="319">
        <f>IF(AND('Ações'!AX618="sim", 'Ações'!BI618="sim"), 1, 0)
</f>
        <v>1</v>
      </c>
      <c r="H611" s="319">
        <f>IF(AND('Ações'!AS618="sim", 'Ações'!BE618="sim"), 1, 0)
</f>
        <v>0</v>
      </c>
      <c r="I611" s="319">
        <f>IF(AND('Ações'!AS618="sim", 'Ações'!BF618="sim"), 1, 0)
</f>
        <v>0</v>
      </c>
      <c r="J611" s="319">
        <f>IF(AND('Ações'!AS618="sim", 'Ações'!BG618="sim"), 1, 0)
</f>
        <v>0</v>
      </c>
      <c r="K611" s="319">
        <f>IF(AND('Ações'!AS618="sim", 'Ações'!BH618="sim"), 1, 0)
</f>
        <v>0</v>
      </c>
      <c r="L611" s="319">
        <f>IF(AND('Ações'!AS618="sim", 'Ações'!BI618="sim"), 1, 0)
</f>
        <v>0</v>
      </c>
      <c r="M611" s="319">
        <f>IF(AND('Ações'!AT618="sim", 'Ações'!BD618="sim"), 1, 0)
</f>
        <v>0</v>
      </c>
      <c r="N611" s="319">
        <f>IF(AND('Ações'!AT618="sim", 'Ações'!BF618="sim"), 1, 0)
</f>
        <v>0</v>
      </c>
      <c r="O611" s="319">
        <f>IF(AND('Ações'!AT618="sim", 'Ações'!BG618="sim"), 1, 0)
</f>
        <v>0</v>
      </c>
      <c r="P611" s="319">
        <f>IF(AND('Ações'!AT618="sim", 'Ações'!BH618="sim"), 1, 0)
</f>
        <v>0</v>
      </c>
      <c r="Q611" s="319">
        <f>IF(AND('Ações'!AT618="sim", 'Ações'!BI618="sim"), 1, 0)
</f>
        <v>0</v>
      </c>
      <c r="R611" s="319">
        <f>IF(AND('Ações'!AU618="sim", 'Ações'!BD618="sim"), 1, 0)
</f>
        <v>0</v>
      </c>
      <c r="S611" s="319">
        <f>IF(AND('Ações'!AU618="sim", 'Ações'!BE618="sim"), 1, 0)
</f>
        <v>0</v>
      </c>
      <c r="T611" s="319">
        <f>IF(AND('Ações'!AU618="sim", 'Ações'!BG618="sim"), 1, 0)
</f>
        <v>0</v>
      </c>
      <c r="U611" s="319">
        <f>IF(AND('Ações'!AU618="sim", 'Ações'!BH618="sim"), 1, 0)
</f>
        <v>0</v>
      </c>
      <c r="V611" s="319">
        <f>IF(AND('Ações'!AU618="sim", 'Ações'!BI618="sim"), 1, 0)
</f>
        <v>0</v>
      </c>
      <c r="W611" s="319">
        <f>IF(AND('Ações'!AV618="sim", 'Ações'!BD618="sim"), 1, 0)
</f>
        <v>0</v>
      </c>
      <c r="X611" s="319">
        <f>IF(AND('Ações'!AV618="sim", 'Ações'!BE618="sim"), 1, 0)
</f>
        <v>0</v>
      </c>
      <c r="Y611" s="319">
        <f>IF(AND('Ações'!AV618="sim", 'Ações'!BF618="sim"), 1, 0)
</f>
        <v>0</v>
      </c>
      <c r="Z611" s="319">
        <f>IF(AND('Ações'!AV618="sim", 'Ações'!BH618="sim"), 1, 0)
</f>
        <v>0</v>
      </c>
      <c r="AA611" s="319">
        <f>IF(AND('Ações'!AV618="sim", 'Ações'!BI618="sim"), 1, 0)
</f>
        <v>1</v>
      </c>
      <c r="AB611" s="319">
        <f>IF(AND('Ações'!AW618="sim", 'Ações'!BD618="sim"), 1, 0)
</f>
        <v>0</v>
      </c>
      <c r="AC611" s="319">
        <f>IF(AND('Ações'!AW618="sim", 'Ações'!BE618="sim"), 1, 0)
</f>
        <v>0</v>
      </c>
      <c r="AD611" s="319">
        <f>IF(AND('Ações'!AW618="sim", 'Ações'!BF618="sim"), 1, 0)
</f>
        <v>0</v>
      </c>
      <c r="AE611" s="319">
        <f>IF(AND('Ações'!AW618="sim", 'Ações'!BG618="sim"), 1, 0)
</f>
        <v>0</v>
      </c>
      <c r="AF611" s="319">
        <f>IF(AND('Ações'!AW618="sim", 'Ações'!BI618="sim"), 1, 0)
</f>
        <v>1</v>
      </c>
      <c r="AG611" s="319">
        <f>IF(AND('Ações'!AX618="sim", 'Ações'!BD618="sim"), 1, 0)
</f>
        <v>0</v>
      </c>
      <c r="AH611" s="319">
        <f>IF(AND('Ações'!AX618="sim", 'Ações'!BE618="sim"), 1, 0)
</f>
        <v>0</v>
      </c>
      <c r="AI611" s="319">
        <f>IF(AND('Ações'!AX618="sim", 'Ações'!BF618="sim"), 1, 0)
</f>
        <v>0</v>
      </c>
      <c r="AJ611" s="319">
        <f>IF(AND('Ações'!AX618="sim", 'Ações'!BG618="sim"), 1, 0)
</f>
        <v>0</v>
      </c>
      <c r="AK611" s="319">
        <f>IF(AND('Ações'!AX618="sim", 'Ações'!BH618="sim"), 1, 0)
</f>
        <v>0</v>
      </c>
    </row>
    <row r="612">
      <c r="B612" s="319">
        <f>IF(AND('Ações'!AS619="sim", 'Ações'!BD619="sim"), 1, 0)
</f>
        <v>0</v>
      </c>
      <c r="C612" s="319">
        <f>IF(AND('Ações'!AT619="sim", 'Ações'!BE619="sim"), 1, 0)
</f>
        <v>0</v>
      </c>
      <c r="D612" s="319">
        <f>IF(AND('Ações'!AU619="sim", 'Ações'!BF619="sim"), 1, 0)
</f>
        <v>0</v>
      </c>
      <c r="E612" s="319">
        <f>IF(AND('Ações'!AV619="sim", 'Ações'!BG619="sim"), 1, 0)
</f>
        <v>0</v>
      </c>
      <c r="F612" s="319">
        <f>IF(AND('Ações'!AW619="sim", 'Ações'!BH619="sim"), 1, 0)
</f>
        <v>1</v>
      </c>
      <c r="G612" s="319">
        <f>IF(AND('Ações'!AX619="sim", 'Ações'!BI619="sim"), 1, 0)
</f>
        <v>1</v>
      </c>
      <c r="H612" s="319">
        <f>IF(AND('Ações'!AS619="sim", 'Ações'!BE619="sim"), 1, 0)
</f>
        <v>0</v>
      </c>
      <c r="I612" s="319">
        <f>IF(AND('Ações'!AS619="sim", 'Ações'!BF619="sim"), 1, 0)
</f>
        <v>0</v>
      </c>
      <c r="J612" s="319">
        <f>IF(AND('Ações'!AS619="sim", 'Ações'!BG619="sim"), 1, 0)
</f>
        <v>0</v>
      </c>
      <c r="K612" s="319">
        <f>IF(AND('Ações'!AS619="sim", 'Ações'!BH619="sim"), 1, 0)
</f>
        <v>0</v>
      </c>
      <c r="L612" s="319">
        <f>IF(AND('Ações'!AS619="sim", 'Ações'!BI619="sim"), 1, 0)
</f>
        <v>0</v>
      </c>
      <c r="M612" s="319">
        <f>IF(AND('Ações'!AT619="sim", 'Ações'!BD619="sim"), 1, 0)
</f>
        <v>0</v>
      </c>
      <c r="N612" s="319">
        <f>IF(AND('Ações'!AT619="sim", 'Ações'!BF619="sim"), 1, 0)
</f>
        <v>0</v>
      </c>
      <c r="O612" s="319">
        <f>IF(AND('Ações'!AT619="sim", 'Ações'!BG619="sim"), 1, 0)
</f>
        <v>0</v>
      </c>
      <c r="P612" s="319">
        <f>IF(AND('Ações'!AT619="sim", 'Ações'!BH619="sim"), 1, 0)
</f>
        <v>0</v>
      </c>
      <c r="Q612" s="319">
        <f>IF(AND('Ações'!AT619="sim", 'Ações'!BI619="sim"), 1, 0)
</f>
        <v>0</v>
      </c>
      <c r="R612" s="319">
        <f>IF(AND('Ações'!AU619="sim", 'Ações'!BD619="sim"), 1, 0)
</f>
        <v>0</v>
      </c>
      <c r="S612" s="319">
        <f>IF(AND('Ações'!AU619="sim", 'Ações'!BE619="sim"), 1, 0)
</f>
        <v>0</v>
      </c>
      <c r="T612" s="319">
        <f>IF(AND('Ações'!AU619="sim", 'Ações'!BG619="sim"), 1, 0)
</f>
        <v>0</v>
      </c>
      <c r="U612" s="319">
        <f>IF(AND('Ações'!AU619="sim", 'Ações'!BH619="sim"), 1, 0)
</f>
        <v>0</v>
      </c>
      <c r="V612" s="319">
        <f>IF(AND('Ações'!AU619="sim", 'Ações'!BI619="sim"), 1, 0)
</f>
        <v>0</v>
      </c>
      <c r="W612" s="319">
        <f>IF(AND('Ações'!AV619="sim", 'Ações'!BD619="sim"), 1, 0)
</f>
        <v>1</v>
      </c>
      <c r="X612" s="319">
        <f>IF(AND('Ações'!AV619="sim", 'Ações'!BE619="sim"), 1, 0)
</f>
        <v>0</v>
      </c>
      <c r="Y612" s="319">
        <f>IF(AND('Ações'!AV619="sim", 'Ações'!BF619="sim"), 1, 0)
</f>
        <v>0</v>
      </c>
      <c r="Z612" s="319">
        <f>IF(AND('Ações'!AV619="sim", 'Ações'!BH619="sim"), 1, 0)
</f>
        <v>1</v>
      </c>
      <c r="AA612" s="319">
        <f>IF(AND('Ações'!AV619="sim", 'Ações'!BI619="sim"), 1, 0)
</f>
        <v>1</v>
      </c>
      <c r="AB612" s="319">
        <f>IF(AND('Ações'!AW619="sim", 'Ações'!BD619="sim"), 1, 0)
</f>
        <v>1</v>
      </c>
      <c r="AC612" s="319">
        <f>IF(AND('Ações'!AW619="sim", 'Ações'!BE619="sim"), 1, 0)
</f>
        <v>0</v>
      </c>
      <c r="AD612" s="319">
        <f>IF(AND('Ações'!AW619="sim", 'Ações'!BF619="sim"), 1, 0)
</f>
        <v>0</v>
      </c>
      <c r="AE612" s="319">
        <f>IF(AND('Ações'!AW619="sim", 'Ações'!BG619="sim"), 1, 0)
</f>
        <v>0</v>
      </c>
      <c r="AF612" s="319">
        <f>IF(AND('Ações'!AW619="sim", 'Ações'!BI619="sim"), 1, 0)
</f>
        <v>1</v>
      </c>
      <c r="AG612" s="319">
        <f>IF(AND('Ações'!AX619="sim", 'Ações'!BD619="sim"), 1, 0)
</f>
        <v>1</v>
      </c>
      <c r="AH612" s="319">
        <f>IF(AND('Ações'!AX619="sim", 'Ações'!BE619="sim"), 1, 0)
</f>
        <v>0</v>
      </c>
      <c r="AI612" s="319">
        <f>IF(AND('Ações'!AX619="sim", 'Ações'!BF619="sim"), 1, 0)
</f>
        <v>0</v>
      </c>
      <c r="AJ612" s="319">
        <f>IF(AND('Ações'!AX619="sim", 'Ações'!BG619="sim"), 1, 0)
</f>
        <v>0</v>
      </c>
      <c r="AK612" s="319">
        <f>IF(AND('Ações'!AX619="sim", 'Ações'!BH619="sim"), 1, 0)
</f>
        <v>1</v>
      </c>
    </row>
    <row r="613">
      <c r="B613" s="319">
        <f>IF(AND('Ações'!AS620="sim", 'Ações'!BD620="sim"), 1, 0)
</f>
        <v>0</v>
      </c>
      <c r="C613" s="319">
        <f>IF(AND('Ações'!AT620="sim", 'Ações'!BE620="sim"), 1, 0)
</f>
        <v>0</v>
      </c>
      <c r="D613" s="319">
        <f>IF(AND('Ações'!AU620="sim", 'Ações'!BF620="sim"), 1, 0)
</f>
        <v>0</v>
      </c>
      <c r="E613" s="319">
        <f>IF(AND('Ações'!AV620="sim", 'Ações'!BG620="sim"), 1, 0)
</f>
        <v>0</v>
      </c>
      <c r="F613" s="319">
        <f>IF(AND('Ações'!AW620="sim", 'Ações'!BH620="sim"), 1, 0)
</f>
        <v>0</v>
      </c>
      <c r="G613" s="319">
        <f>IF(AND('Ações'!AX620="sim", 'Ações'!BI620="sim"), 1, 0)
</f>
        <v>1</v>
      </c>
      <c r="H613" s="319">
        <f>IF(AND('Ações'!AS620="sim", 'Ações'!BE620="sim"), 1, 0)
</f>
        <v>0</v>
      </c>
      <c r="I613" s="319">
        <f>IF(AND('Ações'!AS620="sim", 'Ações'!BF620="sim"), 1, 0)
</f>
        <v>0</v>
      </c>
      <c r="J613" s="319">
        <f>IF(AND('Ações'!AS620="sim", 'Ações'!BG620="sim"), 1, 0)
</f>
        <v>0</v>
      </c>
      <c r="K613" s="319">
        <f>IF(AND('Ações'!AS620="sim", 'Ações'!BH620="sim"), 1, 0)
</f>
        <v>0</v>
      </c>
      <c r="L613" s="319">
        <f>IF(AND('Ações'!AS620="sim", 'Ações'!BI620="sim"), 1, 0)
</f>
        <v>0</v>
      </c>
      <c r="M613" s="319">
        <f>IF(AND('Ações'!AT620="sim", 'Ações'!BD620="sim"), 1, 0)
</f>
        <v>0</v>
      </c>
      <c r="N613" s="319">
        <f>IF(AND('Ações'!AT620="sim", 'Ações'!BF620="sim"), 1, 0)
</f>
        <v>0</v>
      </c>
      <c r="O613" s="319">
        <f>IF(AND('Ações'!AT620="sim", 'Ações'!BG620="sim"), 1, 0)
</f>
        <v>0</v>
      </c>
      <c r="P613" s="319">
        <f>IF(AND('Ações'!AT620="sim", 'Ações'!BH620="sim"), 1, 0)
</f>
        <v>0</v>
      </c>
      <c r="Q613" s="319">
        <f>IF(AND('Ações'!AT620="sim", 'Ações'!BI620="sim"), 1, 0)
</f>
        <v>0</v>
      </c>
      <c r="R613" s="319">
        <f>IF(AND('Ações'!AU620="sim", 'Ações'!BD620="sim"), 1, 0)
</f>
        <v>0</v>
      </c>
      <c r="S613" s="319">
        <f>IF(AND('Ações'!AU620="sim", 'Ações'!BE620="sim"), 1, 0)
</f>
        <v>0</v>
      </c>
      <c r="T613" s="319">
        <f>IF(AND('Ações'!AU620="sim", 'Ações'!BG620="sim"), 1, 0)
</f>
        <v>0</v>
      </c>
      <c r="U613" s="319">
        <f>IF(AND('Ações'!AU620="sim", 'Ações'!BH620="sim"), 1, 0)
</f>
        <v>0</v>
      </c>
      <c r="V613" s="319">
        <f>IF(AND('Ações'!AU620="sim", 'Ações'!BI620="sim"), 1, 0)
</f>
        <v>0</v>
      </c>
      <c r="W613" s="319">
        <f>IF(AND('Ações'!AV620="sim", 'Ações'!BD620="sim"), 1, 0)
</f>
        <v>1</v>
      </c>
      <c r="X613" s="319">
        <f>IF(AND('Ações'!AV620="sim", 'Ações'!BE620="sim"), 1, 0)
</f>
        <v>0</v>
      </c>
      <c r="Y613" s="319">
        <f>IF(AND('Ações'!AV620="sim", 'Ações'!BF620="sim"), 1, 0)
</f>
        <v>0</v>
      </c>
      <c r="Z613" s="319">
        <f>IF(AND('Ações'!AV620="sim", 'Ações'!BH620="sim"), 1, 0)
</f>
        <v>0</v>
      </c>
      <c r="AA613" s="319">
        <f>IF(AND('Ações'!AV620="sim", 'Ações'!BI620="sim"), 1, 0)
</f>
        <v>1</v>
      </c>
      <c r="AB613" s="319">
        <f>IF(AND('Ações'!AW620="sim", 'Ações'!BD620="sim"), 1, 0)
</f>
        <v>1</v>
      </c>
      <c r="AC613" s="319">
        <f>IF(AND('Ações'!AW620="sim", 'Ações'!BE620="sim"), 1, 0)
</f>
        <v>0</v>
      </c>
      <c r="AD613" s="319">
        <f>IF(AND('Ações'!AW620="sim", 'Ações'!BF620="sim"), 1, 0)
</f>
        <v>0</v>
      </c>
      <c r="AE613" s="319">
        <f>IF(AND('Ações'!AW620="sim", 'Ações'!BG620="sim"), 1, 0)
</f>
        <v>0</v>
      </c>
      <c r="AF613" s="319">
        <f>IF(AND('Ações'!AW620="sim", 'Ações'!BI620="sim"), 1, 0)
</f>
        <v>1</v>
      </c>
      <c r="AG613" s="319">
        <f>IF(AND('Ações'!AX620="sim", 'Ações'!BD620="sim"), 1, 0)
</f>
        <v>1</v>
      </c>
      <c r="AH613" s="319">
        <f>IF(AND('Ações'!AX620="sim", 'Ações'!BE620="sim"), 1, 0)
</f>
        <v>0</v>
      </c>
      <c r="AI613" s="319">
        <f>IF(AND('Ações'!AX620="sim", 'Ações'!BF620="sim"), 1, 0)
</f>
        <v>0</v>
      </c>
      <c r="AJ613" s="319">
        <f>IF(AND('Ações'!AX620="sim", 'Ações'!BG620="sim"), 1, 0)
</f>
        <v>0</v>
      </c>
      <c r="AK613" s="319">
        <f>IF(AND('Ações'!AX620="sim", 'Ações'!BH620="sim"), 1, 0)
</f>
        <v>0</v>
      </c>
    </row>
    <row r="614">
      <c r="B614" s="319">
        <f>IF(AND('Ações'!AS621="sim", 'Ações'!BD621="sim"), 1, 0)
</f>
        <v>0</v>
      </c>
      <c r="C614" s="319">
        <f>IF(AND('Ações'!AT621="sim", 'Ações'!BE621="sim"), 1, 0)
</f>
        <v>0</v>
      </c>
      <c r="D614" s="319">
        <f>IF(AND('Ações'!AU621="sim", 'Ações'!BF621="sim"), 1, 0)
</f>
        <v>0</v>
      </c>
      <c r="E614" s="319">
        <f>IF(AND('Ações'!AV621="sim", 'Ações'!BG621="sim"), 1, 0)
</f>
        <v>0</v>
      </c>
      <c r="F614" s="319">
        <f>IF(AND('Ações'!AW621="sim", 'Ações'!BH621="sim"), 1, 0)
</f>
        <v>0</v>
      </c>
      <c r="G614" s="319">
        <f>IF(AND('Ações'!AX621="sim", 'Ações'!BI621="sim"), 1, 0)
</f>
        <v>1</v>
      </c>
      <c r="H614" s="319">
        <f>IF(AND('Ações'!AS621="sim", 'Ações'!BE621="sim"), 1, 0)
</f>
        <v>0</v>
      </c>
      <c r="I614" s="319">
        <f>IF(AND('Ações'!AS621="sim", 'Ações'!BF621="sim"), 1, 0)
</f>
        <v>0</v>
      </c>
      <c r="J614" s="319">
        <f>IF(AND('Ações'!AS621="sim", 'Ações'!BG621="sim"), 1, 0)
</f>
        <v>0</v>
      </c>
      <c r="K614" s="319">
        <f>IF(AND('Ações'!AS621="sim", 'Ações'!BH621="sim"), 1, 0)
</f>
        <v>0</v>
      </c>
      <c r="L614" s="319">
        <f>IF(AND('Ações'!AS621="sim", 'Ações'!BI621="sim"), 1, 0)
</f>
        <v>0</v>
      </c>
      <c r="M614" s="319">
        <f>IF(AND('Ações'!AT621="sim", 'Ações'!BD621="sim"), 1, 0)
</f>
        <v>0</v>
      </c>
      <c r="N614" s="319">
        <f>IF(AND('Ações'!AT621="sim", 'Ações'!BF621="sim"), 1, 0)
</f>
        <v>0</v>
      </c>
      <c r="O614" s="319">
        <f>IF(AND('Ações'!AT621="sim", 'Ações'!BG621="sim"), 1, 0)
</f>
        <v>0</v>
      </c>
      <c r="P614" s="319">
        <f>IF(AND('Ações'!AT621="sim", 'Ações'!BH621="sim"), 1, 0)
</f>
        <v>0</v>
      </c>
      <c r="Q614" s="319">
        <f>IF(AND('Ações'!AT621="sim", 'Ações'!BI621="sim"), 1, 0)
</f>
        <v>0</v>
      </c>
      <c r="R614" s="319">
        <f>IF(AND('Ações'!AU621="sim", 'Ações'!BD621="sim"), 1, 0)
</f>
        <v>0</v>
      </c>
      <c r="S614" s="319">
        <f>IF(AND('Ações'!AU621="sim", 'Ações'!BE621="sim"), 1, 0)
</f>
        <v>0</v>
      </c>
      <c r="T614" s="319">
        <f>IF(AND('Ações'!AU621="sim", 'Ações'!BG621="sim"), 1, 0)
</f>
        <v>0</v>
      </c>
      <c r="U614" s="319">
        <f>IF(AND('Ações'!AU621="sim", 'Ações'!BH621="sim"), 1, 0)
</f>
        <v>0</v>
      </c>
      <c r="V614" s="319">
        <f>IF(AND('Ações'!AU621="sim", 'Ações'!BI621="sim"), 1, 0)
</f>
        <v>0</v>
      </c>
      <c r="W614" s="319">
        <f>IF(AND('Ações'!AV621="sim", 'Ações'!BD621="sim"), 1, 0)
</f>
        <v>0</v>
      </c>
      <c r="X614" s="319">
        <f>IF(AND('Ações'!AV621="sim", 'Ações'!BE621="sim"), 1, 0)
</f>
        <v>0</v>
      </c>
      <c r="Y614" s="319">
        <f>IF(AND('Ações'!AV621="sim", 'Ações'!BF621="sim"), 1, 0)
</f>
        <v>0</v>
      </c>
      <c r="Z614" s="319">
        <f>IF(AND('Ações'!AV621="sim", 'Ações'!BH621="sim"), 1, 0)
</f>
        <v>0</v>
      </c>
      <c r="AA614" s="319">
        <f>IF(AND('Ações'!AV621="sim", 'Ações'!BI621="sim"), 1, 0)
</f>
        <v>1</v>
      </c>
      <c r="AB614" s="319">
        <f>IF(AND('Ações'!AW621="sim", 'Ações'!BD621="sim"), 1, 0)
</f>
        <v>0</v>
      </c>
      <c r="AC614" s="319">
        <f>IF(AND('Ações'!AW621="sim", 'Ações'!BE621="sim"), 1, 0)
</f>
        <v>0</v>
      </c>
      <c r="AD614" s="319">
        <f>IF(AND('Ações'!AW621="sim", 'Ações'!BF621="sim"), 1, 0)
</f>
        <v>0</v>
      </c>
      <c r="AE614" s="319">
        <f>IF(AND('Ações'!AW621="sim", 'Ações'!BG621="sim"), 1, 0)
</f>
        <v>0</v>
      </c>
      <c r="AF614" s="319">
        <f>IF(AND('Ações'!AW621="sim", 'Ações'!BI621="sim"), 1, 0)
</f>
        <v>1</v>
      </c>
      <c r="AG614" s="319">
        <f>IF(AND('Ações'!AX621="sim", 'Ações'!BD621="sim"), 1, 0)
</f>
        <v>0</v>
      </c>
      <c r="AH614" s="319">
        <f>IF(AND('Ações'!AX621="sim", 'Ações'!BE621="sim"), 1, 0)
</f>
        <v>0</v>
      </c>
      <c r="AI614" s="319">
        <f>IF(AND('Ações'!AX621="sim", 'Ações'!BF621="sim"), 1, 0)
</f>
        <v>0</v>
      </c>
      <c r="AJ614" s="319">
        <f>IF(AND('Ações'!AX621="sim", 'Ações'!BG621="sim"), 1, 0)
</f>
        <v>0</v>
      </c>
      <c r="AK614" s="319">
        <f>IF(AND('Ações'!AX621="sim", 'Ações'!BH621="sim"), 1, 0)
</f>
        <v>0</v>
      </c>
    </row>
    <row r="615">
      <c r="B615" s="319">
        <f>IF(AND('Ações'!AS622="sim", 'Ações'!BD622="sim"), 1, 0)
</f>
        <v>0</v>
      </c>
      <c r="C615" s="319">
        <f>IF(AND('Ações'!AT622="sim", 'Ações'!BE622="sim"), 1, 0)
</f>
        <v>0</v>
      </c>
      <c r="D615" s="319">
        <f>IF(AND('Ações'!AU622="sim", 'Ações'!BF622="sim"), 1, 0)
</f>
        <v>0</v>
      </c>
      <c r="E615" s="319">
        <f>IF(AND('Ações'!AV622="sim", 'Ações'!BG622="sim"), 1, 0)
</f>
        <v>1</v>
      </c>
      <c r="F615" s="319">
        <f>IF(AND('Ações'!AW622="sim", 'Ações'!BH622="sim"), 1, 0)
</f>
        <v>0</v>
      </c>
      <c r="G615" s="319">
        <f>IF(AND('Ações'!AX622="sim", 'Ações'!BI622="sim"), 1, 0)
</f>
        <v>0</v>
      </c>
      <c r="H615" s="319">
        <f>IF(AND('Ações'!AS622="sim", 'Ações'!BE622="sim"), 1, 0)
</f>
        <v>0</v>
      </c>
      <c r="I615" s="319">
        <f>IF(AND('Ações'!AS622="sim", 'Ações'!BF622="sim"), 1, 0)
</f>
        <v>0</v>
      </c>
      <c r="J615" s="319">
        <f>IF(AND('Ações'!AS622="sim", 'Ações'!BG622="sim"), 1, 0)
</f>
        <v>0</v>
      </c>
      <c r="K615" s="319">
        <f>IF(AND('Ações'!AS622="sim", 'Ações'!BH622="sim"), 1, 0)
</f>
        <v>0</v>
      </c>
      <c r="L615" s="319">
        <f>IF(AND('Ações'!AS622="sim", 'Ações'!BI622="sim"), 1, 0)
</f>
        <v>0</v>
      </c>
      <c r="M615" s="319">
        <f>IF(AND('Ações'!AT622="sim", 'Ações'!BD622="sim"), 1, 0)
</f>
        <v>0</v>
      </c>
      <c r="N615" s="319">
        <f>IF(AND('Ações'!AT622="sim", 'Ações'!BF622="sim"), 1, 0)
</f>
        <v>0</v>
      </c>
      <c r="O615" s="319">
        <f>IF(AND('Ações'!AT622="sim", 'Ações'!BG622="sim"), 1, 0)
</f>
        <v>0</v>
      </c>
      <c r="P615" s="319">
        <f>IF(AND('Ações'!AT622="sim", 'Ações'!BH622="sim"), 1, 0)
</f>
        <v>0</v>
      </c>
      <c r="Q615" s="319">
        <f>IF(AND('Ações'!AT622="sim", 'Ações'!BI622="sim"), 1, 0)
</f>
        <v>0</v>
      </c>
      <c r="R615" s="319">
        <f>IF(AND('Ações'!AU622="sim", 'Ações'!BD622="sim"), 1, 0)
</f>
        <v>0</v>
      </c>
      <c r="S615" s="319">
        <f>IF(AND('Ações'!AU622="sim", 'Ações'!BE622="sim"), 1, 0)
</f>
        <v>0</v>
      </c>
      <c r="T615" s="319">
        <f>IF(AND('Ações'!AU622="sim", 'Ações'!BG622="sim"), 1, 0)
</f>
        <v>0</v>
      </c>
      <c r="U615" s="319">
        <f>IF(AND('Ações'!AU622="sim", 'Ações'!BH622="sim"), 1, 0)
</f>
        <v>0</v>
      </c>
      <c r="V615" s="319">
        <f>IF(AND('Ações'!AU622="sim", 'Ações'!BI622="sim"), 1, 0)
</f>
        <v>0</v>
      </c>
      <c r="W615" s="319">
        <f>IF(AND('Ações'!AV622="sim", 'Ações'!BD622="sim"), 1, 0)
</f>
        <v>0</v>
      </c>
      <c r="X615" s="319">
        <f>IF(AND('Ações'!AV622="sim", 'Ações'!BE622="sim"), 1, 0)
</f>
        <v>0</v>
      </c>
      <c r="Y615" s="319">
        <f>IF(AND('Ações'!AV622="sim", 'Ações'!BF622="sim"), 1, 0)
</f>
        <v>0</v>
      </c>
      <c r="Z615" s="319">
        <f>IF(AND('Ações'!AV622="sim", 'Ações'!BH622="sim"), 1, 0)
</f>
        <v>0</v>
      </c>
      <c r="AA615" s="319">
        <f>IF(AND('Ações'!AV622="sim", 'Ações'!BI622="sim"), 1, 0)
</f>
        <v>0</v>
      </c>
      <c r="AB615" s="319">
        <f>IF(AND('Ações'!AW622="sim", 'Ações'!BD622="sim"), 1, 0)
</f>
        <v>0</v>
      </c>
      <c r="AC615" s="319">
        <f>IF(AND('Ações'!AW622="sim", 'Ações'!BE622="sim"), 1, 0)
</f>
        <v>0</v>
      </c>
      <c r="AD615" s="319">
        <f>IF(AND('Ações'!AW622="sim", 'Ações'!BF622="sim"), 1, 0)
</f>
        <v>0</v>
      </c>
      <c r="AE615" s="319">
        <f>IF(AND('Ações'!AW622="sim", 'Ações'!BG622="sim"), 1, 0)
</f>
        <v>1</v>
      </c>
      <c r="AF615" s="319">
        <f>IF(AND('Ações'!AW622="sim", 'Ações'!BI622="sim"), 1, 0)
</f>
        <v>0</v>
      </c>
      <c r="AG615" s="319">
        <f>IF(AND('Ações'!AX622="sim", 'Ações'!BD622="sim"), 1, 0)
</f>
        <v>0</v>
      </c>
      <c r="AH615" s="319">
        <f>IF(AND('Ações'!AX622="sim", 'Ações'!BE622="sim"), 1, 0)
</f>
        <v>0</v>
      </c>
      <c r="AI615" s="319">
        <f>IF(AND('Ações'!AX622="sim", 'Ações'!BF622="sim"), 1, 0)
</f>
        <v>0</v>
      </c>
      <c r="AJ615" s="319">
        <f>IF(AND('Ações'!AX622="sim", 'Ações'!BG622="sim"), 1, 0)
</f>
        <v>1</v>
      </c>
      <c r="AK615" s="319">
        <f>IF(AND('Ações'!AX622="sim", 'Ações'!BH622="sim"), 1, 0)
</f>
        <v>0</v>
      </c>
    </row>
    <row r="616">
      <c r="B616" s="319">
        <f>IF(AND('Ações'!AS623="sim", 'Ações'!BD623="sim"), 1, 0)
</f>
        <v>0</v>
      </c>
      <c r="C616" s="319">
        <f>IF(AND('Ações'!AT623="sim", 'Ações'!BE623="sim"), 1, 0)
</f>
        <v>0</v>
      </c>
      <c r="D616" s="319">
        <f>IF(AND('Ações'!AU623="sim", 'Ações'!BF623="sim"), 1, 0)
</f>
        <v>0</v>
      </c>
      <c r="E616" s="319">
        <f>IF(AND('Ações'!AV623="sim", 'Ações'!BG623="sim"), 1, 0)
</f>
        <v>0</v>
      </c>
      <c r="F616" s="319">
        <f>IF(AND('Ações'!AW623="sim", 'Ações'!BH623="sim"), 1, 0)
</f>
        <v>1</v>
      </c>
      <c r="G616" s="319">
        <f>IF(AND('Ações'!AX623="sim", 'Ações'!BI623="sim"), 1, 0)
</f>
        <v>0</v>
      </c>
      <c r="H616" s="319">
        <f>IF(AND('Ações'!AS623="sim", 'Ações'!BE623="sim"), 1, 0)
</f>
        <v>0</v>
      </c>
      <c r="I616" s="319">
        <f>IF(AND('Ações'!AS623="sim", 'Ações'!BF623="sim"), 1, 0)
</f>
        <v>0</v>
      </c>
      <c r="J616" s="319">
        <f>IF(AND('Ações'!AS623="sim", 'Ações'!BG623="sim"), 1, 0)
</f>
        <v>0</v>
      </c>
      <c r="K616" s="319">
        <f>IF(AND('Ações'!AS623="sim", 'Ações'!BH623="sim"), 1, 0)
</f>
        <v>0</v>
      </c>
      <c r="L616" s="319">
        <f>IF(AND('Ações'!AS623="sim", 'Ações'!BI623="sim"), 1, 0)
</f>
        <v>0</v>
      </c>
      <c r="M616" s="319">
        <f>IF(AND('Ações'!AT623="sim", 'Ações'!BD623="sim"), 1, 0)
</f>
        <v>0</v>
      </c>
      <c r="N616" s="319">
        <f>IF(AND('Ações'!AT623="sim", 'Ações'!BF623="sim"), 1, 0)
</f>
        <v>0</v>
      </c>
      <c r="O616" s="319">
        <f>IF(AND('Ações'!AT623="sim", 'Ações'!BG623="sim"), 1, 0)
</f>
        <v>0</v>
      </c>
      <c r="P616" s="319">
        <f>IF(AND('Ações'!AT623="sim", 'Ações'!BH623="sim"), 1, 0)
</f>
        <v>0</v>
      </c>
      <c r="Q616" s="319">
        <f>IF(AND('Ações'!AT623="sim", 'Ações'!BI623="sim"), 1, 0)
</f>
        <v>0</v>
      </c>
      <c r="R616" s="319">
        <f>IF(AND('Ações'!AU623="sim", 'Ações'!BD623="sim"), 1, 0)
</f>
        <v>0</v>
      </c>
      <c r="S616" s="319">
        <f>IF(AND('Ações'!AU623="sim", 'Ações'!BE623="sim"), 1, 0)
</f>
        <v>0</v>
      </c>
      <c r="T616" s="319">
        <f>IF(AND('Ações'!AU623="sim", 'Ações'!BG623="sim"), 1, 0)
</f>
        <v>0</v>
      </c>
      <c r="U616" s="319">
        <f>IF(AND('Ações'!AU623="sim", 'Ações'!BH623="sim"), 1, 0)
</f>
        <v>0</v>
      </c>
      <c r="V616" s="319">
        <f>IF(AND('Ações'!AU623="sim", 'Ações'!BI623="sim"), 1, 0)
</f>
        <v>0</v>
      </c>
      <c r="W616" s="319">
        <f>IF(AND('Ações'!AV623="sim", 'Ações'!BD623="sim"), 1, 0)
</f>
        <v>1</v>
      </c>
      <c r="X616" s="319">
        <f>IF(AND('Ações'!AV623="sim", 'Ações'!BE623="sim"), 1, 0)
</f>
        <v>0</v>
      </c>
      <c r="Y616" s="319">
        <f>IF(AND('Ações'!AV623="sim", 'Ações'!BF623="sim"), 1, 0)
</f>
        <v>0</v>
      </c>
      <c r="Z616" s="319">
        <f>IF(AND('Ações'!AV623="sim", 'Ações'!BH623="sim"), 1, 0)
</f>
        <v>1</v>
      </c>
      <c r="AA616" s="319">
        <f>IF(AND('Ações'!AV623="sim", 'Ações'!BI623="sim"), 1, 0)
</f>
        <v>0</v>
      </c>
      <c r="AB616" s="319">
        <f>IF(AND('Ações'!AW623="sim", 'Ações'!BD623="sim"), 1, 0)
</f>
        <v>1</v>
      </c>
      <c r="AC616" s="319">
        <f>IF(AND('Ações'!AW623="sim", 'Ações'!BE623="sim"), 1, 0)
</f>
        <v>0</v>
      </c>
      <c r="AD616" s="319">
        <f>IF(AND('Ações'!AW623="sim", 'Ações'!BF623="sim"), 1, 0)
</f>
        <v>0</v>
      </c>
      <c r="AE616" s="319">
        <f>IF(AND('Ações'!AW623="sim", 'Ações'!BG623="sim"), 1, 0)
</f>
        <v>0</v>
      </c>
      <c r="AF616" s="319">
        <f>IF(AND('Ações'!AW623="sim", 'Ações'!BI623="sim"), 1, 0)
</f>
        <v>0</v>
      </c>
      <c r="AG616" s="319">
        <f>IF(AND('Ações'!AX623="sim", 'Ações'!BD623="sim"), 1, 0)
</f>
        <v>1</v>
      </c>
      <c r="AH616" s="319">
        <f>IF(AND('Ações'!AX623="sim", 'Ações'!BE623="sim"), 1, 0)
</f>
        <v>0</v>
      </c>
      <c r="AI616" s="319">
        <f>IF(AND('Ações'!AX623="sim", 'Ações'!BF623="sim"), 1, 0)
</f>
        <v>0</v>
      </c>
      <c r="AJ616" s="319">
        <f>IF(AND('Ações'!AX623="sim", 'Ações'!BG623="sim"), 1, 0)
</f>
        <v>0</v>
      </c>
      <c r="AK616" s="319">
        <f>IF(AND('Ações'!AX623="sim", 'Ações'!BH623="sim"), 1, 0)
</f>
        <v>1</v>
      </c>
    </row>
    <row r="617">
      <c r="B617" s="319">
        <f>IF(AND('Ações'!AS624="sim", 'Ações'!BD624="sim"), 1, 0)
</f>
        <v>0</v>
      </c>
      <c r="C617" s="319">
        <f>IF(AND('Ações'!AT624="sim", 'Ações'!BE624="sim"), 1, 0)
</f>
        <v>0</v>
      </c>
      <c r="D617" s="319">
        <f>IF(AND('Ações'!AU624="sim", 'Ações'!BF624="sim"), 1, 0)
</f>
        <v>0</v>
      </c>
      <c r="E617" s="319">
        <f>IF(AND('Ações'!AV624="sim", 'Ações'!BG624="sim"), 1, 0)
</f>
        <v>0</v>
      </c>
      <c r="F617" s="319">
        <f>IF(AND('Ações'!AW624="sim", 'Ações'!BH624="sim"), 1, 0)
</f>
        <v>0</v>
      </c>
      <c r="G617" s="319">
        <f>IF(AND('Ações'!AX624="sim", 'Ações'!BI624="sim"), 1, 0)
</f>
        <v>1</v>
      </c>
      <c r="H617" s="319">
        <f>IF(AND('Ações'!AS624="sim", 'Ações'!BE624="sim"), 1, 0)
</f>
        <v>0</v>
      </c>
      <c r="I617" s="319">
        <f>IF(AND('Ações'!AS624="sim", 'Ações'!BF624="sim"), 1, 0)
</f>
        <v>0</v>
      </c>
      <c r="J617" s="319">
        <f>IF(AND('Ações'!AS624="sim", 'Ações'!BG624="sim"), 1, 0)
</f>
        <v>0</v>
      </c>
      <c r="K617" s="319">
        <f>IF(AND('Ações'!AS624="sim", 'Ações'!BH624="sim"), 1, 0)
</f>
        <v>0</v>
      </c>
      <c r="L617" s="319">
        <f>IF(AND('Ações'!AS624="sim", 'Ações'!BI624="sim"), 1, 0)
</f>
        <v>0</v>
      </c>
      <c r="M617" s="319">
        <f>IF(AND('Ações'!AT624="sim", 'Ações'!BD624="sim"), 1, 0)
</f>
        <v>0</v>
      </c>
      <c r="N617" s="319">
        <f>IF(AND('Ações'!AT624="sim", 'Ações'!BF624="sim"), 1, 0)
</f>
        <v>0</v>
      </c>
      <c r="O617" s="319">
        <f>IF(AND('Ações'!AT624="sim", 'Ações'!BG624="sim"), 1, 0)
</f>
        <v>0</v>
      </c>
      <c r="P617" s="319">
        <f>IF(AND('Ações'!AT624="sim", 'Ações'!BH624="sim"), 1, 0)
</f>
        <v>0</v>
      </c>
      <c r="Q617" s="319">
        <f>IF(AND('Ações'!AT624="sim", 'Ações'!BI624="sim"), 1, 0)
</f>
        <v>0</v>
      </c>
      <c r="R617" s="319">
        <f>IF(AND('Ações'!AU624="sim", 'Ações'!BD624="sim"), 1, 0)
</f>
        <v>0</v>
      </c>
      <c r="S617" s="319">
        <f>IF(AND('Ações'!AU624="sim", 'Ações'!BE624="sim"), 1, 0)
</f>
        <v>0</v>
      </c>
      <c r="T617" s="319">
        <f>IF(AND('Ações'!AU624="sim", 'Ações'!BG624="sim"), 1, 0)
</f>
        <v>0</v>
      </c>
      <c r="U617" s="319">
        <f>IF(AND('Ações'!AU624="sim", 'Ações'!BH624="sim"), 1, 0)
</f>
        <v>0</v>
      </c>
      <c r="V617" s="319">
        <f>IF(AND('Ações'!AU624="sim", 'Ações'!BI624="sim"), 1, 0)
</f>
        <v>0</v>
      </c>
      <c r="W617" s="319">
        <f>IF(AND('Ações'!AV624="sim", 'Ações'!BD624="sim"), 1, 0)
</f>
        <v>0</v>
      </c>
      <c r="X617" s="319">
        <f>IF(AND('Ações'!AV624="sim", 'Ações'!BE624="sim"), 1, 0)
</f>
        <v>0</v>
      </c>
      <c r="Y617" s="319">
        <f>IF(AND('Ações'!AV624="sim", 'Ações'!BF624="sim"), 1, 0)
</f>
        <v>0</v>
      </c>
      <c r="Z617" s="319">
        <f>IF(AND('Ações'!AV624="sim", 'Ações'!BH624="sim"), 1, 0)
</f>
        <v>0</v>
      </c>
      <c r="AA617" s="319">
        <f>IF(AND('Ações'!AV624="sim", 'Ações'!BI624="sim"), 1, 0)
</f>
        <v>1</v>
      </c>
      <c r="AB617" s="319">
        <f>IF(AND('Ações'!AW624="sim", 'Ações'!BD624="sim"), 1, 0)
</f>
        <v>0</v>
      </c>
      <c r="AC617" s="319">
        <f>IF(AND('Ações'!AW624="sim", 'Ações'!BE624="sim"), 1, 0)
</f>
        <v>0</v>
      </c>
      <c r="AD617" s="319">
        <f>IF(AND('Ações'!AW624="sim", 'Ações'!BF624="sim"), 1, 0)
</f>
        <v>0</v>
      </c>
      <c r="AE617" s="319">
        <f>IF(AND('Ações'!AW624="sim", 'Ações'!BG624="sim"), 1, 0)
</f>
        <v>0</v>
      </c>
      <c r="AF617" s="319">
        <f>IF(AND('Ações'!AW624="sim", 'Ações'!BI624="sim"), 1, 0)
</f>
        <v>1</v>
      </c>
      <c r="AG617" s="319">
        <f>IF(AND('Ações'!AX624="sim", 'Ações'!BD624="sim"), 1, 0)
</f>
        <v>0</v>
      </c>
      <c r="AH617" s="319">
        <f>IF(AND('Ações'!AX624="sim", 'Ações'!BE624="sim"), 1, 0)
</f>
        <v>0</v>
      </c>
      <c r="AI617" s="319">
        <f>IF(AND('Ações'!AX624="sim", 'Ações'!BF624="sim"), 1, 0)
</f>
        <v>0</v>
      </c>
      <c r="AJ617" s="319">
        <f>IF(AND('Ações'!AX624="sim", 'Ações'!BG624="sim"), 1, 0)
</f>
        <v>0</v>
      </c>
      <c r="AK617" s="319">
        <f>IF(AND('Ações'!AX624="sim", 'Ações'!BH624="sim"), 1, 0)
</f>
        <v>0</v>
      </c>
    </row>
    <row r="618">
      <c r="B618" s="319">
        <f>IF(AND('Ações'!AS625="sim", 'Ações'!BD625="sim"), 1, 0)
</f>
        <v>0</v>
      </c>
      <c r="C618" s="319">
        <f>IF(AND('Ações'!AT625="sim", 'Ações'!BE625="sim"), 1, 0)
</f>
        <v>0</v>
      </c>
      <c r="D618" s="319">
        <f>IF(AND('Ações'!AU625="sim", 'Ações'!BF625="sim"), 1, 0)
</f>
        <v>0</v>
      </c>
      <c r="E618" s="319">
        <f>IF(AND('Ações'!AV625="sim", 'Ações'!BG625="sim"), 1, 0)
</f>
        <v>0</v>
      </c>
      <c r="F618" s="319">
        <f>IF(AND('Ações'!AW625="sim", 'Ações'!BH625="sim"), 1, 0)
</f>
        <v>0</v>
      </c>
      <c r="G618" s="319">
        <f>IF(AND('Ações'!AX625="sim", 'Ações'!BI625="sim"), 1, 0)
</f>
        <v>1</v>
      </c>
      <c r="H618" s="319">
        <f>IF(AND('Ações'!AS625="sim", 'Ações'!BE625="sim"), 1, 0)
</f>
        <v>0</v>
      </c>
      <c r="I618" s="319">
        <f>IF(AND('Ações'!AS625="sim", 'Ações'!BF625="sim"), 1, 0)
</f>
        <v>0</v>
      </c>
      <c r="J618" s="319">
        <f>IF(AND('Ações'!AS625="sim", 'Ações'!BG625="sim"), 1, 0)
</f>
        <v>0</v>
      </c>
      <c r="K618" s="319">
        <f>IF(AND('Ações'!AS625="sim", 'Ações'!BH625="sim"), 1, 0)
</f>
        <v>0</v>
      </c>
      <c r="L618" s="319">
        <f>IF(AND('Ações'!AS625="sim", 'Ações'!BI625="sim"), 1, 0)
</f>
        <v>0</v>
      </c>
      <c r="M618" s="319">
        <f>IF(AND('Ações'!AT625="sim", 'Ações'!BD625="sim"), 1, 0)
</f>
        <v>0</v>
      </c>
      <c r="N618" s="319">
        <f>IF(AND('Ações'!AT625="sim", 'Ações'!BF625="sim"), 1, 0)
</f>
        <v>0</v>
      </c>
      <c r="O618" s="319">
        <f>IF(AND('Ações'!AT625="sim", 'Ações'!BG625="sim"), 1, 0)
</f>
        <v>0</v>
      </c>
      <c r="P618" s="319">
        <f>IF(AND('Ações'!AT625="sim", 'Ações'!BH625="sim"), 1, 0)
</f>
        <v>0</v>
      </c>
      <c r="Q618" s="319">
        <f>IF(AND('Ações'!AT625="sim", 'Ações'!BI625="sim"), 1, 0)
</f>
        <v>0</v>
      </c>
      <c r="R618" s="319">
        <f>IF(AND('Ações'!AU625="sim", 'Ações'!BD625="sim"), 1, 0)
</f>
        <v>0</v>
      </c>
      <c r="S618" s="319">
        <f>IF(AND('Ações'!AU625="sim", 'Ações'!BE625="sim"), 1, 0)
</f>
        <v>0</v>
      </c>
      <c r="T618" s="319">
        <f>IF(AND('Ações'!AU625="sim", 'Ações'!BG625="sim"), 1, 0)
</f>
        <v>0</v>
      </c>
      <c r="U618" s="319">
        <f>IF(AND('Ações'!AU625="sim", 'Ações'!BH625="sim"), 1, 0)
</f>
        <v>0</v>
      </c>
      <c r="V618" s="319">
        <f>IF(AND('Ações'!AU625="sim", 'Ações'!BI625="sim"), 1, 0)
</f>
        <v>0</v>
      </c>
      <c r="W618" s="319">
        <f>IF(AND('Ações'!AV625="sim", 'Ações'!BD625="sim"), 1, 0)
</f>
        <v>0</v>
      </c>
      <c r="X618" s="319">
        <f>IF(AND('Ações'!AV625="sim", 'Ações'!BE625="sim"), 1, 0)
</f>
        <v>0</v>
      </c>
      <c r="Y618" s="319">
        <f>IF(AND('Ações'!AV625="sim", 'Ações'!BF625="sim"), 1, 0)
</f>
        <v>0</v>
      </c>
      <c r="Z618" s="319">
        <f>IF(AND('Ações'!AV625="sim", 'Ações'!BH625="sim"), 1, 0)
</f>
        <v>0</v>
      </c>
      <c r="AA618" s="319">
        <f>IF(AND('Ações'!AV625="sim", 'Ações'!BI625="sim"), 1, 0)
</f>
        <v>1</v>
      </c>
      <c r="AB618" s="319">
        <f>IF(AND('Ações'!AW625="sim", 'Ações'!BD625="sim"), 1, 0)
</f>
        <v>0</v>
      </c>
      <c r="AC618" s="319">
        <f>IF(AND('Ações'!AW625="sim", 'Ações'!BE625="sim"), 1, 0)
</f>
        <v>0</v>
      </c>
      <c r="AD618" s="319">
        <f>IF(AND('Ações'!AW625="sim", 'Ações'!BF625="sim"), 1, 0)
</f>
        <v>0</v>
      </c>
      <c r="AE618" s="319">
        <f>IF(AND('Ações'!AW625="sim", 'Ações'!BG625="sim"), 1, 0)
</f>
        <v>0</v>
      </c>
      <c r="AF618" s="319">
        <f>IF(AND('Ações'!AW625="sim", 'Ações'!BI625="sim"), 1, 0)
</f>
        <v>1</v>
      </c>
      <c r="AG618" s="319">
        <f>IF(AND('Ações'!AX625="sim", 'Ações'!BD625="sim"), 1, 0)
</f>
        <v>0</v>
      </c>
      <c r="AH618" s="319">
        <f>IF(AND('Ações'!AX625="sim", 'Ações'!BE625="sim"), 1, 0)
</f>
        <v>0</v>
      </c>
      <c r="AI618" s="319">
        <f>IF(AND('Ações'!AX625="sim", 'Ações'!BF625="sim"), 1, 0)
</f>
        <v>0</v>
      </c>
      <c r="AJ618" s="319">
        <f>IF(AND('Ações'!AX625="sim", 'Ações'!BG625="sim"), 1, 0)
</f>
        <v>0</v>
      </c>
      <c r="AK618" s="319">
        <f>IF(AND('Ações'!AX625="sim", 'Ações'!BH625="sim"), 1, 0)
</f>
        <v>0</v>
      </c>
    </row>
    <row r="619">
      <c r="B619" s="319">
        <f>IF(AND('Ações'!AS626="sim", 'Ações'!BD626="sim"), 1, 0)
</f>
        <v>0</v>
      </c>
      <c r="C619" s="319">
        <f>IF(AND('Ações'!AT626="sim", 'Ações'!BE626="sim"), 1, 0)
</f>
        <v>0</v>
      </c>
      <c r="D619" s="319">
        <f>IF(AND('Ações'!AU626="sim", 'Ações'!BF626="sim"), 1, 0)
</f>
        <v>0</v>
      </c>
      <c r="E619" s="319">
        <f>IF(AND('Ações'!AV626="sim", 'Ações'!BG626="sim"), 1, 0)
</f>
        <v>0</v>
      </c>
      <c r="F619" s="319">
        <f>IF(AND('Ações'!AW626="sim", 'Ações'!BH626="sim"), 1, 0)
</f>
        <v>0</v>
      </c>
      <c r="G619" s="319">
        <f>IF(AND('Ações'!AX626="sim", 'Ações'!BI626="sim"), 1, 0)
</f>
        <v>1</v>
      </c>
      <c r="H619" s="319">
        <f>IF(AND('Ações'!AS626="sim", 'Ações'!BE626="sim"), 1, 0)
</f>
        <v>0</v>
      </c>
      <c r="I619" s="319">
        <f>IF(AND('Ações'!AS626="sim", 'Ações'!BF626="sim"), 1, 0)
</f>
        <v>0</v>
      </c>
      <c r="J619" s="319">
        <f>IF(AND('Ações'!AS626="sim", 'Ações'!BG626="sim"), 1, 0)
</f>
        <v>0</v>
      </c>
      <c r="K619" s="319">
        <f>IF(AND('Ações'!AS626="sim", 'Ações'!BH626="sim"), 1, 0)
</f>
        <v>0</v>
      </c>
      <c r="L619" s="319">
        <f>IF(AND('Ações'!AS626="sim", 'Ações'!BI626="sim"), 1, 0)
</f>
        <v>0</v>
      </c>
      <c r="M619" s="319">
        <f>IF(AND('Ações'!AT626="sim", 'Ações'!BD626="sim"), 1, 0)
</f>
        <v>0</v>
      </c>
      <c r="N619" s="319">
        <f>IF(AND('Ações'!AT626="sim", 'Ações'!BF626="sim"), 1, 0)
</f>
        <v>0</v>
      </c>
      <c r="O619" s="319">
        <f>IF(AND('Ações'!AT626="sim", 'Ações'!BG626="sim"), 1, 0)
</f>
        <v>0</v>
      </c>
      <c r="P619" s="319">
        <f>IF(AND('Ações'!AT626="sim", 'Ações'!BH626="sim"), 1, 0)
</f>
        <v>0</v>
      </c>
      <c r="Q619" s="319">
        <f>IF(AND('Ações'!AT626="sim", 'Ações'!BI626="sim"), 1, 0)
</f>
        <v>0</v>
      </c>
      <c r="R619" s="319">
        <f>IF(AND('Ações'!AU626="sim", 'Ações'!BD626="sim"), 1, 0)
</f>
        <v>0</v>
      </c>
      <c r="S619" s="319">
        <f>IF(AND('Ações'!AU626="sim", 'Ações'!BE626="sim"), 1, 0)
</f>
        <v>0</v>
      </c>
      <c r="T619" s="319">
        <f>IF(AND('Ações'!AU626="sim", 'Ações'!BG626="sim"), 1, 0)
</f>
        <v>0</v>
      </c>
      <c r="U619" s="319">
        <f>IF(AND('Ações'!AU626="sim", 'Ações'!BH626="sim"), 1, 0)
</f>
        <v>0</v>
      </c>
      <c r="V619" s="319">
        <f>IF(AND('Ações'!AU626="sim", 'Ações'!BI626="sim"), 1, 0)
</f>
        <v>0</v>
      </c>
      <c r="W619" s="319">
        <f>IF(AND('Ações'!AV626="sim", 'Ações'!BD626="sim"), 1, 0)
</f>
        <v>0</v>
      </c>
      <c r="X619" s="319">
        <f>IF(AND('Ações'!AV626="sim", 'Ações'!BE626="sim"), 1, 0)
</f>
        <v>0</v>
      </c>
      <c r="Y619" s="319">
        <f>IF(AND('Ações'!AV626="sim", 'Ações'!BF626="sim"), 1, 0)
</f>
        <v>0</v>
      </c>
      <c r="Z619" s="319">
        <f>IF(AND('Ações'!AV626="sim", 'Ações'!BH626="sim"), 1, 0)
</f>
        <v>0</v>
      </c>
      <c r="AA619" s="319">
        <f>IF(AND('Ações'!AV626="sim", 'Ações'!BI626="sim"), 1, 0)
</f>
        <v>1</v>
      </c>
      <c r="AB619" s="319">
        <f>IF(AND('Ações'!AW626="sim", 'Ações'!BD626="sim"), 1, 0)
</f>
        <v>0</v>
      </c>
      <c r="AC619" s="319">
        <f>IF(AND('Ações'!AW626="sim", 'Ações'!BE626="sim"), 1, 0)
</f>
        <v>0</v>
      </c>
      <c r="AD619" s="319">
        <f>IF(AND('Ações'!AW626="sim", 'Ações'!BF626="sim"), 1, 0)
</f>
        <v>0</v>
      </c>
      <c r="AE619" s="319">
        <f>IF(AND('Ações'!AW626="sim", 'Ações'!BG626="sim"), 1, 0)
</f>
        <v>0</v>
      </c>
      <c r="AF619" s="319">
        <f>IF(AND('Ações'!AW626="sim", 'Ações'!BI626="sim"), 1, 0)
</f>
        <v>1</v>
      </c>
      <c r="AG619" s="319">
        <f>IF(AND('Ações'!AX626="sim", 'Ações'!BD626="sim"), 1, 0)
</f>
        <v>0</v>
      </c>
      <c r="AH619" s="319">
        <f>IF(AND('Ações'!AX626="sim", 'Ações'!BE626="sim"), 1, 0)
</f>
        <v>0</v>
      </c>
      <c r="AI619" s="319">
        <f>IF(AND('Ações'!AX626="sim", 'Ações'!BF626="sim"), 1, 0)
</f>
        <v>0</v>
      </c>
      <c r="AJ619" s="319">
        <f>IF(AND('Ações'!AX626="sim", 'Ações'!BG626="sim"), 1, 0)
</f>
        <v>0</v>
      </c>
      <c r="AK619" s="319">
        <f>IF(AND('Ações'!AX626="sim", 'Ações'!BH626="sim"), 1, 0)
</f>
        <v>0</v>
      </c>
    </row>
    <row r="620">
      <c r="B620" s="319">
        <f>IF(AND('Ações'!AS627="sim", 'Ações'!BD627="sim"), 1, 0)
</f>
        <v>0</v>
      </c>
      <c r="C620" s="319">
        <f>IF(AND('Ações'!AT627="sim", 'Ações'!BE627="sim"), 1, 0)
</f>
        <v>0</v>
      </c>
      <c r="D620" s="319">
        <f>IF(AND('Ações'!AU627="sim", 'Ações'!BF627="sim"), 1, 0)
</f>
        <v>0</v>
      </c>
      <c r="E620" s="319">
        <f>IF(AND('Ações'!AV627="sim", 'Ações'!BG627="sim"), 1, 0)
</f>
        <v>0</v>
      </c>
      <c r="F620" s="319">
        <f>IF(AND('Ações'!AW627="sim", 'Ações'!BH627="sim"), 1, 0)
</f>
        <v>0</v>
      </c>
      <c r="G620" s="319">
        <f>IF(AND('Ações'!AX627="sim", 'Ações'!BI627="sim"), 1, 0)
</f>
        <v>0</v>
      </c>
      <c r="H620" s="319">
        <f>IF(AND('Ações'!AS627="sim", 'Ações'!BE627="sim"), 1, 0)
</f>
        <v>0</v>
      </c>
      <c r="I620" s="319">
        <f>IF(AND('Ações'!AS627="sim", 'Ações'!BF627="sim"), 1, 0)
</f>
        <v>0</v>
      </c>
      <c r="J620" s="319">
        <f>IF(AND('Ações'!AS627="sim", 'Ações'!BG627="sim"), 1, 0)
</f>
        <v>0</v>
      </c>
      <c r="K620" s="319">
        <f>IF(AND('Ações'!AS627="sim", 'Ações'!BH627="sim"), 1, 0)
</f>
        <v>0</v>
      </c>
      <c r="L620" s="319">
        <f>IF(AND('Ações'!AS627="sim", 'Ações'!BI627="sim"), 1, 0)
</f>
        <v>0</v>
      </c>
      <c r="M620" s="319">
        <f>IF(AND('Ações'!AT627="sim", 'Ações'!BD627="sim"), 1, 0)
</f>
        <v>0</v>
      </c>
      <c r="N620" s="319">
        <f>IF(AND('Ações'!AT627="sim", 'Ações'!BF627="sim"), 1, 0)
</f>
        <v>0</v>
      </c>
      <c r="O620" s="319">
        <f>IF(AND('Ações'!AT627="sim", 'Ações'!BG627="sim"), 1, 0)
</f>
        <v>0</v>
      </c>
      <c r="P620" s="319">
        <f>IF(AND('Ações'!AT627="sim", 'Ações'!BH627="sim"), 1, 0)
</f>
        <v>0</v>
      </c>
      <c r="Q620" s="319">
        <f>IF(AND('Ações'!AT627="sim", 'Ações'!BI627="sim"), 1, 0)
</f>
        <v>0</v>
      </c>
      <c r="R620" s="319">
        <f>IF(AND('Ações'!AU627="sim", 'Ações'!BD627="sim"), 1, 0)
</f>
        <v>0</v>
      </c>
      <c r="S620" s="319">
        <f>IF(AND('Ações'!AU627="sim", 'Ações'!BE627="sim"), 1, 0)
</f>
        <v>0</v>
      </c>
      <c r="T620" s="319">
        <f>IF(AND('Ações'!AU627="sim", 'Ações'!BG627="sim"), 1, 0)
</f>
        <v>0</v>
      </c>
      <c r="U620" s="319">
        <f>IF(AND('Ações'!AU627="sim", 'Ações'!BH627="sim"), 1, 0)
</f>
        <v>0</v>
      </c>
      <c r="V620" s="319">
        <f>IF(AND('Ações'!AU627="sim", 'Ações'!BI627="sim"), 1, 0)
</f>
        <v>0</v>
      </c>
      <c r="W620" s="319">
        <f>IF(AND('Ações'!AV627="sim", 'Ações'!BD627="sim"), 1, 0)
</f>
        <v>1</v>
      </c>
      <c r="X620" s="319">
        <f>IF(AND('Ações'!AV627="sim", 'Ações'!BE627="sim"), 1, 0)
</f>
        <v>0</v>
      </c>
      <c r="Y620" s="319">
        <f>IF(AND('Ações'!AV627="sim", 'Ações'!BF627="sim"), 1, 0)
</f>
        <v>0</v>
      </c>
      <c r="Z620" s="319">
        <f>IF(AND('Ações'!AV627="sim", 'Ações'!BH627="sim"), 1, 0)
</f>
        <v>0</v>
      </c>
      <c r="AA620" s="319">
        <f>IF(AND('Ações'!AV627="sim", 'Ações'!BI627="sim"), 1, 0)
</f>
        <v>0</v>
      </c>
      <c r="AB620" s="319">
        <f>IF(AND('Ações'!AW627="sim", 'Ações'!BD627="sim"), 1, 0)
</f>
        <v>1</v>
      </c>
      <c r="AC620" s="319">
        <f>IF(AND('Ações'!AW627="sim", 'Ações'!BE627="sim"), 1, 0)
</f>
        <v>0</v>
      </c>
      <c r="AD620" s="319">
        <f>IF(AND('Ações'!AW627="sim", 'Ações'!BF627="sim"), 1, 0)
</f>
        <v>0</v>
      </c>
      <c r="AE620" s="319">
        <f>IF(AND('Ações'!AW627="sim", 'Ações'!BG627="sim"), 1, 0)
</f>
        <v>0</v>
      </c>
      <c r="AF620" s="319">
        <f>IF(AND('Ações'!AW627="sim", 'Ações'!BI627="sim"), 1, 0)
</f>
        <v>0</v>
      </c>
      <c r="AG620" s="319">
        <f>IF(AND('Ações'!AX627="sim", 'Ações'!BD627="sim"), 1, 0)
</f>
        <v>1</v>
      </c>
      <c r="AH620" s="319">
        <f>IF(AND('Ações'!AX627="sim", 'Ações'!BE627="sim"), 1, 0)
</f>
        <v>0</v>
      </c>
      <c r="AI620" s="319">
        <f>IF(AND('Ações'!AX627="sim", 'Ações'!BF627="sim"), 1, 0)
</f>
        <v>0</v>
      </c>
      <c r="AJ620" s="319">
        <f>IF(AND('Ações'!AX627="sim", 'Ações'!BG627="sim"), 1, 0)
</f>
        <v>0</v>
      </c>
      <c r="AK620" s="319">
        <f>IF(AND('Ações'!AX627="sim", 'Ações'!BH627="sim"), 1, 0)
</f>
        <v>0</v>
      </c>
    </row>
    <row r="621">
      <c r="B621" s="319">
        <f>IF(AND('Ações'!AS628="sim", 'Ações'!BD628="sim"), 1, 0)
</f>
        <v>0</v>
      </c>
      <c r="C621" s="319">
        <f>IF(AND('Ações'!AT628="sim", 'Ações'!BE628="sim"), 1, 0)
</f>
        <v>0</v>
      </c>
      <c r="D621" s="319">
        <f>IF(AND('Ações'!AU628="sim", 'Ações'!BF628="sim"), 1, 0)
</f>
        <v>0</v>
      </c>
      <c r="E621" s="319">
        <f>IF(AND('Ações'!AV628="sim", 'Ações'!BG628="sim"), 1, 0)
</f>
        <v>0</v>
      </c>
      <c r="F621" s="319">
        <f>IF(AND('Ações'!AW628="sim", 'Ações'!BH628="sim"), 1, 0)
</f>
        <v>0</v>
      </c>
      <c r="G621" s="319">
        <f>IF(AND('Ações'!AX628="sim", 'Ações'!BI628="sim"), 1, 0)
</f>
        <v>1</v>
      </c>
      <c r="H621" s="319">
        <f>IF(AND('Ações'!AS628="sim", 'Ações'!BE628="sim"), 1, 0)
</f>
        <v>0</v>
      </c>
      <c r="I621" s="319">
        <f>IF(AND('Ações'!AS628="sim", 'Ações'!BF628="sim"), 1, 0)
</f>
        <v>0</v>
      </c>
      <c r="J621" s="319">
        <f>IF(AND('Ações'!AS628="sim", 'Ações'!BG628="sim"), 1, 0)
</f>
        <v>0</v>
      </c>
      <c r="K621" s="319">
        <f>IF(AND('Ações'!AS628="sim", 'Ações'!BH628="sim"), 1, 0)
</f>
        <v>0</v>
      </c>
      <c r="L621" s="319">
        <f>IF(AND('Ações'!AS628="sim", 'Ações'!BI628="sim"), 1, 0)
</f>
        <v>0</v>
      </c>
      <c r="M621" s="319">
        <f>IF(AND('Ações'!AT628="sim", 'Ações'!BD628="sim"), 1, 0)
</f>
        <v>0</v>
      </c>
      <c r="N621" s="319">
        <f>IF(AND('Ações'!AT628="sim", 'Ações'!BF628="sim"), 1, 0)
</f>
        <v>0</v>
      </c>
      <c r="O621" s="319">
        <f>IF(AND('Ações'!AT628="sim", 'Ações'!BG628="sim"), 1, 0)
</f>
        <v>0</v>
      </c>
      <c r="P621" s="319">
        <f>IF(AND('Ações'!AT628="sim", 'Ações'!BH628="sim"), 1, 0)
</f>
        <v>0</v>
      </c>
      <c r="Q621" s="319">
        <f>IF(AND('Ações'!AT628="sim", 'Ações'!BI628="sim"), 1, 0)
</f>
        <v>0</v>
      </c>
      <c r="R621" s="319">
        <f>IF(AND('Ações'!AU628="sim", 'Ações'!BD628="sim"), 1, 0)
</f>
        <v>0</v>
      </c>
      <c r="S621" s="319">
        <f>IF(AND('Ações'!AU628="sim", 'Ações'!BE628="sim"), 1, 0)
</f>
        <v>0</v>
      </c>
      <c r="T621" s="319">
        <f>IF(AND('Ações'!AU628="sim", 'Ações'!BG628="sim"), 1, 0)
</f>
        <v>0</v>
      </c>
      <c r="U621" s="319">
        <f>IF(AND('Ações'!AU628="sim", 'Ações'!BH628="sim"), 1, 0)
</f>
        <v>0</v>
      </c>
      <c r="V621" s="319">
        <f>IF(AND('Ações'!AU628="sim", 'Ações'!BI628="sim"), 1, 0)
</f>
        <v>0</v>
      </c>
      <c r="W621" s="319">
        <f>IF(AND('Ações'!AV628="sim", 'Ações'!BD628="sim"), 1, 0)
</f>
        <v>0</v>
      </c>
      <c r="X621" s="319">
        <f>IF(AND('Ações'!AV628="sim", 'Ações'!BE628="sim"), 1, 0)
</f>
        <v>0</v>
      </c>
      <c r="Y621" s="319">
        <f>IF(AND('Ações'!AV628="sim", 'Ações'!BF628="sim"), 1, 0)
</f>
        <v>0</v>
      </c>
      <c r="Z621" s="319">
        <f>IF(AND('Ações'!AV628="sim", 'Ações'!BH628="sim"), 1, 0)
</f>
        <v>0</v>
      </c>
      <c r="AA621" s="319">
        <f>IF(AND('Ações'!AV628="sim", 'Ações'!BI628="sim"), 1, 0)
</f>
        <v>1</v>
      </c>
      <c r="AB621" s="319">
        <f>IF(AND('Ações'!AW628="sim", 'Ações'!BD628="sim"), 1, 0)
</f>
        <v>0</v>
      </c>
      <c r="AC621" s="319">
        <f>IF(AND('Ações'!AW628="sim", 'Ações'!BE628="sim"), 1, 0)
</f>
        <v>0</v>
      </c>
      <c r="AD621" s="319">
        <f>IF(AND('Ações'!AW628="sim", 'Ações'!BF628="sim"), 1, 0)
</f>
        <v>0</v>
      </c>
      <c r="AE621" s="319">
        <f>IF(AND('Ações'!AW628="sim", 'Ações'!BG628="sim"), 1, 0)
</f>
        <v>0</v>
      </c>
      <c r="AF621" s="319">
        <f>IF(AND('Ações'!AW628="sim", 'Ações'!BI628="sim"), 1, 0)
</f>
        <v>1</v>
      </c>
      <c r="AG621" s="319">
        <f>IF(AND('Ações'!AX628="sim", 'Ações'!BD628="sim"), 1, 0)
</f>
        <v>0</v>
      </c>
      <c r="AH621" s="319">
        <f>IF(AND('Ações'!AX628="sim", 'Ações'!BE628="sim"), 1, 0)
</f>
        <v>0</v>
      </c>
      <c r="AI621" s="319">
        <f>IF(AND('Ações'!AX628="sim", 'Ações'!BF628="sim"), 1, 0)
</f>
        <v>0</v>
      </c>
      <c r="AJ621" s="319">
        <f>IF(AND('Ações'!AX628="sim", 'Ações'!BG628="sim"), 1, 0)
</f>
        <v>0</v>
      </c>
      <c r="AK621" s="319">
        <f>IF(AND('Ações'!AX628="sim", 'Ações'!BH628="sim"), 1, 0)
</f>
        <v>0</v>
      </c>
    </row>
    <row r="622">
      <c r="B622" s="319">
        <f>IF(AND('Ações'!AS629="sim", 'Ações'!BD629="sim"), 1, 0)
</f>
        <v>0</v>
      </c>
      <c r="C622" s="319">
        <f>IF(AND('Ações'!AT629="sim", 'Ações'!BE629="sim"), 1, 0)
</f>
        <v>0</v>
      </c>
      <c r="D622" s="319">
        <f>IF(AND('Ações'!AU629="sim", 'Ações'!BF629="sim"), 1, 0)
</f>
        <v>0</v>
      </c>
      <c r="E622" s="319">
        <f>IF(AND('Ações'!AV629="sim", 'Ações'!BG629="sim"), 1, 0)
</f>
        <v>0</v>
      </c>
      <c r="F622" s="319">
        <f>IF(AND('Ações'!AW629="sim", 'Ações'!BH629="sim"), 1, 0)
</f>
        <v>0</v>
      </c>
      <c r="G622" s="319">
        <f>IF(AND('Ações'!AX629="sim", 'Ações'!BI629="sim"), 1, 0)
</f>
        <v>1</v>
      </c>
      <c r="H622" s="319">
        <f>IF(AND('Ações'!AS629="sim", 'Ações'!BE629="sim"), 1, 0)
</f>
        <v>0</v>
      </c>
      <c r="I622" s="319">
        <f>IF(AND('Ações'!AS629="sim", 'Ações'!BF629="sim"), 1, 0)
</f>
        <v>0</v>
      </c>
      <c r="J622" s="319">
        <f>IF(AND('Ações'!AS629="sim", 'Ações'!BG629="sim"), 1, 0)
</f>
        <v>0</v>
      </c>
      <c r="K622" s="319">
        <f>IF(AND('Ações'!AS629="sim", 'Ações'!BH629="sim"), 1, 0)
</f>
        <v>0</v>
      </c>
      <c r="L622" s="319">
        <f>IF(AND('Ações'!AS629="sim", 'Ações'!BI629="sim"), 1, 0)
</f>
        <v>0</v>
      </c>
      <c r="M622" s="319">
        <f>IF(AND('Ações'!AT629="sim", 'Ações'!BD629="sim"), 1, 0)
</f>
        <v>0</v>
      </c>
      <c r="N622" s="319">
        <f>IF(AND('Ações'!AT629="sim", 'Ações'!BF629="sim"), 1, 0)
</f>
        <v>0</v>
      </c>
      <c r="O622" s="319">
        <f>IF(AND('Ações'!AT629="sim", 'Ações'!BG629="sim"), 1, 0)
</f>
        <v>0</v>
      </c>
      <c r="P622" s="319">
        <f>IF(AND('Ações'!AT629="sim", 'Ações'!BH629="sim"), 1, 0)
</f>
        <v>0</v>
      </c>
      <c r="Q622" s="319">
        <f>IF(AND('Ações'!AT629="sim", 'Ações'!BI629="sim"), 1, 0)
</f>
        <v>0</v>
      </c>
      <c r="R622" s="319">
        <f>IF(AND('Ações'!AU629="sim", 'Ações'!BD629="sim"), 1, 0)
</f>
        <v>0</v>
      </c>
      <c r="S622" s="319">
        <f>IF(AND('Ações'!AU629="sim", 'Ações'!BE629="sim"), 1, 0)
</f>
        <v>0</v>
      </c>
      <c r="T622" s="319">
        <f>IF(AND('Ações'!AU629="sim", 'Ações'!BG629="sim"), 1, 0)
</f>
        <v>0</v>
      </c>
      <c r="U622" s="319">
        <f>IF(AND('Ações'!AU629="sim", 'Ações'!BH629="sim"), 1, 0)
</f>
        <v>0</v>
      </c>
      <c r="V622" s="319">
        <f>IF(AND('Ações'!AU629="sim", 'Ações'!BI629="sim"), 1, 0)
</f>
        <v>0</v>
      </c>
      <c r="W622" s="319">
        <f>IF(AND('Ações'!AV629="sim", 'Ações'!BD629="sim"), 1, 0)
</f>
        <v>0</v>
      </c>
      <c r="X622" s="319">
        <f>IF(AND('Ações'!AV629="sim", 'Ações'!BE629="sim"), 1, 0)
</f>
        <v>0</v>
      </c>
      <c r="Y622" s="319">
        <f>IF(AND('Ações'!AV629="sim", 'Ações'!BF629="sim"), 1, 0)
</f>
        <v>0</v>
      </c>
      <c r="Z622" s="319">
        <f>IF(AND('Ações'!AV629="sim", 'Ações'!BH629="sim"), 1, 0)
</f>
        <v>0</v>
      </c>
      <c r="AA622" s="319">
        <f>IF(AND('Ações'!AV629="sim", 'Ações'!BI629="sim"), 1, 0)
</f>
        <v>1</v>
      </c>
      <c r="AB622" s="319">
        <f>IF(AND('Ações'!AW629="sim", 'Ações'!BD629="sim"), 1, 0)
</f>
        <v>0</v>
      </c>
      <c r="AC622" s="319">
        <f>IF(AND('Ações'!AW629="sim", 'Ações'!BE629="sim"), 1, 0)
</f>
        <v>0</v>
      </c>
      <c r="AD622" s="319">
        <f>IF(AND('Ações'!AW629="sim", 'Ações'!BF629="sim"), 1, 0)
</f>
        <v>0</v>
      </c>
      <c r="AE622" s="319">
        <f>IF(AND('Ações'!AW629="sim", 'Ações'!BG629="sim"), 1, 0)
</f>
        <v>0</v>
      </c>
      <c r="AF622" s="319">
        <f>IF(AND('Ações'!AW629="sim", 'Ações'!BI629="sim"), 1, 0)
</f>
        <v>1</v>
      </c>
      <c r="AG622" s="319">
        <f>IF(AND('Ações'!AX629="sim", 'Ações'!BD629="sim"), 1, 0)
</f>
        <v>0</v>
      </c>
      <c r="AH622" s="319">
        <f>IF(AND('Ações'!AX629="sim", 'Ações'!BE629="sim"), 1, 0)
</f>
        <v>0</v>
      </c>
      <c r="AI622" s="319">
        <f>IF(AND('Ações'!AX629="sim", 'Ações'!BF629="sim"), 1, 0)
</f>
        <v>0</v>
      </c>
      <c r="AJ622" s="319">
        <f>IF(AND('Ações'!AX629="sim", 'Ações'!BG629="sim"), 1, 0)
</f>
        <v>0</v>
      </c>
      <c r="AK622" s="319">
        <f>IF(AND('Ações'!AX629="sim", 'Ações'!BH629="sim"), 1, 0)
</f>
        <v>0</v>
      </c>
    </row>
    <row r="623">
      <c r="B623" s="319">
        <f>IF(AND('Ações'!AS630="sim", 'Ações'!BD630="sim"), 1, 0)
</f>
        <v>0</v>
      </c>
      <c r="C623" s="319">
        <f>IF(AND('Ações'!AT630="sim", 'Ações'!BE630="sim"), 1, 0)
</f>
        <v>0</v>
      </c>
      <c r="D623" s="319">
        <f>IF(AND('Ações'!AU630="sim", 'Ações'!BF630="sim"), 1, 0)
</f>
        <v>0</v>
      </c>
      <c r="E623" s="319">
        <f>IF(AND('Ações'!AV630="sim", 'Ações'!BG630="sim"), 1, 0)
</f>
        <v>0</v>
      </c>
      <c r="F623" s="319">
        <f>IF(AND('Ações'!AW630="sim", 'Ações'!BH630="sim"), 1, 0)
</f>
        <v>0</v>
      </c>
      <c r="G623" s="319">
        <f>IF(AND('Ações'!AX630="sim", 'Ações'!BI630="sim"), 1, 0)
</f>
        <v>1</v>
      </c>
      <c r="H623" s="319">
        <f>IF(AND('Ações'!AS630="sim", 'Ações'!BE630="sim"), 1, 0)
</f>
        <v>0</v>
      </c>
      <c r="I623" s="319">
        <f>IF(AND('Ações'!AS630="sim", 'Ações'!BF630="sim"), 1, 0)
</f>
        <v>0</v>
      </c>
      <c r="J623" s="319">
        <f>IF(AND('Ações'!AS630="sim", 'Ações'!BG630="sim"), 1, 0)
</f>
        <v>0</v>
      </c>
      <c r="K623" s="319">
        <f>IF(AND('Ações'!AS630="sim", 'Ações'!BH630="sim"), 1, 0)
</f>
        <v>0</v>
      </c>
      <c r="L623" s="319">
        <f>IF(AND('Ações'!AS630="sim", 'Ações'!BI630="sim"), 1, 0)
</f>
        <v>0</v>
      </c>
      <c r="M623" s="319">
        <f>IF(AND('Ações'!AT630="sim", 'Ações'!BD630="sim"), 1, 0)
</f>
        <v>0</v>
      </c>
      <c r="N623" s="319">
        <f>IF(AND('Ações'!AT630="sim", 'Ações'!BF630="sim"), 1, 0)
</f>
        <v>0</v>
      </c>
      <c r="O623" s="319">
        <f>IF(AND('Ações'!AT630="sim", 'Ações'!BG630="sim"), 1, 0)
</f>
        <v>0</v>
      </c>
      <c r="P623" s="319">
        <f>IF(AND('Ações'!AT630="sim", 'Ações'!BH630="sim"), 1, 0)
</f>
        <v>0</v>
      </c>
      <c r="Q623" s="319">
        <f>IF(AND('Ações'!AT630="sim", 'Ações'!BI630="sim"), 1, 0)
</f>
        <v>0</v>
      </c>
      <c r="R623" s="319">
        <f>IF(AND('Ações'!AU630="sim", 'Ações'!BD630="sim"), 1, 0)
</f>
        <v>0</v>
      </c>
      <c r="S623" s="319">
        <f>IF(AND('Ações'!AU630="sim", 'Ações'!BE630="sim"), 1, 0)
</f>
        <v>0</v>
      </c>
      <c r="T623" s="319">
        <f>IF(AND('Ações'!AU630="sim", 'Ações'!BG630="sim"), 1, 0)
</f>
        <v>0</v>
      </c>
      <c r="U623" s="319">
        <f>IF(AND('Ações'!AU630="sim", 'Ações'!BH630="sim"), 1, 0)
</f>
        <v>0</v>
      </c>
      <c r="V623" s="319">
        <f>IF(AND('Ações'!AU630="sim", 'Ações'!BI630="sim"), 1, 0)
</f>
        <v>0</v>
      </c>
      <c r="W623" s="319">
        <f>IF(AND('Ações'!AV630="sim", 'Ações'!BD630="sim"), 1, 0)
</f>
        <v>0</v>
      </c>
      <c r="X623" s="319">
        <f>IF(AND('Ações'!AV630="sim", 'Ações'!BE630="sim"), 1, 0)
</f>
        <v>0</v>
      </c>
      <c r="Y623" s="319">
        <f>IF(AND('Ações'!AV630="sim", 'Ações'!BF630="sim"), 1, 0)
</f>
        <v>0</v>
      </c>
      <c r="Z623" s="319">
        <f>IF(AND('Ações'!AV630="sim", 'Ações'!BH630="sim"), 1, 0)
</f>
        <v>0</v>
      </c>
      <c r="AA623" s="319">
        <f>IF(AND('Ações'!AV630="sim", 'Ações'!BI630="sim"), 1, 0)
</f>
        <v>1</v>
      </c>
      <c r="AB623" s="319">
        <f>IF(AND('Ações'!AW630="sim", 'Ações'!BD630="sim"), 1, 0)
</f>
        <v>0</v>
      </c>
      <c r="AC623" s="319">
        <f>IF(AND('Ações'!AW630="sim", 'Ações'!BE630="sim"), 1, 0)
</f>
        <v>0</v>
      </c>
      <c r="AD623" s="319">
        <f>IF(AND('Ações'!AW630="sim", 'Ações'!BF630="sim"), 1, 0)
</f>
        <v>0</v>
      </c>
      <c r="AE623" s="319">
        <f>IF(AND('Ações'!AW630="sim", 'Ações'!BG630="sim"), 1, 0)
</f>
        <v>0</v>
      </c>
      <c r="AF623" s="319">
        <f>IF(AND('Ações'!AW630="sim", 'Ações'!BI630="sim"), 1, 0)
</f>
        <v>1</v>
      </c>
      <c r="AG623" s="319">
        <f>IF(AND('Ações'!AX630="sim", 'Ações'!BD630="sim"), 1, 0)
</f>
        <v>0</v>
      </c>
      <c r="AH623" s="319">
        <f>IF(AND('Ações'!AX630="sim", 'Ações'!BE630="sim"), 1, 0)
</f>
        <v>0</v>
      </c>
      <c r="AI623" s="319">
        <f>IF(AND('Ações'!AX630="sim", 'Ações'!BF630="sim"), 1, 0)
</f>
        <v>0</v>
      </c>
      <c r="AJ623" s="319">
        <f>IF(AND('Ações'!AX630="sim", 'Ações'!BG630="sim"), 1, 0)
</f>
        <v>0</v>
      </c>
      <c r="AK623" s="319">
        <f>IF(AND('Ações'!AX630="sim", 'Ações'!BH630="sim"), 1, 0)
</f>
        <v>0</v>
      </c>
    </row>
    <row r="624">
      <c r="B624" s="319">
        <f>IF(AND('Ações'!AS631="sim", 'Ações'!BD631="sim"), 1, 0)
</f>
        <v>0</v>
      </c>
      <c r="C624" s="319">
        <f>IF(AND('Ações'!AT631="sim", 'Ações'!BE631="sim"), 1, 0)
</f>
        <v>0</v>
      </c>
      <c r="D624" s="319">
        <f>IF(AND('Ações'!AU631="sim", 'Ações'!BF631="sim"), 1, 0)
</f>
        <v>0</v>
      </c>
      <c r="E624" s="319">
        <f>IF(AND('Ações'!AV631="sim", 'Ações'!BG631="sim"), 1, 0)
</f>
        <v>0</v>
      </c>
      <c r="F624" s="319">
        <f>IF(AND('Ações'!AW631="sim", 'Ações'!BH631="sim"), 1, 0)
</f>
        <v>0</v>
      </c>
      <c r="G624" s="319">
        <f>IF(AND('Ações'!AX631="sim", 'Ações'!BI631="sim"), 1, 0)
</f>
        <v>1</v>
      </c>
      <c r="H624" s="319">
        <f>IF(AND('Ações'!AS631="sim", 'Ações'!BE631="sim"), 1, 0)
</f>
        <v>0</v>
      </c>
      <c r="I624" s="319">
        <f>IF(AND('Ações'!AS631="sim", 'Ações'!BF631="sim"), 1, 0)
</f>
        <v>0</v>
      </c>
      <c r="J624" s="319">
        <f>IF(AND('Ações'!AS631="sim", 'Ações'!BG631="sim"), 1, 0)
</f>
        <v>0</v>
      </c>
      <c r="K624" s="319">
        <f>IF(AND('Ações'!AS631="sim", 'Ações'!BH631="sim"), 1, 0)
</f>
        <v>0</v>
      </c>
      <c r="L624" s="319">
        <f>IF(AND('Ações'!AS631="sim", 'Ações'!BI631="sim"), 1, 0)
</f>
        <v>0</v>
      </c>
      <c r="M624" s="319">
        <f>IF(AND('Ações'!AT631="sim", 'Ações'!BD631="sim"), 1, 0)
</f>
        <v>0</v>
      </c>
      <c r="N624" s="319">
        <f>IF(AND('Ações'!AT631="sim", 'Ações'!BF631="sim"), 1, 0)
</f>
        <v>0</v>
      </c>
      <c r="O624" s="319">
        <f>IF(AND('Ações'!AT631="sim", 'Ações'!BG631="sim"), 1, 0)
</f>
        <v>0</v>
      </c>
      <c r="P624" s="319">
        <f>IF(AND('Ações'!AT631="sim", 'Ações'!BH631="sim"), 1, 0)
</f>
        <v>0</v>
      </c>
      <c r="Q624" s="319">
        <f>IF(AND('Ações'!AT631="sim", 'Ações'!BI631="sim"), 1, 0)
</f>
        <v>0</v>
      </c>
      <c r="R624" s="319">
        <f>IF(AND('Ações'!AU631="sim", 'Ações'!BD631="sim"), 1, 0)
</f>
        <v>0</v>
      </c>
      <c r="S624" s="319">
        <f>IF(AND('Ações'!AU631="sim", 'Ações'!BE631="sim"), 1, 0)
</f>
        <v>0</v>
      </c>
      <c r="T624" s="319">
        <f>IF(AND('Ações'!AU631="sim", 'Ações'!BG631="sim"), 1, 0)
</f>
        <v>0</v>
      </c>
      <c r="U624" s="319">
        <f>IF(AND('Ações'!AU631="sim", 'Ações'!BH631="sim"), 1, 0)
</f>
        <v>0</v>
      </c>
      <c r="V624" s="319">
        <f>IF(AND('Ações'!AU631="sim", 'Ações'!BI631="sim"), 1, 0)
</f>
        <v>0</v>
      </c>
      <c r="W624" s="319">
        <f>IF(AND('Ações'!AV631="sim", 'Ações'!BD631="sim"), 1, 0)
</f>
        <v>0</v>
      </c>
      <c r="X624" s="319">
        <f>IF(AND('Ações'!AV631="sim", 'Ações'!BE631="sim"), 1, 0)
</f>
        <v>0</v>
      </c>
      <c r="Y624" s="319">
        <f>IF(AND('Ações'!AV631="sim", 'Ações'!BF631="sim"), 1, 0)
</f>
        <v>0</v>
      </c>
      <c r="Z624" s="319">
        <f>IF(AND('Ações'!AV631="sim", 'Ações'!BH631="sim"), 1, 0)
</f>
        <v>0</v>
      </c>
      <c r="AA624" s="319">
        <f>IF(AND('Ações'!AV631="sim", 'Ações'!BI631="sim"), 1, 0)
</f>
        <v>1</v>
      </c>
      <c r="AB624" s="319">
        <f>IF(AND('Ações'!AW631="sim", 'Ações'!BD631="sim"), 1, 0)
</f>
        <v>0</v>
      </c>
      <c r="AC624" s="319">
        <f>IF(AND('Ações'!AW631="sim", 'Ações'!BE631="sim"), 1, 0)
</f>
        <v>0</v>
      </c>
      <c r="AD624" s="319">
        <f>IF(AND('Ações'!AW631="sim", 'Ações'!BF631="sim"), 1, 0)
</f>
        <v>0</v>
      </c>
      <c r="AE624" s="319">
        <f>IF(AND('Ações'!AW631="sim", 'Ações'!BG631="sim"), 1, 0)
</f>
        <v>0</v>
      </c>
      <c r="AF624" s="319">
        <f>IF(AND('Ações'!AW631="sim", 'Ações'!BI631="sim"), 1, 0)
</f>
        <v>1</v>
      </c>
      <c r="AG624" s="319">
        <f>IF(AND('Ações'!AX631="sim", 'Ações'!BD631="sim"), 1, 0)
</f>
        <v>0</v>
      </c>
      <c r="AH624" s="319">
        <f>IF(AND('Ações'!AX631="sim", 'Ações'!BE631="sim"), 1, 0)
</f>
        <v>0</v>
      </c>
      <c r="AI624" s="319">
        <f>IF(AND('Ações'!AX631="sim", 'Ações'!BF631="sim"), 1, 0)
</f>
        <v>0</v>
      </c>
      <c r="AJ624" s="319">
        <f>IF(AND('Ações'!AX631="sim", 'Ações'!BG631="sim"), 1, 0)
</f>
        <v>0</v>
      </c>
      <c r="AK624" s="319">
        <f>IF(AND('Ações'!AX631="sim", 'Ações'!BH631="sim"), 1, 0)
</f>
        <v>0</v>
      </c>
    </row>
    <row r="625">
      <c r="B625" s="319">
        <f>IF(AND('Ações'!AS632="sim", 'Ações'!BD632="sim"), 1, 0)
</f>
        <v>0</v>
      </c>
      <c r="C625" s="319">
        <f>IF(AND('Ações'!AT632="sim", 'Ações'!BE632="sim"), 1, 0)
</f>
        <v>0</v>
      </c>
      <c r="D625" s="319">
        <f>IF(AND('Ações'!AU632="sim", 'Ações'!BF632="sim"), 1, 0)
</f>
        <v>0</v>
      </c>
      <c r="E625" s="319">
        <f>IF(AND('Ações'!AV632="sim", 'Ações'!BG632="sim"), 1, 0)
</f>
        <v>0</v>
      </c>
      <c r="F625" s="319">
        <f>IF(AND('Ações'!AW632="sim", 'Ações'!BH632="sim"), 1, 0)
</f>
        <v>0</v>
      </c>
      <c r="G625" s="319">
        <f>IF(AND('Ações'!AX632="sim", 'Ações'!BI632="sim"), 1, 0)
</f>
        <v>1</v>
      </c>
      <c r="H625" s="319">
        <f>IF(AND('Ações'!AS632="sim", 'Ações'!BE632="sim"), 1, 0)
</f>
        <v>0</v>
      </c>
      <c r="I625" s="319">
        <f>IF(AND('Ações'!AS632="sim", 'Ações'!BF632="sim"), 1, 0)
</f>
        <v>0</v>
      </c>
      <c r="J625" s="319">
        <f>IF(AND('Ações'!AS632="sim", 'Ações'!BG632="sim"), 1, 0)
</f>
        <v>0</v>
      </c>
      <c r="K625" s="319">
        <f>IF(AND('Ações'!AS632="sim", 'Ações'!BH632="sim"), 1, 0)
</f>
        <v>0</v>
      </c>
      <c r="L625" s="319">
        <f>IF(AND('Ações'!AS632="sim", 'Ações'!BI632="sim"), 1, 0)
</f>
        <v>0</v>
      </c>
      <c r="M625" s="319">
        <f>IF(AND('Ações'!AT632="sim", 'Ações'!BD632="sim"), 1, 0)
</f>
        <v>0</v>
      </c>
      <c r="N625" s="319">
        <f>IF(AND('Ações'!AT632="sim", 'Ações'!BF632="sim"), 1, 0)
</f>
        <v>0</v>
      </c>
      <c r="O625" s="319">
        <f>IF(AND('Ações'!AT632="sim", 'Ações'!BG632="sim"), 1, 0)
</f>
        <v>0</v>
      </c>
      <c r="P625" s="319">
        <f>IF(AND('Ações'!AT632="sim", 'Ações'!BH632="sim"), 1, 0)
</f>
        <v>0</v>
      </c>
      <c r="Q625" s="319">
        <f>IF(AND('Ações'!AT632="sim", 'Ações'!BI632="sim"), 1, 0)
</f>
        <v>0</v>
      </c>
      <c r="R625" s="319">
        <f>IF(AND('Ações'!AU632="sim", 'Ações'!BD632="sim"), 1, 0)
</f>
        <v>0</v>
      </c>
      <c r="S625" s="319">
        <f>IF(AND('Ações'!AU632="sim", 'Ações'!BE632="sim"), 1, 0)
</f>
        <v>0</v>
      </c>
      <c r="T625" s="319">
        <f>IF(AND('Ações'!AU632="sim", 'Ações'!BG632="sim"), 1, 0)
</f>
        <v>0</v>
      </c>
      <c r="U625" s="319">
        <f>IF(AND('Ações'!AU632="sim", 'Ações'!BH632="sim"), 1, 0)
</f>
        <v>0</v>
      </c>
      <c r="V625" s="319">
        <f>IF(AND('Ações'!AU632="sim", 'Ações'!BI632="sim"), 1, 0)
</f>
        <v>0</v>
      </c>
      <c r="W625" s="319">
        <f>IF(AND('Ações'!AV632="sim", 'Ações'!BD632="sim"), 1, 0)
</f>
        <v>0</v>
      </c>
      <c r="X625" s="319">
        <f>IF(AND('Ações'!AV632="sim", 'Ações'!BE632="sim"), 1, 0)
</f>
        <v>0</v>
      </c>
      <c r="Y625" s="319">
        <f>IF(AND('Ações'!AV632="sim", 'Ações'!BF632="sim"), 1, 0)
</f>
        <v>0</v>
      </c>
      <c r="Z625" s="319">
        <f>IF(AND('Ações'!AV632="sim", 'Ações'!BH632="sim"), 1, 0)
</f>
        <v>0</v>
      </c>
      <c r="AA625" s="319">
        <f>IF(AND('Ações'!AV632="sim", 'Ações'!BI632="sim"), 1, 0)
</f>
        <v>1</v>
      </c>
      <c r="AB625" s="319">
        <f>IF(AND('Ações'!AW632="sim", 'Ações'!BD632="sim"), 1, 0)
</f>
        <v>0</v>
      </c>
      <c r="AC625" s="319">
        <f>IF(AND('Ações'!AW632="sim", 'Ações'!BE632="sim"), 1, 0)
</f>
        <v>0</v>
      </c>
      <c r="AD625" s="319">
        <f>IF(AND('Ações'!AW632="sim", 'Ações'!BF632="sim"), 1, 0)
</f>
        <v>0</v>
      </c>
      <c r="AE625" s="319">
        <f>IF(AND('Ações'!AW632="sim", 'Ações'!BG632="sim"), 1, 0)
</f>
        <v>0</v>
      </c>
      <c r="AF625" s="319">
        <f>IF(AND('Ações'!AW632="sim", 'Ações'!BI632="sim"), 1, 0)
</f>
        <v>1</v>
      </c>
      <c r="AG625" s="319">
        <f>IF(AND('Ações'!AX632="sim", 'Ações'!BD632="sim"), 1, 0)
</f>
        <v>0</v>
      </c>
      <c r="AH625" s="319">
        <f>IF(AND('Ações'!AX632="sim", 'Ações'!BE632="sim"), 1, 0)
</f>
        <v>0</v>
      </c>
      <c r="AI625" s="319">
        <f>IF(AND('Ações'!AX632="sim", 'Ações'!BF632="sim"), 1, 0)
</f>
        <v>0</v>
      </c>
      <c r="AJ625" s="319">
        <f>IF(AND('Ações'!AX632="sim", 'Ações'!BG632="sim"), 1, 0)
</f>
        <v>0</v>
      </c>
      <c r="AK625" s="319">
        <f>IF(AND('Ações'!AX632="sim", 'Ações'!BH632="sim"), 1, 0)
</f>
        <v>0</v>
      </c>
    </row>
    <row r="626">
      <c r="B626" s="319">
        <f>IF(AND('Ações'!AS633="sim", 'Ações'!BD633="sim"), 1, 0)
</f>
        <v>0</v>
      </c>
      <c r="C626" s="319">
        <f>IF(AND('Ações'!AT633="sim", 'Ações'!BE633="sim"), 1, 0)
</f>
        <v>0</v>
      </c>
      <c r="D626" s="319">
        <f>IF(AND('Ações'!AU633="sim", 'Ações'!BF633="sim"), 1, 0)
</f>
        <v>0</v>
      </c>
      <c r="E626" s="319">
        <f>IF(AND('Ações'!AV633="sim", 'Ações'!BG633="sim"), 1, 0)
</f>
        <v>0</v>
      </c>
      <c r="F626" s="319">
        <f>IF(AND('Ações'!AW633="sim", 'Ações'!BH633="sim"), 1, 0)
</f>
        <v>0</v>
      </c>
      <c r="G626" s="319">
        <f>IF(AND('Ações'!AX633="sim", 'Ações'!BI633="sim"), 1, 0)
</f>
        <v>1</v>
      </c>
      <c r="H626" s="319">
        <f>IF(AND('Ações'!AS633="sim", 'Ações'!BE633="sim"), 1, 0)
</f>
        <v>0</v>
      </c>
      <c r="I626" s="319">
        <f>IF(AND('Ações'!AS633="sim", 'Ações'!BF633="sim"), 1, 0)
</f>
        <v>0</v>
      </c>
      <c r="J626" s="319">
        <f>IF(AND('Ações'!AS633="sim", 'Ações'!BG633="sim"), 1, 0)
</f>
        <v>0</v>
      </c>
      <c r="K626" s="319">
        <f>IF(AND('Ações'!AS633="sim", 'Ações'!BH633="sim"), 1, 0)
</f>
        <v>0</v>
      </c>
      <c r="L626" s="319">
        <f>IF(AND('Ações'!AS633="sim", 'Ações'!BI633="sim"), 1, 0)
</f>
        <v>0</v>
      </c>
      <c r="M626" s="319">
        <f>IF(AND('Ações'!AT633="sim", 'Ações'!BD633="sim"), 1, 0)
</f>
        <v>0</v>
      </c>
      <c r="N626" s="319">
        <f>IF(AND('Ações'!AT633="sim", 'Ações'!BF633="sim"), 1, 0)
</f>
        <v>0</v>
      </c>
      <c r="O626" s="319">
        <f>IF(AND('Ações'!AT633="sim", 'Ações'!BG633="sim"), 1, 0)
</f>
        <v>0</v>
      </c>
      <c r="P626" s="319">
        <f>IF(AND('Ações'!AT633="sim", 'Ações'!BH633="sim"), 1, 0)
</f>
        <v>0</v>
      </c>
      <c r="Q626" s="319">
        <f>IF(AND('Ações'!AT633="sim", 'Ações'!BI633="sim"), 1, 0)
</f>
        <v>0</v>
      </c>
      <c r="R626" s="319">
        <f>IF(AND('Ações'!AU633="sim", 'Ações'!BD633="sim"), 1, 0)
</f>
        <v>0</v>
      </c>
      <c r="S626" s="319">
        <f>IF(AND('Ações'!AU633="sim", 'Ações'!BE633="sim"), 1, 0)
</f>
        <v>0</v>
      </c>
      <c r="T626" s="319">
        <f>IF(AND('Ações'!AU633="sim", 'Ações'!BG633="sim"), 1, 0)
</f>
        <v>0</v>
      </c>
      <c r="U626" s="319">
        <f>IF(AND('Ações'!AU633="sim", 'Ações'!BH633="sim"), 1, 0)
</f>
        <v>0</v>
      </c>
      <c r="V626" s="319">
        <f>IF(AND('Ações'!AU633="sim", 'Ações'!BI633="sim"), 1, 0)
</f>
        <v>0</v>
      </c>
      <c r="W626" s="319">
        <f>IF(AND('Ações'!AV633="sim", 'Ações'!BD633="sim"), 1, 0)
</f>
        <v>0</v>
      </c>
      <c r="X626" s="319">
        <f>IF(AND('Ações'!AV633="sim", 'Ações'!BE633="sim"), 1, 0)
</f>
        <v>0</v>
      </c>
      <c r="Y626" s="319">
        <f>IF(AND('Ações'!AV633="sim", 'Ações'!BF633="sim"), 1, 0)
</f>
        <v>0</v>
      </c>
      <c r="Z626" s="319">
        <f>IF(AND('Ações'!AV633="sim", 'Ações'!BH633="sim"), 1, 0)
</f>
        <v>0</v>
      </c>
      <c r="AA626" s="319">
        <f>IF(AND('Ações'!AV633="sim", 'Ações'!BI633="sim"), 1, 0)
</f>
        <v>1</v>
      </c>
      <c r="AB626" s="319">
        <f>IF(AND('Ações'!AW633="sim", 'Ações'!BD633="sim"), 1, 0)
</f>
        <v>0</v>
      </c>
      <c r="AC626" s="319">
        <f>IF(AND('Ações'!AW633="sim", 'Ações'!BE633="sim"), 1, 0)
</f>
        <v>0</v>
      </c>
      <c r="AD626" s="319">
        <f>IF(AND('Ações'!AW633="sim", 'Ações'!BF633="sim"), 1, 0)
</f>
        <v>0</v>
      </c>
      <c r="AE626" s="319">
        <f>IF(AND('Ações'!AW633="sim", 'Ações'!BG633="sim"), 1, 0)
</f>
        <v>0</v>
      </c>
      <c r="AF626" s="319">
        <f>IF(AND('Ações'!AW633="sim", 'Ações'!BI633="sim"), 1, 0)
</f>
        <v>1</v>
      </c>
      <c r="AG626" s="319">
        <f>IF(AND('Ações'!AX633="sim", 'Ações'!BD633="sim"), 1, 0)
</f>
        <v>0</v>
      </c>
      <c r="AH626" s="319">
        <f>IF(AND('Ações'!AX633="sim", 'Ações'!BE633="sim"), 1, 0)
</f>
        <v>0</v>
      </c>
      <c r="AI626" s="319">
        <f>IF(AND('Ações'!AX633="sim", 'Ações'!BF633="sim"), 1, 0)
</f>
        <v>0</v>
      </c>
      <c r="AJ626" s="319">
        <f>IF(AND('Ações'!AX633="sim", 'Ações'!BG633="sim"), 1, 0)
</f>
        <v>0</v>
      </c>
      <c r="AK626" s="319">
        <f>IF(AND('Ações'!AX633="sim", 'Ações'!BH633="sim"), 1, 0)
</f>
        <v>0</v>
      </c>
    </row>
    <row r="627">
      <c r="B627" s="319">
        <f>IF(AND('Ações'!AS634="sim", 'Ações'!BD634="sim"), 1, 0)
</f>
        <v>0</v>
      </c>
      <c r="C627" s="319">
        <f>IF(AND('Ações'!AT634="sim", 'Ações'!BE634="sim"), 1, 0)
</f>
        <v>0</v>
      </c>
      <c r="D627" s="319">
        <f>IF(AND('Ações'!AU634="sim", 'Ações'!BF634="sim"), 1, 0)
</f>
        <v>0</v>
      </c>
      <c r="E627" s="319">
        <f>IF(AND('Ações'!AV634="sim", 'Ações'!BG634="sim"), 1, 0)
</f>
        <v>0</v>
      </c>
      <c r="F627" s="319">
        <f>IF(AND('Ações'!AW634="sim", 'Ações'!BH634="sim"), 1, 0)
</f>
        <v>0</v>
      </c>
      <c r="G627" s="319">
        <f>IF(AND('Ações'!AX634="sim", 'Ações'!BI634="sim"), 1, 0)
</f>
        <v>1</v>
      </c>
      <c r="H627" s="319">
        <f>IF(AND('Ações'!AS634="sim", 'Ações'!BE634="sim"), 1, 0)
</f>
        <v>0</v>
      </c>
      <c r="I627" s="319">
        <f>IF(AND('Ações'!AS634="sim", 'Ações'!BF634="sim"), 1, 0)
</f>
        <v>0</v>
      </c>
      <c r="J627" s="319">
        <f>IF(AND('Ações'!AS634="sim", 'Ações'!BG634="sim"), 1, 0)
</f>
        <v>0</v>
      </c>
      <c r="K627" s="319">
        <f>IF(AND('Ações'!AS634="sim", 'Ações'!BH634="sim"), 1, 0)
</f>
        <v>0</v>
      </c>
      <c r="L627" s="319">
        <f>IF(AND('Ações'!AS634="sim", 'Ações'!BI634="sim"), 1, 0)
</f>
        <v>0</v>
      </c>
      <c r="M627" s="319">
        <f>IF(AND('Ações'!AT634="sim", 'Ações'!BD634="sim"), 1, 0)
</f>
        <v>0</v>
      </c>
      <c r="N627" s="319">
        <f>IF(AND('Ações'!AT634="sim", 'Ações'!BF634="sim"), 1, 0)
</f>
        <v>0</v>
      </c>
      <c r="O627" s="319">
        <f>IF(AND('Ações'!AT634="sim", 'Ações'!BG634="sim"), 1, 0)
</f>
        <v>0</v>
      </c>
      <c r="P627" s="319">
        <f>IF(AND('Ações'!AT634="sim", 'Ações'!BH634="sim"), 1, 0)
</f>
        <v>0</v>
      </c>
      <c r="Q627" s="319">
        <f>IF(AND('Ações'!AT634="sim", 'Ações'!BI634="sim"), 1, 0)
</f>
        <v>0</v>
      </c>
      <c r="R627" s="319">
        <f>IF(AND('Ações'!AU634="sim", 'Ações'!BD634="sim"), 1, 0)
</f>
        <v>0</v>
      </c>
      <c r="S627" s="319">
        <f>IF(AND('Ações'!AU634="sim", 'Ações'!BE634="sim"), 1, 0)
</f>
        <v>0</v>
      </c>
      <c r="T627" s="319">
        <f>IF(AND('Ações'!AU634="sim", 'Ações'!BG634="sim"), 1, 0)
</f>
        <v>0</v>
      </c>
      <c r="U627" s="319">
        <f>IF(AND('Ações'!AU634="sim", 'Ações'!BH634="sim"), 1, 0)
</f>
        <v>0</v>
      </c>
      <c r="V627" s="319">
        <f>IF(AND('Ações'!AU634="sim", 'Ações'!BI634="sim"), 1, 0)
</f>
        <v>0</v>
      </c>
      <c r="W627" s="319">
        <f>IF(AND('Ações'!AV634="sim", 'Ações'!BD634="sim"), 1, 0)
</f>
        <v>0</v>
      </c>
      <c r="X627" s="319">
        <f>IF(AND('Ações'!AV634="sim", 'Ações'!BE634="sim"), 1, 0)
</f>
        <v>0</v>
      </c>
      <c r="Y627" s="319">
        <f>IF(AND('Ações'!AV634="sim", 'Ações'!BF634="sim"), 1, 0)
</f>
        <v>0</v>
      </c>
      <c r="Z627" s="319">
        <f>IF(AND('Ações'!AV634="sim", 'Ações'!BH634="sim"), 1, 0)
</f>
        <v>0</v>
      </c>
      <c r="AA627" s="319">
        <f>IF(AND('Ações'!AV634="sim", 'Ações'!BI634="sim"), 1, 0)
</f>
        <v>1</v>
      </c>
      <c r="AB627" s="319">
        <f>IF(AND('Ações'!AW634="sim", 'Ações'!BD634="sim"), 1, 0)
</f>
        <v>0</v>
      </c>
      <c r="AC627" s="319">
        <f>IF(AND('Ações'!AW634="sim", 'Ações'!BE634="sim"), 1, 0)
</f>
        <v>0</v>
      </c>
      <c r="AD627" s="319">
        <f>IF(AND('Ações'!AW634="sim", 'Ações'!BF634="sim"), 1, 0)
</f>
        <v>0</v>
      </c>
      <c r="AE627" s="319">
        <f>IF(AND('Ações'!AW634="sim", 'Ações'!BG634="sim"), 1, 0)
</f>
        <v>0</v>
      </c>
      <c r="AF627" s="319">
        <f>IF(AND('Ações'!AW634="sim", 'Ações'!BI634="sim"), 1, 0)
</f>
        <v>1</v>
      </c>
      <c r="AG627" s="319">
        <f>IF(AND('Ações'!AX634="sim", 'Ações'!BD634="sim"), 1, 0)
</f>
        <v>0</v>
      </c>
      <c r="AH627" s="319">
        <f>IF(AND('Ações'!AX634="sim", 'Ações'!BE634="sim"), 1, 0)
</f>
        <v>0</v>
      </c>
      <c r="AI627" s="319">
        <f>IF(AND('Ações'!AX634="sim", 'Ações'!BF634="sim"), 1, 0)
</f>
        <v>0</v>
      </c>
      <c r="AJ627" s="319">
        <f>IF(AND('Ações'!AX634="sim", 'Ações'!BG634="sim"), 1, 0)
</f>
        <v>0</v>
      </c>
      <c r="AK627" s="319">
        <f>IF(AND('Ações'!AX634="sim", 'Ações'!BH634="sim"), 1, 0)
</f>
        <v>0</v>
      </c>
    </row>
    <row r="628">
      <c r="B628" s="319">
        <f>IF(AND('Ações'!AS635="sim", 'Ações'!BD635="sim"), 1, 0)
</f>
        <v>0</v>
      </c>
      <c r="C628" s="319">
        <f>IF(AND('Ações'!AT635="sim", 'Ações'!BE635="sim"), 1, 0)
</f>
        <v>0</v>
      </c>
      <c r="D628" s="319">
        <f>IF(AND('Ações'!AU635="sim", 'Ações'!BF635="sim"), 1, 0)
</f>
        <v>0</v>
      </c>
      <c r="E628" s="319">
        <f>IF(AND('Ações'!AV635="sim", 'Ações'!BG635="sim"), 1, 0)
</f>
        <v>0</v>
      </c>
      <c r="F628" s="319">
        <f>IF(AND('Ações'!AW635="sim", 'Ações'!BH635="sim"), 1, 0)
</f>
        <v>0</v>
      </c>
      <c r="G628" s="319">
        <f>IF(AND('Ações'!AX635="sim", 'Ações'!BI635="sim"), 1, 0)
</f>
        <v>0</v>
      </c>
      <c r="H628" s="319">
        <f>IF(AND('Ações'!AS635="sim", 'Ações'!BE635="sim"), 1, 0)
</f>
        <v>0</v>
      </c>
      <c r="I628" s="319">
        <f>IF(AND('Ações'!AS635="sim", 'Ações'!BF635="sim"), 1, 0)
</f>
        <v>0</v>
      </c>
      <c r="J628" s="319">
        <f>IF(AND('Ações'!AS635="sim", 'Ações'!BG635="sim"), 1, 0)
</f>
        <v>0</v>
      </c>
      <c r="K628" s="319">
        <f>IF(AND('Ações'!AS635="sim", 'Ações'!BH635="sim"), 1, 0)
</f>
        <v>0</v>
      </c>
      <c r="L628" s="319">
        <f>IF(AND('Ações'!AS635="sim", 'Ações'!BI635="sim"), 1, 0)
</f>
        <v>0</v>
      </c>
      <c r="M628" s="319">
        <f>IF(AND('Ações'!AT635="sim", 'Ações'!BD635="sim"), 1, 0)
</f>
        <v>0</v>
      </c>
      <c r="N628" s="319">
        <f>IF(AND('Ações'!AT635="sim", 'Ações'!BF635="sim"), 1, 0)
</f>
        <v>0</v>
      </c>
      <c r="O628" s="319">
        <f>IF(AND('Ações'!AT635="sim", 'Ações'!BG635="sim"), 1, 0)
</f>
        <v>0</v>
      </c>
      <c r="P628" s="319">
        <f>IF(AND('Ações'!AT635="sim", 'Ações'!BH635="sim"), 1, 0)
</f>
        <v>0</v>
      </c>
      <c r="Q628" s="319">
        <f>IF(AND('Ações'!AT635="sim", 'Ações'!BI635="sim"), 1, 0)
</f>
        <v>0</v>
      </c>
      <c r="R628" s="319">
        <f>IF(AND('Ações'!AU635="sim", 'Ações'!BD635="sim"), 1, 0)
</f>
        <v>0</v>
      </c>
      <c r="S628" s="319">
        <f>IF(AND('Ações'!AU635="sim", 'Ações'!BE635="sim"), 1, 0)
</f>
        <v>0</v>
      </c>
      <c r="T628" s="319">
        <f>IF(AND('Ações'!AU635="sim", 'Ações'!BG635="sim"), 1, 0)
</f>
        <v>0</v>
      </c>
      <c r="U628" s="319">
        <f>IF(AND('Ações'!AU635="sim", 'Ações'!BH635="sim"), 1, 0)
</f>
        <v>0</v>
      </c>
      <c r="V628" s="319">
        <f>IF(AND('Ações'!AU635="sim", 'Ações'!BI635="sim"), 1, 0)
</f>
        <v>0</v>
      </c>
      <c r="W628" s="319">
        <f>IF(AND('Ações'!AV635="sim", 'Ações'!BD635="sim"), 1, 0)
</f>
        <v>1</v>
      </c>
      <c r="X628" s="319">
        <f>IF(AND('Ações'!AV635="sim", 'Ações'!BE635="sim"), 1, 0)
</f>
        <v>0</v>
      </c>
      <c r="Y628" s="319">
        <f>IF(AND('Ações'!AV635="sim", 'Ações'!BF635="sim"), 1, 0)
</f>
        <v>0</v>
      </c>
      <c r="Z628" s="319">
        <f>IF(AND('Ações'!AV635="sim", 'Ações'!BH635="sim"), 1, 0)
</f>
        <v>0</v>
      </c>
      <c r="AA628" s="319">
        <f>IF(AND('Ações'!AV635="sim", 'Ações'!BI635="sim"), 1, 0)
</f>
        <v>0</v>
      </c>
      <c r="AB628" s="319">
        <f>IF(AND('Ações'!AW635="sim", 'Ações'!BD635="sim"), 1, 0)
</f>
        <v>1</v>
      </c>
      <c r="AC628" s="319">
        <f>IF(AND('Ações'!AW635="sim", 'Ações'!BE635="sim"), 1, 0)
</f>
        <v>0</v>
      </c>
      <c r="AD628" s="319">
        <f>IF(AND('Ações'!AW635="sim", 'Ações'!BF635="sim"), 1, 0)
</f>
        <v>0</v>
      </c>
      <c r="AE628" s="319">
        <f>IF(AND('Ações'!AW635="sim", 'Ações'!BG635="sim"), 1, 0)
</f>
        <v>0</v>
      </c>
      <c r="AF628" s="319">
        <f>IF(AND('Ações'!AW635="sim", 'Ações'!BI635="sim"), 1, 0)
</f>
        <v>0</v>
      </c>
      <c r="AG628" s="319">
        <f>IF(AND('Ações'!AX635="sim", 'Ações'!BD635="sim"), 1, 0)
</f>
        <v>1</v>
      </c>
      <c r="AH628" s="319">
        <f>IF(AND('Ações'!AX635="sim", 'Ações'!BE635="sim"), 1, 0)
</f>
        <v>0</v>
      </c>
      <c r="AI628" s="319">
        <f>IF(AND('Ações'!AX635="sim", 'Ações'!BF635="sim"), 1, 0)
</f>
        <v>0</v>
      </c>
      <c r="AJ628" s="319">
        <f>IF(AND('Ações'!AX635="sim", 'Ações'!BG635="sim"), 1, 0)
</f>
        <v>0</v>
      </c>
      <c r="AK628" s="319">
        <f>IF(AND('Ações'!AX635="sim", 'Ações'!BH635="sim"), 1, 0)
</f>
        <v>0</v>
      </c>
    </row>
    <row r="629">
      <c r="B629" s="319">
        <f>IF(AND('Ações'!AS636="sim", 'Ações'!BD636="sim"), 1, 0)
</f>
        <v>0</v>
      </c>
      <c r="C629" s="319">
        <f>IF(AND('Ações'!AT636="sim", 'Ações'!BE636="sim"), 1, 0)
</f>
        <v>0</v>
      </c>
      <c r="D629" s="319">
        <f>IF(AND('Ações'!AU636="sim", 'Ações'!BF636="sim"), 1, 0)
</f>
        <v>0</v>
      </c>
      <c r="E629" s="319">
        <f>IF(AND('Ações'!AV636="sim", 'Ações'!BG636="sim"), 1, 0)
</f>
        <v>0</v>
      </c>
      <c r="F629" s="319">
        <f>IF(AND('Ações'!AW636="sim", 'Ações'!BH636="sim"), 1, 0)
</f>
        <v>0</v>
      </c>
      <c r="G629" s="319">
        <f>IF(AND('Ações'!AX636="sim", 'Ações'!BI636="sim"), 1, 0)
</f>
        <v>1</v>
      </c>
      <c r="H629" s="319">
        <f>IF(AND('Ações'!AS636="sim", 'Ações'!BE636="sim"), 1, 0)
</f>
        <v>0</v>
      </c>
      <c r="I629" s="319">
        <f>IF(AND('Ações'!AS636="sim", 'Ações'!BF636="sim"), 1, 0)
</f>
        <v>0</v>
      </c>
      <c r="J629" s="319">
        <f>IF(AND('Ações'!AS636="sim", 'Ações'!BG636="sim"), 1, 0)
</f>
        <v>0</v>
      </c>
      <c r="K629" s="319">
        <f>IF(AND('Ações'!AS636="sim", 'Ações'!BH636="sim"), 1, 0)
</f>
        <v>0</v>
      </c>
      <c r="L629" s="319">
        <f>IF(AND('Ações'!AS636="sim", 'Ações'!BI636="sim"), 1, 0)
</f>
        <v>0</v>
      </c>
      <c r="M629" s="319">
        <f>IF(AND('Ações'!AT636="sim", 'Ações'!BD636="sim"), 1, 0)
</f>
        <v>0</v>
      </c>
      <c r="N629" s="319">
        <f>IF(AND('Ações'!AT636="sim", 'Ações'!BF636="sim"), 1, 0)
</f>
        <v>0</v>
      </c>
      <c r="O629" s="319">
        <f>IF(AND('Ações'!AT636="sim", 'Ações'!BG636="sim"), 1, 0)
</f>
        <v>0</v>
      </c>
      <c r="P629" s="319">
        <f>IF(AND('Ações'!AT636="sim", 'Ações'!BH636="sim"), 1, 0)
</f>
        <v>0</v>
      </c>
      <c r="Q629" s="319">
        <f>IF(AND('Ações'!AT636="sim", 'Ações'!BI636="sim"), 1, 0)
</f>
        <v>0</v>
      </c>
      <c r="R629" s="319">
        <f>IF(AND('Ações'!AU636="sim", 'Ações'!BD636="sim"), 1, 0)
</f>
        <v>0</v>
      </c>
      <c r="S629" s="319">
        <f>IF(AND('Ações'!AU636="sim", 'Ações'!BE636="sim"), 1, 0)
</f>
        <v>0</v>
      </c>
      <c r="T629" s="319">
        <f>IF(AND('Ações'!AU636="sim", 'Ações'!BG636="sim"), 1, 0)
</f>
        <v>0</v>
      </c>
      <c r="U629" s="319">
        <f>IF(AND('Ações'!AU636="sim", 'Ações'!BH636="sim"), 1, 0)
</f>
        <v>0</v>
      </c>
      <c r="V629" s="319">
        <f>IF(AND('Ações'!AU636="sim", 'Ações'!BI636="sim"), 1, 0)
</f>
        <v>0</v>
      </c>
      <c r="W629" s="319">
        <f>IF(AND('Ações'!AV636="sim", 'Ações'!BD636="sim"), 1, 0)
</f>
        <v>0</v>
      </c>
      <c r="X629" s="319">
        <f>IF(AND('Ações'!AV636="sim", 'Ações'!BE636="sim"), 1, 0)
</f>
        <v>0</v>
      </c>
      <c r="Y629" s="319">
        <f>IF(AND('Ações'!AV636="sim", 'Ações'!BF636="sim"), 1, 0)
</f>
        <v>0</v>
      </c>
      <c r="Z629" s="319">
        <f>IF(AND('Ações'!AV636="sim", 'Ações'!BH636="sim"), 1, 0)
</f>
        <v>0</v>
      </c>
      <c r="AA629" s="319">
        <f>IF(AND('Ações'!AV636="sim", 'Ações'!BI636="sim"), 1, 0)
</f>
        <v>1</v>
      </c>
      <c r="AB629" s="319">
        <f>IF(AND('Ações'!AW636="sim", 'Ações'!BD636="sim"), 1, 0)
</f>
        <v>0</v>
      </c>
      <c r="AC629" s="319">
        <f>IF(AND('Ações'!AW636="sim", 'Ações'!BE636="sim"), 1, 0)
</f>
        <v>0</v>
      </c>
      <c r="AD629" s="319">
        <f>IF(AND('Ações'!AW636="sim", 'Ações'!BF636="sim"), 1, 0)
</f>
        <v>0</v>
      </c>
      <c r="AE629" s="319">
        <f>IF(AND('Ações'!AW636="sim", 'Ações'!BG636="sim"), 1, 0)
</f>
        <v>0</v>
      </c>
      <c r="AF629" s="319">
        <f>IF(AND('Ações'!AW636="sim", 'Ações'!BI636="sim"), 1, 0)
</f>
        <v>1</v>
      </c>
      <c r="AG629" s="319">
        <f>IF(AND('Ações'!AX636="sim", 'Ações'!BD636="sim"), 1, 0)
</f>
        <v>0</v>
      </c>
      <c r="AH629" s="319">
        <f>IF(AND('Ações'!AX636="sim", 'Ações'!BE636="sim"), 1, 0)
</f>
        <v>0</v>
      </c>
      <c r="AI629" s="319">
        <f>IF(AND('Ações'!AX636="sim", 'Ações'!BF636="sim"), 1, 0)
</f>
        <v>0</v>
      </c>
      <c r="AJ629" s="319">
        <f>IF(AND('Ações'!AX636="sim", 'Ações'!BG636="sim"), 1, 0)
</f>
        <v>0</v>
      </c>
      <c r="AK629" s="319">
        <f>IF(AND('Ações'!AX636="sim", 'Ações'!BH636="sim"), 1, 0)
</f>
        <v>0</v>
      </c>
    </row>
    <row r="630">
      <c r="B630" s="319">
        <f>IF(AND('Ações'!AS637="sim", 'Ações'!BD637="sim"), 1, 0)
</f>
        <v>0</v>
      </c>
      <c r="C630" s="319">
        <f>IF(AND('Ações'!AT637="sim", 'Ações'!BE637="sim"), 1, 0)
</f>
        <v>0</v>
      </c>
      <c r="D630" s="319">
        <f>IF(AND('Ações'!AU637="sim", 'Ações'!BF637="sim"), 1, 0)
</f>
        <v>0</v>
      </c>
      <c r="E630" s="319">
        <f>IF(AND('Ações'!AV637="sim", 'Ações'!BG637="sim"), 1, 0)
</f>
        <v>0</v>
      </c>
      <c r="F630" s="319">
        <f>IF(AND('Ações'!AW637="sim", 'Ações'!BH637="sim"), 1, 0)
</f>
        <v>0</v>
      </c>
      <c r="G630" s="319">
        <f>IF(AND('Ações'!AX637="sim", 'Ações'!BI637="sim"), 1, 0)
</f>
        <v>1</v>
      </c>
      <c r="H630" s="319">
        <f>IF(AND('Ações'!AS637="sim", 'Ações'!BE637="sim"), 1, 0)
</f>
        <v>0</v>
      </c>
      <c r="I630" s="319">
        <f>IF(AND('Ações'!AS637="sim", 'Ações'!BF637="sim"), 1, 0)
</f>
        <v>0</v>
      </c>
      <c r="J630" s="319">
        <f>IF(AND('Ações'!AS637="sim", 'Ações'!BG637="sim"), 1, 0)
</f>
        <v>0</v>
      </c>
      <c r="K630" s="319">
        <f>IF(AND('Ações'!AS637="sim", 'Ações'!BH637="sim"), 1, 0)
</f>
        <v>0</v>
      </c>
      <c r="L630" s="319">
        <f>IF(AND('Ações'!AS637="sim", 'Ações'!BI637="sim"), 1, 0)
</f>
        <v>0</v>
      </c>
      <c r="M630" s="319">
        <f>IF(AND('Ações'!AT637="sim", 'Ações'!BD637="sim"), 1, 0)
</f>
        <v>0</v>
      </c>
      <c r="N630" s="319">
        <f>IF(AND('Ações'!AT637="sim", 'Ações'!BF637="sim"), 1, 0)
</f>
        <v>0</v>
      </c>
      <c r="O630" s="319">
        <f>IF(AND('Ações'!AT637="sim", 'Ações'!BG637="sim"), 1, 0)
</f>
        <v>0</v>
      </c>
      <c r="P630" s="319">
        <f>IF(AND('Ações'!AT637="sim", 'Ações'!BH637="sim"), 1, 0)
</f>
        <v>0</v>
      </c>
      <c r="Q630" s="319">
        <f>IF(AND('Ações'!AT637="sim", 'Ações'!BI637="sim"), 1, 0)
</f>
        <v>0</v>
      </c>
      <c r="R630" s="319">
        <f>IF(AND('Ações'!AU637="sim", 'Ações'!BD637="sim"), 1, 0)
</f>
        <v>0</v>
      </c>
      <c r="S630" s="319">
        <f>IF(AND('Ações'!AU637="sim", 'Ações'!BE637="sim"), 1, 0)
</f>
        <v>0</v>
      </c>
      <c r="T630" s="319">
        <f>IF(AND('Ações'!AU637="sim", 'Ações'!BG637="sim"), 1, 0)
</f>
        <v>0</v>
      </c>
      <c r="U630" s="319">
        <f>IF(AND('Ações'!AU637="sim", 'Ações'!BH637="sim"), 1, 0)
</f>
        <v>0</v>
      </c>
      <c r="V630" s="319">
        <f>IF(AND('Ações'!AU637="sim", 'Ações'!BI637="sim"), 1, 0)
</f>
        <v>0</v>
      </c>
      <c r="W630" s="319">
        <f>IF(AND('Ações'!AV637="sim", 'Ações'!BD637="sim"), 1, 0)
</f>
        <v>0</v>
      </c>
      <c r="X630" s="319">
        <f>IF(AND('Ações'!AV637="sim", 'Ações'!BE637="sim"), 1, 0)
</f>
        <v>0</v>
      </c>
      <c r="Y630" s="319">
        <f>IF(AND('Ações'!AV637="sim", 'Ações'!BF637="sim"), 1, 0)
</f>
        <v>0</v>
      </c>
      <c r="Z630" s="319">
        <f>IF(AND('Ações'!AV637="sim", 'Ações'!BH637="sim"), 1, 0)
</f>
        <v>0</v>
      </c>
      <c r="AA630" s="319">
        <f>IF(AND('Ações'!AV637="sim", 'Ações'!BI637="sim"), 1, 0)
</f>
        <v>1</v>
      </c>
      <c r="AB630" s="319">
        <f>IF(AND('Ações'!AW637="sim", 'Ações'!BD637="sim"), 1, 0)
</f>
        <v>0</v>
      </c>
      <c r="AC630" s="319">
        <f>IF(AND('Ações'!AW637="sim", 'Ações'!BE637="sim"), 1, 0)
</f>
        <v>0</v>
      </c>
      <c r="AD630" s="319">
        <f>IF(AND('Ações'!AW637="sim", 'Ações'!BF637="sim"), 1, 0)
</f>
        <v>0</v>
      </c>
      <c r="AE630" s="319">
        <f>IF(AND('Ações'!AW637="sim", 'Ações'!BG637="sim"), 1, 0)
</f>
        <v>0</v>
      </c>
      <c r="AF630" s="319">
        <f>IF(AND('Ações'!AW637="sim", 'Ações'!BI637="sim"), 1, 0)
</f>
        <v>1</v>
      </c>
      <c r="AG630" s="319">
        <f>IF(AND('Ações'!AX637="sim", 'Ações'!BD637="sim"), 1, 0)
</f>
        <v>0</v>
      </c>
      <c r="AH630" s="319">
        <f>IF(AND('Ações'!AX637="sim", 'Ações'!BE637="sim"), 1, 0)
</f>
        <v>0</v>
      </c>
      <c r="AI630" s="319">
        <f>IF(AND('Ações'!AX637="sim", 'Ações'!BF637="sim"), 1, 0)
</f>
        <v>0</v>
      </c>
      <c r="AJ630" s="319">
        <f>IF(AND('Ações'!AX637="sim", 'Ações'!BG637="sim"), 1, 0)
</f>
        <v>0</v>
      </c>
      <c r="AK630" s="319">
        <f>IF(AND('Ações'!AX637="sim", 'Ações'!BH637="sim"), 1, 0)
</f>
        <v>0</v>
      </c>
    </row>
    <row r="631">
      <c r="B631" s="319">
        <f>IF(AND('Ações'!AS638="sim", 'Ações'!BD638="sim"), 1, 0)
</f>
        <v>0</v>
      </c>
      <c r="C631" s="319">
        <f>IF(AND('Ações'!AT638="sim", 'Ações'!BE638="sim"), 1, 0)
</f>
        <v>0</v>
      </c>
      <c r="D631" s="319">
        <f>IF(AND('Ações'!AU638="sim", 'Ações'!BF638="sim"), 1, 0)
</f>
        <v>0</v>
      </c>
      <c r="E631" s="319">
        <f>IF(AND('Ações'!AV638="sim", 'Ações'!BG638="sim"), 1, 0)
</f>
        <v>0</v>
      </c>
      <c r="F631" s="319">
        <f>IF(AND('Ações'!AW638="sim", 'Ações'!BH638="sim"), 1, 0)
</f>
        <v>0</v>
      </c>
      <c r="G631" s="319">
        <f>IF(AND('Ações'!AX638="sim", 'Ações'!BI638="sim"), 1, 0)
</f>
        <v>1</v>
      </c>
      <c r="H631" s="319">
        <f>IF(AND('Ações'!AS638="sim", 'Ações'!BE638="sim"), 1, 0)
</f>
        <v>0</v>
      </c>
      <c r="I631" s="319">
        <f>IF(AND('Ações'!AS638="sim", 'Ações'!BF638="sim"), 1, 0)
</f>
        <v>0</v>
      </c>
      <c r="J631" s="319">
        <f>IF(AND('Ações'!AS638="sim", 'Ações'!BG638="sim"), 1, 0)
</f>
        <v>0</v>
      </c>
      <c r="K631" s="319">
        <f>IF(AND('Ações'!AS638="sim", 'Ações'!BH638="sim"), 1, 0)
</f>
        <v>0</v>
      </c>
      <c r="L631" s="319">
        <f>IF(AND('Ações'!AS638="sim", 'Ações'!BI638="sim"), 1, 0)
</f>
        <v>0</v>
      </c>
      <c r="M631" s="319">
        <f>IF(AND('Ações'!AT638="sim", 'Ações'!BD638="sim"), 1, 0)
</f>
        <v>0</v>
      </c>
      <c r="N631" s="319">
        <f>IF(AND('Ações'!AT638="sim", 'Ações'!BF638="sim"), 1, 0)
</f>
        <v>0</v>
      </c>
      <c r="O631" s="319">
        <f>IF(AND('Ações'!AT638="sim", 'Ações'!BG638="sim"), 1, 0)
</f>
        <v>0</v>
      </c>
      <c r="P631" s="319">
        <f>IF(AND('Ações'!AT638="sim", 'Ações'!BH638="sim"), 1, 0)
</f>
        <v>0</v>
      </c>
      <c r="Q631" s="319">
        <f>IF(AND('Ações'!AT638="sim", 'Ações'!BI638="sim"), 1, 0)
</f>
        <v>0</v>
      </c>
      <c r="R631" s="319">
        <f>IF(AND('Ações'!AU638="sim", 'Ações'!BD638="sim"), 1, 0)
</f>
        <v>0</v>
      </c>
      <c r="S631" s="319">
        <f>IF(AND('Ações'!AU638="sim", 'Ações'!BE638="sim"), 1, 0)
</f>
        <v>0</v>
      </c>
      <c r="T631" s="319">
        <f>IF(AND('Ações'!AU638="sim", 'Ações'!BG638="sim"), 1, 0)
</f>
        <v>0</v>
      </c>
      <c r="U631" s="319">
        <f>IF(AND('Ações'!AU638="sim", 'Ações'!BH638="sim"), 1, 0)
</f>
        <v>0</v>
      </c>
      <c r="V631" s="319">
        <f>IF(AND('Ações'!AU638="sim", 'Ações'!BI638="sim"), 1, 0)
</f>
        <v>0</v>
      </c>
      <c r="W631" s="319">
        <f>IF(AND('Ações'!AV638="sim", 'Ações'!BD638="sim"), 1, 0)
</f>
        <v>0</v>
      </c>
      <c r="X631" s="319">
        <f>IF(AND('Ações'!AV638="sim", 'Ações'!BE638="sim"), 1, 0)
</f>
        <v>0</v>
      </c>
      <c r="Y631" s="319">
        <f>IF(AND('Ações'!AV638="sim", 'Ações'!BF638="sim"), 1, 0)
</f>
        <v>0</v>
      </c>
      <c r="Z631" s="319">
        <f>IF(AND('Ações'!AV638="sim", 'Ações'!BH638="sim"), 1, 0)
</f>
        <v>0</v>
      </c>
      <c r="AA631" s="319">
        <f>IF(AND('Ações'!AV638="sim", 'Ações'!BI638="sim"), 1, 0)
</f>
        <v>0</v>
      </c>
      <c r="AB631" s="319">
        <f>IF(AND('Ações'!AW638="sim", 'Ações'!BD638="sim"), 1, 0)
</f>
        <v>0</v>
      </c>
      <c r="AC631" s="319">
        <f>IF(AND('Ações'!AW638="sim", 'Ações'!BE638="sim"), 1, 0)
</f>
        <v>0</v>
      </c>
      <c r="AD631" s="319">
        <f>IF(AND('Ações'!AW638="sim", 'Ações'!BF638="sim"), 1, 0)
</f>
        <v>0</v>
      </c>
      <c r="AE631" s="319">
        <f>IF(AND('Ações'!AW638="sim", 'Ações'!BG638="sim"), 1, 0)
</f>
        <v>0</v>
      </c>
      <c r="AF631" s="319">
        <f>IF(AND('Ações'!AW638="sim", 'Ações'!BI638="sim"), 1, 0)
</f>
        <v>1</v>
      </c>
      <c r="AG631" s="319">
        <f>IF(AND('Ações'!AX638="sim", 'Ações'!BD638="sim"), 1, 0)
</f>
        <v>0</v>
      </c>
      <c r="AH631" s="319">
        <f>IF(AND('Ações'!AX638="sim", 'Ações'!BE638="sim"), 1, 0)
</f>
        <v>0</v>
      </c>
      <c r="AI631" s="319">
        <f>IF(AND('Ações'!AX638="sim", 'Ações'!BF638="sim"), 1, 0)
</f>
        <v>0</v>
      </c>
      <c r="AJ631" s="319">
        <f>IF(AND('Ações'!AX638="sim", 'Ações'!BG638="sim"), 1, 0)
</f>
        <v>0</v>
      </c>
      <c r="AK631" s="319">
        <f>IF(AND('Ações'!AX638="sim", 'Ações'!BH638="sim"), 1, 0)
</f>
        <v>0</v>
      </c>
    </row>
    <row r="632">
      <c r="B632" s="319">
        <f>IF(AND('Ações'!AS639="sim", 'Ações'!BD639="sim"), 1, 0)
</f>
        <v>0</v>
      </c>
      <c r="C632" s="319">
        <f>IF(AND('Ações'!AT639="sim", 'Ações'!BE639="sim"), 1, 0)
</f>
        <v>0</v>
      </c>
      <c r="D632" s="319">
        <f>IF(AND('Ações'!AU639="sim", 'Ações'!BF639="sim"), 1, 0)
</f>
        <v>0</v>
      </c>
      <c r="E632" s="319">
        <f>IF(AND('Ações'!AV639="sim", 'Ações'!BG639="sim"), 1, 0)
</f>
        <v>0</v>
      </c>
      <c r="F632" s="319">
        <f>IF(AND('Ações'!AW639="sim", 'Ações'!BH639="sim"), 1, 0)
</f>
        <v>0</v>
      </c>
      <c r="G632" s="319">
        <f>IF(AND('Ações'!AX639="sim", 'Ações'!BI639="sim"), 1, 0)
</f>
        <v>1</v>
      </c>
      <c r="H632" s="319">
        <f>IF(AND('Ações'!AS639="sim", 'Ações'!BE639="sim"), 1, 0)
</f>
        <v>0</v>
      </c>
      <c r="I632" s="319">
        <f>IF(AND('Ações'!AS639="sim", 'Ações'!BF639="sim"), 1, 0)
</f>
        <v>0</v>
      </c>
      <c r="J632" s="319">
        <f>IF(AND('Ações'!AS639="sim", 'Ações'!BG639="sim"), 1, 0)
</f>
        <v>0</v>
      </c>
      <c r="K632" s="319">
        <f>IF(AND('Ações'!AS639="sim", 'Ações'!BH639="sim"), 1, 0)
</f>
        <v>0</v>
      </c>
      <c r="L632" s="319">
        <f>IF(AND('Ações'!AS639="sim", 'Ações'!BI639="sim"), 1, 0)
</f>
        <v>0</v>
      </c>
      <c r="M632" s="319">
        <f>IF(AND('Ações'!AT639="sim", 'Ações'!BD639="sim"), 1, 0)
</f>
        <v>0</v>
      </c>
      <c r="N632" s="319">
        <f>IF(AND('Ações'!AT639="sim", 'Ações'!BF639="sim"), 1, 0)
</f>
        <v>0</v>
      </c>
      <c r="O632" s="319">
        <f>IF(AND('Ações'!AT639="sim", 'Ações'!BG639="sim"), 1, 0)
</f>
        <v>0</v>
      </c>
      <c r="P632" s="319">
        <f>IF(AND('Ações'!AT639="sim", 'Ações'!BH639="sim"), 1, 0)
</f>
        <v>0</v>
      </c>
      <c r="Q632" s="319">
        <f>IF(AND('Ações'!AT639="sim", 'Ações'!BI639="sim"), 1, 0)
</f>
        <v>0</v>
      </c>
      <c r="R632" s="319">
        <f>IF(AND('Ações'!AU639="sim", 'Ações'!BD639="sim"), 1, 0)
</f>
        <v>0</v>
      </c>
      <c r="S632" s="319">
        <f>IF(AND('Ações'!AU639="sim", 'Ações'!BE639="sim"), 1, 0)
</f>
        <v>0</v>
      </c>
      <c r="T632" s="319">
        <f>IF(AND('Ações'!AU639="sim", 'Ações'!BG639="sim"), 1, 0)
</f>
        <v>0</v>
      </c>
      <c r="U632" s="319">
        <f>IF(AND('Ações'!AU639="sim", 'Ações'!BH639="sim"), 1, 0)
</f>
        <v>0</v>
      </c>
      <c r="V632" s="319">
        <f>IF(AND('Ações'!AU639="sim", 'Ações'!BI639="sim"), 1, 0)
</f>
        <v>0</v>
      </c>
      <c r="W632" s="319">
        <f>IF(AND('Ações'!AV639="sim", 'Ações'!BD639="sim"), 1, 0)
</f>
        <v>0</v>
      </c>
      <c r="X632" s="319">
        <f>IF(AND('Ações'!AV639="sim", 'Ações'!BE639="sim"), 1, 0)
</f>
        <v>0</v>
      </c>
      <c r="Y632" s="319">
        <f>IF(AND('Ações'!AV639="sim", 'Ações'!BF639="sim"), 1, 0)
</f>
        <v>0</v>
      </c>
      <c r="Z632" s="319">
        <f>IF(AND('Ações'!AV639="sim", 'Ações'!BH639="sim"), 1, 0)
</f>
        <v>0</v>
      </c>
      <c r="AA632" s="319">
        <f>IF(AND('Ações'!AV639="sim", 'Ações'!BI639="sim"), 1, 0)
</f>
        <v>0</v>
      </c>
      <c r="AB632" s="319">
        <f>IF(AND('Ações'!AW639="sim", 'Ações'!BD639="sim"), 1, 0)
</f>
        <v>0</v>
      </c>
      <c r="AC632" s="319">
        <f>IF(AND('Ações'!AW639="sim", 'Ações'!BE639="sim"), 1, 0)
</f>
        <v>0</v>
      </c>
      <c r="AD632" s="319">
        <f>IF(AND('Ações'!AW639="sim", 'Ações'!BF639="sim"), 1, 0)
</f>
        <v>0</v>
      </c>
      <c r="AE632" s="319">
        <f>IF(AND('Ações'!AW639="sim", 'Ações'!BG639="sim"), 1, 0)
</f>
        <v>0</v>
      </c>
      <c r="AF632" s="319">
        <f>IF(AND('Ações'!AW639="sim", 'Ações'!BI639="sim"), 1, 0)
</f>
        <v>1</v>
      </c>
      <c r="AG632" s="319">
        <f>IF(AND('Ações'!AX639="sim", 'Ações'!BD639="sim"), 1, 0)
</f>
        <v>0</v>
      </c>
      <c r="AH632" s="319">
        <f>IF(AND('Ações'!AX639="sim", 'Ações'!BE639="sim"), 1, 0)
</f>
        <v>0</v>
      </c>
      <c r="AI632" s="319">
        <f>IF(AND('Ações'!AX639="sim", 'Ações'!BF639="sim"), 1, 0)
</f>
        <v>0</v>
      </c>
      <c r="AJ632" s="319">
        <f>IF(AND('Ações'!AX639="sim", 'Ações'!BG639="sim"), 1, 0)
</f>
        <v>0</v>
      </c>
      <c r="AK632" s="319">
        <f>IF(AND('Ações'!AX639="sim", 'Ações'!BH639="sim"), 1, 0)
</f>
        <v>0</v>
      </c>
    </row>
    <row r="633">
      <c r="B633" s="319">
        <f>IF(AND('Ações'!AS640="sim", 'Ações'!BD640="sim"), 1, 0)
</f>
        <v>0</v>
      </c>
      <c r="C633" s="319">
        <f>IF(AND('Ações'!AT640="sim", 'Ações'!BE640="sim"), 1, 0)
</f>
        <v>0</v>
      </c>
      <c r="D633" s="319">
        <f>IF(AND('Ações'!AU640="sim", 'Ações'!BF640="sim"), 1, 0)
</f>
        <v>0</v>
      </c>
      <c r="E633" s="319">
        <f>IF(AND('Ações'!AV640="sim", 'Ações'!BG640="sim"), 1, 0)
</f>
        <v>0</v>
      </c>
      <c r="F633" s="319">
        <f>IF(AND('Ações'!AW640="sim", 'Ações'!BH640="sim"), 1, 0)
</f>
        <v>0</v>
      </c>
      <c r="G633" s="319">
        <f>IF(AND('Ações'!AX640="sim", 'Ações'!BI640="sim"), 1, 0)
</f>
        <v>1</v>
      </c>
      <c r="H633" s="319">
        <f>IF(AND('Ações'!AS640="sim", 'Ações'!BE640="sim"), 1, 0)
</f>
        <v>0</v>
      </c>
      <c r="I633" s="319">
        <f>IF(AND('Ações'!AS640="sim", 'Ações'!BF640="sim"), 1, 0)
</f>
        <v>0</v>
      </c>
      <c r="J633" s="319">
        <f>IF(AND('Ações'!AS640="sim", 'Ações'!BG640="sim"), 1, 0)
</f>
        <v>0</v>
      </c>
      <c r="K633" s="319">
        <f>IF(AND('Ações'!AS640="sim", 'Ações'!BH640="sim"), 1, 0)
</f>
        <v>0</v>
      </c>
      <c r="L633" s="319">
        <f>IF(AND('Ações'!AS640="sim", 'Ações'!BI640="sim"), 1, 0)
</f>
        <v>1</v>
      </c>
      <c r="M633" s="319">
        <f>IF(AND('Ações'!AT640="sim", 'Ações'!BD640="sim"), 1, 0)
</f>
        <v>0</v>
      </c>
      <c r="N633" s="319">
        <f>IF(AND('Ações'!AT640="sim", 'Ações'!BF640="sim"), 1, 0)
</f>
        <v>0</v>
      </c>
      <c r="O633" s="319">
        <f>IF(AND('Ações'!AT640="sim", 'Ações'!BG640="sim"), 1, 0)
</f>
        <v>0</v>
      </c>
      <c r="P633" s="319">
        <f>IF(AND('Ações'!AT640="sim", 'Ações'!BH640="sim"), 1, 0)
</f>
        <v>0</v>
      </c>
      <c r="Q633" s="319">
        <f>IF(AND('Ações'!AT640="sim", 'Ações'!BI640="sim"), 1, 0)
</f>
        <v>1</v>
      </c>
      <c r="R633" s="319">
        <f>IF(AND('Ações'!AU640="sim", 'Ações'!BD640="sim"), 1, 0)
</f>
        <v>0</v>
      </c>
      <c r="S633" s="319">
        <f>IF(AND('Ações'!AU640="sim", 'Ações'!BE640="sim"), 1, 0)
</f>
        <v>0</v>
      </c>
      <c r="T633" s="319">
        <f>IF(AND('Ações'!AU640="sim", 'Ações'!BG640="sim"), 1, 0)
</f>
        <v>0</v>
      </c>
      <c r="U633" s="319">
        <f>IF(AND('Ações'!AU640="sim", 'Ações'!BH640="sim"), 1, 0)
</f>
        <v>0</v>
      </c>
      <c r="V633" s="319">
        <f>IF(AND('Ações'!AU640="sim", 'Ações'!BI640="sim"), 1, 0)
</f>
        <v>1</v>
      </c>
      <c r="W633" s="319">
        <f>IF(AND('Ações'!AV640="sim", 'Ações'!BD640="sim"), 1, 0)
</f>
        <v>0</v>
      </c>
      <c r="X633" s="319">
        <f>IF(AND('Ações'!AV640="sim", 'Ações'!BE640="sim"), 1, 0)
</f>
        <v>0</v>
      </c>
      <c r="Y633" s="319">
        <f>IF(AND('Ações'!AV640="sim", 'Ações'!BF640="sim"), 1, 0)
</f>
        <v>0</v>
      </c>
      <c r="Z633" s="319">
        <f>IF(AND('Ações'!AV640="sim", 'Ações'!BH640="sim"), 1, 0)
</f>
        <v>0</v>
      </c>
      <c r="AA633" s="319">
        <f>IF(AND('Ações'!AV640="sim", 'Ações'!BI640="sim"), 1, 0)
</f>
        <v>1</v>
      </c>
      <c r="AB633" s="319">
        <f>IF(AND('Ações'!AW640="sim", 'Ações'!BD640="sim"), 1, 0)
</f>
        <v>0</v>
      </c>
      <c r="AC633" s="319">
        <f>IF(AND('Ações'!AW640="sim", 'Ações'!BE640="sim"), 1, 0)
</f>
        <v>0</v>
      </c>
      <c r="AD633" s="319">
        <f>IF(AND('Ações'!AW640="sim", 'Ações'!BF640="sim"), 1, 0)
</f>
        <v>0</v>
      </c>
      <c r="AE633" s="319">
        <f>IF(AND('Ações'!AW640="sim", 'Ações'!BG640="sim"), 1, 0)
</f>
        <v>0</v>
      </c>
      <c r="AF633" s="319">
        <f>IF(AND('Ações'!AW640="sim", 'Ações'!BI640="sim"), 1, 0)
</f>
        <v>1</v>
      </c>
      <c r="AG633" s="319">
        <f>IF(AND('Ações'!AX640="sim", 'Ações'!BD640="sim"), 1, 0)
</f>
        <v>0</v>
      </c>
      <c r="AH633" s="319">
        <f>IF(AND('Ações'!AX640="sim", 'Ações'!BE640="sim"), 1, 0)
</f>
        <v>0</v>
      </c>
      <c r="AI633" s="319">
        <f>IF(AND('Ações'!AX640="sim", 'Ações'!BF640="sim"), 1, 0)
</f>
        <v>0</v>
      </c>
      <c r="AJ633" s="319">
        <f>IF(AND('Ações'!AX640="sim", 'Ações'!BG640="sim"), 1, 0)
</f>
        <v>0</v>
      </c>
      <c r="AK633" s="319">
        <f>IF(AND('Ações'!AX640="sim", 'Ações'!BH640="sim"), 1, 0)
</f>
        <v>0</v>
      </c>
    </row>
    <row r="634">
      <c r="B634" s="319">
        <f>IF(AND('Ações'!AS641="sim", 'Ações'!BD641="sim"), 1, 0)
</f>
        <v>0</v>
      </c>
      <c r="C634" s="319">
        <f>IF(AND('Ações'!AT641="sim", 'Ações'!BE641="sim"), 1, 0)
</f>
        <v>0</v>
      </c>
      <c r="D634" s="319">
        <f>IF(AND('Ações'!AU641="sim", 'Ações'!BF641="sim"), 1, 0)
</f>
        <v>0</v>
      </c>
      <c r="E634" s="319">
        <f>IF(AND('Ações'!AV641="sim", 'Ações'!BG641="sim"), 1, 0)
</f>
        <v>1</v>
      </c>
      <c r="F634" s="319">
        <f>IF(AND('Ações'!AW641="sim", 'Ações'!BH641="sim"), 1, 0)
</f>
        <v>0</v>
      </c>
      <c r="G634" s="319">
        <f>IF(AND('Ações'!AX641="sim", 'Ações'!BI641="sim"), 1, 0)
</f>
        <v>0</v>
      </c>
      <c r="H634" s="319">
        <f>IF(AND('Ações'!AS641="sim", 'Ações'!BE641="sim"), 1, 0)
</f>
        <v>0</v>
      </c>
      <c r="I634" s="319">
        <f>IF(AND('Ações'!AS641="sim", 'Ações'!BF641="sim"), 1, 0)
</f>
        <v>0</v>
      </c>
      <c r="J634" s="319">
        <f>IF(AND('Ações'!AS641="sim", 'Ações'!BG641="sim"), 1, 0)
</f>
        <v>1</v>
      </c>
      <c r="K634" s="319">
        <f>IF(AND('Ações'!AS641="sim", 'Ações'!BH641="sim"), 1, 0)
</f>
        <v>0</v>
      </c>
      <c r="L634" s="319">
        <f>IF(AND('Ações'!AS641="sim", 'Ações'!BI641="sim"), 1, 0)
</f>
        <v>0</v>
      </c>
      <c r="M634" s="319">
        <f>IF(AND('Ações'!AT641="sim", 'Ações'!BD641="sim"), 1, 0)
</f>
        <v>0</v>
      </c>
      <c r="N634" s="319">
        <f>IF(AND('Ações'!AT641="sim", 'Ações'!BF641="sim"), 1, 0)
</f>
        <v>0</v>
      </c>
      <c r="O634" s="319">
        <f>IF(AND('Ações'!AT641="sim", 'Ações'!BG641="sim"), 1, 0)
</f>
        <v>1</v>
      </c>
      <c r="P634" s="319">
        <f>IF(AND('Ações'!AT641="sim", 'Ações'!BH641="sim"), 1, 0)
</f>
        <v>0</v>
      </c>
      <c r="Q634" s="319">
        <f>IF(AND('Ações'!AT641="sim", 'Ações'!BI641="sim"), 1, 0)
</f>
        <v>0</v>
      </c>
      <c r="R634" s="319">
        <f>IF(AND('Ações'!AU641="sim", 'Ações'!BD641="sim"), 1, 0)
</f>
        <v>0</v>
      </c>
      <c r="S634" s="319">
        <f>IF(AND('Ações'!AU641="sim", 'Ações'!BE641="sim"), 1, 0)
</f>
        <v>0</v>
      </c>
      <c r="T634" s="319">
        <f>IF(AND('Ações'!AU641="sim", 'Ações'!BG641="sim"), 1, 0)
</f>
        <v>1</v>
      </c>
      <c r="U634" s="319">
        <f>IF(AND('Ações'!AU641="sim", 'Ações'!BH641="sim"), 1, 0)
</f>
        <v>0</v>
      </c>
      <c r="V634" s="319">
        <f>IF(AND('Ações'!AU641="sim", 'Ações'!BI641="sim"), 1, 0)
</f>
        <v>0</v>
      </c>
      <c r="W634" s="319">
        <f>IF(AND('Ações'!AV641="sim", 'Ações'!BD641="sim"), 1, 0)
</f>
        <v>0</v>
      </c>
      <c r="X634" s="319">
        <f>IF(AND('Ações'!AV641="sim", 'Ações'!BE641="sim"), 1, 0)
</f>
        <v>0</v>
      </c>
      <c r="Y634" s="319">
        <f>IF(AND('Ações'!AV641="sim", 'Ações'!BF641="sim"), 1, 0)
</f>
        <v>0</v>
      </c>
      <c r="Z634" s="319">
        <f>IF(AND('Ações'!AV641="sim", 'Ações'!BH641="sim"), 1, 0)
</f>
        <v>0</v>
      </c>
      <c r="AA634" s="319">
        <f>IF(AND('Ações'!AV641="sim", 'Ações'!BI641="sim"), 1, 0)
</f>
        <v>0</v>
      </c>
      <c r="AB634" s="319">
        <f>IF(AND('Ações'!AW641="sim", 'Ações'!BD641="sim"), 1, 0)
</f>
        <v>0</v>
      </c>
      <c r="AC634" s="319">
        <f>IF(AND('Ações'!AW641="sim", 'Ações'!BE641="sim"), 1, 0)
</f>
        <v>0</v>
      </c>
      <c r="AD634" s="319">
        <f>IF(AND('Ações'!AW641="sim", 'Ações'!BF641="sim"), 1, 0)
</f>
        <v>0</v>
      </c>
      <c r="AE634" s="319">
        <f>IF(AND('Ações'!AW641="sim", 'Ações'!BG641="sim"), 1, 0)
</f>
        <v>1</v>
      </c>
      <c r="AF634" s="319">
        <f>IF(AND('Ações'!AW641="sim", 'Ações'!BI641="sim"), 1, 0)
</f>
        <v>0</v>
      </c>
      <c r="AG634" s="319">
        <f>IF(AND('Ações'!AX641="sim", 'Ações'!BD641="sim"), 1, 0)
</f>
        <v>0</v>
      </c>
      <c r="AH634" s="319">
        <f>IF(AND('Ações'!AX641="sim", 'Ações'!BE641="sim"), 1, 0)
</f>
        <v>0</v>
      </c>
      <c r="AI634" s="319">
        <f>IF(AND('Ações'!AX641="sim", 'Ações'!BF641="sim"), 1, 0)
</f>
        <v>0</v>
      </c>
      <c r="AJ634" s="319">
        <f>IF(AND('Ações'!AX641="sim", 'Ações'!BG641="sim"), 1, 0)
</f>
        <v>1</v>
      </c>
      <c r="AK634" s="319">
        <f>IF(AND('Ações'!AX641="sim", 'Ações'!BH641="sim"), 1, 0)
</f>
        <v>0</v>
      </c>
    </row>
    <row r="635">
      <c r="B635" s="319">
        <f>IF(AND('Ações'!AS642="sim", 'Ações'!BD642="sim"), 1, 0)
</f>
        <v>0</v>
      </c>
      <c r="C635" s="319">
        <f>IF(AND('Ações'!AT642="sim", 'Ações'!BE642="sim"), 1, 0)
</f>
        <v>0</v>
      </c>
      <c r="D635" s="319">
        <f>IF(AND('Ações'!AU642="sim", 'Ações'!BF642="sim"), 1, 0)
</f>
        <v>0</v>
      </c>
      <c r="E635" s="319">
        <f>IF(AND('Ações'!AV642="sim", 'Ações'!BG642="sim"), 1, 0)
</f>
        <v>0</v>
      </c>
      <c r="F635" s="319">
        <f>IF(AND('Ações'!AW642="sim", 'Ações'!BH642="sim"), 1, 0)
</f>
        <v>0</v>
      </c>
      <c r="G635" s="319">
        <f>IF(AND('Ações'!AX642="sim", 'Ações'!BI642="sim"), 1, 0)
</f>
        <v>1</v>
      </c>
      <c r="H635" s="319">
        <f>IF(AND('Ações'!AS642="sim", 'Ações'!BE642="sim"), 1, 0)
</f>
        <v>0</v>
      </c>
      <c r="I635" s="319">
        <f>IF(AND('Ações'!AS642="sim", 'Ações'!BF642="sim"), 1, 0)
</f>
        <v>0</v>
      </c>
      <c r="J635" s="319">
        <f>IF(AND('Ações'!AS642="sim", 'Ações'!BG642="sim"), 1, 0)
</f>
        <v>0</v>
      </c>
      <c r="K635" s="319">
        <f>IF(AND('Ações'!AS642="sim", 'Ações'!BH642="sim"), 1, 0)
</f>
        <v>0</v>
      </c>
      <c r="L635" s="319">
        <f>IF(AND('Ações'!AS642="sim", 'Ações'!BI642="sim"), 1, 0)
</f>
        <v>0</v>
      </c>
      <c r="M635" s="319">
        <f>IF(AND('Ações'!AT642="sim", 'Ações'!BD642="sim"), 1, 0)
</f>
        <v>0</v>
      </c>
      <c r="N635" s="319">
        <f>IF(AND('Ações'!AT642="sim", 'Ações'!BF642="sim"), 1, 0)
</f>
        <v>0</v>
      </c>
      <c r="O635" s="319">
        <f>IF(AND('Ações'!AT642="sim", 'Ações'!BG642="sim"), 1, 0)
</f>
        <v>0</v>
      </c>
      <c r="P635" s="319">
        <f>IF(AND('Ações'!AT642="sim", 'Ações'!BH642="sim"), 1, 0)
</f>
        <v>0</v>
      </c>
      <c r="Q635" s="319">
        <f>IF(AND('Ações'!AT642="sim", 'Ações'!BI642="sim"), 1, 0)
</f>
        <v>0</v>
      </c>
      <c r="R635" s="319">
        <f>IF(AND('Ações'!AU642="sim", 'Ações'!BD642="sim"), 1, 0)
</f>
        <v>0</v>
      </c>
      <c r="S635" s="319">
        <f>IF(AND('Ações'!AU642="sim", 'Ações'!BE642="sim"), 1, 0)
</f>
        <v>0</v>
      </c>
      <c r="T635" s="319">
        <f>IF(AND('Ações'!AU642="sim", 'Ações'!BG642="sim"), 1, 0)
</f>
        <v>0</v>
      </c>
      <c r="U635" s="319">
        <f>IF(AND('Ações'!AU642="sim", 'Ações'!BH642="sim"), 1, 0)
</f>
        <v>0</v>
      </c>
      <c r="V635" s="319">
        <f>IF(AND('Ações'!AU642="sim", 'Ações'!BI642="sim"), 1, 0)
</f>
        <v>0</v>
      </c>
      <c r="W635" s="319">
        <f>IF(AND('Ações'!AV642="sim", 'Ações'!BD642="sim"), 1, 0)
</f>
        <v>0</v>
      </c>
      <c r="X635" s="319">
        <f>IF(AND('Ações'!AV642="sim", 'Ações'!BE642="sim"), 1, 0)
</f>
        <v>0</v>
      </c>
      <c r="Y635" s="319">
        <f>IF(AND('Ações'!AV642="sim", 'Ações'!BF642="sim"), 1, 0)
</f>
        <v>0</v>
      </c>
      <c r="Z635" s="319">
        <f>IF(AND('Ações'!AV642="sim", 'Ações'!BH642="sim"), 1, 0)
</f>
        <v>0</v>
      </c>
      <c r="AA635" s="319">
        <f>IF(AND('Ações'!AV642="sim", 'Ações'!BI642="sim"), 1, 0)
</f>
        <v>0</v>
      </c>
      <c r="AB635" s="319">
        <f>IF(AND('Ações'!AW642="sim", 'Ações'!BD642="sim"), 1, 0)
</f>
        <v>0</v>
      </c>
      <c r="AC635" s="319">
        <f>IF(AND('Ações'!AW642="sim", 'Ações'!BE642="sim"), 1, 0)
</f>
        <v>0</v>
      </c>
      <c r="AD635" s="319">
        <f>IF(AND('Ações'!AW642="sim", 'Ações'!BF642="sim"), 1, 0)
</f>
        <v>0</v>
      </c>
      <c r="AE635" s="319">
        <f>IF(AND('Ações'!AW642="sim", 'Ações'!BG642="sim"), 1, 0)
</f>
        <v>0</v>
      </c>
      <c r="AF635" s="319">
        <f>IF(AND('Ações'!AW642="sim", 'Ações'!BI642="sim"), 1, 0)
</f>
        <v>1</v>
      </c>
      <c r="AG635" s="319">
        <f>IF(AND('Ações'!AX642="sim", 'Ações'!BD642="sim"), 1, 0)
</f>
        <v>0</v>
      </c>
      <c r="AH635" s="319">
        <f>IF(AND('Ações'!AX642="sim", 'Ações'!BE642="sim"), 1, 0)
</f>
        <v>0</v>
      </c>
      <c r="AI635" s="319">
        <f>IF(AND('Ações'!AX642="sim", 'Ações'!BF642="sim"), 1, 0)
</f>
        <v>0</v>
      </c>
      <c r="AJ635" s="319">
        <f>IF(AND('Ações'!AX642="sim", 'Ações'!BG642="sim"), 1, 0)
</f>
        <v>0</v>
      </c>
      <c r="AK635" s="319">
        <f>IF(AND('Ações'!AX642="sim", 'Ações'!BH642="sim"), 1, 0)
</f>
        <v>0</v>
      </c>
    </row>
    <row r="636">
      <c r="B636" s="319">
        <f>IF(AND('Ações'!AS643="sim", 'Ações'!BD643="sim"), 1, 0)
</f>
        <v>0</v>
      </c>
      <c r="C636" s="319">
        <f>IF(AND('Ações'!AT643="sim", 'Ações'!BE643="sim"), 1, 0)
</f>
        <v>0</v>
      </c>
      <c r="D636" s="319">
        <f>IF(AND('Ações'!AU643="sim", 'Ações'!BF643="sim"), 1, 0)
</f>
        <v>0</v>
      </c>
      <c r="E636" s="319">
        <f>IF(AND('Ações'!AV643="sim", 'Ações'!BG643="sim"), 1, 0)
</f>
        <v>0</v>
      </c>
      <c r="F636" s="319">
        <f>IF(AND('Ações'!AW643="sim", 'Ações'!BH643="sim"), 1, 0)
</f>
        <v>0</v>
      </c>
      <c r="G636" s="319">
        <f>IF(AND('Ações'!AX643="sim", 'Ações'!BI643="sim"), 1, 0)
</f>
        <v>1</v>
      </c>
      <c r="H636" s="319">
        <f>IF(AND('Ações'!AS643="sim", 'Ações'!BE643="sim"), 1, 0)
</f>
        <v>0</v>
      </c>
      <c r="I636" s="319">
        <f>IF(AND('Ações'!AS643="sim", 'Ações'!BF643="sim"), 1, 0)
</f>
        <v>0</v>
      </c>
      <c r="J636" s="319">
        <f>IF(AND('Ações'!AS643="sim", 'Ações'!BG643="sim"), 1, 0)
</f>
        <v>0</v>
      </c>
      <c r="K636" s="319">
        <f>IF(AND('Ações'!AS643="sim", 'Ações'!BH643="sim"), 1, 0)
</f>
        <v>0</v>
      </c>
      <c r="L636" s="319">
        <f>IF(AND('Ações'!AS643="sim", 'Ações'!BI643="sim"), 1, 0)
</f>
        <v>0</v>
      </c>
      <c r="M636" s="319">
        <f>IF(AND('Ações'!AT643="sim", 'Ações'!BD643="sim"), 1, 0)
</f>
        <v>0</v>
      </c>
      <c r="N636" s="319">
        <f>IF(AND('Ações'!AT643="sim", 'Ações'!BF643="sim"), 1, 0)
</f>
        <v>0</v>
      </c>
      <c r="O636" s="319">
        <f>IF(AND('Ações'!AT643="sim", 'Ações'!BG643="sim"), 1, 0)
</f>
        <v>0</v>
      </c>
      <c r="P636" s="319">
        <f>IF(AND('Ações'!AT643="sim", 'Ações'!BH643="sim"), 1, 0)
</f>
        <v>0</v>
      </c>
      <c r="Q636" s="319">
        <f>IF(AND('Ações'!AT643="sim", 'Ações'!BI643="sim"), 1, 0)
</f>
        <v>0</v>
      </c>
      <c r="R636" s="319">
        <f>IF(AND('Ações'!AU643="sim", 'Ações'!BD643="sim"), 1, 0)
</f>
        <v>0</v>
      </c>
      <c r="S636" s="319">
        <f>IF(AND('Ações'!AU643="sim", 'Ações'!BE643="sim"), 1, 0)
</f>
        <v>0</v>
      </c>
      <c r="T636" s="319">
        <f>IF(AND('Ações'!AU643="sim", 'Ações'!BG643="sim"), 1, 0)
</f>
        <v>0</v>
      </c>
      <c r="U636" s="319">
        <f>IF(AND('Ações'!AU643="sim", 'Ações'!BH643="sim"), 1, 0)
</f>
        <v>0</v>
      </c>
      <c r="V636" s="319">
        <f>IF(AND('Ações'!AU643="sim", 'Ações'!BI643="sim"), 1, 0)
</f>
        <v>0</v>
      </c>
      <c r="W636" s="319">
        <f>IF(AND('Ações'!AV643="sim", 'Ações'!BD643="sim"), 1, 0)
</f>
        <v>0</v>
      </c>
      <c r="X636" s="319">
        <f>IF(AND('Ações'!AV643="sim", 'Ações'!BE643="sim"), 1, 0)
</f>
        <v>0</v>
      </c>
      <c r="Y636" s="319">
        <f>IF(AND('Ações'!AV643="sim", 'Ações'!BF643="sim"), 1, 0)
</f>
        <v>0</v>
      </c>
      <c r="Z636" s="319">
        <f>IF(AND('Ações'!AV643="sim", 'Ações'!BH643="sim"), 1, 0)
</f>
        <v>0</v>
      </c>
      <c r="AA636" s="319">
        <f>IF(AND('Ações'!AV643="sim", 'Ações'!BI643="sim"), 1, 0)
</f>
        <v>0</v>
      </c>
      <c r="AB636" s="319">
        <f>IF(AND('Ações'!AW643="sim", 'Ações'!BD643="sim"), 1, 0)
</f>
        <v>0</v>
      </c>
      <c r="AC636" s="319">
        <f>IF(AND('Ações'!AW643="sim", 'Ações'!BE643="sim"), 1, 0)
</f>
        <v>0</v>
      </c>
      <c r="AD636" s="319">
        <f>IF(AND('Ações'!AW643="sim", 'Ações'!BF643="sim"), 1, 0)
</f>
        <v>0</v>
      </c>
      <c r="AE636" s="319">
        <f>IF(AND('Ações'!AW643="sim", 'Ações'!BG643="sim"), 1, 0)
</f>
        <v>0</v>
      </c>
      <c r="AF636" s="319">
        <f>IF(AND('Ações'!AW643="sim", 'Ações'!BI643="sim"), 1, 0)
</f>
        <v>1</v>
      </c>
      <c r="AG636" s="319">
        <f>IF(AND('Ações'!AX643="sim", 'Ações'!BD643="sim"), 1, 0)
</f>
        <v>0</v>
      </c>
      <c r="AH636" s="319">
        <f>IF(AND('Ações'!AX643="sim", 'Ações'!BE643="sim"), 1, 0)
</f>
        <v>0</v>
      </c>
      <c r="AI636" s="319">
        <f>IF(AND('Ações'!AX643="sim", 'Ações'!BF643="sim"), 1, 0)
</f>
        <v>0</v>
      </c>
      <c r="AJ636" s="319">
        <f>IF(AND('Ações'!AX643="sim", 'Ações'!BG643="sim"), 1, 0)
</f>
        <v>0</v>
      </c>
      <c r="AK636" s="319">
        <f>IF(AND('Ações'!AX643="sim", 'Ações'!BH643="sim"), 1, 0)
</f>
        <v>0</v>
      </c>
    </row>
    <row r="637">
      <c r="B637" s="319">
        <f>IF(AND('Ações'!AS644="sim", 'Ações'!BD644="sim"), 1, 0)
</f>
        <v>0</v>
      </c>
      <c r="C637" s="319">
        <f>IF(AND('Ações'!AT644="sim", 'Ações'!BE644="sim"), 1, 0)
</f>
        <v>0</v>
      </c>
      <c r="D637" s="319">
        <f>IF(AND('Ações'!AU644="sim", 'Ações'!BF644="sim"), 1, 0)
</f>
        <v>0</v>
      </c>
      <c r="E637" s="319">
        <f>IF(AND('Ações'!AV644="sim", 'Ações'!BG644="sim"), 1, 0)
</f>
        <v>0</v>
      </c>
      <c r="F637" s="319">
        <f>IF(AND('Ações'!AW644="sim", 'Ações'!BH644="sim"), 1, 0)
</f>
        <v>0</v>
      </c>
      <c r="G637" s="319">
        <f>IF(AND('Ações'!AX644="sim", 'Ações'!BI644="sim"), 1, 0)
</f>
        <v>1</v>
      </c>
      <c r="H637" s="319">
        <f>IF(AND('Ações'!AS644="sim", 'Ações'!BE644="sim"), 1, 0)
</f>
        <v>0</v>
      </c>
      <c r="I637" s="319">
        <f>IF(AND('Ações'!AS644="sim", 'Ações'!BF644="sim"), 1, 0)
</f>
        <v>0</v>
      </c>
      <c r="J637" s="319">
        <f>IF(AND('Ações'!AS644="sim", 'Ações'!BG644="sim"), 1, 0)
</f>
        <v>0</v>
      </c>
      <c r="K637" s="319">
        <f>IF(AND('Ações'!AS644="sim", 'Ações'!BH644="sim"), 1, 0)
</f>
        <v>0</v>
      </c>
      <c r="L637" s="319">
        <f>IF(AND('Ações'!AS644="sim", 'Ações'!BI644="sim"), 1, 0)
</f>
        <v>0</v>
      </c>
      <c r="M637" s="319">
        <f>IF(AND('Ações'!AT644="sim", 'Ações'!BD644="sim"), 1, 0)
</f>
        <v>0</v>
      </c>
      <c r="N637" s="319">
        <f>IF(AND('Ações'!AT644="sim", 'Ações'!BF644="sim"), 1, 0)
</f>
        <v>0</v>
      </c>
      <c r="O637" s="319">
        <f>IF(AND('Ações'!AT644="sim", 'Ações'!BG644="sim"), 1, 0)
</f>
        <v>0</v>
      </c>
      <c r="P637" s="319">
        <f>IF(AND('Ações'!AT644="sim", 'Ações'!BH644="sim"), 1, 0)
</f>
        <v>0</v>
      </c>
      <c r="Q637" s="319">
        <f>IF(AND('Ações'!AT644="sim", 'Ações'!BI644="sim"), 1, 0)
</f>
        <v>0</v>
      </c>
      <c r="R637" s="319">
        <f>IF(AND('Ações'!AU644="sim", 'Ações'!BD644="sim"), 1, 0)
</f>
        <v>0</v>
      </c>
      <c r="S637" s="319">
        <f>IF(AND('Ações'!AU644="sim", 'Ações'!BE644="sim"), 1, 0)
</f>
        <v>0</v>
      </c>
      <c r="T637" s="319">
        <f>IF(AND('Ações'!AU644="sim", 'Ações'!BG644="sim"), 1, 0)
</f>
        <v>0</v>
      </c>
      <c r="U637" s="319">
        <f>IF(AND('Ações'!AU644="sim", 'Ações'!BH644="sim"), 1, 0)
</f>
        <v>0</v>
      </c>
      <c r="V637" s="319">
        <f>IF(AND('Ações'!AU644="sim", 'Ações'!BI644="sim"), 1, 0)
</f>
        <v>0</v>
      </c>
      <c r="W637" s="319">
        <f>IF(AND('Ações'!AV644="sim", 'Ações'!BD644="sim"), 1, 0)
</f>
        <v>0</v>
      </c>
      <c r="X637" s="319">
        <f>IF(AND('Ações'!AV644="sim", 'Ações'!BE644="sim"), 1, 0)
</f>
        <v>0</v>
      </c>
      <c r="Y637" s="319">
        <f>IF(AND('Ações'!AV644="sim", 'Ações'!BF644="sim"), 1, 0)
</f>
        <v>0</v>
      </c>
      <c r="Z637" s="319">
        <f>IF(AND('Ações'!AV644="sim", 'Ações'!BH644="sim"), 1, 0)
</f>
        <v>0</v>
      </c>
      <c r="AA637" s="319">
        <f>IF(AND('Ações'!AV644="sim", 'Ações'!BI644="sim"), 1, 0)
</f>
        <v>0</v>
      </c>
      <c r="AB637" s="319">
        <f>IF(AND('Ações'!AW644="sim", 'Ações'!BD644="sim"), 1, 0)
</f>
        <v>0</v>
      </c>
      <c r="AC637" s="319">
        <f>IF(AND('Ações'!AW644="sim", 'Ações'!BE644="sim"), 1, 0)
</f>
        <v>0</v>
      </c>
      <c r="AD637" s="319">
        <f>IF(AND('Ações'!AW644="sim", 'Ações'!BF644="sim"), 1, 0)
</f>
        <v>0</v>
      </c>
      <c r="AE637" s="319">
        <f>IF(AND('Ações'!AW644="sim", 'Ações'!BG644="sim"), 1, 0)
</f>
        <v>0</v>
      </c>
      <c r="AF637" s="319">
        <f>IF(AND('Ações'!AW644="sim", 'Ações'!BI644="sim"), 1, 0)
</f>
        <v>1</v>
      </c>
      <c r="AG637" s="319">
        <f>IF(AND('Ações'!AX644="sim", 'Ações'!BD644="sim"), 1, 0)
</f>
        <v>0</v>
      </c>
      <c r="AH637" s="319">
        <f>IF(AND('Ações'!AX644="sim", 'Ações'!BE644="sim"), 1, 0)
</f>
        <v>0</v>
      </c>
      <c r="AI637" s="319">
        <f>IF(AND('Ações'!AX644="sim", 'Ações'!BF644="sim"), 1, 0)
</f>
        <v>0</v>
      </c>
      <c r="AJ637" s="319">
        <f>IF(AND('Ações'!AX644="sim", 'Ações'!BG644="sim"), 1, 0)
</f>
        <v>0</v>
      </c>
      <c r="AK637" s="319">
        <f>IF(AND('Ações'!AX644="sim", 'Ações'!BH644="sim"), 1, 0)
</f>
        <v>0</v>
      </c>
    </row>
    <row r="638">
      <c r="B638" s="319">
        <f>IF(AND('Ações'!AS645="sim", 'Ações'!BD645="sim"), 1, 0)
</f>
        <v>0</v>
      </c>
      <c r="C638" s="319">
        <f>IF(AND('Ações'!AT645="sim", 'Ações'!BE645="sim"), 1, 0)
</f>
        <v>0</v>
      </c>
      <c r="D638" s="319">
        <f>IF(AND('Ações'!AU645="sim", 'Ações'!BF645="sim"), 1, 0)
</f>
        <v>0</v>
      </c>
      <c r="E638" s="319">
        <f>IF(AND('Ações'!AV645="sim", 'Ações'!BG645="sim"), 1, 0)
</f>
        <v>0</v>
      </c>
      <c r="F638" s="319">
        <f>IF(AND('Ações'!AW645="sim", 'Ações'!BH645="sim"), 1, 0)
</f>
        <v>0</v>
      </c>
      <c r="G638" s="319">
        <f>IF(AND('Ações'!AX645="sim", 'Ações'!BI645="sim"), 1, 0)
</f>
        <v>1</v>
      </c>
      <c r="H638" s="319">
        <f>IF(AND('Ações'!AS645="sim", 'Ações'!BE645="sim"), 1, 0)
</f>
        <v>0</v>
      </c>
      <c r="I638" s="319">
        <f>IF(AND('Ações'!AS645="sim", 'Ações'!BF645="sim"), 1, 0)
</f>
        <v>0</v>
      </c>
      <c r="J638" s="319">
        <f>IF(AND('Ações'!AS645="sim", 'Ações'!BG645="sim"), 1, 0)
</f>
        <v>0</v>
      </c>
      <c r="K638" s="319">
        <f>IF(AND('Ações'!AS645="sim", 'Ações'!BH645="sim"), 1, 0)
</f>
        <v>0</v>
      </c>
      <c r="L638" s="319">
        <f>IF(AND('Ações'!AS645="sim", 'Ações'!BI645="sim"), 1, 0)
</f>
        <v>0</v>
      </c>
      <c r="M638" s="319">
        <f>IF(AND('Ações'!AT645="sim", 'Ações'!BD645="sim"), 1, 0)
</f>
        <v>0</v>
      </c>
      <c r="N638" s="319">
        <f>IF(AND('Ações'!AT645="sim", 'Ações'!BF645="sim"), 1, 0)
</f>
        <v>0</v>
      </c>
      <c r="O638" s="319">
        <f>IF(AND('Ações'!AT645="sim", 'Ações'!BG645="sim"), 1, 0)
</f>
        <v>0</v>
      </c>
      <c r="P638" s="319">
        <f>IF(AND('Ações'!AT645="sim", 'Ações'!BH645="sim"), 1, 0)
</f>
        <v>0</v>
      </c>
      <c r="Q638" s="319">
        <f>IF(AND('Ações'!AT645="sim", 'Ações'!BI645="sim"), 1, 0)
</f>
        <v>0</v>
      </c>
      <c r="R638" s="319">
        <f>IF(AND('Ações'!AU645="sim", 'Ações'!BD645="sim"), 1, 0)
</f>
        <v>0</v>
      </c>
      <c r="S638" s="319">
        <f>IF(AND('Ações'!AU645="sim", 'Ações'!BE645="sim"), 1, 0)
</f>
        <v>0</v>
      </c>
      <c r="T638" s="319">
        <f>IF(AND('Ações'!AU645="sim", 'Ações'!BG645="sim"), 1, 0)
</f>
        <v>0</v>
      </c>
      <c r="U638" s="319">
        <f>IF(AND('Ações'!AU645="sim", 'Ações'!BH645="sim"), 1, 0)
</f>
        <v>0</v>
      </c>
      <c r="V638" s="319">
        <f>IF(AND('Ações'!AU645="sim", 'Ações'!BI645="sim"), 1, 0)
</f>
        <v>0</v>
      </c>
      <c r="W638" s="319">
        <f>IF(AND('Ações'!AV645="sim", 'Ações'!BD645="sim"), 1, 0)
</f>
        <v>0</v>
      </c>
      <c r="X638" s="319">
        <f>IF(AND('Ações'!AV645="sim", 'Ações'!BE645="sim"), 1, 0)
</f>
        <v>0</v>
      </c>
      <c r="Y638" s="319">
        <f>IF(AND('Ações'!AV645="sim", 'Ações'!BF645="sim"), 1, 0)
</f>
        <v>0</v>
      </c>
      <c r="Z638" s="319">
        <f>IF(AND('Ações'!AV645="sim", 'Ações'!BH645="sim"), 1, 0)
</f>
        <v>0</v>
      </c>
      <c r="AA638" s="319">
        <f>IF(AND('Ações'!AV645="sim", 'Ações'!BI645="sim"), 1, 0)
</f>
        <v>0</v>
      </c>
      <c r="AB638" s="319">
        <f>IF(AND('Ações'!AW645="sim", 'Ações'!BD645="sim"), 1, 0)
</f>
        <v>0</v>
      </c>
      <c r="AC638" s="319">
        <f>IF(AND('Ações'!AW645="sim", 'Ações'!BE645="sim"), 1, 0)
</f>
        <v>0</v>
      </c>
      <c r="AD638" s="319">
        <f>IF(AND('Ações'!AW645="sim", 'Ações'!BF645="sim"), 1, 0)
</f>
        <v>0</v>
      </c>
      <c r="AE638" s="319">
        <f>IF(AND('Ações'!AW645="sim", 'Ações'!BG645="sim"), 1, 0)
</f>
        <v>0</v>
      </c>
      <c r="AF638" s="319">
        <f>IF(AND('Ações'!AW645="sim", 'Ações'!BI645="sim"), 1, 0)
</f>
        <v>1</v>
      </c>
      <c r="AG638" s="319">
        <f>IF(AND('Ações'!AX645="sim", 'Ações'!BD645="sim"), 1, 0)
</f>
        <v>0</v>
      </c>
      <c r="AH638" s="319">
        <f>IF(AND('Ações'!AX645="sim", 'Ações'!BE645="sim"), 1, 0)
</f>
        <v>0</v>
      </c>
      <c r="AI638" s="319">
        <f>IF(AND('Ações'!AX645="sim", 'Ações'!BF645="sim"), 1, 0)
</f>
        <v>0</v>
      </c>
      <c r="AJ638" s="319">
        <f>IF(AND('Ações'!AX645="sim", 'Ações'!BG645="sim"), 1, 0)
</f>
        <v>0</v>
      </c>
      <c r="AK638" s="319">
        <f>IF(AND('Ações'!AX645="sim", 'Ações'!BH645="sim"), 1, 0)
</f>
        <v>0</v>
      </c>
    </row>
    <row r="639">
      <c r="B639" s="319">
        <f>IF(AND('Ações'!AS646="sim", 'Ações'!BD646="sim"), 1, 0)
</f>
        <v>0</v>
      </c>
      <c r="C639" s="319">
        <f>IF(AND('Ações'!AT646="sim", 'Ações'!BE646="sim"), 1, 0)
</f>
        <v>0</v>
      </c>
      <c r="D639" s="319">
        <f>IF(AND('Ações'!AU646="sim", 'Ações'!BF646="sim"), 1, 0)
</f>
        <v>0</v>
      </c>
      <c r="E639" s="319">
        <f>IF(AND('Ações'!AV646="sim", 'Ações'!BG646="sim"), 1, 0)
</f>
        <v>0</v>
      </c>
      <c r="F639" s="319">
        <f>IF(AND('Ações'!AW646="sim", 'Ações'!BH646="sim"), 1, 0)
</f>
        <v>0</v>
      </c>
      <c r="G639" s="319">
        <f>IF(AND('Ações'!AX646="sim", 'Ações'!BI646="sim"), 1, 0)
</f>
        <v>1</v>
      </c>
      <c r="H639" s="319">
        <f>IF(AND('Ações'!AS646="sim", 'Ações'!BE646="sim"), 1, 0)
</f>
        <v>0</v>
      </c>
      <c r="I639" s="319">
        <f>IF(AND('Ações'!AS646="sim", 'Ações'!BF646="sim"), 1, 0)
</f>
        <v>0</v>
      </c>
      <c r="J639" s="319">
        <f>IF(AND('Ações'!AS646="sim", 'Ações'!BG646="sim"), 1, 0)
</f>
        <v>0</v>
      </c>
      <c r="K639" s="319">
        <f>IF(AND('Ações'!AS646="sim", 'Ações'!BH646="sim"), 1, 0)
</f>
        <v>0</v>
      </c>
      <c r="L639" s="319">
        <f>IF(AND('Ações'!AS646="sim", 'Ações'!BI646="sim"), 1, 0)
</f>
        <v>0</v>
      </c>
      <c r="M639" s="319">
        <f>IF(AND('Ações'!AT646="sim", 'Ações'!BD646="sim"), 1, 0)
</f>
        <v>0</v>
      </c>
      <c r="N639" s="319">
        <f>IF(AND('Ações'!AT646="sim", 'Ações'!BF646="sim"), 1, 0)
</f>
        <v>0</v>
      </c>
      <c r="O639" s="319">
        <f>IF(AND('Ações'!AT646="sim", 'Ações'!BG646="sim"), 1, 0)
</f>
        <v>0</v>
      </c>
      <c r="P639" s="319">
        <f>IF(AND('Ações'!AT646="sim", 'Ações'!BH646="sim"), 1, 0)
</f>
        <v>0</v>
      </c>
      <c r="Q639" s="319">
        <f>IF(AND('Ações'!AT646="sim", 'Ações'!BI646="sim"), 1, 0)
</f>
        <v>0</v>
      </c>
      <c r="R639" s="319">
        <f>IF(AND('Ações'!AU646="sim", 'Ações'!BD646="sim"), 1, 0)
</f>
        <v>0</v>
      </c>
      <c r="S639" s="319">
        <f>IF(AND('Ações'!AU646="sim", 'Ações'!BE646="sim"), 1, 0)
</f>
        <v>0</v>
      </c>
      <c r="T639" s="319">
        <f>IF(AND('Ações'!AU646="sim", 'Ações'!BG646="sim"), 1, 0)
</f>
        <v>0</v>
      </c>
      <c r="U639" s="319">
        <f>IF(AND('Ações'!AU646="sim", 'Ações'!BH646="sim"), 1, 0)
</f>
        <v>0</v>
      </c>
      <c r="V639" s="319">
        <f>IF(AND('Ações'!AU646="sim", 'Ações'!BI646="sim"), 1, 0)
</f>
        <v>0</v>
      </c>
      <c r="W639" s="319">
        <f>IF(AND('Ações'!AV646="sim", 'Ações'!BD646="sim"), 1, 0)
</f>
        <v>0</v>
      </c>
      <c r="X639" s="319">
        <f>IF(AND('Ações'!AV646="sim", 'Ações'!BE646="sim"), 1, 0)
</f>
        <v>0</v>
      </c>
      <c r="Y639" s="319">
        <f>IF(AND('Ações'!AV646="sim", 'Ações'!BF646="sim"), 1, 0)
</f>
        <v>0</v>
      </c>
      <c r="Z639" s="319">
        <f>IF(AND('Ações'!AV646="sim", 'Ações'!BH646="sim"), 1, 0)
</f>
        <v>0</v>
      </c>
      <c r="AA639" s="319">
        <f>IF(AND('Ações'!AV646="sim", 'Ações'!BI646="sim"), 1, 0)
</f>
        <v>0</v>
      </c>
      <c r="AB639" s="319">
        <f>IF(AND('Ações'!AW646="sim", 'Ações'!BD646="sim"), 1, 0)
</f>
        <v>0</v>
      </c>
      <c r="AC639" s="319">
        <f>IF(AND('Ações'!AW646="sim", 'Ações'!BE646="sim"), 1, 0)
</f>
        <v>0</v>
      </c>
      <c r="AD639" s="319">
        <f>IF(AND('Ações'!AW646="sim", 'Ações'!BF646="sim"), 1, 0)
</f>
        <v>0</v>
      </c>
      <c r="AE639" s="319">
        <f>IF(AND('Ações'!AW646="sim", 'Ações'!BG646="sim"), 1, 0)
</f>
        <v>0</v>
      </c>
      <c r="AF639" s="319">
        <f>IF(AND('Ações'!AW646="sim", 'Ações'!BI646="sim"), 1, 0)
</f>
        <v>1</v>
      </c>
      <c r="AG639" s="319">
        <f>IF(AND('Ações'!AX646="sim", 'Ações'!BD646="sim"), 1, 0)
</f>
        <v>0</v>
      </c>
      <c r="AH639" s="319">
        <f>IF(AND('Ações'!AX646="sim", 'Ações'!BE646="sim"), 1, 0)
</f>
        <v>0</v>
      </c>
      <c r="AI639" s="319">
        <f>IF(AND('Ações'!AX646="sim", 'Ações'!BF646="sim"), 1, 0)
</f>
        <v>0</v>
      </c>
      <c r="AJ639" s="319">
        <f>IF(AND('Ações'!AX646="sim", 'Ações'!BG646="sim"), 1, 0)
</f>
        <v>0</v>
      </c>
      <c r="AK639" s="319">
        <f>IF(AND('Ações'!AX646="sim", 'Ações'!BH646="sim"), 1, 0)
</f>
        <v>0</v>
      </c>
    </row>
    <row r="640">
      <c r="B640" s="319">
        <f>IF(AND('Ações'!AS647="sim", 'Ações'!BD647="sim"), 1, 0)
</f>
        <v>0</v>
      </c>
      <c r="C640" s="319">
        <f>IF(AND('Ações'!AT647="sim", 'Ações'!BE647="sim"), 1, 0)
</f>
        <v>0</v>
      </c>
      <c r="D640" s="319">
        <f>IF(AND('Ações'!AU647="sim", 'Ações'!BF647="sim"), 1, 0)
</f>
        <v>0</v>
      </c>
      <c r="E640" s="319">
        <f>IF(AND('Ações'!AV647="sim", 'Ações'!BG647="sim"), 1, 0)
</f>
        <v>0</v>
      </c>
      <c r="F640" s="319">
        <f>IF(AND('Ações'!AW647="sim", 'Ações'!BH647="sim"), 1, 0)
</f>
        <v>0</v>
      </c>
      <c r="G640" s="319">
        <f>IF(AND('Ações'!AX647="sim", 'Ações'!BI647="sim"), 1, 0)
</f>
        <v>1</v>
      </c>
      <c r="H640" s="319">
        <f>IF(AND('Ações'!AS647="sim", 'Ações'!BE647="sim"), 1, 0)
</f>
        <v>0</v>
      </c>
      <c r="I640" s="319">
        <f>IF(AND('Ações'!AS647="sim", 'Ações'!BF647="sim"), 1, 0)
</f>
        <v>0</v>
      </c>
      <c r="J640" s="319">
        <f>IF(AND('Ações'!AS647="sim", 'Ações'!BG647="sim"), 1, 0)
</f>
        <v>0</v>
      </c>
      <c r="K640" s="319">
        <f>IF(AND('Ações'!AS647="sim", 'Ações'!BH647="sim"), 1, 0)
</f>
        <v>0</v>
      </c>
      <c r="L640" s="319">
        <f>IF(AND('Ações'!AS647="sim", 'Ações'!BI647="sim"), 1, 0)
</f>
        <v>0</v>
      </c>
      <c r="M640" s="319">
        <f>IF(AND('Ações'!AT647="sim", 'Ações'!BD647="sim"), 1, 0)
</f>
        <v>0</v>
      </c>
      <c r="N640" s="319">
        <f>IF(AND('Ações'!AT647="sim", 'Ações'!BF647="sim"), 1, 0)
</f>
        <v>0</v>
      </c>
      <c r="O640" s="319">
        <f>IF(AND('Ações'!AT647="sim", 'Ações'!BG647="sim"), 1, 0)
</f>
        <v>0</v>
      </c>
      <c r="P640" s="319">
        <f>IF(AND('Ações'!AT647="sim", 'Ações'!BH647="sim"), 1, 0)
</f>
        <v>0</v>
      </c>
      <c r="Q640" s="319">
        <f>IF(AND('Ações'!AT647="sim", 'Ações'!BI647="sim"), 1, 0)
</f>
        <v>0</v>
      </c>
      <c r="R640" s="319">
        <f>IF(AND('Ações'!AU647="sim", 'Ações'!BD647="sim"), 1, 0)
</f>
        <v>0</v>
      </c>
      <c r="S640" s="319">
        <f>IF(AND('Ações'!AU647="sim", 'Ações'!BE647="sim"), 1, 0)
</f>
        <v>0</v>
      </c>
      <c r="T640" s="319">
        <f>IF(AND('Ações'!AU647="sim", 'Ações'!BG647="sim"), 1, 0)
</f>
        <v>0</v>
      </c>
      <c r="U640" s="319">
        <f>IF(AND('Ações'!AU647="sim", 'Ações'!BH647="sim"), 1, 0)
</f>
        <v>0</v>
      </c>
      <c r="V640" s="319">
        <f>IF(AND('Ações'!AU647="sim", 'Ações'!BI647="sim"), 1, 0)
</f>
        <v>0</v>
      </c>
      <c r="W640" s="319">
        <f>IF(AND('Ações'!AV647="sim", 'Ações'!BD647="sim"), 1, 0)
</f>
        <v>0</v>
      </c>
      <c r="X640" s="319">
        <f>IF(AND('Ações'!AV647="sim", 'Ações'!BE647="sim"), 1, 0)
</f>
        <v>0</v>
      </c>
      <c r="Y640" s="319">
        <f>IF(AND('Ações'!AV647="sim", 'Ações'!BF647="sim"), 1, 0)
</f>
        <v>0</v>
      </c>
      <c r="Z640" s="319">
        <f>IF(AND('Ações'!AV647="sim", 'Ações'!BH647="sim"), 1, 0)
</f>
        <v>0</v>
      </c>
      <c r="AA640" s="319">
        <f>IF(AND('Ações'!AV647="sim", 'Ações'!BI647="sim"), 1, 0)
</f>
        <v>0</v>
      </c>
      <c r="AB640" s="319">
        <f>IF(AND('Ações'!AW647="sim", 'Ações'!BD647="sim"), 1, 0)
</f>
        <v>0</v>
      </c>
      <c r="AC640" s="319">
        <f>IF(AND('Ações'!AW647="sim", 'Ações'!BE647="sim"), 1, 0)
</f>
        <v>0</v>
      </c>
      <c r="AD640" s="319">
        <f>IF(AND('Ações'!AW647="sim", 'Ações'!BF647="sim"), 1, 0)
</f>
        <v>0</v>
      </c>
      <c r="AE640" s="319">
        <f>IF(AND('Ações'!AW647="sim", 'Ações'!BG647="sim"), 1, 0)
</f>
        <v>0</v>
      </c>
      <c r="AF640" s="319">
        <f>IF(AND('Ações'!AW647="sim", 'Ações'!BI647="sim"), 1, 0)
</f>
        <v>1</v>
      </c>
      <c r="AG640" s="319">
        <f>IF(AND('Ações'!AX647="sim", 'Ações'!BD647="sim"), 1, 0)
</f>
        <v>0</v>
      </c>
      <c r="AH640" s="319">
        <f>IF(AND('Ações'!AX647="sim", 'Ações'!BE647="sim"), 1, 0)
</f>
        <v>0</v>
      </c>
      <c r="AI640" s="319">
        <f>IF(AND('Ações'!AX647="sim", 'Ações'!BF647="sim"), 1, 0)
</f>
        <v>0</v>
      </c>
      <c r="AJ640" s="319">
        <f>IF(AND('Ações'!AX647="sim", 'Ações'!BG647="sim"), 1, 0)
</f>
        <v>0</v>
      </c>
      <c r="AK640" s="319">
        <f>IF(AND('Ações'!AX647="sim", 'Ações'!BH647="sim"), 1, 0)
</f>
        <v>0</v>
      </c>
    </row>
    <row r="641">
      <c r="B641" s="319">
        <f>IF(AND('Ações'!AS648="sim", 'Ações'!BD648="sim"), 1, 0)
</f>
        <v>0</v>
      </c>
      <c r="C641" s="319">
        <f>IF(AND('Ações'!AT648="sim", 'Ações'!BE648="sim"), 1, 0)
</f>
        <v>0</v>
      </c>
      <c r="D641" s="319">
        <f>IF(AND('Ações'!AU648="sim", 'Ações'!BF648="sim"), 1, 0)
</f>
        <v>0</v>
      </c>
      <c r="E641" s="319">
        <f>IF(AND('Ações'!AV648="sim", 'Ações'!BG648="sim"), 1, 0)
</f>
        <v>0</v>
      </c>
      <c r="F641" s="319">
        <f>IF(AND('Ações'!AW648="sim", 'Ações'!BH648="sim"), 1, 0)
</f>
        <v>0</v>
      </c>
      <c r="G641" s="319">
        <f>IF(AND('Ações'!AX648="sim", 'Ações'!BI648="sim"), 1, 0)
</f>
        <v>1</v>
      </c>
      <c r="H641" s="319">
        <f>IF(AND('Ações'!AS648="sim", 'Ações'!BE648="sim"), 1, 0)
</f>
        <v>0</v>
      </c>
      <c r="I641" s="319">
        <f>IF(AND('Ações'!AS648="sim", 'Ações'!BF648="sim"), 1, 0)
</f>
        <v>0</v>
      </c>
      <c r="J641" s="319">
        <f>IF(AND('Ações'!AS648="sim", 'Ações'!BG648="sim"), 1, 0)
</f>
        <v>0</v>
      </c>
      <c r="K641" s="319">
        <f>IF(AND('Ações'!AS648="sim", 'Ações'!BH648="sim"), 1, 0)
</f>
        <v>0</v>
      </c>
      <c r="L641" s="319">
        <f>IF(AND('Ações'!AS648="sim", 'Ações'!BI648="sim"), 1, 0)
</f>
        <v>0</v>
      </c>
      <c r="M641" s="319">
        <f>IF(AND('Ações'!AT648="sim", 'Ações'!BD648="sim"), 1, 0)
</f>
        <v>0</v>
      </c>
      <c r="N641" s="319">
        <f>IF(AND('Ações'!AT648="sim", 'Ações'!BF648="sim"), 1, 0)
</f>
        <v>0</v>
      </c>
      <c r="O641" s="319">
        <f>IF(AND('Ações'!AT648="sim", 'Ações'!BG648="sim"), 1, 0)
</f>
        <v>0</v>
      </c>
      <c r="P641" s="319">
        <f>IF(AND('Ações'!AT648="sim", 'Ações'!BH648="sim"), 1, 0)
</f>
        <v>0</v>
      </c>
      <c r="Q641" s="319">
        <f>IF(AND('Ações'!AT648="sim", 'Ações'!BI648="sim"), 1, 0)
</f>
        <v>0</v>
      </c>
      <c r="R641" s="319">
        <f>IF(AND('Ações'!AU648="sim", 'Ações'!BD648="sim"), 1, 0)
</f>
        <v>0</v>
      </c>
      <c r="S641" s="319">
        <f>IF(AND('Ações'!AU648="sim", 'Ações'!BE648="sim"), 1, 0)
</f>
        <v>0</v>
      </c>
      <c r="T641" s="319">
        <f>IF(AND('Ações'!AU648="sim", 'Ações'!BG648="sim"), 1, 0)
</f>
        <v>0</v>
      </c>
      <c r="U641" s="319">
        <f>IF(AND('Ações'!AU648="sim", 'Ações'!BH648="sim"), 1, 0)
</f>
        <v>0</v>
      </c>
      <c r="V641" s="319">
        <f>IF(AND('Ações'!AU648="sim", 'Ações'!BI648="sim"), 1, 0)
</f>
        <v>0</v>
      </c>
      <c r="W641" s="319">
        <f>IF(AND('Ações'!AV648="sim", 'Ações'!BD648="sim"), 1, 0)
</f>
        <v>0</v>
      </c>
      <c r="X641" s="319">
        <f>IF(AND('Ações'!AV648="sim", 'Ações'!BE648="sim"), 1, 0)
</f>
        <v>0</v>
      </c>
      <c r="Y641" s="319">
        <f>IF(AND('Ações'!AV648="sim", 'Ações'!BF648="sim"), 1, 0)
</f>
        <v>0</v>
      </c>
      <c r="Z641" s="319">
        <f>IF(AND('Ações'!AV648="sim", 'Ações'!BH648="sim"), 1, 0)
</f>
        <v>0</v>
      </c>
      <c r="AA641" s="319">
        <f>IF(AND('Ações'!AV648="sim", 'Ações'!BI648="sim"), 1, 0)
</f>
        <v>0</v>
      </c>
      <c r="AB641" s="319">
        <f>IF(AND('Ações'!AW648="sim", 'Ações'!BD648="sim"), 1, 0)
</f>
        <v>0</v>
      </c>
      <c r="AC641" s="319">
        <f>IF(AND('Ações'!AW648="sim", 'Ações'!BE648="sim"), 1, 0)
</f>
        <v>0</v>
      </c>
      <c r="AD641" s="319">
        <f>IF(AND('Ações'!AW648="sim", 'Ações'!BF648="sim"), 1, 0)
</f>
        <v>0</v>
      </c>
      <c r="AE641" s="319">
        <f>IF(AND('Ações'!AW648="sim", 'Ações'!BG648="sim"), 1, 0)
</f>
        <v>0</v>
      </c>
      <c r="AF641" s="319">
        <f>IF(AND('Ações'!AW648="sim", 'Ações'!BI648="sim"), 1, 0)
</f>
        <v>1</v>
      </c>
      <c r="AG641" s="319">
        <f>IF(AND('Ações'!AX648="sim", 'Ações'!BD648="sim"), 1, 0)
</f>
        <v>0</v>
      </c>
      <c r="AH641" s="319">
        <f>IF(AND('Ações'!AX648="sim", 'Ações'!BE648="sim"), 1, 0)
</f>
        <v>0</v>
      </c>
      <c r="AI641" s="319">
        <f>IF(AND('Ações'!AX648="sim", 'Ações'!BF648="sim"), 1, 0)
</f>
        <v>0</v>
      </c>
      <c r="AJ641" s="319">
        <f>IF(AND('Ações'!AX648="sim", 'Ações'!BG648="sim"), 1, 0)
</f>
        <v>0</v>
      </c>
      <c r="AK641" s="319">
        <f>IF(AND('Ações'!AX648="sim", 'Ações'!BH648="sim"), 1, 0)
</f>
        <v>0</v>
      </c>
    </row>
    <row r="642">
      <c r="B642" s="319">
        <f>IF(AND('Ações'!AS649="sim", 'Ações'!BD649="sim"), 1, 0)
</f>
        <v>0</v>
      </c>
      <c r="C642" s="319">
        <f>IF(AND('Ações'!AT649="sim", 'Ações'!BE649="sim"), 1, 0)
</f>
        <v>0</v>
      </c>
      <c r="D642" s="319">
        <f>IF(AND('Ações'!AU649="sim", 'Ações'!BF649="sim"), 1, 0)
</f>
        <v>0</v>
      </c>
      <c r="E642" s="319">
        <f>IF(AND('Ações'!AV649="sim", 'Ações'!BG649="sim"), 1, 0)
</f>
        <v>0</v>
      </c>
      <c r="F642" s="319">
        <f>IF(AND('Ações'!AW649="sim", 'Ações'!BH649="sim"), 1, 0)
</f>
        <v>0</v>
      </c>
      <c r="G642" s="319">
        <f>IF(AND('Ações'!AX649="sim", 'Ações'!BI649="sim"), 1, 0)
</f>
        <v>1</v>
      </c>
      <c r="H642" s="319">
        <f>IF(AND('Ações'!AS649="sim", 'Ações'!BE649="sim"), 1, 0)
</f>
        <v>0</v>
      </c>
      <c r="I642" s="319">
        <f>IF(AND('Ações'!AS649="sim", 'Ações'!BF649="sim"), 1, 0)
</f>
        <v>0</v>
      </c>
      <c r="J642" s="319">
        <f>IF(AND('Ações'!AS649="sim", 'Ações'!BG649="sim"), 1, 0)
</f>
        <v>0</v>
      </c>
      <c r="K642" s="319">
        <f>IF(AND('Ações'!AS649="sim", 'Ações'!BH649="sim"), 1, 0)
</f>
        <v>0</v>
      </c>
      <c r="L642" s="319">
        <f>IF(AND('Ações'!AS649="sim", 'Ações'!BI649="sim"), 1, 0)
</f>
        <v>0</v>
      </c>
      <c r="M642" s="319">
        <f>IF(AND('Ações'!AT649="sim", 'Ações'!BD649="sim"), 1, 0)
</f>
        <v>0</v>
      </c>
      <c r="N642" s="319">
        <f>IF(AND('Ações'!AT649="sim", 'Ações'!BF649="sim"), 1, 0)
</f>
        <v>0</v>
      </c>
      <c r="O642" s="319">
        <f>IF(AND('Ações'!AT649="sim", 'Ações'!BG649="sim"), 1, 0)
</f>
        <v>0</v>
      </c>
      <c r="P642" s="319">
        <f>IF(AND('Ações'!AT649="sim", 'Ações'!BH649="sim"), 1, 0)
</f>
        <v>0</v>
      </c>
      <c r="Q642" s="319">
        <f>IF(AND('Ações'!AT649="sim", 'Ações'!BI649="sim"), 1, 0)
</f>
        <v>0</v>
      </c>
      <c r="R642" s="319">
        <f>IF(AND('Ações'!AU649="sim", 'Ações'!BD649="sim"), 1, 0)
</f>
        <v>0</v>
      </c>
      <c r="S642" s="319">
        <f>IF(AND('Ações'!AU649="sim", 'Ações'!BE649="sim"), 1, 0)
</f>
        <v>0</v>
      </c>
      <c r="T642" s="319">
        <f>IF(AND('Ações'!AU649="sim", 'Ações'!BG649="sim"), 1, 0)
</f>
        <v>0</v>
      </c>
      <c r="U642" s="319">
        <f>IF(AND('Ações'!AU649="sim", 'Ações'!BH649="sim"), 1, 0)
</f>
        <v>0</v>
      </c>
      <c r="V642" s="319">
        <f>IF(AND('Ações'!AU649="sim", 'Ações'!BI649="sim"), 1, 0)
</f>
        <v>0</v>
      </c>
      <c r="W642" s="319">
        <f>IF(AND('Ações'!AV649="sim", 'Ações'!BD649="sim"), 1, 0)
</f>
        <v>0</v>
      </c>
      <c r="X642" s="319">
        <f>IF(AND('Ações'!AV649="sim", 'Ações'!BE649="sim"), 1, 0)
</f>
        <v>0</v>
      </c>
      <c r="Y642" s="319">
        <f>IF(AND('Ações'!AV649="sim", 'Ações'!BF649="sim"), 1, 0)
</f>
        <v>0</v>
      </c>
      <c r="Z642" s="319">
        <f>IF(AND('Ações'!AV649="sim", 'Ações'!BH649="sim"), 1, 0)
</f>
        <v>0</v>
      </c>
      <c r="AA642" s="319">
        <f>IF(AND('Ações'!AV649="sim", 'Ações'!BI649="sim"), 1, 0)
</f>
        <v>0</v>
      </c>
      <c r="AB642" s="319">
        <f>IF(AND('Ações'!AW649="sim", 'Ações'!BD649="sim"), 1, 0)
</f>
        <v>0</v>
      </c>
      <c r="AC642" s="319">
        <f>IF(AND('Ações'!AW649="sim", 'Ações'!BE649="sim"), 1, 0)
</f>
        <v>0</v>
      </c>
      <c r="AD642" s="319">
        <f>IF(AND('Ações'!AW649="sim", 'Ações'!BF649="sim"), 1, 0)
</f>
        <v>0</v>
      </c>
      <c r="AE642" s="319">
        <f>IF(AND('Ações'!AW649="sim", 'Ações'!BG649="sim"), 1, 0)
</f>
        <v>0</v>
      </c>
      <c r="AF642" s="319">
        <f>IF(AND('Ações'!AW649="sim", 'Ações'!BI649="sim"), 1, 0)
</f>
        <v>1</v>
      </c>
      <c r="AG642" s="319">
        <f>IF(AND('Ações'!AX649="sim", 'Ações'!BD649="sim"), 1, 0)
</f>
        <v>0</v>
      </c>
      <c r="AH642" s="319">
        <f>IF(AND('Ações'!AX649="sim", 'Ações'!BE649="sim"), 1, 0)
</f>
        <v>0</v>
      </c>
      <c r="AI642" s="319">
        <f>IF(AND('Ações'!AX649="sim", 'Ações'!BF649="sim"), 1, 0)
</f>
        <v>0</v>
      </c>
      <c r="AJ642" s="319">
        <f>IF(AND('Ações'!AX649="sim", 'Ações'!BG649="sim"), 1, 0)
</f>
        <v>0</v>
      </c>
      <c r="AK642" s="319">
        <f>IF(AND('Ações'!AX649="sim", 'Ações'!BH649="sim"), 1, 0)
</f>
        <v>0</v>
      </c>
    </row>
    <row r="643">
      <c r="B643" s="319">
        <f>IF(AND('Ações'!AS650="sim", 'Ações'!BD650="sim"), 1, 0)
</f>
        <v>0</v>
      </c>
      <c r="C643" s="319">
        <f>IF(AND('Ações'!AT650="sim", 'Ações'!BE650="sim"), 1, 0)
</f>
        <v>0</v>
      </c>
      <c r="D643" s="319">
        <f>IF(AND('Ações'!AU650="sim", 'Ações'!BF650="sim"), 1, 0)
</f>
        <v>0</v>
      </c>
      <c r="E643" s="319">
        <f>IF(AND('Ações'!AV650="sim", 'Ações'!BG650="sim"), 1, 0)
</f>
        <v>0</v>
      </c>
      <c r="F643" s="319">
        <f>IF(AND('Ações'!AW650="sim", 'Ações'!BH650="sim"), 1, 0)
</f>
        <v>0</v>
      </c>
      <c r="G643" s="319">
        <f>IF(AND('Ações'!AX650="sim", 'Ações'!BI650="sim"), 1, 0)
</f>
        <v>1</v>
      </c>
      <c r="H643" s="319">
        <f>IF(AND('Ações'!AS650="sim", 'Ações'!BE650="sim"), 1, 0)
</f>
        <v>0</v>
      </c>
      <c r="I643" s="319">
        <f>IF(AND('Ações'!AS650="sim", 'Ações'!BF650="sim"), 1, 0)
</f>
        <v>0</v>
      </c>
      <c r="J643" s="319">
        <f>IF(AND('Ações'!AS650="sim", 'Ações'!BG650="sim"), 1, 0)
</f>
        <v>0</v>
      </c>
      <c r="K643" s="319">
        <f>IF(AND('Ações'!AS650="sim", 'Ações'!BH650="sim"), 1, 0)
</f>
        <v>0</v>
      </c>
      <c r="L643" s="319">
        <f>IF(AND('Ações'!AS650="sim", 'Ações'!BI650="sim"), 1, 0)
</f>
        <v>0</v>
      </c>
      <c r="M643" s="319">
        <f>IF(AND('Ações'!AT650="sim", 'Ações'!BD650="sim"), 1, 0)
</f>
        <v>0</v>
      </c>
      <c r="N643" s="319">
        <f>IF(AND('Ações'!AT650="sim", 'Ações'!BF650="sim"), 1, 0)
</f>
        <v>0</v>
      </c>
      <c r="O643" s="319">
        <f>IF(AND('Ações'!AT650="sim", 'Ações'!BG650="sim"), 1, 0)
</f>
        <v>0</v>
      </c>
      <c r="P643" s="319">
        <f>IF(AND('Ações'!AT650="sim", 'Ações'!BH650="sim"), 1, 0)
</f>
        <v>0</v>
      </c>
      <c r="Q643" s="319">
        <f>IF(AND('Ações'!AT650="sim", 'Ações'!BI650="sim"), 1, 0)
</f>
        <v>1</v>
      </c>
      <c r="R643" s="319">
        <f>IF(AND('Ações'!AU650="sim", 'Ações'!BD650="sim"), 1, 0)
</f>
        <v>0</v>
      </c>
      <c r="S643" s="319">
        <f>IF(AND('Ações'!AU650="sim", 'Ações'!BE650="sim"), 1, 0)
</f>
        <v>0</v>
      </c>
      <c r="T643" s="319">
        <f>IF(AND('Ações'!AU650="sim", 'Ações'!BG650="sim"), 1, 0)
</f>
        <v>0</v>
      </c>
      <c r="U643" s="319">
        <f>IF(AND('Ações'!AU650="sim", 'Ações'!BH650="sim"), 1, 0)
</f>
        <v>0</v>
      </c>
      <c r="V643" s="319">
        <f>IF(AND('Ações'!AU650="sim", 'Ações'!BI650="sim"), 1, 0)
</f>
        <v>1</v>
      </c>
      <c r="W643" s="319">
        <f>IF(AND('Ações'!AV650="sim", 'Ações'!BD650="sim"), 1, 0)
</f>
        <v>0</v>
      </c>
      <c r="X643" s="319">
        <f>IF(AND('Ações'!AV650="sim", 'Ações'!BE650="sim"), 1, 0)
</f>
        <v>0</v>
      </c>
      <c r="Y643" s="319">
        <f>IF(AND('Ações'!AV650="sim", 'Ações'!BF650="sim"), 1, 0)
</f>
        <v>0</v>
      </c>
      <c r="Z643" s="319">
        <f>IF(AND('Ações'!AV650="sim", 'Ações'!BH650="sim"), 1, 0)
</f>
        <v>0</v>
      </c>
      <c r="AA643" s="319">
        <f>IF(AND('Ações'!AV650="sim", 'Ações'!BI650="sim"), 1, 0)
</f>
        <v>1</v>
      </c>
      <c r="AB643" s="319">
        <f>IF(AND('Ações'!AW650="sim", 'Ações'!BD650="sim"), 1, 0)
</f>
        <v>0</v>
      </c>
      <c r="AC643" s="319">
        <f>IF(AND('Ações'!AW650="sim", 'Ações'!BE650="sim"), 1, 0)
</f>
        <v>0</v>
      </c>
      <c r="AD643" s="319">
        <f>IF(AND('Ações'!AW650="sim", 'Ações'!BF650="sim"), 1, 0)
</f>
        <v>0</v>
      </c>
      <c r="AE643" s="319">
        <f>IF(AND('Ações'!AW650="sim", 'Ações'!BG650="sim"), 1, 0)
</f>
        <v>0</v>
      </c>
      <c r="AF643" s="319">
        <f>IF(AND('Ações'!AW650="sim", 'Ações'!BI650="sim"), 1, 0)
</f>
        <v>1</v>
      </c>
      <c r="AG643" s="319">
        <f>IF(AND('Ações'!AX650="sim", 'Ações'!BD650="sim"), 1, 0)
</f>
        <v>0</v>
      </c>
      <c r="AH643" s="319">
        <f>IF(AND('Ações'!AX650="sim", 'Ações'!BE650="sim"), 1, 0)
</f>
        <v>0</v>
      </c>
      <c r="AI643" s="319">
        <f>IF(AND('Ações'!AX650="sim", 'Ações'!BF650="sim"), 1, 0)
</f>
        <v>0</v>
      </c>
      <c r="AJ643" s="319">
        <f>IF(AND('Ações'!AX650="sim", 'Ações'!BG650="sim"), 1, 0)
</f>
        <v>0</v>
      </c>
      <c r="AK643" s="319">
        <f>IF(AND('Ações'!AX650="sim", 'Ações'!BH650="sim"), 1, 0)
</f>
        <v>0</v>
      </c>
    </row>
    <row r="644">
      <c r="B644" s="319">
        <f>IF(AND('Ações'!AS651="sim", 'Ações'!BD651="sim"), 1, 0)
</f>
        <v>0</v>
      </c>
      <c r="C644" s="319">
        <f>IF(AND('Ações'!AT651="sim", 'Ações'!BE651="sim"), 1, 0)
</f>
        <v>0</v>
      </c>
      <c r="D644" s="319">
        <f>IF(AND('Ações'!AU651="sim", 'Ações'!BF651="sim"), 1, 0)
</f>
        <v>0</v>
      </c>
      <c r="E644" s="319">
        <f>IF(AND('Ações'!AV651="sim", 'Ações'!BG651="sim"), 1, 0)
</f>
        <v>0</v>
      </c>
      <c r="F644" s="319">
        <f>IF(AND('Ações'!AW651="sim", 'Ações'!BH651="sim"), 1, 0)
</f>
        <v>0</v>
      </c>
      <c r="G644" s="319">
        <f>IF(AND('Ações'!AX651="sim", 'Ações'!BI651="sim"), 1, 0)
</f>
        <v>1</v>
      </c>
      <c r="H644" s="319">
        <f>IF(AND('Ações'!AS651="sim", 'Ações'!BE651="sim"), 1, 0)
</f>
        <v>0</v>
      </c>
      <c r="I644" s="319">
        <f>IF(AND('Ações'!AS651="sim", 'Ações'!BF651="sim"), 1, 0)
</f>
        <v>0</v>
      </c>
      <c r="J644" s="319">
        <f>IF(AND('Ações'!AS651="sim", 'Ações'!BG651="sim"), 1, 0)
</f>
        <v>0</v>
      </c>
      <c r="K644" s="319">
        <f>IF(AND('Ações'!AS651="sim", 'Ações'!BH651="sim"), 1, 0)
</f>
        <v>0</v>
      </c>
      <c r="L644" s="319">
        <f>IF(AND('Ações'!AS651="sim", 'Ações'!BI651="sim"), 1, 0)
</f>
        <v>0</v>
      </c>
      <c r="M644" s="319">
        <f>IF(AND('Ações'!AT651="sim", 'Ações'!BD651="sim"), 1, 0)
</f>
        <v>0</v>
      </c>
      <c r="N644" s="319">
        <f>IF(AND('Ações'!AT651="sim", 'Ações'!BF651="sim"), 1, 0)
</f>
        <v>0</v>
      </c>
      <c r="O644" s="319">
        <f>IF(AND('Ações'!AT651="sim", 'Ações'!BG651="sim"), 1, 0)
</f>
        <v>0</v>
      </c>
      <c r="P644" s="319">
        <f>IF(AND('Ações'!AT651="sim", 'Ações'!BH651="sim"), 1, 0)
</f>
        <v>0</v>
      </c>
      <c r="Q644" s="319">
        <f>IF(AND('Ações'!AT651="sim", 'Ações'!BI651="sim"), 1, 0)
</f>
        <v>1</v>
      </c>
      <c r="R644" s="319">
        <f>IF(AND('Ações'!AU651="sim", 'Ações'!BD651="sim"), 1, 0)
</f>
        <v>0</v>
      </c>
      <c r="S644" s="319">
        <f>IF(AND('Ações'!AU651="sim", 'Ações'!BE651="sim"), 1, 0)
</f>
        <v>0</v>
      </c>
      <c r="T644" s="319">
        <f>IF(AND('Ações'!AU651="sim", 'Ações'!BG651="sim"), 1, 0)
</f>
        <v>0</v>
      </c>
      <c r="U644" s="319">
        <f>IF(AND('Ações'!AU651="sim", 'Ações'!BH651="sim"), 1, 0)
</f>
        <v>0</v>
      </c>
      <c r="V644" s="319">
        <f>IF(AND('Ações'!AU651="sim", 'Ações'!BI651="sim"), 1, 0)
</f>
        <v>1</v>
      </c>
      <c r="W644" s="319">
        <f>IF(AND('Ações'!AV651="sim", 'Ações'!BD651="sim"), 1, 0)
</f>
        <v>0</v>
      </c>
      <c r="X644" s="319">
        <f>IF(AND('Ações'!AV651="sim", 'Ações'!BE651="sim"), 1, 0)
</f>
        <v>0</v>
      </c>
      <c r="Y644" s="319">
        <f>IF(AND('Ações'!AV651="sim", 'Ações'!BF651="sim"), 1, 0)
</f>
        <v>0</v>
      </c>
      <c r="Z644" s="319">
        <f>IF(AND('Ações'!AV651="sim", 'Ações'!BH651="sim"), 1, 0)
</f>
        <v>0</v>
      </c>
      <c r="AA644" s="319">
        <f>IF(AND('Ações'!AV651="sim", 'Ações'!BI651="sim"), 1, 0)
</f>
        <v>1</v>
      </c>
      <c r="AB644" s="319">
        <f>IF(AND('Ações'!AW651="sim", 'Ações'!BD651="sim"), 1, 0)
</f>
        <v>0</v>
      </c>
      <c r="AC644" s="319">
        <f>IF(AND('Ações'!AW651="sim", 'Ações'!BE651="sim"), 1, 0)
</f>
        <v>0</v>
      </c>
      <c r="AD644" s="319">
        <f>IF(AND('Ações'!AW651="sim", 'Ações'!BF651="sim"), 1, 0)
</f>
        <v>0</v>
      </c>
      <c r="AE644" s="319">
        <f>IF(AND('Ações'!AW651="sim", 'Ações'!BG651="sim"), 1, 0)
</f>
        <v>0</v>
      </c>
      <c r="AF644" s="319">
        <f>IF(AND('Ações'!AW651="sim", 'Ações'!BI651="sim"), 1, 0)
</f>
        <v>1</v>
      </c>
      <c r="AG644" s="319">
        <f>IF(AND('Ações'!AX651="sim", 'Ações'!BD651="sim"), 1, 0)
</f>
        <v>0</v>
      </c>
      <c r="AH644" s="319">
        <f>IF(AND('Ações'!AX651="sim", 'Ações'!BE651="sim"), 1, 0)
</f>
        <v>0</v>
      </c>
      <c r="AI644" s="319">
        <f>IF(AND('Ações'!AX651="sim", 'Ações'!BF651="sim"), 1, 0)
</f>
        <v>0</v>
      </c>
      <c r="AJ644" s="319">
        <f>IF(AND('Ações'!AX651="sim", 'Ações'!BG651="sim"), 1, 0)
</f>
        <v>0</v>
      </c>
      <c r="AK644" s="319">
        <f>IF(AND('Ações'!AX651="sim", 'Ações'!BH651="sim"), 1, 0)
</f>
        <v>0</v>
      </c>
    </row>
    <row r="645">
      <c r="B645" s="319">
        <f>IF(AND('Ações'!AS652="sim", 'Ações'!BD652="sim"), 1, 0)
</f>
        <v>0</v>
      </c>
      <c r="C645" s="319">
        <f>IF(AND('Ações'!AT652="sim", 'Ações'!BE652="sim"), 1, 0)
</f>
        <v>0</v>
      </c>
      <c r="D645" s="319">
        <f>IF(AND('Ações'!AU652="sim", 'Ações'!BF652="sim"), 1, 0)
</f>
        <v>0</v>
      </c>
      <c r="E645" s="319">
        <f>IF(AND('Ações'!AV652="sim", 'Ações'!BG652="sim"), 1, 0)
</f>
        <v>0</v>
      </c>
      <c r="F645" s="319">
        <f>IF(AND('Ações'!AW652="sim", 'Ações'!BH652="sim"), 1, 0)
</f>
        <v>0</v>
      </c>
      <c r="G645" s="319">
        <f>IF(AND('Ações'!AX652="sim", 'Ações'!BI652="sim"), 1, 0)
</f>
        <v>1</v>
      </c>
      <c r="H645" s="319">
        <f>IF(AND('Ações'!AS652="sim", 'Ações'!BE652="sim"), 1, 0)
</f>
        <v>0</v>
      </c>
      <c r="I645" s="319">
        <f>IF(AND('Ações'!AS652="sim", 'Ações'!BF652="sim"), 1, 0)
</f>
        <v>0</v>
      </c>
      <c r="J645" s="319">
        <f>IF(AND('Ações'!AS652="sim", 'Ações'!BG652="sim"), 1, 0)
</f>
        <v>0</v>
      </c>
      <c r="K645" s="319">
        <f>IF(AND('Ações'!AS652="sim", 'Ações'!BH652="sim"), 1, 0)
</f>
        <v>0</v>
      </c>
      <c r="L645" s="319">
        <f>IF(AND('Ações'!AS652="sim", 'Ações'!BI652="sim"), 1, 0)
</f>
        <v>0</v>
      </c>
      <c r="M645" s="319">
        <f>IF(AND('Ações'!AT652="sim", 'Ações'!BD652="sim"), 1, 0)
</f>
        <v>0</v>
      </c>
      <c r="N645" s="319">
        <f>IF(AND('Ações'!AT652="sim", 'Ações'!BF652="sim"), 1, 0)
</f>
        <v>0</v>
      </c>
      <c r="O645" s="319">
        <f>IF(AND('Ações'!AT652="sim", 'Ações'!BG652="sim"), 1, 0)
</f>
        <v>0</v>
      </c>
      <c r="P645" s="319">
        <f>IF(AND('Ações'!AT652="sim", 'Ações'!BH652="sim"), 1, 0)
</f>
        <v>0</v>
      </c>
      <c r="Q645" s="319">
        <f>IF(AND('Ações'!AT652="sim", 'Ações'!BI652="sim"), 1, 0)
</f>
        <v>1</v>
      </c>
      <c r="R645" s="319">
        <f>IF(AND('Ações'!AU652="sim", 'Ações'!BD652="sim"), 1, 0)
</f>
        <v>0</v>
      </c>
      <c r="S645" s="319">
        <f>IF(AND('Ações'!AU652="sim", 'Ações'!BE652="sim"), 1, 0)
</f>
        <v>0</v>
      </c>
      <c r="T645" s="319">
        <f>IF(AND('Ações'!AU652="sim", 'Ações'!BG652="sim"), 1, 0)
</f>
        <v>0</v>
      </c>
      <c r="U645" s="319">
        <f>IF(AND('Ações'!AU652="sim", 'Ações'!BH652="sim"), 1, 0)
</f>
        <v>0</v>
      </c>
      <c r="V645" s="319">
        <f>IF(AND('Ações'!AU652="sim", 'Ações'!BI652="sim"), 1, 0)
</f>
        <v>1</v>
      </c>
      <c r="W645" s="319">
        <f>IF(AND('Ações'!AV652="sim", 'Ações'!BD652="sim"), 1, 0)
</f>
        <v>0</v>
      </c>
      <c r="X645" s="319">
        <f>IF(AND('Ações'!AV652="sim", 'Ações'!BE652="sim"), 1, 0)
</f>
        <v>0</v>
      </c>
      <c r="Y645" s="319">
        <f>IF(AND('Ações'!AV652="sim", 'Ações'!BF652="sim"), 1, 0)
</f>
        <v>0</v>
      </c>
      <c r="Z645" s="319">
        <f>IF(AND('Ações'!AV652="sim", 'Ações'!BH652="sim"), 1, 0)
</f>
        <v>0</v>
      </c>
      <c r="AA645" s="319">
        <f>IF(AND('Ações'!AV652="sim", 'Ações'!BI652="sim"), 1, 0)
</f>
        <v>1</v>
      </c>
      <c r="AB645" s="319">
        <f>IF(AND('Ações'!AW652="sim", 'Ações'!BD652="sim"), 1, 0)
</f>
        <v>0</v>
      </c>
      <c r="AC645" s="319">
        <f>IF(AND('Ações'!AW652="sim", 'Ações'!BE652="sim"), 1, 0)
</f>
        <v>0</v>
      </c>
      <c r="AD645" s="319">
        <f>IF(AND('Ações'!AW652="sim", 'Ações'!BF652="sim"), 1, 0)
</f>
        <v>0</v>
      </c>
      <c r="AE645" s="319">
        <f>IF(AND('Ações'!AW652="sim", 'Ações'!BG652="sim"), 1, 0)
</f>
        <v>0</v>
      </c>
      <c r="AF645" s="319">
        <f>IF(AND('Ações'!AW652="sim", 'Ações'!BI652="sim"), 1, 0)
</f>
        <v>1</v>
      </c>
      <c r="AG645" s="319">
        <f>IF(AND('Ações'!AX652="sim", 'Ações'!BD652="sim"), 1, 0)
</f>
        <v>0</v>
      </c>
      <c r="AH645" s="319">
        <f>IF(AND('Ações'!AX652="sim", 'Ações'!BE652="sim"), 1, 0)
</f>
        <v>0</v>
      </c>
      <c r="AI645" s="319">
        <f>IF(AND('Ações'!AX652="sim", 'Ações'!BF652="sim"), 1, 0)
</f>
        <v>0</v>
      </c>
      <c r="AJ645" s="319">
        <f>IF(AND('Ações'!AX652="sim", 'Ações'!BG652="sim"), 1, 0)
</f>
        <v>0</v>
      </c>
      <c r="AK645" s="319">
        <f>IF(AND('Ações'!AX652="sim", 'Ações'!BH652="sim"), 1, 0)
</f>
        <v>0</v>
      </c>
    </row>
    <row r="646">
      <c r="B646" s="319">
        <f>IF(AND('Ações'!AS653="sim", 'Ações'!BD653="sim"), 1, 0)
</f>
        <v>0</v>
      </c>
      <c r="C646" s="319">
        <f>IF(AND('Ações'!AT653="sim", 'Ações'!BE653="sim"), 1, 0)
</f>
        <v>0</v>
      </c>
      <c r="D646" s="319">
        <f>IF(AND('Ações'!AU653="sim", 'Ações'!BF653="sim"), 1, 0)
</f>
        <v>0</v>
      </c>
      <c r="E646" s="319">
        <f>IF(AND('Ações'!AV653="sim", 'Ações'!BG653="sim"), 1, 0)
</f>
        <v>0</v>
      </c>
      <c r="F646" s="319">
        <f>IF(AND('Ações'!AW653="sim", 'Ações'!BH653="sim"), 1, 0)
</f>
        <v>0</v>
      </c>
      <c r="G646" s="319">
        <f>IF(AND('Ações'!AX653="sim", 'Ações'!BI653="sim"), 1, 0)
</f>
        <v>1</v>
      </c>
      <c r="H646" s="319">
        <f>IF(AND('Ações'!AS653="sim", 'Ações'!BE653="sim"), 1, 0)
</f>
        <v>0</v>
      </c>
      <c r="I646" s="319">
        <f>IF(AND('Ações'!AS653="sim", 'Ações'!BF653="sim"), 1, 0)
</f>
        <v>0</v>
      </c>
      <c r="J646" s="319">
        <f>IF(AND('Ações'!AS653="sim", 'Ações'!BG653="sim"), 1, 0)
</f>
        <v>0</v>
      </c>
      <c r="K646" s="319">
        <f>IF(AND('Ações'!AS653="sim", 'Ações'!BH653="sim"), 1, 0)
</f>
        <v>0</v>
      </c>
      <c r="L646" s="319">
        <f>IF(AND('Ações'!AS653="sim", 'Ações'!BI653="sim"), 1, 0)
</f>
        <v>0</v>
      </c>
      <c r="M646" s="319">
        <f>IF(AND('Ações'!AT653="sim", 'Ações'!BD653="sim"), 1, 0)
</f>
        <v>1</v>
      </c>
      <c r="N646" s="319">
        <f>IF(AND('Ações'!AT653="sim", 'Ações'!BF653="sim"), 1, 0)
</f>
        <v>0</v>
      </c>
      <c r="O646" s="319">
        <f>IF(AND('Ações'!AT653="sim", 'Ações'!BG653="sim"), 1, 0)
</f>
        <v>0</v>
      </c>
      <c r="P646" s="319">
        <f>IF(AND('Ações'!AT653="sim", 'Ações'!BH653="sim"), 1, 0)
</f>
        <v>0</v>
      </c>
      <c r="Q646" s="319">
        <f>IF(AND('Ações'!AT653="sim", 'Ações'!BI653="sim"), 1, 0)
</f>
        <v>1</v>
      </c>
      <c r="R646" s="319">
        <f>IF(AND('Ações'!AU653="sim", 'Ações'!BD653="sim"), 1, 0)
</f>
        <v>1</v>
      </c>
      <c r="S646" s="319">
        <f>IF(AND('Ações'!AU653="sim", 'Ações'!BE653="sim"), 1, 0)
</f>
        <v>0</v>
      </c>
      <c r="T646" s="319">
        <f>IF(AND('Ações'!AU653="sim", 'Ações'!BG653="sim"), 1, 0)
</f>
        <v>0</v>
      </c>
      <c r="U646" s="319">
        <f>IF(AND('Ações'!AU653="sim", 'Ações'!BH653="sim"), 1, 0)
</f>
        <v>0</v>
      </c>
      <c r="V646" s="319">
        <f>IF(AND('Ações'!AU653="sim", 'Ações'!BI653="sim"), 1, 0)
</f>
        <v>1</v>
      </c>
      <c r="W646" s="319">
        <f>IF(AND('Ações'!AV653="sim", 'Ações'!BD653="sim"), 1, 0)
</f>
        <v>1</v>
      </c>
      <c r="X646" s="319">
        <f>IF(AND('Ações'!AV653="sim", 'Ações'!BE653="sim"), 1, 0)
</f>
        <v>0</v>
      </c>
      <c r="Y646" s="319">
        <f>IF(AND('Ações'!AV653="sim", 'Ações'!BF653="sim"), 1, 0)
</f>
        <v>0</v>
      </c>
      <c r="Z646" s="319">
        <f>IF(AND('Ações'!AV653="sim", 'Ações'!BH653="sim"), 1, 0)
</f>
        <v>0</v>
      </c>
      <c r="AA646" s="319">
        <f>IF(AND('Ações'!AV653="sim", 'Ações'!BI653="sim"), 1, 0)
</f>
        <v>1</v>
      </c>
      <c r="AB646" s="319">
        <f>IF(AND('Ações'!AW653="sim", 'Ações'!BD653="sim"), 1, 0)
</f>
        <v>1</v>
      </c>
      <c r="AC646" s="319">
        <f>IF(AND('Ações'!AW653="sim", 'Ações'!BE653="sim"), 1, 0)
</f>
        <v>0</v>
      </c>
      <c r="AD646" s="319">
        <f>IF(AND('Ações'!AW653="sim", 'Ações'!BF653="sim"), 1, 0)
</f>
        <v>0</v>
      </c>
      <c r="AE646" s="319">
        <f>IF(AND('Ações'!AW653="sim", 'Ações'!BG653="sim"), 1, 0)
</f>
        <v>0</v>
      </c>
      <c r="AF646" s="319">
        <f>IF(AND('Ações'!AW653="sim", 'Ações'!BI653="sim"), 1, 0)
</f>
        <v>1</v>
      </c>
      <c r="AG646" s="319">
        <f>IF(AND('Ações'!AX653="sim", 'Ações'!BD653="sim"), 1, 0)
</f>
        <v>1</v>
      </c>
      <c r="AH646" s="319">
        <f>IF(AND('Ações'!AX653="sim", 'Ações'!BE653="sim"), 1, 0)
</f>
        <v>0</v>
      </c>
      <c r="AI646" s="319">
        <f>IF(AND('Ações'!AX653="sim", 'Ações'!BF653="sim"), 1, 0)
</f>
        <v>0</v>
      </c>
      <c r="AJ646" s="319">
        <f>IF(AND('Ações'!AX653="sim", 'Ações'!BG653="sim"), 1, 0)
</f>
        <v>0</v>
      </c>
      <c r="AK646" s="319">
        <f>IF(AND('Ações'!AX653="sim", 'Ações'!BH653="sim"), 1, 0)
</f>
        <v>0</v>
      </c>
    </row>
    <row r="647">
      <c r="B647" s="319">
        <f>IF(AND('Ações'!AS654="sim", 'Ações'!BD654="sim"), 1, 0)
</f>
        <v>0</v>
      </c>
      <c r="C647" s="319">
        <f>IF(AND('Ações'!AT654="sim", 'Ações'!BE654="sim"), 1, 0)
</f>
        <v>0</v>
      </c>
      <c r="D647" s="319">
        <f>IF(AND('Ações'!AU654="sim", 'Ações'!BF654="sim"), 1, 0)
</f>
        <v>0</v>
      </c>
      <c r="E647" s="319">
        <f>IF(AND('Ações'!AV654="sim", 'Ações'!BG654="sim"), 1, 0)
</f>
        <v>0</v>
      </c>
      <c r="F647" s="319">
        <f>IF(AND('Ações'!AW654="sim", 'Ações'!BH654="sim"), 1, 0)
</f>
        <v>0</v>
      </c>
      <c r="G647" s="319">
        <f>IF(AND('Ações'!AX654="sim", 'Ações'!BI654="sim"), 1, 0)
</f>
        <v>1</v>
      </c>
      <c r="H647" s="319">
        <f>IF(AND('Ações'!AS654="sim", 'Ações'!BE654="sim"), 1, 0)
</f>
        <v>0</v>
      </c>
      <c r="I647" s="319">
        <f>IF(AND('Ações'!AS654="sim", 'Ações'!BF654="sim"), 1, 0)
</f>
        <v>0</v>
      </c>
      <c r="J647" s="319">
        <f>IF(AND('Ações'!AS654="sim", 'Ações'!BG654="sim"), 1, 0)
</f>
        <v>0</v>
      </c>
      <c r="K647" s="319">
        <f>IF(AND('Ações'!AS654="sim", 'Ações'!BH654="sim"), 1, 0)
</f>
        <v>0</v>
      </c>
      <c r="L647" s="319">
        <f>IF(AND('Ações'!AS654="sim", 'Ações'!BI654="sim"), 1, 0)
</f>
        <v>0</v>
      </c>
      <c r="M647" s="319">
        <f>IF(AND('Ações'!AT654="sim", 'Ações'!BD654="sim"), 1, 0)
</f>
        <v>0</v>
      </c>
      <c r="N647" s="319">
        <f>IF(AND('Ações'!AT654="sim", 'Ações'!BF654="sim"), 1, 0)
</f>
        <v>0</v>
      </c>
      <c r="O647" s="319">
        <f>IF(AND('Ações'!AT654="sim", 'Ações'!BG654="sim"), 1, 0)
</f>
        <v>0</v>
      </c>
      <c r="P647" s="319">
        <f>IF(AND('Ações'!AT654="sim", 'Ações'!BH654="sim"), 1, 0)
</f>
        <v>0</v>
      </c>
      <c r="Q647" s="319">
        <f>IF(AND('Ações'!AT654="sim", 'Ações'!BI654="sim"), 1, 0)
</f>
        <v>1</v>
      </c>
      <c r="R647" s="319">
        <f>IF(AND('Ações'!AU654="sim", 'Ações'!BD654="sim"), 1, 0)
</f>
        <v>0</v>
      </c>
      <c r="S647" s="319">
        <f>IF(AND('Ações'!AU654="sim", 'Ações'!BE654="sim"), 1, 0)
</f>
        <v>0</v>
      </c>
      <c r="T647" s="319">
        <f>IF(AND('Ações'!AU654="sim", 'Ações'!BG654="sim"), 1, 0)
</f>
        <v>0</v>
      </c>
      <c r="U647" s="319">
        <f>IF(AND('Ações'!AU654="sim", 'Ações'!BH654="sim"), 1, 0)
</f>
        <v>0</v>
      </c>
      <c r="V647" s="319">
        <f>IF(AND('Ações'!AU654="sim", 'Ações'!BI654="sim"), 1, 0)
</f>
        <v>1</v>
      </c>
      <c r="W647" s="319">
        <f>IF(AND('Ações'!AV654="sim", 'Ações'!BD654="sim"), 1, 0)
</f>
        <v>0</v>
      </c>
      <c r="X647" s="319">
        <f>IF(AND('Ações'!AV654="sim", 'Ações'!BE654="sim"), 1, 0)
</f>
        <v>0</v>
      </c>
      <c r="Y647" s="319">
        <f>IF(AND('Ações'!AV654="sim", 'Ações'!BF654="sim"), 1, 0)
</f>
        <v>0</v>
      </c>
      <c r="Z647" s="319">
        <f>IF(AND('Ações'!AV654="sim", 'Ações'!BH654="sim"), 1, 0)
</f>
        <v>0</v>
      </c>
      <c r="AA647" s="319">
        <f>IF(AND('Ações'!AV654="sim", 'Ações'!BI654="sim"), 1, 0)
</f>
        <v>1</v>
      </c>
      <c r="AB647" s="319">
        <f>IF(AND('Ações'!AW654="sim", 'Ações'!BD654="sim"), 1, 0)
</f>
        <v>0</v>
      </c>
      <c r="AC647" s="319">
        <f>IF(AND('Ações'!AW654="sim", 'Ações'!BE654="sim"), 1, 0)
</f>
        <v>0</v>
      </c>
      <c r="AD647" s="319">
        <f>IF(AND('Ações'!AW654="sim", 'Ações'!BF654="sim"), 1, 0)
</f>
        <v>0</v>
      </c>
      <c r="AE647" s="319">
        <f>IF(AND('Ações'!AW654="sim", 'Ações'!BG654="sim"), 1, 0)
</f>
        <v>0</v>
      </c>
      <c r="AF647" s="319">
        <f>IF(AND('Ações'!AW654="sim", 'Ações'!BI654="sim"), 1, 0)
</f>
        <v>1</v>
      </c>
      <c r="AG647" s="319">
        <f>IF(AND('Ações'!AX654="sim", 'Ações'!BD654="sim"), 1, 0)
</f>
        <v>0</v>
      </c>
      <c r="AH647" s="319">
        <f>IF(AND('Ações'!AX654="sim", 'Ações'!BE654="sim"), 1, 0)
</f>
        <v>0</v>
      </c>
      <c r="AI647" s="319">
        <f>IF(AND('Ações'!AX654="sim", 'Ações'!BF654="sim"), 1, 0)
</f>
        <v>0</v>
      </c>
      <c r="AJ647" s="319">
        <f>IF(AND('Ações'!AX654="sim", 'Ações'!BG654="sim"), 1, 0)
</f>
        <v>0</v>
      </c>
      <c r="AK647" s="319">
        <f>IF(AND('Ações'!AX654="sim", 'Ações'!BH654="sim"), 1, 0)
</f>
        <v>0</v>
      </c>
    </row>
    <row r="648">
      <c r="B648" s="319">
        <f>IF(AND('Ações'!AS655="sim", 'Ações'!BD655="sim"), 1, 0)
</f>
        <v>0</v>
      </c>
      <c r="C648" s="319">
        <f>IF(AND('Ações'!AT655="sim", 'Ações'!BE655="sim"), 1, 0)
</f>
        <v>0</v>
      </c>
      <c r="D648" s="319">
        <f>IF(AND('Ações'!AU655="sim", 'Ações'!BF655="sim"), 1, 0)
</f>
        <v>0</v>
      </c>
      <c r="E648" s="319">
        <f>IF(AND('Ações'!AV655="sim", 'Ações'!BG655="sim"), 1, 0)
</f>
        <v>0</v>
      </c>
      <c r="F648" s="319">
        <f>IF(AND('Ações'!AW655="sim", 'Ações'!BH655="sim"), 1, 0)
</f>
        <v>0</v>
      </c>
      <c r="G648" s="319">
        <f>IF(AND('Ações'!AX655="sim", 'Ações'!BI655="sim"), 1, 0)
</f>
        <v>0</v>
      </c>
      <c r="H648" s="319">
        <f>IF(AND('Ações'!AS655="sim", 'Ações'!BE655="sim"), 1, 0)
</f>
        <v>0</v>
      </c>
      <c r="I648" s="319">
        <f>IF(AND('Ações'!AS655="sim", 'Ações'!BF655="sim"), 1, 0)
</f>
        <v>0</v>
      </c>
      <c r="J648" s="319">
        <f>IF(AND('Ações'!AS655="sim", 'Ações'!BG655="sim"), 1, 0)
</f>
        <v>0</v>
      </c>
      <c r="K648" s="319">
        <f>IF(AND('Ações'!AS655="sim", 'Ações'!BH655="sim"), 1, 0)
</f>
        <v>0</v>
      </c>
      <c r="L648" s="319">
        <f>IF(AND('Ações'!AS655="sim", 'Ações'!BI655="sim"), 1, 0)
</f>
        <v>0</v>
      </c>
      <c r="M648" s="319">
        <f>IF(AND('Ações'!AT655="sim", 'Ações'!BD655="sim"), 1, 0)
</f>
        <v>1</v>
      </c>
      <c r="N648" s="319">
        <f>IF(AND('Ações'!AT655="sim", 'Ações'!BF655="sim"), 1, 0)
</f>
        <v>0</v>
      </c>
      <c r="O648" s="319">
        <f>IF(AND('Ações'!AT655="sim", 'Ações'!BG655="sim"), 1, 0)
</f>
        <v>0</v>
      </c>
      <c r="P648" s="319">
        <f>IF(AND('Ações'!AT655="sim", 'Ações'!BH655="sim"), 1, 0)
</f>
        <v>0</v>
      </c>
      <c r="Q648" s="319">
        <f>IF(AND('Ações'!AT655="sim", 'Ações'!BI655="sim"), 1, 0)
</f>
        <v>0</v>
      </c>
      <c r="R648" s="319">
        <f>IF(AND('Ações'!AU655="sim", 'Ações'!BD655="sim"), 1, 0)
</f>
        <v>1</v>
      </c>
      <c r="S648" s="319">
        <f>IF(AND('Ações'!AU655="sim", 'Ações'!BE655="sim"), 1, 0)
</f>
        <v>0</v>
      </c>
      <c r="T648" s="319">
        <f>IF(AND('Ações'!AU655="sim", 'Ações'!BG655="sim"), 1, 0)
</f>
        <v>0</v>
      </c>
      <c r="U648" s="319">
        <f>IF(AND('Ações'!AU655="sim", 'Ações'!BH655="sim"), 1, 0)
</f>
        <v>0</v>
      </c>
      <c r="V648" s="319">
        <f>IF(AND('Ações'!AU655="sim", 'Ações'!BI655="sim"), 1, 0)
</f>
        <v>0</v>
      </c>
      <c r="W648" s="319">
        <f>IF(AND('Ações'!AV655="sim", 'Ações'!BD655="sim"), 1, 0)
</f>
        <v>1</v>
      </c>
      <c r="X648" s="319">
        <f>IF(AND('Ações'!AV655="sim", 'Ações'!BE655="sim"), 1, 0)
</f>
        <v>0</v>
      </c>
      <c r="Y648" s="319">
        <f>IF(AND('Ações'!AV655="sim", 'Ações'!BF655="sim"), 1, 0)
</f>
        <v>0</v>
      </c>
      <c r="Z648" s="319">
        <f>IF(AND('Ações'!AV655="sim", 'Ações'!BH655="sim"), 1, 0)
</f>
        <v>0</v>
      </c>
      <c r="AA648" s="319">
        <f>IF(AND('Ações'!AV655="sim", 'Ações'!BI655="sim"), 1, 0)
</f>
        <v>0</v>
      </c>
      <c r="AB648" s="319">
        <f>IF(AND('Ações'!AW655="sim", 'Ações'!BD655="sim"), 1, 0)
</f>
        <v>1</v>
      </c>
      <c r="AC648" s="319">
        <f>IF(AND('Ações'!AW655="sim", 'Ações'!BE655="sim"), 1, 0)
</f>
        <v>0</v>
      </c>
      <c r="AD648" s="319">
        <f>IF(AND('Ações'!AW655="sim", 'Ações'!BF655="sim"), 1, 0)
</f>
        <v>0</v>
      </c>
      <c r="AE648" s="319">
        <f>IF(AND('Ações'!AW655="sim", 'Ações'!BG655="sim"), 1, 0)
</f>
        <v>0</v>
      </c>
      <c r="AF648" s="319">
        <f>IF(AND('Ações'!AW655="sim", 'Ações'!BI655="sim"), 1, 0)
</f>
        <v>0</v>
      </c>
      <c r="AG648" s="319">
        <f>IF(AND('Ações'!AX655="sim", 'Ações'!BD655="sim"), 1, 0)
</f>
        <v>1</v>
      </c>
      <c r="AH648" s="319">
        <f>IF(AND('Ações'!AX655="sim", 'Ações'!BE655="sim"), 1, 0)
</f>
        <v>0</v>
      </c>
      <c r="AI648" s="319">
        <f>IF(AND('Ações'!AX655="sim", 'Ações'!BF655="sim"), 1, 0)
</f>
        <v>0</v>
      </c>
      <c r="AJ648" s="319">
        <f>IF(AND('Ações'!AX655="sim", 'Ações'!BG655="sim"), 1, 0)
</f>
        <v>0</v>
      </c>
      <c r="AK648" s="319">
        <f>IF(AND('Ações'!AX655="sim", 'Ações'!BH655="sim"), 1, 0)
</f>
        <v>0</v>
      </c>
    </row>
    <row r="649">
      <c r="B649" s="319">
        <f>IF(AND('Ações'!AS656="sim", 'Ações'!BD656="sim"), 1, 0)
</f>
        <v>0</v>
      </c>
      <c r="C649" s="319">
        <f>IF(AND('Ações'!AT656="sim", 'Ações'!BE656="sim"), 1, 0)
</f>
        <v>0</v>
      </c>
      <c r="D649" s="319">
        <f>IF(AND('Ações'!AU656="sim", 'Ações'!BF656="sim"), 1, 0)
</f>
        <v>0</v>
      </c>
      <c r="E649" s="319">
        <f>IF(AND('Ações'!AV656="sim", 'Ações'!BG656="sim"), 1, 0)
</f>
        <v>0</v>
      </c>
      <c r="F649" s="319">
        <f>IF(AND('Ações'!AW656="sim", 'Ações'!BH656="sim"), 1, 0)
</f>
        <v>0</v>
      </c>
      <c r="G649" s="319">
        <f>IF(AND('Ações'!AX656="sim", 'Ações'!BI656="sim"), 1, 0)
</f>
        <v>1</v>
      </c>
      <c r="H649" s="319">
        <f>IF(AND('Ações'!AS656="sim", 'Ações'!BE656="sim"), 1, 0)
</f>
        <v>0</v>
      </c>
      <c r="I649" s="319">
        <f>IF(AND('Ações'!AS656="sim", 'Ações'!BF656="sim"), 1, 0)
</f>
        <v>0</v>
      </c>
      <c r="J649" s="319">
        <f>IF(AND('Ações'!AS656="sim", 'Ações'!BG656="sim"), 1, 0)
</f>
        <v>0</v>
      </c>
      <c r="K649" s="319">
        <f>IF(AND('Ações'!AS656="sim", 'Ações'!BH656="sim"), 1, 0)
</f>
        <v>0</v>
      </c>
      <c r="L649" s="319">
        <f>IF(AND('Ações'!AS656="sim", 'Ações'!BI656="sim"), 1, 0)
</f>
        <v>0</v>
      </c>
      <c r="M649" s="319">
        <f>IF(AND('Ações'!AT656="sim", 'Ações'!BD656="sim"), 1, 0)
</f>
        <v>0</v>
      </c>
      <c r="N649" s="319">
        <f>IF(AND('Ações'!AT656="sim", 'Ações'!BF656="sim"), 1, 0)
</f>
        <v>0</v>
      </c>
      <c r="O649" s="319">
        <f>IF(AND('Ações'!AT656="sim", 'Ações'!BG656="sim"), 1, 0)
</f>
        <v>0</v>
      </c>
      <c r="P649" s="319">
        <f>IF(AND('Ações'!AT656="sim", 'Ações'!BH656="sim"), 1, 0)
</f>
        <v>0</v>
      </c>
      <c r="Q649" s="319">
        <f>IF(AND('Ações'!AT656="sim", 'Ações'!BI656="sim"), 1, 0)
</f>
        <v>1</v>
      </c>
      <c r="R649" s="319">
        <f>IF(AND('Ações'!AU656="sim", 'Ações'!BD656="sim"), 1, 0)
</f>
        <v>0</v>
      </c>
      <c r="S649" s="319">
        <f>IF(AND('Ações'!AU656="sim", 'Ações'!BE656="sim"), 1, 0)
</f>
        <v>0</v>
      </c>
      <c r="T649" s="319">
        <f>IF(AND('Ações'!AU656="sim", 'Ações'!BG656="sim"), 1, 0)
</f>
        <v>0</v>
      </c>
      <c r="U649" s="319">
        <f>IF(AND('Ações'!AU656="sim", 'Ações'!BH656="sim"), 1, 0)
</f>
        <v>0</v>
      </c>
      <c r="V649" s="319">
        <f>IF(AND('Ações'!AU656="sim", 'Ações'!BI656="sim"), 1, 0)
</f>
        <v>1</v>
      </c>
      <c r="W649" s="319">
        <f>IF(AND('Ações'!AV656="sim", 'Ações'!BD656="sim"), 1, 0)
</f>
        <v>0</v>
      </c>
      <c r="X649" s="319">
        <f>IF(AND('Ações'!AV656="sim", 'Ações'!BE656="sim"), 1, 0)
</f>
        <v>0</v>
      </c>
      <c r="Y649" s="319">
        <f>IF(AND('Ações'!AV656="sim", 'Ações'!BF656="sim"), 1, 0)
</f>
        <v>0</v>
      </c>
      <c r="Z649" s="319">
        <f>IF(AND('Ações'!AV656="sim", 'Ações'!BH656="sim"), 1, 0)
</f>
        <v>0</v>
      </c>
      <c r="AA649" s="319">
        <f>IF(AND('Ações'!AV656="sim", 'Ações'!BI656="sim"), 1, 0)
</f>
        <v>1</v>
      </c>
      <c r="AB649" s="319">
        <f>IF(AND('Ações'!AW656="sim", 'Ações'!BD656="sim"), 1, 0)
</f>
        <v>0</v>
      </c>
      <c r="AC649" s="319">
        <f>IF(AND('Ações'!AW656="sim", 'Ações'!BE656="sim"), 1, 0)
</f>
        <v>0</v>
      </c>
      <c r="AD649" s="319">
        <f>IF(AND('Ações'!AW656="sim", 'Ações'!BF656="sim"), 1, 0)
</f>
        <v>0</v>
      </c>
      <c r="AE649" s="319">
        <f>IF(AND('Ações'!AW656="sim", 'Ações'!BG656="sim"), 1, 0)
</f>
        <v>0</v>
      </c>
      <c r="AF649" s="319">
        <f>IF(AND('Ações'!AW656="sim", 'Ações'!BI656="sim"), 1, 0)
</f>
        <v>1</v>
      </c>
      <c r="AG649" s="319">
        <f>IF(AND('Ações'!AX656="sim", 'Ações'!BD656="sim"), 1, 0)
</f>
        <v>0</v>
      </c>
      <c r="AH649" s="319">
        <f>IF(AND('Ações'!AX656="sim", 'Ações'!BE656="sim"), 1, 0)
</f>
        <v>0</v>
      </c>
      <c r="AI649" s="319">
        <f>IF(AND('Ações'!AX656="sim", 'Ações'!BF656="sim"), 1, 0)
</f>
        <v>0</v>
      </c>
      <c r="AJ649" s="319">
        <f>IF(AND('Ações'!AX656="sim", 'Ações'!BG656="sim"), 1, 0)
</f>
        <v>0</v>
      </c>
      <c r="AK649" s="319">
        <f>IF(AND('Ações'!AX656="sim", 'Ações'!BH656="sim"), 1, 0)
</f>
        <v>0</v>
      </c>
    </row>
    <row r="650">
      <c r="B650" s="319">
        <f>IF(AND('Ações'!AS657="sim", 'Ações'!BD657="sim"), 1, 0)
</f>
        <v>0</v>
      </c>
      <c r="C650" s="319">
        <f>IF(AND('Ações'!AT657="sim", 'Ações'!BE657="sim"), 1, 0)
</f>
        <v>0</v>
      </c>
      <c r="D650" s="319">
        <f>IF(AND('Ações'!AU657="sim", 'Ações'!BF657="sim"), 1, 0)
</f>
        <v>1</v>
      </c>
      <c r="E650" s="319">
        <f>IF(AND('Ações'!AV657="sim", 'Ações'!BG657="sim"), 1, 0)
</f>
        <v>0</v>
      </c>
      <c r="F650" s="319">
        <f>IF(AND('Ações'!AW657="sim", 'Ações'!BH657="sim"), 1, 0)
</f>
        <v>0</v>
      </c>
      <c r="G650" s="319">
        <f>IF(AND('Ações'!AX657="sim", 'Ações'!BI657="sim"), 1, 0)
</f>
        <v>1</v>
      </c>
      <c r="H650" s="319">
        <f>IF(AND('Ações'!AS657="sim", 'Ações'!BE657="sim"), 1, 0)
</f>
        <v>0</v>
      </c>
      <c r="I650" s="319">
        <f>IF(AND('Ações'!AS657="sim", 'Ações'!BF657="sim"), 1, 0)
</f>
        <v>0</v>
      </c>
      <c r="J650" s="319">
        <f>IF(AND('Ações'!AS657="sim", 'Ações'!BG657="sim"), 1, 0)
</f>
        <v>0</v>
      </c>
      <c r="K650" s="319">
        <f>IF(AND('Ações'!AS657="sim", 'Ações'!BH657="sim"), 1, 0)
</f>
        <v>0</v>
      </c>
      <c r="L650" s="319">
        <f>IF(AND('Ações'!AS657="sim", 'Ações'!BI657="sim"), 1, 0)
</f>
        <v>0</v>
      </c>
      <c r="M650" s="319">
        <f>IF(AND('Ações'!AT657="sim", 'Ações'!BD657="sim"), 1, 0)
</f>
        <v>0</v>
      </c>
      <c r="N650" s="319">
        <f>IF(AND('Ações'!AT657="sim", 'Ações'!BF657="sim"), 1, 0)
</f>
        <v>1</v>
      </c>
      <c r="O650" s="319">
        <f>IF(AND('Ações'!AT657="sim", 'Ações'!BG657="sim"), 1, 0)
</f>
        <v>0</v>
      </c>
      <c r="P650" s="319">
        <f>IF(AND('Ações'!AT657="sim", 'Ações'!BH657="sim"), 1, 0)
</f>
        <v>0</v>
      </c>
      <c r="Q650" s="319">
        <f>IF(AND('Ações'!AT657="sim", 'Ações'!BI657="sim"), 1, 0)
</f>
        <v>1</v>
      </c>
      <c r="R650" s="319">
        <f>IF(AND('Ações'!AU657="sim", 'Ações'!BD657="sim"), 1, 0)
</f>
        <v>0</v>
      </c>
      <c r="S650" s="319">
        <f>IF(AND('Ações'!AU657="sim", 'Ações'!BE657="sim"), 1, 0)
</f>
        <v>0</v>
      </c>
      <c r="T650" s="319">
        <f>IF(AND('Ações'!AU657="sim", 'Ações'!BG657="sim"), 1, 0)
</f>
        <v>0</v>
      </c>
      <c r="U650" s="319">
        <f>IF(AND('Ações'!AU657="sim", 'Ações'!BH657="sim"), 1, 0)
</f>
        <v>0</v>
      </c>
      <c r="V650" s="319">
        <f>IF(AND('Ações'!AU657="sim", 'Ações'!BI657="sim"), 1, 0)
</f>
        <v>1</v>
      </c>
      <c r="W650" s="319">
        <f>IF(AND('Ações'!AV657="sim", 'Ações'!BD657="sim"), 1, 0)
</f>
        <v>0</v>
      </c>
      <c r="X650" s="319">
        <f>IF(AND('Ações'!AV657="sim", 'Ações'!BE657="sim"), 1, 0)
</f>
        <v>0</v>
      </c>
      <c r="Y650" s="319">
        <f>IF(AND('Ações'!AV657="sim", 'Ações'!BF657="sim"), 1, 0)
</f>
        <v>1</v>
      </c>
      <c r="Z650" s="319">
        <f>IF(AND('Ações'!AV657="sim", 'Ações'!BH657="sim"), 1, 0)
</f>
        <v>0</v>
      </c>
      <c r="AA650" s="319">
        <f>IF(AND('Ações'!AV657="sim", 'Ações'!BI657="sim"), 1, 0)
</f>
        <v>1</v>
      </c>
      <c r="AB650" s="319">
        <f>IF(AND('Ações'!AW657="sim", 'Ações'!BD657="sim"), 1, 0)
</f>
        <v>0</v>
      </c>
      <c r="AC650" s="319">
        <f>IF(AND('Ações'!AW657="sim", 'Ações'!BE657="sim"), 1, 0)
</f>
        <v>0</v>
      </c>
      <c r="AD650" s="319">
        <f>IF(AND('Ações'!AW657="sim", 'Ações'!BF657="sim"), 1, 0)
</f>
        <v>1</v>
      </c>
      <c r="AE650" s="319">
        <f>IF(AND('Ações'!AW657="sim", 'Ações'!BG657="sim"), 1, 0)
</f>
        <v>0</v>
      </c>
      <c r="AF650" s="319">
        <f>IF(AND('Ações'!AW657="sim", 'Ações'!BI657="sim"), 1, 0)
</f>
        <v>1</v>
      </c>
      <c r="AG650" s="319">
        <f>IF(AND('Ações'!AX657="sim", 'Ações'!BD657="sim"), 1, 0)
</f>
        <v>0</v>
      </c>
      <c r="AH650" s="319">
        <f>IF(AND('Ações'!AX657="sim", 'Ações'!BE657="sim"), 1, 0)
</f>
        <v>0</v>
      </c>
      <c r="AI650" s="319">
        <f>IF(AND('Ações'!AX657="sim", 'Ações'!BF657="sim"), 1, 0)
</f>
        <v>1</v>
      </c>
      <c r="AJ650" s="319">
        <f>IF(AND('Ações'!AX657="sim", 'Ações'!BG657="sim"), 1, 0)
</f>
        <v>0</v>
      </c>
      <c r="AK650" s="319">
        <f>IF(AND('Ações'!AX657="sim", 'Ações'!BH657="sim"), 1, 0)
</f>
        <v>0</v>
      </c>
    </row>
    <row r="651">
      <c r="B651" s="319">
        <f>IF(AND('Ações'!AS658="sim", 'Ações'!BD658="sim"), 1, 0)
</f>
        <v>0</v>
      </c>
      <c r="C651" s="319">
        <f>IF(AND('Ações'!AT658="sim", 'Ações'!BE658="sim"), 1, 0)
</f>
        <v>0</v>
      </c>
      <c r="D651" s="319">
        <f>IF(AND('Ações'!AU658="sim", 'Ações'!BF658="sim"), 1, 0)
</f>
        <v>0</v>
      </c>
      <c r="E651" s="319">
        <f>IF(AND('Ações'!AV658="sim", 'Ações'!BG658="sim"), 1, 0)
</f>
        <v>0</v>
      </c>
      <c r="F651" s="319">
        <f>IF(AND('Ações'!AW658="sim", 'Ações'!BH658="sim"), 1, 0)
</f>
        <v>0</v>
      </c>
      <c r="G651" s="319">
        <f>IF(AND('Ações'!AX658="sim", 'Ações'!BI658="sim"), 1, 0)
</f>
        <v>1</v>
      </c>
      <c r="H651" s="319">
        <f>IF(AND('Ações'!AS658="sim", 'Ações'!BE658="sim"), 1, 0)
</f>
        <v>0</v>
      </c>
      <c r="I651" s="319">
        <f>IF(AND('Ações'!AS658="sim", 'Ações'!BF658="sim"), 1, 0)
</f>
        <v>0</v>
      </c>
      <c r="J651" s="319">
        <f>IF(AND('Ações'!AS658="sim", 'Ações'!BG658="sim"), 1, 0)
</f>
        <v>0</v>
      </c>
      <c r="K651" s="319">
        <f>IF(AND('Ações'!AS658="sim", 'Ações'!BH658="sim"), 1, 0)
</f>
        <v>0</v>
      </c>
      <c r="L651" s="319">
        <f>IF(AND('Ações'!AS658="sim", 'Ações'!BI658="sim"), 1, 0)
</f>
        <v>0</v>
      </c>
      <c r="M651" s="319">
        <f>IF(AND('Ações'!AT658="sim", 'Ações'!BD658="sim"), 1, 0)
</f>
        <v>1</v>
      </c>
      <c r="N651" s="319">
        <f>IF(AND('Ações'!AT658="sim", 'Ações'!BF658="sim"), 1, 0)
</f>
        <v>0</v>
      </c>
      <c r="O651" s="319">
        <f>IF(AND('Ações'!AT658="sim", 'Ações'!BG658="sim"), 1, 0)
</f>
        <v>0</v>
      </c>
      <c r="P651" s="319">
        <f>IF(AND('Ações'!AT658="sim", 'Ações'!BH658="sim"), 1, 0)
</f>
        <v>0</v>
      </c>
      <c r="Q651" s="319">
        <f>IF(AND('Ações'!AT658="sim", 'Ações'!BI658="sim"), 1, 0)
</f>
        <v>1</v>
      </c>
      <c r="R651" s="319">
        <f>IF(AND('Ações'!AU658="sim", 'Ações'!BD658="sim"), 1, 0)
</f>
        <v>1</v>
      </c>
      <c r="S651" s="319">
        <f>IF(AND('Ações'!AU658="sim", 'Ações'!BE658="sim"), 1, 0)
</f>
        <v>0</v>
      </c>
      <c r="T651" s="319">
        <f>IF(AND('Ações'!AU658="sim", 'Ações'!BG658="sim"), 1, 0)
</f>
        <v>0</v>
      </c>
      <c r="U651" s="319">
        <f>IF(AND('Ações'!AU658="sim", 'Ações'!BH658="sim"), 1, 0)
</f>
        <v>0</v>
      </c>
      <c r="V651" s="319">
        <f>IF(AND('Ações'!AU658="sim", 'Ações'!BI658="sim"), 1, 0)
</f>
        <v>1</v>
      </c>
      <c r="W651" s="319">
        <f>IF(AND('Ações'!AV658="sim", 'Ações'!BD658="sim"), 1, 0)
</f>
        <v>1</v>
      </c>
      <c r="X651" s="319">
        <f>IF(AND('Ações'!AV658="sim", 'Ações'!BE658="sim"), 1, 0)
</f>
        <v>0</v>
      </c>
      <c r="Y651" s="319">
        <f>IF(AND('Ações'!AV658="sim", 'Ações'!BF658="sim"), 1, 0)
</f>
        <v>0</v>
      </c>
      <c r="Z651" s="319">
        <f>IF(AND('Ações'!AV658="sim", 'Ações'!BH658="sim"), 1, 0)
</f>
        <v>0</v>
      </c>
      <c r="AA651" s="319">
        <f>IF(AND('Ações'!AV658="sim", 'Ações'!BI658="sim"), 1, 0)
</f>
        <v>1</v>
      </c>
      <c r="AB651" s="319">
        <f>IF(AND('Ações'!AW658="sim", 'Ações'!BD658="sim"), 1, 0)
</f>
        <v>1</v>
      </c>
      <c r="AC651" s="319">
        <f>IF(AND('Ações'!AW658="sim", 'Ações'!BE658="sim"), 1, 0)
</f>
        <v>0</v>
      </c>
      <c r="AD651" s="319">
        <f>IF(AND('Ações'!AW658="sim", 'Ações'!BF658="sim"), 1, 0)
</f>
        <v>0</v>
      </c>
      <c r="AE651" s="319">
        <f>IF(AND('Ações'!AW658="sim", 'Ações'!BG658="sim"), 1, 0)
</f>
        <v>0</v>
      </c>
      <c r="AF651" s="319">
        <f>IF(AND('Ações'!AW658="sim", 'Ações'!BI658="sim"), 1, 0)
</f>
        <v>1</v>
      </c>
      <c r="AG651" s="319">
        <f>IF(AND('Ações'!AX658="sim", 'Ações'!BD658="sim"), 1, 0)
</f>
        <v>1</v>
      </c>
      <c r="AH651" s="319">
        <f>IF(AND('Ações'!AX658="sim", 'Ações'!BE658="sim"), 1, 0)
</f>
        <v>0</v>
      </c>
      <c r="AI651" s="319">
        <f>IF(AND('Ações'!AX658="sim", 'Ações'!BF658="sim"), 1, 0)
</f>
        <v>0</v>
      </c>
      <c r="AJ651" s="319">
        <f>IF(AND('Ações'!AX658="sim", 'Ações'!BG658="sim"), 1, 0)
</f>
        <v>0</v>
      </c>
      <c r="AK651" s="319">
        <f>IF(AND('Ações'!AX658="sim", 'Ações'!BH658="sim"), 1, 0)
</f>
        <v>0</v>
      </c>
    </row>
    <row r="652">
      <c r="B652" s="319">
        <f>IF(AND('Ações'!AS659="sim", 'Ações'!BD659="sim"), 1, 0)
</f>
        <v>0</v>
      </c>
      <c r="C652" s="319">
        <f>IF(AND('Ações'!AT659="sim", 'Ações'!BE659="sim"), 1, 0)
</f>
        <v>0</v>
      </c>
      <c r="D652" s="319">
        <f>IF(AND('Ações'!AU659="sim", 'Ações'!BF659="sim"), 1, 0)
</f>
        <v>0</v>
      </c>
      <c r="E652" s="319">
        <f>IF(AND('Ações'!AV659="sim", 'Ações'!BG659="sim"), 1, 0)
</f>
        <v>0</v>
      </c>
      <c r="F652" s="319">
        <f>IF(AND('Ações'!AW659="sim", 'Ações'!BH659="sim"), 1, 0)
</f>
        <v>0</v>
      </c>
      <c r="G652" s="319">
        <f>IF(AND('Ações'!AX659="sim", 'Ações'!BI659="sim"), 1, 0)
</f>
        <v>1</v>
      </c>
      <c r="H652" s="319">
        <f>IF(AND('Ações'!AS659="sim", 'Ações'!BE659="sim"), 1, 0)
</f>
        <v>0</v>
      </c>
      <c r="I652" s="319">
        <f>IF(AND('Ações'!AS659="sim", 'Ações'!BF659="sim"), 1, 0)
</f>
        <v>0</v>
      </c>
      <c r="J652" s="319">
        <f>IF(AND('Ações'!AS659="sim", 'Ações'!BG659="sim"), 1, 0)
</f>
        <v>0</v>
      </c>
      <c r="K652" s="319">
        <f>IF(AND('Ações'!AS659="sim", 'Ações'!BH659="sim"), 1, 0)
</f>
        <v>0</v>
      </c>
      <c r="L652" s="319">
        <f>IF(AND('Ações'!AS659="sim", 'Ações'!BI659="sim"), 1, 0)
</f>
        <v>0</v>
      </c>
      <c r="M652" s="319">
        <f>IF(AND('Ações'!AT659="sim", 'Ações'!BD659="sim"), 1, 0)
</f>
        <v>0</v>
      </c>
      <c r="N652" s="319">
        <f>IF(AND('Ações'!AT659="sim", 'Ações'!BF659="sim"), 1, 0)
</f>
        <v>0</v>
      </c>
      <c r="O652" s="319">
        <f>IF(AND('Ações'!AT659="sim", 'Ações'!BG659="sim"), 1, 0)
</f>
        <v>0</v>
      </c>
      <c r="P652" s="319">
        <f>IF(AND('Ações'!AT659="sim", 'Ações'!BH659="sim"), 1, 0)
</f>
        <v>0</v>
      </c>
      <c r="Q652" s="319">
        <f>IF(AND('Ações'!AT659="sim", 'Ações'!BI659="sim"), 1, 0)
</f>
        <v>1</v>
      </c>
      <c r="R652" s="319">
        <f>IF(AND('Ações'!AU659="sim", 'Ações'!BD659="sim"), 1, 0)
</f>
        <v>0</v>
      </c>
      <c r="S652" s="319">
        <f>IF(AND('Ações'!AU659="sim", 'Ações'!BE659="sim"), 1, 0)
</f>
        <v>0</v>
      </c>
      <c r="T652" s="319">
        <f>IF(AND('Ações'!AU659="sim", 'Ações'!BG659="sim"), 1, 0)
</f>
        <v>0</v>
      </c>
      <c r="U652" s="319">
        <f>IF(AND('Ações'!AU659="sim", 'Ações'!BH659="sim"), 1, 0)
</f>
        <v>0</v>
      </c>
      <c r="V652" s="319">
        <f>IF(AND('Ações'!AU659="sim", 'Ações'!BI659="sim"), 1, 0)
</f>
        <v>1</v>
      </c>
      <c r="W652" s="319">
        <f>IF(AND('Ações'!AV659="sim", 'Ações'!BD659="sim"), 1, 0)
</f>
        <v>0</v>
      </c>
      <c r="X652" s="319">
        <f>IF(AND('Ações'!AV659="sim", 'Ações'!BE659="sim"), 1, 0)
</f>
        <v>0</v>
      </c>
      <c r="Y652" s="319">
        <f>IF(AND('Ações'!AV659="sim", 'Ações'!BF659="sim"), 1, 0)
</f>
        <v>0</v>
      </c>
      <c r="Z652" s="319">
        <f>IF(AND('Ações'!AV659="sim", 'Ações'!BH659="sim"), 1, 0)
</f>
        <v>0</v>
      </c>
      <c r="AA652" s="319">
        <f>IF(AND('Ações'!AV659="sim", 'Ações'!BI659="sim"), 1, 0)
</f>
        <v>1</v>
      </c>
      <c r="AB652" s="319">
        <f>IF(AND('Ações'!AW659="sim", 'Ações'!BD659="sim"), 1, 0)
</f>
        <v>0</v>
      </c>
      <c r="AC652" s="319">
        <f>IF(AND('Ações'!AW659="sim", 'Ações'!BE659="sim"), 1, 0)
</f>
        <v>0</v>
      </c>
      <c r="AD652" s="319">
        <f>IF(AND('Ações'!AW659="sim", 'Ações'!BF659="sim"), 1, 0)
</f>
        <v>0</v>
      </c>
      <c r="AE652" s="319">
        <f>IF(AND('Ações'!AW659="sim", 'Ações'!BG659="sim"), 1, 0)
</f>
        <v>0</v>
      </c>
      <c r="AF652" s="319">
        <f>IF(AND('Ações'!AW659="sim", 'Ações'!BI659="sim"), 1, 0)
</f>
        <v>1</v>
      </c>
      <c r="AG652" s="319">
        <f>IF(AND('Ações'!AX659="sim", 'Ações'!BD659="sim"), 1, 0)
</f>
        <v>0</v>
      </c>
      <c r="AH652" s="319">
        <f>IF(AND('Ações'!AX659="sim", 'Ações'!BE659="sim"), 1, 0)
</f>
        <v>0</v>
      </c>
      <c r="AI652" s="319">
        <f>IF(AND('Ações'!AX659="sim", 'Ações'!BF659="sim"), 1, 0)
</f>
        <v>0</v>
      </c>
      <c r="AJ652" s="319">
        <f>IF(AND('Ações'!AX659="sim", 'Ações'!BG659="sim"), 1, 0)
</f>
        <v>0</v>
      </c>
      <c r="AK652" s="319">
        <f>IF(AND('Ações'!AX659="sim", 'Ações'!BH659="sim"), 1, 0)
</f>
        <v>0</v>
      </c>
    </row>
    <row r="653">
      <c r="B653" s="319">
        <f>IF(AND('Ações'!AS660="sim", 'Ações'!BD660="sim"), 1, 0)
</f>
        <v>0</v>
      </c>
      <c r="C653" s="319">
        <f>IF(AND('Ações'!AT660="sim", 'Ações'!BE660="sim"), 1, 0)
</f>
        <v>0</v>
      </c>
      <c r="D653" s="319">
        <f>IF(AND('Ações'!AU660="sim", 'Ações'!BF660="sim"), 1, 0)
</f>
        <v>0</v>
      </c>
      <c r="E653" s="319">
        <f>IF(AND('Ações'!AV660="sim", 'Ações'!BG660="sim"), 1, 0)
</f>
        <v>0</v>
      </c>
      <c r="F653" s="319">
        <f>IF(AND('Ações'!AW660="sim", 'Ações'!BH660="sim"), 1, 0)
</f>
        <v>0</v>
      </c>
      <c r="G653" s="319">
        <f>IF(AND('Ações'!AX660="sim", 'Ações'!BI660="sim"), 1, 0)
</f>
        <v>1</v>
      </c>
      <c r="H653" s="319">
        <f>IF(AND('Ações'!AS660="sim", 'Ações'!BE660="sim"), 1, 0)
</f>
        <v>0</v>
      </c>
      <c r="I653" s="319">
        <f>IF(AND('Ações'!AS660="sim", 'Ações'!BF660="sim"), 1, 0)
</f>
        <v>0</v>
      </c>
      <c r="J653" s="319">
        <f>IF(AND('Ações'!AS660="sim", 'Ações'!BG660="sim"), 1, 0)
</f>
        <v>0</v>
      </c>
      <c r="K653" s="319">
        <f>IF(AND('Ações'!AS660="sim", 'Ações'!BH660="sim"), 1, 0)
</f>
        <v>0</v>
      </c>
      <c r="L653" s="319">
        <f>IF(AND('Ações'!AS660="sim", 'Ações'!BI660="sim"), 1, 0)
</f>
        <v>0</v>
      </c>
      <c r="M653" s="319">
        <f>IF(AND('Ações'!AT660="sim", 'Ações'!BD660="sim"), 1, 0)
</f>
        <v>0</v>
      </c>
      <c r="N653" s="319">
        <f>IF(AND('Ações'!AT660="sim", 'Ações'!BF660="sim"), 1, 0)
</f>
        <v>0</v>
      </c>
      <c r="O653" s="319">
        <f>IF(AND('Ações'!AT660="sim", 'Ações'!BG660="sim"), 1, 0)
</f>
        <v>0</v>
      </c>
      <c r="P653" s="319">
        <f>IF(AND('Ações'!AT660="sim", 'Ações'!BH660="sim"), 1, 0)
</f>
        <v>0</v>
      </c>
      <c r="Q653" s="319">
        <f>IF(AND('Ações'!AT660="sim", 'Ações'!BI660="sim"), 1, 0)
</f>
        <v>1</v>
      </c>
      <c r="R653" s="319">
        <f>IF(AND('Ações'!AU660="sim", 'Ações'!BD660="sim"), 1, 0)
</f>
        <v>0</v>
      </c>
      <c r="S653" s="319">
        <f>IF(AND('Ações'!AU660="sim", 'Ações'!BE660="sim"), 1, 0)
</f>
        <v>0</v>
      </c>
      <c r="T653" s="319">
        <f>IF(AND('Ações'!AU660="sim", 'Ações'!BG660="sim"), 1, 0)
</f>
        <v>0</v>
      </c>
      <c r="U653" s="319">
        <f>IF(AND('Ações'!AU660="sim", 'Ações'!BH660="sim"), 1, 0)
</f>
        <v>0</v>
      </c>
      <c r="V653" s="319">
        <f>IF(AND('Ações'!AU660="sim", 'Ações'!BI660="sim"), 1, 0)
</f>
        <v>1</v>
      </c>
      <c r="W653" s="319">
        <f>IF(AND('Ações'!AV660="sim", 'Ações'!BD660="sim"), 1, 0)
</f>
        <v>0</v>
      </c>
      <c r="X653" s="319">
        <f>IF(AND('Ações'!AV660="sim", 'Ações'!BE660="sim"), 1, 0)
</f>
        <v>0</v>
      </c>
      <c r="Y653" s="319">
        <f>IF(AND('Ações'!AV660="sim", 'Ações'!BF660="sim"), 1, 0)
</f>
        <v>0</v>
      </c>
      <c r="Z653" s="319">
        <f>IF(AND('Ações'!AV660="sim", 'Ações'!BH660="sim"), 1, 0)
</f>
        <v>0</v>
      </c>
      <c r="AA653" s="319">
        <f>IF(AND('Ações'!AV660="sim", 'Ações'!BI660="sim"), 1, 0)
</f>
        <v>1</v>
      </c>
      <c r="AB653" s="319">
        <f>IF(AND('Ações'!AW660="sim", 'Ações'!BD660="sim"), 1, 0)
</f>
        <v>0</v>
      </c>
      <c r="AC653" s="319">
        <f>IF(AND('Ações'!AW660="sim", 'Ações'!BE660="sim"), 1, 0)
</f>
        <v>0</v>
      </c>
      <c r="AD653" s="319">
        <f>IF(AND('Ações'!AW660="sim", 'Ações'!BF660="sim"), 1, 0)
</f>
        <v>0</v>
      </c>
      <c r="AE653" s="319">
        <f>IF(AND('Ações'!AW660="sim", 'Ações'!BG660="sim"), 1, 0)
</f>
        <v>0</v>
      </c>
      <c r="AF653" s="319">
        <f>IF(AND('Ações'!AW660="sim", 'Ações'!BI660="sim"), 1, 0)
</f>
        <v>1</v>
      </c>
      <c r="AG653" s="319">
        <f>IF(AND('Ações'!AX660="sim", 'Ações'!BD660="sim"), 1, 0)
</f>
        <v>0</v>
      </c>
      <c r="AH653" s="319">
        <f>IF(AND('Ações'!AX660="sim", 'Ações'!BE660="sim"), 1, 0)
</f>
        <v>0</v>
      </c>
      <c r="AI653" s="319">
        <f>IF(AND('Ações'!AX660="sim", 'Ações'!BF660="sim"), 1, 0)
</f>
        <v>0</v>
      </c>
      <c r="AJ653" s="319">
        <f>IF(AND('Ações'!AX660="sim", 'Ações'!BG660="sim"), 1, 0)
</f>
        <v>0</v>
      </c>
      <c r="AK653" s="319">
        <f>IF(AND('Ações'!AX660="sim", 'Ações'!BH660="sim"), 1, 0)
</f>
        <v>0</v>
      </c>
    </row>
    <row r="654">
      <c r="B654" s="319">
        <f>IF(AND('Ações'!AS661="sim", 'Ações'!BD661="sim"), 1, 0)
</f>
        <v>0</v>
      </c>
      <c r="C654" s="319">
        <f>IF(AND('Ações'!AT661="sim", 'Ações'!BE661="sim"), 1, 0)
</f>
        <v>0</v>
      </c>
      <c r="D654" s="319">
        <f>IF(AND('Ações'!AU661="sim", 'Ações'!BF661="sim"), 1, 0)
</f>
        <v>0</v>
      </c>
      <c r="E654" s="319">
        <f>IF(AND('Ações'!AV661="sim", 'Ações'!BG661="sim"), 1, 0)
</f>
        <v>0</v>
      </c>
      <c r="F654" s="319">
        <f>IF(AND('Ações'!AW661="sim", 'Ações'!BH661="sim"), 1, 0)
</f>
        <v>0</v>
      </c>
      <c r="G654" s="319">
        <f>IF(AND('Ações'!AX661="sim", 'Ações'!BI661="sim"), 1, 0)
</f>
        <v>1</v>
      </c>
      <c r="H654" s="319">
        <f>IF(AND('Ações'!AS661="sim", 'Ações'!BE661="sim"), 1, 0)
</f>
        <v>0</v>
      </c>
      <c r="I654" s="319">
        <f>IF(AND('Ações'!AS661="sim", 'Ações'!BF661="sim"), 1, 0)
</f>
        <v>0</v>
      </c>
      <c r="J654" s="319">
        <f>IF(AND('Ações'!AS661="sim", 'Ações'!BG661="sim"), 1, 0)
</f>
        <v>0</v>
      </c>
      <c r="K654" s="319">
        <f>IF(AND('Ações'!AS661="sim", 'Ações'!BH661="sim"), 1, 0)
</f>
        <v>0</v>
      </c>
      <c r="L654" s="319">
        <f>IF(AND('Ações'!AS661="sim", 'Ações'!BI661="sim"), 1, 0)
</f>
        <v>0</v>
      </c>
      <c r="M654" s="319">
        <f>IF(AND('Ações'!AT661="sim", 'Ações'!BD661="sim"), 1, 0)
</f>
        <v>0</v>
      </c>
      <c r="N654" s="319">
        <f>IF(AND('Ações'!AT661="sim", 'Ações'!BF661="sim"), 1, 0)
</f>
        <v>0</v>
      </c>
      <c r="O654" s="319">
        <f>IF(AND('Ações'!AT661="sim", 'Ações'!BG661="sim"), 1, 0)
</f>
        <v>0</v>
      </c>
      <c r="P654" s="319">
        <f>IF(AND('Ações'!AT661="sim", 'Ações'!BH661="sim"), 1, 0)
</f>
        <v>0</v>
      </c>
      <c r="Q654" s="319">
        <f>IF(AND('Ações'!AT661="sim", 'Ações'!BI661="sim"), 1, 0)
</f>
        <v>0</v>
      </c>
      <c r="R654" s="319">
        <f>IF(AND('Ações'!AU661="sim", 'Ações'!BD661="sim"), 1, 0)
</f>
        <v>0</v>
      </c>
      <c r="S654" s="319">
        <f>IF(AND('Ações'!AU661="sim", 'Ações'!BE661="sim"), 1, 0)
</f>
        <v>0</v>
      </c>
      <c r="T654" s="319">
        <f>IF(AND('Ações'!AU661="sim", 'Ações'!BG661="sim"), 1, 0)
</f>
        <v>0</v>
      </c>
      <c r="U654" s="319">
        <f>IF(AND('Ações'!AU661="sim", 'Ações'!BH661="sim"), 1, 0)
</f>
        <v>0</v>
      </c>
      <c r="V654" s="319">
        <f>IF(AND('Ações'!AU661="sim", 'Ações'!BI661="sim"), 1, 0)
</f>
        <v>0</v>
      </c>
      <c r="W654" s="319">
        <f>IF(AND('Ações'!AV661="sim", 'Ações'!BD661="sim"), 1, 0)
</f>
        <v>0</v>
      </c>
      <c r="X654" s="319">
        <f>IF(AND('Ações'!AV661="sim", 'Ações'!BE661="sim"), 1, 0)
</f>
        <v>0</v>
      </c>
      <c r="Y654" s="319">
        <f>IF(AND('Ações'!AV661="sim", 'Ações'!BF661="sim"), 1, 0)
</f>
        <v>0</v>
      </c>
      <c r="Z654" s="319">
        <f>IF(AND('Ações'!AV661="sim", 'Ações'!BH661="sim"), 1, 0)
</f>
        <v>0</v>
      </c>
      <c r="AA654" s="319">
        <f>IF(AND('Ações'!AV661="sim", 'Ações'!BI661="sim"), 1, 0)
</f>
        <v>0</v>
      </c>
      <c r="AB654" s="319">
        <f>IF(AND('Ações'!AW661="sim", 'Ações'!BD661="sim"), 1, 0)
</f>
        <v>0</v>
      </c>
      <c r="AC654" s="319">
        <f>IF(AND('Ações'!AW661="sim", 'Ações'!BE661="sim"), 1, 0)
</f>
        <v>0</v>
      </c>
      <c r="AD654" s="319">
        <f>IF(AND('Ações'!AW661="sim", 'Ações'!BF661="sim"), 1, 0)
</f>
        <v>0</v>
      </c>
      <c r="AE654" s="319">
        <f>IF(AND('Ações'!AW661="sim", 'Ações'!BG661="sim"), 1, 0)
</f>
        <v>0</v>
      </c>
      <c r="AF654" s="319">
        <f>IF(AND('Ações'!AW661="sim", 'Ações'!BI661="sim"), 1, 0)
</f>
        <v>1</v>
      </c>
      <c r="AG654" s="319">
        <f>IF(AND('Ações'!AX661="sim", 'Ações'!BD661="sim"), 1, 0)
</f>
        <v>0</v>
      </c>
      <c r="AH654" s="319">
        <f>IF(AND('Ações'!AX661="sim", 'Ações'!BE661="sim"), 1, 0)
</f>
        <v>0</v>
      </c>
      <c r="AI654" s="319">
        <f>IF(AND('Ações'!AX661="sim", 'Ações'!BF661="sim"), 1, 0)
</f>
        <v>0</v>
      </c>
      <c r="AJ654" s="319">
        <f>IF(AND('Ações'!AX661="sim", 'Ações'!BG661="sim"), 1, 0)
</f>
        <v>0</v>
      </c>
      <c r="AK654" s="319">
        <f>IF(AND('Ações'!AX661="sim", 'Ações'!BH661="sim"), 1, 0)
</f>
        <v>0</v>
      </c>
    </row>
    <row r="655">
      <c r="B655" s="319">
        <f>IF(AND('Ações'!AS662="sim", 'Ações'!BD662="sim"), 1, 0)
</f>
        <v>0</v>
      </c>
      <c r="C655" s="319">
        <f>IF(AND('Ações'!AT662="sim", 'Ações'!BE662="sim"), 1, 0)
</f>
        <v>0</v>
      </c>
      <c r="D655" s="319">
        <f>IF(AND('Ações'!AU662="sim", 'Ações'!BF662="sim"), 1, 0)
</f>
        <v>0</v>
      </c>
      <c r="E655" s="319">
        <f>IF(AND('Ações'!AV662="sim", 'Ações'!BG662="sim"), 1, 0)
</f>
        <v>0</v>
      </c>
      <c r="F655" s="319">
        <f>IF(AND('Ações'!AW662="sim", 'Ações'!BH662="sim"), 1, 0)
</f>
        <v>0</v>
      </c>
      <c r="G655" s="319">
        <f>IF(AND('Ações'!AX662="sim", 'Ações'!BI662="sim"), 1, 0)
</f>
        <v>1</v>
      </c>
      <c r="H655" s="319">
        <f>IF(AND('Ações'!AS662="sim", 'Ações'!BE662="sim"), 1, 0)
</f>
        <v>0</v>
      </c>
      <c r="I655" s="319">
        <f>IF(AND('Ações'!AS662="sim", 'Ações'!BF662="sim"), 1, 0)
</f>
        <v>0</v>
      </c>
      <c r="J655" s="319">
        <f>IF(AND('Ações'!AS662="sim", 'Ações'!BG662="sim"), 1, 0)
</f>
        <v>0</v>
      </c>
      <c r="K655" s="319">
        <f>IF(AND('Ações'!AS662="sim", 'Ações'!BH662="sim"), 1, 0)
</f>
        <v>0</v>
      </c>
      <c r="L655" s="319">
        <f>IF(AND('Ações'!AS662="sim", 'Ações'!BI662="sim"), 1, 0)
</f>
        <v>0</v>
      </c>
      <c r="M655" s="319">
        <f>IF(AND('Ações'!AT662="sim", 'Ações'!BD662="sim"), 1, 0)
</f>
        <v>0</v>
      </c>
      <c r="N655" s="319">
        <f>IF(AND('Ações'!AT662="sim", 'Ações'!BF662="sim"), 1, 0)
</f>
        <v>0</v>
      </c>
      <c r="O655" s="319">
        <f>IF(AND('Ações'!AT662="sim", 'Ações'!BG662="sim"), 1, 0)
</f>
        <v>0</v>
      </c>
      <c r="P655" s="319">
        <f>IF(AND('Ações'!AT662="sim", 'Ações'!BH662="sim"), 1, 0)
</f>
        <v>0</v>
      </c>
      <c r="Q655" s="319">
        <f>IF(AND('Ações'!AT662="sim", 'Ações'!BI662="sim"), 1, 0)
</f>
        <v>0</v>
      </c>
      <c r="R655" s="319">
        <f>IF(AND('Ações'!AU662="sim", 'Ações'!BD662="sim"), 1, 0)
</f>
        <v>0</v>
      </c>
      <c r="S655" s="319">
        <f>IF(AND('Ações'!AU662="sim", 'Ações'!BE662="sim"), 1, 0)
</f>
        <v>0</v>
      </c>
      <c r="T655" s="319">
        <f>IF(AND('Ações'!AU662="sim", 'Ações'!BG662="sim"), 1, 0)
</f>
        <v>0</v>
      </c>
      <c r="U655" s="319">
        <f>IF(AND('Ações'!AU662="sim", 'Ações'!BH662="sim"), 1, 0)
</f>
        <v>0</v>
      </c>
      <c r="V655" s="319">
        <f>IF(AND('Ações'!AU662="sim", 'Ações'!BI662="sim"), 1, 0)
</f>
        <v>0</v>
      </c>
      <c r="W655" s="319">
        <f>IF(AND('Ações'!AV662="sim", 'Ações'!BD662="sim"), 1, 0)
</f>
        <v>0</v>
      </c>
      <c r="X655" s="319">
        <f>IF(AND('Ações'!AV662="sim", 'Ações'!BE662="sim"), 1, 0)
</f>
        <v>0</v>
      </c>
      <c r="Y655" s="319">
        <f>IF(AND('Ações'!AV662="sim", 'Ações'!BF662="sim"), 1, 0)
</f>
        <v>0</v>
      </c>
      <c r="Z655" s="319">
        <f>IF(AND('Ações'!AV662="sim", 'Ações'!BH662="sim"), 1, 0)
</f>
        <v>0</v>
      </c>
      <c r="AA655" s="319">
        <f>IF(AND('Ações'!AV662="sim", 'Ações'!BI662="sim"), 1, 0)
</f>
        <v>0</v>
      </c>
      <c r="AB655" s="319">
        <f>IF(AND('Ações'!AW662="sim", 'Ações'!BD662="sim"), 1, 0)
</f>
        <v>0</v>
      </c>
      <c r="AC655" s="319">
        <f>IF(AND('Ações'!AW662="sim", 'Ações'!BE662="sim"), 1, 0)
</f>
        <v>0</v>
      </c>
      <c r="AD655" s="319">
        <f>IF(AND('Ações'!AW662="sim", 'Ações'!BF662="sim"), 1, 0)
</f>
        <v>0</v>
      </c>
      <c r="AE655" s="319">
        <f>IF(AND('Ações'!AW662="sim", 'Ações'!BG662="sim"), 1, 0)
</f>
        <v>0</v>
      </c>
      <c r="AF655" s="319">
        <f>IF(AND('Ações'!AW662="sim", 'Ações'!BI662="sim"), 1, 0)
</f>
        <v>1</v>
      </c>
      <c r="AG655" s="319">
        <f>IF(AND('Ações'!AX662="sim", 'Ações'!BD662="sim"), 1, 0)
</f>
        <v>0</v>
      </c>
      <c r="AH655" s="319">
        <f>IF(AND('Ações'!AX662="sim", 'Ações'!BE662="sim"), 1, 0)
</f>
        <v>0</v>
      </c>
      <c r="AI655" s="319">
        <f>IF(AND('Ações'!AX662="sim", 'Ações'!BF662="sim"), 1, 0)
</f>
        <v>0</v>
      </c>
      <c r="AJ655" s="319">
        <f>IF(AND('Ações'!AX662="sim", 'Ações'!BG662="sim"), 1, 0)
</f>
        <v>0</v>
      </c>
      <c r="AK655" s="319">
        <f>IF(AND('Ações'!AX662="sim", 'Ações'!BH662="sim"), 1, 0)
</f>
        <v>0</v>
      </c>
    </row>
    <row r="656">
      <c r="B656" s="319">
        <f>IF(AND('Ações'!AS663="sim", 'Ações'!BD663="sim"), 1, 0)
</f>
        <v>0</v>
      </c>
      <c r="C656" s="319">
        <f>IF(AND('Ações'!AT663="sim", 'Ações'!BE663="sim"), 1, 0)
</f>
        <v>0</v>
      </c>
      <c r="D656" s="319">
        <f>IF(AND('Ações'!AU663="sim", 'Ações'!BF663="sim"), 1, 0)
</f>
        <v>0</v>
      </c>
      <c r="E656" s="319">
        <f>IF(AND('Ações'!AV663="sim", 'Ações'!BG663="sim"), 1, 0)
</f>
        <v>0</v>
      </c>
      <c r="F656" s="319">
        <f>IF(AND('Ações'!AW663="sim", 'Ações'!BH663="sim"), 1, 0)
</f>
        <v>0</v>
      </c>
      <c r="G656" s="319">
        <f>IF(AND('Ações'!AX663="sim", 'Ações'!BI663="sim"), 1, 0)
</f>
        <v>1</v>
      </c>
      <c r="H656" s="319">
        <f>IF(AND('Ações'!AS663="sim", 'Ações'!BE663="sim"), 1, 0)
</f>
        <v>0</v>
      </c>
      <c r="I656" s="319">
        <f>IF(AND('Ações'!AS663="sim", 'Ações'!BF663="sim"), 1, 0)
</f>
        <v>0</v>
      </c>
      <c r="J656" s="319">
        <f>IF(AND('Ações'!AS663="sim", 'Ações'!BG663="sim"), 1, 0)
</f>
        <v>0</v>
      </c>
      <c r="K656" s="319">
        <f>IF(AND('Ações'!AS663="sim", 'Ações'!BH663="sim"), 1, 0)
</f>
        <v>0</v>
      </c>
      <c r="L656" s="319">
        <f>IF(AND('Ações'!AS663="sim", 'Ações'!BI663="sim"), 1, 0)
</f>
        <v>0</v>
      </c>
      <c r="M656" s="319">
        <f>IF(AND('Ações'!AT663="sim", 'Ações'!BD663="sim"), 1, 0)
</f>
        <v>0</v>
      </c>
      <c r="N656" s="319">
        <f>IF(AND('Ações'!AT663="sim", 'Ações'!BF663="sim"), 1, 0)
</f>
        <v>0</v>
      </c>
      <c r="O656" s="319">
        <f>IF(AND('Ações'!AT663="sim", 'Ações'!BG663="sim"), 1, 0)
</f>
        <v>0</v>
      </c>
      <c r="P656" s="319">
        <f>IF(AND('Ações'!AT663="sim", 'Ações'!BH663="sim"), 1, 0)
</f>
        <v>0</v>
      </c>
      <c r="Q656" s="319">
        <f>IF(AND('Ações'!AT663="sim", 'Ações'!BI663="sim"), 1, 0)
</f>
        <v>0</v>
      </c>
      <c r="R656" s="319">
        <f>IF(AND('Ações'!AU663="sim", 'Ações'!BD663="sim"), 1, 0)
</f>
        <v>0</v>
      </c>
      <c r="S656" s="319">
        <f>IF(AND('Ações'!AU663="sim", 'Ações'!BE663="sim"), 1, 0)
</f>
        <v>0</v>
      </c>
      <c r="T656" s="319">
        <f>IF(AND('Ações'!AU663="sim", 'Ações'!BG663="sim"), 1, 0)
</f>
        <v>0</v>
      </c>
      <c r="U656" s="319">
        <f>IF(AND('Ações'!AU663="sim", 'Ações'!BH663="sim"), 1, 0)
</f>
        <v>0</v>
      </c>
      <c r="V656" s="319">
        <f>IF(AND('Ações'!AU663="sim", 'Ações'!BI663="sim"), 1, 0)
</f>
        <v>0</v>
      </c>
      <c r="W656" s="319">
        <f>IF(AND('Ações'!AV663="sim", 'Ações'!BD663="sim"), 1, 0)
</f>
        <v>0</v>
      </c>
      <c r="X656" s="319">
        <f>IF(AND('Ações'!AV663="sim", 'Ações'!BE663="sim"), 1, 0)
</f>
        <v>0</v>
      </c>
      <c r="Y656" s="319">
        <f>IF(AND('Ações'!AV663="sim", 'Ações'!BF663="sim"), 1, 0)
</f>
        <v>0</v>
      </c>
      <c r="Z656" s="319">
        <f>IF(AND('Ações'!AV663="sim", 'Ações'!BH663="sim"), 1, 0)
</f>
        <v>0</v>
      </c>
      <c r="AA656" s="319">
        <f>IF(AND('Ações'!AV663="sim", 'Ações'!BI663="sim"), 1, 0)
</f>
        <v>0</v>
      </c>
      <c r="AB656" s="319">
        <f>IF(AND('Ações'!AW663="sim", 'Ações'!BD663="sim"), 1, 0)
</f>
        <v>0</v>
      </c>
      <c r="AC656" s="319">
        <f>IF(AND('Ações'!AW663="sim", 'Ações'!BE663="sim"), 1, 0)
</f>
        <v>0</v>
      </c>
      <c r="AD656" s="319">
        <f>IF(AND('Ações'!AW663="sim", 'Ações'!BF663="sim"), 1, 0)
</f>
        <v>0</v>
      </c>
      <c r="AE656" s="319">
        <f>IF(AND('Ações'!AW663="sim", 'Ações'!BG663="sim"), 1, 0)
</f>
        <v>0</v>
      </c>
      <c r="AF656" s="319">
        <f>IF(AND('Ações'!AW663="sim", 'Ações'!BI663="sim"), 1, 0)
</f>
        <v>1</v>
      </c>
      <c r="AG656" s="319">
        <f>IF(AND('Ações'!AX663="sim", 'Ações'!BD663="sim"), 1, 0)
</f>
        <v>0</v>
      </c>
      <c r="AH656" s="319">
        <f>IF(AND('Ações'!AX663="sim", 'Ações'!BE663="sim"), 1, 0)
</f>
        <v>0</v>
      </c>
      <c r="AI656" s="319">
        <f>IF(AND('Ações'!AX663="sim", 'Ações'!BF663="sim"), 1, 0)
</f>
        <v>0</v>
      </c>
      <c r="AJ656" s="319">
        <f>IF(AND('Ações'!AX663="sim", 'Ações'!BG663="sim"), 1, 0)
</f>
        <v>0</v>
      </c>
      <c r="AK656" s="319">
        <f>IF(AND('Ações'!AX663="sim", 'Ações'!BH663="sim"), 1, 0)
</f>
        <v>0</v>
      </c>
    </row>
    <row r="657">
      <c r="B657" s="319">
        <f>IF(AND('Ações'!AS664="sim", 'Ações'!BD664="sim"), 1, 0)
</f>
        <v>0</v>
      </c>
      <c r="C657" s="319">
        <f>IF(AND('Ações'!AT664="sim", 'Ações'!BE664="sim"), 1, 0)
</f>
        <v>0</v>
      </c>
      <c r="D657" s="319">
        <f>IF(AND('Ações'!AU664="sim", 'Ações'!BF664="sim"), 1, 0)
</f>
        <v>0</v>
      </c>
      <c r="E657" s="319">
        <f>IF(AND('Ações'!AV664="sim", 'Ações'!BG664="sim"), 1, 0)
</f>
        <v>0</v>
      </c>
      <c r="F657" s="319">
        <f>IF(AND('Ações'!AW664="sim", 'Ações'!BH664="sim"), 1, 0)
</f>
        <v>0</v>
      </c>
      <c r="G657" s="319">
        <f>IF(AND('Ações'!AX664="sim", 'Ações'!BI664="sim"), 1, 0)
</f>
        <v>1</v>
      </c>
      <c r="H657" s="319">
        <f>IF(AND('Ações'!AS664="sim", 'Ações'!BE664="sim"), 1, 0)
</f>
        <v>0</v>
      </c>
      <c r="I657" s="319">
        <f>IF(AND('Ações'!AS664="sim", 'Ações'!BF664="sim"), 1, 0)
</f>
        <v>0</v>
      </c>
      <c r="J657" s="319">
        <f>IF(AND('Ações'!AS664="sim", 'Ações'!BG664="sim"), 1, 0)
</f>
        <v>0</v>
      </c>
      <c r="K657" s="319">
        <f>IF(AND('Ações'!AS664="sim", 'Ações'!BH664="sim"), 1, 0)
</f>
        <v>0</v>
      </c>
      <c r="L657" s="319">
        <f>IF(AND('Ações'!AS664="sim", 'Ações'!BI664="sim"), 1, 0)
</f>
        <v>0</v>
      </c>
      <c r="M657" s="319">
        <f>IF(AND('Ações'!AT664="sim", 'Ações'!BD664="sim"), 1, 0)
</f>
        <v>0</v>
      </c>
      <c r="N657" s="319">
        <f>IF(AND('Ações'!AT664="sim", 'Ações'!BF664="sim"), 1, 0)
</f>
        <v>0</v>
      </c>
      <c r="O657" s="319">
        <f>IF(AND('Ações'!AT664="sim", 'Ações'!BG664="sim"), 1, 0)
</f>
        <v>0</v>
      </c>
      <c r="P657" s="319">
        <f>IF(AND('Ações'!AT664="sim", 'Ações'!BH664="sim"), 1, 0)
</f>
        <v>0</v>
      </c>
      <c r="Q657" s="319">
        <f>IF(AND('Ações'!AT664="sim", 'Ações'!BI664="sim"), 1, 0)
</f>
        <v>0</v>
      </c>
      <c r="R657" s="319">
        <f>IF(AND('Ações'!AU664="sim", 'Ações'!BD664="sim"), 1, 0)
</f>
        <v>0</v>
      </c>
      <c r="S657" s="319">
        <f>IF(AND('Ações'!AU664="sim", 'Ações'!BE664="sim"), 1, 0)
</f>
        <v>0</v>
      </c>
      <c r="T657" s="319">
        <f>IF(AND('Ações'!AU664="sim", 'Ações'!BG664="sim"), 1, 0)
</f>
        <v>0</v>
      </c>
      <c r="U657" s="319">
        <f>IF(AND('Ações'!AU664="sim", 'Ações'!BH664="sim"), 1, 0)
</f>
        <v>0</v>
      </c>
      <c r="V657" s="319">
        <f>IF(AND('Ações'!AU664="sim", 'Ações'!BI664="sim"), 1, 0)
</f>
        <v>0</v>
      </c>
      <c r="W657" s="319">
        <f>IF(AND('Ações'!AV664="sim", 'Ações'!BD664="sim"), 1, 0)
</f>
        <v>0</v>
      </c>
      <c r="X657" s="319">
        <f>IF(AND('Ações'!AV664="sim", 'Ações'!BE664="sim"), 1, 0)
</f>
        <v>0</v>
      </c>
      <c r="Y657" s="319">
        <f>IF(AND('Ações'!AV664="sim", 'Ações'!BF664="sim"), 1, 0)
</f>
        <v>0</v>
      </c>
      <c r="Z657" s="319">
        <f>IF(AND('Ações'!AV664="sim", 'Ações'!BH664="sim"), 1, 0)
</f>
        <v>0</v>
      </c>
      <c r="AA657" s="319">
        <f>IF(AND('Ações'!AV664="sim", 'Ações'!BI664="sim"), 1, 0)
</f>
        <v>0</v>
      </c>
      <c r="AB657" s="319">
        <f>IF(AND('Ações'!AW664="sim", 'Ações'!BD664="sim"), 1, 0)
</f>
        <v>0</v>
      </c>
      <c r="AC657" s="319">
        <f>IF(AND('Ações'!AW664="sim", 'Ações'!BE664="sim"), 1, 0)
</f>
        <v>0</v>
      </c>
      <c r="AD657" s="319">
        <f>IF(AND('Ações'!AW664="sim", 'Ações'!BF664="sim"), 1, 0)
</f>
        <v>0</v>
      </c>
      <c r="AE657" s="319">
        <f>IF(AND('Ações'!AW664="sim", 'Ações'!BG664="sim"), 1, 0)
</f>
        <v>0</v>
      </c>
      <c r="AF657" s="319">
        <f>IF(AND('Ações'!AW664="sim", 'Ações'!BI664="sim"), 1, 0)
</f>
        <v>1</v>
      </c>
      <c r="AG657" s="319">
        <f>IF(AND('Ações'!AX664="sim", 'Ações'!BD664="sim"), 1, 0)
</f>
        <v>0</v>
      </c>
      <c r="AH657" s="319">
        <f>IF(AND('Ações'!AX664="sim", 'Ações'!BE664="sim"), 1, 0)
</f>
        <v>0</v>
      </c>
      <c r="AI657" s="319">
        <f>IF(AND('Ações'!AX664="sim", 'Ações'!BF664="sim"), 1, 0)
</f>
        <v>0</v>
      </c>
      <c r="AJ657" s="319">
        <f>IF(AND('Ações'!AX664="sim", 'Ações'!BG664="sim"), 1, 0)
</f>
        <v>0</v>
      </c>
      <c r="AK657" s="319">
        <f>IF(AND('Ações'!AX664="sim", 'Ações'!BH664="sim"), 1, 0)
</f>
        <v>0</v>
      </c>
    </row>
    <row r="658">
      <c r="B658" s="319">
        <f>IF(AND('Ações'!AS665="sim", 'Ações'!BD665="sim"), 1, 0)
</f>
        <v>0</v>
      </c>
      <c r="C658" s="319">
        <f>IF(AND('Ações'!AT665="sim", 'Ações'!BE665="sim"), 1, 0)
</f>
        <v>0</v>
      </c>
      <c r="D658" s="319">
        <f>IF(AND('Ações'!AU665="sim", 'Ações'!BF665="sim"), 1, 0)
</f>
        <v>0</v>
      </c>
      <c r="E658" s="319">
        <f>IF(AND('Ações'!AV665="sim", 'Ações'!BG665="sim"), 1, 0)
</f>
        <v>0</v>
      </c>
      <c r="F658" s="319">
        <f>IF(AND('Ações'!AW665="sim", 'Ações'!BH665="sim"), 1, 0)
</f>
        <v>0</v>
      </c>
      <c r="G658" s="319">
        <f>IF(AND('Ações'!AX665="sim", 'Ações'!BI665="sim"), 1, 0)
</f>
        <v>1</v>
      </c>
      <c r="H658" s="319">
        <f>IF(AND('Ações'!AS665="sim", 'Ações'!BE665="sim"), 1, 0)
</f>
        <v>0</v>
      </c>
      <c r="I658" s="319">
        <f>IF(AND('Ações'!AS665="sim", 'Ações'!BF665="sim"), 1, 0)
</f>
        <v>0</v>
      </c>
      <c r="J658" s="319">
        <f>IF(AND('Ações'!AS665="sim", 'Ações'!BG665="sim"), 1, 0)
</f>
        <v>0</v>
      </c>
      <c r="K658" s="319">
        <f>IF(AND('Ações'!AS665="sim", 'Ações'!BH665="sim"), 1, 0)
</f>
        <v>0</v>
      </c>
      <c r="L658" s="319">
        <f>IF(AND('Ações'!AS665="sim", 'Ações'!BI665="sim"), 1, 0)
</f>
        <v>0</v>
      </c>
      <c r="M658" s="319">
        <f>IF(AND('Ações'!AT665="sim", 'Ações'!BD665="sim"), 1, 0)
</f>
        <v>0</v>
      </c>
      <c r="N658" s="319">
        <f>IF(AND('Ações'!AT665="sim", 'Ações'!BF665="sim"), 1, 0)
</f>
        <v>0</v>
      </c>
      <c r="O658" s="319">
        <f>IF(AND('Ações'!AT665="sim", 'Ações'!BG665="sim"), 1, 0)
</f>
        <v>0</v>
      </c>
      <c r="P658" s="319">
        <f>IF(AND('Ações'!AT665="sim", 'Ações'!BH665="sim"), 1, 0)
</f>
        <v>0</v>
      </c>
      <c r="Q658" s="319">
        <f>IF(AND('Ações'!AT665="sim", 'Ações'!BI665="sim"), 1, 0)
</f>
        <v>0</v>
      </c>
      <c r="R658" s="319">
        <f>IF(AND('Ações'!AU665="sim", 'Ações'!BD665="sim"), 1, 0)
</f>
        <v>0</v>
      </c>
      <c r="S658" s="319">
        <f>IF(AND('Ações'!AU665="sim", 'Ações'!BE665="sim"), 1, 0)
</f>
        <v>0</v>
      </c>
      <c r="T658" s="319">
        <f>IF(AND('Ações'!AU665="sim", 'Ações'!BG665="sim"), 1, 0)
</f>
        <v>0</v>
      </c>
      <c r="U658" s="319">
        <f>IF(AND('Ações'!AU665="sim", 'Ações'!BH665="sim"), 1, 0)
</f>
        <v>0</v>
      </c>
      <c r="V658" s="319">
        <f>IF(AND('Ações'!AU665="sim", 'Ações'!BI665="sim"), 1, 0)
</f>
        <v>0</v>
      </c>
      <c r="W658" s="319">
        <f>IF(AND('Ações'!AV665="sim", 'Ações'!BD665="sim"), 1, 0)
</f>
        <v>0</v>
      </c>
      <c r="X658" s="319">
        <f>IF(AND('Ações'!AV665="sim", 'Ações'!BE665="sim"), 1, 0)
</f>
        <v>0</v>
      </c>
      <c r="Y658" s="319">
        <f>IF(AND('Ações'!AV665="sim", 'Ações'!BF665="sim"), 1, 0)
</f>
        <v>0</v>
      </c>
      <c r="Z658" s="319">
        <f>IF(AND('Ações'!AV665="sim", 'Ações'!BH665="sim"), 1, 0)
</f>
        <v>0</v>
      </c>
      <c r="AA658" s="319">
        <f>IF(AND('Ações'!AV665="sim", 'Ações'!BI665="sim"), 1, 0)
</f>
        <v>0</v>
      </c>
      <c r="AB658" s="319">
        <f>IF(AND('Ações'!AW665="sim", 'Ações'!BD665="sim"), 1, 0)
</f>
        <v>0</v>
      </c>
      <c r="AC658" s="319">
        <f>IF(AND('Ações'!AW665="sim", 'Ações'!BE665="sim"), 1, 0)
</f>
        <v>0</v>
      </c>
      <c r="AD658" s="319">
        <f>IF(AND('Ações'!AW665="sim", 'Ações'!BF665="sim"), 1, 0)
</f>
        <v>0</v>
      </c>
      <c r="AE658" s="319">
        <f>IF(AND('Ações'!AW665="sim", 'Ações'!BG665="sim"), 1, 0)
</f>
        <v>0</v>
      </c>
      <c r="AF658" s="319">
        <f>IF(AND('Ações'!AW665="sim", 'Ações'!BI665="sim"), 1, 0)
</f>
        <v>1</v>
      </c>
      <c r="AG658" s="319">
        <f>IF(AND('Ações'!AX665="sim", 'Ações'!BD665="sim"), 1, 0)
</f>
        <v>0</v>
      </c>
      <c r="AH658" s="319">
        <f>IF(AND('Ações'!AX665="sim", 'Ações'!BE665="sim"), 1, 0)
</f>
        <v>0</v>
      </c>
      <c r="AI658" s="319">
        <f>IF(AND('Ações'!AX665="sim", 'Ações'!BF665="sim"), 1, 0)
</f>
        <v>0</v>
      </c>
      <c r="AJ658" s="319">
        <f>IF(AND('Ações'!AX665="sim", 'Ações'!BG665="sim"), 1, 0)
</f>
        <v>0</v>
      </c>
      <c r="AK658" s="319">
        <f>IF(AND('Ações'!AX665="sim", 'Ações'!BH665="sim"), 1, 0)
</f>
        <v>0</v>
      </c>
    </row>
    <row r="659">
      <c r="B659" s="319">
        <f>IF(AND('Ações'!AS666="sim", 'Ações'!BD666="sim"), 1, 0)
</f>
        <v>0</v>
      </c>
      <c r="C659" s="319">
        <f>IF(AND('Ações'!AT666="sim", 'Ações'!BE666="sim"), 1, 0)
</f>
        <v>0</v>
      </c>
      <c r="D659" s="319">
        <f>IF(AND('Ações'!AU666="sim", 'Ações'!BF666="sim"), 1, 0)
</f>
        <v>0</v>
      </c>
      <c r="E659" s="319">
        <f>IF(AND('Ações'!AV666="sim", 'Ações'!BG666="sim"), 1, 0)
</f>
        <v>0</v>
      </c>
      <c r="F659" s="319">
        <f>IF(AND('Ações'!AW666="sim", 'Ações'!BH666="sim"), 1, 0)
</f>
        <v>0</v>
      </c>
      <c r="G659" s="319">
        <f>IF(AND('Ações'!AX666="sim", 'Ações'!BI666="sim"), 1, 0)
</f>
        <v>0</v>
      </c>
      <c r="H659" s="319">
        <f>IF(AND('Ações'!AS666="sim", 'Ações'!BE666="sim"), 1, 0)
</f>
        <v>0</v>
      </c>
      <c r="I659" s="319">
        <f>IF(AND('Ações'!AS666="sim", 'Ações'!BF666="sim"), 1, 0)
</f>
        <v>0</v>
      </c>
      <c r="J659" s="319">
        <f>IF(AND('Ações'!AS666="sim", 'Ações'!BG666="sim"), 1, 0)
</f>
        <v>0</v>
      </c>
      <c r="K659" s="319">
        <f>IF(AND('Ações'!AS666="sim", 'Ações'!BH666="sim"), 1, 0)
</f>
        <v>0</v>
      </c>
      <c r="L659" s="319">
        <f>IF(AND('Ações'!AS666="sim", 'Ações'!BI666="sim"), 1, 0)
</f>
        <v>0</v>
      </c>
      <c r="M659" s="319">
        <f>IF(AND('Ações'!AT666="sim", 'Ações'!BD666="sim"), 1, 0)
</f>
        <v>0</v>
      </c>
      <c r="N659" s="319">
        <f>IF(AND('Ações'!AT666="sim", 'Ações'!BF666="sim"), 1, 0)
</f>
        <v>0</v>
      </c>
      <c r="O659" s="319">
        <f>IF(AND('Ações'!AT666="sim", 'Ações'!BG666="sim"), 1, 0)
</f>
        <v>0</v>
      </c>
      <c r="P659" s="319">
        <f>IF(AND('Ações'!AT666="sim", 'Ações'!BH666="sim"), 1, 0)
</f>
        <v>0</v>
      </c>
      <c r="Q659" s="319">
        <f>IF(AND('Ações'!AT666="sim", 'Ações'!BI666="sim"), 1, 0)
</f>
        <v>0</v>
      </c>
      <c r="R659" s="319">
        <f>IF(AND('Ações'!AU666="sim", 'Ações'!BD666="sim"), 1, 0)
</f>
        <v>0</v>
      </c>
      <c r="S659" s="319">
        <f>IF(AND('Ações'!AU666="sim", 'Ações'!BE666="sim"), 1, 0)
</f>
        <v>0</v>
      </c>
      <c r="T659" s="319">
        <f>IF(AND('Ações'!AU666="sim", 'Ações'!BG666="sim"), 1, 0)
</f>
        <v>0</v>
      </c>
      <c r="U659" s="319">
        <f>IF(AND('Ações'!AU666="sim", 'Ações'!BH666="sim"), 1, 0)
</f>
        <v>0</v>
      </c>
      <c r="V659" s="319">
        <f>IF(AND('Ações'!AU666="sim", 'Ações'!BI666="sim"), 1, 0)
</f>
        <v>0</v>
      </c>
      <c r="W659" s="319">
        <f>IF(AND('Ações'!AV666="sim", 'Ações'!BD666="sim"), 1, 0)
</f>
        <v>0</v>
      </c>
      <c r="X659" s="319">
        <f>IF(AND('Ações'!AV666="sim", 'Ações'!BE666="sim"), 1, 0)
</f>
        <v>0</v>
      </c>
      <c r="Y659" s="319">
        <f>IF(AND('Ações'!AV666="sim", 'Ações'!BF666="sim"), 1, 0)
</f>
        <v>0</v>
      </c>
      <c r="Z659" s="319">
        <f>IF(AND('Ações'!AV666="sim", 'Ações'!BH666="sim"), 1, 0)
</f>
        <v>0</v>
      </c>
      <c r="AA659" s="319">
        <f>IF(AND('Ações'!AV666="sim", 'Ações'!BI666="sim"), 1, 0)
</f>
        <v>0</v>
      </c>
      <c r="AB659" s="319">
        <f>IF(AND('Ações'!AW666="sim", 'Ações'!BD666="sim"), 1, 0)
</f>
        <v>1</v>
      </c>
      <c r="AC659" s="319">
        <f>IF(AND('Ações'!AW666="sim", 'Ações'!BE666="sim"), 1, 0)
</f>
        <v>0</v>
      </c>
      <c r="AD659" s="319">
        <f>IF(AND('Ações'!AW666="sim", 'Ações'!BF666="sim"), 1, 0)
</f>
        <v>0</v>
      </c>
      <c r="AE659" s="319">
        <f>IF(AND('Ações'!AW666="sim", 'Ações'!BG666="sim"), 1, 0)
</f>
        <v>0</v>
      </c>
      <c r="AF659" s="319">
        <f>IF(AND('Ações'!AW666="sim", 'Ações'!BI666="sim"), 1, 0)
</f>
        <v>0</v>
      </c>
      <c r="AG659" s="319">
        <f>IF(AND('Ações'!AX666="sim", 'Ações'!BD666="sim"), 1, 0)
</f>
        <v>1</v>
      </c>
      <c r="AH659" s="319">
        <f>IF(AND('Ações'!AX666="sim", 'Ações'!BE666="sim"), 1, 0)
</f>
        <v>0</v>
      </c>
      <c r="AI659" s="319">
        <f>IF(AND('Ações'!AX666="sim", 'Ações'!BF666="sim"), 1, 0)
</f>
        <v>0</v>
      </c>
      <c r="AJ659" s="319">
        <f>IF(AND('Ações'!AX666="sim", 'Ações'!BG666="sim"), 1, 0)
</f>
        <v>0</v>
      </c>
      <c r="AK659" s="319">
        <f>IF(AND('Ações'!AX666="sim", 'Ações'!BH666="sim"), 1, 0)
</f>
        <v>0</v>
      </c>
    </row>
    <row r="660">
      <c r="B660" s="319">
        <f>IF(AND('Ações'!AS667="sim", 'Ações'!BD667="sim"), 1, 0)
</f>
        <v>0</v>
      </c>
      <c r="C660" s="319">
        <f>IF(AND('Ações'!AT667="sim", 'Ações'!BE667="sim"), 1, 0)
</f>
        <v>0</v>
      </c>
      <c r="D660" s="319">
        <f>IF(AND('Ações'!AU667="sim", 'Ações'!BF667="sim"), 1, 0)
</f>
        <v>0</v>
      </c>
      <c r="E660" s="319">
        <f>IF(AND('Ações'!AV667="sim", 'Ações'!BG667="sim"), 1, 0)
</f>
        <v>0</v>
      </c>
      <c r="F660" s="319">
        <f>IF(AND('Ações'!AW667="sim", 'Ações'!BH667="sim"), 1, 0)
</f>
        <v>0</v>
      </c>
      <c r="G660" s="319">
        <f>IF(AND('Ações'!AX667="sim", 'Ações'!BI667="sim"), 1, 0)
</f>
        <v>1</v>
      </c>
      <c r="H660" s="319">
        <f>IF(AND('Ações'!AS667="sim", 'Ações'!BE667="sim"), 1, 0)
</f>
        <v>0</v>
      </c>
      <c r="I660" s="319">
        <f>IF(AND('Ações'!AS667="sim", 'Ações'!BF667="sim"), 1, 0)
</f>
        <v>0</v>
      </c>
      <c r="J660" s="319">
        <f>IF(AND('Ações'!AS667="sim", 'Ações'!BG667="sim"), 1, 0)
</f>
        <v>0</v>
      </c>
      <c r="K660" s="319">
        <f>IF(AND('Ações'!AS667="sim", 'Ações'!BH667="sim"), 1, 0)
</f>
        <v>0</v>
      </c>
      <c r="L660" s="319">
        <f>IF(AND('Ações'!AS667="sim", 'Ações'!BI667="sim"), 1, 0)
</f>
        <v>0</v>
      </c>
      <c r="M660" s="319">
        <f>IF(AND('Ações'!AT667="sim", 'Ações'!BD667="sim"), 1, 0)
</f>
        <v>0</v>
      </c>
      <c r="N660" s="319">
        <f>IF(AND('Ações'!AT667="sim", 'Ações'!BF667="sim"), 1, 0)
</f>
        <v>0</v>
      </c>
      <c r="O660" s="319">
        <f>IF(AND('Ações'!AT667="sim", 'Ações'!BG667="sim"), 1, 0)
</f>
        <v>0</v>
      </c>
      <c r="P660" s="319">
        <f>IF(AND('Ações'!AT667="sim", 'Ações'!BH667="sim"), 1, 0)
</f>
        <v>0</v>
      </c>
      <c r="Q660" s="319">
        <f>IF(AND('Ações'!AT667="sim", 'Ações'!BI667="sim"), 1, 0)
</f>
        <v>0</v>
      </c>
      <c r="R660" s="319">
        <f>IF(AND('Ações'!AU667="sim", 'Ações'!BD667="sim"), 1, 0)
</f>
        <v>0</v>
      </c>
      <c r="S660" s="319">
        <f>IF(AND('Ações'!AU667="sim", 'Ações'!BE667="sim"), 1, 0)
</f>
        <v>0</v>
      </c>
      <c r="T660" s="319">
        <f>IF(AND('Ações'!AU667="sim", 'Ações'!BG667="sim"), 1, 0)
</f>
        <v>0</v>
      </c>
      <c r="U660" s="319">
        <f>IF(AND('Ações'!AU667="sim", 'Ações'!BH667="sim"), 1, 0)
</f>
        <v>0</v>
      </c>
      <c r="V660" s="319">
        <f>IF(AND('Ações'!AU667="sim", 'Ações'!BI667="sim"), 1, 0)
</f>
        <v>0</v>
      </c>
      <c r="W660" s="319">
        <f>IF(AND('Ações'!AV667="sim", 'Ações'!BD667="sim"), 1, 0)
</f>
        <v>0</v>
      </c>
      <c r="X660" s="319">
        <f>IF(AND('Ações'!AV667="sim", 'Ações'!BE667="sim"), 1, 0)
</f>
        <v>0</v>
      </c>
      <c r="Y660" s="319">
        <f>IF(AND('Ações'!AV667="sim", 'Ações'!BF667="sim"), 1, 0)
</f>
        <v>0</v>
      </c>
      <c r="Z660" s="319">
        <f>IF(AND('Ações'!AV667="sim", 'Ações'!BH667="sim"), 1, 0)
</f>
        <v>0</v>
      </c>
      <c r="AA660" s="319">
        <f>IF(AND('Ações'!AV667="sim", 'Ações'!BI667="sim"), 1, 0)
</f>
        <v>0</v>
      </c>
      <c r="AB660" s="319">
        <f>IF(AND('Ações'!AW667="sim", 'Ações'!BD667="sim"), 1, 0)
</f>
        <v>1</v>
      </c>
      <c r="AC660" s="319">
        <f>IF(AND('Ações'!AW667="sim", 'Ações'!BE667="sim"), 1, 0)
</f>
        <v>0</v>
      </c>
      <c r="AD660" s="319">
        <f>IF(AND('Ações'!AW667="sim", 'Ações'!BF667="sim"), 1, 0)
</f>
        <v>0</v>
      </c>
      <c r="AE660" s="319">
        <f>IF(AND('Ações'!AW667="sim", 'Ações'!BG667="sim"), 1, 0)
</f>
        <v>0</v>
      </c>
      <c r="AF660" s="319">
        <f>IF(AND('Ações'!AW667="sim", 'Ações'!BI667="sim"), 1, 0)
</f>
        <v>1</v>
      </c>
      <c r="AG660" s="319">
        <f>IF(AND('Ações'!AX667="sim", 'Ações'!BD667="sim"), 1, 0)
</f>
        <v>1</v>
      </c>
      <c r="AH660" s="319">
        <f>IF(AND('Ações'!AX667="sim", 'Ações'!BE667="sim"), 1, 0)
</f>
        <v>0</v>
      </c>
      <c r="AI660" s="319">
        <f>IF(AND('Ações'!AX667="sim", 'Ações'!BF667="sim"), 1, 0)
</f>
        <v>0</v>
      </c>
      <c r="AJ660" s="319">
        <f>IF(AND('Ações'!AX667="sim", 'Ações'!BG667="sim"), 1, 0)
</f>
        <v>0</v>
      </c>
      <c r="AK660" s="319">
        <f>IF(AND('Ações'!AX667="sim", 'Ações'!BH667="sim"), 1, 0)
</f>
        <v>0</v>
      </c>
    </row>
    <row r="661">
      <c r="B661" s="319">
        <f>IF(AND('Ações'!AS668="sim", 'Ações'!BD668="sim"), 1, 0)
</f>
        <v>0</v>
      </c>
      <c r="C661" s="319">
        <f>IF(AND('Ações'!AT668="sim", 'Ações'!BE668="sim"), 1, 0)
</f>
        <v>0</v>
      </c>
      <c r="D661" s="319">
        <f>IF(AND('Ações'!AU668="sim", 'Ações'!BF668="sim"), 1, 0)
</f>
        <v>0</v>
      </c>
      <c r="E661" s="319">
        <f>IF(AND('Ações'!AV668="sim", 'Ações'!BG668="sim"), 1, 0)
</f>
        <v>0</v>
      </c>
      <c r="F661" s="319">
        <f>IF(AND('Ações'!AW668="sim", 'Ações'!BH668="sim"), 1, 0)
</f>
        <v>0</v>
      </c>
      <c r="G661" s="319">
        <f>IF(AND('Ações'!AX668="sim", 'Ações'!BI668="sim"), 1, 0)
</f>
        <v>1</v>
      </c>
      <c r="H661" s="319">
        <f>IF(AND('Ações'!AS668="sim", 'Ações'!BE668="sim"), 1, 0)
</f>
        <v>0</v>
      </c>
      <c r="I661" s="319">
        <f>IF(AND('Ações'!AS668="sim", 'Ações'!BF668="sim"), 1, 0)
</f>
        <v>0</v>
      </c>
      <c r="J661" s="319">
        <f>IF(AND('Ações'!AS668="sim", 'Ações'!BG668="sim"), 1, 0)
</f>
        <v>0</v>
      </c>
      <c r="K661" s="319">
        <f>IF(AND('Ações'!AS668="sim", 'Ações'!BH668="sim"), 1, 0)
</f>
        <v>0</v>
      </c>
      <c r="L661" s="319">
        <f>IF(AND('Ações'!AS668="sim", 'Ações'!BI668="sim"), 1, 0)
</f>
        <v>0</v>
      </c>
      <c r="M661" s="319">
        <f>IF(AND('Ações'!AT668="sim", 'Ações'!BD668="sim"), 1, 0)
</f>
        <v>0</v>
      </c>
      <c r="N661" s="319">
        <f>IF(AND('Ações'!AT668="sim", 'Ações'!BF668="sim"), 1, 0)
</f>
        <v>0</v>
      </c>
      <c r="O661" s="319">
        <f>IF(AND('Ações'!AT668="sim", 'Ações'!BG668="sim"), 1, 0)
</f>
        <v>0</v>
      </c>
      <c r="P661" s="319">
        <f>IF(AND('Ações'!AT668="sim", 'Ações'!BH668="sim"), 1, 0)
</f>
        <v>0</v>
      </c>
      <c r="Q661" s="319">
        <f>IF(AND('Ações'!AT668="sim", 'Ações'!BI668="sim"), 1, 0)
</f>
        <v>0</v>
      </c>
      <c r="R661" s="319">
        <f>IF(AND('Ações'!AU668="sim", 'Ações'!BD668="sim"), 1, 0)
</f>
        <v>0</v>
      </c>
      <c r="S661" s="319">
        <f>IF(AND('Ações'!AU668="sim", 'Ações'!BE668="sim"), 1, 0)
</f>
        <v>0</v>
      </c>
      <c r="T661" s="319">
        <f>IF(AND('Ações'!AU668="sim", 'Ações'!BG668="sim"), 1, 0)
</f>
        <v>0</v>
      </c>
      <c r="U661" s="319">
        <f>IF(AND('Ações'!AU668="sim", 'Ações'!BH668="sim"), 1, 0)
</f>
        <v>0</v>
      </c>
      <c r="V661" s="319">
        <f>IF(AND('Ações'!AU668="sim", 'Ações'!BI668="sim"), 1, 0)
</f>
        <v>0</v>
      </c>
      <c r="W661" s="319">
        <f>IF(AND('Ações'!AV668="sim", 'Ações'!BD668="sim"), 1, 0)
</f>
        <v>0</v>
      </c>
      <c r="X661" s="319">
        <f>IF(AND('Ações'!AV668="sim", 'Ações'!BE668="sim"), 1, 0)
</f>
        <v>0</v>
      </c>
      <c r="Y661" s="319">
        <f>IF(AND('Ações'!AV668="sim", 'Ações'!BF668="sim"), 1, 0)
</f>
        <v>0</v>
      </c>
      <c r="Z661" s="319">
        <f>IF(AND('Ações'!AV668="sim", 'Ações'!BH668="sim"), 1, 0)
</f>
        <v>0</v>
      </c>
      <c r="AA661" s="319">
        <f>IF(AND('Ações'!AV668="sim", 'Ações'!BI668="sim"), 1, 0)
</f>
        <v>0</v>
      </c>
      <c r="AB661" s="319">
        <f>IF(AND('Ações'!AW668="sim", 'Ações'!BD668="sim"), 1, 0)
</f>
        <v>0</v>
      </c>
      <c r="AC661" s="319">
        <f>IF(AND('Ações'!AW668="sim", 'Ações'!BE668="sim"), 1, 0)
</f>
        <v>0</v>
      </c>
      <c r="AD661" s="319">
        <f>IF(AND('Ações'!AW668="sim", 'Ações'!BF668="sim"), 1, 0)
</f>
        <v>0</v>
      </c>
      <c r="AE661" s="319">
        <f>IF(AND('Ações'!AW668="sim", 'Ações'!BG668="sim"), 1, 0)
</f>
        <v>0</v>
      </c>
      <c r="AF661" s="319">
        <f>IF(AND('Ações'!AW668="sim", 'Ações'!BI668="sim"), 1, 0)
</f>
        <v>1</v>
      </c>
      <c r="AG661" s="319">
        <f>IF(AND('Ações'!AX668="sim", 'Ações'!BD668="sim"), 1, 0)
</f>
        <v>0</v>
      </c>
      <c r="AH661" s="319">
        <f>IF(AND('Ações'!AX668="sim", 'Ações'!BE668="sim"), 1, 0)
</f>
        <v>0</v>
      </c>
      <c r="AI661" s="319">
        <f>IF(AND('Ações'!AX668="sim", 'Ações'!BF668="sim"), 1, 0)
</f>
        <v>0</v>
      </c>
      <c r="AJ661" s="319">
        <f>IF(AND('Ações'!AX668="sim", 'Ações'!BG668="sim"), 1, 0)
</f>
        <v>0</v>
      </c>
      <c r="AK661" s="319">
        <f>IF(AND('Ações'!AX668="sim", 'Ações'!BH668="sim"), 1, 0)
</f>
        <v>0</v>
      </c>
    </row>
    <row r="662">
      <c r="B662" s="319">
        <f>IF(AND('Ações'!AS669="sim", 'Ações'!BD669="sim"), 1, 0)
</f>
        <v>0</v>
      </c>
      <c r="C662" s="319">
        <f>IF(AND('Ações'!AT669="sim", 'Ações'!BE669="sim"), 1, 0)
</f>
        <v>0</v>
      </c>
      <c r="D662" s="319">
        <f>IF(AND('Ações'!AU669="sim", 'Ações'!BF669="sim"), 1, 0)
</f>
        <v>0</v>
      </c>
      <c r="E662" s="319">
        <f>IF(AND('Ações'!AV669="sim", 'Ações'!BG669="sim"), 1, 0)
</f>
        <v>0</v>
      </c>
      <c r="F662" s="319">
        <f>IF(AND('Ações'!AW669="sim", 'Ações'!BH669="sim"), 1, 0)
</f>
        <v>0</v>
      </c>
      <c r="G662" s="319">
        <f>IF(AND('Ações'!AX669="sim", 'Ações'!BI669="sim"), 1, 0)
</f>
        <v>0</v>
      </c>
      <c r="H662" s="319">
        <f>IF(AND('Ações'!AS669="sim", 'Ações'!BE669="sim"), 1, 0)
</f>
        <v>0</v>
      </c>
      <c r="I662" s="319">
        <f>IF(AND('Ações'!AS669="sim", 'Ações'!BF669="sim"), 1, 0)
</f>
        <v>0</v>
      </c>
      <c r="J662" s="319">
        <f>IF(AND('Ações'!AS669="sim", 'Ações'!BG669="sim"), 1, 0)
</f>
        <v>0</v>
      </c>
      <c r="K662" s="319">
        <f>IF(AND('Ações'!AS669="sim", 'Ações'!BH669="sim"), 1, 0)
</f>
        <v>0</v>
      </c>
      <c r="L662" s="319">
        <f>IF(AND('Ações'!AS669="sim", 'Ações'!BI669="sim"), 1, 0)
</f>
        <v>0</v>
      </c>
      <c r="M662" s="319">
        <f>IF(AND('Ações'!AT669="sim", 'Ações'!BD669="sim"), 1, 0)
</f>
        <v>0</v>
      </c>
      <c r="N662" s="319">
        <f>IF(AND('Ações'!AT669="sim", 'Ações'!BF669="sim"), 1, 0)
</f>
        <v>0</v>
      </c>
      <c r="O662" s="319">
        <f>IF(AND('Ações'!AT669="sim", 'Ações'!BG669="sim"), 1, 0)
</f>
        <v>0</v>
      </c>
      <c r="P662" s="319">
        <f>IF(AND('Ações'!AT669="sim", 'Ações'!BH669="sim"), 1, 0)
</f>
        <v>0</v>
      </c>
      <c r="Q662" s="319">
        <f>IF(AND('Ações'!AT669="sim", 'Ações'!BI669="sim"), 1, 0)
</f>
        <v>0</v>
      </c>
      <c r="R662" s="319">
        <f>IF(AND('Ações'!AU669="sim", 'Ações'!BD669="sim"), 1, 0)
</f>
        <v>0</v>
      </c>
      <c r="S662" s="319">
        <f>IF(AND('Ações'!AU669="sim", 'Ações'!BE669="sim"), 1, 0)
</f>
        <v>0</v>
      </c>
      <c r="T662" s="319">
        <f>IF(AND('Ações'!AU669="sim", 'Ações'!BG669="sim"), 1, 0)
</f>
        <v>0</v>
      </c>
      <c r="U662" s="319">
        <f>IF(AND('Ações'!AU669="sim", 'Ações'!BH669="sim"), 1, 0)
</f>
        <v>0</v>
      </c>
      <c r="V662" s="319">
        <f>IF(AND('Ações'!AU669="sim", 'Ações'!BI669="sim"), 1, 0)
</f>
        <v>0</v>
      </c>
      <c r="W662" s="319">
        <f>IF(AND('Ações'!AV669="sim", 'Ações'!BD669="sim"), 1, 0)
</f>
        <v>0</v>
      </c>
      <c r="X662" s="319">
        <f>IF(AND('Ações'!AV669="sim", 'Ações'!BE669="sim"), 1, 0)
</f>
        <v>0</v>
      </c>
      <c r="Y662" s="319">
        <f>IF(AND('Ações'!AV669="sim", 'Ações'!BF669="sim"), 1, 0)
</f>
        <v>0</v>
      </c>
      <c r="Z662" s="319">
        <f>IF(AND('Ações'!AV669="sim", 'Ações'!BH669="sim"), 1, 0)
</f>
        <v>0</v>
      </c>
      <c r="AA662" s="319">
        <f>IF(AND('Ações'!AV669="sim", 'Ações'!BI669="sim"), 1, 0)
</f>
        <v>0</v>
      </c>
      <c r="AB662" s="319">
        <f>IF(AND('Ações'!AW669="sim", 'Ações'!BD669="sim"), 1, 0)
</f>
        <v>1</v>
      </c>
      <c r="AC662" s="319">
        <f>IF(AND('Ações'!AW669="sim", 'Ações'!BE669="sim"), 1, 0)
</f>
        <v>0</v>
      </c>
      <c r="AD662" s="319">
        <f>IF(AND('Ações'!AW669="sim", 'Ações'!BF669="sim"), 1, 0)
</f>
        <v>0</v>
      </c>
      <c r="AE662" s="319">
        <f>IF(AND('Ações'!AW669="sim", 'Ações'!BG669="sim"), 1, 0)
</f>
        <v>0</v>
      </c>
      <c r="AF662" s="319">
        <f>IF(AND('Ações'!AW669="sim", 'Ações'!BI669="sim"), 1, 0)
</f>
        <v>0</v>
      </c>
      <c r="AG662" s="319">
        <f>IF(AND('Ações'!AX669="sim", 'Ações'!BD669="sim"), 1, 0)
</f>
        <v>1</v>
      </c>
      <c r="AH662" s="319">
        <f>IF(AND('Ações'!AX669="sim", 'Ações'!BE669="sim"), 1, 0)
</f>
        <v>0</v>
      </c>
      <c r="AI662" s="319">
        <f>IF(AND('Ações'!AX669="sim", 'Ações'!BF669="sim"), 1, 0)
</f>
        <v>0</v>
      </c>
      <c r="AJ662" s="319">
        <f>IF(AND('Ações'!AX669="sim", 'Ações'!BG669="sim"), 1, 0)
</f>
        <v>0</v>
      </c>
      <c r="AK662" s="319">
        <f>IF(AND('Ações'!AX669="sim", 'Ações'!BH669="sim"), 1, 0)
</f>
        <v>0</v>
      </c>
    </row>
    <row r="663">
      <c r="B663" s="319">
        <f>IF(AND('Ações'!AS670="sim", 'Ações'!BD670="sim"), 1, 0)
</f>
        <v>0</v>
      </c>
      <c r="C663" s="319">
        <f>IF(AND('Ações'!AT670="sim", 'Ações'!BE670="sim"), 1, 0)
</f>
        <v>0</v>
      </c>
      <c r="D663" s="319">
        <f>IF(AND('Ações'!AU670="sim", 'Ações'!BF670="sim"), 1, 0)
</f>
        <v>0</v>
      </c>
      <c r="E663" s="319">
        <f>IF(AND('Ações'!AV670="sim", 'Ações'!BG670="sim"), 1, 0)
</f>
        <v>0</v>
      </c>
      <c r="F663" s="319">
        <f>IF(AND('Ações'!AW670="sim", 'Ações'!BH670="sim"), 1, 0)
</f>
        <v>0</v>
      </c>
      <c r="G663" s="319">
        <f>IF(AND('Ações'!AX670="sim", 'Ações'!BI670="sim"), 1, 0)
</f>
        <v>0</v>
      </c>
      <c r="H663" s="319">
        <f>IF(AND('Ações'!AS670="sim", 'Ações'!BE670="sim"), 1, 0)
</f>
        <v>0</v>
      </c>
      <c r="I663" s="319">
        <f>IF(AND('Ações'!AS670="sim", 'Ações'!BF670="sim"), 1, 0)
</f>
        <v>0</v>
      </c>
      <c r="J663" s="319">
        <f>IF(AND('Ações'!AS670="sim", 'Ações'!BG670="sim"), 1, 0)
</f>
        <v>0</v>
      </c>
      <c r="K663" s="319">
        <f>IF(AND('Ações'!AS670="sim", 'Ações'!BH670="sim"), 1, 0)
</f>
        <v>0</v>
      </c>
      <c r="L663" s="319">
        <f>IF(AND('Ações'!AS670="sim", 'Ações'!BI670="sim"), 1, 0)
</f>
        <v>0</v>
      </c>
      <c r="M663" s="319">
        <f>IF(AND('Ações'!AT670="sim", 'Ações'!BD670="sim"), 1, 0)
</f>
        <v>0</v>
      </c>
      <c r="N663" s="319">
        <f>IF(AND('Ações'!AT670="sim", 'Ações'!BF670="sim"), 1, 0)
</f>
        <v>0</v>
      </c>
      <c r="O663" s="319">
        <f>IF(AND('Ações'!AT670="sim", 'Ações'!BG670="sim"), 1, 0)
</f>
        <v>0</v>
      </c>
      <c r="P663" s="319">
        <f>IF(AND('Ações'!AT670="sim", 'Ações'!BH670="sim"), 1, 0)
</f>
        <v>0</v>
      </c>
      <c r="Q663" s="319">
        <f>IF(AND('Ações'!AT670="sim", 'Ações'!BI670="sim"), 1, 0)
</f>
        <v>0</v>
      </c>
      <c r="R663" s="319">
        <f>IF(AND('Ações'!AU670="sim", 'Ações'!BD670="sim"), 1, 0)
</f>
        <v>0</v>
      </c>
      <c r="S663" s="319">
        <f>IF(AND('Ações'!AU670="sim", 'Ações'!BE670="sim"), 1, 0)
</f>
        <v>0</v>
      </c>
      <c r="T663" s="319">
        <f>IF(AND('Ações'!AU670="sim", 'Ações'!BG670="sim"), 1, 0)
</f>
        <v>0</v>
      </c>
      <c r="U663" s="319">
        <f>IF(AND('Ações'!AU670="sim", 'Ações'!BH670="sim"), 1, 0)
</f>
        <v>0</v>
      </c>
      <c r="V663" s="319">
        <f>IF(AND('Ações'!AU670="sim", 'Ações'!BI670="sim"), 1, 0)
</f>
        <v>0</v>
      </c>
      <c r="W663" s="319">
        <f>IF(AND('Ações'!AV670="sim", 'Ações'!BD670="sim"), 1, 0)
</f>
        <v>0</v>
      </c>
      <c r="X663" s="319">
        <f>IF(AND('Ações'!AV670="sim", 'Ações'!BE670="sim"), 1, 0)
</f>
        <v>0</v>
      </c>
      <c r="Y663" s="319">
        <f>IF(AND('Ações'!AV670="sim", 'Ações'!BF670="sim"), 1, 0)
</f>
        <v>0</v>
      </c>
      <c r="Z663" s="319">
        <f>IF(AND('Ações'!AV670="sim", 'Ações'!BH670="sim"), 1, 0)
</f>
        <v>0</v>
      </c>
      <c r="AA663" s="319">
        <f>IF(AND('Ações'!AV670="sim", 'Ações'!BI670="sim"), 1, 0)
</f>
        <v>0</v>
      </c>
      <c r="AB663" s="319">
        <f>IF(AND('Ações'!AW670="sim", 'Ações'!BD670="sim"), 1, 0)
</f>
        <v>1</v>
      </c>
      <c r="AC663" s="319">
        <f>IF(AND('Ações'!AW670="sim", 'Ações'!BE670="sim"), 1, 0)
</f>
        <v>0</v>
      </c>
      <c r="AD663" s="319">
        <f>IF(AND('Ações'!AW670="sim", 'Ações'!BF670="sim"), 1, 0)
</f>
        <v>0</v>
      </c>
      <c r="AE663" s="319">
        <f>IF(AND('Ações'!AW670="sim", 'Ações'!BG670="sim"), 1, 0)
</f>
        <v>0</v>
      </c>
      <c r="AF663" s="319">
        <f>IF(AND('Ações'!AW670="sim", 'Ações'!BI670="sim"), 1, 0)
</f>
        <v>0</v>
      </c>
      <c r="AG663" s="319">
        <f>IF(AND('Ações'!AX670="sim", 'Ações'!BD670="sim"), 1, 0)
</f>
        <v>1</v>
      </c>
      <c r="AH663" s="319">
        <f>IF(AND('Ações'!AX670="sim", 'Ações'!BE670="sim"), 1, 0)
</f>
        <v>0</v>
      </c>
      <c r="AI663" s="319">
        <f>IF(AND('Ações'!AX670="sim", 'Ações'!BF670="sim"), 1, 0)
</f>
        <v>0</v>
      </c>
      <c r="AJ663" s="319">
        <f>IF(AND('Ações'!AX670="sim", 'Ações'!BG670="sim"), 1, 0)
</f>
        <v>0</v>
      </c>
      <c r="AK663" s="319">
        <f>IF(AND('Ações'!AX670="sim", 'Ações'!BH670="sim"), 1, 0)
</f>
        <v>0</v>
      </c>
    </row>
    <row r="664">
      <c r="B664" s="319" t="str">
        <f t="shared" ref="B664:AK664" si="8">IF(AND(#REF!="sim", #REF!="sim"), 1, 0)
</f>
        <v>#REF!</v>
      </c>
      <c r="C664" s="319" t="str">
        <f t="shared" si="8"/>
        <v>#REF!</v>
      </c>
      <c r="D664" s="319" t="str">
        <f t="shared" si="8"/>
        <v>#REF!</v>
      </c>
      <c r="E664" s="319" t="str">
        <f t="shared" si="8"/>
        <v>#REF!</v>
      </c>
      <c r="F664" s="319" t="str">
        <f t="shared" si="8"/>
        <v>#REF!</v>
      </c>
      <c r="G664" s="319" t="str">
        <f t="shared" si="8"/>
        <v>#REF!</v>
      </c>
      <c r="H664" s="319" t="str">
        <f t="shared" si="8"/>
        <v>#REF!</v>
      </c>
      <c r="I664" s="319" t="str">
        <f t="shared" si="8"/>
        <v>#REF!</v>
      </c>
      <c r="J664" s="319" t="str">
        <f t="shared" si="8"/>
        <v>#REF!</v>
      </c>
      <c r="K664" s="319" t="str">
        <f t="shared" si="8"/>
        <v>#REF!</v>
      </c>
      <c r="L664" s="319" t="str">
        <f t="shared" si="8"/>
        <v>#REF!</v>
      </c>
      <c r="M664" s="319" t="str">
        <f t="shared" si="8"/>
        <v>#REF!</v>
      </c>
      <c r="N664" s="319" t="str">
        <f t="shared" si="8"/>
        <v>#REF!</v>
      </c>
      <c r="O664" s="319" t="str">
        <f t="shared" si="8"/>
        <v>#REF!</v>
      </c>
      <c r="P664" s="319" t="str">
        <f t="shared" si="8"/>
        <v>#REF!</v>
      </c>
      <c r="Q664" s="319" t="str">
        <f t="shared" si="8"/>
        <v>#REF!</v>
      </c>
      <c r="R664" s="319" t="str">
        <f t="shared" si="8"/>
        <v>#REF!</v>
      </c>
      <c r="S664" s="319" t="str">
        <f t="shared" si="8"/>
        <v>#REF!</v>
      </c>
      <c r="T664" s="319" t="str">
        <f t="shared" si="8"/>
        <v>#REF!</v>
      </c>
      <c r="U664" s="319" t="str">
        <f t="shared" si="8"/>
        <v>#REF!</v>
      </c>
      <c r="V664" s="319" t="str">
        <f t="shared" si="8"/>
        <v>#REF!</v>
      </c>
      <c r="W664" s="319" t="str">
        <f t="shared" si="8"/>
        <v>#REF!</v>
      </c>
      <c r="X664" s="319" t="str">
        <f t="shared" si="8"/>
        <v>#REF!</v>
      </c>
      <c r="Y664" s="319" t="str">
        <f t="shared" si="8"/>
        <v>#REF!</v>
      </c>
      <c r="Z664" s="319" t="str">
        <f t="shared" si="8"/>
        <v>#REF!</v>
      </c>
      <c r="AA664" s="319" t="str">
        <f t="shared" si="8"/>
        <v>#REF!</v>
      </c>
      <c r="AB664" s="319" t="str">
        <f t="shared" si="8"/>
        <v>#REF!</v>
      </c>
      <c r="AC664" s="319" t="str">
        <f t="shared" si="8"/>
        <v>#REF!</v>
      </c>
      <c r="AD664" s="319" t="str">
        <f t="shared" si="8"/>
        <v>#REF!</v>
      </c>
      <c r="AE664" s="319" t="str">
        <f t="shared" si="8"/>
        <v>#REF!</v>
      </c>
      <c r="AF664" s="319" t="str">
        <f t="shared" si="8"/>
        <v>#REF!</v>
      </c>
      <c r="AG664" s="319" t="str">
        <f t="shared" si="8"/>
        <v>#REF!</v>
      </c>
      <c r="AH664" s="319" t="str">
        <f t="shared" si="8"/>
        <v>#REF!</v>
      </c>
      <c r="AI664" s="319" t="str">
        <f t="shared" si="8"/>
        <v>#REF!</v>
      </c>
      <c r="AJ664" s="319" t="str">
        <f t="shared" si="8"/>
        <v>#REF!</v>
      </c>
      <c r="AK664" s="319" t="str">
        <f t="shared" si="8"/>
        <v>#REF!</v>
      </c>
    </row>
    <row r="665">
      <c r="B665" s="319">
        <f>IF(AND('Ações'!AS671="sim", 'Ações'!BD671="sim"), 1, 0)
</f>
        <v>0</v>
      </c>
      <c r="C665" s="319">
        <f>IF(AND('Ações'!AT671="sim", 'Ações'!BE671="sim"), 1, 0)
</f>
        <v>0</v>
      </c>
      <c r="D665" s="319">
        <f>IF(AND('Ações'!AU671="sim", 'Ações'!BF671="sim"), 1, 0)
</f>
        <v>0</v>
      </c>
      <c r="E665" s="319">
        <f>IF(AND('Ações'!AV671="sim", 'Ações'!BG671="sim"), 1, 0)
</f>
        <v>0</v>
      </c>
      <c r="F665" s="319">
        <f>IF(AND('Ações'!AW671="sim", 'Ações'!BH671="sim"), 1, 0)
</f>
        <v>0</v>
      </c>
      <c r="G665" s="319">
        <f>IF(AND('Ações'!AX671="sim", 'Ações'!BI671="sim"), 1, 0)
</f>
        <v>1</v>
      </c>
      <c r="H665" s="319">
        <f>IF(AND('Ações'!AS671="sim", 'Ações'!BE671="sim"), 1, 0)
</f>
        <v>0</v>
      </c>
      <c r="I665" s="319">
        <f>IF(AND('Ações'!AS671="sim", 'Ações'!BF671="sim"), 1, 0)
</f>
        <v>0</v>
      </c>
      <c r="J665" s="319">
        <f>IF(AND('Ações'!AS671="sim", 'Ações'!BG671="sim"), 1, 0)
</f>
        <v>0</v>
      </c>
      <c r="K665" s="319">
        <f>IF(AND('Ações'!AS671="sim", 'Ações'!BH671="sim"), 1, 0)
</f>
        <v>0</v>
      </c>
      <c r="L665" s="319">
        <f>IF(AND('Ações'!AS671="sim", 'Ações'!BI671="sim"), 1, 0)
</f>
        <v>0</v>
      </c>
      <c r="M665" s="319">
        <f>IF(AND('Ações'!AT671="sim", 'Ações'!BD671="sim"), 1, 0)
</f>
        <v>0</v>
      </c>
      <c r="N665" s="319">
        <f>IF(AND('Ações'!AT671="sim", 'Ações'!BF671="sim"), 1, 0)
</f>
        <v>0</v>
      </c>
      <c r="O665" s="319">
        <f>IF(AND('Ações'!AT671="sim", 'Ações'!BG671="sim"), 1, 0)
</f>
        <v>0</v>
      </c>
      <c r="P665" s="319">
        <f>IF(AND('Ações'!AT671="sim", 'Ações'!BH671="sim"), 1, 0)
</f>
        <v>0</v>
      </c>
      <c r="Q665" s="319">
        <f>IF(AND('Ações'!AT671="sim", 'Ações'!BI671="sim"), 1, 0)
</f>
        <v>0</v>
      </c>
      <c r="R665" s="319">
        <f>IF(AND('Ações'!AU671="sim", 'Ações'!BD671="sim"), 1, 0)
</f>
        <v>0</v>
      </c>
      <c r="S665" s="319">
        <f>IF(AND('Ações'!AU671="sim", 'Ações'!BE671="sim"), 1, 0)
</f>
        <v>0</v>
      </c>
      <c r="T665" s="319">
        <f>IF(AND('Ações'!AU671="sim", 'Ações'!BG671="sim"), 1, 0)
</f>
        <v>0</v>
      </c>
      <c r="U665" s="319">
        <f>IF(AND('Ações'!AU671="sim", 'Ações'!BH671="sim"), 1, 0)
</f>
        <v>0</v>
      </c>
      <c r="V665" s="319">
        <f>IF(AND('Ações'!AU671="sim", 'Ações'!BI671="sim"), 1, 0)
</f>
        <v>0</v>
      </c>
      <c r="W665" s="319">
        <f>IF(AND('Ações'!AV671="sim", 'Ações'!BD671="sim"), 1, 0)
</f>
        <v>0</v>
      </c>
      <c r="X665" s="319">
        <f>IF(AND('Ações'!AV671="sim", 'Ações'!BE671="sim"), 1, 0)
</f>
        <v>0</v>
      </c>
      <c r="Y665" s="319">
        <f>IF(AND('Ações'!AV671="sim", 'Ações'!BF671="sim"), 1, 0)
</f>
        <v>0</v>
      </c>
      <c r="Z665" s="319">
        <f>IF(AND('Ações'!AV671="sim", 'Ações'!BH671="sim"), 1, 0)
</f>
        <v>0</v>
      </c>
      <c r="AA665" s="319">
        <f>IF(AND('Ações'!AV671="sim", 'Ações'!BI671="sim"), 1, 0)
</f>
        <v>0</v>
      </c>
      <c r="AB665" s="319">
        <f>IF(AND('Ações'!AW671="sim", 'Ações'!BD671="sim"), 1, 0)
</f>
        <v>0</v>
      </c>
      <c r="AC665" s="319">
        <f>IF(AND('Ações'!AW671="sim", 'Ações'!BE671="sim"), 1, 0)
</f>
        <v>0</v>
      </c>
      <c r="AD665" s="319">
        <f>IF(AND('Ações'!AW671="sim", 'Ações'!BF671="sim"), 1, 0)
</f>
        <v>0</v>
      </c>
      <c r="AE665" s="319">
        <f>IF(AND('Ações'!AW671="sim", 'Ações'!BG671="sim"), 1, 0)
</f>
        <v>0</v>
      </c>
      <c r="AF665" s="319">
        <f>IF(AND('Ações'!AW671="sim", 'Ações'!BI671="sim"), 1, 0)
</f>
        <v>1</v>
      </c>
      <c r="AG665" s="319">
        <f>IF(AND('Ações'!AX671="sim", 'Ações'!BD671="sim"), 1, 0)
</f>
        <v>0</v>
      </c>
      <c r="AH665" s="319">
        <f>IF(AND('Ações'!AX671="sim", 'Ações'!BE671="sim"), 1, 0)
</f>
        <v>0</v>
      </c>
      <c r="AI665" s="319">
        <f>IF(AND('Ações'!AX671="sim", 'Ações'!BF671="sim"), 1, 0)
</f>
        <v>0</v>
      </c>
      <c r="AJ665" s="319">
        <f>IF(AND('Ações'!AX671="sim", 'Ações'!BG671="sim"), 1, 0)
</f>
        <v>0</v>
      </c>
      <c r="AK665" s="319">
        <f>IF(AND('Ações'!AX671="sim", 'Ações'!BH671="sim"), 1, 0)
</f>
        <v>0</v>
      </c>
    </row>
    <row r="666">
      <c r="B666" s="319">
        <f>IF(AND('Ações'!AS672="sim", 'Ações'!BD672="sim"), 1, 0)
</f>
        <v>0</v>
      </c>
      <c r="C666" s="319">
        <f>IF(AND('Ações'!AT672="sim", 'Ações'!BE672="sim"), 1, 0)
</f>
        <v>0</v>
      </c>
      <c r="D666" s="319">
        <f>IF(AND('Ações'!AU672="sim", 'Ações'!BF672="sim"), 1, 0)
</f>
        <v>0</v>
      </c>
      <c r="E666" s="319">
        <f>IF(AND('Ações'!AV672="sim", 'Ações'!BG672="sim"), 1, 0)
</f>
        <v>0</v>
      </c>
      <c r="F666" s="319">
        <f>IF(AND('Ações'!AW672="sim", 'Ações'!BH672="sim"), 1, 0)
</f>
        <v>0</v>
      </c>
      <c r="G666" s="319">
        <f>IF(AND('Ações'!AX672="sim", 'Ações'!BI672="sim"), 1, 0)
</f>
        <v>1</v>
      </c>
      <c r="H666" s="319">
        <f>IF(AND('Ações'!AS672="sim", 'Ações'!BE672="sim"), 1, 0)
</f>
        <v>0</v>
      </c>
      <c r="I666" s="319">
        <f>IF(AND('Ações'!AS672="sim", 'Ações'!BF672="sim"), 1, 0)
</f>
        <v>0</v>
      </c>
      <c r="J666" s="319">
        <f>IF(AND('Ações'!AS672="sim", 'Ações'!BG672="sim"), 1, 0)
</f>
        <v>0</v>
      </c>
      <c r="K666" s="319">
        <f>IF(AND('Ações'!AS672="sim", 'Ações'!BH672="sim"), 1, 0)
</f>
        <v>0</v>
      </c>
      <c r="L666" s="319">
        <f>IF(AND('Ações'!AS672="sim", 'Ações'!BI672="sim"), 1, 0)
</f>
        <v>0</v>
      </c>
      <c r="M666" s="319">
        <f>IF(AND('Ações'!AT672="sim", 'Ações'!BD672="sim"), 1, 0)
</f>
        <v>0</v>
      </c>
      <c r="N666" s="319">
        <f>IF(AND('Ações'!AT672="sim", 'Ações'!BF672="sim"), 1, 0)
</f>
        <v>0</v>
      </c>
      <c r="O666" s="319">
        <f>IF(AND('Ações'!AT672="sim", 'Ações'!BG672="sim"), 1, 0)
</f>
        <v>0</v>
      </c>
      <c r="P666" s="319">
        <f>IF(AND('Ações'!AT672="sim", 'Ações'!BH672="sim"), 1, 0)
</f>
        <v>0</v>
      </c>
      <c r="Q666" s="319">
        <f>IF(AND('Ações'!AT672="sim", 'Ações'!BI672="sim"), 1, 0)
</f>
        <v>0</v>
      </c>
      <c r="R666" s="319">
        <f>IF(AND('Ações'!AU672="sim", 'Ações'!BD672="sim"), 1, 0)
</f>
        <v>0</v>
      </c>
      <c r="S666" s="319">
        <f>IF(AND('Ações'!AU672="sim", 'Ações'!BE672="sim"), 1, 0)
</f>
        <v>0</v>
      </c>
      <c r="T666" s="319">
        <f>IF(AND('Ações'!AU672="sim", 'Ações'!BG672="sim"), 1, 0)
</f>
        <v>0</v>
      </c>
      <c r="U666" s="319">
        <f>IF(AND('Ações'!AU672="sim", 'Ações'!BH672="sim"), 1, 0)
</f>
        <v>0</v>
      </c>
      <c r="V666" s="319">
        <f>IF(AND('Ações'!AU672="sim", 'Ações'!BI672="sim"), 1, 0)
</f>
        <v>0</v>
      </c>
      <c r="W666" s="319">
        <f>IF(AND('Ações'!AV672="sim", 'Ações'!BD672="sim"), 1, 0)
</f>
        <v>0</v>
      </c>
      <c r="X666" s="319">
        <f>IF(AND('Ações'!AV672="sim", 'Ações'!BE672="sim"), 1, 0)
</f>
        <v>0</v>
      </c>
      <c r="Y666" s="319">
        <f>IF(AND('Ações'!AV672="sim", 'Ações'!BF672="sim"), 1, 0)
</f>
        <v>0</v>
      </c>
      <c r="Z666" s="319">
        <f>IF(AND('Ações'!AV672="sim", 'Ações'!BH672="sim"), 1, 0)
</f>
        <v>0</v>
      </c>
      <c r="AA666" s="319">
        <f>IF(AND('Ações'!AV672="sim", 'Ações'!BI672="sim"), 1, 0)
</f>
        <v>0</v>
      </c>
      <c r="AB666" s="319">
        <f>IF(AND('Ações'!AW672="sim", 'Ações'!BD672="sim"), 1, 0)
</f>
        <v>0</v>
      </c>
      <c r="AC666" s="319">
        <f>IF(AND('Ações'!AW672="sim", 'Ações'!BE672="sim"), 1, 0)
</f>
        <v>0</v>
      </c>
      <c r="AD666" s="319">
        <f>IF(AND('Ações'!AW672="sim", 'Ações'!BF672="sim"), 1, 0)
</f>
        <v>0</v>
      </c>
      <c r="AE666" s="319">
        <f>IF(AND('Ações'!AW672="sim", 'Ações'!BG672="sim"), 1, 0)
</f>
        <v>0</v>
      </c>
      <c r="AF666" s="319">
        <f>IF(AND('Ações'!AW672="sim", 'Ações'!BI672="sim"), 1, 0)
</f>
        <v>1</v>
      </c>
      <c r="AG666" s="319">
        <f>IF(AND('Ações'!AX672="sim", 'Ações'!BD672="sim"), 1, 0)
</f>
        <v>0</v>
      </c>
      <c r="AH666" s="319">
        <f>IF(AND('Ações'!AX672="sim", 'Ações'!BE672="sim"), 1, 0)
</f>
        <v>0</v>
      </c>
      <c r="AI666" s="319">
        <f>IF(AND('Ações'!AX672="sim", 'Ações'!BF672="sim"), 1, 0)
</f>
        <v>0</v>
      </c>
      <c r="AJ666" s="319">
        <f>IF(AND('Ações'!AX672="sim", 'Ações'!BG672="sim"), 1, 0)
</f>
        <v>0</v>
      </c>
      <c r="AK666" s="319">
        <f>IF(AND('Ações'!AX672="sim", 'Ações'!BH672="sim"), 1, 0)
</f>
        <v>0</v>
      </c>
    </row>
    <row r="667">
      <c r="B667" s="319">
        <f>IF(AND('Ações'!AS673="sim", 'Ações'!BD673="sim"), 1, 0)
</f>
        <v>0</v>
      </c>
      <c r="C667" s="319">
        <f>IF(AND('Ações'!AT673="sim", 'Ações'!BE673="sim"), 1, 0)
</f>
        <v>0</v>
      </c>
      <c r="D667" s="319">
        <f>IF(AND('Ações'!AU673="sim", 'Ações'!BF673="sim"), 1, 0)
</f>
        <v>0</v>
      </c>
      <c r="E667" s="319">
        <f>IF(AND('Ações'!AV673="sim", 'Ações'!BG673="sim"), 1, 0)
</f>
        <v>0</v>
      </c>
      <c r="F667" s="319">
        <f>IF(AND('Ações'!AW673="sim", 'Ações'!BH673="sim"), 1, 0)
</f>
        <v>0</v>
      </c>
      <c r="G667" s="319">
        <f>IF(AND('Ações'!AX673="sim", 'Ações'!BI673="sim"), 1, 0)
</f>
        <v>1</v>
      </c>
      <c r="H667" s="319">
        <f>IF(AND('Ações'!AS673="sim", 'Ações'!BE673="sim"), 1, 0)
</f>
        <v>0</v>
      </c>
      <c r="I667" s="319">
        <f>IF(AND('Ações'!AS673="sim", 'Ações'!BF673="sim"), 1, 0)
</f>
        <v>0</v>
      </c>
      <c r="J667" s="319">
        <f>IF(AND('Ações'!AS673="sim", 'Ações'!BG673="sim"), 1, 0)
</f>
        <v>0</v>
      </c>
      <c r="K667" s="319">
        <f>IF(AND('Ações'!AS673="sim", 'Ações'!BH673="sim"), 1, 0)
</f>
        <v>0</v>
      </c>
      <c r="L667" s="319">
        <f>IF(AND('Ações'!AS673="sim", 'Ações'!BI673="sim"), 1, 0)
</f>
        <v>0</v>
      </c>
      <c r="M667" s="319">
        <f>IF(AND('Ações'!AT673="sim", 'Ações'!BD673="sim"), 1, 0)
</f>
        <v>0</v>
      </c>
      <c r="N667" s="319">
        <f>IF(AND('Ações'!AT673="sim", 'Ações'!BF673="sim"), 1, 0)
</f>
        <v>0</v>
      </c>
      <c r="O667" s="319">
        <f>IF(AND('Ações'!AT673="sim", 'Ações'!BG673="sim"), 1, 0)
</f>
        <v>0</v>
      </c>
      <c r="P667" s="319">
        <f>IF(AND('Ações'!AT673="sim", 'Ações'!BH673="sim"), 1, 0)
</f>
        <v>0</v>
      </c>
      <c r="Q667" s="319">
        <f>IF(AND('Ações'!AT673="sim", 'Ações'!BI673="sim"), 1, 0)
</f>
        <v>0</v>
      </c>
      <c r="R667" s="319">
        <f>IF(AND('Ações'!AU673="sim", 'Ações'!BD673="sim"), 1, 0)
</f>
        <v>0</v>
      </c>
      <c r="S667" s="319">
        <f>IF(AND('Ações'!AU673="sim", 'Ações'!BE673="sim"), 1, 0)
</f>
        <v>0</v>
      </c>
      <c r="T667" s="319">
        <f>IF(AND('Ações'!AU673="sim", 'Ações'!BG673="sim"), 1, 0)
</f>
        <v>0</v>
      </c>
      <c r="U667" s="319">
        <f>IF(AND('Ações'!AU673="sim", 'Ações'!BH673="sim"), 1, 0)
</f>
        <v>0</v>
      </c>
      <c r="V667" s="319">
        <f>IF(AND('Ações'!AU673="sim", 'Ações'!BI673="sim"), 1, 0)
</f>
        <v>0</v>
      </c>
      <c r="W667" s="319">
        <f>IF(AND('Ações'!AV673="sim", 'Ações'!BD673="sim"), 1, 0)
</f>
        <v>0</v>
      </c>
      <c r="X667" s="319">
        <f>IF(AND('Ações'!AV673="sim", 'Ações'!BE673="sim"), 1, 0)
</f>
        <v>0</v>
      </c>
      <c r="Y667" s="319">
        <f>IF(AND('Ações'!AV673="sim", 'Ações'!BF673="sim"), 1, 0)
</f>
        <v>0</v>
      </c>
      <c r="Z667" s="319">
        <f>IF(AND('Ações'!AV673="sim", 'Ações'!BH673="sim"), 1, 0)
</f>
        <v>0</v>
      </c>
      <c r="AA667" s="319">
        <f>IF(AND('Ações'!AV673="sim", 'Ações'!BI673="sim"), 1, 0)
</f>
        <v>0</v>
      </c>
      <c r="AB667" s="319">
        <f>IF(AND('Ações'!AW673="sim", 'Ações'!BD673="sim"), 1, 0)
</f>
        <v>0</v>
      </c>
      <c r="AC667" s="319">
        <f>IF(AND('Ações'!AW673="sim", 'Ações'!BE673="sim"), 1, 0)
</f>
        <v>0</v>
      </c>
      <c r="AD667" s="319">
        <f>IF(AND('Ações'!AW673="sim", 'Ações'!BF673="sim"), 1, 0)
</f>
        <v>0</v>
      </c>
      <c r="AE667" s="319">
        <f>IF(AND('Ações'!AW673="sim", 'Ações'!BG673="sim"), 1, 0)
</f>
        <v>0</v>
      </c>
      <c r="AF667" s="319">
        <f>IF(AND('Ações'!AW673="sim", 'Ações'!BI673="sim"), 1, 0)
</f>
        <v>1</v>
      </c>
      <c r="AG667" s="319">
        <f>IF(AND('Ações'!AX673="sim", 'Ações'!BD673="sim"), 1, 0)
</f>
        <v>0</v>
      </c>
      <c r="AH667" s="319">
        <f>IF(AND('Ações'!AX673="sim", 'Ações'!BE673="sim"), 1, 0)
</f>
        <v>0</v>
      </c>
      <c r="AI667" s="319">
        <f>IF(AND('Ações'!AX673="sim", 'Ações'!BF673="sim"), 1, 0)
</f>
        <v>0</v>
      </c>
      <c r="AJ667" s="319">
        <f>IF(AND('Ações'!AX673="sim", 'Ações'!BG673="sim"), 1, 0)
</f>
        <v>0</v>
      </c>
      <c r="AK667" s="319">
        <f>IF(AND('Ações'!AX673="sim", 'Ações'!BH673="sim"), 1, 0)
</f>
        <v>0</v>
      </c>
    </row>
    <row r="668">
      <c r="B668" s="319">
        <f>IF(AND('Ações'!AS674="sim", 'Ações'!BD674="sim"), 1, 0)
</f>
        <v>0</v>
      </c>
      <c r="C668" s="319">
        <f>IF(AND('Ações'!AT674="sim", 'Ações'!BE674="sim"), 1, 0)
</f>
        <v>0</v>
      </c>
      <c r="D668" s="319">
        <f>IF(AND('Ações'!AU674="sim", 'Ações'!BF674="sim"), 1, 0)
</f>
        <v>0</v>
      </c>
      <c r="E668" s="319">
        <f>IF(AND('Ações'!AV674="sim", 'Ações'!BG674="sim"), 1, 0)
</f>
        <v>0</v>
      </c>
      <c r="F668" s="319">
        <f>IF(AND('Ações'!AW674="sim", 'Ações'!BH674="sim"), 1, 0)
</f>
        <v>0</v>
      </c>
      <c r="G668" s="319">
        <f>IF(AND('Ações'!AX674="sim", 'Ações'!BI674="sim"), 1, 0)
</f>
        <v>1</v>
      </c>
      <c r="H668" s="319">
        <f>IF(AND('Ações'!AS674="sim", 'Ações'!BE674="sim"), 1, 0)
</f>
        <v>0</v>
      </c>
      <c r="I668" s="319">
        <f>IF(AND('Ações'!AS674="sim", 'Ações'!BF674="sim"), 1, 0)
</f>
        <v>0</v>
      </c>
      <c r="J668" s="319">
        <f>IF(AND('Ações'!AS674="sim", 'Ações'!BG674="sim"), 1, 0)
</f>
        <v>0</v>
      </c>
      <c r="K668" s="319">
        <f>IF(AND('Ações'!AS674="sim", 'Ações'!BH674="sim"), 1, 0)
</f>
        <v>0</v>
      </c>
      <c r="L668" s="319">
        <f>IF(AND('Ações'!AS674="sim", 'Ações'!BI674="sim"), 1, 0)
</f>
        <v>0</v>
      </c>
      <c r="M668" s="319">
        <f>IF(AND('Ações'!AT674="sim", 'Ações'!BD674="sim"), 1, 0)
</f>
        <v>0</v>
      </c>
      <c r="N668" s="319">
        <f>IF(AND('Ações'!AT674="sim", 'Ações'!BF674="sim"), 1, 0)
</f>
        <v>0</v>
      </c>
      <c r="O668" s="319">
        <f>IF(AND('Ações'!AT674="sim", 'Ações'!BG674="sim"), 1, 0)
</f>
        <v>0</v>
      </c>
      <c r="P668" s="319">
        <f>IF(AND('Ações'!AT674="sim", 'Ações'!BH674="sim"), 1, 0)
</f>
        <v>0</v>
      </c>
      <c r="Q668" s="319">
        <f>IF(AND('Ações'!AT674="sim", 'Ações'!BI674="sim"), 1, 0)
</f>
        <v>0</v>
      </c>
      <c r="R668" s="319">
        <f>IF(AND('Ações'!AU674="sim", 'Ações'!BD674="sim"), 1, 0)
</f>
        <v>0</v>
      </c>
      <c r="S668" s="319">
        <f>IF(AND('Ações'!AU674="sim", 'Ações'!BE674="sim"), 1, 0)
</f>
        <v>0</v>
      </c>
      <c r="T668" s="319">
        <f>IF(AND('Ações'!AU674="sim", 'Ações'!BG674="sim"), 1, 0)
</f>
        <v>0</v>
      </c>
      <c r="U668" s="319">
        <f>IF(AND('Ações'!AU674="sim", 'Ações'!BH674="sim"), 1, 0)
</f>
        <v>0</v>
      </c>
      <c r="V668" s="319">
        <f>IF(AND('Ações'!AU674="sim", 'Ações'!BI674="sim"), 1, 0)
</f>
        <v>0</v>
      </c>
      <c r="W668" s="319">
        <f>IF(AND('Ações'!AV674="sim", 'Ações'!BD674="sim"), 1, 0)
</f>
        <v>0</v>
      </c>
      <c r="X668" s="319">
        <f>IF(AND('Ações'!AV674="sim", 'Ações'!BE674="sim"), 1, 0)
</f>
        <v>0</v>
      </c>
      <c r="Y668" s="319">
        <f>IF(AND('Ações'!AV674="sim", 'Ações'!BF674="sim"), 1, 0)
</f>
        <v>0</v>
      </c>
      <c r="Z668" s="319">
        <f>IF(AND('Ações'!AV674="sim", 'Ações'!BH674="sim"), 1, 0)
</f>
        <v>0</v>
      </c>
      <c r="AA668" s="319">
        <f>IF(AND('Ações'!AV674="sim", 'Ações'!BI674="sim"), 1, 0)
</f>
        <v>0</v>
      </c>
      <c r="AB668" s="319">
        <f>IF(AND('Ações'!AW674="sim", 'Ações'!BD674="sim"), 1, 0)
</f>
        <v>0</v>
      </c>
      <c r="AC668" s="319">
        <f>IF(AND('Ações'!AW674="sim", 'Ações'!BE674="sim"), 1, 0)
</f>
        <v>0</v>
      </c>
      <c r="AD668" s="319">
        <f>IF(AND('Ações'!AW674="sim", 'Ações'!BF674="sim"), 1, 0)
</f>
        <v>0</v>
      </c>
      <c r="AE668" s="319">
        <f>IF(AND('Ações'!AW674="sim", 'Ações'!BG674="sim"), 1, 0)
</f>
        <v>0</v>
      </c>
      <c r="AF668" s="319">
        <f>IF(AND('Ações'!AW674="sim", 'Ações'!BI674="sim"), 1, 0)
</f>
        <v>1</v>
      </c>
      <c r="AG668" s="319">
        <f>IF(AND('Ações'!AX674="sim", 'Ações'!BD674="sim"), 1, 0)
</f>
        <v>0</v>
      </c>
      <c r="AH668" s="319">
        <f>IF(AND('Ações'!AX674="sim", 'Ações'!BE674="sim"), 1, 0)
</f>
        <v>0</v>
      </c>
      <c r="AI668" s="319">
        <f>IF(AND('Ações'!AX674="sim", 'Ações'!BF674="sim"), 1, 0)
</f>
        <v>0</v>
      </c>
      <c r="AJ668" s="319">
        <f>IF(AND('Ações'!AX674="sim", 'Ações'!BG674="sim"), 1, 0)
</f>
        <v>0</v>
      </c>
      <c r="AK668" s="319">
        <f>IF(AND('Ações'!AX674="sim", 'Ações'!BH674="sim"), 1, 0)
</f>
        <v>0</v>
      </c>
    </row>
    <row r="669">
      <c r="B669" s="319">
        <f>IF(AND('Ações'!AS675="sim", 'Ações'!BD675="sim"), 1, 0)
</f>
        <v>0</v>
      </c>
      <c r="C669" s="319">
        <f>IF(AND('Ações'!AT675="sim", 'Ações'!BE675="sim"), 1, 0)
</f>
        <v>0</v>
      </c>
      <c r="D669" s="319">
        <f>IF(AND('Ações'!AU675="sim", 'Ações'!BF675="sim"), 1, 0)
</f>
        <v>0</v>
      </c>
      <c r="E669" s="319">
        <f>IF(AND('Ações'!AV675="sim", 'Ações'!BG675="sim"), 1, 0)
</f>
        <v>0</v>
      </c>
      <c r="F669" s="319">
        <f>IF(AND('Ações'!AW675="sim", 'Ações'!BH675="sim"), 1, 0)
</f>
        <v>0</v>
      </c>
      <c r="G669" s="319">
        <f>IF(AND('Ações'!AX675="sim", 'Ações'!BI675="sim"), 1, 0)
</f>
        <v>1</v>
      </c>
      <c r="H669" s="319">
        <f>IF(AND('Ações'!AS675="sim", 'Ações'!BE675="sim"), 1, 0)
</f>
        <v>0</v>
      </c>
      <c r="I669" s="319">
        <f>IF(AND('Ações'!AS675="sim", 'Ações'!BF675="sim"), 1, 0)
</f>
        <v>0</v>
      </c>
      <c r="J669" s="319">
        <f>IF(AND('Ações'!AS675="sim", 'Ações'!BG675="sim"), 1, 0)
</f>
        <v>0</v>
      </c>
      <c r="K669" s="319">
        <f>IF(AND('Ações'!AS675="sim", 'Ações'!BH675="sim"), 1, 0)
</f>
        <v>0</v>
      </c>
      <c r="L669" s="319">
        <f>IF(AND('Ações'!AS675="sim", 'Ações'!BI675="sim"), 1, 0)
</f>
        <v>0</v>
      </c>
      <c r="M669" s="319">
        <f>IF(AND('Ações'!AT675="sim", 'Ações'!BD675="sim"), 1, 0)
</f>
        <v>0</v>
      </c>
      <c r="N669" s="319">
        <f>IF(AND('Ações'!AT675="sim", 'Ações'!BF675="sim"), 1, 0)
</f>
        <v>0</v>
      </c>
      <c r="O669" s="319">
        <f>IF(AND('Ações'!AT675="sim", 'Ações'!BG675="sim"), 1, 0)
</f>
        <v>0</v>
      </c>
      <c r="P669" s="319">
        <f>IF(AND('Ações'!AT675="sim", 'Ações'!BH675="sim"), 1, 0)
</f>
        <v>0</v>
      </c>
      <c r="Q669" s="319">
        <f>IF(AND('Ações'!AT675="sim", 'Ações'!BI675="sim"), 1, 0)
</f>
        <v>0</v>
      </c>
      <c r="R669" s="319">
        <f>IF(AND('Ações'!AU675="sim", 'Ações'!BD675="sim"), 1, 0)
</f>
        <v>0</v>
      </c>
      <c r="S669" s="319">
        <f>IF(AND('Ações'!AU675="sim", 'Ações'!BE675="sim"), 1, 0)
</f>
        <v>0</v>
      </c>
      <c r="T669" s="319">
        <f>IF(AND('Ações'!AU675="sim", 'Ações'!BG675="sim"), 1, 0)
</f>
        <v>0</v>
      </c>
      <c r="U669" s="319">
        <f>IF(AND('Ações'!AU675="sim", 'Ações'!BH675="sim"), 1, 0)
</f>
        <v>0</v>
      </c>
      <c r="V669" s="319">
        <f>IF(AND('Ações'!AU675="sim", 'Ações'!BI675="sim"), 1, 0)
</f>
        <v>0</v>
      </c>
      <c r="W669" s="319">
        <f>IF(AND('Ações'!AV675="sim", 'Ações'!BD675="sim"), 1, 0)
</f>
        <v>0</v>
      </c>
      <c r="X669" s="319">
        <f>IF(AND('Ações'!AV675="sim", 'Ações'!BE675="sim"), 1, 0)
</f>
        <v>0</v>
      </c>
      <c r="Y669" s="319">
        <f>IF(AND('Ações'!AV675="sim", 'Ações'!BF675="sim"), 1, 0)
</f>
        <v>0</v>
      </c>
      <c r="Z669" s="319">
        <f>IF(AND('Ações'!AV675="sim", 'Ações'!BH675="sim"), 1, 0)
</f>
        <v>0</v>
      </c>
      <c r="AA669" s="319">
        <f>IF(AND('Ações'!AV675="sim", 'Ações'!BI675="sim"), 1, 0)
</f>
        <v>0</v>
      </c>
      <c r="AB669" s="319">
        <f>IF(AND('Ações'!AW675="sim", 'Ações'!BD675="sim"), 1, 0)
</f>
        <v>0</v>
      </c>
      <c r="AC669" s="319">
        <f>IF(AND('Ações'!AW675="sim", 'Ações'!BE675="sim"), 1, 0)
</f>
        <v>0</v>
      </c>
      <c r="AD669" s="319">
        <f>IF(AND('Ações'!AW675="sim", 'Ações'!BF675="sim"), 1, 0)
</f>
        <v>0</v>
      </c>
      <c r="AE669" s="319">
        <f>IF(AND('Ações'!AW675="sim", 'Ações'!BG675="sim"), 1, 0)
</f>
        <v>0</v>
      </c>
      <c r="AF669" s="319">
        <f>IF(AND('Ações'!AW675="sim", 'Ações'!BI675="sim"), 1, 0)
</f>
        <v>1</v>
      </c>
      <c r="AG669" s="319">
        <f>IF(AND('Ações'!AX675="sim", 'Ações'!BD675="sim"), 1, 0)
</f>
        <v>0</v>
      </c>
      <c r="AH669" s="319">
        <f>IF(AND('Ações'!AX675="sim", 'Ações'!BE675="sim"), 1, 0)
</f>
        <v>0</v>
      </c>
      <c r="AI669" s="319">
        <f>IF(AND('Ações'!AX675="sim", 'Ações'!BF675="sim"), 1, 0)
</f>
        <v>0</v>
      </c>
      <c r="AJ669" s="319">
        <f>IF(AND('Ações'!AX675="sim", 'Ações'!BG675="sim"), 1, 0)
</f>
        <v>0</v>
      </c>
      <c r="AK669" s="319">
        <f>IF(AND('Ações'!AX675="sim", 'Ações'!BH675="sim"), 1, 0)
</f>
        <v>0</v>
      </c>
    </row>
    <row r="670">
      <c r="B670" s="319">
        <f>IF(AND('Ações'!AS676="sim", 'Ações'!BD676="sim"), 1, 0)
</f>
        <v>0</v>
      </c>
      <c r="C670" s="319">
        <f>IF(AND('Ações'!AT676="sim", 'Ações'!BE676="sim"), 1, 0)
</f>
        <v>0</v>
      </c>
      <c r="D670" s="319">
        <f>IF(AND('Ações'!AU676="sim", 'Ações'!BF676="sim"), 1, 0)
</f>
        <v>0</v>
      </c>
      <c r="E670" s="319">
        <f>IF(AND('Ações'!AV676="sim", 'Ações'!BG676="sim"), 1, 0)
</f>
        <v>0</v>
      </c>
      <c r="F670" s="319">
        <f>IF(AND('Ações'!AW676="sim", 'Ações'!BH676="sim"), 1, 0)
</f>
        <v>0</v>
      </c>
      <c r="G670" s="319">
        <f>IF(AND('Ações'!AX676="sim", 'Ações'!BI676="sim"), 1, 0)
</f>
        <v>1</v>
      </c>
      <c r="H670" s="319">
        <f>IF(AND('Ações'!AS676="sim", 'Ações'!BE676="sim"), 1, 0)
</f>
        <v>0</v>
      </c>
      <c r="I670" s="319">
        <f>IF(AND('Ações'!AS676="sim", 'Ações'!BF676="sim"), 1, 0)
</f>
        <v>0</v>
      </c>
      <c r="J670" s="319">
        <f>IF(AND('Ações'!AS676="sim", 'Ações'!BG676="sim"), 1, 0)
</f>
        <v>0</v>
      </c>
      <c r="K670" s="319">
        <f>IF(AND('Ações'!AS676="sim", 'Ações'!BH676="sim"), 1, 0)
</f>
        <v>0</v>
      </c>
      <c r="L670" s="319">
        <f>IF(AND('Ações'!AS676="sim", 'Ações'!BI676="sim"), 1, 0)
</f>
        <v>0</v>
      </c>
      <c r="M670" s="319">
        <f>IF(AND('Ações'!AT676="sim", 'Ações'!BD676="sim"), 1, 0)
</f>
        <v>0</v>
      </c>
      <c r="N670" s="319">
        <f>IF(AND('Ações'!AT676="sim", 'Ações'!BF676="sim"), 1, 0)
</f>
        <v>0</v>
      </c>
      <c r="O670" s="319">
        <f>IF(AND('Ações'!AT676="sim", 'Ações'!BG676="sim"), 1, 0)
</f>
        <v>0</v>
      </c>
      <c r="P670" s="319">
        <f>IF(AND('Ações'!AT676="sim", 'Ações'!BH676="sim"), 1, 0)
</f>
        <v>0</v>
      </c>
      <c r="Q670" s="319">
        <f>IF(AND('Ações'!AT676="sim", 'Ações'!BI676="sim"), 1, 0)
</f>
        <v>0</v>
      </c>
      <c r="R670" s="319">
        <f>IF(AND('Ações'!AU676="sim", 'Ações'!BD676="sim"), 1, 0)
</f>
        <v>0</v>
      </c>
      <c r="S670" s="319">
        <f>IF(AND('Ações'!AU676="sim", 'Ações'!BE676="sim"), 1, 0)
</f>
        <v>0</v>
      </c>
      <c r="T670" s="319">
        <f>IF(AND('Ações'!AU676="sim", 'Ações'!BG676="sim"), 1, 0)
</f>
        <v>0</v>
      </c>
      <c r="U670" s="319">
        <f>IF(AND('Ações'!AU676="sim", 'Ações'!BH676="sim"), 1, 0)
</f>
        <v>0</v>
      </c>
      <c r="V670" s="319">
        <f>IF(AND('Ações'!AU676="sim", 'Ações'!BI676="sim"), 1, 0)
</f>
        <v>0</v>
      </c>
      <c r="W670" s="319">
        <f>IF(AND('Ações'!AV676="sim", 'Ações'!BD676="sim"), 1, 0)
</f>
        <v>0</v>
      </c>
      <c r="X670" s="319">
        <f>IF(AND('Ações'!AV676="sim", 'Ações'!BE676="sim"), 1, 0)
</f>
        <v>0</v>
      </c>
      <c r="Y670" s="319">
        <f>IF(AND('Ações'!AV676="sim", 'Ações'!BF676="sim"), 1, 0)
</f>
        <v>0</v>
      </c>
      <c r="Z670" s="319">
        <f>IF(AND('Ações'!AV676="sim", 'Ações'!BH676="sim"), 1, 0)
</f>
        <v>0</v>
      </c>
      <c r="AA670" s="319">
        <f>IF(AND('Ações'!AV676="sim", 'Ações'!BI676="sim"), 1, 0)
</f>
        <v>0</v>
      </c>
      <c r="AB670" s="319">
        <f>IF(AND('Ações'!AW676="sim", 'Ações'!BD676="sim"), 1, 0)
</f>
        <v>0</v>
      </c>
      <c r="AC670" s="319">
        <f>IF(AND('Ações'!AW676="sim", 'Ações'!BE676="sim"), 1, 0)
</f>
        <v>0</v>
      </c>
      <c r="AD670" s="319">
        <f>IF(AND('Ações'!AW676="sim", 'Ações'!BF676="sim"), 1, 0)
</f>
        <v>0</v>
      </c>
      <c r="AE670" s="319">
        <f>IF(AND('Ações'!AW676="sim", 'Ações'!BG676="sim"), 1, 0)
</f>
        <v>0</v>
      </c>
      <c r="AF670" s="319">
        <f>IF(AND('Ações'!AW676="sim", 'Ações'!BI676="sim"), 1, 0)
</f>
        <v>1</v>
      </c>
      <c r="AG670" s="319">
        <f>IF(AND('Ações'!AX676="sim", 'Ações'!BD676="sim"), 1, 0)
</f>
        <v>0</v>
      </c>
      <c r="AH670" s="319">
        <f>IF(AND('Ações'!AX676="sim", 'Ações'!BE676="sim"), 1, 0)
</f>
        <v>0</v>
      </c>
      <c r="AI670" s="319">
        <f>IF(AND('Ações'!AX676="sim", 'Ações'!BF676="sim"), 1, 0)
</f>
        <v>0</v>
      </c>
      <c r="AJ670" s="319">
        <f>IF(AND('Ações'!AX676="sim", 'Ações'!BG676="sim"), 1, 0)
</f>
        <v>0</v>
      </c>
      <c r="AK670" s="319">
        <f>IF(AND('Ações'!AX676="sim", 'Ações'!BH676="sim"), 1, 0)
</f>
        <v>0</v>
      </c>
    </row>
    <row r="671">
      <c r="B671" s="319">
        <f>IF(AND('Ações'!AS677="sim", 'Ações'!BD677="sim"), 1, 0)
</f>
        <v>0</v>
      </c>
      <c r="C671" s="319">
        <f>IF(AND('Ações'!AT677="sim", 'Ações'!BE677="sim"), 1, 0)
</f>
        <v>0</v>
      </c>
      <c r="D671" s="319">
        <f>IF(AND('Ações'!AU677="sim", 'Ações'!BF677="sim"), 1, 0)
</f>
        <v>0</v>
      </c>
      <c r="E671" s="319">
        <f>IF(AND('Ações'!AV677="sim", 'Ações'!BG677="sim"), 1, 0)
</f>
        <v>0</v>
      </c>
      <c r="F671" s="319">
        <f>IF(AND('Ações'!AW677="sim", 'Ações'!BH677="sim"), 1, 0)
</f>
        <v>0</v>
      </c>
      <c r="G671" s="319">
        <f>IF(AND('Ações'!AX677="sim", 'Ações'!BI677="sim"), 1, 0)
</f>
        <v>1</v>
      </c>
      <c r="H671" s="319">
        <f>IF(AND('Ações'!AS677="sim", 'Ações'!BE677="sim"), 1, 0)
</f>
        <v>0</v>
      </c>
      <c r="I671" s="319">
        <f>IF(AND('Ações'!AS677="sim", 'Ações'!BF677="sim"), 1, 0)
</f>
        <v>0</v>
      </c>
      <c r="J671" s="319">
        <f>IF(AND('Ações'!AS677="sim", 'Ações'!BG677="sim"), 1, 0)
</f>
        <v>0</v>
      </c>
      <c r="K671" s="319">
        <f>IF(AND('Ações'!AS677="sim", 'Ações'!BH677="sim"), 1, 0)
</f>
        <v>0</v>
      </c>
      <c r="L671" s="319">
        <f>IF(AND('Ações'!AS677="sim", 'Ações'!BI677="sim"), 1, 0)
</f>
        <v>0</v>
      </c>
      <c r="M671" s="319">
        <f>IF(AND('Ações'!AT677="sim", 'Ações'!BD677="sim"), 1, 0)
</f>
        <v>0</v>
      </c>
      <c r="N671" s="319">
        <f>IF(AND('Ações'!AT677="sim", 'Ações'!BF677="sim"), 1, 0)
</f>
        <v>0</v>
      </c>
      <c r="O671" s="319">
        <f>IF(AND('Ações'!AT677="sim", 'Ações'!BG677="sim"), 1, 0)
</f>
        <v>0</v>
      </c>
      <c r="P671" s="319">
        <f>IF(AND('Ações'!AT677="sim", 'Ações'!BH677="sim"), 1, 0)
</f>
        <v>0</v>
      </c>
      <c r="Q671" s="319">
        <f>IF(AND('Ações'!AT677="sim", 'Ações'!BI677="sim"), 1, 0)
</f>
        <v>0</v>
      </c>
      <c r="R671" s="319">
        <f>IF(AND('Ações'!AU677="sim", 'Ações'!BD677="sim"), 1, 0)
</f>
        <v>0</v>
      </c>
      <c r="S671" s="319">
        <f>IF(AND('Ações'!AU677="sim", 'Ações'!BE677="sim"), 1, 0)
</f>
        <v>0</v>
      </c>
      <c r="T671" s="319">
        <f>IF(AND('Ações'!AU677="sim", 'Ações'!BG677="sim"), 1, 0)
</f>
        <v>0</v>
      </c>
      <c r="U671" s="319">
        <f>IF(AND('Ações'!AU677="sim", 'Ações'!BH677="sim"), 1, 0)
</f>
        <v>0</v>
      </c>
      <c r="V671" s="319">
        <f>IF(AND('Ações'!AU677="sim", 'Ações'!BI677="sim"), 1, 0)
</f>
        <v>0</v>
      </c>
      <c r="W671" s="319">
        <f>IF(AND('Ações'!AV677="sim", 'Ações'!BD677="sim"), 1, 0)
</f>
        <v>0</v>
      </c>
      <c r="X671" s="319">
        <f>IF(AND('Ações'!AV677="sim", 'Ações'!BE677="sim"), 1, 0)
</f>
        <v>0</v>
      </c>
      <c r="Y671" s="319">
        <f>IF(AND('Ações'!AV677="sim", 'Ações'!BF677="sim"), 1, 0)
</f>
        <v>0</v>
      </c>
      <c r="Z671" s="319">
        <f>IF(AND('Ações'!AV677="sim", 'Ações'!BH677="sim"), 1, 0)
</f>
        <v>0</v>
      </c>
      <c r="AA671" s="319">
        <f>IF(AND('Ações'!AV677="sim", 'Ações'!BI677="sim"), 1, 0)
</f>
        <v>0</v>
      </c>
      <c r="AB671" s="319">
        <f>IF(AND('Ações'!AW677="sim", 'Ações'!BD677="sim"), 1, 0)
</f>
        <v>0</v>
      </c>
      <c r="AC671" s="319">
        <f>IF(AND('Ações'!AW677="sim", 'Ações'!BE677="sim"), 1, 0)
</f>
        <v>0</v>
      </c>
      <c r="AD671" s="319">
        <f>IF(AND('Ações'!AW677="sim", 'Ações'!BF677="sim"), 1, 0)
</f>
        <v>0</v>
      </c>
      <c r="AE671" s="319">
        <f>IF(AND('Ações'!AW677="sim", 'Ações'!BG677="sim"), 1, 0)
</f>
        <v>0</v>
      </c>
      <c r="AF671" s="319">
        <f>IF(AND('Ações'!AW677="sim", 'Ações'!BI677="sim"), 1, 0)
</f>
        <v>1</v>
      </c>
      <c r="AG671" s="319">
        <f>IF(AND('Ações'!AX677="sim", 'Ações'!BD677="sim"), 1, 0)
</f>
        <v>0</v>
      </c>
      <c r="AH671" s="319">
        <f>IF(AND('Ações'!AX677="sim", 'Ações'!BE677="sim"), 1, 0)
</f>
        <v>0</v>
      </c>
      <c r="AI671" s="319">
        <f>IF(AND('Ações'!AX677="sim", 'Ações'!BF677="sim"), 1, 0)
</f>
        <v>0</v>
      </c>
      <c r="AJ671" s="319">
        <f>IF(AND('Ações'!AX677="sim", 'Ações'!BG677="sim"), 1, 0)
</f>
        <v>0</v>
      </c>
      <c r="AK671" s="319">
        <f>IF(AND('Ações'!AX677="sim", 'Ações'!BH677="sim"), 1, 0)
</f>
        <v>0</v>
      </c>
    </row>
    <row r="672">
      <c r="B672" s="319">
        <f>IF(AND('Ações'!AS678="sim", 'Ações'!BD678="sim"), 1, 0)
</f>
        <v>0</v>
      </c>
      <c r="C672" s="319">
        <f>IF(AND('Ações'!AT678="sim", 'Ações'!BE678="sim"), 1, 0)
</f>
        <v>0</v>
      </c>
      <c r="D672" s="319">
        <f>IF(AND('Ações'!AU678="sim", 'Ações'!BF678="sim"), 1, 0)
</f>
        <v>0</v>
      </c>
      <c r="E672" s="319">
        <f>IF(AND('Ações'!AV678="sim", 'Ações'!BG678="sim"), 1, 0)
</f>
        <v>0</v>
      </c>
      <c r="F672" s="319">
        <f>IF(AND('Ações'!AW678="sim", 'Ações'!BH678="sim"), 1, 0)
</f>
        <v>0</v>
      </c>
      <c r="G672" s="319">
        <f>IF(AND('Ações'!AX678="sim", 'Ações'!BI678="sim"), 1, 0)
</f>
        <v>0</v>
      </c>
      <c r="H672" s="319">
        <f>IF(AND('Ações'!AS678="sim", 'Ações'!BE678="sim"), 1, 0)
</f>
        <v>0</v>
      </c>
      <c r="I672" s="319">
        <f>IF(AND('Ações'!AS678="sim", 'Ações'!BF678="sim"), 1, 0)
</f>
        <v>0</v>
      </c>
      <c r="J672" s="319">
        <f>IF(AND('Ações'!AS678="sim", 'Ações'!BG678="sim"), 1, 0)
</f>
        <v>0</v>
      </c>
      <c r="K672" s="319">
        <f>IF(AND('Ações'!AS678="sim", 'Ações'!BH678="sim"), 1, 0)
</f>
        <v>0</v>
      </c>
      <c r="L672" s="319">
        <f>IF(AND('Ações'!AS678="sim", 'Ações'!BI678="sim"), 1, 0)
</f>
        <v>0</v>
      </c>
      <c r="M672" s="319">
        <f>IF(AND('Ações'!AT678="sim", 'Ações'!BD678="sim"), 1, 0)
</f>
        <v>0</v>
      </c>
      <c r="N672" s="319">
        <f>IF(AND('Ações'!AT678="sim", 'Ações'!BF678="sim"), 1, 0)
</f>
        <v>0</v>
      </c>
      <c r="O672" s="319">
        <f>IF(AND('Ações'!AT678="sim", 'Ações'!BG678="sim"), 1, 0)
</f>
        <v>0</v>
      </c>
      <c r="P672" s="319">
        <f>IF(AND('Ações'!AT678="sim", 'Ações'!BH678="sim"), 1, 0)
</f>
        <v>0</v>
      </c>
      <c r="Q672" s="319">
        <f>IF(AND('Ações'!AT678="sim", 'Ações'!BI678="sim"), 1, 0)
</f>
        <v>0</v>
      </c>
      <c r="R672" s="319">
        <f>IF(AND('Ações'!AU678="sim", 'Ações'!BD678="sim"), 1, 0)
</f>
        <v>0</v>
      </c>
      <c r="S672" s="319">
        <f>IF(AND('Ações'!AU678="sim", 'Ações'!BE678="sim"), 1, 0)
</f>
        <v>0</v>
      </c>
      <c r="T672" s="319">
        <f>IF(AND('Ações'!AU678="sim", 'Ações'!BG678="sim"), 1, 0)
</f>
        <v>0</v>
      </c>
      <c r="U672" s="319">
        <f>IF(AND('Ações'!AU678="sim", 'Ações'!BH678="sim"), 1, 0)
</f>
        <v>0</v>
      </c>
      <c r="V672" s="319">
        <f>IF(AND('Ações'!AU678="sim", 'Ações'!BI678="sim"), 1, 0)
</f>
        <v>0</v>
      </c>
      <c r="W672" s="319">
        <f>IF(AND('Ações'!AV678="sim", 'Ações'!BD678="sim"), 1, 0)
</f>
        <v>0</v>
      </c>
      <c r="X672" s="319">
        <f>IF(AND('Ações'!AV678="sim", 'Ações'!BE678="sim"), 1, 0)
</f>
        <v>0</v>
      </c>
      <c r="Y672" s="319">
        <f>IF(AND('Ações'!AV678="sim", 'Ações'!BF678="sim"), 1, 0)
</f>
        <v>0</v>
      </c>
      <c r="Z672" s="319">
        <f>IF(AND('Ações'!AV678="sim", 'Ações'!BH678="sim"), 1, 0)
</f>
        <v>0</v>
      </c>
      <c r="AA672" s="319">
        <f>IF(AND('Ações'!AV678="sim", 'Ações'!BI678="sim"), 1, 0)
</f>
        <v>0</v>
      </c>
      <c r="AB672" s="319">
        <f>IF(AND('Ações'!AW678="sim", 'Ações'!BD678="sim"), 1, 0)
</f>
        <v>0</v>
      </c>
      <c r="AC672" s="319">
        <f>IF(AND('Ações'!AW678="sim", 'Ações'!BE678="sim"), 1, 0)
</f>
        <v>0</v>
      </c>
      <c r="AD672" s="319">
        <f>IF(AND('Ações'!AW678="sim", 'Ações'!BF678="sim"), 1, 0)
</f>
        <v>0</v>
      </c>
      <c r="AE672" s="319">
        <f>IF(AND('Ações'!AW678="sim", 'Ações'!BG678="sim"), 1, 0)
</f>
        <v>0</v>
      </c>
      <c r="AF672" s="319">
        <f>IF(AND('Ações'!AW678="sim", 'Ações'!BI678="sim"), 1, 0)
</f>
        <v>0</v>
      </c>
      <c r="AG672" s="319">
        <f>IF(AND('Ações'!AX678="sim", 'Ações'!BD678="sim"), 1, 0)
</f>
        <v>0</v>
      </c>
      <c r="AH672" s="319">
        <f>IF(AND('Ações'!AX678="sim", 'Ações'!BE678="sim"), 1, 0)
</f>
        <v>0</v>
      </c>
      <c r="AI672" s="319">
        <f>IF(AND('Ações'!AX678="sim", 'Ações'!BF678="sim"), 1, 0)
</f>
        <v>0</v>
      </c>
      <c r="AJ672" s="319">
        <f>IF(AND('Ações'!AX678="sim", 'Ações'!BG678="sim"), 1, 0)
</f>
        <v>0</v>
      </c>
      <c r="AK672" s="319">
        <f>IF(AND('Ações'!AX678="sim", 'Ações'!BH678="sim"), 1, 0)
</f>
        <v>0</v>
      </c>
    </row>
    <row r="673">
      <c r="B673" s="319">
        <f>IF(AND('Ações'!AS679="sim", 'Ações'!BD679="sim"), 1, 0)
</f>
        <v>0</v>
      </c>
      <c r="C673" s="319">
        <f>IF(AND('Ações'!AT679="sim", 'Ações'!BE679="sim"), 1, 0)
</f>
        <v>0</v>
      </c>
      <c r="D673" s="319">
        <f>IF(AND('Ações'!AU679="sim", 'Ações'!BF679="sim"), 1, 0)
</f>
        <v>0</v>
      </c>
      <c r="E673" s="319">
        <f>IF(AND('Ações'!AV679="sim", 'Ações'!BG679="sim"), 1, 0)
</f>
        <v>0</v>
      </c>
      <c r="F673" s="319">
        <f>IF(AND('Ações'!AW679="sim", 'Ações'!BH679="sim"), 1, 0)
</f>
        <v>0</v>
      </c>
      <c r="G673" s="319">
        <f>IF(AND('Ações'!AX679="sim", 'Ações'!BI679="sim"), 1, 0)
</f>
        <v>0</v>
      </c>
      <c r="H673" s="319">
        <f>IF(AND('Ações'!AS679="sim", 'Ações'!BE679="sim"), 1, 0)
</f>
        <v>0</v>
      </c>
      <c r="I673" s="319">
        <f>IF(AND('Ações'!AS679="sim", 'Ações'!BF679="sim"), 1, 0)
</f>
        <v>0</v>
      </c>
      <c r="J673" s="319">
        <f>IF(AND('Ações'!AS679="sim", 'Ações'!BG679="sim"), 1, 0)
</f>
        <v>0</v>
      </c>
      <c r="K673" s="319">
        <f>IF(AND('Ações'!AS679="sim", 'Ações'!BH679="sim"), 1, 0)
</f>
        <v>0</v>
      </c>
      <c r="L673" s="319">
        <f>IF(AND('Ações'!AS679="sim", 'Ações'!BI679="sim"), 1, 0)
</f>
        <v>0</v>
      </c>
      <c r="M673" s="319">
        <f>IF(AND('Ações'!AT679="sim", 'Ações'!BD679="sim"), 1, 0)
</f>
        <v>0</v>
      </c>
      <c r="N673" s="319">
        <f>IF(AND('Ações'!AT679="sim", 'Ações'!BF679="sim"), 1, 0)
</f>
        <v>0</v>
      </c>
      <c r="O673" s="319">
        <f>IF(AND('Ações'!AT679="sim", 'Ações'!BG679="sim"), 1, 0)
</f>
        <v>0</v>
      </c>
      <c r="P673" s="319">
        <f>IF(AND('Ações'!AT679="sim", 'Ações'!BH679="sim"), 1, 0)
</f>
        <v>0</v>
      </c>
      <c r="Q673" s="319">
        <f>IF(AND('Ações'!AT679="sim", 'Ações'!BI679="sim"), 1, 0)
</f>
        <v>0</v>
      </c>
      <c r="R673" s="319">
        <f>IF(AND('Ações'!AU679="sim", 'Ações'!BD679="sim"), 1, 0)
</f>
        <v>0</v>
      </c>
      <c r="S673" s="319">
        <f>IF(AND('Ações'!AU679="sim", 'Ações'!BE679="sim"), 1, 0)
</f>
        <v>0</v>
      </c>
      <c r="T673" s="319">
        <f>IF(AND('Ações'!AU679="sim", 'Ações'!BG679="sim"), 1, 0)
</f>
        <v>0</v>
      </c>
      <c r="U673" s="319">
        <f>IF(AND('Ações'!AU679="sim", 'Ações'!BH679="sim"), 1, 0)
</f>
        <v>0</v>
      </c>
      <c r="V673" s="319">
        <f>IF(AND('Ações'!AU679="sim", 'Ações'!BI679="sim"), 1, 0)
</f>
        <v>0</v>
      </c>
      <c r="W673" s="319">
        <f>IF(AND('Ações'!AV679="sim", 'Ações'!BD679="sim"), 1, 0)
</f>
        <v>0</v>
      </c>
      <c r="X673" s="319">
        <f>IF(AND('Ações'!AV679="sim", 'Ações'!BE679="sim"), 1, 0)
</f>
        <v>0</v>
      </c>
      <c r="Y673" s="319">
        <f>IF(AND('Ações'!AV679="sim", 'Ações'!BF679="sim"), 1, 0)
</f>
        <v>0</v>
      </c>
      <c r="Z673" s="319">
        <f>IF(AND('Ações'!AV679="sim", 'Ações'!BH679="sim"), 1, 0)
</f>
        <v>0</v>
      </c>
      <c r="AA673" s="319">
        <f>IF(AND('Ações'!AV679="sim", 'Ações'!BI679="sim"), 1, 0)
</f>
        <v>0</v>
      </c>
      <c r="AB673" s="319">
        <f>IF(AND('Ações'!AW679="sim", 'Ações'!BD679="sim"), 1, 0)
</f>
        <v>0</v>
      </c>
      <c r="AC673" s="319">
        <f>IF(AND('Ações'!AW679="sim", 'Ações'!BE679="sim"), 1, 0)
</f>
        <v>0</v>
      </c>
      <c r="AD673" s="319">
        <f>IF(AND('Ações'!AW679="sim", 'Ações'!BF679="sim"), 1, 0)
</f>
        <v>0</v>
      </c>
      <c r="AE673" s="319">
        <f>IF(AND('Ações'!AW679="sim", 'Ações'!BG679="sim"), 1, 0)
</f>
        <v>0</v>
      </c>
      <c r="AF673" s="319">
        <f>IF(AND('Ações'!AW679="sim", 'Ações'!BI679="sim"), 1, 0)
</f>
        <v>0</v>
      </c>
      <c r="AG673" s="319">
        <f>IF(AND('Ações'!AX679="sim", 'Ações'!BD679="sim"), 1, 0)
</f>
        <v>0</v>
      </c>
      <c r="AH673" s="319">
        <f>IF(AND('Ações'!AX679="sim", 'Ações'!BE679="sim"), 1, 0)
</f>
        <v>0</v>
      </c>
      <c r="AI673" s="319">
        <f>IF(AND('Ações'!AX679="sim", 'Ações'!BF679="sim"), 1, 0)
</f>
        <v>0</v>
      </c>
      <c r="AJ673" s="319">
        <f>IF(AND('Ações'!AX679="sim", 'Ações'!BG679="sim"), 1, 0)
</f>
        <v>0</v>
      </c>
      <c r="AK673" s="319">
        <f>IF(AND('Ações'!AX679="sim", 'Ações'!BH679="sim"), 1, 0)
</f>
        <v>0</v>
      </c>
    </row>
    <row r="674">
      <c r="B674" s="319">
        <f>IF(AND('Ações'!AS680="sim", 'Ações'!BD680="sim"), 1, 0)
</f>
        <v>0</v>
      </c>
      <c r="C674" s="319">
        <f>IF(AND('Ações'!AT680="sim", 'Ações'!BE680="sim"), 1, 0)
</f>
        <v>0</v>
      </c>
      <c r="D674" s="319">
        <f>IF(AND('Ações'!AU680="sim", 'Ações'!BF680="sim"), 1, 0)
</f>
        <v>0</v>
      </c>
      <c r="E674" s="319">
        <f>IF(AND('Ações'!AV680="sim", 'Ações'!BG680="sim"), 1, 0)
</f>
        <v>0</v>
      </c>
      <c r="F674" s="319">
        <f>IF(AND('Ações'!AW680="sim", 'Ações'!BH680="sim"), 1, 0)
</f>
        <v>0</v>
      </c>
      <c r="G674" s="319">
        <f>IF(AND('Ações'!AX680="sim", 'Ações'!BI680="sim"), 1, 0)
</f>
        <v>0</v>
      </c>
      <c r="H674" s="319">
        <f>IF(AND('Ações'!AS680="sim", 'Ações'!BE680="sim"), 1, 0)
</f>
        <v>0</v>
      </c>
      <c r="I674" s="319">
        <f>IF(AND('Ações'!AS680="sim", 'Ações'!BF680="sim"), 1, 0)
</f>
        <v>0</v>
      </c>
      <c r="J674" s="319">
        <f>IF(AND('Ações'!AS680="sim", 'Ações'!BG680="sim"), 1, 0)
</f>
        <v>0</v>
      </c>
      <c r="K674" s="319">
        <f>IF(AND('Ações'!AS680="sim", 'Ações'!BH680="sim"), 1, 0)
</f>
        <v>0</v>
      </c>
      <c r="L674" s="319">
        <f>IF(AND('Ações'!AS680="sim", 'Ações'!BI680="sim"), 1, 0)
</f>
        <v>0</v>
      </c>
      <c r="M674" s="319">
        <f>IF(AND('Ações'!AT680="sim", 'Ações'!BD680="sim"), 1, 0)
</f>
        <v>0</v>
      </c>
      <c r="N674" s="319">
        <f>IF(AND('Ações'!AT680="sim", 'Ações'!BF680="sim"), 1, 0)
</f>
        <v>0</v>
      </c>
      <c r="O674" s="319">
        <f>IF(AND('Ações'!AT680="sim", 'Ações'!BG680="sim"), 1, 0)
</f>
        <v>0</v>
      </c>
      <c r="P674" s="319">
        <f>IF(AND('Ações'!AT680="sim", 'Ações'!BH680="sim"), 1, 0)
</f>
        <v>0</v>
      </c>
      <c r="Q674" s="319">
        <f>IF(AND('Ações'!AT680="sim", 'Ações'!BI680="sim"), 1, 0)
</f>
        <v>0</v>
      </c>
      <c r="R674" s="319">
        <f>IF(AND('Ações'!AU680="sim", 'Ações'!BD680="sim"), 1, 0)
</f>
        <v>0</v>
      </c>
      <c r="S674" s="319">
        <f>IF(AND('Ações'!AU680="sim", 'Ações'!BE680="sim"), 1, 0)
</f>
        <v>0</v>
      </c>
      <c r="T674" s="319">
        <f>IF(AND('Ações'!AU680="sim", 'Ações'!BG680="sim"), 1, 0)
</f>
        <v>0</v>
      </c>
      <c r="U674" s="319">
        <f>IF(AND('Ações'!AU680="sim", 'Ações'!BH680="sim"), 1, 0)
</f>
        <v>0</v>
      </c>
      <c r="V674" s="319">
        <f>IF(AND('Ações'!AU680="sim", 'Ações'!BI680="sim"), 1, 0)
</f>
        <v>0</v>
      </c>
      <c r="W674" s="319">
        <f>IF(AND('Ações'!AV680="sim", 'Ações'!BD680="sim"), 1, 0)
</f>
        <v>0</v>
      </c>
      <c r="X674" s="319">
        <f>IF(AND('Ações'!AV680="sim", 'Ações'!BE680="sim"), 1, 0)
</f>
        <v>0</v>
      </c>
      <c r="Y674" s="319">
        <f>IF(AND('Ações'!AV680="sim", 'Ações'!BF680="sim"), 1, 0)
</f>
        <v>0</v>
      </c>
      <c r="Z674" s="319">
        <f>IF(AND('Ações'!AV680="sim", 'Ações'!BH680="sim"), 1, 0)
</f>
        <v>0</v>
      </c>
      <c r="AA674" s="319">
        <f>IF(AND('Ações'!AV680="sim", 'Ações'!BI680="sim"), 1, 0)
</f>
        <v>0</v>
      </c>
      <c r="AB674" s="319">
        <f>IF(AND('Ações'!AW680="sim", 'Ações'!BD680="sim"), 1, 0)
</f>
        <v>0</v>
      </c>
      <c r="AC674" s="319">
        <f>IF(AND('Ações'!AW680="sim", 'Ações'!BE680="sim"), 1, 0)
</f>
        <v>0</v>
      </c>
      <c r="AD674" s="319">
        <f>IF(AND('Ações'!AW680="sim", 'Ações'!BF680="sim"), 1, 0)
</f>
        <v>0</v>
      </c>
      <c r="AE674" s="319">
        <f>IF(AND('Ações'!AW680="sim", 'Ações'!BG680="sim"), 1, 0)
</f>
        <v>0</v>
      </c>
      <c r="AF674" s="319">
        <f>IF(AND('Ações'!AW680="sim", 'Ações'!BI680="sim"), 1, 0)
</f>
        <v>0</v>
      </c>
      <c r="AG674" s="319">
        <f>IF(AND('Ações'!AX680="sim", 'Ações'!BD680="sim"), 1, 0)
</f>
        <v>0</v>
      </c>
      <c r="AH674" s="319">
        <f>IF(AND('Ações'!AX680="sim", 'Ações'!BE680="sim"), 1, 0)
</f>
        <v>0</v>
      </c>
      <c r="AI674" s="319">
        <f>IF(AND('Ações'!AX680="sim", 'Ações'!BF680="sim"), 1, 0)
</f>
        <v>0</v>
      </c>
      <c r="AJ674" s="319">
        <f>IF(AND('Ações'!AX680="sim", 'Ações'!BG680="sim"), 1, 0)
</f>
        <v>0</v>
      </c>
      <c r="AK674" s="319">
        <f>IF(AND('Ações'!AX680="sim", 'Ações'!BH680="sim"), 1, 0)
</f>
        <v>0</v>
      </c>
    </row>
    <row r="675">
      <c r="B675" s="319">
        <f>IF(AND('Ações'!AS681="sim", 'Ações'!BD681="sim"), 1, 0)
</f>
        <v>0</v>
      </c>
      <c r="C675" s="319">
        <f>IF(AND('Ações'!AT681="sim", 'Ações'!BE681="sim"), 1, 0)
</f>
        <v>0</v>
      </c>
      <c r="D675" s="319">
        <f>IF(AND('Ações'!AU681="sim", 'Ações'!BF681="sim"), 1, 0)
</f>
        <v>0</v>
      </c>
      <c r="E675" s="319">
        <f>IF(AND('Ações'!AV681="sim", 'Ações'!BG681="sim"), 1, 0)
</f>
        <v>0</v>
      </c>
      <c r="F675" s="319">
        <f>IF(AND('Ações'!AW681="sim", 'Ações'!BH681="sim"), 1, 0)
</f>
        <v>0</v>
      </c>
      <c r="G675" s="319">
        <f>IF(AND('Ações'!AX681="sim", 'Ações'!BI681="sim"), 1, 0)
</f>
        <v>1</v>
      </c>
      <c r="H675" s="319">
        <f>IF(AND('Ações'!AS681="sim", 'Ações'!BE681="sim"), 1, 0)
</f>
        <v>0</v>
      </c>
      <c r="I675" s="319">
        <f>IF(AND('Ações'!AS681="sim", 'Ações'!BF681="sim"), 1, 0)
</f>
        <v>0</v>
      </c>
      <c r="J675" s="319">
        <f>IF(AND('Ações'!AS681="sim", 'Ações'!BG681="sim"), 1, 0)
</f>
        <v>0</v>
      </c>
      <c r="K675" s="319">
        <f>IF(AND('Ações'!AS681="sim", 'Ações'!BH681="sim"), 1, 0)
</f>
        <v>0</v>
      </c>
      <c r="L675" s="319">
        <f>IF(AND('Ações'!AS681="sim", 'Ações'!BI681="sim"), 1, 0)
</f>
        <v>0</v>
      </c>
      <c r="M675" s="319">
        <f>IF(AND('Ações'!AT681="sim", 'Ações'!BD681="sim"), 1, 0)
</f>
        <v>0</v>
      </c>
      <c r="N675" s="319">
        <f>IF(AND('Ações'!AT681="sim", 'Ações'!BF681="sim"), 1, 0)
</f>
        <v>0</v>
      </c>
      <c r="O675" s="319">
        <f>IF(AND('Ações'!AT681="sim", 'Ações'!BG681="sim"), 1, 0)
</f>
        <v>0</v>
      </c>
      <c r="P675" s="319">
        <f>IF(AND('Ações'!AT681="sim", 'Ações'!BH681="sim"), 1, 0)
</f>
        <v>0</v>
      </c>
      <c r="Q675" s="319">
        <f>IF(AND('Ações'!AT681="sim", 'Ações'!BI681="sim"), 1, 0)
</f>
        <v>0</v>
      </c>
      <c r="R675" s="319">
        <f>IF(AND('Ações'!AU681="sim", 'Ações'!BD681="sim"), 1, 0)
</f>
        <v>0</v>
      </c>
      <c r="S675" s="319">
        <f>IF(AND('Ações'!AU681="sim", 'Ações'!BE681="sim"), 1, 0)
</f>
        <v>0</v>
      </c>
      <c r="T675" s="319">
        <f>IF(AND('Ações'!AU681="sim", 'Ações'!BG681="sim"), 1, 0)
</f>
        <v>0</v>
      </c>
      <c r="U675" s="319">
        <f>IF(AND('Ações'!AU681="sim", 'Ações'!BH681="sim"), 1, 0)
</f>
        <v>0</v>
      </c>
      <c r="V675" s="319">
        <f>IF(AND('Ações'!AU681="sim", 'Ações'!BI681="sim"), 1, 0)
</f>
        <v>0</v>
      </c>
      <c r="W675" s="319">
        <f>IF(AND('Ações'!AV681="sim", 'Ações'!BD681="sim"), 1, 0)
</f>
        <v>0</v>
      </c>
      <c r="X675" s="319">
        <f>IF(AND('Ações'!AV681="sim", 'Ações'!BE681="sim"), 1, 0)
</f>
        <v>0</v>
      </c>
      <c r="Y675" s="319">
        <f>IF(AND('Ações'!AV681="sim", 'Ações'!BF681="sim"), 1, 0)
</f>
        <v>0</v>
      </c>
      <c r="Z675" s="319">
        <f>IF(AND('Ações'!AV681="sim", 'Ações'!BH681="sim"), 1, 0)
</f>
        <v>0</v>
      </c>
      <c r="AA675" s="319">
        <f>IF(AND('Ações'!AV681="sim", 'Ações'!BI681="sim"), 1, 0)
</f>
        <v>1</v>
      </c>
      <c r="AB675" s="319">
        <f>IF(AND('Ações'!AW681="sim", 'Ações'!BD681="sim"), 1, 0)
</f>
        <v>0</v>
      </c>
      <c r="AC675" s="319">
        <f>IF(AND('Ações'!AW681="sim", 'Ações'!BE681="sim"), 1, 0)
</f>
        <v>0</v>
      </c>
      <c r="AD675" s="319">
        <f>IF(AND('Ações'!AW681="sim", 'Ações'!BF681="sim"), 1, 0)
</f>
        <v>0</v>
      </c>
      <c r="AE675" s="319">
        <f>IF(AND('Ações'!AW681="sim", 'Ações'!BG681="sim"), 1, 0)
</f>
        <v>0</v>
      </c>
      <c r="AF675" s="319">
        <f>IF(AND('Ações'!AW681="sim", 'Ações'!BI681="sim"), 1, 0)
</f>
        <v>1</v>
      </c>
      <c r="AG675" s="319">
        <f>IF(AND('Ações'!AX681="sim", 'Ações'!BD681="sim"), 1, 0)
</f>
        <v>0</v>
      </c>
      <c r="AH675" s="319">
        <f>IF(AND('Ações'!AX681="sim", 'Ações'!BE681="sim"), 1, 0)
</f>
        <v>0</v>
      </c>
      <c r="AI675" s="319">
        <f>IF(AND('Ações'!AX681="sim", 'Ações'!BF681="sim"), 1, 0)
</f>
        <v>0</v>
      </c>
      <c r="AJ675" s="319">
        <f>IF(AND('Ações'!AX681="sim", 'Ações'!BG681="sim"), 1, 0)
</f>
        <v>0</v>
      </c>
      <c r="AK675" s="319">
        <f>IF(AND('Ações'!AX681="sim", 'Ações'!BH681="sim"), 1, 0)
</f>
        <v>0</v>
      </c>
    </row>
    <row r="676">
      <c r="B676" s="319">
        <f>IF(AND('Ações'!AS682="sim", 'Ações'!BD682="sim"), 1, 0)
</f>
        <v>0</v>
      </c>
      <c r="C676" s="319">
        <f>IF(AND('Ações'!AT682="sim", 'Ações'!BE682="sim"), 1, 0)
</f>
        <v>0</v>
      </c>
      <c r="D676" s="319">
        <f>IF(AND('Ações'!AU682="sim", 'Ações'!BF682="sim"), 1, 0)
</f>
        <v>0</v>
      </c>
      <c r="E676" s="319">
        <f>IF(AND('Ações'!AV682="sim", 'Ações'!BG682="sim"), 1, 0)
</f>
        <v>0</v>
      </c>
      <c r="F676" s="319">
        <f>IF(AND('Ações'!AW682="sim", 'Ações'!BH682="sim"), 1, 0)
</f>
        <v>0</v>
      </c>
      <c r="G676" s="319">
        <f>IF(AND('Ações'!AX682="sim", 'Ações'!BI682="sim"), 1, 0)
</f>
        <v>1</v>
      </c>
      <c r="H676" s="319">
        <f>IF(AND('Ações'!AS682="sim", 'Ações'!BE682="sim"), 1, 0)
</f>
        <v>0</v>
      </c>
      <c r="I676" s="319">
        <f>IF(AND('Ações'!AS682="sim", 'Ações'!BF682="sim"), 1, 0)
</f>
        <v>0</v>
      </c>
      <c r="J676" s="319">
        <f>IF(AND('Ações'!AS682="sim", 'Ações'!BG682="sim"), 1, 0)
</f>
        <v>0</v>
      </c>
      <c r="K676" s="319">
        <f>IF(AND('Ações'!AS682="sim", 'Ações'!BH682="sim"), 1, 0)
</f>
        <v>0</v>
      </c>
      <c r="L676" s="319">
        <f>IF(AND('Ações'!AS682="sim", 'Ações'!BI682="sim"), 1, 0)
</f>
        <v>0</v>
      </c>
      <c r="M676" s="319">
        <f>IF(AND('Ações'!AT682="sim", 'Ações'!BD682="sim"), 1, 0)
</f>
        <v>0</v>
      </c>
      <c r="N676" s="319">
        <f>IF(AND('Ações'!AT682="sim", 'Ações'!BF682="sim"), 1, 0)
</f>
        <v>0</v>
      </c>
      <c r="O676" s="319">
        <f>IF(AND('Ações'!AT682="sim", 'Ações'!BG682="sim"), 1, 0)
</f>
        <v>0</v>
      </c>
      <c r="P676" s="319">
        <f>IF(AND('Ações'!AT682="sim", 'Ações'!BH682="sim"), 1, 0)
</f>
        <v>0</v>
      </c>
      <c r="Q676" s="319">
        <f>IF(AND('Ações'!AT682="sim", 'Ações'!BI682="sim"), 1, 0)
</f>
        <v>0</v>
      </c>
      <c r="R676" s="319">
        <f>IF(AND('Ações'!AU682="sim", 'Ações'!BD682="sim"), 1, 0)
</f>
        <v>0</v>
      </c>
      <c r="S676" s="319">
        <f>IF(AND('Ações'!AU682="sim", 'Ações'!BE682="sim"), 1, 0)
</f>
        <v>0</v>
      </c>
      <c r="T676" s="319">
        <f>IF(AND('Ações'!AU682="sim", 'Ações'!BG682="sim"), 1, 0)
</f>
        <v>0</v>
      </c>
      <c r="U676" s="319">
        <f>IF(AND('Ações'!AU682="sim", 'Ações'!BH682="sim"), 1, 0)
</f>
        <v>0</v>
      </c>
      <c r="V676" s="319">
        <f>IF(AND('Ações'!AU682="sim", 'Ações'!BI682="sim"), 1, 0)
</f>
        <v>0</v>
      </c>
      <c r="W676" s="319">
        <f>IF(AND('Ações'!AV682="sim", 'Ações'!BD682="sim"), 1, 0)
</f>
        <v>0</v>
      </c>
      <c r="X676" s="319">
        <f>IF(AND('Ações'!AV682="sim", 'Ações'!BE682="sim"), 1, 0)
</f>
        <v>0</v>
      </c>
      <c r="Y676" s="319">
        <f>IF(AND('Ações'!AV682="sim", 'Ações'!BF682="sim"), 1, 0)
</f>
        <v>0</v>
      </c>
      <c r="Z676" s="319">
        <f>IF(AND('Ações'!AV682="sim", 'Ações'!BH682="sim"), 1, 0)
</f>
        <v>0</v>
      </c>
      <c r="AA676" s="319">
        <f>IF(AND('Ações'!AV682="sim", 'Ações'!BI682="sim"), 1, 0)
</f>
        <v>0</v>
      </c>
      <c r="AB676" s="319">
        <f>IF(AND('Ações'!AW682="sim", 'Ações'!BD682="sim"), 1, 0)
</f>
        <v>0</v>
      </c>
      <c r="AC676" s="319">
        <f>IF(AND('Ações'!AW682="sim", 'Ações'!BE682="sim"), 1, 0)
</f>
        <v>0</v>
      </c>
      <c r="AD676" s="319">
        <f>IF(AND('Ações'!AW682="sim", 'Ações'!BF682="sim"), 1, 0)
</f>
        <v>0</v>
      </c>
      <c r="AE676" s="319">
        <f>IF(AND('Ações'!AW682="sim", 'Ações'!BG682="sim"), 1, 0)
</f>
        <v>0</v>
      </c>
      <c r="AF676" s="319">
        <f>IF(AND('Ações'!AW682="sim", 'Ações'!BI682="sim"), 1, 0)
</f>
        <v>1</v>
      </c>
      <c r="AG676" s="319">
        <f>IF(AND('Ações'!AX682="sim", 'Ações'!BD682="sim"), 1, 0)
</f>
        <v>0</v>
      </c>
      <c r="AH676" s="319">
        <f>IF(AND('Ações'!AX682="sim", 'Ações'!BE682="sim"), 1, 0)
</f>
        <v>0</v>
      </c>
      <c r="AI676" s="319">
        <f>IF(AND('Ações'!AX682="sim", 'Ações'!BF682="sim"), 1, 0)
</f>
        <v>0</v>
      </c>
      <c r="AJ676" s="319">
        <f>IF(AND('Ações'!AX682="sim", 'Ações'!BG682="sim"), 1, 0)
</f>
        <v>0</v>
      </c>
      <c r="AK676" s="319">
        <f>IF(AND('Ações'!AX682="sim", 'Ações'!BH682="sim"), 1, 0)
</f>
        <v>0</v>
      </c>
    </row>
    <row r="677">
      <c r="B677" s="319">
        <f>IF(AND('Ações'!AS683="sim", 'Ações'!BD683="sim"), 1, 0)
</f>
        <v>0</v>
      </c>
      <c r="C677" s="319">
        <f>IF(AND('Ações'!AT683="sim", 'Ações'!BE683="sim"), 1, 0)
</f>
        <v>0</v>
      </c>
      <c r="D677" s="319">
        <f>IF(AND('Ações'!AU683="sim", 'Ações'!BF683="sim"), 1, 0)
</f>
        <v>0</v>
      </c>
      <c r="E677" s="319">
        <f>IF(AND('Ações'!AV683="sim", 'Ações'!BG683="sim"), 1, 0)
</f>
        <v>0</v>
      </c>
      <c r="F677" s="319">
        <f>IF(AND('Ações'!AW683="sim", 'Ações'!BH683="sim"), 1, 0)
</f>
        <v>0</v>
      </c>
      <c r="G677" s="319">
        <f>IF(AND('Ações'!AX683="sim", 'Ações'!BI683="sim"), 1, 0)
</f>
        <v>1</v>
      </c>
      <c r="H677" s="319">
        <f>IF(AND('Ações'!AS683="sim", 'Ações'!BE683="sim"), 1, 0)
</f>
        <v>0</v>
      </c>
      <c r="I677" s="319">
        <f>IF(AND('Ações'!AS683="sim", 'Ações'!BF683="sim"), 1, 0)
</f>
        <v>0</v>
      </c>
      <c r="J677" s="319">
        <f>IF(AND('Ações'!AS683="sim", 'Ações'!BG683="sim"), 1, 0)
</f>
        <v>0</v>
      </c>
      <c r="K677" s="319">
        <f>IF(AND('Ações'!AS683="sim", 'Ações'!BH683="sim"), 1, 0)
</f>
        <v>0</v>
      </c>
      <c r="L677" s="319">
        <f>IF(AND('Ações'!AS683="sim", 'Ações'!BI683="sim"), 1, 0)
</f>
        <v>0</v>
      </c>
      <c r="M677" s="319">
        <f>IF(AND('Ações'!AT683="sim", 'Ações'!BD683="sim"), 1, 0)
</f>
        <v>0</v>
      </c>
      <c r="N677" s="319">
        <f>IF(AND('Ações'!AT683="sim", 'Ações'!BF683="sim"), 1, 0)
</f>
        <v>0</v>
      </c>
      <c r="O677" s="319">
        <f>IF(AND('Ações'!AT683="sim", 'Ações'!BG683="sim"), 1, 0)
</f>
        <v>0</v>
      </c>
      <c r="P677" s="319">
        <f>IF(AND('Ações'!AT683="sim", 'Ações'!BH683="sim"), 1, 0)
</f>
        <v>0</v>
      </c>
      <c r="Q677" s="319">
        <f>IF(AND('Ações'!AT683="sim", 'Ações'!BI683="sim"), 1, 0)
</f>
        <v>0</v>
      </c>
      <c r="R677" s="319">
        <f>IF(AND('Ações'!AU683="sim", 'Ações'!BD683="sim"), 1, 0)
</f>
        <v>0</v>
      </c>
      <c r="S677" s="319">
        <f>IF(AND('Ações'!AU683="sim", 'Ações'!BE683="sim"), 1, 0)
</f>
        <v>0</v>
      </c>
      <c r="T677" s="319">
        <f>IF(AND('Ações'!AU683="sim", 'Ações'!BG683="sim"), 1, 0)
</f>
        <v>0</v>
      </c>
      <c r="U677" s="319">
        <f>IF(AND('Ações'!AU683="sim", 'Ações'!BH683="sim"), 1, 0)
</f>
        <v>0</v>
      </c>
      <c r="V677" s="319">
        <f>IF(AND('Ações'!AU683="sim", 'Ações'!BI683="sim"), 1, 0)
</f>
        <v>0</v>
      </c>
      <c r="W677" s="319">
        <f>IF(AND('Ações'!AV683="sim", 'Ações'!BD683="sim"), 1, 0)
</f>
        <v>0</v>
      </c>
      <c r="X677" s="319">
        <f>IF(AND('Ações'!AV683="sim", 'Ações'!BE683="sim"), 1, 0)
</f>
        <v>0</v>
      </c>
      <c r="Y677" s="319">
        <f>IF(AND('Ações'!AV683="sim", 'Ações'!BF683="sim"), 1, 0)
</f>
        <v>0</v>
      </c>
      <c r="Z677" s="319">
        <f>IF(AND('Ações'!AV683="sim", 'Ações'!BH683="sim"), 1, 0)
</f>
        <v>0</v>
      </c>
      <c r="AA677" s="319">
        <f>IF(AND('Ações'!AV683="sim", 'Ações'!BI683="sim"), 1, 0)
</f>
        <v>0</v>
      </c>
      <c r="AB677" s="319">
        <f>IF(AND('Ações'!AW683="sim", 'Ações'!BD683="sim"), 1, 0)
</f>
        <v>0</v>
      </c>
      <c r="AC677" s="319">
        <f>IF(AND('Ações'!AW683="sim", 'Ações'!BE683="sim"), 1, 0)
</f>
        <v>0</v>
      </c>
      <c r="AD677" s="319">
        <f>IF(AND('Ações'!AW683="sim", 'Ações'!BF683="sim"), 1, 0)
</f>
        <v>0</v>
      </c>
      <c r="AE677" s="319">
        <f>IF(AND('Ações'!AW683="sim", 'Ações'!BG683="sim"), 1, 0)
</f>
        <v>0</v>
      </c>
      <c r="AF677" s="319">
        <f>IF(AND('Ações'!AW683="sim", 'Ações'!BI683="sim"), 1, 0)
</f>
        <v>1</v>
      </c>
      <c r="AG677" s="319">
        <f>IF(AND('Ações'!AX683="sim", 'Ações'!BD683="sim"), 1, 0)
</f>
        <v>0</v>
      </c>
      <c r="AH677" s="319">
        <f>IF(AND('Ações'!AX683="sim", 'Ações'!BE683="sim"), 1, 0)
</f>
        <v>0</v>
      </c>
      <c r="AI677" s="319">
        <f>IF(AND('Ações'!AX683="sim", 'Ações'!BF683="sim"), 1, 0)
</f>
        <v>0</v>
      </c>
      <c r="AJ677" s="319">
        <f>IF(AND('Ações'!AX683="sim", 'Ações'!BG683="sim"), 1, 0)
</f>
        <v>0</v>
      </c>
      <c r="AK677" s="319">
        <f>IF(AND('Ações'!AX683="sim", 'Ações'!BH683="sim"), 1, 0)
</f>
        <v>0</v>
      </c>
    </row>
    <row r="678">
      <c r="B678" s="319">
        <f>IF(AND('Ações'!AS684="sim", 'Ações'!BD684="sim"), 1, 0)
</f>
        <v>0</v>
      </c>
      <c r="C678" s="319">
        <f>IF(AND('Ações'!AT684="sim", 'Ações'!BE684="sim"), 1, 0)
</f>
        <v>0</v>
      </c>
      <c r="D678" s="319">
        <f>IF(AND('Ações'!AU684="sim", 'Ações'!BF684="sim"), 1, 0)
</f>
        <v>0</v>
      </c>
      <c r="E678" s="319">
        <f>IF(AND('Ações'!AV684="sim", 'Ações'!BG684="sim"), 1, 0)
</f>
        <v>0</v>
      </c>
      <c r="F678" s="319">
        <f>IF(AND('Ações'!AW684="sim", 'Ações'!BH684="sim"), 1, 0)
</f>
        <v>0</v>
      </c>
      <c r="G678" s="319">
        <f>IF(AND('Ações'!AX684="sim", 'Ações'!BI684="sim"), 1, 0)
</f>
        <v>1</v>
      </c>
      <c r="H678" s="319">
        <f>IF(AND('Ações'!AS684="sim", 'Ações'!BE684="sim"), 1, 0)
</f>
        <v>0</v>
      </c>
      <c r="I678" s="319">
        <f>IF(AND('Ações'!AS684="sim", 'Ações'!BF684="sim"), 1, 0)
</f>
        <v>0</v>
      </c>
      <c r="J678" s="319">
        <f>IF(AND('Ações'!AS684="sim", 'Ações'!BG684="sim"), 1, 0)
</f>
        <v>0</v>
      </c>
      <c r="K678" s="319">
        <f>IF(AND('Ações'!AS684="sim", 'Ações'!BH684="sim"), 1, 0)
</f>
        <v>0</v>
      </c>
      <c r="L678" s="319">
        <f>IF(AND('Ações'!AS684="sim", 'Ações'!BI684="sim"), 1, 0)
</f>
        <v>0</v>
      </c>
      <c r="M678" s="319">
        <f>IF(AND('Ações'!AT684="sim", 'Ações'!BD684="sim"), 1, 0)
</f>
        <v>0</v>
      </c>
      <c r="N678" s="319">
        <f>IF(AND('Ações'!AT684="sim", 'Ações'!BF684="sim"), 1, 0)
</f>
        <v>0</v>
      </c>
      <c r="O678" s="319">
        <f>IF(AND('Ações'!AT684="sim", 'Ações'!BG684="sim"), 1, 0)
</f>
        <v>0</v>
      </c>
      <c r="P678" s="319">
        <f>IF(AND('Ações'!AT684="sim", 'Ações'!BH684="sim"), 1, 0)
</f>
        <v>0</v>
      </c>
      <c r="Q678" s="319">
        <f>IF(AND('Ações'!AT684="sim", 'Ações'!BI684="sim"), 1, 0)
</f>
        <v>0</v>
      </c>
      <c r="R678" s="319">
        <f>IF(AND('Ações'!AU684="sim", 'Ações'!BD684="sim"), 1, 0)
</f>
        <v>0</v>
      </c>
      <c r="S678" s="319">
        <f>IF(AND('Ações'!AU684="sim", 'Ações'!BE684="sim"), 1, 0)
</f>
        <v>0</v>
      </c>
      <c r="T678" s="319">
        <f>IF(AND('Ações'!AU684="sim", 'Ações'!BG684="sim"), 1, 0)
</f>
        <v>0</v>
      </c>
      <c r="U678" s="319">
        <f>IF(AND('Ações'!AU684="sim", 'Ações'!BH684="sim"), 1, 0)
</f>
        <v>0</v>
      </c>
      <c r="V678" s="319">
        <f>IF(AND('Ações'!AU684="sim", 'Ações'!BI684="sim"), 1, 0)
</f>
        <v>0</v>
      </c>
      <c r="W678" s="319">
        <f>IF(AND('Ações'!AV684="sim", 'Ações'!BD684="sim"), 1, 0)
</f>
        <v>0</v>
      </c>
      <c r="X678" s="319">
        <f>IF(AND('Ações'!AV684="sim", 'Ações'!BE684="sim"), 1, 0)
</f>
        <v>0</v>
      </c>
      <c r="Y678" s="319">
        <f>IF(AND('Ações'!AV684="sim", 'Ações'!BF684="sim"), 1, 0)
</f>
        <v>0</v>
      </c>
      <c r="Z678" s="319">
        <f>IF(AND('Ações'!AV684="sim", 'Ações'!BH684="sim"), 1, 0)
</f>
        <v>0</v>
      </c>
      <c r="AA678" s="319">
        <f>IF(AND('Ações'!AV684="sim", 'Ações'!BI684="sim"), 1, 0)
</f>
        <v>0</v>
      </c>
      <c r="AB678" s="319">
        <f>IF(AND('Ações'!AW684="sim", 'Ações'!BD684="sim"), 1, 0)
</f>
        <v>0</v>
      </c>
      <c r="AC678" s="319">
        <f>IF(AND('Ações'!AW684="sim", 'Ações'!BE684="sim"), 1, 0)
</f>
        <v>0</v>
      </c>
      <c r="AD678" s="319">
        <f>IF(AND('Ações'!AW684="sim", 'Ações'!BF684="sim"), 1, 0)
</f>
        <v>0</v>
      </c>
      <c r="AE678" s="319">
        <f>IF(AND('Ações'!AW684="sim", 'Ações'!BG684="sim"), 1, 0)
</f>
        <v>0</v>
      </c>
      <c r="AF678" s="319">
        <f>IF(AND('Ações'!AW684="sim", 'Ações'!BI684="sim"), 1, 0)
</f>
        <v>1</v>
      </c>
      <c r="AG678" s="319">
        <f>IF(AND('Ações'!AX684="sim", 'Ações'!BD684="sim"), 1, 0)
</f>
        <v>0</v>
      </c>
      <c r="AH678" s="319">
        <f>IF(AND('Ações'!AX684="sim", 'Ações'!BE684="sim"), 1, 0)
</f>
        <v>0</v>
      </c>
      <c r="AI678" s="319">
        <f>IF(AND('Ações'!AX684="sim", 'Ações'!BF684="sim"), 1, 0)
</f>
        <v>0</v>
      </c>
      <c r="AJ678" s="319">
        <f>IF(AND('Ações'!AX684="sim", 'Ações'!BG684="sim"), 1, 0)
</f>
        <v>0</v>
      </c>
      <c r="AK678" s="319">
        <f>IF(AND('Ações'!AX684="sim", 'Ações'!BH684="sim"), 1, 0)
</f>
        <v>0</v>
      </c>
    </row>
    <row r="679">
      <c r="B679" s="319">
        <f>IF(AND('Ações'!AS685="sim", 'Ações'!BD685="sim"), 1, 0)
</f>
        <v>0</v>
      </c>
      <c r="C679" s="319">
        <f>IF(AND('Ações'!AT685="sim", 'Ações'!BE685="sim"), 1, 0)
</f>
        <v>0</v>
      </c>
      <c r="D679" s="319">
        <f>IF(AND('Ações'!AU685="sim", 'Ações'!BF685="sim"), 1, 0)
</f>
        <v>0</v>
      </c>
      <c r="E679" s="319">
        <f>IF(AND('Ações'!AV685="sim", 'Ações'!BG685="sim"), 1, 0)
</f>
        <v>0</v>
      </c>
      <c r="F679" s="319">
        <f>IF(AND('Ações'!AW685="sim", 'Ações'!BH685="sim"), 1, 0)
</f>
        <v>1</v>
      </c>
      <c r="G679" s="319">
        <f>IF(AND('Ações'!AX685="sim", 'Ações'!BI685="sim"), 1, 0)
</f>
        <v>0</v>
      </c>
      <c r="H679" s="319">
        <f>IF(AND('Ações'!AS685="sim", 'Ações'!BE685="sim"), 1, 0)
</f>
        <v>0</v>
      </c>
      <c r="I679" s="319">
        <f>IF(AND('Ações'!AS685="sim", 'Ações'!BF685="sim"), 1, 0)
</f>
        <v>0</v>
      </c>
      <c r="J679" s="319">
        <f>IF(AND('Ações'!AS685="sim", 'Ações'!BG685="sim"), 1, 0)
</f>
        <v>0</v>
      </c>
      <c r="K679" s="319">
        <f>IF(AND('Ações'!AS685="sim", 'Ações'!BH685="sim"), 1, 0)
</f>
        <v>0</v>
      </c>
      <c r="L679" s="319">
        <f>IF(AND('Ações'!AS685="sim", 'Ações'!BI685="sim"), 1, 0)
</f>
        <v>0</v>
      </c>
      <c r="M679" s="319">
        <f>IF(AND('Ações'!AT685="sim", 'Ações'!BD685="sim"), 1, 0)
</f>
        <v>0</v>
      </c>
      <c r="N679" s="319">
        <f>IF(AND('Ações'!AT685="sim", 'Ações'!BF685="sim"), 1, 0)
</f>
        <v>0</v>
      </c>
      <c r="O679" s="319">
        <f>IF(AND('Ações'!AT685="sim", 'Ações'!BG685="sim"), 1, 0)
</f>
        <v>0</v>
      </c>
      <c r="P679" s="319">
        <f>IF(AND('Ações'!AT685="sim", 'Ações'!BH685="sim"), 1, 0)
</f>
        <v>0</v>
      </c>
      <c r="Q679" s="319">
        <f>IF(AND('Ações'!AT685="sim", 'Ações'!BI685="sim"), 1, 0)
</f>
        <v>0</v>
      </c>
      <c r="R679" s="319">
        <f>IF(AND('Ações'!AU685="sim", 'Ações'!BD685="sim"), 1, 0)
</f>
        <v>0</v>
      </c>
      <c r="S679" s="319">
        <f>IF(AND('Ações'!AU685="sim", 'Ações'!BE685="sim"), 1, 0)
</f>
        <v>0</v>
      </c>
      <c r="T679" s="319">
        <f>IF(AND('Ações'!AU685="sim", 'Ações'!BG685="sim"), 1, 0)
</f>
        <v>0</v>
      </c>
      <c r="U679" s="319">
        <f>IF(AND('Ações'!AU685="sim", 'Ações'!BH685="sim"), 1, 0)
</f>
        <v>0</v>
      </c>
      <c r="V679" s="319">
        <f>IF(AND('Ações'!AU685="sim", 'Ações'!BI685="sim"), 1, 0)
</f>
        <v>0</v>
      </c>
      <c r="W679" s="319">
        <f>IF(AND('Ações'!AV685="sim", 'Ações'!BD685="sim"), 1, 0)
</f>
        <v>0</v>
      </c>
      <c r="X679" s="319">
        <f>IF(AND('Ações'!AV685="sim", 'Ações'!BE685="sim"), 1, 0)
</f>
        <v>0</v>
      </c>
      <c r="Y679" s="319">
        <f>IF(AND('Ações'!AV685="sim", 'Ações'!BF685="sim"), 1, 0)
</f>
        <v>0</v>
      </c>
      <c r="Z679" s="319">
        <f>IF(AND('Ações'!AV685="sim", 'Ações'!BH685="sim"), 1, 0)
</f>
        <v>0</v>
      </c>
      <c r="AA679" s="319">
        <f>IF(AND('Ações'!AV685="sim", 'Ações'!BI685="sim"), 1, 0)
</f>
        <v>0</v>
      </c>
      <c r="AB679" s="319">
        <f>IF(AND('Ações'!AW685="sim", 'Ações'!BD685="sim"), 1, 0)
</f>
        <v>0</v>
      </c>
      <c r="AC679" s="319">
        <f>IF(AND('Ações'!AW685="sim", 'Ações'!BE685="sim"), 1, 0)
</f>
        <v>0</v>
      </c>
      <c r="AD679" s="319">
        <f>IF(AND('Ações'!AW685="sim", 'Ações'!BF685="sim"), 1, 0)
</f>
        <v>0</v>
      </c>
      <c r="AE679" s="319">
        <f>IF(AND('Ações'!AW685="sim", 'Ações'!BG685="sim"), 1, 0)
</f>
        <v>0</v>
      </c>
      <c r="AF679" s="319">
        <f>IF(AND('Ações'!AW685="sim", 'Ações'!BI685="sim"), 1, 0)
</f>
        <v>0</v>
      </c>
      <c r="AG679" s="319">
        <f>IF(AND('Ações'!AX685="sim", 'Ações'!BD685="sim"), 1, 0)
</f>
        <v>0</v>
      </c>
      <c r="AH679" s="319">
        <f>IF(AND('Ações'!AX685="sim", 'Ações'!BE685="sim"), 1, 0)
</f>
        <v>0</v>
      </c>
      <c r="AI679" s="319">
        <f>IF(AND('Ações'!AX685="sim", 'Ações'!BF685="sim"), 1, 0)
</f>
        <v>0</v>
      </c>
      <c r="AJ679" s="319">
        <f>IF(AND('Ações'!AX685="sim", 'Ações'!BG685="sim"), 1, 0)
</f>
        <v>0</v>
      </c>
      <c r="AK679" s="319">
        <f>IF(AND('Ações'!AX685="sim", 'Ações'!BH685="sim"), 1, 0)
</f>
        <v>1</v>
      </c>
    </row>
    <row r="680">
      <c r="B680" s="319">
        <f>IF(AND('Ações'!AS686="sim", 'Ações'!BD686="sim"), 1, 0)
</f>
        <v>0</v>
      </c>
      <c r="C680" s="319">
        <f>IF(AND('Ações'!AT686="sim", 'Ações'!BE686="sim"), 1, 0)
</f>
        <v>0</v>
      </c>
      <c r="D680" s="319">
        <f>IF(AND('Ações'!AU686="sim", 'Ações'!BF686="sim"), 1, 0)
</f>
        <v>0</v>
      </c>
      <c r="E680" s="319">
        <f>IF(AND('Ações'!AV686="sim", 'Ações'!BG686="sim"), 1, 0)
</f>
        <v>0</v>
      </c>
      <c r="F680" s="319">
        <f>IF(AND('Ações'!AW686="sim", 'Ações'!BH686="sim"), 1, 0)
</f>
        <v>0</v>
      </c>
      <c r="G680" s="319">
        <f>IF(AND('Ações'!AX686="sim", 'Ações'!BI686="sim"), 1, 0)
</f>
        <v>1</v>
      </c>
      <c r="H680" s="319">
        <f>IF(AND('Ações'!AS686="sim", 'Ações'!BE686="sim"), 1, 0)
</f>
        <v>0</v>
      </c>
      <c r="I680" s="319">
        <f>IF(AND('Ações'!AS686="sim", 'Ações'!BF686="sim"), 1, 0)
</f>
        <v>0</v>
      </c>
      <c r="J680" s="319">
        <f>IF(AND('Ações'!AS686="sim", 'Ações'!BG686="sim"), 1, 0)
</f>
        <v>0</v>
      </c>
      <c r="K680" s="319">
        <f>IF(AND('Ações'!AS686="sim", 'Ações'!BH686="sim"), 1, 0)
</f>
        <v>0</v>
      </c>
      <c r="L680" s="319">
        <f>IF(AND('Ações'!AS686="sim", 'Ações'!BI686="sim"), 1, 0)
</f>
        <v>0</v>
      </c>
      <c r="M680" s="319">
        <f>IF(AND('Ações'!AT686="sim", 'Ações'!BD686="sim"), 1, 0)
</f>
        <v>0</v>
      </c>
      <c r="N680" s="319">
        <f>IF(AND('Ações'!AT686="sim", 'Ações'!BF686="sim"), 1, 0)
</f>
        <v>0</v>
      </c>
      <c r="O680" s="319">
        <f>IF(AND('Ações'!AT686="sim", 'Ações'!BG686="sim"), 1, 0)
</f>
        <v>0</v>
      </c>
      <c r="P680" s="319">
        <f>IF(AND('Ações'!AT686="sim", 'Ações'!BH686="sim"), 1, 0)
</f>
        <v>0</v>
      </c>
      <c r="Q680" s="319">
        <f>IF(AND('Ações'!AT686="sim", 'Ações'!BI686="sim"), 1, 0)
</f>
        <v>0</v>
      </c>
      <c r="R680" s="319">
        <f>IF(AND('Ações'!AU686="sim", 'Ações'!BD686="sim"), 1, 0)
</f>
        <v>0</v>
      </c>
      <c r="S680" s="319">
        <f>IF(AND('Ações'!AU686="sim", 'Ações'!BE686="sim"), 1, 0)
</f>
        <v>0</v>
      </c>
      <c r="T680" s="319">
        <f>IF(AND('Ações'!AU686="sim", 'Ações'!BG686="sim"), 1, 0)
</f>
        <v>0</v>
      </c>
      <c r="U680" s="319">
        <f>IF(AND('Ações'!AU686="sim", 'Ações'!BH686="sim"), 1, 0)
</f>
        <v>0</v>
      </c>
      <c r="V680" s="319">
        <f>IF(AND('Ações'!AU686="sim", 'Ações'!BI686="sim"), 1, 0)
</f>
        <v>0</v>
      </c>
      <c r="W680" s="319">
        <f>IF(AND('Ações'!AV686="sim", 'Ações'!BD686="sim"), 1, 0)
</f>
        <v>0</v>
      </c>
      <c r="X680" s="319">
        <f>IF(AND('Ações'!AV686="sim", 'Ações'!BE686="sim"), 1, 0)
</f>
        <v>0</v>
      </c>
      <c r="Y680" s="319">
        <f>IF(AND('Ações'!AV686="sim", 'Ações'!BF686="sim"), 1, 0)
</f>
        <v>0</v>
      </c>
      <c r="Z680" s="319">
        <f>IF(AND('Ações'!AV686="sim", 'Ações'!BH686="sim"), 1, 0)
</f>
        <v>0</v>
      </c>
      <c r="AA680" s="319">
        <f>IF(AND('Ações'!AV686="sim", 'Ações'!BI686="sim"), 1, 0)
</f>
        <v>0</v>
      </c>
      <c r="AB680" s="319">
        <f>IF(AND('Ações'!AW686="sim", 'Ações'!BD686="sim"), 1, 0)
</f>
        <v>0</v>
      </c>
      <c r="AC680" s="319">
        <f>IF(AND('Ações'!AW686="sim", 'Ações'!BE686="sim"), 1, 0)
</f>
        <v>0</v>
      </c>
      <c r="AD680" s="319">
        <f>IF(AND('Ações'!AW686="sim", 'Ações'!BF686="sim"), 1, 0)
</f>
        <v>0</v>
      </c>
      <c r="AE680" s="319">
        <f>IF(AND('Ações'!AW686="sim", 'Ações'!BG686="sim"), 1, 0)
</f>
        <v>0</v>
      </c>
      <c r="AF680" s="319">
        <f>IF(AND('Ações'!AW686="sim", 'Ações'!BI686="sim"), 1, 0)
</f>
        <v>1</v>
      </c>
      <c r="AG680" s="319">
        <f>IF(AND('Ações'!AX686="sim", 'Ações'!BD686="sim"), 1, 0)
</f>
        <v>0</v>
      </c>
      <c r="AH680" s="319">
        <f>IF(AND('Ações'!AX686="sim", 'Ações'!BE686="sim"), 1, 0)
</f>
        <v>0</v>
      </c>
      <c r="AI680" s="319">
        <f>IF(AND('Ações'!AX686="sim", 'Ações'!BF686="sim"), 1, 0)
</f>
        <v>0</v>
      </c>
      <c r="AJ680" s="319">
        <f>IF(AND('Ações'!AX686="sim", 'Ações'!BG686="sim"), 1, 0)
</f>
        <v>0</v>
      </c>
      <c r="AK680" s="319">
        <f>IF(AND('Ações'!AX686="sim", 'Ações'!BH686="sim"), 1, 0)
</f>
        <v>0</v>
      </c>
    </row>
    <row r="681">
      <c r="B681" s="319">
        <f>IF(AND('Ações'!AS687="sim", 'Ações'!BD687="sim"), 1, 0)
</f>
        <v>0</v>
      </c>
      <c r="C681" s="319">
        <f>IF(AND('Ações'!AT687="sim", 'Ações'!BE687="sim"), 1, 0)
</f>
        <v>0</v>
      </c>
      <c r="D681" s="319">
        <f>IF(AND('Ações'!AU687="sim", 'Ações'!BF687="sim"), 1, 0)
</f>
        <v>0</v>
      </c>
      <c r="E681" s="319">
        <f>IF(AND('Ações'!AV687="sim", 'Ações'!BG687="sim"), 1, 0)
</f>
        <v>0</v>
      </c>
      <c r="F681" s="319">
        <f>IF(AND('Ações'!AW687="sim", 'Ações'!BH687="sim"), 1, 0)
</f>
        <v>0</v>
      </c>
      <c r="G681" s="319">
        <f>IF(AND('Ações'!AX687="sim", 'Ações'!BI687="sim"), 1, 0)
</f>
        <v>1</v>
      </c>
      <c r="H681" s="319">
        <f>IF(AND('Ações'!AS687="sim", 'Ações'!BE687="sim"), 1, 0)
</f>
        <v>0</v>
      </c>
      <c r="I681" s="319">
        <f>IF(AND('Ações'!AS687="sim", 'Ações'!BF687="sim"), 1, 0)
</f>
        <v>0</v>
      </c>
      <c r="J681" s="319">
        <f>IF(AND('Ações'!AS687="sim", 'Ações'!BG687="sim"), 1, 0)
</f>
        <v>0</v>
      </c>
      <c r="K681" s="319">
        <f>IF(AND('Ações'!AS687="sim", 'Ações'!BH687="sim"), 1, 0)
</f>
        <v>0</v>
      </c>
      <c r="L681" s="319">
        <f>IF(AND('Ações'!AS687="sim", 'Ações'!BI687="sim"), 1, 0)
</f>
        <v>0</v>
      </c>
      <c r="M681" s="319">
        <f>IF(AND('Ações'!AT687="sim", 'Ações'!BD687="sim"), 1, 0)
</f>
        <v>0</v>
      </c>
      <c r="N681" s="319">
        <f>IF(AND('Ações'!AT687="sim", 'Ações'!BF687="sim"), 1, 0)
</f>
        <v>0</v>
      </c>
      <c r="O681" s="319">
        <f>IF(AND('Ações'!AT687="sim", 'Ações'!BG687="sim"), 1, 0)
</f>
        <v>0</v>
      </c>
      <c r="P681" s="319">
        <f>IF(AND('Ações'!AT687="sim", 'Ações'!BH687="sim"), 1, 0)
</f>
        <v>0</v>
      </c>
      <c r="Q681" s="319">
        <f>IF(AND('Ações'!AT687="sim", 'Ações'!BI687="sim"), 1, 0)
</f>
        <v>0</v>
      </c>
      <c r="R681" s="319">
        <f>IF(AND('Ações'!AU687="sim", 'Ações'!BD687="sim"), 1, 0)
</f>
        <v>0</v>
      </c>
      <c r="S681" s="319">
        <f>IF(AND('Ações'!AU687="sim", 'Ações'!BE687="sim"), 1, 0)
</f>
        <v>0</v>
      </c>
      <c r="T681" s="319">
        <f>IF(AND('Ações'!AU687="sim", 'Ações'!BG687="sim"), 1, 0)
</f>
        <v>0</v>
      </c>
      <c r="U681" s="319">
        <f>IF(AND('Ações'!AU687="sim", 'Ações'!BH687="sim"), 1, 0)
</f>
        <v>0</v>
      </c>
      <c r="V681" s="319">
        <f>IF(AND('Ações'!AU687="sim", 'Ações'!BI687="sim"), 1, 0)
</f>
        <v>0</v>
      </c>
      <c r="W681" s="319">
        <f>IF(AND('Ações'!AV687="sim", 'Ações'!BD687="sim"), 1, 0)
</f>
        <v>0</v>
      </c>
      <c r="X681" s="319">
        <f>IF(AND('Ações'!AV687="sim", 'Ações'!BE687="sim"), 1, 0)
</f>
        <v>0</v>
      </c>
      <c r="Y681" s="319">
        <f>IF(AND('Ações'!AV687="sim", 'Ações'!BF687="sim"), 1, 0)
</f>
        <v>0</v>
      </c>
      <c r="Z681" s="319">
        <f>IF(AND('Ações'!AV687="sim", 'Ações'!BH687="sim"), 1, 0)
</f>
        <v>0</v>
      </c>
      <c r="AA681" s="319">
        <f>IF(AND('Ações'!AV687="sim", 'Ações'!BI687="sim"), 1, 0)
</f>
        <v>0</v>
      </c>
      <c r="AB681" s="319">
        <f>IF(AND('Ações'!AW687="sim", 'Ações'!BD687="sim"), 1, 0)
</f>
        <v>0</v>
      </c>
      <c r="AC681" s="319">
        <f>IF(AND('Ações'!AW687="sim", 'Ações'!BE687="sim"), 1, 0)
</f>
        <v>0</v>
      </c>
      <c r="AD681" s="319">
        <f>IF(AND('Ações'!AW687="sim", 'Ações'!BF687="sim"), 1, 0)
</f>
        <v>0</v>
      </c>
      <c r="AE681" s="319">
        <f>IF(AND('Ações'!AW687="sim", 'Ações'!BG687="sim"), 1, 0)
</f>
        <v>0</v>
      </c>
      <c r="AF681" s="319">
        <f>IF(AND('Ações'!AW687="sim", 'Ações'!BI687="sim"), 1, 0)
</f>
        <v>1</v>
      </c>
      <c r="AG681" s="319">
        <f>IF(AND('Ações'!AX687="sim", 'Ações'!BD687="sim"), 1, 0)
</f>
        <v>0</v>
      </c>
      <c r="AH681" s="319">
        <f>IF(AND('Ações'!AX687="sim", 'Ações'!BE687="sim"), 1, 0)
</f>
        <v>0</v>
      </c>
      <c r="AI681" s="319">
        <f>IF(AND('Ações'!AX687="sim", 'Ações'!BF687="sim"), 1, 0)
</f>
        <v>0</v>
      </c>
      <c r="AJ681" s="319">
        <f>IF(AND('Ações'!AX687="sim", 'Ações'!BG687="sim"), 1, 0)
</f>
        <v>0</v>
      </c>
      <c r="AK681" s="319">
        <f>IF(AND('Ações'!AX687="sim", 'Ações'!BH687="sim"), 1, 0)
</f>
        <v>0</v>
      </c>
    </row>
    <row r="682">
      <c r="B682" s="319">
        <f>IF(AND('Ações'!AS688="sim", 'Ações'!BD688="sim"), 1, 0)
</f>
        <v>0</v>
      </c>
      <c r="C682" s="319">
        <f>IF(AND('Ações'!AT688="sim", 'Ações'!BE688="sim"), 1, 0)
</f>
        <v>0</v>
      </c>
      <c r="D682" s="319">
        <f>IF(AND('Ações'!AU688="sim", 'Ações'!BF688="sim"), 1, 0)
</f>
        <v>0</v>
      </c>
      <c r="E682" s="319">
        <f>IF(AND('Ações'!AV688="sim", 'Ações'!BG688="sim"), 1, 0)
</f>
        <v>0</v>
      </c>
      <c r="F682" s="319">
        <f>IF(AND('Ações'!AW688="sim", 'Ações'!BH688="sim"), 1, 0)
</f>
        <v>0</v>
      </c>
      <c r="G682" s="319">
        <f>IF(AND('Ações'!AX688="sim", 'Ações'!BI688="sim"), 1, 0)
</f>
        <v>1</v>
      </c>
      <c r="H682" s="319">
        <f>IF(AND('Ações'!AS688="sim", 'Ações'!BE688="sim"), 1, 0)
</f>
        <v>0</v>
      </c>
      <c r="I682" s="319">
        <f>IF(AND('Ações'!AS688="sim", 'Ações'!BF688="sim"), 1, 0)
</f>
        <v>0</v>
      </c>
      <c r="J682" s="319">
        <f>IF(AND('Ações'!AS688="sim", 'Ações'!BG688="sim"), 1, 0)
</f>
        <v>0</v>
      </c>
      <c r="K682" s="319">
        <f>IF(AND('Ações'!AS688="sim", 'Ações'!BH688="sim"), 1, 0)
</f>
        <v>0</v>
      </c>
      <c r="L682" s="319">
        <f>IF(AND('Ações'!AS688="sim", 'Ações'!BI688="sim"), 1, 0)
</f>
        <v>0</v>
      </c>
      <c r="M682" s="319">
        <f>IF(AND('Ações'!AT688="sim", 'Ações'!BD688="sim"), 1, 0)
</f>
        <v>0</v>
      </c>
      <c r="N682" s="319">
        <f>IF(AND('Ações'!AT688="sim", 'Ações'!BF688="sim"), 1, 0)
</f>
        <v>0</v>
      </c>
      <c r="O682" s="319">
        <f>IF(AND('Ações'!AT688="sim", 'Ações'!BG688="sim"), 1, 0)
</f>
        <v>0</v>
      </c>
      <c r="P682" s="319">
        <f>IF(AND('Ações'!AT688="sim", 'Ações'!BH688="sim"), 1, 0)
</f>
        <v>0</v>
      </c>
      <c r="Q682" s="319">
        <f>IF(AND('Ações'!AT688="sim", 'Ações'!BI688="sim"), 1, 0)
</f>
        <v>0</v>
      </c>
      <c r="R682" s="319">
        <f>IF(AND('Ações'!AU688="sim", 'Ações'!BD688="sim"), 1, 0)
</f>
        <v>0</v>
      </c>
      <c r="S682" s="319">
        <f>IF(AND('Ações'!AU688="sim", 'Ações'!BE688="sim"), 1, 0)
</f>
        <v>0</v>
      </c>
      <c r="T682" s="319">
        <f>IF(AND('Ações'!AU688="sim", 'Ações'!BG688="sim"), 1, 0)
</f>
        <v>0</v>
      </c>
      <c r="U682" s="319">
        <f>IF(AND('Ações'!AU688="sim", 'Ações'!BH688="sim"), 1, 0)
</f>
        <v>0</v>
      </c>
      <c r="V682" s="319">
        <f>IF(AND('Ações'!AU688="sim", 'Ações'!BI688="sim"), 1, 0)
</f>
        <v>0</v>
      </c>
      <c r="W682" s="319">
        <f>IF(AND('Ações'!AV688="sim", 'Ações'!BD688="sim"), 1, 0)
</f>
        <v>0</v>
      </c>
      <c r="X682" s="319">
        <f>IF(AND('Ações'!AV688="sim", 'Ações'!BE688="sim"), 1, 0)
</f>
        <v>0</v>
      </c>
      <c r="Y682" s="319">
        <f>IF(AND('Ações'!AV688="sim", 'Ações'!BF688="sim"), 1, 0)
</f>
        <v>0</v>
      </c>
      <c r="Z682" s="319">
        <f>IF(AND('Ações'!AV688="sim", 'Ações'!BH688="sim"), 1, 0)
</f>
        <v>0</v>
      </c>
      <c r="AA682" s="319">
        <f>IF(AND('Ações'!AV688="sim", 'Ações'!BI688="sim"), 1, 0)
</f>
        <v>1</v>
      </c>
      <c r="AB682" s="319">
        <f>IF(AND('Ações'!AW688="sim", 'Ações'!BD688="sim"), 1, 0)
</f>
        <v>0</v>
      </c>
      <c r="AC682" s="319">
        <f>IF(AND('Ações'!AW688="sim", 'Ações'!BE688="sim"), 1, 0)
</f>
        <v>0</v>
      </c>
      <c r="AD682" s="319">
        <f>IF(AND('Ações'!AW688="sim", 'Ações'!BF688="sim"), 1, 0)
</f>
        <v>0</v>
      </c>
      <c r="AE682" s="319">
        <f>IF(AND('Ações'!AW688="sim", 'Ações'!BG688="sim"), 1, 0)
</f>
        <v>0</v>
      </c>
      <c r="AF682" s="319">
        <f>IF(AND('Ações'!AW688="sim", 'Ações'!BI688="sim"), 1, 0)
</f>
        <v>1</v>
      </c>
      <c r="AG682" s="319">
        <f>IF(AND('Ações'!AX688="sim", 'Ações'!BD688="sim"), 1, 0)
</f>
        <v>0</v>
      </c>
      <c r="AH682" s="319">
        <f>IF(AND('Ações'!AX688="sim", 'Ações'!BE688="sim"), 1, 0)
</f>
        <v>0</v>
      </c>
      <c r="AI682" s="319">
        <f>IF(AND('Ações'!AX688="sim", 'Ações'!BF688="sim"), 1, 0)
</f>
        <v>0</v>
      </c>
      <c r="AJ682" s="319">
        <f>IF(AND('Ações'!AX688="sim", 'Ações'!BG688="sim"), 1, 0)
</f>
        <v>0</v>
      </c>
      <c r="AK682" s="319">
        <f>IF(AND('Ações'!AX688="sim", 'Ações'!BH688="sim"), 1, 0)
</f>
        <v>0</v>
      </c>
    </row>
    <row r="683">
      <c r="B683" s="319">
        <f>IF(AND('Ações'!AS690="sim", 'Ações'!BD690="sim"), 1, 0)
</f>
        <v>0</v>
      </c>
      <c r="C683" s="319">
        <f>IF(AND('Ações'!AT690="sim", 'Ações'!BE690="sim"), 1, 0)
</f>
        <v>0</v>
      </c>
      <c r="D683" s="319">
        <f>IF(AND('Ações'!AU690="sim", 'Ações'!BF690="sim"), 1, 0)
</f>
        <v>0</v>
      </c>
      <c r="E683" s="319">
        <f>IF(AND('Ações'!AV690="sim", 'Ações'!BG690="sim"), 1, 0)
</f>
        <v>0</v>
      </c>
      <c r="F683" s="319">
        <f>IF(AND('Ações'!AW690="sim", 'Ações'!BH690="sim"), 1, 0)
</f>
        <v>0</v>
      </c>
      <c r="G683" s="319">
        <f>IF(AND('Ações'!AX690="sim", 'Ações'!BI690="sim"), 1, 0)
</f>
        <v>0</v>
      </c>
      <c r="H683" s="319">
        <f>IF(AND('Ações'!AS690="sim", 'Ações'!BE690="sim"), 1, 0)
</f>
        <v>0</v>
      </c>
      <c r="I683" s="319">
        <f>IF(AND('Ações'!AS690="sim", 'Ações'!BF690="sim"), 1, 0)
</f>
        <v>0</v>
      </c>
      <c r="J683" s="319">
        <f>IF(AND('Ações'!AS690="sim", 'Ações'!BG690="sim"), 1, 0)
</f>
        <v>0</v>
      </c>
      <c r="K683" s="319">
        <f>IF(AND('Ações'!AS690="sim", 'Ações'!BH690="sim"), 1, 0)
</f>
        <v>0</v>
      </c>
      <c r="L683" s="319">
        <f>IF(AND('Ações'!AS690="sim", 'Ações'!BI690="sim"), 1, 0)
</f>
        <v>0</v>
      </c>
      <c r="M683" s="319">
        <f>IF(AND('Ações'!AT690="sim", 'Ações'!BD690="sim"), 1, 0)
</f>
        <v>0</v>
      </c>
      <c r="N683" s="319">
        <f>IF(AND('Ações'!AT690="sim", 'Ações'!BF690="sim"), 1, 0)
</f>
        <v>0</v>
      </c>
      <c r="O683" s="319">
        <f>IF(AND('Ações'!AT690="sim", 'Ações'!BG690="sim"), 1, 0)
</f>
        <v>0</v>
      </c>
      <c r="P683" s="319">
        <f>IF(AND('Ações'!AT690="sim", 'Ações'!BH690="sim"), 1, 0)
</f>
        <v>0</v>
      </c>
      <c r="Q683" s="319">
        <f>IF(AND('Ações'!AT690="sim", 'Ações'!BI690="sim"), 1, 0)
</f>
        <v>0</v>
      </c>
      <c r="R683" s="319">
        <f>IF(AND('Ações'!AU690="sim", 'Ações'!BD690="sim"), 1, 0)
</f>
        <v>0</v>
      </c>
      <c r="S683" s="319">
        <f>IF(AND('Ações'!AU690="sim", 'Ações'!BE690="sim"), 1, 0)
</f>
        <v>0</v>
      </c>
      <c r="T683" s="319">
        <f>IF(AND('Ações'!AU690="sim", 'Ações'!BG690="sim"), 1, 0)
</f>
        <v>0</v>
      </c>
      <c r="U683" s="319">
        <f>IF(AND('Ações'!AU690="sim", 'Ações'!BH690="sim"), 1, 0)
</f>
        <v>0</v>
      </c>
      <c r="V683" s="319">
        <f>IF(AND('Ações'!AU690="sim", 'Ações'!BI690="sim"), 1, 0)
</f>
        <v>0</v>
      </c>
      <c r="W683" s="319">
        <f>IF(AND('Ações'!AV690="sim", 'Ações'!BD690="sim"), 1, 0)
</f>
        <v>1</v>
      </c>
      <c r="X683" s="319">
        <f>IF(AND('Ações'!AV690="sim", 'Ações'!BE690="sim"), 1, 0)
</f>
        <v>0</v>
      </c>
      <c r="Y683" s="319">
        <f>IF(AND('Ações'!AV690="sim", 'Ações'!BF690="sim"), 1, 0)
</f>
        <v>0</v>
      </c>
      <c r="Z683" s="319">
        <f>IF(AND('Ações'!AV690="sim", 'Ações'!BH690="sim"), 1, 0)
</f>
        <v>0</v>
      </c>
      <c r="AA683" s="319">
        <f>IF(AND('Ações'!AV690="sim", 'Ações'!BI690="sim"), 1, 0)
</f>
        <v>0</v>
      </c>
      <c r="AB683" s="319">
        <f>IF(AND('Ações'!AW690="sim", 'Ações'!BD690="sim"), 1, 0)
</f>
        <v>1</v>
      </c>
      <c r="AC683" s="319">
        <f>IF(AND('Ações'!AW690="sim", 'Ações'!BE690="sim"), 1, 0)
</f>
        <v>0</v>
      </c>
      <c r="AD683" s="319">
        <f>IF(AND('Ações'!AW690="sim", 'Ações'!BF690="sim"), 1, 0)
</f>
        <v>0</v>
      </c>
      <c r="AE683" s="319">
        <f>IF(AND('Ações'!AW690="sim", 'Ações'!BG690="sim"), 1, 0)
</f>
        <v>0</v>
      </c>
      <c r="AF683" s="319">
        <f>IF(AND('Ações'!AW690="sim", 'Ações'!BI690="sim"), 1, 0)
</f>
        <v>0</v>
      </c>
      <c r="AG683" s="319">
        <f>IF(AND('Ações'!AX690="sim", 'Ações'!BD690="sim"), 1, 0)
</f>
        <v>1</v>
      </c>
      <c r="AH683" s="319">
        <f>IF(AND('Ações'!AX690="sim", 'Ações'!BE690="sim"), 1, 0)
</f>
        <v>0</v>
      </c>
      <c r="AI683" s="319">
        <f>IF(AND('Ações'!AX690="sim", 'Ações'!BF690="sim"), 1, 0)
</f>
        <v>0</v>
      </c>
      <c r="AJ683" s="319">
        <f>IF(AND('Ações'!AX690="sim", 'Ações'!BG690="sim"), 1, 0)
</f>
        <v>0</v>
      </c>
      <c r="AK683" s="319">
        <f>IF(AND('Ações'!AX690="sim", 'Ações'!BH690="sim"), 1, 0)
</f>
        <v>0</v>
      </c>
    </row>
    <row r="684">
      <c r="B684" s="319">
        <f>IF(AND('Ações'!AS691="sim", 'Ações'!BD691="sim"), 1, 0)
</f>
        <v>1</v>
      </c>
      <c r="C684" s="319">
        <f>IF(AND('Ações'!AT691="sim", 'Ações'!BE691="sim"), 1, 0)
</f>
        <v>0</v>
      </c>
      <c r="D684" s="319">
        <f>IF(AND('Ações'!AU691="sim", 'Ações'!BF691="sim"), 1, 0)
</f>
        <v>0</v>
      </c>
      <c r="E684" s="319">
        <f>IF(AND('Ações'!AV691="sim", 'Ações'!BG691="sim"), 1, 0)
</f>
        <v>0</v>
      </c>
      <c r="F684" s="319">
        <f>IF(AND('Ações'!AW691="sim", 'Ações'!BH691="sim"), 1, 0)
</f>
        <v>0</v>
      </c>
      <c r="G684" s="319">
        <f>IF(AND('Ações'!AX691="sim", 'Ações'!BI691="sim"), 1, 0)
</f>
        <v>0</v>
      </c>
      <c r="H684" s="319">
        <f>IF(AND('Ações'!AS691="sim", 'Ações'!BE691="sim"), 1, 0)
</f>
        <v>0</v>
      </c>
      <c r="I684" s="319">
        <f>IF(AND('Ações'!AS691="sim", 'Ações'!BF691="sim"), 1, 0)
</f>
        <v>0</v>
      </c>
      <c r="J684" s="319">
        <f>IF(AND('Ações'!AS691="sim", 'Ações'!BG691="sim"), 1, 0)
</f>
        <v>0</v>
      </c>
      <c r="K684" s="319">
        <f>IF(AND('Ações'!AS691="sim", 'Ações'!BH691="sim"), 1, 0)
</f>
        <v>0</v>
      </c>
      <c r="L684" s="319">
        <f>IF(AND('Ações'!AS691="sim", 'Ações'!BI691="sim"), 1, 0)
</f>
        <v>0</v>
      </c>
      <c r="M684" s="319">
        <f>IF(AND('Ações'!AT691="sim", 'Ações'!BD691="sim"), 1, 0)
</f>
        <v>0</v>
      </c>
      <c r="N684" s="319">
        <f>IF(AND('Ações'!AT691="sim", 'Ações'!BF691="sim"), 1, 0)
</f>
        <v>0</v>
      </c>
      <c r="O684" s="319">
        <f>IF(AND('Ações'!AT691="sim", 'Ações'!BG691="sim"), 1, 0)
</f>
        <v>0</v>
      </c>
      <c r="P684" s="319">
        <f>IF(AND('Ações'!AT691="sim", 'Ações'!BH691="sim"), 1, 0)
</f>
        <v>0</v>
      </c>
      <c r="Q684" s="319">
        <f>IF(AND('Ações'!AT691="sim", 'Ações'!BI691="sim"), 1, 0)
</f>
        <v>0</v>
      </c>
      <c r="R684" s="319">
        <f>IF(AND('Ações'!AU691="sim", 'Ações'!BD691="sim"), 1, 0)
</f>
        <v>0</v>
      </c>
      <c r="S684" s="319">
        <f>IF(AND('Ações'!AU691="sim", 'Ações'!BE691="sim"), 1, 0)
</f>
        <v>0</v>
      </c>
      <c r="T684" s="319">
        <f>IF(AND('Ações'!AU691="sim", 'Ações'!BG691="sim"), 1, 0)
</f>
        <v>0</v>
      </c>
      <c r="U684" s="319">
        <f>IF(AND('Ações'!AU691="sim", 'Ações'!BH691="sim"), 1, 0)
</f>
        <v>0</v>
      </c>
      <c r="V684" s="319">
        <f>IF(AND('Ações'!AU691="sim", 'Ações'!BI691="sim"), 1, 0)
</f>
        <v>0</v>
      </c>
      <c r="W684" s="319">
        <f>IF(AND('Ações'!AV691="sim", 'Ações'!BD691="sim"), 1, 0)
</f>
        <v>1</v>
      </c>
      <c r="X684" s="319">
        <f>IF(AND('Ações'!AV691="sim", 'Ações'!BE691="sim"), 1, 0)
</f>
        <v>0</v>
      </c>
      <c r="Y684" s="319">
        <f>IF(AND('Ações'!AV691="sim", 'Ações'!BF691="sim"), 1, 0)
</f>
        <v>0</v>
      </c>
      <c r="Z684" s="319">
        <f>IF(AND('Ações'!AV691="sim", 'Ações'!BH691="sim"), 1, 0)
</f>
        <v>0</v>
      </c>
      <c r="AA684" s="319">
        <f>IF(AND('Ações'!AV691="sim", 'Ações'!BI691="sim"), 1, 0)
</f>
        <v>0</v>
      </c>
      <c r="AB684" s="319">
        <f>IF(AND('Ações'!AW691="sim", 'Ações'!BD691="sim"), 1, 0)
</f>
        <v>1</v>
      </c>
      <c r="AC684" s="319">
        <f>IF(AND('Ações'!AW691="sim", 'Ações'!BE691="sim"), 1, 0)
</f>
        <v>0</v>
      </c>
      <c r="AD684" s="319">
        <f>IF(AND('Ações'!AW691="sim", 'Ações'!BF691="sim"), 1, 0)
</f>
        <v>0</v>
      </c>
      <c r="AE684" s="319">
        <f>IF(AND('Ações'!AW691="sim", 'Ações'!BG691="sim"), 1, 0)
</f>
        <v>0</v>
      </c>
      <c r="AF684" s="319">
        <f>IF(AND('Ações'!AW691="sim", 'Ações'!BI691="sim"), 1, 0)
</f>
        <v>0</v>
      </c>
      <c r="AG684" s="319">
        <f>IF(AND('Ações'!AX691="sim", 'Ações'!BD691="sim"), 1, 0)
</f>
        <v>1</v>
      </c>
      <c r="AH684" s="319">
        <f>IF(AND('Ações'!AX691="sim", 'Ações'!BE691="sim"), 1, 0)
</f>
        <v>0</v>
      </c>
      <c r="AI684" s="319">
        <f>IF(AND('Ações'!AX691="sim", 'Ações'!BF691="sim"), 1, 0)
</f>
        <v>0</v>
      </c>
      <c r="AJ684" s="319">
        <f>IF(AND('Ações'!AX691="sim", 'Ações'!BG691="sim"), 1, 0)
</f>
        <v>0</v>
      </c>
      <c r="AK684" s="319">
        <f>IF(AND('Ações'!AX691="sim", 'Ações'!BH691="sim"), 1, 0)
</f>
        <v>0</v>
      </c>
    </row>
    <row r="685">
      <c r="B685" s="319">
        <f>IF(AND('Ações'!AS692="sim", 'Ações'!BD692="sim"), 1, 0)
</f>
        <v>0</v>
      </c>
      <c r="C685" s="319">
        <f>IF(AND('Ações'!AT692="sim", 'Ações'!BE692="sim"), 1, 0)
</f>
        <v>0</v>
      </c>
      <c r="D685" s="319">
        <f>IF(AND('Ações'!AU692="sim", 'Ações'!BF692="sim"), 1, 0)
</f>
        <v>0</v>
      </c>
      <c r="E685" s="319">
        <f>IF(AND('Ações'!AV692="sim", 'Ações'!BG692="sim"), 1, 0)
</f>
        <v>0</v>
      </c>
      <c r="F685" s="319">
        <f>IF(AND('Ações'!AW692="sim", 'Ações'!BH692="sim"), 1, 0)
</f>
        <v>0</v>
      </c>
      <c r="G685" s="319">
        <f>IF(AND('Ações'!AX692="sim", 'Ações'!BI692="sim"), 1, 0)
</f>
        <v>1</v>
      </c>
      <c r="H685" s="319">
        <f>IF(AND('Ações'!AS692="sim", 'Ações'!BE692="sim"), 1, 0)
</f>
        <v>0</v>
      </c>
      <c r="I685" s="319">
        <f>IF(AND('Ações'!AS692="sim", 'Ações'!BF692="sim"), 1, 0)
</f>
        <v>0</v>
      </c>
      <c r="J685" s="319">
        <f>IF(AND('Ações'!AS692="sim", 'Ações'!BG692="sim"), 1, 0)
</f>
        <v>0</v>
      </c>
      <c r="K685" s="319">
        <f>IF(AND('Ações'!AS692="sim", 'Ações'!BH692="sim"), 1, 0)
</f>
        <v>0</v>
      </c>
      <c r="L685" s="319">
        <f>IF(AND('Ações'!AS692="sim", 'Ações'!BI692="sim"), 1, 0)
</f>
        <v>1</v>
      </c>
      <c r="M685" s="319">
        <f>IF(AND('Ações'!AT692="sim", 'Ações'!BD692="sim"), 1, 0)
</f>
        <v>0</v>
      </c>
      <c r="N685" s="319">
        <f>IF(AND('Ações'!AT692="sim", 'Ações'!BF692="sim"), 1, 0)
</f>
        <v>0</v>
      </c>
      <c r="O685" s="319">
        <f>IF(AND('Ações'!AT692="sim", 'Ações'!BG692="sim"), 1, 0)
</f>
        <v>0</v>
      </c>
      <c r="P685" s="319">
        <f>IF(AND('Ações'!AT692="sim", 'Ações'!BH692="sim"), 1, 0)
</f>
        <v>0</v>
      </c>
      <c r="Q685" s="319">
        <f>IF(AND('Ações'!AT692="sim", 'Ações'!BI692="sim"), 1, 0)
</f>
        <v>0</v>
      </c>
      <c r="R685" s="319">
        <f>IF(AND('Ações'!AU692="sim", 'Ações'!BD692="sim"), 1, 0)
</f>
        <v>0</v>
      </c>
      <c r="S685" s="319">
        <f>IF(AND('Ações'!AU692="sim", 'Ações'!BE692="sim"), 1, 0)
</f>
        <v>0</v>
      </c>
      <c r="T685" s="319">
        <f>IF(AND('Ações'!AU692="sim", 'Ações'!BG692="sim"), 1, 0)
</f>
        <v>0</v>
      </c>
      <c r="U685" s="319">
        <f>IF(AND('Ações'!AU692="sim", 'Ações'!BH692="sim"), 1, 0)
</f>
        <v>0</v>
      </c>
      <c r="V685" s="319">
        <f>IF(AND('Ações'!AU692="sim", 'Ações'!BI692="sim"), 1, 0)
</f>
        <v>0</v>
      </c>
      <c r="W685" s="319">
        <f>IF(AND('Ações'!AV692="sim", 'Ações'!BD692="sim"), 1, 0)
</f>
        <v>0</v>
      </c>
      <c r="X685" s="319">
        <f>IF(AND('Ações'!AV692="sim", 'Ações'!BE692="sim"), 1, 0)
</f>
        <v>0</v>
      </c>
      <c r="Y685" s="319">
        <f>IF(AND('Ações'!AV692="sim", 'Ações'!BF692="sim"), 1, 0)
</f>
        <v>0</v>
      </c>
      <c r="Z685" s="319">
        <f>IF(AND('Ações'!AV692="sim", 'Ações'!BH692="sim"), 1, 0)
</f>
        <v>0</v>
      </c>
      <c r="AA685" s="319">
        <f>IF(AND('Ações'!AV692="sim", 'Ações'!BI692="sim"), 1, 0)
</f>
        <v>1</v>
      </c>
      <c r="AB685" s="319">
        <f>IF(AND('Ações'!AW692="sim", 'Ações'!BD692="sim"), 1, 0)
</f>
        <v>0</v>
      </c>
      <c r="AC685" s="319">
        <f>IF(AND('Ações'!AW692="sim", 'Ações'!BE692="sim"), 1, 0)
</f>
        <v>0</v>
      </c>
      <c r="AD685" s="319">
        <f>IF(AND('Ações'!AW692="sim", 'Ações'!BF692="sim"), 1, 0)
</f>
        <v>0</v>
      </c>
      <c r="AE685" s="319">
        <f>IF(AND('Ações'!AW692="sim", 'Ações'!BG692="sim"), 1, 0)
</f>
        <v>0</v>
      </c>
      <c r="AF685" s="319">
        <f>IF(AND('Ações'!AW692="sim", 'Ações'!BI692="sim"), 1, 0)
</f>
        <v>1</v>
      </c>
      <c r="AG685" s="319">
        <f>IF(AND('Ações'!AX692="sim", 'Ações'!BD692="sim"), 1, 0)
</f>
        <v>0</v>
      </c>
      <c r="AH685" s="319">
        <f>IF(AND('Ações'!AX692="sim", 'Ações'!BE692="sim"), 1, 0)
</f>
        <v>0</v>
      </c>
      <c r="AI685" s="319">
        <f>IF(AND('Ações'!AX692="sim", 'Ações'!BF692="sim"), 1, 0)
</f>
        <v>0</v>
      </c>
      <c r="AJ685" s="319">
        <f>IF(AND('Ações'!AX692="sim", 'Ações'!BG692="sim"), 1, 0)
</f>
        <v>0</v>
      </c>
      <c r="AK685" s="319">
        <f>IF(AND('Ações'!AX692="sim", 'Ações'!BH692="sim"), 1, 0)
</f>
        <v>0</v>
      </c>
    </row>
    <row r="686">
      <c r="B686" s="319">
        <f>IF(AND('Ações'!AS693="sim", 'Ações'!BD693="sim"), 1, 0)
</f>
        <v>1</v>
      </c>
      <c r="C686" s="319">
        <f>IF(AND('Ações'!AT693="sim", 'Ações'!BE693="sim"), 1, 0)
</f>
        <v>0</v>
      </c>
      <c r="D686" s="319">
        <f>IF(AND('Ações'!AU693="sim", 'Ações'!BF693="sim"), 1, 0)
</f>
        <v>0</v>
      </c>
      <c r="E686" s="319">
        <f>IF(AND('Ações'!AV693="sim", 'Ações'!BG693="sim"), 1, 0)
</f>
        <v>0</v>
      </c>
      <c r="F686" s="319">
        <f>IF(AND('Ações'!AW693="sim", 'Ações'!BH693="sim"), 1, 0)
</f>
        <v>0</v>
      </c>
      <c r="G686" s="319">
        <f>IF(AND('Ações'!AX693="sim", 'Ações'!BI693="sim"), 1, 0)
</f>
        <v>0</v>
      </c>
      <c r="H686" s="319">
        <f>IF(AND('Ações'!AS693="sim", 'Ações'!BE693="sim"), 1, 0)
</f>
        <v>0</v>
      </c>
      <c r="I686" s="319">
        <f>IF(AND('Ações'!AS693="sim", 'Ações'!BF693="sim"), 1, 0)
</f>
        <v>0</v>
      </c>
      <c r="J686" s="319">
        <f>IF(AND('Ações'!AS693="sim", 'Ações'!BG693="sim"), 1, 0)
</f>
        <v>0</v>
      </c>
      <c r="K686" s="319">
        <f>IF(AND('Ações'!AS693="sim", 'Ações'!BH693="sim"), 1, 0)
</f>
        <v>0</v>
      </c>
      <c r="L686" s="319">
        <f>IF(AND('Ações'!AS693="sim", 'Ações'!BI693="sim"), 1, 0)
</f>
        <v>0</v>
      </c>
      <c r="M686" s="319">
        <f>IF(AND('Ações'!AT693="sim", 'Ações'!BD693="sim"), 1, 0)
</f>
        <v>0</v>
      </c>
      <c r="N686" s="319">
        <f>IF(AND('Ações'!AT693="sim", 'Ações'!BF693="sim"), 1, 0)
</f>
        <v>0</v>
      </c>
      <c r="O686" s="319">
        <f>IF(AND('Ações'!AT693="sim", 'Ações'!BG693="sim"), 1, 0)
</f>
        <v>0</v>
      </c>
      <c r="P686" s="319">
        <f>IF(AND('Ações'!AT693="sim", 'Ações'!BH693="sim"), 1, 0)
</f>
        <v>0</v>
      </c>
      <c r="Q686" s="319">
        <f>IF(AND('Ações'!AT693="sim", 'Ações'!BI693="sim"), 1, 0)
</f>
        <v>0</v>
      </c>
      <c r="R686" s="319">
        <f>IF(AND('Ações'!AU693="sim", 'Ações'!BD693="sim"), 1, 0)
</f>
        <v>0</v>
      </c>
      <c r="S686" s="319">
        <f>IF(AND('Ações'!AU693="sim", 'Ações'!BE693="sim"), 1, 0)
</f>
        <v>0</v>
      </c>
      <c r="T686" s="319">
        <f>IF(AND('Ações'!AU693="sim", 'Ações'!BG693="sim"), 1, 0)
</f>
        <v>0</v>
      </c>
      <c r="U686" s="319">
        <f>IF(AND('Ações'!AU693="sim", 'Ações'!BH693="sim"), 1, 0)
</f>
        <v>0</v>
      </c>
      <c r="V686" s="319">
        <f>IF(AND('Ações'!AU693="sim", 'Ações'!BI693="sim"), 1, 0)
</f>
        <v>0</v>
      </c>
      <c r="W686" s="319">
        <f>IF(AND('Ações'!AV693="sim", 'Ações'!BD693="sim"), 1, 0)
</f>
        <v>1</v>
      </c>
      <c r="X686" s="319">
        <f>IF(AND('Ações'!AV693="sim", 'Ações'!BE693="sim"), 1, 0)
</f>
        <v>0</v>
      </c>
      <c r="Y686" s="319">
        <f>IF(AND('Ações'!AV693="sim", 'Ações'!BF693="sim"), 1, 0)
</f>
        <v>0</v>
      </c>
      <c r="Z686" s="319">
        <f>IF(AND('Ações'!AV693="sim", 'Ações'!BH693="sim"), 1, 0)
</f>
        <v>0</v>
      </c>
      <c r="AA686" s="319">
        <f>IF(AND('Ações'!AV693="sim", 'Ações'!BI693="sim"), 1, 0)
</f>
        <v>0</v>
      </c>
      <c r="AB686" s="319">
        <f>IF(AND('Ações'!AW693="sim", 'Ações'!BD693="sim"), 1, 0)
</f>
        <v>1</v>
      </c>
      <c r="AC686" s="319">
        <f>IF(AND('Ações'!AW693="sim", 'Ações'!BE693="sim"), 1, 0)
</f>
        <v>0</v>
      </c>
      <c r="AD686" s="319">
        <f>IF(AND('Ações'!AW693="sim", 'Ações'!BF693="sim"), 1, 0)
</f>
        <v>0</v>
      </c>
      <c r="AE686" s="319">
        <f>IF(AND('Ações'!AW693="sim", 'Ações'!BG693="sim"), 1, 0)
</f>
        <v>0</v>
      </c>
      <c r="AF686" s="319">
        <f>IF(AND('Ações'!AW693="sim", 'Ações'!BI693="sim"), 1, 0)
</f>
        <v>0</v>
      </c>
      <c r="AG686" s="319">
        <f>IF(AND('Ações'!AX693="sim", 'Ações'!BD693="sim"), 1, 0)
</f>
        <v>1</v>
      </c>
      <c r="AH686" s="319">
        <f>IF(AND('Ações'!AX693="sim", 'Ações'!BE693="sim"), 1, 0)
</f>
        <v>0</v>
      </c>
      <c r="AI686" s="319">
        <f>IF(AND('Ações'!AX693="sim", 'Ações'!BF693="sim"), 1, 0)
</f>
        <v>0</v>
      </c>
      <c r="AJ686" s="319">
        <f>IF(AND('Ações'!AX693="sim", 'Ações'!BG693="sim"), 1, 0)
</f>
        <v>0</v>
      </c>
      <c r="AK686" s="319">
        <f>IF(AND('Ações'!AX693="sim", 'Ações'!BH693="sim"), 1, 0)
</f>
        <v>0</v>
      </c>
    </row>
    <row r="687">
      <c r="B687" s="319">
        <f>IF(AND('Ações'!AS694="sim", 'Ações'!BD694="sim"), 1, 0)
</f>
        <v>1</v>
      </c>
      <c r="C687" s="319">
        <f>IF(AND('Ações'!AT694="sim", 'Ações'!BE694="sim"), 1, 0)
</f>
        <v>0</v>
      </c>
      <c r="D687" s="319">
        <f>IF(AND('Ações'!AU694="sim", 'Ações'!BF694="sim"), 1, 0)
</f>
        <v>0</v>
      </c>
      <c r="E687" s="319">
        <f>IF(AND('Ações'!AV694="sim", 'Ações'!BG694="sim"), 1, 0)
</f>
        <v>0</v>
      </c>
      <c r="F687" s="319">
        <f>IF(AND('Ações'!AW694="sim", 'Ações'!BH694="sim"), 1, 0)
</f>
        <v>0</v>
      </c>
      <c r="G687" s="319">
        <f>IF(AND('Ações'!AX694="sim", 'Ações'!BI694="sim"), 1, 0)
</f>
        <v>0</v>
      </c>
      <c r="H687" s="319">
        <f>IF(AND('Ações'!AS694="sim", 'Ações'!BE694="sim"), 1, 0)
</f>
        <v>0</v>
      </c>
      <c r="I687" s="319">
        <f>IF(AND('Ações'!AS694="sim", 'Ações'!BF694="sim"), 1, 0)
</f>
        <v>0</v>
      </c>
      <c r="J687" s="319">
        <f>IF(AND('Ações'!AS694="sim", 'Ações'!BG694="sim"), 1, 0)
</f>
        <v>0</v>
      </c>
      <c r="K687" s="319">
        <f>IF(AND('Ações'!AS694="sim", 'Ações'!BH694="sim"), 1, 0)
</f>
        <v>0</v>
      </c>
      <c r="L687" s="319">
        <f>IF(AND('Ações'!AS694="sim", 'Ações'!BI694="sim"), 1, 0)
</f>
        <v>0</v>
      </c>
      <c r="M687" s="319">
        <f>IF(AND('Ações'!AT694="sim", 'Ações'!BD694="sim"), 1, 0)
</f>
        <v>0</v>
      </c>
      <c r="N687" s="319">
        <f>IF(AND('Ações'!AT694="sim", 'Ações'!BF694="sim"), 1, 0)
</f>
        <v>0</v>
      </c>
      <c r="O687" s="319">
        <f>IF(AND('Ações'!AT694="sim", 'Ações'!BG694="sim"), 1, 0)
</f>
        <v>0</v>
      </c>
      <c r="P687" s="319">
        <f>IF(AND('Ações'!AT694="sim", 'Ações'!BH694="sim"), 1, 0)
</f>
        <v>0</v>
      </c>
      <c r="Q687" s="319">
        <f>IF(AND('Ações'!AT694="sim", 'Ações'!BI694="sim"), 1, 0)
</f>
        <v>0</v>
      </c>
      <c r="R687" s="319">
        <f>IF(AND('Ações'!AU694="sim", 'Ações'!BD694="sim"), 1, 0)
</f>
        <v>0</v>
      </c>
      <c r="S687" s="319">
        <f>IF(AND('Ações'!AU694="sim", 'Ações'!BE694="sim"), 1, 0)
</f>
        <v>0</v>
      </c>
      <c r="T687" s="319">
        <f>IF(AND('Ações'!AU694="sim", 'Ações'!BG694="sim"), 1, 0)
</f>
        <v>0</v>
      </c>
      <c r="U687" s="319">
        <f>IF(AND('Ações'!AU694="sim", 'Ações'!BH694="sim"), 1, 0)
</f>
        <v>0</v>
      </c>
      <c r="V687" s="319">
        <f>IF(AND('Ações'!AU694="sim", 'Ações'!BI694="sim"), 1, 0)
</f>
        <v>0</v>
      </c>
      <c r="W687" s="319">
        <f>IF(AND('Ações'!AV694="sim", 'Ações'!BD694="sim"), 1, 0)
</f>
        <v>1</v>
      </c>
      <c r="X687" s="319">
        <f>IF(AND('Ações'!AV694="sim", 'Ações'!BE694="sim"), 1, 0)
</f>
        <v>0</v>
      </c>
      <c r="Y687" s="319">
        <f>IF(AND('Ações'!AV694="sim", 'Ações'!BF694="sim"), 1, 0)
</f>
        <v>0</v>
      </c>
      <c r="Z687" s="319">
        <f>IF(AND('Ações'!AV694="sim", 'Ações'!BH694="sim"), 1, 0)
</f>
        <v>0</v>
      </c>
      <c r="AA687" s="319">
        <f>IF(AND('Ações'!AV694="sim", 'Ações'!BI694="sim"), 1, 0)
</f>
        <v>0</v>
      </c>
      <c r="AB687" s="319">
        <f>IF(AND('Ações'!AW694="sim", 'Ações'!BD694="sim"), 1, 0)
</f>
        <v>1</v>
      </c>
      <c r="AC687" s="319">
        <f>IF(AND('Ações'!AW694="sim", 'Ações'!BE694="sim"), 1, 0)
</f>
        <v>0</v>
      </c>
      <c r="AD687" s="319">
        <f>IF(AND('Ações'!AW694="sim", 'Ações'!BF694="sim"), 1, 0)
</f>
        <v>0</v>
      </c>
      <c r="AE687" s="319">
        <f>IF(AND('Ações'!AW694="sim", 'Ações'!BG694="sim"), 1, 0)
</f>
        <v>0</v>
      </c>
      <c r="AF687" s="319">
        <f>IF(AND('Ações'!AW694="sim", 'Ações'!BI694="sim"), 1, 0)
</f>
        <v>0</v>
      </c>
      <c r="AG687" s="319">
        <f>IF(AND('Ações'!AX694="sim", 'Ações'!BD694="sim"), 1, 0)
</f>
        <v>1</v>
      </c>
      <c r="AH687" s="319">
        <f>IF(AND('Ações'!AX694="sim", 'Ações'!BE694="sim"), 1, 0)
</f>
        <v>0</v>
      </c>
      <c r="AI687" s="319">
        <f>IF(AND('Ações'!AX694="sim", 'Ações'!BF694="sim"), 1, 0)
</f>
        <v>0</v>
      </c>
      <c r="AJ687" s="319">
        <f>IF(AND('Ações'!AX694="sim", 'Ações'!BG694="sim"), 1, 0)
</f>
        <v>0</v>
      </c>
      <c r="AK687" s="319">
        <f>IF(AND('Ações'!AX694="sim", 'Ações'!BH694="sim"), 1, 0)
</f>
        <v>0</v>
      </c>
    </row>
    <row r="688">
      <c r="B688" s="319">
        <f>IF(AND('Ações'!AS695="sim", 'Ações'!BD695="sim"), 1, 0)
</f>
        <v>1</v>
      </c>
      <c r="C688" s="319">
        <f>IF(AND('Ações'!AT695="sim", 'Ações'!BE695="sim"), 1, 0)
</f>
        <v>0</v>
      </c>
      <c r="D688" s="319">
        <f>IF(AND('Ações'!AU695="sim", 'Ações'!BF695="sim"), 1, 0)
</f>
        <v>0</v>
      </c>
      <c r="E688" s="319">
        <f>IF(AND('Ações'!AV695="sim", 'Ações'!BG695="sim"), 1, 0)
</f>
        <v>0</v>
      </c>
      <c r="F688" s="319">
        <f>IF(AND('Ações'!AW695="sim", 'Ações'!BH695="sim"), 1, 0)
</f>
        <v>0</v>
      </c>
      <c r="G688" s="319">
        <f>IF(AND('Ações'!AX695="sim", 'Ações'!BI695="sim"), 1, 0)
</f>
        <v>0</v>
      </c>
      <c r="H688" s="319">
        <f>IF(AND('Ações'!AS695="sim", 'Ações'!BE695="sim"), 1, 0)
</f>
        <v>0</v>
      </c>
      <c r="I688" s="319">
        <f>IF(AND('Ações'!AS695="sim", 'Ações'!BF695="sim"), 1, 0)
</f>
        <v>0</v>
      </c>
      <c r="J688" s="319">
        <f>IF(AND('Ações'!AS695="sim", 'Ações'!BG695="sim"), 1, 0)
</f>
        <v>0</v>
      </c>
      <c r="K688" s="319">
        <f>IF(AND('Ações'!AS695="sim", 'Ações'!BH695="sim"), 1, 0)
</f>
        <v>0</v>
      </c>
      <c r="L688" s="319">
        <f>IF(AND('Ações'!AS695="sim", 'Ações'!BI695="sim"), 1, 0)
</f>
        <v>0</v>
      </c>
      <c r="M688" s="319">
        <f>IF(AND('Ações'!AT695="sim", 'Ações'!BD695="sim"), 1, 0)
</f>
        <v>0</v>
      </c>
      <c r="N688" s="319">
        <f>IF(AND('Ações'!AT695="sim", 'Ações'!BF695="sim"), 1, 0)
</f>
        <v>0</v>
      </c>
      <c r="O688" s="319">
        <f>IF(AND('Ações'!AT695="sim", 'Ações'!BG695="sim"), 1, 0)
</f>
        <v>0</v>
      </c>
      <c r="P688" s="319">
        <f>IF(AND('Ações'!AT695="sim", 'Ações'!BH695="sim"), 1, 0)
</f>
        <v>0</v>
      </c>
      <c r="Q688" s="319">
        <f>IF(AND('Ações'!AT695="sim", 'Ações'!BI695="sim"), 1, 0)
</f>
        <v>0</v>
      </c>
      <c r="R688" s="319">
        <f>IF(AND('Ações'!AU695="sim", 'Ações'!BD695="sim"), 1, 0)
</f>
        <v>0</v>
      </c>
      <c r="S688" s="319">
        <f>IF(AND('Ações'!AU695="sim", 'Ações'!BE695="sim"), 1, 0)
</f>
        <v>0</v>
      </c>
      <c r="T688" s="319">
        <f>IF(AND('Ações'!AU695="sim", 'Ações'!BG695="sim"), 1, 0)
</f>
        <v>0</v>
      </c>
      <c r="U688" s="319">
        <f>IF(AND('Ações'!AU695="sim", 'Ações'!BH695="sim"), 1, 0)
</f>
        <v>0</v>
      </c>
      <c r="V688" s="319">
        <f>IF(AND('Ações'!AU695="sim", 'Ações'!BI695="sim"), 1, 0)
</f>
        <v>0</v>
      </c>
      <c r="W688" s="319">
        <f>IF(AND('Ações'!AV695="sim", 'Ações'!BD695="sim"), 1, 0)
</f>
        <v>1</v>
      </c>
      <c r="X688" s="319">
        <f>IF(AND('Ações'!AV695="sim", 'Ações'!BE695="sim"), 1, 0)
</f>
        <v>0</v>
      </c>
      <c r="Y688" s="319">
        <f>IF(AND('Ações'!AV695="sim", 'Ações'!BF695="sim"), 1, 0)
</f>
        <v>0</v>
      </c>
      <c r="Z688" s="319">
        <f>IF(AND('Ações'!AV695="sim", 'Ações'!BH695="sim"), 1, 0)
</f>
        <v>0</v>
      </c>
      <c r="AA688" s="319">
        <f>IF(AND('Ações'!AV695="sim", 'Ações'!BI695="sim"), 1, 0)
</f>
        <v>0</v>
      </c>
      <c r="AB688" s="319">
        <f>IF(AND('Ações'!AW695="sim", 'Ações'!BD695="sim"), 1, 0)
</f>
        <v>1</v>
      </c>
      <c r="AC688" s="319">
        <f>IF(AND('Ações'!AW695="sim", 'Ações'!BE695="sim"), 1, 0)
</f>
        <v>0</v>
      </c>
      <c r="AD688" s="319">
        <f>IF(AND('Ações'!AW695="sim", 'Ações'!BF695="sim"), 1, 0)
</f>
        <v>0</v>
      </c>
      <c r="AE688" s="319">
        <f>IF(AND('Ações'!AW695="sim", 'Ações'!BG695="sim"), 1, 0)
</f>
        <v>0</v>
      </c>
      <c r="AF688" s="319">
        <f>IF(AND('Ações'!AW695="sim", 'Ações'!BI695="sim"), 1, 0)
</f>
        <v>0</v>
      </c>
      <c r="AG688" s="319">
        <f>IF(AND('Ações'!AX695="sim", 'Ações'!BD695="sim"), 1, 0)
</f>
        <v>1</v>
      </c>
      <c r="AH688" s="319">
        <f>IF(AND('Ações'!AX695="sim", 'Ações'!BE695="sim"), 1, 0)
</f>
        <v>0</v>
      </c>
      <c r="AI688" s="319">
        <f>IF(AND('Ações'!AX695="sim", 'Ações'!BF695="sim"), 1, 0)
</f>
        <v>0</v>
      </c>
      <c r="AJ688" s="319">
        <f>IF(AND('Ações'!AX695="sim", 'Ações'!BG695="sim"), 1, 0)
</f>
        <v>0</v>
      </c>
      <c r="AK688" s="319">
        <f>IF(AND('Ações'!AX695="sim", 'Ações'!BH695="sim"), 1, 0)
</f>
        <v>0</v>
      </c>
    </row>
    <row r="689">
      <c r="B689" s="319">
        <f>IF(AND('Ações'!AS696="sim", 'Ações'!BD696="sim"), 1, 0)
</f>
        <v>1</v>
      </c>
      <c r="C689" s="319">
        <f>IF(AND('Ações'!AT696="sim", 'Ações'!BE696="sim"), 1, 0)
</f>
        <v>0</v>
      </c>
      <c r="D689" s="319">
        <f>IF(AND('Ações'!AU696="sim", 'Ações'!BF696="sim"), 1, 0)
</f>
        <v>0</v>
      </c>
      <c r="E689" s="319">
        <f>IF(AND('Ações'!AV696="sim", 'Ações'!BG696="sim"), 1, 0)
</f>
        <v>1</v>
      </c>
      <c r="F689" s="319">
        <f>IF(AND('Ações'!AW696="sim", 'Ações'!BH696="sim"), 1, 0)
</f>
        <v>0</v>
      </c>
      <c r="G689" s="319">
        <f>IF(AND('Ações'!AX696="sim", 'Ações'!BI696="sim"), 1, 0)
</f>
        <v>0</v>
      </c>
      <c r="H689" s="319">
        <f>IF(AND('Ações'!AS696="sim", 'Ações'!BE696="sim"), 1, 0)
</f>
        <v>0</v>
      </c>
      <c r="I689" s="319">
        <f>IF(AND('Ações'!AS696="sim", 'Ações'!BF696="sim"), 1, 0)
</f>
        <v>0</v>
      </c>
      <c r="J689" s="319">
        <f>IF(AND('Ações'!AS696="sim", 'Ações'!BG696="sim"), 1, 0)
</f>
        <v>1</v>
      </c>
      <c r="K689" s="319">
        <f>IF(AND('Ações'!AS696="sim", 'Ações'!BH696="sim"), 1, 0)
</f>
        <v>0</v>
      </c>
      <c r="L689" s="319">
        <f>IF(AND('Ações'!AS696="sim", 'Ações'!BI696="sim"), 1, 0)
</f>
        <v>0</v>
      </c>
      <c r="M689" s="319">
        <f>IF(AND('Ações'!AT696="sim", 'Ações'!BD696="sim"), 1, 0)
</f>
        <v>0</v>
      </c>
      <c r="N689" s="319">
        <f>IF(AND('Ações'!AT696="sim", 'Ações'!BF696="sim"), 1, 0)
</f>
        <v>0</v>
      </c>
      <c r="O689" s="319">
        <f>IF(AND('Ações'!AT696="sim", 'Ações'!BG696="sim"), 1, 0)
</f>
        <v>0</v>
      </c>
      <c r="P689" s="319">
        <f>IF(AND('Ações'!AT696="sim", 'Ações'!BH696="sim"), 1, 0)
</f>
        <v>0</v>
      </c>
      <c r="Q689" s="319">
        <f>IF(AND('Ações'!AT696="sim", 'Ações'!BI696="sim"), 1, 0)
</f>
        <v>0</v>
      </c>
      <c r="R689" s="319">
        <f>IF(AND('Ações'!AU696="sim", 'Ações'!BD696="sim"), 1, 0)
</f>
        <v>0</v>
      </c>
      <c r="S689" s="319">
        <f>IF(AND('Ações'!AU696="sim", 'Ações'!BE696="sim"), 1, 0)
</f>
        <v>0</v>
      </c>
      <c r="T689" s="319">
        <f>IF(AND('Ações'!AU696="sim", 'Ações'!BG696="sim"), 1, 0)
</f>
        <v>0</v>
      </c>
      <c r="U689" s="319">
        <f>IF(AND('Ações'!AU696="sim", 'Ações'!BH696="sim"), 1, 0)
</f>
        <v>0</v>
      </c>
      <c r="V689" s="319">
        <f>IF(AND('Ações'!AU696="sim", 'Ações'!BI696="sim"), 1, 0)
</f>
        <v>0</v>
      </c>
      <c r="W689" s="319">
        <f>IF(AND('Ações'!AV696="sim", 'Ações'!BD696="sim"), 1, 0)
</f>
        <v>1</v>
      </c>
      <c r="X689" s="319">
        <f>IF(AND('Ações'!AV696="sim", 'Ações'!BE696="sim"), 1, 0)
</f>
        <v>0</v>
      </c>
      <c r="Y689" s="319">
        <f>IF(AND('Ações'!AV696="sim", 'Ações'!BF696="sim"), 1, 0)
</f>
        <v>0</v>
      </c>
      <c r="Z689" s="319">
        <f>IF(AND('Ações'!AV696="sim", 'Ações'!BH696="sim"), 1, 0)
</f>
        <v>0</v>
      </c>
      <c r="AA689" s="319">
        <f>IF(AND('Ações'!AV696="sim", 'Ações'!BI696="sim"), 1, 0)
</f>
        <v>0</v>
      </c>
      <c r="AB689" s="319">
        <f>IF(AND('Ações'!AW696="sim", 'Ações'!BD696="sim"), 1, 0)
</f>
        <v>1</v>
      </c>
      <c r="AC689" s="319">
        <f>IF(AND('Ações'!AW696="sim", 'Ações'!BE696="sim"), 1, 0)
</f>
        <v>0</v>
      </c>
      <c r="AD689" s="319">
        <f>IF(AND('Ações'!AW696="sim", 'Ações'!BF696="sim"), 1, 0)
</f>
        <v>0</v>
      </c>
      <c r="AE689" s="319">
        <f>IF(AND('Ações'!AW696="sim", 'Ações'!BG696="sim"), 1, 0)
</f>
        <v>1</v>
      </c>
      <c r="AF689" s="319">
        <f>IF(AND('Ações'!AW696="sim", 'Ações'!BI696="sim"), 1, 0)
</f>
        <v>0</v>
      </c>
      <c r="AG689" s="319">
        <f>IF(AND('Ações'!AX696="sim", 'Ações'!BD696="sim"), 1, 0)
</f>
        <v>1</v>
      </c>
      <c r="AH689" s="319">
        <f>IF(AND('Ações'!AX696="sim", 'Ações'!BE696="sim"), 1, 0)
</f>
        <v>0</v>
      </c>
      <c r="AI689" s="319">
        <f>IF(AND('Ações'!AX696="sim", 'Ações'!BF696="sim"), 1, 0)
</f>
        <v>0</v>
      </c>
      <c r="AJ689" s="319">
        <f>IF(AND('Ações'!AX696="sim", 'Ações'!BG696="sim"), 1, 0)
</f>
        <v>1</v>
      </c>
      <c r="AK689" s="319">
        <f>IF(AND('Ações'!AX696="sim", 'Ações'!BH696="sim"), 1, 0)
</f>
        <v>0</v>
      </c>
    </row>
    <row r="690">
      <c r="B690" s="319">
        <f>IF(AND('Ações'!AS697="sim", 'Ações'!BD697="sim"), 1, 0)
</f>
        <v>0</v>
      </c>
      <c r="C690" s="319">
        <f>IF(AND('Ações'!AT697="sim", 'Ações'!BE697="sim"), 1, 0)
</f>
        <v>0</v>
      </c>
      <c r="D690" s="319">
        <f>IF(AND('Ações'!AU697="sim", 'Ações'!BF697="sim"), 1, 0)
</f>
        <v>0</v>
      </c>
      <c r="E690" s="319">
        <f>IF(AND('Ações'!AV697="sim", 'Ações'!BG697="sim"), 1, 0)
</f>
        <v>0</v>
      </c>
      <c r="F690" s="319">
        <f>IF(AND('Ações'!AW697="sim", 'Ações'!BH697="sim"), 1, 0)
</f>
        <v>0</v>
      </c>
      <c r="G690" s="319">
        <f>IF(AND('Ações'!AX697="sim", 'Ações'!BI697="sim"), 1, 0)
</f>
        <v>1</v>
      </c>
      <c r="H690" s="319">
        <f>IF(AND('Ações'!AS697="sim", 'Ações'!BE697="sim"), 1, 0)
</f>
        <v>0</v>
      </c>
      <c r="I690" s="319">
        <f>IF(AND('Ações'!AS697="sim", 'Ações'!BF697="sim"), 1, 0)
</f>
        <v>0</v>
      </c>
      <c r="J690" s="319">
        <f>IF(AND('Ações'!AS697="sim", 'Ações'!BG697="sim"), 1, 0)
</f>
        <v>0</v>
      </c>
      <c r="K690" s="319">
        <f>IF(AND('Ações'!AS697="sim", 'Ações'!BH697="sim"), 1, 0)
</f>
        <v>0</v>
      </c>
      <c r="L690" s="319">
        <f>IF(AND('Ações'!AS697="sim", 'Ações'!BI697="sim"), 1, 0)
</f>
        <v>1</v>
      </c>
      <c r="M690" s="319">
        <f>IF(AND('Ações'!AT697="sim", 'Ações'!BD697="sim"), 1, 0)
</f>
        <v>0</v>
      </c>
      <c r="N690" s="319">
        <f>IF(AND('Ações'!AT697="sim", 'Ações'!BF697="sim"), 1, 0)
</f>
        <v>0</v>
      </c>
      <c r="O690" s="319">
        <f>IF(AND('Ações'!AT697="sim", 'Ações'!BG697="sim"), 1, 0)
</f>
        <v>0</v>
      </c>
      <c r="P690" s="319">
        <f>IF(AND('Ações'!AT697="sim", 'Ações'!BH697="sim"), 1, 0)
</f>
        <v>0</v>
      </c>
      <c r="Q690" s="319">
        <f>IF(AND('Ações'!AT697="sim", 'Ações'!BI697="sim"), 1, 0)
</f>
        <v>0</v>
      </c>
      <c r="R690" s="319">
        <f>IF(AND('Ações'!AU697="sim", 'Ações'!BD697="sim"), 1, 0)
</f>
        <v>0</v>
      </c>
      <c r="S690" s="319">
        <f>IF(AND('Ações'!AU697="sim", 'Ações'!BE697="sim"), 1, 0)
</f>
        <v>0</v>
      </c>
      <c r="T690" s="319">
        <f>IF(AND('Ações'!AU697="sim", 'Ações'!BG697="sim"), 1, 0)
</f>
        <v>0</v>
      </c>
      <c r="U690" s="319">
        <f>IF(AND('Ações'!AU697="sim", 'Ações'!BH697="sim"), 1, 0)
</f>
        <v>0</v>
      </c>
      <c r="V690" s="319">
        <f>IF(AND('Ações'!AU697="sim", 'Ações'!BI697="sim"), 1, 0)
</f>
        <v>0</v>
      </c>
      <c r="W690" s="319">
        <f>IF(AND('Ações'!AV697="sim", 'Ações'!BD697="sim"), 1, 0)
</f>
        <v>0</v>
      </c>
      <c r="X690" s="319">
        <f>IF(AND('Ações'!AV697="sim", 'Ações'!BE697="sim"), 1, 0)
</f>
        <v>0</v>
      </c>
      <c r="Y690" s="319">
        <f>IF(AND('Ações'!AV697="sim", 'Ações'!BF697="sim"), 1, 0)
</f>
        <v>0</v>
      </c>
      <c r="Z690" s="319">
        <f>IF(AND('Ações'!AV697="sim", 'Ações'!BH697="sim"), 1, 0)
</f>
        <v>0</v>
      </c>
      <c r="AA690" s="319">
        <f>IF(AND('Ações'!AV697="sim", 'Ações'!BI697="sim"), 1, 0)
</f>
        <v>1</v>
      </c>
      <c r="AB690" s="319">
        <f>IF(AND('Ações'!AW697="sim", 'Ações'!BD697="sim"), 1, 0)
</f>
        <v>0</v>
      </c>
      <c r="AC690" s="319">
        <f>IF(AND('Ações'!AW697="sim", 'Ações'!BE697="sim"), 1, 0)
</f>
        <v>0</v>
      </c>
      <c r="AD690" s="319">
        <f>IF(AND('Ações'!AW697="sim", 'Ações'!BF697="sim"), 1, 0)
</f>
        <v>0</v>
      </c>
      <c r="AE690" s="319">
        <f>IF(AND('Ações'!AW697="sim", 'Ações'!BG697="sim"), 1, 0)
</f>
        <v>0</v>
      </c>
      <c r="AF690" s="319">
        <f>IF(AND('Ações'!AW697="sim", 'Ações'!BI697="sim"), 1, 0)
</f>
        <v>1</v>
      </c>
      <c r="AG690" s="319">
        <f>IF(AND('Ações'!AX697="sim", 'Ações'!BD697="sim"), 1, 0)
</f>
        <v>0</v>
      </c>
      <c r="AH690" s="319">
        <f>IF(AND('Ações'!AX697="sim", 'Ações'!BE697="sim"), 1, 0)
</f>
        <v>0</v>
      </c>
      <c r="AI690" s="319">
        <f>IF(AND('Ações'!AX697="sim", 'Ações'!BF697="sim"), 1, 0)
</f>
        <v>0</v>
      </c>
      <c r="AJ690" s="319">
        <f>IF(AND('Ações'!AX697="sim", 'Ações'!BG697="sim"), 1, 0)
</f>
        <v>0</v>
      </c>
      <c r="AK690" s="319">
        <f>IF(AND('Ações'!AX697="sim", 'Ações'!BH697="sim"), 1, 0)
</f>
        <v>0</v>
      </c>
    </row>
    <row r="691">
      <c r="B691" s="107" t="str">
        <f>SUM(B2:B690)</f>
        <v>#REF!</v>
      </c>
      <c r="C691" s="319" t="str">
        <f t="shared" ref="C691:AK691" si="9">SUM(C1:C690)</f>
        <v>#REF!</v>
      </c>
      <c r="D691" s="319" t="str">
        <f t="shared" si="9"/>
        <v>#REF!</v>
      </c>
      <c r="E691" s="319" t="str">
        <f t="shared" si="9"/>
        <v>#REF!</v>
      </c>
      <c r="F691" s="319" t="str">
        <f t="shared" si="9"/>
        <v>#REF!</v>
      </c>
      <c r="G691" s="319" t="str">
        <f t="shared" si="9"/>
        <v>#REF!</v>
      </c>
      <c r="H691" s="319" t="str">
        <f t="shared" si="9"/>
        <v>#REF!</v>
      </c>
      <c r="I691" s="319" t="str">
        <f t="shared" si="9"/>
        <v>#REF!</v>
      </c>
      <c r="J691" s="319" t="str">
        <f t="shared" si="9"/>
        <v>#REF!</v>
      </c>
      <c r="K691" s="319" t="str">
        <f t="shared" si="9"/>
        <v>#REF!</v>
      </c>
      <c r="L691" s="319" t="str">
        <f t="shared" si="9"/>
        <v>#REF!</v>
      </c>
      <c r="M691" s="319" t="str">
        <f t="shared" si="9"/>
        <v>#REF!</v>
      </c>
      <c r="N691" s="319" t="str">
        <f t="shared" si="9"/>
        <v>#REF!</v>
      </c>
      <c r="O691" s="319" t="str">
        <f t="shared" si="9"/>
        <v>#REF!</v>
      </c>
      <c r="P691" s="319" t="str">
        <f t="shared" si="9"/>
        <v>#REF!</v>
      </c>
      <c r="Q691" s="319" t="str">
        <f t="shared" si="9"/>
        <v>#REF!</v>
      </c>
      <c r="R691" s="319" t="str">
        <f t="shared" si="9"/>
        <v>#REF!</v>
      </c>
      <c r="S691" s="319" t="str">
        <f t="shared" si="9"/>
        <v>#REF!</v>
      </c>
      <c r="T691" s="319" t="str">
        <f t="shared" si="9"/>
        <v>#REF!</v>
      </c>
      <c r="U691" s="319" t="str">
        <f t="shared" si="9"/>
        <v>#REF!</v>
      </c>
      <c r="V691" s="319" t="str">
        <f t="shared" si="9"/>
        <v>#REF!</v>
      </c>
      <c r="W691" s="319" t="str">
        <f t="shared" si="9"/>
        <v>#REF!</v>
      </c>
      <c r="X691" s="319" t="str">
        <f t="shared" si="9"/>
        <v>#REF!</v>
      </c>
      <c r="Y691" s="319" t="str">
        <f t="shared" si="9"/>
        <v>#REF!</v>
      </c>
      <c r="Z691" s="319" t="str">
        <f t="shared" si="9"/>
        <v>#REF!</v>
      </c>
      <c r="AA691" s="319" t="str">
        <f t="shared" si="9"/>
        <v>#REF!</v>
      </c>
      <c r="AB691" s="319" t="str">
        <f t="shared" si="9"/>
        <v>#REF!</v>
      </c>
      <c r="AC691" s="319" t="str">
        <f t="shared" si="9"/>
        <v>#REF!</v>
      </c>
      <c r="AD691" s="319" t="str">
        <f t="shared" si="9"/>
        <v>#REF!</v>
      </c>
      <c r="AE691" s="319" t="str">
        <f t="shared" si="9"/>
        <v>#REF!</v>
      </c>
      <c r="AF691" s="319" t="str">
        <f t="shared" si="9"/>
        <v>#REF!</v>
      </c>
      <c r="AG691" s="319" t="str">
        <f t="shared" si="9"/>
        <v>#REF!</v>
      </c>
      <c r="AH691" s="319" t="str">
        <f t="shared" si="9"/>
        <v>#REF!</v>
      </c>
      <c r="AI691" s="319" t="str">
        <f t="shared" si="9"/>
        <v>#REF!</v>
      </c>
      <c r="AJ691" s="319" t="str">
        <f t="shared" si="9"/>
        <v>#REF!</v>
      </c>
      <c r="AK691" s="319" t="str">
        <f t="shared" si="9"/>
        <v>#REF!</v>
      </c>
    </row>
    <row r="692">
      <c r="B692" s="107" t="str">
        <f t="shared" ref="B692:AK692" si="10">B691/689</f>
        <v>#REF!</v>
      </c>
      <c r="C692" s="107" t="str">
        <f t="shared" si="10"/>
        <v>#REF!</v>
      </c>
      <c r="D692" s="107" t="str">
        <f t="shared" si="10"/>
        <v>#REF!</v>
      </c>
      <c r="E692" s="107" t="str">
        <f t="shared" si="10"/>
        <v>#REF!</v>
      </c>
      <c r="F692" s="107" t="str">
        <f t="shared" si="10"/>
        <v>#REF!</v>
      </c>
      <c r="G692" s="107" t="str">
        <f t="shared" si="10"/>
        <v>#REF!</v>
      </c>
      <c r="H692" s="107" t="str">
        <f t="shared" si="10"/>
        <v>#REF!</v>
      </c>
      <c r="I692" s="107" t="str">
        <f t="shared" si="10"/>
        <v>#REF!</v>
      </c>
      <c r="J692" s="107" t="str">
        <f t="shared" si="10"/>
        <v>#REF!</v>
      </c>
      <c r="K692" s="107" t="str">
        <f t="shared" si="10"/>
        <v>#REF!</v>
      </c>
      <c r="L692" s="107" t="str">
        <f t="shared" si="10"/>
        <v>#REF!</v>
      </c>
      <c r="M692" s="107" t="str">
        <f t="shared" si="10"/>
        <v>#REF!</v>
      </c>
      <c r="N692" s="107" t="str">
        <f t="shared" si="10"/>
        <v>#REF!</v>
      </c>
      <c r="O692" s="107" t="str">
        <f t="shared" si="10"/>
        <v>#REF!</v>
      </c>
      <c r="P692" s="107" t="str">
        <f t="shared" si="10"/>
        <v>#REF!</v>
      </c>
      <c r="Q692" s="107" t="str">
        <f t="shared" si="10"/>
        <v>#REF!</v>
      </c>
      <c r="R692" s="107" t="str">
        <f t="shared" si="10"/>
        <v>#REF!</v>
      </c>
      <c r="S692" s="107" t="str">
        <f t="shared" si="10"/>
        <v>#REF!</v>
      </c>
      <c r="T692" s="107" t="str">
        <f t="shared" si="10"/>
        <v>#REF!</v>
      </c>
      <c r="U692" s="107" t="str">
        <f t="shared" si="10"/>
        <v>#REF!</v>
      </c>
      <c r="V692" s="107" t="str">
        <f t="shared" si="10"/>
        <v>#REF!</v>
      </c>
      <c r="W692" s="107" t="str">
        <f t="shared" si="10"/>
        <v>#REF!</v>
      </c>
      <c r="X692" s="107" t="str">
        <f t="shared" si="10"/>
        <v>#REF!</v>
      </c>
      <c r="Y692" s="107" t="str">
        <f t="shared" si="10"/>
        <v>#REF!</v>
      </c>
      <c r="Z692" s="107" t="str">
        <f t="shared" si="10"/>
        <v>#REF!</v>
      </c>
      <c r="AA692" s="107" t="str">
        <f t="shared" si="10"/>
        <v>#REF!</v>
      </c>
      <c r="AB692" s="107" t="str">
        <f t="shared" si="10"/>
        <v>#REF!</v>
      </c>
      <c r="AC692" s="107" t="str">
        <f t="shared" si="10"/>
        <v>#REF!</v>
      </c>
      <c r="AD692" s="107" t="str">
        <f t="shared" si="10"/>
        <v>#REF!</v>
      </c>
      <c r="AE692" s="107" t="str">
        <f t="shared" si="10"/>
        <v>#REF!</v>
      </c>
      <c r="AF692" s="107" t="str">
        <f t="shared" si="10"/>
        <v>#REF!</v>
      </c>
      <c r="AG692" s="107" t="str">
        <f t="shared" si="10"/>
        <v>#REF!</v>
      </c>
      <c r="AH692" s="107" t="str">
        <f t="shared" si="10"/>
        <v>#REF!</v>
      </c>
      <c r="AI692" s="107" t="str">
        <f t="shared" si="10"/>
        <v>#REF!</v>
      </c>
      <c r="AJ692" s="107" t="str">
        <f t="shared" si="10"/>
        <v>#REF!</v>
      </c>
      <c r="AK692" s="107" t="str">
        <f t="shared" si="10"/>
        <v>#REF!</v>
      </c>
    </row>
  </sheetData>
  <drawing r:id="rId2"/>
  <legacyDrawing r:id="rId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8" max="8" width="20.25"/>
    <col customWidth="1" min="10" max="10" width="14.63"/>
    <col customWidth="1" min="11" max="11" width="18.63"/>
    <col customWidth="1" min="13" max="13" width="27.5"/>
    <col customWidth="1" min="14" max="14" width="13.5"/>
    <col customWidth="1" min="16" max="16" width="16.88"/>
  </cols>
  <sheetData>
    <row r="2">
      <c r="I2" s="126" t="s">
        <v>4838</v>
      </c>
    </row>
    <row r="3">
      <c r="B3" s="2" t="s">
        <v>3403</v>
      </c>
      <c r="C3" s="126" t="s">
        <v>4839</v>
      </c>
      <c r="D3" s="126" t="s">
        <v>4840</v>
      </c>
      <c r="H3" s="2" t="s">
        <v>4841</v>
      </c>
      <c r="I3" s="314" t="s">
        <v>3344</v>
      </c>
      <c r="J3" s="314" t="s">
        <v>3412</v>
      </c>
      <c r="K3" s="314" t="s">
        <v>3414</v>
      </c>
      <c r="L3" s="314" t="s">
        <v>3411</v>
      </c>
      <c r="M3" s="314" t="s">
        <v>4798</v>
      </c>
      <c r="N3" s="314" t="s">
        <v>4799</v>
      </c>
      <c r="P3" s="2" t="s">
        <v>4841</v>
      </c>
      <c r="Q3" s="314" t="s">
        <v>3344</v>
      </c>
      <c r="R3" s="314" t="s">
        <v>3412</v>
      </c>
      <c r="S3" s="314" t="s">
        <v>3414</v>
      </c>
      <c r="T3" s="314" t="s">
        <v>3411</v>
      </c>
      <c r="U3" s="314" t="s">
        <v>4798</v>
      </c>
      <c r="V3" s="314" t="s">
        <v>4799</v>
      </c>
    </row>
    <row r="4">
      <c r="B4" s="3" t="s">
        <v>3474</v>
      </c>
      <c r="C4" s="107">
        <f>COUNTIF('Ações'!$BH:$BH,"Sim")</f>
        <v>9</v>
      </c>
      <c r="D4" s="107">
        <f>COUNTIF('Categorias empresas'!$U:$U,"Sim")</f>
        <v>80</v>
      </c>
      <c r="F4" s="107">
        <f>COUNTIFS('Ações'!$AS:$AS,"Sim",'Ações'!$BD:$BD,"Sim")/COUNTIF('Ações'!$BD:$BD,"Sim")</f>
        <v>0.6946107784</v>
      </c>
      <c r="G4" s="107">
        <f>COUNTIFS('Ações'!$BD:$BD,"Sim")/COUNTIF('Ações'!$AS:$AS,"Sim")</f>
        <v>0.8859416446</v>
      </c>
      <c r="H4" s="3" t="s">
        <v>287</v>
      </c>
      <c r="I4" s="107">
        <f>COUNTIFS('Ações'!$AS:$AS,"Sim",'Ações'!$BD:$BD,"Sim")/COUNTIF('Ações'!$AS:$AS,"Sim")</f>
        <v>0.6153846154</v>
      </c>
      <c r="J4" s="107">
        <f>COUNTIFS('Ações'!$AT:$AT,"Sim",'Ações'!$BD:$BD,"Sim")/COUNTIF('Ações'!$AT:$AT,"Sim")</f>
        <v>0.5384615385</v>
      </c>
      <c r="K4" s="107">
        <f>COUNTIFS('Ações'!$AU:$AU,"Sim",'Ações'!$BD:$BD,"Sim")/COUNTIF('Ações'!$AU:$AU,"Sim")</f>
        <v>0.5223880597</v>
      </c>
      <c r="L4" s="107">
        <f>COUNTIFS('Ações'!$AV:$AV,"Sim",'Ações'!$BD:$BD,"Sim")/COUNTIF('Ações'!$AV:$AV,"Sim")</f>
        <v>0.4933333333</v>
      </c>
      <c r="M4" s="107">
        <f>COUNTIFS('Ações'!$AW:$AW,"Sim",'Ações'!$BD:$BD,"Sim")/COUNTIF('Ações'!$AW:$AW,"Sim")</f>
        <v>0.4502712477</v>
      </c>
      <c r="N4" s="107">
        <f>COUNTIFS('Ações'!$AX:$AX,"Sim",'Ações'!$BD:$BD,"Sim")/COUNTIF('Ações'!$AX:$AX,"Sim")</f>
        <v>0.3720930233</v>
      </c>
      <c r="P4" s="3" t="s">
        <v>287</v>
      </c>
      <c r="Q4" s="107">
        <f>COUNTIFS('Ações'!$AS:$AS,"Sim",'Ações'!BD:BD,"Sim")/COUNTIFS('Ações'!$AS:$AS,"Sim")</f>
        <v>0.6153846154</v>
      </c>
      <c r="R4" s="107">
        <f>COUNTIFS('Ações'!$AT:$AT,"Sim",'Ações'!$BD:$BD,"Sim")/COUNTIF('Ações'!$AT:$AT,"Sim")</f>
        <v>0.5384615385</v>
      </c>
      <c r="S4" s="107">
        <f>COUNTIFS('Ações'!$AU:$AU,"Sim",'Ações'!$BD:$BD,"Sim")/COUNTIF('Ações'!$AU:$AU,"Sim")</f>
        <v>0.5223880597</v>
      </c>
      <c r="T4" s="107">
        <f>COUNTIFS('Ações'!$AV:$AV,"Sim",'Ações'!$BD:$BD,"Sim")/COUNTIF('Ações'!$AV:$AV,"Sim")</f>
        <v>0.4933333333</v>
      </c>
      <c r="U4" s="107">
        <f>COUNTIFS('Ações'!$AW:$AW,"Sim",'Ações'!$BD:$BD,"Sim")/COUNTIF('Ações'!$AW:$AW,"Sim")</f>
        <v>0.4502712477</v>
      </c>
      <c r="V4" s="107">
        <f>COUNTIFS('Ações'!$AX:$AX,"Sim",'Ações'!$BD:$BD,"Sim")/COUNTIF('Ações'!$AX:$AX,"Sim")</f>
        <v>0.3720930233</v>
      </c>
    </row>
    <row r="5">
      <c r="B5" s="3" t="s">
        <v>3411</v>
      </c>
      <c r="C5" s="107">
        <f>COUNTIF('Ações'!$BG:$BG,"Sim")</f>
        <v>20</v>
      </c>
      <c r="D5" s="107">
        <f>COUNTIF('Categorias empresas'!$T:$T,"Sim")</f>
        <v>75</v>
      </c>
      <c r="H5" s="3" t="s">
        <v>3412</v>
      </c>
      <c r="I5" s="107">
        <f>COUNTIFS('Ações'!$AS:$AS,"Sim",'Ações'!$BE:$BE,"Sim")/COUNTIF('Ações'!$AS:$AS,"Sim")</f>
        <v>0.02122015915</v>
      </c>
      <c r="J5" s="107">
        <f>COUNTIFS('Ações'!$AT:$AT,"Sim",'Ações'!$BE:$BE,"Sim")/COUNTIF('Ações'!$AT:$AT,"Sim")</f>
        <v>0.02286902287</v>
      </c>
      <c r="K5" s="107">
        <f>COUNTIFS('Ações'!$AU:$AU,"Sim",'Ações'!$BE:$BE,"Sim")/COUNTIF('Ações'!$AU:$AU,"Sim")</f>
        <v>0.01279317697</v>
      </c>
      <c r="L5" s="107">
        <f>COUNTIFS('Ações'!$AV:$AV,"Sim",'Ações'!$BE:$BE,"Sim")/COUNTIF('Ações'!$AV:$AV,"Sim")</f>
        <v>0.01333333333</v>
      </c>
      <c r="M5" s="107">
        <f>COUNTIFS('Ações'!$AW:$AW,"Sim",'Ações'!$BE:$BE,"Sim")/COUNTIF('Ações'!$AW:$AW,"Sim")</f>
        <v>0.00904159132</v>
      </c>
      <c r="N5" s="107">
        <f>COUNTIFS('Ações'!$AX:$AX,"Sim",'Ações'!$BE:$BE,"Sim")/COUNTIF('Ações'!$AX:$AX,"Sim")</f>
        <v>0</v>
      </c>
      <c r="P5" s="3" t="s">
        <v>3412</v>
      </c>
      <c r="Q5" s="107">
        <f>COUNTIFS('Ações'!$AS:$AS,"Sim",'Ações'!BD:BD,"Sim")/COUNTIFS('Ações'!$AS:$AS,"Sim")</f>
        <v>0.6153846154</v>
      </c>
      <c r="R5" s="107">
        <f>COUNTIFS('Ações'!$AT:$AT,"Sim",'Ações'!$BE:$BE,"Sim")/COUNTIF('Ações'!$AT:$AT,"Sim")</f>
        <v>0.02286902287</v>
      </c>
      <c r="S5" s="107">
        <f>COUNTIFS('Ações'!$AU:$AU,"Sim",'Ações'!$BE:$BE,"Sim")/COUNTIF('Ações'!$AU:$AU,"Sim")</f>
        <v>0.01279317697</v>
      </c>
      <c r="T5" s="107">
        <f>COUNTIFS('Ações'!$AV:$AV,"Sim",'Ações'!$BE:$BE,"Sim")/COUNTIF('Ações'!$AV:$AV,"Sim")</f>
        <v>0.01333333333</v>
      </c>
      <c r="U5" s="107">
        <f>COUNTIFS('Ações'!$AW:$AW,"Sim",'Ações'!$BE:$BE,"Sim")/COUNTIF('Ações'!$AW:$AW,"Sim")</f>
        <v>0.00904159132</v>
      </c>
      <c r="V5" s="107">
        <f>COUNTIFS('Ações'!$AX:$AX,"Sim",'Ações'!$BE:$BE,"Sim")/COUNTIF('Ações'!$AX:$AX,"Sim")</f>
        <v>0</v>
      </c>
    </row>
    <row r="6">
      <c r="B6" s="3" t="s">
        <v>3412</v>
      </c>
      <c r="C6" s="107">
        <f>COUNTIF('Ações'!$BE:$BE,"Sim")</f>
        <v>11</v>
      </c>
      <c r="D6" s="107">
        <f>COUNTIF('Categorias empresas'!$R:$R,"Sim")</f>
        <v>60</v>
      </c>
      <c r="H6" s="3" t="s">
        <v>3414</v>
      </c>
      <c r="I6" s="107">
        <f>COUNTIFS('Ações'!$AS:$AS,"Sim",'Ações'!$BF:$BF,"Sim")/COUNTIF('Ações'!$AS:$AS,"Sim")</f>
        <v>0.005305039788</v>
      </c>
      <c r="J6" s="107">
        <f>COUNTIFS('Ações'!$AT:$AT,"Sim",'Ações'!$BF:$BF,"Sim")/COUNTIF('Ações'!$AT:$AT,"Sim")</f>
        <v>0.006237006237</v>
      </c>
      <c r="K6" s="107">
        <f>COUNTIFS('Ações'!$AU:$AU,"Sim",'Ações'!$BF:$BF,"Sim")/COUNTIF('Ações'!$AU:$AU,"Sim")</f>
        <v>0.006396588486</v>
      </c>
      <c r="L6" s="107">
        <f>COUNTIFS('Ações'!$AV:$AV,"Sim",'Ações'!$BF:$BF,"Sim")/COUNTIF('Ações'!$AV:$AV,"Sim")</f>
        <v>0.005</v>
      </c>
      <c r="M6" s="107">
        <f>COUNTIFS('Ações'!$AW:$AW,"Sim",'Ações'!$BF:$BF,"Sim")/COUNTIF('Ações'!$AW:$AW,"Sim")</f>
        <v>0.001808318264</v>
      </c>
      <c r="N6" s="107">
        <f>COUNTIFS('Ações'!$AX:$AX,"Sim",'Ações'!$BF:$BF,"Sim")/COUNTIF('Ações'!$AX:$AX,"Sim")</f>
        <v>0.003322259136</v>
      </c>
      <c r="P6" s="3" t="s">
        <v>3414</v>
      </c>
      <c r="Q6" s="107">
        <f>COUNTIFS('Ações'!$AS:$AS,"Sim",'Ações'!BD:BD,"Sim")/COUNTIFS('Ações'!$AS:$AS,"Sim")</f>
        <v>0.6153846154</v>
      </c>
      <c r="R6" s="107">
        <f>COUNTIFS('Ações'!$AT:$AT,"Sim",'Ações'!$BF:$BF,"Sim")/COUNTIF('Ações'!$AT:$AT,"Sim")</f>
        <v>0.006237006237</v>
      </c>
      <c r="S6" s="107">
        <f>COUNTIFS('Ações'!$AU:$AU,"Sim",'Ações'!$BF:$BF,"Sim")/COUNTIF('Ações'!$AU:$AU,"Sim")</f>
        <v>0.006396588486</v>
      </c>
      <c r="T6" s="107">
        <f>COUNTIFS('Ações'!$AV:$AV,"Sim",'Ações'!$BF:$BF,"Sim")/COUNTIF('Ações'!$AV:$AV,"Sim")</f>
        <v>0.005</v>
      </c>
      <c r="U6" s="107">
        <f>COUNTIFS('Ações'!$AW:$AW,"Sim",'Ações'!$BF:$BF,"Sim")/COUNTIF('Ações'!$AW:$AW,"Sim")</f>
        <v>0.001808318264</v>
      </c>
      <c r="V6" s="107">
        <f>COUNTIFS('Ações'!$AX:$AX,"Sim",'Ações'!$BF:$BF,"Sim")/COUNTIF('Ações'!$AX:$AX,"Sim")</f>
        <v>0.003322259136</v>
      </c>
    </row>
    <row r="7">
      <c r="B7" s="3" t="s">
        <v>3414</v>
      </c>
      <c r="C7" s="107">
        <f>COUNTIF('Ações'!$BF:$BF,"Sim")</f>
        <v>3</v>
      </c>
      <c r="D7" s="107">
        <f>COUNTIF('Categorias empresas'!$S:$S,"Sim")</f>
        <v>57</v>
      </c>
      <c r="H7" s="3" t="s">
        <v>3411</v>
      </c>
      <c r="I7" s="107">
        <f>COUNTIFS('Ações'!$AS:$AS,"Sim",'Ações'!$BG:$BG,"Sim")/COUNTIF('Ações'!$AS:$AS,"Sim")</f>
        <v>0.03183023873</v>
      </c>
      <c r="J7" s="107">
        <f>COUNTIFS('Ações'!$AT:$AT,"Sim",'Ações'!$BG:$BG,"Sim")/COUNTIF('Ações'!$AT:$AT,"Sim")</f>
        <v>0.03742203742</v>
      </c>
      <c r="K7" s="107">
        <f>COUNTIFS('Ações'!$AU:$AU,"Sim",'Ações'!$BG:$BG,"Sim")/COUNTIF('Ações'!$AU:$AU,"Sim")</f>
        <v>0.03198294243</v>
      </c>
      <c r="L7" s="107">
        <f>COUNTIFS('Ações'!$AV:$AV,"Sim",'Ações'!$BG:$BG,"Sim")/COUNTIF('Ações'!$AV:$AV,"Sim")</f>
        <v>0.03333333333</v>
      </c>
      <c r="M7" s="107">
        <f>COUNTIFS('Ações'!$AW:$AW,"Sim",'Ações'!$BG:$BG,"Sim")/COUNTIF('Ações'!$AW:$AW,"Sim")</f>
        <v>0.03435804702</v>
      </c>
      <c r="N7" s="107">
        <f>COUNTIFS('Ações'!$AX:$AX,"Sim",'Ações'!$BG:$BG,"Sim")/COUNTIF('Ações'!$AX:$AX,"Sim")</f>
        <v>0.01993355482</v>
      </c>
      <c r="P7" s="3" t="s">
        <v>3411</v>
      </c>
      <c r="Q7" s="107">
        <f>COUNTIFS('Ações'!$AS:$AS,"Sim",'Ações'!BD:BD,"Sim")/COUNTIFS('Ações'!$AS:$AS,"Sim")</f>
        <v>0.6153846154</v>
      </c>
      <c r="R7" s="107">
        <f>COUNTIFS('Ações'!$AT:$AT,"Sim",'Ações'!$BG:$BG,"Sim")/COUNTIF('Ações'!$AT:$AT,"Sim")</f>
        <v>0.03742203742</v>
      </c>
      <c r="S7" s="107">
        <f>COUNTIFS('Ações'!$AU:$AU,"Sim",'Ações'!$BG:$BG,"Sim")/COUNTIF('Ações'!$AU:$AU,"Sim")</f>
        <v>0.03198294243</v>
      </c>
      <c r="T7" s="107">
        <f>COUNTIFS('Ações'!$AV:$AV,"Sim",'Ações'!$BG:$BG,"Sim")/COUNTIF('Ações'!$AV:$AV,"Sim")</f>
        <v>0.03333333333</v>
      </c>
      <c r="U7" s="107">
        <f>COUNTIFS('Ações'!$AW:$AW,"Sim",'Ações'!$BG:$BG,"Sim")/COUNTIF('Ações'!$AW:$AW,"Sim")</f>
        <v>0.03435804702</v>
      </c>
      <c r="V7" s="107">
        <f>COUNTIFS('Ações'!$AX:$AX,"Sim",'Ações'!$BG:$BG,"Sim")/COUNTIF('Ações'!$AX:$AX,"Sim")</f>
        <v>0.01993355482</v>
      </c>
    </row>
    <row r="8">
      <c r="B8" s="3" t="s">
        <v>287</v>
      </c>
      <c r="C8" s="107">
        <f>COUNTIF('Ações'!$BD:$BD,"Sim")</f>
        <v>334</v>
      </c>
      <c r="D8" s="107">
        <f>COUNTIF('Categorias empresas'!$Q:$Q,"Sim")</f>
        <v>49</v>
      </c>
      <c r="H8" s="3" t="s">
        <v>3474</v>
      </c>
      <c r="I8" s="107">
        <f>COUNTIFS('Ações'!$AS:$AS,"Sim",'Ações'!$BH:$BH,"Sim")/COUNTIF('Ações'!$AS:$AS,"Sim")</f>
        <v>0.002652519894</v>
      </c>
      <c r="J8" s="107">
        <f>COUNTIFS('Ações'!$AT:$AT,"Sim",'Ações'!$BH:$BH,"Sim")/COUNTIF('Ações'!$AT:$AT,"Sim")</f>
        <v>0.004158004158</v>
      </c>
      <c r="K8" s="107">
        <f>COUNTIFS('Ações'!$AU:$AU,"Sim",'Ações'!$BH:$BH,"Sim")/COUNTIF('Ações'!$AU:$AU,"Sim")</f>
        <v>0.002132196162</v>
      </c>
      <c r="L8" s="107">
        <f>COUNTIFS('Ações'!$AV:$AV,"Sim",'Ações'!$BH:$BH,"Sim")/COUNTIF('Ações'!$AV:$AV,"Sim")</f>
        <v>0.01333333333</v>
      </c>
      <c r="M8" s="107">
        <f>COUNTIFS('Ações'!$AW:$AW,"Sim",'Ações'!$BH:$BH,"Sim")/COUNTIF('Ações'!$AW:$AW,"Sim")</f>
        <v>0.01446654611</v>
      </c>
      <c r="N8" s="107">
        <f>COUNTIFS('Ações'!$AX:$AX,"Sim",'Ações'!$BH:$BH,"Sim")/COUNTIF('Ações'!$AX:$AX,"Sim")</f>
        <v>0.02325581395</v>
      </c>
      <c r="P8" s="3" t="s">
        <v>3474</v>
      </c>
      <c r="Q8" s="107">
        <f>COUNTIFS('Ações'!$AS:$AS,"Sim",'Ações'!BD:BD,"Sim")/COUNTIFS('Ações'!$AS:$AS,"Sim")</f>
        <v>0.6153846154</v>
      </c>
      <c r="R8" s="107">
        <f>COUNTIFS('Ações'!$AT:$AT,"Sim",'Ações'!$BH:$BH,"Sim")/COUNTIF('Ações'!$AT:$AT,"Sim")</f>
        <v>0.004158004158</v>
      </c>
      <c r="S8" s="107">
        <f>COUNTIFS('Ações'!$AU:$AU,"Sim",'Ações'!$BH:$BH,"Sim")/COUNTIF('Ações'!$AU:$AU,"Sim")</f>
        <v>0.002132196162</v>
      </c>
      <c r="T8" s="107">
        <f>COUNTIFS('Ações'!$AV:$AV,"Sim",'Ações'!$BH:$BH,"Sim")/COUNTIF('Ações'!$AV:$AV,"Sim")</f>
        <v>0.01333333333</v>
      </c>
      <c r="U8" s="107">
        <f>COUNTIFS('Ações'!$AW:$AW,"Sim",'Ações'!$BH:$BH,"Sim")/COUNTIF('Ações'!$AW:$AW,"Sim")</f>
        <v>0.01446654611</v>
      </c>
      <c r="V8" s="107">
        <f>COUNTIFS('Ações'!$AX:$AX,"Sim",'Ações'!$BH:$BH,"Sim")/COUNTIF('Ações'!$AX:$AX,"Sim")</f>
        <v>0.02325581395</v>
      </c>
    </row>
    <row r="9">
      <c r="B9" s="3" t="s">
        <v>3469</v>
      </c>
      <c r="C9" s="107">
        <f>COUNTIF('Ações'!$BI:$BI,"Sim")</f>
        <v>366</v>
      </c>
      <c r="D9" s="107">
        <f>COUNTIF('Categorias empresas'!$V:$V,"Sim")</f>
        <v>46</v>
      </c>
      <c r="H9" s="3" t="s">
        <v>3469</v>
      </c>
      <c r="I9" s="107">
        <f>COUNTIFS('Ações'!$AS:$AS,"Sim",'Ações'!$BI:$BI,"Sim")/COUNTIF('Ações'!$AS:$AS,"Sim")</f>
        <v>0.3978779841</v>
      </c>
      <c r="J9" s="107">
        <f>COUNTIFS('Ações'!$AT:$AT,"Sim",'Ações'!$BI:$BI,"Sim")/COUNTIF('Ações'!$AT:$AT,"Sim")</f>
        <v>0.4553014553</v>
      </c>
      <c r="K9" s="107">
        <f>COUNTIFS('Ações'!$AU:$AU,"Sim",'Ações'!$BI:$BI,"Sim")/COUNTIF('Ações'!$AU:$AU,"Sim")</f>
        <v>0.4754797441</v>
      </c>
      <c r="L9" s="107">
        <f>COUNTIFS('Ações'!$AV:$AV,"Sim",'Ações'!$BI:$BI,"Sim")/COUNTIF('Ações'!$AV:$AV,"Sim")</f>
        <v>0.5116666667</v>
      </c>
      <c r="M9" s="107">
        <f>COUNTIFS('Ações'!$AW:$AW,"Sim",'Ações'!$BI:$BI,"Sim")/COUNTIF('Ações'!$AW:$AW,"Sim")</f>
        <v>0.5497287523</v>
      </c>
      <c r="N9" s="107">
        <f>COUNTIFS('Ações'!$AX:$AX,"Sim",'Ações'!$BI:$BI,"Sim")/COUNTIF('Ações'!$AX:$AX,"Sim")</f>
        <v>0.657807309</v>
      </c>
      <c r="P9" s="3" t="s">
        <v>3469</v>
      </c>
      <c r="Q9" s="107">
        <f>COUNTIFS('Ações'!$AS:$AS,"Sim",'Ações'!BD:BD,"Sim")/COUNTIFS('Ações'!$AS:$AS,"Sim")</f>
        <v>0.6153846154</v>
      </c>
      <c r="R9" s="107">
        <f>COUNTIFS('Ações'!$AT:$AT,"Sim",'Ações'!$BI:$BI,"Sim")/COUNTIF('Ações'!$AT:$AT,"Sim")</f>
        <v>0.4553014553</v>
      </c>
      <c r="S9" s="107">
        <f>COUNTIFS('Ações'!$AU:$AU,"Sim",'Ações'!$BI:$BI,"Sim")/COUNTIF('Ações'!$AU:$AU,"Sim")</f>
        <v>0.4754797441</v>
      </c>
      <c r="T9" s="107">
        <f>COUNTIFS('Ações'!$AV:$AV,"Sim",'Ações'!$BI:$BI,"Sim")/COUNTIF('Ações'!$AV:$AV,"Sim")</f>
        <v>0.5116666667</v>
      </c>
      <c r="U9" s="107">
        <f>COUNTIFS('Ações'!$AW:$AW,"Sim",'Ações'!$BI:$BI,"Sim")/COUNTIF('Ações'!$AW:$AW,"Sim")</f>
        <v>0.5497287523</v>
      </c>
      <c r="V9" s="107">
        <f>COUNTIFS('Ações'!$AX:$AX,"Sim",'Ações'!$BI:$BI,"Sim")/COUNTIF('Ações'!$AX:$AX,"Sim")</f>
        <v>0.657807309</v>
      </c>
    </row>
    <row r="10">
      <c r="B10" s="314" t="s">
        <v>4797</v>
      </c>
      <c r="C10" s="112">
        <v>0.0</v>
      </c>
      <c r="D10" s="107">
        <f>COUNTIF('Categorias empresas'!$P:$P,"Sim")</f>
        <v>41</v>
      </c>
      <c r="I10" s="107">
        <f t="shared" ref="I10:N10" si="1">SUM(I4:I9)</f>
        <v>1.074270557</v>
      </c>
      <c r="J10" s="107">
        <f t="shared" si="1"/>
        <v>1.064449064</v>
      </c>
      <c r="K10" s="107">
        <f t="shared" si="1"/>
        <v>1.051172708</v>
      </c>
      <c r="L10" s="107">
        <f t="shared" si="1"/>
        <v>1.07</v>
      </c>
      <c r="M10" s="107">
        <f t="shared" si="1"/>
        <v>1.059674503</v>
      </c>
      <c r="N10" s="107">
        <f t="shared" si="1"/>
        <v>1.07641196</v>
      </c>
      <c r="Q10" s="107">
        <f>SUM(Q4:Q9)</f>
        <v>3.692307692</v>
      </c>
    </row>
  </sheetData>
  <autoFilter ref="$B$3:$D$10">
    <sortState ref="B3:D10">
      <sortCondition descending="1" ref="D3:D10"/>
    </sortState>
  </autoFilter>
  <mergeCells count="1">
    <mergeCell ref="I2:N2"/>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6.88"/>
    <col customWidth="1" min="4" max="4" width="14.5"/>
    <col customWidth="1" min="5" max="5" width="18.5"/>
    <col customWidth="1" min="7" max="7" width="20.63"/>
  </cols>
  <sheetData>
    <row r="3">
      <c r="B3" s="2" t="s">
        <v>4842</v>
      </c>
      <c r="C3" s="193" t="s">
        <v>3344</v>
      </c>
      <c r="D3" s="193" t="s">
        <v>3412</v>
      </c>
      <c r="E3" s="193" t="s">
        <v>3414</v>
      </c>
      <c r="F3" s="193" t="s">
        <v>3411</v>
      </c>
      <c r="G3" s="193" t="s">
        <v>4798</v>
      </c>
      <c r="H3" s="193" t="s">
        <v>4799</v>
      </c>
    </row>
    <row r="4">
      <c r="B4" s="320" t="s">
        <v>3357</v>
      </c>
      <c r="C4" s="107">
        <f>COUNTIFS('Ações'!$AS:$AS,"Sim",'Ações'!$AB:$AB,"Sim")/COUNTIF('Ações'!$AS:$AS,"Sim")</f>
        <v>0.6604774536</v>
      </c>
      <c r="D4" s="107">
        <f>COUNTIFS('Ações'!$AT:$AT,"Sim",'Ações'!$AB:$AB,"Sim")/COUNTIF('Ações'!$AT:$AT,"Sim")</f>
        <v>0.6943866944</v>
      </c>
      <c r="E4" s="107">
        <f>COUNTIFS('Ações'!$AU:$AU,"Sim",'Ações'!$AB:$AB,"Sim")/COUNTIF('Ações'!$AU:$AU,"Sim")</f>
        <v>0.7057569296</v>
      </c>
      <c r="F4" s="107">
        <f>COUNTIFS('Ações'!$AV:$AV,"Sim",'Ações'!$AB:$AB,"Sim")/COUNTIF('Ações'!$AV:$AV,"Sim")</f>
        <v>0.7366666667</v>
      </c>
      <c r="G4" s="107">
        <f>COUNTIFS('Ações'!$AW:$AW,"Sim",'Ações'!$AB:$AB,"Sim")/COUNTIF('Ações'!$AW:$AW,"Sim")</f>
        <v>0.7649186257</v>
      </c>
      <c r="H4" s="107">
        <f>COUNTIFS('Ações'!$AX:$AX,"Sim",'Ações'!$AB:$AB,"Sim")/COUNTIF('Ações'!$AX:$AX,"Sim")</f>
        <v>0.8372093023</v>
      </c>
    </row>
    <row r="5">
      <c r="B5" s="320" t="s">
        <v>3382</v>
      </c>
      <c r="C5" s="107">
        <f>COUNTIFS('Ações'!$AS:$AS,"Sim",'Ações'!$AC:$AC,"Sim")/COUNTIF('Ações'!$AS:$AS,"Sim")</f>
        <v>0.6180371353</v>
      </c>
      <c r="D5" s="107">
        <f>COUNTIFS('Ações'!$AT:$AT,"Sim",'Ações'!$AC:$AC,"Sim")/COUNTIF('Ações'!$AT:$AT,"Sim")</f>
        <v>0.5363825364</v>
      </c>
      <c r="E5" s="107">
        <f>COUNTIFS('Ações'!$AU:$AU,"Sim",'Ações'!$AC:$AC,"Sim")/COUNTIF('Ações'!$AU:$AU,"Sim")</f>
        <v>0.5351812367</v>
      </c>
      <c r="F5" s="107">
        <f>COUNTIFS('Ações'!$AV:$AV,"Sim",'Ações'!$AB:$AB,"Sim")/COUNTIF('Ações'!$AV:$AV,"Sim")</f>
        <v>0.7366666667</v>
      </c>
      <c r="G5" s="107">
        <f>COUNTIFS('Ações'!$AW:$AW,"Sim",'Ações'!$AC:$AC,"Sim")/COUNTIF('Ações'!$AW:$AW,"Sim")</f>
        <v>0.4448462929</v>
      </c>
      <c r="H5" s="107">
        <f>COUNTIFS('Ações'!$AX:$AX,"Sim",'Ações'!$AC:$AC,"Sim")/COUNTIF('Ações'!$AX:$AX,"Sim")</f>
        <v>0.3853820598</v>
      </c>
    </row>
    <row r="6">
      <c r="B6" s="320" t="s">
        <v>3383</v>
      </c>
      <c r="C6" s="107">
        <f>COUNTIFS('Ações'!$AS:$AS,"Sim",'Ações'!$AD:$AD,"Sim")/COUNTIF('Ações'!$AS:$AS,"Sim")</f>
        <v>0.0848806366</v>
      </c>
      <c r="D6" s="107">
        <f>COUNTIFS('Ações'!$AT:$AT,"Sim",'Ações'!$AD:$AD,"Sim")/COUNTIF('Ações'!$AT:$AT,"Sim")</f>
        <v>0.07276507277</v>
      </c>
      <c r="E6" s="107">
        <f>COUNTIFS('Ações'!$AU:$AU,"Sim",'Ações'!$AD:$AD,"Sim")/COUNTIF('Ações'!$AU:$AU,"Sim")</f>
        <v>0.07675906183</v>
      </c>
      <c r="F6" s="107">
        <f>COUNTIFS('Ações'!$AV:$AV,"Sim",'Ações'!$AD:$AD,"Sim")/COUNTIF('Ações'!$AV:$AV,"Sim")</f>
        <v>0.06833333333</v>
      </c>
      <c r="G6" s="107">
        <f>COUNTIFS('Ações'!$AW:$AW,"Sim",'Ações'!$AD:$AD,"Sim")/COUNTIF('Ações'!$AW:$AW,"Sim")</f>
        <v>0.05786618445</v>
      </c>
      <c r="H6" s="107">
        <f>COUNTIFS('Ações'!$AX:$AX,"Sim",'Ações'!$AD:$AD,"Sim")/COUNTIF('Ações'!$AX:$AX,"Sim")</f>
        <v>0.06644518272</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32.5"/>
    <col customWidth="1" min="5" max="5" width="16.5"/>
    <col customWidth="1" min="6" max="6" width="15.0"/>
    <col customWidth="1" min="11" max="11" width="16.5"/>
    <col customWidth="1" min="12" max="12" width="15.0"/>
  </cols>
  <sheetData>
    <row r="3">
      <c r="D3" s="106" t="s">
        <v>87</v>
      </c>
      <c r="E3" s="106" t="s">
        <v>3256</v>
      </c>
      <c r="F3" s="109" t="s">
        <v>2490</v>
      </c>
      <c r="G3" s="109" t="s">
        <v>4843</v>
      </c>
      <c r="J3" s="106" t="s">
        <v>87</v>
      </c>
      <c r="K3" s="106" t="s">
        <v>3256</v>
      </c>
      <c r="L3" s="109" t="s">
        <v>2490</v>
      </c>
      <c r="M3" s="109" t="s">
        <v>4843</v>
      </c>
    </row>
    <row r="4">
      <c r="C4" s="125" t="s">
        <v>3328</v>
      </c>
      <c r="D4" s="107">
        <f>COUNTIFS('Ações'!$D:$D,"Agronegócio",'Ações'!$O:$O,"Sim")</f>
        <v>17</v>
      </c>
      <c r="E4" s="107">
        <f>COUNTIFS('Ações'!$D:$D,"Alimentos e Bebidas",'Ações'!$O:$O,"Sim")</f>
        <v>11</v>
      </c>
      <c r="F4" s="107">
        <f>COUNTIFS('Ações'!$D:$D,"Comércio varejista",'Ações'!$O:$O,"Sim")</f>
        <v>6</v>
      </c>
      <c r="G4" s="107">
        <f t="shared" ref="G4:G7" si="1">SUM(D4:F4)</f>
        <v>34</v>
      </c>
      <c r="I4" s="125" t="s">
        <v>3328</v>
      </c>
      <c r="J4" s="108">
        <f>COUNTIFS('Ações'!$D:$D, "Agronegócio", 'Ações'!$O:$O, "Sim") / COUNTIF('Ações'!$D:$D, "Agronegócio")</f>
        <v>0.04619565217</v>
      </c>
      <c r="K4" s="108">
        <f>COUNTIFS('Ações'!$D:$D, "Alimentos e Bebidas", 'Ações'!$O:$O, "Sim") / COUNTIF('Ações'!$D:$D, "Alimentos e Bebidas")</f>
        <v>0.06010928962</v>
      </c>
      <c r="L4" s="108">
        <f>COUNTIFS('Ações'!$D:$D, "Comércio varejista", 'Ações'!$O:$O, "Sim") / COUNTIF('Ações'!$D:$D, "Comércio varejista")</f>
        <v>0.04137931034</v>
      </c>
      <c r="M4" s="108">
        <f t="shared" ref="M4:M7" si="2">G4/689</f>
        <v>0.04934687954</v>
      </c>
    </row>
    <row r="5">
      <c r="C5" s="125" t="s">
        <v>3329</v>
      </c>
      <c r="D5" s="107">
        <f>COUNTIFS('Ações'!$D:$D,"Agronegócio",'Ações'!$P:$P,"Sim")</f>
        <v>51</v>
      </c>
      <c r="E5" s="107">
        <f>COUNTIFS('Ações'!$D:$D,"Alimentos e Bebidas",'Ações'!$P:$P,"Sim")</f>
        <v>33</v>
      </c>
      <c r="F5" s="107">
        <f>COUNTIFS('Ações'!$D:$D,"Comércio varejista",'Ações'!$P:$P,"Sim")</f>
        <v>44</v>
      </c>
      <c r="G5" s="107">
        <f t="shared" si="1"/>
        <v>128</v>
      </c>
      <c r="I5" s="125" t="s">
        <v>3329</v>
      </c>
      <c r="J5" s="108">
        <f>COUNTIFS('Ações'!$D:$D, "Agronegócio", 'Ações'!$P:$P, "Sim") / COUNTIF('Ações'!$D:$D, "Agronegócio")</f>
        <v>0.1385869565</v>
      </c>
      <c r="K5" s="108">
        <f>COUNTIFS('Ações'!$D:$D, "Alimentos e Bebidas", 'Ações'!$P:$P, "Sim") / COUNTIF('Ações'!$D:$D, "Alimentos e Bebidas")</f>
        <v>0.1803278689</v>
      </c>
      <c r="L5" s="108">
        <f>COUNTIFS('Ações'!$D:$D, "Comércio varejista", 'Ações'!$P:$P, "Sim") / COUNTIF('Ações'!$D:$D, "Comércio varejista")</f>
        <v>0.3034482759</v>
      </c>
      <c r="M5" s="108">
        <f t="shared" si="2"/>
        <v>0.1857764877</v>
      </c>
    </row>
    <row r="6">
      <c r="C6" s="125" t="s">
        <v>3330</v>
      </c>
      <c r="D6" s="107">
        <f>COUNTIFS('Ações'!$D:$D,"Agronegócio",'Ações'!$Q:$Q,"Sim")</f>
        <v>65</v>
      </c>
      <c r="E6" s="107">
        <f>COUNTIFS('Ações'!$D:$D,"Alimentos e Bebidas",'Ações'!$Q:$Q,"Sim")</f>
        <v>40</v>
      </c>
      <c r="F6" s="107">
        <f>COUNTIFS('Ações'!$D:$D,"Comércio varejista",'Ações'!$Q:$Q,"Sim")</f>
        <v>44</v>
      </c>
      <c r="G6" s="107">
        <f t="shared" si="1"/>
        <v>149</v>
      </c>
      <c r="I6" s="125" t="s">
        <v>3330</v>
      </c>
      <c r="J6" s="108">
        <f>COUNTIFS('Ações'!$D:$D, "Agronegócio", 'Ações'!$Q:$Q, "Sim") / COUNTIF('Ações'!$D:$D, "Agronegócio")</f>
        <v>0.1766304348</v>
      </c>
      <c r="K6" s="108">
        <f>COUNTIFS('Ações'!$D:$D, "Alimentos e Bebidas", 'Ações'!$Q:$Q, "Sim") / COUNTIF('Ações'!$D:$D, "Alimentos e Bebidas")</f>
        <v>0.218579235</v>
      </c>
      <c r="L6" s="108">
        <f>COUNTIFS('Ações'!$D:$D, "Comércio varejista", 'Ações'!$Q:$Q, "Sim") / COUNTIF('Ações'!$D:$D, "Comércio varejista")</f>
        <v>0.3034482759</v>
      </c>
      <c r="M6" s="108">
        <f t="shared" si="2"/>
        <v>0.2162554427</v>
      </c>
    </row>
    <row r="7">
      <c r="C7" s="125" t="s">
        <v>3331</v>
      </c>
      <c r="D7" s="107">
        <f>COUNTIFS('Ações'!$D:$D,"Agronegócio",'Ações'!$R:$R,"Sim")</f>
        <v>35</v>
      </c>
      <c r="E7" s="107">
        <f>COUNTIFS('Ações'!$D:$D,"Alimentos e Bebidas",'Ações'!$R:$R,"Sim")</f>
        <v>9</v>
      </c>
      <c r="F7" s="107">
        <f>COUNTIFS('Ações'!$D:$D,"Comércio varejista",'Ações'!$R:$R,"Sim")</f>
        <v>22</v>
      </c>
      <c r="G7" s="107">
        <f t="shared" si="1"/>
        <v>66</v>
      </c>
      <c r="I7" s="125" t="s">
        <v>3331</v>
      </c>
      <c r="J7" s="108">
        <f>COUNTIFS('Ações'!$D:$D, "Agronegócio", 'Ações'!$R:$R, "Sim") / COUNTIF('Ações'!$D:$D, "Agronegócio")</f>
        <v>0.09510869565</v>
      </c>
      <c r="K7" s="108">
        <f>COUNTIFS('Ações'!$D:$D, "Alimentos e Bebidas", 'Ações'!$R:$R, "Sim") / COUNTIF('Ações'!$D:$D, "Alimentos e Bebidas")</f>
        <v>0.04918032787</v>
      </c>
      <c r="L7" s="108">
        <f>COUNTIFS('Ações'!$D:$D, "Comércio varejista", 'Ações'!$R:$R, "Sim") / COUNTIF('Ações'!$D:$D, "Comércio varejista")</f>
        <v>0.1517241379</v>
      </c>
      <c r="M7" s="108">
        <f t="shared" si="2"/>
        <v>0.09579100145</v>
      </c>
    </row>
    <row r="9">
      <c r="C9" s="181"/>
    </row>
    <row r="10">
      <c r="C10" s="181"/>
    </row>
    <row r="13">
      <c r="C13" s="181"/>
    </row>
    <row r="14">
      <c r="C14" s="18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25"/>
    <col customWidth="1" min="2" max="2" width="19.13"/>
    <col customWidth="1" min="3" max="3" width="13.63"/>
    <col customWidth="1" min="4" max="4" width="14.0"/>
    <col customWidth="1" min="5" max="6" width="12.63"/>
  </cols>
  <sheetData>
    <row r="1" ht="15.75" customHeight="1">
      <c r="A1" s="321" t="s">
        <v>4844</v>
      </c>
      <c r="B1" s="322" t="s">
        <v>4845</v>
      </c>
      <c r="C1" s="323" t="s">
        <v>4846</v>
      </c>
      <c r="D1" s="323" t="s">
        <v>4847</v>
      </c>
    </row>
    <row r="2" ht="15.75" customHeight="1">
      <c r="A2" s="324" t="s">
        <v>4848</v>
      </c>
      <c r="B2" s="325" t="s">
        <v>4849</v>
      </c>
      <c r="C2" s="326" t="s">
        <v>4850</v>
      </c>
      <c r="D2" s="326" t="s">
        <v>4851</v>
      </c>
    </row>
    <row r="3" ht="15.75" customHeight="1">
      <c r="A3" s="324" t="s">
        <v>4852</v>
      </c>
      <c r="B3" s="327" t="s">
        <v>4853</v>
      </c>
    </row>
    <row r="4" ht="15.75" customHeight="1">
      <c r="A4" s="324" t="s">
        <v>4854</v>
      </c>
      <c r="B4" s="327" t="s">
        <v>4855</v>
      </c>
    </row>
    <row r="5" ht="15.75" customHeight="1">
      <c r="A5" s="324" t="s">
        <v>4856</v>
      </c>
      <c r="B5" s="63" t="s">
        <v>4857</v>
      </c>
      <c r="C5" s="328" t="s">
        <v>4858</v>
      </c>
      <c r="D5" s="328" t="s">
        <v>4859</v>
      </c>
    </row>
    <row r="6" ht="15.75" customHeight="1">
      <c r="A6" s="324" t="s">
        <v>4860</v>
      </c>
      <c r="B6" s="327" t="s">
        <v>4861</v>
      </c>
      <c r="C6" s="326" t="s">
        <v>4862</v>
      </c>
      <c r="D6" s="326" t="s">
        <v>4862</v>
      </c>
    </row>
    <row r="7" ht="15.75" customHeight="1">
      <c r="A7" s="324" t="s">
        <v>4863</v>
      </c>
      <c r="B7" s="327" t="s">
        <v>4864</v>
      </c>
    </row>
    <row r="8" ht="15.75" customHeight="1">
      <c r="A8" s="324" t="s">
        <v>4865</v>
      </c>
      <c r="B8" s="327" t="s">
        <v>4866</v>
      </c>
    </row>
    <row r="9" ht="15.75" customHeight="1">
      <c r="B9" s="327" t="s">
        <v>4867</v>
      </c>
    </row>
    <row r="10" ht="15.75" customHeight="1">
      <c r="A10" s="324"/>
      <c r="B10" s="63" t="s">
        <v>4868</v>
      </c>
      <c r="C10" s="329" t="s">
        <v>4869</v>
      </c>
      <c r="D10" s="328" t="s">
        <v>4870</v>
      </c>
    </row>
    <row r="11" ht="15.75" customHeight="1">
      <c r="A11" s="324"/>
      <c r="B11" s="327" t="s">
        <v>4871</v>
      </c>
      <c r="C11" s="329" t="s">
        <v>4872</v>
      </c>
      <c r="D11" s="326" t="s">
        <v>4873</v>
      </c>
    </row>
    <row r="12" ht="15.75" customHeight="1">
      <c r="A12" s="324"/>
      <c r="B12" s="327" t="s">
        <v>4874</v>
      </c>
    </row>
    <row r="13" ht="15.75" customHeight="1">
      <c r="A13" s="324"/>
      <c r="B13" s="63" t="s">
        <v>4875</v>
      </c>
      <c r="C13" s="329" t="s">
        <v>4876</v>
      </c>
      <c r="D13" s="328" t="s">
        <v>4877</v>
      </c>
    </row>
    <row r="14" ht="15.75" customHeight="1">
      <c r="A14" s="324"/>
      <c r="B14" s="327" t="s">
        <v>4878</v>
      </c>
      <c r="C14" s="326" t="s">
        <v>3453</v>
      </c>
      <c r="D14" s="326" t="s">
        <v>4879</v>
      </c>
    </row>
    <row r="15" ht="15.75" customHeight="1">
      <c r="A15" s="324"/>
      <c r="B15" s="63" t="s">
        <v>4880</v>
      </c>
      <c r="C15" s="328" t="s">
        <v>4881</v>
      </c>
      <c r="D15" s="328" t="s">
        <v>4881</v>
      </c>
      <c r="H15" s="330"/>
      <c r="I15" s="330"/>
    </row>
    <row r="16" ht="15.75" customHeight="1">
      <c r="A16" s="324"/>
      <c r="B16" s="327" t="s">
        <v>3266</v>
      </c>
      <c r="C16" s="329" t="s">
        <v>4882</v>
      </c>
      <c r="D16" s="326" t="s">
        <v>4883</v>
      </c>
    </row>
    <row r="17" ht="15.75" customHeight="1">
      <c r="A17" s="324"/>
      <c r="B17" s="63" t="s">
        <v>4884</v>
      </c>
      <c r="C17" s="328" t="s">
        <v>4885</v>
      </c>
      <c r="D17" s="328" t="s">
        <v>4886</v>
      </c>
    </row>
    <row r="18" ht="15.75" customHeight="1">
      <c r="A18" s="324"/>
      <c r="B18" s="327" t="s">
        <v>4887</v>
      </c>
      <c r="C18" s="326" t="s">
        <v>4888</v>
      </c>
      <c r="D18" s="326" t="s">
        <v>4888</v>
      </c>
    </row>
    <row r="19" ht="15.75" customHeight="1">
      <c r="A19" s="324"/>
      <c r="B19" s="63" t="s">
        <v>4889</v>
      </c>
      <c r="C19" s="328" t="s">
        <v>4890</v>
      </c>
      <c r="D19" s="328" t="s">
        <v>4891</v>
      </c>
    </row>
    <row r="20" ht="15.75" customHeight="1">
      <c r="A20" s="324"/>
      <c r="B20" s="327" t="s">
        <v>4892</v>
      </c>
      <c r="C20" s="326" t="s">
        <v>4892</v>
      </c>
      <c r="D20" s="326" t="s">
        <v>4893</v>
      </c>
    </row>
    <row r="21" ht="15.75" customHeight="1">
      <c r="A21" s="324"/>
      <c r="B21" s="63" t="s">
        <v>4894</v>
      </c>
      <c r="C21" s="328" t="s">
        <v>4894</v>
      </c>
      <c r="D21" s="328" t="s">
        <v>4895</v>
      </c>
    </row>
    <row r="22" ht="15.75" customHeight="1">
      <c r="A22" s="324"/>
      <c r="B22" s="327" t="s">
        <v>4896</v>
      </c>
      <c r="C22" s="326" t="s">
        <v>4897</v>
      </c>
      <c r="D22" s="326" t="s">
        <v>4898</v>
      </c>
    </row>
    <row r="23" ht="15.75" customHeight="1">
      <c r="A23" s="324"/>
      <c r="B23" s="63" t="s">
        <v>4899</v>
      </c>
      <c r="C23" s="329" t="s">
        <v>4899</v>
      </c>
      <c r="D23" s="328" t="s">
        <v>4899</v>
      </c>
    </row>
    <row r="24" ht="15.75" customHeight="1">
      <c r="A24" s="324"/>
      <c r="B24" s="327" t="s">
        <v>4900</v>
      </c>
      <c r="C24" s="329" t="s">
        <v>4900</v>
      </c>
      <c r="D24" s="326" t="s">
        <v>4901</v>
      </c>
    </row>
    <row r="25" ht="15.75" customHeight="1">
      <c r="A25" s="324"/>
      <c r="B25" s="63" t="s">
        <v>4902</v>
      </c>
      <c r="C25" s="329" t="s">
        <v>4902</v>
      </c>
      <c r="D25" s="328" t="s">
        <v>4903</v>
      </c>
    </row>
    <row r="26" ht="15.75" customHeight="1">
      <c r="A26" s="324"/>
      <c r="B26" s="327" t="s">
        <v>189</v>
      </c>
      <c r="C26" s="329" t="s">
        <v>189</v>
      </c>
      <c r="D26" s="326" t="s">
        <v>4904</v>
      </c>
    </row>
    <row r="27" ht="15.75" customHeight="1">
      <c r="A27" s="324"/>
      <c r="B27" s="63" t="s">
        <v>4905</v>
      </c>
      <c r="C27" s="328" t="s">
        <v>4905</v>
      </c>
      <c r="D27" s="328" t="s">
        <v>4906</v>
      </c>
    </row>
    <row r="28" ht="15.75" customHeight="1">
      <c r="A28" s="324"/>
      <c r="B28" s="327" t="s">
        <v>4907</v>
      </c>
      <c r="C28" s="326" t="s">
        <v>4908</v>
      </c>
      <c r="D28" s="326" t="s">
        <v>4908</v>
      </c>
    </row>
    <row r="29" ht="15.75" customHeight="1">
      <c r="A29" s="324"/>
      <c r="B29" s="327" t="s">
        <v>4909</v>
      </c>
    </row>
    <row r="30" ht="15.75" customHeight="1">
      <c r="A30" s="324"/>
      <c r="B30" s="63" t="s">
        <v>4910</v>
      </c>
      <c r="C30" s="328" t="s">
        <v>4911</v>
      </c>
      <c r="D30" s="328" t="s">
        <v>4911</v>
      </c>
    </row>
    <row r="31" ht="15.75" customHeight="1">
      <c r="A31" s="324"/>
      <c r="B31" s="63" t="s">
        <v>4912</v>
      </c>
    </row>
    <row r="32" ht="15.75" customHeight="1">
      <c r="A32" s="324"/>
      <c r="B32" s="327" t="s">
        <v>4913</v>
      </c>
      <c r="C32" s="326" t="s">
        <v>4913</v>
      </c>
      <c r="D32" s="326" t="s">
        <v>4914</v>
      </c>
    </row>
    <row r="33" ht="15.75" customHeight="1">
      <c r="A33" s="324"/>
      <c r="B33" s="63" t="s">
        <v>4915</v>
      </c>
      <c r="C33" s="328" t="s">
        <v>4916</v>
      </c>
      <c r="D33" s="328" t="s">
        <v>4916</v>
      </c>
    </row>
    <row r="34" ht="15.75" customHeight="1">
      <c r="A34" s="324"/>
      <c r="B34" s="327" t="s">
        <v>4917</v>
      </c>
      <c r="C34" s="326" t="s">
        <v>4918</v>
      </c>
      <c r="D34" s="326" t="s">
        <v>4918</v>
      </c>
    </row>
    <row r="35" ht="15.75" customHeight="1">
      <c r="A35" s="324"/>
      <c r="B35" s="63" t="s">
        <v>4919</v>
      </c>
      <c r="C35" s="328" t="s">
        <v>4919</v>
      </c>
      <c r="D35" s="328" t="s">
        <v>4920</v>
      </c>
      <c r="E35" s="331"/>
    </row>
    <row r="36" ht="15.75" customHeight="1">
      <c r="A36" s="324"/>
      <c r="B36" s="327" t="s">
        <v>4921</v>
      </c>
      <c r="C36" s="326" t="s">
        <v>4922</v>
      </c>
      <c r="D36" s="326" t="s">
        <v>4923</v>
      </c>
      <c r="E36" s="332"/>
    </row>
    <row r="37" ht="15.75" customHeight="1">
      <c r="A37" s="324"/>
      <c r="B37" s="63" t="s">
        <v>4924</v>
      </c>
      <c r="C37" s="328" t="s">
        <v>4925</v>
      </c>
      <c r="D37" s="328" t="s">
        <v>4925</v>
      </c>
    </row>
    <row r="38" ht="15.75" customHeight="1">
      <c r="A38" s="324"/>
      <c r="B38" s="327" t="s">
        <v>4926</v>
      </c>
      <c r="C38" s="326" t="s">
        <v>4927</v>
      </c>
      <c r="D38" s="326" t="s">
        <v>4927</v>
      </c>
    </row>
    <row r="39" ht="15.75" customHeight="1">
      <c r="A39" s="324"/>
      <c r="B39" s="63" t="s">
        <v>4928</v>
      </c>
      <c r="C39" s="328" t="s">
        <v>4929</v>
      </c>
      <c r="D39" s="328" t="s">
        <v>4929</v>
      </c>
    </row>
    <row r="40" ht="15.75" customHeight="1">
      <c r="A40" s="324"/>
      <c r="B40" s="327" t="s">
        <v>4930</v>
      </c>
      <c r="C40" s="326" t="s">
        <v>4931</v>
      </c>
      <c r="D40" s="326" t="s">
        <v>4931</v>
      </c>
    </row>
    <row r="41" ht="15.75" customHeight="1">
      <c r="A41" s="324"/>
      <c r="B41" s="63" t="s">
        <v>4932</v>
      </c>
      <c r="C41" s="328" t="s">
        <v>4933</v>
      </c>
      <c r="D41" s="328" t="s">
        <v>4933</v>
      </c>
    </row>
    <row r="42" ht="15.75" customHeight="1">
      <c r="A42" s="324"/>
      <c r="B42" s="63" t="s">
        <v>4934</v>
      </c>
    </row>
    <row r="43" ht="15.75" customHeight="1">
      <c r="A43" s="324"/>
      <c r="B43" s="327" t="s">
        <v>3357</v>
      </c>
      <c r="C43" s="326" t="s">
        <v>4935</v>
      </c>
      <c r="D43" s="326" t="s">
        <v>4935</v>
      </c>
    </row>
    <row r="44" ht="15.75" customHeight="1">
      <c r="A44" s="324"/>
      <c r="B44" s="63" t="s">
        <v>4936</v>
      </c>
      <c r="C44" s="329" t="s">
        <v>4937</v>
      </c>
      <c r="D44" s="328" t="s">
        <v>4938</v>
      </c>
    </row>
    <row r="45" ht="15.75" customHeight="1">
      <c r="A45" s="324"/>
      <c r="B45" s="63" t="s">
        <v>4939</v>
      </c>
    </row>
    <row r="46" ht="15.75" customHeight="1">
      <c r="A46" s="324"/>
      <c r="C46" s="333" t="s">
        <v>4940</v>
      </c>
      <c r="D46" s="328"/>
    </row>
    <row r="47" ht="15.75" customHeight="1">
      <c r="A47" s="324"/>
      <c r="C47" s="333" t="s">
        <v>4941</v>
      </c>
      <c r="D47" s="328"/>
    </row>
    <row r="48" ht="15.75" customHeight="1">
      <c r="A48" s="324"/>
      <c r="C48" s="333" t="s">
        <v>4942</v>
      </c>
      <c r="D48" s="328"/>
    </row>
    <row r="49" ht="15.75" customHeight="1">
      <c r="A49" s="324"/>
      <c r="C49" s="328"/>
      <c r="D49" s="328"/>
    </row>
    <row r="50" ht="15.75" customHeight="1">
      <c r="A50" s="324"/>
      <c r="C50" s="328"/>
      <c r="D50" s="328"/>
    </row>
    <row r="51" ht="15.75" customHeight="1">
      <c r="A51" s="324"/>
      <c r="C51" s="328"/>
      <c r="D51" s="328"/>
    </row>
    <row r="52" ht="15.75" customHeight="1">
      <c r="A52" s="324"/>
      <c r="C52" s="328"/>
      <c r="D52" s="328"/>
    </row>
    <row r="53" ht="15.75" customHeight="1">
      <c r="A53" s="324"/>
      <c r="C53" s="328"/>
      <c r="D53" s="328"/>
    </row>
    <row r="54" ht="15.75" customHeight="1">
      <c r="A54" s="324"/>
      <c r="C54" s="328"/>
      <c r="D54" s="328"/>
    </row>
    <row r="55" ht="15.75" customHeight="1">
      <c r="A55" s="324"/>
      <c r="C55" s="328"/>
      <c r="D55" s="328"/>
    </row>
    <row r="56" ht="15.75" customHeight="1">
      <c r="A56" s="324"/>
      <c r="C56" s="328"/>
      <c r="D56" s="328"/>
    </row>
    <row r="57" ht="15.75" customHeight="1">
      <c r="A57" s="324"/>
      <c r="C57" s="328"/>
      <c r="D57" s="328"/>
    </row>
    <row r="58" ht="15.75" customHeight="1">
      <c r="A58" s="324"/>
      <c r="C58" s="328"/>
      <c r="D58" s="328"/>
    </row>
    <row r="59" ht="15.75" customHeight="1">
      <c r="A59" s="324"/>
      <c r="C59" s="328"/>
      <c r="D59" s="328"/>
    </row>
    <row r="60" ht="15.75" customHeight="1">
      <c r="A60" s="324"/>
      <c r="C60" s="328"/>
      <c r="D60" s="328"/>
    </row>
    <row r="61" ht="15.75" customHeight="1">
      <c r="A61" s="324"/>
      <c r="C61" s="328"/>
      <c r="D61" s="328"/>
    </row>
    <row r="62" ht="15.75" customHeight="1">
      <c r="A62" s="324"/>
      <c r="C62" s="328"/>
      <c r="D62" s="328"/>
    </row>
    <row r="63" ht="15.75" customHeight="1">
      <c r="A63" s="324"/>
      <c r="C63" s="328"/>
      <c r="D63" s="328"/>
    </row>
    <row r="64" ht="15.75" customHeight="1">
      <c r="A64" s="324"/>
      <c r="C64" s="328"/>
      <c r="D64" s="328"/>
    </row>
    <row r="65" ht="15.75" customHeight="1">
      <c r="A65" s="324"/>
      <c r="C65" s="328"/>
      <c r="D65" s="328"/>
    </row>
    <row r="66" ht="15.75" customHeight="1">
      <c r="A66" s="324"/>
      <c r="C66" s="328"/>
      <c r="D66" s="328"/>
    </row>
    <row r="67" ht="15.75" customHeight="1">
      <c r="A67" s="324"/>
      <c r="C67" s="328"/>
      <c r="D67" s="328"/>
    </row>
    <row r="68" ht="15.75" customHeight="1">
      <c r="A68" s="324"/>
      <c r="C68" s="328"/>
      <c r="D68" s="328"/>
    </row>
    <row r="69" ht="15.75" customHeight="1">
      <c r="A69" s="324"/>
      <c r="C69" s="328"/>
      <c r="D69" s="328"/>
    </row>
    <row r="70" ht="15.75" customHeight="1">
      <c r="A70" s="324"/>
      <c r="C70" s="328"/>
      <c r="D70" s="328"/>
    </row>
    <row r="71" ht="15.75" customHeight="1">
      <c r="A71" s="324"/>
      <c r="C71" s="328"/>
      <c r="D71" s="328"/>
    </row>
    <row r="72" ht="15.75" customHeight="1">
      <c r="A72" s="324"/>
      <c r="C72" s="328"/>
      <c r="D72" s="328"/>
    </row>
    <row r="73" ht="15.75" customHeight="1">
      <c r="A73" s="324"/>
      <c r="C73" s="328"/>
      <c r="D73" s="328"/>
    </row>
    <row r="74" ht="15.75" customHeight="1">
      <c r="A74" s="324"/>
      <c r="C74" s="328"/>
      <c r="D74" s="328"/>
    </row>
    <row r="75" ht="15.75" customHeight="1">
      <c r="A75" s="324"/>
      <c r="C75" s="328"/>
      <c r="D75" s="328"/>
    </row>
    <row r="76" ht="15.75" customHeight="1">
      <c r="A76" s="324"/>
      <c r="C76" s="328"/>
      <c r="D76" s="328"/>
    </row>
    <row r="77" ht="15.75" customHeight="1">
      <c r="A77" s="324"/>
      <c r="C77" s="328"/>
      <c r="D77" s="328"/>
    </row>
    <row r="78" ht="15.75" customHeight="1">
      <c r="A78" s="324"/>
      <c r="C78" s="328"/>
      <c r="D78" s="328"/>
    </row>
    <row r="79" ht="15.75" customHeight="1">
      <c r="A79" s="324"/>
      <c r="C79" s="328"/>
      <c r="D79" s="328"/>
    </row>
    <row r="80" ht="15.75" customHeight="1">
      <c r="A80" s="324"/>
      <c r="C80" s="328"/>
      <c r="D80" s="328"/>
    </row>
    <row r="81" ht="15.75" customHeight="1">
      <c r="A81" s="324"/>
      <c r="C81" s="328"/>
      <c r="D81" s="328"/>
    </row>
    <row r="82" ht="15.75" customHeight="1">
      <c r="A82" s="324"/>
      <c r="C82" s="328"/>
      <c r="D82" s="328"/>
    </row>
    <row r="83" ht="15.75" customHeight="1">
      <c r="A83" s="324"/>
      <c r="C83" s="328"/>
      <c r="D83" s="328"/>
    </row>
    <row r="84" ht="15.75" customHeight="1">
      <c r="A84" s="324"/>
      <c r="C84" s="328"/>
      <c r="D84" s="328"/>
    </row>
    <row r="85" ht="15.75" customHeight="1">
      <c r="A85" s="324"/>
      <c r="C85" s="328"/>
      <c r="D85" s="328"/>
    </row>
    <row r="86" ht="15.75" customHeight="1">
      <c r="A86" s="324"/>
      <c r="C86" s="328"/>
      <c r="D86" s="328"/>
    </row>
    <row r="87" ht="15.75" customHeight="1">
      <c r="A87" s="324"/>
      <c r="C87" s="328"/>
      <c r="D87" s="328"/>
    </row>
    <row r="88" ht="15.75" customHeight="1">
      <c r="A88" s="324"/>
      <c r="C88" s="328"/>
      <c r="D88" s="328"/>
    </row>
    <row r="89" ht="15.75" customHeight="1">
      <c r="A89" s="324"/>
      <c r="C89" s="328"/>
      <c r="D89" s="328"/>
    </row>
    <row r="90" ht="15.75" customHeight="1">
      <c r="A90" s="324"/>
      <c r="C90" s="328"/>
      <c r="D90" s="328"/>
    </row>
    <row r="91" ht="15.75" customHeight="1">
      <c r="A91" s="324"/>
      <c r="C91" s="328"/>
      <c r="D91" s="328"/>
    </row>
    <row r="92" ht="15.75" customHeight="1">
      <c r="A92" s="324"/>
      <c r="C92" s="328"/>
      <c r="D92" s="328"/>
    </row>
    <row r="93" ht="15.75" customHeight="1">
      <c r="A93" s="324"/>
      <c r="C93" s="328"/>
      <c r="D93" s="328"/>
    </row>
    <row r="94" ht="15.75" customHeight="1">
      <c r="A94" s="324"/>
      <c r="C94" s="328"/>
      <c r="D94" s="328"/>
    </row>
    <row r="95" ht="15.75" customHeight="1">
      <c r="A95" s="324"/>
      <c r="C95" s="328"/>
      <c r="D95" s="328"/>
    </row>
    <row r="96" ht="15.75" customHeight="1">
      <c r="A96" s="324"/>
      <c r="C96" s="328"/>
      <c r="D96" s="328"/>
    </row>
    <row r="97" ht="15.75" customHeight="1">
      <c r="A97" s="324"/>
      <c r="C97" s="328"/>
      <c r="D97" s="328"/>
    </row>
    <row r="98" ht="15.75" customHeight="1">
      <c r="A98" s="324"/>
      <c r="C98" s="328"/>
      <c r="D98" s="328"/>
    </row>
    <row r="99" ht="15.75" customHeight="1">
      <c r="A99" s="324"/>
      <c r="C99" s="328"/>
      <c r="D99" s="328"/>
    </row>
    <row r="100" ht="15.75" customHeight="1">
      <c r="A100" s="324"/>
      <c r="C100" s="328"/>
      <c r="D100" s="328"/>
    </row>
    <row r="101" ht="15.75" customHeight="1">
      <c r="A101" s="324"/>
      <c r="C101" s="328"/>
      <c r="D101" s="328"/>
    </row>
    <row r="102" ht="15.75" customHeight="1">
      <c r="A102" s="324"/>
      <c r="C102" s="328"/>
      <c r="D102" s="328"/>
    </row>
    <row r="103" ht="15.75" customHeight="1">
      <c r="A103" s="324"/>
      <c r="C103" s="328"/>
      <c r="D103" s="328"/>
    </row>
    <row r="104" ht="15.75" customHeight="1">
      <c r="A104" s="324"/>
      <c r="C104" s="328"/>
      <c r="D104" s="328"/>
    </row>
    <row r="105" ht="15.75" customHeight="1">
      <c r="A105" s="324"/>
      <c r="C105" s="328"/>
      <c r="D105" s="328"/>
    </row>
    <row r="106" ht="15.75" customHeight="1">
      <c r="A106" s="324"/>
      <c r="C106" s="328"/>
      <c r="D106" s="328"/>
    </row>
    <row r="107" ht="15.75" customHeight="1">
      <c r="A107" s="324"/>
      <c r="C107" s="328"/>
      <c r="D107" s="328"/>
    </row>
    <row r="108" ht="15.75" customHeight="1">
      <c r="A108" s="324"/>
      <c r="C108" s="328"/>
      <c r="D108" s="328"/>
    </row>
    <row r="109" ht="15.75" customHeight="1">
      <c r="A109" s="324"/>
      <c r="C109" s="328"/>
      <c r="D109" s="328"/>
    </row>
    <row r="110" ht="15.75" customHeight="1">
      <c r="A110" s="324"/>
      <c r="C110" s="328"/>
      <c r="D110" s="328"/>
    </row>
    <row r="111" ht="15.75" customHeight="1">
      <c r="A111" s="324"/>
      <c r="C111" s="328"/>
      <c r="D111" s="328"/>
    </row>
    <row r="112" ht="15.75" customHeight="1">
      <c r="A112" s="324"/>
      <c r="C112" s="328"/>
      <c r="D112" s="328"/>
    </row>
    <row r="113" ht="15.75" customHeight="1">
      <c r="A113" s="324"/>
      <c r="C113" s="328"/>
      <c r="D113" s="328"/>
    </row>
    <row r="114" ht="15.75" customHeight="1">
      <c r="A114" s="324"/>
      <c r="C114" s="328"/>
      <c r="D114" s="328"/>
    </row>
    <row r="115" ht="15.75" customHeight="1">
      <c r="A115" s="324"/>
      <c r="C115" s="328"/>
      <c r="D115" s="328"/>
    </row>
    <row r="116" ht="15.75" customHeight="1">
      <c r="A116" s="324"/>
      <c r="C116" s="328"/>
      <c r="D116" s="328"/>
    </row>
    <row r="117" ht="15.75" customHeight="1">
      <c r="A117" s="324"/>
      <c r="C117" s="328"/>
      <c r="D117" s="328"/>
    </row>
    <row r="118" ht="15.75" customHeight="1">
      <c r="A118" s="324"/>
      <c r="C118" s="328"/>
      <c r="D118" s="328"/>
    </row>
    <row r="119" ht="15.75" customHeight="1">
      <c r="A119" s="324"/>
      <c r="C119" s="328"/>
      <c r="D119" s="328"/>
    </row>
    <row r="120" ht="15.75" customHeight="1">
      <c r="A120" s="324"/>
      <c r="C120" s="328"/>
      <c r="D120" s="328"/>
    </row>
    <row r="121" ht="15.75" customHeight="1">
      <c r="A121" s="324"/>
      <c r="C121" s="328"/>
      <c r="D121" s="328"/>
    </row>
    <row r="122" ht="15.75" customHeight="1">
      <c r="A122" s="324"/>
      <c r="C122" s="328"/>
      <c r="D122" s="328"/>
    </row>
    <row r="123" ht="15.75" customHeight="1">
      <c r="A123" s="324"/>
      <c r="C123" s="328"/>
      <c r="D123" s="328"/>
    </row>
    <row r="124" ht="15.75" customHeight="1">
      <c r="A124" s="324"/>
      <c r="C124" s="328"/>
      <c r="D124" s="328"/>
    </row>
    <row r="125" ht="15.75" customHeight="1">
      <c r="A125" s="324"/>
      <c r="C125" s="328"/>
      <c r="D125" s="328"/>
    </row>
    <row r="126" ht="15.75" customHeight="1">
      <c r="A126" s="324"/>
      <c r="C126" s="328"/>
      <c r="D126" s="328"/>
    </row>
    <row r="127" ht="15.75" customHeight="1">
      <c r="A127" s="324"/>
      <c r="C127" s="328"/>
      <c r="D127" s="328"/>
    </row>
    <row r="128" ht="15.75" customHeight="1">
      <c r="A128" s="324"/>
      <c r="C128" s="328"/>
      <c r="D128" s="328"/>
    </row>
    <row r="129" ht="15.75" customHeight="1">
      <c r="A129" s="324"/>
      <c r="C129" s="328"/>
      <c r="D129" s="328"/>
    </row>
    <row r="130" ht="15.75" customHeight="1">
      <c r="A130" s="324"/>
      <c r="C130" s="328"/>
      <c r="D130" s="328"/>
    </row>
    <row r="131" ht="15.75" customHeight="1">
      <c r="A131" s="324"/>
      <c r="C131" s="328"/>
      <c r="D131" s="328"/>
    </row>
    <row r="132" ht="15.75" customHeight="1">
      <c r="A132" s="324"/>
      <c r="C132" s="328"/>
      <c r="D132" s="328"/>
    </row>
    <row r="133" ht="15.75" customHeight="1">
      <c r="A133" s="324"/>
      <c r="C133" s="328"/>
      <c r="D133" s="328"/>
    </row>
    <row r="134" ht="15.75" customHeight="1">
      <c r="A134" s="324"/>
      <c r="C134" s="328"/>
      <c r="D134" s="328"/>
    </row>
    <row r="135" ht="15.75" customHeight="1">
      <c r="A135" s="324"/>
      <c r="C135" s="328"/>
      <c r="D135" s="328"/>
    </row>
    <row r="136" ht="15.75" customHeight="1">
      <c r="A136" s="324"/>
      <c r="C136" s="328"/>
      <c r="D136" s="328"/>
    </row>
    <row r="137" ht="15.75" customHeight="1">
      <c r="A137" s="324"/>
      <c r="C137" s="328"/>
      <c r="D137" s="328"/>
    </row>
    <row r="138" ht="15.75" customHeight="1">
      <c r="A138" s="324"/>
      <c r="C138" s="328"/>
      <c r="D138" s="328"/>
    </row>
    <row r="139" ht="15.75" customHeight="1">
      <c r="A139" s="324"/>
      <c r="C139" s="328"/>
      <c r="D139" s="328"/>
    </row>
    <row r="140" ht="15.75" customHeight="1">
      <c r="A140" s="324"/>
      <c r="C140" s="328"/>
      <c r="D140" s="328"/>
    </row>
    <row r="141" ht="15.75" customHeight="1">
      <c r="A141" s="324"/>
      <c r="C141" s="328"/>
      <c r="D141" s="328"/>
    </row>
    <row r="142" ht="15.75" customHeight="1">
      <c r="A142" s="324"/>
      <c r="C142" s="328"/>
      <c r="D142" s="328"/>
    </row>
    <row r="143" ht="15.75" customHeight="1">
      <c r="A143" s="324"/>
      <c r="C143" s="328"/>
      <c r="D143" s="328"/>
    </row>
    <row r="144" ht="15.75" customHeight="1">
      <c r="A144" s="324"/>
      <c r="C144" s="328"/>
      <c r="D144" s="328"/>
    </row>
    <row r="145" ht="15.75" customHeight="1">
      <c r="A145" s="324"/>
      <c r="C145" s="328"/>
      <c r="D145" s="328"/>
    </row>
    <row r="146" ht="15.75" customHeight="1">
      <c r="A146" s="324"/>
      <c r="C146" s="328"/>
      <c r="D146" s="328"/>
    </row>
    <row r="147" ht="15.75" customHeight="1">
      <c r="A147" s="324"/>
      <c r="C147" s="328"/>
      <c r="D147" s="328"/>
    </row>
    <row r="148" ht="15.75" customHeight="1">
      <c r="A148" s="324"/>
      <c r="C148" s="328"/>
      <c r="D148" s="328"/>
    </row>
    <row r="149" ht="15.75" customHeight="1">
      <c r="A149" s="324"/>
      <c r="C149" s="328"/>
      <c r="D149" s="328"/>
    </row>
    <row r="150" ht="15.75" customHeight="1">
      <c r="A150" s="324"/>
      <c r="C150" s="328"/>
      <c r="D150" s="328"/>
    </row>
    <row r="151" ht="15.75" customHeight="1">
      <c r="A151" s="324"/>
      <c r="C151" s="328"/>
      <c r="D151" s="328"/>
    </row>
    <row r="152" ht="15.75" customHeight="1">
      <c r="A152" s="324"/>
      <c r="C152" s="328"/>
      <c r="D152" s="328"/>
    </row>
    <row r="153" ht="15.75" customHeight="1">
      <c r="A153" s="324"/>
      <c r="C153" s="328"/>
      <c r="D153" s="328"/>
    </row>
    <row r="154" ht="15.75" customHeight="1">
      <c r="A154" s="324"/>
      <c r="C154" s="328"/>
      <c r="D154" s="328"/>
    </row>
    <row r="155" ht="15.75" customHeight="1">
      <c r="A155" s="324"/>
      <c r="C155" s="328"/>
      <c r="D155" s="328"/>
    </row>
    <row r="156" ht="15.75" customHeight="1">
      <c r="A156" s="324"/>
      <c r="C156" s="328"/>
      <c r="D156" s="328"/>
    </row>
    <row r="157" ht="15.75" customHeight="1">
      <c r="A157" s="324"/>
      <c r="C157" s="328"/>
      <c r="D157" s="328"/>
    </row>
    <row r="158" ht="15.75" customHeight="1">
      <c r="A158" s="324"/>
      <c r="C158" s="328"/>
      <c r="D158" s="328"/>
    </row>
    <row r="159" ht="15.75" customHeight="1">
      <c r="A159" s="324"/>
      <c r="C159" s="328"/>
      <c r="D159" s="328"/>
    </row>
    <row r="160" ht="15.75" customHeight="1">
      <c r="A160" s="324"/>
      <c r="C160" s="328"/>
      <c r="D160" s="328"/>
    </row>
    <row r="161" ht="15.75" customHeight="1">
      <c r="A161" s="324"/>
      <c r="C161" s="328"/>
      <c r="D161" s="328"/>
    </row>
    <row r="162" ht="15.75" customHeight="1">
      <c r="A162" s="324"/>
      <c r="C162" s="328"/>
      <c r="D162" s="328"/>
    </row>
    <row r="163" ht="15.75" customHeight="1">
      <c r="A163" s="324"/>
      <c r="C163" s="328"/>
      <c r="D163" s="328"/>
    </row>
    <row r="164" ht="15.75" customHeight="1">
      <c r="A164" s="324"/>
      <c r="C164" s="328"/>
      <c r="D164" s="328"/>
    </row>
    <row r="165" ht="15.75" customHeight="1">
      <c r="A165" s="324"/>
      <c r="C165" s="328"/>
      <c r="D165" s="328"/>
    </row>
    <row r="166" ht="15.75" customHeight="1">
      <c r="A166" s="324"/>
      <c r="C166" s="328"/>
      <c r="D166" s="328"/>
    </row>
    <row r="167" ht="15.75" customHeight="1">
      <c r="A167" s="324"/>
      <c r="C167" s="328"/>
      <c r="D167" s="328"/>
    </row>
    <row r="168" ht="15.75" customHeight="1">
      <c r="A168" s="324"/>
      <c r="C168" s="328"/>
      <c r="D168" s="328"/>
    </row>
    <row r="169" ht="15.75" customHeight="1">
      <c r="A169" s="324"/>
      <c r="C169" s="328"/>
      <c r="D169" s="328"/>
    </row>
    <row r="170" ht="15.75" customHeight="1">
      <c r="A170" s="324"/>
      <c r="C170" s="328"/>
      <c r="D170" s="328"/>
    </row>
    <row r="171" ht="15.75" customHeight="1">
      <c r="A171" s="324"/>
      <c r="C171" s="328"/>
      <c r="D171" s="328"/>
    </row>
    <row r="172" ht="15.75" customHeight="1">
      <c r="A172" s="324"/>
      <c r="C172" s="328"/>
      <c r="D172" s="328"/>
    </row>
    <row r="173" ht="15.75" customHeight="1">
      <c r="A173" s="324"/>
      <c r="C173" s="328"/>
      <c r="D173" s="328"/>
    </row>
    <row r="174" ht="15.75" customHeight="1">
      <c r="A174" s="324"/>
      <c r="C174" s="328"/>
      <c r="D174" s="328"/>
    </row>
    <row r="175" ht="15.75" customHeight="1">
      <c r="A175" s="324"/>
      <c r="C175" s="328"/>
      <c r="D175" s="328"/>
    </row>
    <row r="176" ht="15.75" customHeight="1">
      <c r="A176" s="324"/>
      <c r="C176" s="328"/>
      <c r="D176" s="328"/>
    </row>
    <row r="177" ht="15.75" customHeight="1">
      <c r="A177" s="324"/>
      <c r="C177" s="328"/>
      <c r="D177" s="328"/>
    </row>
    <row r="178" ht="15.75" customHeight="1">
      <c r="A178" s="324"/>
      <c r="C178" s="328"/>
      <c r="D178" s="328"/>
    </row>
    <row r="179" ht="15.75" customHeight="1">
      <c r="A179" s="324"/>
      <c r="C179" s="328"/>
      <c r="D179" s="328"/>
    </row>
    <row r="180" ht="15.75" customHeight="1">
      <c r="A180" s="324"/>
      <c r="C180" s="328"/>
      <c r="D180" s="328"/>
    </row>
    <row r="181" ht="15.75" customHeight="1">
      <c r="A181" s="324"/>
      <c r="C181" s="328"/>
      <c r="D181" s="328"/>
    </row>
    <row r="182" ht="15.75" customHeight="1">
      <c r="A182" s="324"/>
      <c r="C182" s="328"/>
      <c r="D182" s="328"/>
    </row>
    <row r="183" ht="15.75" customHeight="1">
      <c r="A183" s="324"/>
      <c r="C183" s="328"/>
      <c r="D183" s="328"/>
    </row>
    <row r="184" ht="15.75" customHeight="1">
      <c r="A184" s="324"/>
      <c r="C184" s="328"/>
      <c r="D184" s="328"/>
    </row>
    <row r="185" ht="15.75" customHeight="1">
      <c r="A185" s="324"/>
      <c r="C185" s="328"/>
      <c r="D185" s="328"/>
    </row>
    <row r="186" ht="15.75" customHeight="1">
      <c r="A186" s="324"/>
      <c r="C186" s="328"/>
      <c r="D186" s="328"/>
    </row>
    <row r="187" ht="15.75" customHeight="1">
      <c r="A187" s="324"/>
      <c r="C187" s="328"/>
      <c r="D187" s="328"/>
    </row>
    <row r="188" ht="15.75" customHeight="1">
      <c r="A188" s="324"/>
      <c r="C188" s="328"/>
      <c r="D188" s="328"/>
    </row>
    <row r="189" ht="15.75" customHeight="1">
      <c r="A189" s="324"/>
      <c r="C189" s="328"/>
      <c r="D189" s="328"/>
    </row>
    <row r="190" ht="15.75" customHeight="1">
      <c r="A190" s="324"/>
      <c r="C190" s="328"/>
      <c r="D190" s="328"/>
    </row>
    <row r="191" ht="15.75" customHeight="1">
      <c r="A191" s="324"/>
      <c r="C191" s="328"/>
      <c r="D191" s="328"/>
    </row>
    <row r="192" ht="15.75" customHeight="1">
      <c r="A192" s="324"/>
      <c r="C192" s="328"/>
      <c r="D192" s="328"/>
    </row>
    <row r="193" ht="15.75" customHeight="1">
      <c r="A193" s="324"/>
      <c r="C193" s="328"/>
      <c r="D193" s="328"/>
    </row>
    <row r="194" ht="15.75" customHeight="1">
      <c r="A194" s="324"/>
      <c r="C194" s="328"/>
      <c r="D194" s="328"/>
    </row>
    <row r="195" ht="15.75" customHeight="1">
      <c r="A195" s="324"/>
      <c r="C195" s="328"/>
      <c r="D195" s="328"/>
    </row>
    <row r="196" ht="15.75" customHeight="1">
      <c r="A196" s="324"/>
      <c r="C196" s="328"/>
      <c r="D196" s="328"/>
    </row>
    <row r="197" ht="15.75" customHeight="1">
      <c r="A197" s="324"/>
      <c r="C197" s="328"/>
      <c r="D197" s="328"/>
    </row>
    <row r="198" ht="15.75" customHeight="1">
      <c r="A198" s="324"/>
      <c r="C198" s="328"/>
      <c r="D198" s="328"/>
    </row>
    <row r="199" ht="15.75" customHeight="1">
      <c r="A199" s="324"/>
      <c r="C199" s="328"/>
      <c r="D199" s="328"/>
    </row>
    <row r="200" ht="15.75" customHeight="1">
      <c r="A200" s="324"/>
      <c r="C200" s="328"/>
      <c r="D200" s="328"/>
    </row>
    <row r="201" ht="15.75" customHeight="1">
      <c r="A201" s="324"/>
      <c r="C201" s="328"/>
      <c r="D201" s="328"/>
    </row>
    <row r="202" ht="15.75" customHeight="1">
      <c r="A202" s="324"/>
      <c r="C202" s="328"/>
      <c r="D202" s="328"/>
    </row>
    <row r="203" ht="15.75" customHeight="1">
      <c r="A203" s="324"/>
      <c r="C203" s="328"/>
      <c r="D203" s="328"/>
    </row>
    <row r="204" ht="15.75" customHeight="1">
      <c r="A204" s="324"/>
      <c r="C204" s="328"/>
      <c r="D204" s="328"/>
    </row>
    <row r="205" ht="15.75" customHeight="1">
      <c r="A205" s="324"/>
      <c r="C205" s="328"/>
      <c r="D205" s="328"/>
    </row>
    <row r="206" ht="15.75" customHeight="1">
      <c r="A206" s="324"/>
      <c r="C206" s="328"/>
      <c r="D206" s="328"/>
    </row>
    <row r="207" ht="15.75" customHeight="1">
      <c r="A207" s="324"/>
      <c r="C207" s="328"/>
      <c r="D207" s="328"/>
    </row>
    <row r="208" ht="15.75" customHeight="1">
      <c r="A208" s="324"/>
      <c r="C208" s="328"/>
      <c r="D208" s="328"/>
    </row>
    <row r="209" ht="15.75" customHeight="1">
      <c r="A209" s="324"/>
      <c r="C209" s="328"/>
      <c r="D209" s="328"/>
    </row>
    <row r="210" ht="15.75" customHeight="1">
      <c r="A210" s="324"/>
      <c r="C210" s="328"/>
      <c r="D210" s="328"/>
    </row>
    <row r="211" ht="15.75" customHeight="1">
      <c r="A211" s="324"/>
      <c r="C211" s="328"/>
      <c r="D211" s="328"/>
    </row>
    <row r="212" ht="15.75" customHeight="1">
      <c r="A212" s="324"/>
      <c r="C212" s="328"/>
      <c r="D212" s="328"/>
    </row>
    <row r="213" ht="15.75" customHeight="1">
      <c r="A213" s="324"/>
      <c r="C213" s="328"/>
      <c r="D213" s="328"/>
    </row>
    <row r="214" ht="15.75" customHeight="1">
      <c r="A214" s="324"/>
      <c r="C214" s="328"/>
      <c r="D214" s="328"/>
    </row>
    <row r="215" ht="15.75" customHeight="1">
      <c r="A215" s="324"/>
      <c r="C215" s="328"/>
      <c r="D215" s="328"/>
    </row>
    <row r="216" ht="15.75" customHeight="1">
      <c r="A216" s="324"/>
      <c r="C216" s="328"/>
      <c r="D216" s="328"/>
    </row>
    <row r="217" ht="15.75" customHeight="1">
      <c r="A217" s="324"/>
      <c r="C217" s="328"/>
      <c r="D217" s="328"/>
    </row>
    <row r="218" ht="15.75" customHeight="1">
      <c r="A218" s="324"/>
      <c r="C218" s="328"/>
      <c r="D218" s="328"/>
    </row>
    <row r="219" ht="15.75" customHeight="1">
      <c r="A219" s="324"/>
      <c r="C219" s="328"/>
      <c r="D219" s="328"/>
    </row>
    <row r="220" ht="15.75" customHeight="1">
      <c r="A220" s="324"/>
      <c r="C220" s="328"/>
      <c r="D220" s="328"/>
    </row>
    <row r="221" ht="15.75" customHeight="1">
      <c r="A221" s="324"/>
      <c r="C221" s="328"/>
      <c r="D221" s="328"/>
    </row>
    <row r="222" ht="15.75" customHeight="1">
      <c r="A222" s="324"/>
      <c r="C222" s="328"/>
      <c r="D222" s="328"/>
    </row>
    <row r="223" ht="15.75" customHeight="1">
      <c r="A223" s="324"/>
      <c r="C223" s="328"/>
      <c r="D223" s="328"/>
    </row>
    <row r="224" ht="15.75" customHeight="1">
      <c r="A224" s="324"/>
      <c r="C224" s="328"/>
      <c r="D224" s="328"/>
    </row>
    <row r="225" ht="15.75" customHeight="1">
      <c r="A225" s="324"/>
      <c r="C225" s="328"/>
      <c r="D225" s="328"/>
    </row>
    <row r="226" ht="15.75" customHeight="1">
      <c r="A226" s="324"/>
      <c r="C226" s="328"/>
      <c r="D226" s="328"/>
    </row>
    <row r="227" ht="15.75" customHeight="1">
      <c r="A227" s="324"/>
      <c r="C227" s="328"/>
      <c r="D227" s="328"/>
    </row>
    <row r="228" ht="15.75" customHeight="1">
      <c r="A228" s="324"/>
      <c r="C228" s="328"/>
      <c r="D228" s="328"/>
    </row>
    <row r="229" ht="15.75" customHeight="1">
      <c r="A229" s="324"/>
      <c r="C229" s="328"/>
      <c r="D229" s="328"/>
    </row>
    <row r="230" ht="15.75" customHeight="1">
      <c r="A230" s="324"/>
      <c r="C230" s="328"/>
      <c r="D230" s="328"/>
    </row>
    <row r="231" ht="15.75" customHeight="1">
      <c r="A231" s="324"/>
      <c r="C231" s="328"/>
      <c r="D231" s="328"/>
    </row>
    <row r="232" ht="15.75" customHeight="1">
      <c r="A232" s="324"/>
      <c r="C232" s="328"/>
      <c r="D232" s="328"/>
    </row>
    <row r="233" ht="15.75" customHeight="1">
      <c r="A233" s="324"/>
      <c r="C233" s="328"/>
      <c r="D233" s="328"/>
    </row>
    <row r="234" ht="15.75" customHeight="1">
      <c r="A234" s="324"/>
      <c r="C234" s="328"/>
      <c r="D234" s="328"/>
    </row>
    <row r="235" ht="15.75" customHeight="1">
      <c r="A235" s="324"/>
      <c r="C235" s="328"/>
      <c r="D235" s="328"/>
    </row>
    <row r="236" ht="15.75" customHeight="1">
      <c r="A236" s="324"/>
      <c r="C236" s="328"/>
      <c r="D236" s="328"/>
    </row>
    <row r="237" ht="15.75" customHeight="1">
      <c r="A237" s="324"/>
      <c r="C237" s="328"/>
      <c r="D237" s="328"/>
    </row>
    <row r="238" ht="15.75" customHeight="1">
      <c r="A238" s="324"/>
      <c r="C238" s="328"/>
      <c r="D238" s="328"/>
    </row>
    <row r="239" ht="15.75" customHeight="1">
      <c r="A239" s="324"/>
      <c r="C239" s="328"/>
      <c r="D239" s="328"/>
    </row>
    <row r="240" ht="15.75" customHeight="1">
      <c r="A240" s="324"/>
      <c r="C240" s="328"/>
      <c r="D240" s="328"/>
    </row>
    <row r="241" ht="15.75" customHeight="1">
      <c r="A241" s="324"/>
      <c r="C241" s="328"/>
      <c r="D241" s="328"/>
    </row>
    <row r="242" ht="15.75" customHeight="1">
      <c r="A242" s="324"/>
      <c r="C242" s="328"/>
      <c r="D242" s="328"/>
    </row>
    <row r="243" ht="15.75" customHeight="1">
      <c r="A243" s="324"/>
      <c r="C243" s="328"/>
      <c r="D243" s="328"/>
    </row>
    <row r="244" ht="15.75" customHeight="1">
      <c r="A244" s="324"/>
      <c r="C244" s="328"/>
      <c r="D244" s="328"/>
    </row>
    <row r="245" ht="15.75" customHeight="1">
      <c r="A245" s="324"/>
      <c r="C245" s="328"/>
      <c r="D245" s="328"/>
    </row>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C28:C29"/>
    <mergeCell ref="C30:C31"/>
    <mergeCell ref="C41:C42"/>
    <mergeCell ref="D41:D42"/>
    <mergeCell ref="C44:C45"/>
    <mergeCell ref="D44:D45"/>
    <mergeCell ref="C2:C4"/>
    <mergeCell ref="D2:D4"/>
    <mergeCell ref="C6:C9"/>
    <mergeCell ref="D6:D9"/>
    <mergeCell ref="C11:C12"/>
    <mergeCell ref="D11:D12"/>
    <mergeCell ref="D28:D29"/>
    <mergeCell ref="D30:D31"/>
  </mergeCells>
  <dataValidations>
    <dataValidation type="list" allowBlank="1" showErrorMessage="1" sqref="A1">
      <formula1>"Opção 1,Opção 2"</formula1>
    </dataValidation>
  </dataValidations>
  <drawing r:id="rId2"/>
  <legacyDrawing r:id="rId3"/>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0.75"/>
    <col customWidth="1" min="2" max="3" width="15.25"/>
    <col customWidth="1" min="4" max="4" width="20.5"/>
    <col customWidth="1" min="5" max="5" width="12.63"/>
    <col customWidth="1" min="6" max="6" width="20.5"/>
    <col customWidth="1" min="7" max="7" width="17.38"/>
    <col customWidth="1" min="9" max="9" width="16.25"/>
    <col customWidth="1" min="11" max="11" width="16.25"/>
    <col customWidth="1" min="12" max="12" width="15.25"/>
    <col customWidth="1" min="13" max="13" width="16.13"/>
  </cols>
  <sheetData>
    <row r="1" ht="15.75" customHeight="1">
      <c r="A1" s="209" t="s">
        <v>4943</v>
      </c>
      <c r="C1" s="197" t="s">
        <v>4944</v>
      </c>
      <c r="D1" s="207" t="s">
        <v>4945</v>
      </c>
      <c r="E1" s="209" t="s">
        <v>4946</v>
      </c>
    </row>
    <row r="2" ht="15.75" customHeight="1"/>
    <row r="3" ht="15.75" customHeight="1">
      <c r="A3" s="334" t="s">
        <v>4947</v>
      </c>
      <c r="B3" s="334" t="s">
        <v>4948</v>
      </c>
      <c r="C3" s="334" t="s">
        <v>4949</v>
      </c>
      <c r="D3" s="334" t="s">
        <v>4950</v>
      </c>
      <c r="E3" s="334" t="s">
        <v>4951</v>
      </c>
      <c r="F3" s="334" t="s">
        <v>4952</v>
      </c>
      <c r="G3" s="334" t="s">
        <v>4953</v>
      </c>
      <c r="H3" s="334" t="s">
        <v>4954</v>
      </c>
      <c r="I3" s="334" t="s">
        <v>4955</v>
      </c>
      <c r="J3" s="334" t="s">
        <v>4954</v>
      </c>
      <c r="K3" s="334" t="s">
        <v>4956</v>
      </c>
      <c r="L3" s="334" t="s">
        <v>4957</v>
      </c>
      <c r="M3" s="334" t="s">
        <v>4958</v>
      </c>
    </row>
    <row r="4" ht="15.75" customHeight="1">
      <c r="A4" s="335">
        <v>1.0</v>
      </c>
      <c r="B4" s="336">
        <v>1.0</v>
      </c>
      <c r="C4" s="337">
        <v>1.0</v>
      </c>
      <c r="D4" s="338" t="s">
        <v>4959</v>
      </c>
      <c r="E4" s="339" t="s">
        <v>1751</v>
      </c>
      <c r="F4" s="340" t="s">
        <v>4960</v>
      </c>
      <c r="G4" s="341">
        <v>641256.0</v>
      </c>
      <c r="H4" s="342">
        <v>41.7</v>
      </c>
      <c r="I4" s="341">
        <v>189005.0</v>
      </c>
      <c r="J4" s="342">
        <v>76.2</v>
      </c>
      <c r="K4" s="342">
        <v>29.5</v>
      </c>
      <c r="L4" s="342">
        <v>50.1</v>
      </c>
      <c r="M4" s="343">
        <v>260525.0</v>
      </c>
      <c r="N4" s="344"/>
    </row>
    <row r="5" ht="15.75" customHeight="1">
      <c r="A5" s="335">
        <v>2.0</v>
      </c>
      <c r="B5" s="336">
        <v>2.0</v>
      </c>
      <c r="C5" s="337">
        <v>2.0</v>
      </c>
      <c r="D5" s="345" t="s">
        <v>2098</v>
      </c>
      <c r="E5" s="339" t="s">
        <v>482</v>
      </c>
      <c r="F5" s="340" t="s">
        <v>3256</v>
      </c>
      <c r="G5" s="341">
        <v>374851.6</v>
      </c>
      <c r="H5" s="342">
        <v>6.9</v>
      </c>
      <c r="I5" s="341">
        <v>16201.3</v>
      </c>
      <c r="J5" s="342">
        <v>-21.1</v>
      </c>
      <c r="K5" s="342">
        <v>4.3</v>
      </c>
      <c r="L5" s="342">
        <v>33.2</v>
      </c>
      <c r="M5" s="343">
        <v>22946.2</v>
      </c>
      <c r="O5" s="344"/>
    </row>
    <row r="6" ht="15.75" customHeight="1">
      <c r="A6" s="335">
        <v>3.0</v>
      </c>
      <c r="B6" s="336">
        <v>3.0</v>
      </c>
      <c r="C6" s="337">
        <v>4.0</v>
      </c>
      <c r="D6" s="338" t="s">
        <v>4961</v>
      </c>
      <c r="E6" s="339" t="s">
        <v>1751</v>
      </c>
      <c r="F6" s="340" t="s">
        <v>4960</v>
      </c>
      <c r="G6" s="341">
        <v>245831.8</v>
      </c>
      <c r="H6" s="342">
        <v>28.5</v>
      </c>
      <c r="I6" s="341">
        <v>2503.3</v>
      </c>
      <c r="J6" s="342">
        <v>-23.0</v>
      </c>
      <c r="K6" s="342">
        <v>1.0</v>
      </c>
      <c r="L6" s="342">
        <v>11.1</v>
      </c>
      <c r="M6" s="343">
        <v>7422.4</v>
      </c>
      <c r="O6" s="344"/>
    </row>
    <row r="7" ht="15.75" customHeight="1">
      <c r="A7" s="335">
        <v>4.0</v>
      </c>
      <c r="B7" s="336">
        <v>4.0</v>
      </c>
      <c r="C7" s="337">
        <v>3.0</v>
      </c>
      <c r="D7" s="338" t="s">
        <v>4962</v>
      </c>
      <c r="E7" s="339" t="s">
        <v>1751</v>
      </c>
      <c r="F7" s="340" t="s">
        <v>4963</v>
      </c>
      <c r="G7" s="341">
        <v>226508.0</v>
      </c>
      <c r="H7" s="342">
        <v>-22.8</v>
      </c>
      <c r="I7" s="341">
        <v>96337.0</v>
      </c>
      <c r="J7" s="342">
        <v>-20.6</v>
      </c>
      <c r="K7" s="342">
        <v>42.5</v>
      </c>
      <c r="L7" s="342">
        <v>49.2</v>
      </c>
      <c r="M7" s="343">
        <v>84877.0</v>
      </c>
      <c r="O7" s="344"/>
    </row>
    <row r="8" ht="15.75" customHeight="1">
      <c r="A8" s="335">
        <v>5.0</v>
      </c>
      <c r="B8" s="336">
        <v>5.0</v>
      </c>
      <c r="C8" s="337">
        <v>5.0</v>
      </c>
      <c r="D8" s="338" t="s">
        <v>4964</v>
      </c>
      <c r="E8" s="339" t="s">
        <v>1751</v>
      </c>
      <c r="F8" s="340" t="s">
        <v>4960</v>
      </c>
      <c r="G8" s="341">
        <v>181446.0</v>
      </c>
      <c r="H8" s="342">
        <v>39.4</v>
      </c>
      <c r="I8" s="341">
        <v>1537.0</v>
      </c>
      <c r="J8" s="342">
        <v>-38.4</v>
      </c>
      <c r="K8" s="342">
        <v>0.8</v>
      </c>
      <c r="L8" s="342">
        <v>12.3</v>
      </c>
      <c r="M8" s="343">
        <v>1345.0</v>
      </c>
      <c r="O8" s="344"/>
    </row>
    <row r="9" ht="15.75" customHeight="1">
      <c r="A9" s="335">
        <v>6.0</v>
      </c>
      <c r="B9" s="336">
        <v>6.0</v>
      </c>
      <c r="C9" s="337">
        <v>6.0</v>
      </c>
      <c r="D9" s="338" t="s">
        <v>4965</v>
      </c>
      <c r="E9" s="339" t="s">
        <v>482</v>
      </c>
      <c r="F9" s="340" t="s">
        <v>4960</v>
      </c>
      <c r="G9" s="341">
        <v>162253.0</v>
      </c>
      <c r="H9" s="342">
        <v>43.4</v>
      </c>
      <c r="I9" s="341">
        <v>1176.0</v>
      </c>
      <c r="J9" s="342">
        <v>-81.4</v>
      </c>
      <c r="K9" s="342">
        <v>0.7</v>
      </c>
      <c r="L9" s="342">
        <v>2.9</v>
      </c>
      <c r="M9" s="343">
        <v>6816.0</v>
      </c>
      <c r="O9" s="344"/>
    </row>
    <row r="10" ht="15.75" customHeight="1">
      <c r="A10" s="335">
        <v>7.0</v>
      </c>
      <c r="B10" s="336">
        <v>7.0</v>
      </c>
      <c r="C10" s="337">
        <v>7.0</v>
      </c>
      <c r="D10" s="338" t="s">
        <v>4966</v>
      </c>
      <c r="E10" s="339" t="s">
        <v>482</v>
      </c>
      <c r="F10" s="340" t="s">
        <v>4960</v>
      </c>
      <c r="G10" s="341">
        <v>143634.7</v>
      </c>
      <c r="H10" s="342">
        <v>30.9</v>
      </c>
      <c r="I10" s="341">
        <v>1538.2</v>
      </c>
      <c r="J10" s="342">
        <v>87.9</v>
      </c>
      <c r="K10" s="342">
        <v>1.1</v>
      </c>
      <c r="L10" s="342">
        <v>13.6</v>
      </c>
      <c r="M10" s="343">
        <v>3087.6</v>
      </c>
      <c r="O10" s="344"/>
    </row>
    <row r="11" ht="15.75" customHeight="1">
      <c r="A11" s="335">
        <v>8.0</v>
      </c>
      <c r="B11" s="336">
        <v>8.0</v>
      </c>
      <c r="C11" s="337">
        <v>10.0</v>
      </c>
      <c r="D11" s="345" t="s">
        <v>2210</v>
      </c>
      <c r="E11" s="339" t="s">
        <v>482</v>
      </c>
      <c r="F11" s="340" t="s">
        <v>3256</v>
      </c>
      <c r="G11" s="341">
        <v>130631.7</v>
      </c>
      <c r="H11" s="342">
        <v>53.0</v>
      </c>
      <c r="I11" s="341">
        <v>2763.0</v>
      </c>
      <c r="J11" s="342">
        <v>-58.4</v>
      </c>
      <c r="K11" s="342">
        <v>2.1</v>
      </c>
      <c r="L11" s="342">
        <v>17.3</v>
      </c>
      <c r="M11" s="343">
        <v>6614.2</v>
      </c>
      <c r="O11" s="344"/>
    </row>
    <row r="12" ht="15.75" customHeight="1">
      <c r="A12" s="335">
        <v>9.0</v>
      </c>
      <c r="B12" s="336">
        <v>9.0</v>
      </c>
      <c r="C12" s="337">
        <v>9.0</v>
      </c>
      <c r="D12" s="345" t="s">
        <v>519</v>
      </c>
      <c r="E12" s="339" t="s">
        <v>482</v>
      </c>
      <c r="F12" s="340" t="s">
        <v>87</v>
      </c>
      <c r="G12" s="341">
        <v>123267.5</v>
      </c>
      <c r="H12" s="342">
        <v>21.9</v>
      </c>
      <c r="I12" s="341">
        <v>1140.2</v>
      </c>
      <c r="J12" s="342">
        <v>-32.7</v>
      </c>
      <c r="K12" s="342">
        <v>0.9</v>
      </c>
      <c r="L12" s="342">
        <v>11.5</v>
      </c>
      <c r="M12" s="346">
        <v>559.0</v>
      </c>
      <c r="O12" s="344"/>
    </row>
    <row r="13" ht="15.75" customHeight="1">
      <c r="A13" s="335">
        <v>10.0</v>
      </c>
      <c r="B13" s="336">
        <v>10.0</v>
      </c>
      <c r="C13" s="337">
        <v>12.0</v>
      </c>
      <c r="D13" s="345" t="s">
        <v>2729</v>
      </c>
      <c r="E13" s="339" t="s">
        <v>482</v>
      </c>
      <c r="F13" s="340" t="s">
        <v>3754</v>
      </c>
      <c r="G13" s="341">
        <v>102890.0</v>
      </c>
      <c r="H13" s="342">
        <v>32.3</v>
      </c>
      <c r="I13" s="341">
        <v>1998.0</v>
      </c>
      <c r="J13" s="342">
        <v>-40.6</v>
      </c>
      <c r="K13" s="342">
        <v>1.9</v>
      </c>
      <c r="L13" s="342">
        <v>9.9</v>
      </c>
      <c r="M13" s="343">
        <v>4567.0</v>
      </c>
      <c r="O13" s="344"/>
    </row>
    <row r="14" ht="15.75" customHeight="1">
      <c r="A14" s="335">
        <v>11.0</v>
      </c>
      <c r="B14" s="336">
        <v>11.0</v>
      </c>
      <c r="C14" s="337">
        <v>8.0</v>
      </c>
      <c r="D14" s="338" t="s">
        <v>4967</v>
      </c>
      <c r="E14" s="339" t="s">
        <v>349</v>
      </c>
      <c r="F14" s="340" t="s">
        <v>4968</v>
      </c>
      <c r="G14" s="341">
        <v>96519.3</v>
      </c>
      <c r="H14" s="342">
        <v>-8.6</v>
      </c>
      <c r="I14" s="342">
        <v>-820.4</v>
      </c>
      <c r="J14" s="342">
        <v>-105.9</v>
      </c>
      <c r="K14" s="342">
        <v>-0.8</v>
      </c>
      <c r="L14" s="342">
        <v>-13.3</v>
      </c>
      <c r="M14" s="343">
        <v>3729.9</v>
      </c>
      <c r="O14" s="344"/>
    </row>
    <row r="15" ht="15.75" customHeight="1">
      <c r="A15" s="335">
        <v>12.0</v>
      </c>
      <c r="B15" s="336">
        <v>12.0</v>
      </c>
      <c r="C15" s="337">
        <v>11.0</v>
      </c>
      <c r="D15" s="338" t="s">
        <v>4969</v>
      </c>
      <c r="E15" s="339" t="s">
        <v>482</v>
      </c>
      <c r="F15" s="340" t="s">
        <v>4970</v>
      </c>
      <c r="G15" s="341">
        <v>82412.2</v>
      </c>
      <c r="H15" s="342">
        <v>5.2</v>
      </c>
      <c r="I15" s="341">
        <v>11479.6</v>
      </c>
      <c r="J15" s="342">
        <v>-26.2</v>
      </c>
      <c r="K15" s="342">
        <v>13.9</v>
      </c>
      <c r="L15" s="342">
        <v>25.8</v>
      </c>
      <c r="M15" s="343">
        <v>16353.3</v>
      </c>
      <c r="O15" s="344"/>
    </row>
    <row r="16" ht="15.75" customHeight="1">
      <c r="A16" s="335">
        <v>13.0</v>
      </c>
      <c r="B16" s="336">
        <v>13.0</v>
      </c>
      <c r="C16" s="337">
        <v>14.0</v>
      </c>
      <c r="D16" s="345" t="s">
        <v>1686</v>
      </c>
      <c r="E16" s="339" t="s">
        <v>482</v>
      </c>
      <c r="F16" s="340" t="s">
        <v>3256</v>
      </c>
      <c r="G16" s="341">
        <v>79708.8</v>
      </c>
      <c r="H16" s="342">
        <v>9.4</v>
      </c>
      <c r="I16" s="341">
        <v>14891.3</v>
      </c>
      <c r="J16" s="342">
        <v>13.5</v>
      </c>
      <c r="K16" s="342">
        <v>18.7</v>
      </c>
      <c r="L16" s="342">
        <v>17.8</v>
      </c>
      <c r="M16" s="343">
        <v>14695.1</v>
      </c>
      <c r="O16" s="344"/>
    </row>
    <row r="17" ht="15.75" customHeight="1">
      <c r="A17" s="335">
        <v>14.0</v>
      </c>
      <c r="B17" s="336">
        <v>14.0</v>
      </c>
      <c r="C17" s="337">
        <v>16.0</v>
      </c>
      <c r="D17" s="345" t="s">
        <v>4971</v>
      </c>
      <c r="E17" s="339" t="s">
        <v>1075</v>
      </c>
      <c r="F17" s="340" t="s">
        <v>87</v>
      </c>
      <c r="G17" s="341">
        <v>78750.5</v>
      </c>
      <c r="H17" s="342">
        <v>15.2</v>
      </c>
      <c r="I17" s="342">
        <v>966.9</v>
      </c>
      <c r="J17" s="342">
        <v>18.9</v>
      </c>
      <c r="K17" s="342">
        <v>1.2</v>
      </c>
      <c r="L17" s="342">
        <v>10.6</v>
      </c>
      <c r="M17" s="346">
        <v>917.3</v>
      </c>
      <c r="O17" s="344"/>
    </row>
    <row r="18" ht="15.75" customHeight="1">
      <c r="A18" s="335">
        <v>15.0</v>
      </c>
      <c r="B18" s="336">
        <v>15.0</v>
      </c>
      <c r="C18" s="337">
        <v>15.0</v>
      </c>
      <c r="D18" s="338" t="s">
        <v>4972</v>
      </c>
      <c r="E18" s="339" t="s">
        <v>332</v>
      </c>
      <c r="F18" s="340" t="s">
        <v>4970</v>
      </c>
      <c r="G18" s="341">
        <v>71654.9</v>
      </c>
      <c r="H18" s="342">
        <v>3.8</v>
      </c>
      <c r="I18" s="341">
        <v>9119.2</v>
      </c>
      <c r="J18" s="342">
        <v>-33.4</v>
      </c>
      <c r="K18" s="342">
        <v>12.7</v>
      </c>
      <c r="L18" s="342">
        <v>42.2</v>
      </c>
      <c r="M18" s="343">
        <v>11989.2</v>
      </c>
      <c r="O18" s="344"/>
    </row>
    <row r="19" ht="15.75" customHeight="1">
      <c r="A19" s="335">
        <v>16.0</v>
      </c>
      <c r="B19" s="336">
        <v>16.0</v>
      </c>
      <c r="C19" s="337">
        <v>13.0</v>
      </c>
      <c r="D19" s="338" t="s">
        <v>4973</v>
      </c>
      <c r="E19" s="339" t="s">
        <v>482</v>
      </c>
      <c r="F19" s="340" t="s">
        <v>4974</v>
      </c>
      <c r="G19" s="341">
        <v>70143.8</v>
      </c>
      <c r="H19" s="342">
        <v>-6.3</v>
      </c>
      <c r="I19" s="342">
        <v>679.4</v>
      </c>
      <c r="J19" s="342">
        <v>-13.0</v>
      </c>
      <c r="K19" s="342">
        <v>1.0</v>
      </c>
      <c r="L19" s="342">
        <v>33.9</v>
      </c>
      <c r="M19" s="343">
        <v>1190.7</v>
      </c>
      <c r="O19" s="344"/>
    </row>
    <row r="20" ht="15.75" customHeight="1">
      <c r="A20" s="335">
        <v>17.0</v>
      </c>
      <c r="B20" s="336">
        <v>17.0</v>
      </c>
      <c r="C20" s="337">
        <v>19.0</v>
      </c>
      <c r="D20" s="338" t="s">
        <v>4975</v>
      </c>
      <c r="E20" s="339" t="s">
        <v>332</v>
      </c>
      <c r="F20" s="340" t="s">
        <v>4976</v>
      </c>
      <c r="G20" s="341">
        <v>69225.2</v>
      </c>
      <c r="H20" s="342">
        <v>26.4</v>
      </c>
      <c r="I20" s="342" t="s">
        <v>3537</v>
      </c>
      <c r="J20" s="342" t="s">
        <v>3537</v>
      </c>
      <c r="K20" s="342" t="s">
        <v>3537</v>
      </c>
      <c r="L20" s="342" t="s">
        <v>3537</v>
      </c>
      <c r="M20" s="346" t="s">
        <v>3537</v>
      </c>
      <c r="O20" s="344"/>
    </row>
    <row r="21" ht="15.75" customHeight="1">
      <c r="A21" s="335">
        <v>18.0</v>
      </c>
      <c r="B21" s="336">
        <v>18.0</v>
      </c>
      <c r="C21" s="337" t="s">
        <v>3537</v>
      </c>
      <c r="D21" s="345" t="s">
        <v>4977</v>
      </c>
      <c r="E21" s="339" t="s">
        <v>482</v>
      </c>
      <c r="F21" s="340" t="s">
        <v>87</v>
      </c>
      <c r="G21" s="341">
        <v>62071.0</v>
      </c>
      <c r="H21" s="342">
        <v>27.7</v>
      </c>
      <c r="I21" s="342" t="s">
        <v>3537</v>
      </c>
      <c r="J21" s="342" t="s">
        <v>3537</v>
      </c>
      <c r="K21" s="342" t="s">
        <v>3537</v>
      </c>
      <c r="L21" s="342" t="s">
        <v>3537</v>
      </c>
      <c r="M21" s="346" t="s">
        <v>3537</v>
      </c>
      <c r="O21" s="344"/>
    </row>
    <row r="22" ht="15.75" customHeight="1">
      <c r="A22" s="335">
        <v>19.0</v>
      </c>
      <c r="B22" s="336">
        <v>19.0</v>
      </c>
      <c r="C22" s="337">
        <v>21.0</v>
      </c>
      <c r="D22" s="338" t="s">
        <v>4978</v>
      </c>
      <c r="E22" s="339" t="s">
        <v>1751</v>
      </c>
      <c r="F22" s="340" t="s">
        <v>4960</v>
      </c>
      <c r="G22" s="341">
        <v>61280.0</v>
      </c>
      <c r="H22" s="342">
        <v>26.8</v>
      </c>
      <c r="I22" s="341">
        <v>14142.0</v>
      </c>
      <c r="J22" s="342">
        <v>145.9</v>
      </c>
      <c r="K22" s="342">
        <v>23.1</v>
      </c>
      <c r="L22" s="342">
        <v>53.6</v>
      </c>
      <c r="M22" s="343">
        <v>22239.0</v>
      </c>
      <c r="O22" s="344"/>
    </row>
    <row r="23" ht="15.75" customHeight="1">
      <c r="A23" s="335">
        <v>20.0</v>
      </c>
      <c r="B23" s="336">
        <v>20.0</v>
      </c>
      <c r="C23" s="337">
        <v>92.0</v>
      </c>
      <c r="D23" s="338" t="s">
        <v>4979</v>
      </c>
      <c r="E23" s="339" t="s">
        <v>349</v>
      </c>
      <c r="F23" s="340" t="s">
        <v>4960</v>
      </c>
      <c r="G23" s="341">
        <v>57228.2</v>
      </c>
      <c r="H23" s="342" t="s">
        <v>3537</v>
      </c>
      <c r="I23" s="342">
        <v>-555.9</v>
      </c>
      <c r="J23" s="342" t="s">
        <v>3537</v>
      </c>
      <c r="K23" s="342">
        <v>-1.0</v>
      </c>
      <c r="L23" s="342">
        <v>-6.3</v>
      </c>
      <c r="M23" s="346">
        <v>827.0</v>
      </c>
      <c r="O23" s="344"/>
    </row>
    <row r="24" ht="15.75" customHeight="1">
      <c r="A24" s="335">
        <v>21.0</v>
      </c>
      <c r="B24" s="336">
        <v>21.0</v>
      </c>
      <c r="C24" s="337">
        <v>25.0</v>
      </c>
      <c r="D24" s="345" t="s">
        <v>2488</v>
      </c>
      <c r="E24" s="339" t="s">
        <v>1751</v>
      </c>
      <c r="F24" s="340" t="s">
        <v>3754</v>
      </c>
      <c r="G24" s="341">
        <v>54520.0</v>
      </c>
      <c r="H24" s="342">
        <v>30.1</v>
      </c>
      <c r="I24" s="341">
        <v>1220.0</v>
      </c>
      <c r="J24" s="342">
        <v>-24.2</v>
      </c>
      <c r="K24" s="342">
        <v>2.2</v>
      </c>
      <c r="L24" s="342">
        <v>36.6</v>
      </c>
      <c r="M24" s="343">
        <v>2806.0</v>
      </c>
      <c r="O24" s="344"/>
    </row>
    <row r="25" ht="15.75" customHeight="1">
      <c r="A25" s="335">
        <v>22.0</v>
      </c>
      <c r="B25" s="336">
        <v>22.0</v>
      </c>
      <c r="C25" s="337">
        <v>20.0</v>
      </c>
      <c r="D25" s="345" t="s">
        <v>1798</v>
      </c>
      <c r="E25" s="339" t="s">
        <v>1075</v>
      </c>
      <c r="F25" s="340" t="s">
        <v>3256</v>
      </c>
      <c r="G25" s="341">
        <v>53805.0</v>
      </c>
      <c r="H25" s="342">
        <v>11.3</v>
      </c>
      <c r="I25" s="341">
        <v>-3141.6</v>
      </c>
      <c r="J25" s="342">
        <v>-818.3</v>
      </c>
      <c r="K25" s="342">
        <v>-5.8</v>
      </c>
      <c r="L25" s="342">
        <v>-30.4</v>
      </c>
      <c r="M25" s="346">
        <v>-324.2</v>
      </c>
      <c r="O25" s="344"/>
    </row>
    <row r="26" ht="15.75" customHeight="1">
      <c r="A26" s="335">
        <v>23.0</v>
      </c>
      <c r="B26" s="336">
        <v>23.0</v>
      </c>
      <c r="C26" s="337">
        <v>26.0</v>
      </c>
      <c r="D26" s="338" t="s">
        <v>4980</v>
      </c>
      <c r="E26" s="339" t="s">
        <v>349</v>
      </c>
      <c r="F26" s="340" t="s">
        <v>4981</v>
      </c>
      <c r="G26" s="341">
        <v>49830.9</v>
      </c>
      <c r="H26" s="342">
        <v>21.6</v>
      </c>
      <c r="I26" s="341">
        <v>23394.9</v>
      </c>
      <c r="J26" s="342">
        <v>170.9</v>
      </c>
      <c r="K26" s="342">
        <v>46.9</v>
      </c>
      <c r="L26" s="342">
        <v>96.8</v>
      </c>
      <c r="M26" s="343">
        <v>20626.0</v>
      </c>
      <c r="O26" s="344"/>
    </row>
    <row r="27" ht="15.75" customHeight="1">
      <c r="A27" s="335">
        <v>24.0</v>
      </c>
      <c r="B27" s="336">
        <v>24.0</v>
      </c>
      <c r="C27" s="337">
        <v>18.0</v>
      </c>
      <c r="D27" s="338" t="s">
        <v>4982</v>
      </c>
      <c r="E27" s="339" t="s">
        <v>1751</v>
      </c>
      <c r="F27" s="340" t="s">
        <v>4983</v>
      </c>
      <c r="G27" s="341">
        <v>49520.6</v>
      </c>
      <c r="H27" s="342">
        <v>-3.1</v>
      </c>
      <c r="I27" s="341">
        <v>-1067.5</v>
      </c>
      <c r="J27" s="342">
        <v>-144.3</v>
      </c>
      <c r="K27" s="342">
        <v>-2.2</v>
      </c>
      <c r="L27" s="342">
        <v>-2.5</v>
      </c>
      <c r="M27" s="343">
        <v>3114.3</v>
      </c>
      <c r="O27" s="344"/>
    </row>
    <row r="28" ht="15.75" customHeight="1">
      <c r="A28" s="335">
        <v>25.0</v>
      </c>
      <c r="B28" s="336">
        <v>25.0</v>
      </c>
      <c r="C28" s="337">
        <v>23.0</v>
      </c>
      <c r="D28" s="338" t="s">
        <v>4984</v>
      </c>
      <c r="E28" s="339" t="s">
        <v>482</v>
      </c>
      <c r="F28" s="340" t="s">
        <v>4985</v>
      </c>
      <c r="G28" s="341">
        <v>48041.2</v>
      </c>
      <c r="H28" s="342">
        <v>9.1</v>
      </c>
      <c r="I28" s="341">
        <v>4057.9</v>
      </c>
      <c r="J28" s="342">
        <v>-34.9</v>
      </c>
      <c r="K28" s="342">
        <v>8.4</v>
      </c>
      <c r="L28" s="342">
        <v>5.9</v>
      </c>
      <c r="M28" s="343">
        <v>5379.1</v>
      </c>
      <c r="O28" s="344"/>
    </row>
    <row r="29" ht="15.75" customHeight="1">
      <c r="A29" s="335">
        <v>26.0</v>
      </c>
      <c r="B29" s="336">
        <v>26.0</v>
      </c>
      <c r="C29" s="337">
        <v>31.0</v>
      </c>
      <c r="D29" s="345" t="s">
        <v>260</v>
      </c>
      <c r="E29" s="339" t="s">
        <v>274</v>
      </c>
      <c r="F29" s="340" t="s">
        <v>87</v>
      </c>
      <c r="G29" s="341">
        <v>47369.6</v>
      </c>
      <c r="H29" s="342">
        <v>22.3</v>
      </c>
      <c r="I29" s="341">
        <v>1790.7</v>
      </c>
      <c r="J29" s="342">
        <v>16.3</v>
      </c>
      <c r="K29" s="342">
        <v>3.8</v>
      </c>
      <c r="L29" s="342">
        <v>16.4</v>
      </c>
      <c r="M29" s="343">
        <v>2187.3</v>
      </c>
      <c r="O29" s="344"/>
    </row>
    <row r="30" ht="15.75" customHeight="1">
      <c r="A30" s="335">
        <v>27.0</v>
      </c>
      <c r="B30" s="336">
        <v>27.0</v>
      </c>
      <c r="C30" s="337">
        <v>30.0</v>
      </c>
      <c r="D30" s="345" t="s">
        <v>4986</v>
      </c>
      <c r="E30" s="339" t="s">
        <v>482</v>
      </c>
      <c r="F30" s="340" t="s">
        <v>87</v>
      </c>
      <c r="G30" s="341">
        <v>45521.0</v>
      </c>
      <c r="H30" s="342">
        <v>17.1</v>
      </c>
      <c r="I30" s="342">
        <v>50.1</v>
      </c>
      <c r="J30" s="342">
        <v>141.7</v>
      </c>
      <c r="K30" s="342">
        <v>0.1</v>
      </c>
      <c r="L30" s="342">
        <v>1.7</v>
      </c>
      <c r="M30" s="346">
        <v>-57.0</v>
      </c>
      <c r="O30" s="344"/>
    </row>
    <row r="31" ht="15.75" customHeight="1">
      <c r="A31" s="335">
        <v>28.0</v>
      </c>
      <c r="B31" s="336">
        <v>28.0</v>
      </c>
      <c r="C31" s="337">
        <v>22.0</v>
      </c>
      <c r="D31" s="338" t="s">
        <v>4987</v>
      </c>
      <c r="E31" s="339" t="s">
        <v>482</v>
      </c>
      <c r="F31" s="340" t="s">
        <v>4970</v>
      </c>
      <c r="G31" s="341">
        <v>44362.1</v>
      </c>
      <c r="H31" s="342">
        <v>-7.4</v>
      </c>
      <c r="I31" s="341">
        <v>2167.7</v>
      </c>
      <c r="J31" s="342">
        <v>-84.1</v>
      </c>
      <c r="K31" s="342">
        <v>4.9</v>
      </c>
      <c r="L31" s="342">
        <v>9.6</v>
      </c>
      <c r="M31" s="343">
        <v>6642.6</v>
      </c>
      <c r="O31" s="344"/>
    </row>
    <row r="32" ht="15.75" customHeight="1">
      <c r="A32" s="335">
        <v>29.0</v>
      </c>
      <c r="B32" s="336">
        <v>29.0</v>
      </c>
      <c r="C32" s="337">
        <v>38.0</v>
      </c>
      <c r="D32" s="338" t="s">
        <v>4988</v>
      </c>
      <c r="E32" s="339" t="s">
        <v>482</v>
      </c>
      <c r="F32" s="340" t="s">
        <v>4968</v>
      </c>
      <c r="G32" s="341">
        <v>42802.0</v>
      </c>
      <c r="H32" s="342">
        <v>55.9</v>
      </c>
      <c r="I32" s="342" t="s">
        <v>3537</v>
      </c>
      <c r="J32" s="342" t="s">
        <v>3537</v>
      </c>
      <c r="K32" s="342" t="s">
        <v>3537</v>
      </c>
      <c r="L32" s="342" t="s">
        <v>3537</v>
      </c>
      <c r="M32" s="346" t="s">
        <v>3537</v>
      </c>
      <c r="O32" s="344"/>
    </row>
    <row r="33" ht="15.75" customHeight="1">
      <c r="A33" s="335">
        <v>30.0</v>
      </c>
      <c r="B33" s="336">
        <v>30.0</v>
      </c>
      <c r="C33" s="337">
        <v>24.0</v>
      </c>
      <c r="D33" s="338" t="s">
        <v>4989</v>
      </c>
      <c r="E33" s="339" t="s">
        <v>1751</v>
      </c>
      <c r="F33" s="340" t="s">
        <v>4983</v>
      </c>
      <c r="G33" s="341">
        <v>42787.0</v>
      </c>
      <c r="H33" s="342">
        <v>-0.9</v>
      </c>
      <c r="I33" s="341">
        <v>4787.0</v>
      </c>
      <c r="J33" s="342">
        <v>17.7</v>
      </c>
      <c r="K33" s="342">
        <v>11.2</v>
      </c>
      <c r="L33" s="342">
        <v>18.7</v>
      </c>
      <c r="M33" s="343">
        <v>9032.0</v>
      </c>
      <c r="O33" s="344"/>
    </row>
    <row r="34" ht="15.75" customHeight="1">
      <c r="A34" s="335">
        <v>31.0</v>
      </c>
      <c r="B34" s="336">
        <v>31.0</v>
      </c>
      <c r="C34" s="337">
        <v>28.0</v>
      </c>
      <c r="D34" s="338" t="s">
        <v>4990</v>
      </c>
      <c r="E34" s="339" t="s">
        <v>482</v>
      </c>
      <c r="F34" s="340" t="s">
        <v>4985</v>
      </c>
      <c r="G34" s="341">
        <v>42672.8</v>
      </c>
      <c r="H34" s="342">
        <v>7.4</v>
      </c>
      <c r="I34" s="341">
        <v>2586.0</v>
      </c>
      <c r="J34" s="342">
        <v>-25.1</v>
      </c>
      <c r="K34" s="342">
        <v>6.1</v>
      </c>
      <c r="L34" s="342">
        <v>17.1</v>
      </c>
      <c r="M34" s="343">
        <v>5307.9</v>
      </c>
      <c r="O34" s="344"/>
    </row>
    <row r="35" ht="15.75" customHeight="1">
      <c r="A35" s="335">
        <v>32.0</v>
      </c>
      <c r="B35" s="336">
        <v>32.0</v>
      </c>
      <c r="C35" s="337">
        <v>29.0</v>
      </c>
      <c r="D35" s="338" t="s">
        <v>4991</v>
      </c>
      <c r="E35" s="339" t="s">
        <v>482</v>
      </c>
      <c r="F35" s="340" t="s">
        <v>4983</v>
      </c>
      <c r="G35" s="341">
        <v>39354.2</v>
      </c>
      <c r="H35" s="342">
        <v>0.4</v>
      </c>
      <c r="I35" s="341">
        <v>5218.8</v>
      </c>
      <c r="J35" s="342">
        <v>7.5</v>
      </c>
      <c r="K35" s="342">
        <v>13.3</v>
      </c>
      <c r="L35" s="342">
        <v>30.4</v>
      </c>
      <c r="M35" s="343">
        <v>9562.4</v>
      </c>
      <c r="O35" s="344"/>
    </row>
    <row r="36" ht="15.75" customHeight="1">
      <c r="A36" s="335">
        <v>33.0</v>
      </c>
      <c r="B36" s="336">
        <v>33.0</v>
      </c>
      <c r="C36" s="337">
        <v>33.0</v>
      </c>
      <c r="D36" s="345" t="s">
        <v>2913</v>
      </c>
      <c r="E36" s="339" t="s">
        <v>482</v>
      </c>
      <c r="F36" s="340" t="s">
        <v>3754</v>
      </c>
      <c r="G36" s="341">
        <v>37299.0</v>
      </c>
      <c r="H36" s="342">
        <v>5.7</v>
      </c>
      <c r="I36" s="342">
        <v>-499.0</v>
      </c>
      <c r="J36" s="342">
        <v>-184.5</v>
      </c>
      <c r="K36" s="342">
        <v>-1.3</v>
      </c>
      <c r="L36" s="342">
        <v>-4.6</v>
      </c>
      <c r="M36" s="346">
        <v>943.6</v>
      </c>
      <c r="O36" s="344"/>
    </row>
    <row r="37" ht="15.75" customHeight="1">
      <c r="A37" s="335">
        <v>34.0</v>
      </c>
      <c r="B37" s="336">
        <v>34.0</v>
      </c>
      <c r="C37" s="337">
        <v>27.0</v>
      </c>
      <c r="D37" s="338" t="s">
        <v>4992</v>
      </c>
      <c r="E37" s="339" t="s">
        <v>482</v>
      </c>
      <c r="F37" s="340" t="s">
        <v>4993</v>
      </c>
      <c r="G37" s="341">
        <v>36349.6</v>
      </c>
      <c r="H37" s="342">
        <v>-9.5</v>
      </c>
      <c r="I37" s="341">
        <v>-2858.6</v>
      </c>
      <c r="J37" s="342">
        <v>-374.7</v>
      </c>
      <c r="K37" s="342">
        <v>-7.9</v>
      </c>
      <c r="L37" s="342">
        <v>-11.2</v>
      </c>
      <c r="M37" s="346">
        <v>-765.6</v>
      </c>
      <c r="O37" s="344"/>
    </row>
    <row r="38" ht="15.75" customHeight="1">
      <c r="A38" s="335">
        <v>35.0</v>
      </c>
      <c r="B38" s="336">
        <v>35.0</v>
      </c>
      <c r="C38" s="337">
        <v>35.0</v>
      </c>
      <c r="D38" s="338" t="s">
        <v>4994</v>
      </c>
      <c r="E38" s="339" t="s">
        <v>332</v>
      </c>
      <c r="F38" s="340" t="s">
        <v>4983</v>
      </c>
      <c r="G38" s="341">
        <v>34462.8</v>
      </c>
      <c r="H38" s="342">
        <v>2.4</v>
      </c>
      <c r="I38" s="341">
        <v>4094.4</v>
      </c>
      <c r="J38" s="342">
        <v>9.1</v>
      </c>
      <c r="K38" s="342">
        <v>11.9</v>
      </c>
      <c r="L38" s="342">
        <v>19.9</v>
      </c>
      <c r="M38" s="343">
        <v>4733.9</v>
      </c>
      <c r="O38" s="344"/>
    </row>
    <row r="39" ht="15.75" customHeight="1">
      <c r="A39" s="335">
        <v>36.0</v>
      </c>
      <c r="B39" s="336">
        <v>36.0</v>
      </c>
      <c r="C39" s="337">
        <v>32.0</v>
      </c>
      <c r="D39" s="338" t="s">
        <v>4995</v>
      </c>
      <c r="E39" s="339" t="s">
        <v>1751</v>
      </c>
      <c r="F39" s="340" t="s">
        <v>4983</v>
      </c>
      <c r="G39" s="341">
        <v>34074.2</v>
      </c>
      <c r="H39" s="342">
        <v>-1.6</v>
      </c>
      <c r="I39" s="341">
        <v>3638.4</v>
      </c>
      <c r="J39" s="342">
        <v>-36.3</v>
      </c>
      <c r="K39" s="342">
        <v>10.7</v>
      </c>
      <c r="L39" s="342">
        <v>3.9</v>
      </c>
      <c r="M39" s="343">
        <v>4798.9</v>
      </c>
      <c r="O39" s="344"/>
    </row>
    <row r="40" ht="15.75" customHeight="1">
      <c r="A40" s="335">
        <v>37.0</v>
      </c>
      <c r="B40" s="336">
        <v>37.0</v>
      </c>
      <c r="C40" s="337">
        <v>34.0</v>
      </c>
      <c r="D40" s="338" t="s">
        <v>4996</v>
      </c>
      <c r="E40" s="339" t="s">
        <v>332</v>
      </c>
      <c r="F40" s="340" t="s">
        <v>4970</v>
      </c>
      <c r="G40" s="341">
        <v>32470.5</v>
      </c>
      <c r="H40" s="342">
        <v>-3.8</v>
      </c>
      <c r="I40" s="341">
        <v>2092.9</v>
      </c>
      <c r="J40" s="342">
        <v>-79.2</v>
      </c>
      <c r="K40" s="342">
        <v>6.4</v>
      </c>
      <c r="L40" s="342">
        <v>8.3</v>
      </c>
      <c r="M40" s="343">
        <v>3631.3</v>
      </c>
      <c r="O40" s="344"/>
    </row>
    <row r="41" ht="15.75" customHeight="1">
      <c r="A41" s="335">
        <v>38.0</v>
      </c>
      <c r="B41" s="336">
        <v>38.0</v>
      </c>
      <c r="C41" s="337">
        <v>39.0</v>
      </c>
      <c r="D41" s="345" t="s">
        <v>2246</v>
      </c>
      <c r="E41" s="339" t="s">
        <v>482</v>
      </c>
      <c r="F41" s="340" t="s">
        <v>3256</v>
      </c>
      <c r="G41" s="341">
        <v>30977.8</v>
      </c>
      <c r="H41" s="342">
        <v>14.9</v>
      </c>
      <c r="I41" s="342">
        <v>655.1</v>
      </c>
      <c r="J41" s="342">
        <v>9.4</v>
      </c>
      <c r="K41" s="342">
        <v>2.1</v>
      </c>
      <c r="L41" s="342">
        <v>76.3</v>
      </c>
      <c r="M41" s="343">
        <v>2377.6</v>
      </c>
      <c r="O41" s="344"/>
    </row>
    <row r="42" ht="15.75" customHeight="1">
      <c r="A42" s="335">
        <v>39.0</v>
      </c>
      <c r="B42" s="336">
        <v>39.0</v>
      </c>
      <c r="C42" s="337">
        <v>36.0</v>
      </c>
      <c r="D42" s="345" t="s">
        <v>4997</v>
      </c>
      <c r="E42" s="339" t="s">
        <v>482</v>
      </c>
      <c r="F42" s="340" t="s">
        <v>3754</v>
      </c>
      <c r="G42" s="341">
        <v>30898.0</v>
      </c>
      <c r="H42" s="342">
        <v>0.0</v>
      </c>
      <c r="I42" s="342">
        <v>-342.0</v>
      </c>
      <c r="J42" s="342">
        <v>-15.2</v>
      </c>
      <c r="K42" s="342">
        <v>-1.1</v>
      </c>
      <c r="L42" s="342">
        <v>-6.3</v>
      </c>
      <c r="M42" s="343">
        <v>1037.0</v>
      </c>
      <c r="O42" s="344"/>
    </row>
    <row r="43" ht="15.75" customHeight="1">
      <c r="A43" s="335">
        <v>40.0</v>
      </c>
      <c r="B43" s="336">
        <v>40.0</v>
      </c>
      <c r="C43" s="337">
        <v>37.0</v>
      </c>
      <c r="D43" s="338" t="s">
        <v>4998</v>
      </c>
      <c r="E43" s="339" t="s">
        <v>1708</v>
      </c>
      <c r="F43" s="340" t="s">
        <v>4999</v>
      </c>
      <c r="G43" s="341">
        <v>29992.0</v>
      </c>
      <c r="H43" s="342">
        <v>5.8</v>
      </c>
      <c r="I43" s="342" t="s">
        <v>3537</v>
      </c>
      <c r="J43" s="342" t="s">
        <v>3537</v>
      </c>
      <c r="K43" s="342" t="s">
        <v>3537</v>
      </c>
      <c r="L43" s="342" t="s">
        <v>3537</v>
      </c>
      <c r="M43" s="346" t="s">
        <v>3537</v>
      </c>
      <c r="O43" s="344"/>
    </row>
    <row r="44" ht="15.75" customHeight="1">
      <c r="A44" s="335">
        <v>41.0</v>
      </c>
      <c r="B44" s="336">
        <v>41.0</v>
      </c>
      <c r="C44" s="337">
        <v>46.0</v>
      </c>
      <c r="D44" s="338" t="s">
        <v>5000</v>
      </c>
      <c r="E44" s="339" t="s">
        <v>1075</v>
      </c>
      <c r="F44" s="340" t="s">
        <v>5001</v>
      </c>
      <c r="G44" s="341">
        <v>29904.7</v>
      </c>
      <c r="H44" s="342">
        <v>26.9</v>
      </c>
      <c r="I44" s="341">
        <v>4272.9</v>
      </c>
      <c r="J44" s="342">
        <v>16.8</v>
      </c>
      <c r="K44" s="342">
        <v>14.3</v>
      </c>
      <c r="L44" s="342">
        <v>29.2</v>
      </c>
      <c r="M44" s="343">
        <v>4904.2</v>
      </c>
      <c r="O44" s="344"/>
    </row>
    <row r="45" ht="15.75" customHeight="1">
      <c r="A45" s="335">
        <v>42.0</v>
      </c>
      <c r="B45" s="336">
        <v>42.0</v>
      </c>
      <c r="C45" s="337">
        <v>45.0</v>
      </c>
      <c r="D45" s="338" t="s">
        <v>5002</v>
      </c>
      <c r="E45" s="339" t="s">
        <v>98</v>
      </c>
      <c r="F45" s="340" t="s">
        <v>4968</v>
      </c>
      <c r="G45" s="341">
        <v>29780.7</v>
      </c>
      <c r="H45" s="342">
        <v>24.8</v>
      </c>
      <c r="I45" s="342">
        <v>124.5</v>
      </c>
      <c r="J45" s="342">
        <v>104.9</v>
      </c>
      <c r="K45" s="342">
        <v>0.4</v>
      </c>
      <c r="L45" s="342">
        <v>5.3</v>
      </c>
      <c r="M45" s="346">
        <v>311.1</v>
      </c>
      <c r="O45" s="344"/>
    </row>
    <row r="46" ht="15.75" customHeight="1">
      <c r="A46" s="335">
        <v>43.0</v>
      </c>
      <c r="B46" s="336">
        <v>43.0</v>
      </c>
      <c r="C46" s="337">
        <v>52.0</v>
      </c>
      <c r="D46" s="345" t="s">
        <v>3021</v>
      </c>
      <c r="E46" s="339" t="s">
        <v>482</v>
      </c>
      <c r="F46" s="340" t="s">
        <v>3754</v>
      </c>
      <c r="G46" s="341">
        <v>29264.0</v>
      </c>
      <c r="H46" s="342">
        <v>38.7</v>
      </c>
      <c r="I46" s="342" t="s">
        <v>3537</v>
      </c>
      <c r="J46" s="342" t="s">
        <v>3537</v>
      </c>
      <c r="K46" s="342" t="s">
        <v>3537</v>
      </c>
      <c r="L46" s="342" t="s">
        <v>3537</v>
      </c>
      <c r="M46" s="346" t="s">
        <v>3537</v>
      </c>
      <c r="O46" s="344"/>
    </row>
    <row r="47" ht="15.75" customHeight="1">
      <c r="A47" s="335">
        <v>44.0</v>
      </c>
      <c r="B47" s="336">
        <v>44.0</v>
      </c>
      <c r="C47" s="337">
        <v>43.0</v>
      </c>
      <c r="D47" s="345" t="s">
        <v>3046</v>
      </c>
      <c r="E47" s="339" t="s">
        <v>482</v>
      </c>
      <c r="F47" s="340" t="s">
        <v>3754</v>
      </c>
      <c r="G47" s="341">
        <v>29067.4</v>
      </c>
      <c r="H47" s="342">
        <v>20.5</v>
      </c>
      <c r="I47" s="341">
        <v>1015.0</v>
      </c>
      <c r="J47" s="342">
        <v>32.8</v>
      </c>
      <c r="K47" s="342">
        <v>3.5</v>
      </c>
      <c r="L47" s="342">
        <v>20.1</v>
      </c>
      <c r="M47" s="343">
        <v>1743.9</v>
      </c>
      <c r="O47" s="344"/>
    </row>
    <row r="48" ht="15.75" customHeight="1">
      <c r="A48" s="335">
        <v>45.0</v>
      </c>
      <c r="B48" s="336">
        <v>45.0</v>
      </c>
      <c r="C48" s="337">
        <v>41.0</v>
      </c>
      <c r="D48" s="338" t="s">
        <v>5003</v>
      </c>
      <c r="E48" s="339" t="s">
        <v>482</v>
      </c>
      <c r="F48" s="340" t="s">
        <v>4976</v>
      </c>
      <c r="G48" s="341">
        <v>28201.0</v>
      </c>
      <c r="H48" s="342">
        <v>9.5</v>
      </c>
      <c r="I48" s="342" t="s">
        <v>3537</v>
      </c>
      <c r="J48" s="342" t="s">
        <v>3537</v>
      </c>
      <c r="K48" s="342" t="s">
        <v>3537</v>
      </c>
      <c r="L48" s="342" t="s">
        <v>3537</v>
      </c>
      <c r="M48" s="346" t="s">
        <v>3537</v>
      </c>
      <c r="O48" s="344"/>
    </row>
    <row r="49" ht="15.75" customHeight="1">
      <c r="A49" s="335">
        <v>46.0</v>
      </c>
      <c r="B49" s="336">
        <v>46.0</v>
      </c>
      <c r="C49" s="337" t="s">
        <v>3537</v>
      </c>
      <c r="D49" s="338" t="s">
        <v>5004</v>
      </c>
      <c r="E49" s="339" t="s">
        <v>482</v>
      </c>
      <c r="F49" s="340" t="s">
        <v>4968</v>
      </c>
      <c r="G49" s="341">
        <v>28153.9</v>
      </c>
      <c r="H49" s="342">
        <v>45.2</v>
      </c>
      <c r="I49" s="341">
        <v>1652.7</v>
      </c>
      <c r="J49" s="342">
        <v>74.1</v>
      </c>
      <c r="K49" s="342">
        <v>5.9</v>
      </c>
      <c r="L49" s="342">
        <v>18.7</v>
      </c>
      <c r="M49" s="343">
        <v>2538.5</v>
      </c>
      <c r="O49" s="344"/>
    </row>
    <row r="50" ht="15.75" customHeight="1">
      <c r="A50" s="335">
        <v>47.0</v>
      </c>
      <c r="B50" s="336">
        <v>47.0</v>
      </c>
      <c r="C50" s="337">
        <v>42.0</v>
      </c>
      <c r="D50" s="338" t="s">
        <v>5005</v>
      </c>
      <c r="E50" s="339" t="s">
        <v>367</v>
      </c>
      <c r="F50" s="340" t="s">
        <v>4983</v>
      </c>
      <c r="G50" s="341">
        <v>27132.5</v>
      </c>
      <c r="H50" s="342">
        <v>11.9</v>
      </c>
      <c r="I50" s="341">
        <v>1922.0</v>
      </c>
      <c r="J50" s="342">
        <v>-55.3</v>
      </c>
      <c r="K50" s="342">
        <v>7.1</v>
      </c>
      <c r="L50" s="342">
        <v>11.6</v>
      </c>
      <c r="M50" s="343">
        <v>5645.9</v>
      </c>
      <c r="O50" s="344"/>
    </row>
    <row r="51" ht="15.75" customHeight="1">
      <c r="A51" s="335">
        <v>48.0</v>
      </c>
      <c r="B51" s="336">
        <v>48.0</v>
      </c>
      <c r="C51" s="337">
        <v>40.0</v>
      </c>
      <c r="D51" s="338" t="s">
        <v>5006</v>
      </c>
      <c r="E51" s="339" t="s">
        <v>332</v>
      </c>
      <c r="F51" s="340" t="s">
        <v>4983</v>
      </c>
      <c r="G51" s="341">
        <v>26503.1</v>
      </c>
      <c r="H51" s="342">
        <v>0.1</v>
      </c>
      <c r="I51" s="341">
        <v>2428.0</v>
      </c>
      <c r="J51" s="342">
        <v>-13.7</v>
      </c>
      <c r="K51" s="342">
        <v>9.2</v>
      </c>
      <c r="L51" s="342">
        <v>22.5</v>
      </c>
      <c r="M51" s="343">
        <v>5647.2</v>
      </c>
      <c r="O51" s="344"/>
    </row>
    <row r="52" ht="15.75" customHeight="1">
      <c r="A52" s="335">
        <v>49.0</v>
      </c>
      <c r="B52" s="336">
        <v>49.0</v>
      </c>
      <c r="C52" s="337">
        <v>55.0</v>
      </c>
      <c r="D52" s="338" t="s">
        <v>5007</v>
      </c>
      <c r="E52" s="339" t="s">
        <v>156</v>
      </c>
      <c r="F52" s="340" t="s">
        <v>4968</v>
      </c>
      <c r="G52" s="341">
        <v>26384.5</v>
      </c>
      <c r="H52" s="342">
        <v>29.0</v>
      </c>
      <c r="I52" s="341">
        <v>2131.5</v>
      </c>
      <c r="J52" s="342">
        <v>-11.4</v>
      </c>
      <c r="K52" s="342">
        <v>8.1</v>
      </c>
      <c r="L52" s="342">
        <v>47.5</v>
      </c>
      <c r="M52" s="343">
        <v>2620.2</v>
      </c>
      <c r="O52" s="344"/>
    </row>
    <row r="53" ht="15.75" customHeight="1">
      <c r="A53" s="335">
        <v>50.0</v>
      </c>
      <c r="B53" s="336">
        <v>50.0</v>
      </c>
      <c r="C53" s="337">
        <v>47.0</v>
      </c>
      <c r="D53" s="347" t="s">
        <v>5008</v>
      </c>
      <c r="E53" s="339" t="s">
        <v>156</v>
      </c>
      <c r="F53" s="340" t="s">
        <v>87</v>
      </c>
      <c r="G53" s="341">
        <v>26073.5</v>
      </c>
      <c r="H53" s="342">
        <v>12.6</v>
      </c>
      <c r="I53" s="341">
        <v>2258.5</v>
      </c>
      <c r="J53" s="342">
        <v>23.1</v>
      </c>
      <c r="K53" s="342">
        <v>8.7</v>
      </c>
      <c r="L53" s="342">
        <v>27.4</v>
      </c>
      <c r="M53" s="343">
        <v>1643.7</v>
      </c>
      <c r="O53" s="344"/>
    </row>
    <row r="54" ht="15.75" customHeight="1">
      <c r="A54" s="335">
        <v>51.0</v>
      </c>
      <c r="B54" s="336">
        <v>51.0</v>
      </c>
      <c r="C54" s="337">
        <v>50.0</v>
      </c>
      <c r="D54" s="338" t="s">
        <v>5009</v>
      </c>
      <c r="E54" s="339" t="s">
        <v>482</v>
      </c>
      <c r="F54" s="340" t="s">
        <v>5010</v>
      </c>
      <c r="G54" s="341">
        <v>25797.4</v>
      </c>
      <c r="H54" s="342">
        <v>15.7</v>
      </c>
      <c r="I54" s="341">
        <v>1145.5</v>
      </c>
      <c r="J54" s="342">
        <v>-29.6</v>
      </c>
      <c r="K54" s="342">
        <v>4.4</v>
      </c>
      <c r="L54" s="342">
        <v>6.5</v>
      </c>
      <c r="M54" s="343">
        <v>2570.4</v>
      </c>
      <c r="O54" s="344"/>
    </row>
    <row r="55" ht="15.75" customHeight="1">
      <c r="A55" s="335">
        <v>52.0</v>
      </c>
      <c r="B55" s="336">
        <v>52.0</v>
      </c>
      <c r="C55" s="337">
        <v>53.0</v>
      </c>
      <c r="D55" s="338" t="s">
        <v>892</v>
      </c>
      <c r="E55" s="339" t="s">
        <v>482</v>
      </c>
      <c r="F55" s="340" t="s">
        <v>4968</v>
      </c>
      <c r="G55" s="341">
        <v>24458.0</v>
      </c>
      <c r="H55" s="342">
        <v>16.9</v>
      </c>
      <c r="I55" s="341">
        <v>1417.7</v>
      </c>
      <c r="J55" s="342">
        <v>-13.1</v>
      </c>
      <c r="K55" s="342">
        <v>5.8</v>
      </c>
      <c r="L55" s="342">
        <v>20.7</v>
      </c>
      <c r="M55" s="343">
        <v>3036.5</v>
      </c>
      <c r="O55" s="344"/>
    </row>
    <row r="56" ht="15.75" customHeight="1">
      <c r="A56" s="335">
        <v>53.0</v>
      </c>
      <c r="B56" s="336">
        <v>53.0</v>
      </c>
      <c r="C56" s="337">
        <v>79.0</v>
      </c>
      <c r="D56" s="338" t="s">
        <v>5011</v>
      </c>
      <c r="E56" s="339" t="s">
        <v>482</v>
      </c>
      <c r="F56" s="340" t="s">
        <v>5012</v>
      </c>
      <c r="G56" s="341">
        <v>24381.8</v>
      </c>
      <c r="H56" s="342">
        <v>75.8</v>
      </c>
      <c r="I56" s="342">
        <v>940.7</v>
      </c>
      <c r="J56" s="342">
        <v>-29.2</v>
      </c>
      <c r="K56" s="342">
        <v>3.9</v>
      </c>
      <c r="L56" s="342">
        <v>16.5</v>
      </c>
      <c r="M56" s="343">
        <v>4902.7</v>
      </c>
      <c r="O56" s="344"/>
    </row>
    <row r="57" ht="15.75" customHeight="1">
      <c r="A57" s="335">
        <v>54.0</v>
      </c>
      <c r="B57" s="336">
        <v>54.0</v>
      </c>
      <c r="C57" s="337">
        <v>49.0</v>
      </c>
      <c r="D57" s="338" t="s">
        <v>5013</v>
      </c>
      <c r="E57" s="339" t="s">
        <v>482</v>
      </c>
      <c r="F57" s="340" t="s">
        <v>4976</v>
      </c>
      <c r="G57" s="341">
        <v>23448.8</v>
      </c>
      <c r="H57" s="342">
        <v>3.4</v>
      </c>
      <c r="I57" s="341">
        <v>-1047.2</v>
      </c>
      <c r="J57" s="342">
        <v>-291.3</v>
      </c>
      <c r="K57" s="342">
        <v>-4.5</v>
      </c>
      <c r="L57" s="342">
        <v>-6.9</v>
      </c>
      <c r="M57" s="343">
        <v>-1212.5</v>
      </c>
      <c r="O57" s="344"/>
    </row>
    <row r="58" ht="15.75" customHeight="1">
      <c r="A58" s="335">
        <v>55.0</v>
      </c>
      <c r="B58" s="336">
        <v>55.0</v>
      </c>
      <c r="C58" s="337">
        <v>56.0</v>
      </c>
      <c r="D58" s="338" t="s">
        <v>5014</v>
      </c>
      <c r="E58" s="339" t="s">
        <v>482</v>
      </c>
      <c r="F58" s="340" t="s">
        <v>5015</v>
      </c>
      <c r="G58" s="341">
        <v>22987.4</v>
      </c>
      <c r="H58" s="342">
        <v>12.8</v>
      </c>
      <c r="I58" s="341">
        <v>1262.3</v>
      </c>
      <c r="J58" s="342">
        <v>-24.8</v>
      </c>
      <c r="K58" s="342">
        <v>5.5</v>
      </c>
      <c r="L58" s="342">
        <v>6.7</v>
      </c>
      <c r="M58" s="343">
        <v>3815.9</v>
      </c>
      <c r="O58" s="344"/>
    </row>
    <row r="59" ht="15.75" customHeight="1">
      <c r="A59" s="335">
        <v>56.0</v>
      </c>
      <c r="B59" s="336">
        <v>56.0</v>
      </c>
      <c r="C59" s="337">
        <v>62.0</v>
      </c>
      <c r="D59" s="345" t="s">
        <v>3606</v>
      </c>
      <c r="E59" s="339" t="s">
        <v>156</v>
      </c>
      <c r="F59" s="340" t="s">
        <v>87</v>
      </c>
      <c r="G59" s="341">
        <v>22436.1</v>
      </c>
      <c r="H59" s="342">
        <v>19.3</v>
      </c>
      <c r="I59" s="342">
        <v>542.2</v>
      </c>
      <c r="J59" s="342">
        <v>39.0</v>
      </c>
      <c r="K59" s="342">
        <v>2.4</v>
      </c>
      <c r="L59" s="342">
        <v>17.3</v>
      </c>
      <c r="M59" s="343">
        <v>1016.7</v>
      </c>
      <c r="O59" s="344"/>
    </row>
    <row r="60" ht="15.75" customHeight="1">
      <c r="A60" s="335">
        <v>57.0</v>
      </c>
      <c r="B60" s="336">
        <v>57.0</v>
      </c>
      <c r="C60" s="337">
        <v>58.0</v>
      </c>
      <c r="D60" s="338" t="s">
        <v>5016</v>
      </c>
      <c r="E60" s="339" t="s">
        <v>482</v>
      </c>
      <c r="F60" s="340" t="s">
        <v>4976</v>
      </c>
      <c r="G60" s="341">
        <v>22395.5</v>
      </c>
      <c r="H60" s="342">
        <v>12.2</v>
      </c>
      <c r="I60" s="342" t="s">
        <v>3537</v>
      </c>
      <c r="J60" s="342" t="s">
        <v>3537</v>
      </c>
      <c r="K60" s="342" t="s">
        <v>3537</v>
      </c>
      <c r="L60" s="342" t="s">
        <v>3537</v>
      </c>
      <c r="M60" s="346" t="s">
        <v>3537</v>
      </c>
      <c r="O60" s="344"/>
    </row>
    <row r="61" ht="15.75" customHeight="1">
      <c r="A61" s="335">
        <v>58.0</v>
      </c>
      <c r="B61" s="336">
        <v>58.0</v>
      </c>
      <c r="C61" s="337">
        <v>59.0</v>
      </c>
      <c r="D61" s="338" t="s">
        <v>5017</v>
      </c>
      <c r="E61" s="339" t="s">
        <v>482</v>
      </c>
      <c r="F61" s="340" t="s">
        <v>5018</v>
      </c>
      <c r="G61" s="341">
        <v>22055.7</v>
      </c>
      <c r="H61" s="342">
        <v>13.2</v>
      </c>
      <c r="I61" s="341">
        <v>3121.3</v>
      </c>
      <c r="J61" s="342">
        <v>35.4</v>
      </c>
      <c r="K61" s="342">
        <v>14.2</v>
      </c>
      <c r="L61" s="342">
        <v>11.9</v>
      </c>
      <c r="M61" s="343">
        <v>4556.0</v>
      </c>
      <c r="O61" s="344"/>
    </row>
    <row r="62" ht="15.75" customHeight="1">
      <c r="A62" s="335">
        <v>59.0</v>
      </c>
      <c r="B62" s="336">
        <v>59.0</v>
      </c>
      <c r="C62" s="337">
        <v>44.0</v>
      </c>
      <c r="D62" s="338" t="s">
        <v>5019</v>
      </c>
      <c r="E62" s="339" t="s">
        <v>156</v>
      </c>
      <c r="F62" s="340" t="s">
        <v>4983</v>
      </c>
      <c r="G62" s="341">
        <v>21927.7</v>
      </c>
      <c r="H62" s="342">
        <v>-8.6</v>
      </c>
      <c r="I62" s="341">
        <v>1149.3</v>
      </c>
      <c r="J62" s="342">
        <v>-77.2</v>
      </c>
      <c r="K62" s="342">
        <v>5.2</v>
      </c>
      <c r="L62" s="342">
        <v>5.3</v>
      </c>
      <c r="M62" s="343">
        <v>2349.3</v>
      </c>
      <c r="O62" s="344"/>
    </row>
    <row r="63" ht="15.75" customHeight="1">
      <c r="A63" s="335">
        <v>60.0</v>
      </c>
      <c r="B63" s="336">
        <v>60.0</v>
      </c>
      <c r="C63" s="337">
        <v>87.0</v>
      </c>
      <c r="D63" s="338" t="s">
        <v>5020</v>
      </c>
      <c r="E63" s="339" t="s">
        <v>482</v>
      </c>
      <c r="F63" s="340" t="s">
        <v>5012</v>
      </c>
      <c r="G63" s="341">
        <v>21896.9</v>
      </c>
      <c r="H63" s="342">
        <v>103.6</v>
      </c>
      <c r="I63" s="342">
        <v>-186.3</v>
      </c>
      <c r="J63" s="342">
        <v>95.4</v>
      </c>
      <c r="K63" s="342">
        <v>-0.9</v>
      </c>
      <c r="L63" s="342" t="s">
        <v>5021</v>
      </c>
      <c r="M63" s="346">
        <v>-949.0</v>
      </c>
      <c r="O63" s="344"/>
    </row>
    <row r="64" ht="15.75" customHeight="1">
      <c r="A64" s="335">
        <v>61.0</v>
      </c>
      <c r="B64" s="336">
        <v>61.0</v>
      </c>
      <c r="C64" s="337">
        <v>71.0</v>
      </c>
      <c r="D64" s="347" t="s">
        <v>5022</v>
      </c>
      <c r="E64" s="339" t="s">
        <v>367</v>
      </c>
      <c r="F64" s="340" t="s">
        <v>3754</v>
      </c>
      <c r="G64" s="341">
        <v>21768.5</v>
      </c>
      <c r="H64" s="342">
        <v>37.1</v>
      </c>
      <c r="I64" s="341">
        <v>1064.8</v>
      </c>
      <c r="J64" s="342">
        <v>38.5</v>
      </c>
      <c r="K64" s="342">
        <v>4.9</v>
      </c>
      <c r="L64" s="342">
        <v>15.2</v>
      </c>
      <c r="M64" s="343">
        <v>1187.8</v>
      </c>
      <c r="O64" s="344"/>
    </row>
    <row r="65" ht="15.75" customHeight="1">
      <c r="A65" s="335">
        <v>62.0</v>
      </c>
      <c r="B65" s="336">
        <v>62.0</v>
      </c>
      <c r="C65" s="337">
        <v>63.0</v>
      </c>
      <c r="D65" s="338" t="s">
        <v>5023</v>
      </c>
      <c r="E65" s="339" t="s">
        <v>1751</v>
      </c>
      <c r="F65" s="340" t="s">
        <v>4985</v>
      </c>
      <c r="G65" s="341">
        <v>21530.8</v>
      </c>
      <c r="H65" s="342">
        <v>19.2</v>
      </c>
      <c r="I65" s="341">
        <v>1670.8</v>
      </c>
      <c r="J65" s="342">
        <v>-43.5</v>
      </c>
      <c r="K65" s="342">
        <v>7.8</v>
      </c>
      <c r="L65" s="342">
        <v>6.6</v>
      </c>
      <c r="M65" s="343">
        <v>3075.7</v>
      </c>
      <c r="O65" s="344"/>
    </row>
    <row r="66" ht="15.75" customHeight="1">
      <c r="A66" s="335">
        <v>63.0</v>
      </c>
      <c r="B66" s="336">
        <v>63.0</v>
      </c>
      <c r="C66" s="337">
        <v>70.0</v>
      </c>
      <c r="D66" s="345" t="s">
        <v>5024</v>
      </c>
      <c r="E66" s="339" t="s">
        <v>156</v>
      </c>
      <c r="F66" s="340" t="s">
        <v>87</v>
      </c>
      <c r="G66" s="341">
        <v>21068.8</v>
      </c>
      <c r="H66" s="342">
        <v>28.1</v>
      </c>
      <c r="I66" s="342">
        <v>702.3</v>
      </c>
      <c r="J66" s="342">
        <v>-8.4</v>
      </c>
      <c r="K66" s="342">
        <v>3.3</v>
      </c>
      <c r="L66" s="342">
        <v>21.0</v>
      </c>
      <c r="M66" s="343">
        <v>1097.6</v>
      </c>
      <c r="O66" s="344"/>
    </row>
    <row r="67" ht="15.75" customHeight="1">
      <c r="A67" s="335">
        <v>64.0</v>
      </c>
      <c r="B67" s="336">
        <v>64.0</v>
      </c>
      <c r="C67" s="337">
        <v>64.0</v>
      </c>
      <c r="D67" s="347" t="s">
        <v>1119</v>
      </c>
      <c r="E67" s="339" t="s">
        <v>1075</v>
      </c>
      <c r="F67" s="340" t="s">
        <v>3256</v>
      </c>
      <c r="G67" s="341">
        <v>20409.5</v>
      </c>
      <c r="H67" s="342">
        <v>13.3</v>
      </c>
      <c r="I67" s="342">
        <v>649.1</v>
      </c>
      <c r="J67" s="342">
        <v>-20.5</v>
      </c>
      <c r="K67" s="342">
        <v>3.2</v>
      </c>
      <c r="L67" s="342">
        <v>15.3</v>
      </c>
      <c r="M67" s="346">
        <v>257.9</v>
      </c>
      <c r="O67" s="344"/>
    </row>
    <row r="68" ht="15.75" customHeight="1">
      <c r="A68" s="335">
        <v>65.0</v>
      </c>
      <c r="B68" s="336">
        <v>65.0</v>
      </c>
      <c r="C68" s="337">
        <v>67.0</v>
      </c>
      <c r="D68" s="345" t="s">
        <v>2281</v>
      </c>
      <c r="E68" s="339" t="s">
        <v>482</v>
      </c>
      <c r="F68" s="340" t="s">
        <v>3256</v>
      </c>
      <c r="G68" s="341">
        <v>20330.0</v>
      </c>
      <c r="H68" s="342">
        <v>17.8</v>
      </c>
      <c r="I68" s="342" t="s">
        <v>3537</v>
      </c>
      <c r="J68" s="342" t="s">
        <v>3537</v>
      </c>
      <c r="K68" s="342" t="s">
        <v>3537</v>
      </c>
      <c r="L68" s="342" t="s">
        <v>3537</v>
      </c>
      <c r="M68" s="346" t="s">
        <v>3537</v>
      </c>
      <c r="O68" s="344"/>
    </row>
    <row r="69" ht="15.75" customHeight="1">
      <c r="A69" s="335">
        <v>66.0</v>
      </c>
      <c r="B69" s="336">
        <v>66.0</v>
      </c>
      <c r="C69" s="337">
        <v>68.0</v>
      </c>
      <c r="D69" s="338" t="s">
        <v>5025</v>
      </c>
      <c r="E69" s="339" t="s">
        <v>332</v>
      </c>
      <c r="F69" s="340" t="s">
        <v>4976</v>
      </c>
      <c r="G69" s="341">
        <v>20164.0</v>
      </c>
      <c r="H69" s="342">
        <v>54.8</v>
      </c>
      <c r="I69" s="342" t="s">
        <v>3537</v>
      </c>
      <c r="J69" s="342" t="s">
        <v>3537</v>
      </c>
      <c r="K69" s="342" t="s">
        <v>3537</v>
      </c>
      <c r="L69" s="342" t="s">
        <v>3537</v>
      </c>
      <c r="M69" s="346" t="s">
        <v>3537</v>
      </c>
      <c r="O69" s="344"/>
    </row>
    <row r="70" ht="15.75" customHeight="1">
      <c r="A70" s="335">
        <v>67.0</v>
      </c>
      <c r="B70" s="336">
        <v>67.0</v>
      </c>
      <c r="C70" s="337">
        <v>69.0</v>
      </c>
      <c r="D70" s="338" t="s">
        <v>5026</v>
      </c>
      <c r="E70" s="339" t="s">
        <v>482</v>
      </c>
      <c r="F70" s="340" t="s">
        <v>4981</v>
      </c>
      <c r="G70" s="341">
        <v>20032.7</v>
      </c>
      <c r="H70" s="342">
        <v>21.5</v>
      </c>
      <c r="I70" s="341">
        <v>4688.9</v>
      </c>
      <c r="J70" s="342">
        <v>37.7</v>
      </c>
      <c r="K70" s="342">
        <v>23.4</v>
      </c>
      <c r="L70" s="342">
        <v>50.3</v>
      </c>
      <c r="M70" s="343">
        <v>6494.3</v>
      </c>
      <c r="O70" s="344"/>
    </row>
    <row r="71" ht="15.75" customHeight="1">
      <c r="A71" s="335">
        <v>68.0</v>
      </c>
      <c r="B71" s="336">
        <v>68.0</v>
      </c>
      <c r="C71" s="337">
        <v>51.0</v>
      </c>
      <c r="D71" s="338" t="s">
        <v>5027</v>
      </c>
      <c r="E71" s="339" t="s">
        <v>1793</v>
      </c>
      <c r="F71" s="340" t="s">
        <v>5028</v>
      </c>
      <c r="G71" s="341">
        <v>19813.1</v>
      </c>
      <c r="H71" s="342">
        <v>-7.0</v>
      </c>
      <c r="I71" s="342">
        <v>-808.8</v>
      </c>
      <c r="J71" s="342">
        <v>-135.5</v>
      </c>
      <c r="K71" s="342">
        <v>-4.1</v>
      </c>
      <c r="L71" s="342">
        <v>-46.1</v>
      </c>
      <c r="M71" s="343">
        <v>-1182.2</v>
      </c>
      <c r="O71" s="344"/>
    </row>
    <row r="72" ht="15.75" customHeight="1">
      <c r="A72" s="335">
        <v>69.0</v>
      </c>
      <c r="B72" s="336">
        <v>69.0</v>
      </c>
      <c r="C72" s="337">
        <v>85.0</v>
      </c>
      <c r="D72" s="338" t="s">
        <v>5029</v>
      </c>
      <c r="E72" s="339" t="s">
        <v>482</v>
      </c>
      <c r="F72" s="340" t="s">
        <v>5012</v>
      </c>
      <c r="G72" s="341">
        <v>19181.7</v>
      </c>
      <c r="H72" s="342">
        <v>56.7</v>
      </c>
      <c r="I72" s="341">
        <v>4212.2</v>
      </c>
      <c r="J72" s="342">
        <v>422.9</v>
      </c>
      <c r="K72" s="342">
        <v>22.0</v>
      </c>
      <c r="L72" s="342">
        <v>41.3</v>
      </c>
      <c r="M72" s="343">
        <v>9179.8</v>
      </c>
      <c r="O72" s="344"/>
    </row>
    <row r="73" ht="15.75" customHeight="1">
      <c r="A73" s="335">
        <v>70.0</v>
      </c>
      <c r="B73" s="336">
        <v>70.0</v>
      </c>
      <c r="C73" s="337">
        <v>80.0</v>
      </c>
      <c r="D73" s="338" t="s">
        <v>5030</v>
      </c>
      <c r="E73" s="339" t="s">
        <v>156</v>
      </c>
      <c r="F73" s="340" t="s">
        <v>4976</v>
      </c>
      <c r="G73" s="341">
        <v>19050.0</v>
      </c>
      <c r="H73" s="342">
        <v>39.1</v>
      </c>
      <c r="I73" s="342" t="s">
        <v>3537</v>
      </c>
      <c r="J73" s="342" t="s">
        <v>3537</v>
      </c>
      <c r="K73" s="342" t="s">
        <v>3537</v>
      </c>
      <c r="L73" s="342" t="s">
        <v>3537</v>
      </c>
      <c r="M73" s="346" t="s">
        <v>3537</v>
      </c>
      <c r="O73" s="344"/>
    </row>
    <row r="74" ht="15.75" customHeight="1">
      <c r="A74" s="335">
        <v>71.0</v>
      </c>
      <c r="B74" s="336">
        <v>71.0</v>
      </c>
      <c r="C74" s="337">
        <v>54.0</v>
      </c>
      <c r="D74" s="338" t="s">
        <v>5031</v>
      </c>
      <c r="E74" s="339" t="s">
        <v>1751</v>
      </c>
      <c r="F74" s="340" t="s">
        <v>4970</v>
      </c>
      <c r="G74" s="341">
        <v>18655.0</v>
      </c>
      <c r="H74" s="342" t="s">
        <v>3537</v>
      </c>
      <c r="I74" s="342" t="s">
        <v>3537</v>
      </c>
      <c r="J74" s="342" t="s">
        <v>3537</v>
      </c>
      <c r="K74" s="342" t="s">
        <v>3537</v>
      </c>
      <c r="L74" s="342" t="s">
        <v>3537</v>
      </c>
      <c r="M74" s="346" t="s">
        <v>3537</v>
      </c>
      <c r="O74" s="344"/>
    </row>
    <row r="75" ht="15.75" customHeight="1">
      <c r="A75" s="335">
        <v>72.0</v>
      </c>
      <c r="B75" s="336">
        <v>72.0</v>
      </c>
      <c r="C75" s="337">
        <v>72.0</v>
      </c>
      <c r="D75" s="338" t="s">
        <v>5032</v>
      </c>
      <c r="E75" s="339" t="s">
        <v>482</v>
      </c>
      <c r="F75" s="340" t="s">
        <v>4974</v>
      </c>
      <c r="G75" s="341">
        <v>18360.0</v>
      </c>
      <c r="H75" s="342">
        <v>21.6</v>
      </c>
      <c r="I75" s="342">
        <v>-34.0</v>
      </c>
      <c r="J75" s="342">
        <v>91.6</v>
      </c>
      <c r="K75" s="342">
        <v>-0.2</v>
      </c>
      <c r="L75" s="342">
        <v>-0.4</v>
      </c>
      <c r="M75" s="346">
        <v>602.0</v>
      </c>
      <c r="O75" s="344"/>
    </row>
    <row r="76" ht="15.75" customHeight="1">
      <c r="A76" s="335">
        <v>73.0</v>
      </c>
      <c r="B76" s="336">
        <v>73.0</v>
      </c>
      <c r="C76" s="337">
        <v>95.0</v>
      </c>
      <c r="D76" s="338" t="s">
        <v>5033</v>
      </c>
      <c r="E76" s="339" t="s">
        <v>332</v>
      </c>
      <c r="F76" s="340" t="s">
        <v>5012</v>
      </c>
      <c r="G76" s="341">
        <v>17783.6</v>
      </c>
      <c r="H76" s="342">
        <v>63.1</v>
      </c>
      <c r="I76" s="341">
        <v>1841.2</v>
      </c>
      <c r="J76" s="342">
        <v>-9.9</v>
      </c>
      <c r="K76" s="342">
        <v>10.4</v>
      </c>
      <c r="L76" s="342">
        <v>13.1</v>
      </c>
      <c r="M76" s="343">
        <v>4495.5</v>
      </c>
      <c r="O76" s="344"/>
    </row>
    <row r="77" ht="15.75" customHeight="1">
      <c r="A77" s="335">
        <v>74.0</v>
      </c>
      <c r="B77" s="336">
        <v>74.0</v>
      </c>
      <c r="C77" s="337">
        <v>75.0</v>
      </c>
      <c r="D77" s="338" t="s">
        <v>5034</v>
      </c>
      <c r="E77" s="339" t="s">
        <v>1751</v>
      </c>
      <c r="F77" s="340" t="s">
        <v>4960</v>
      </c>
      <c r="G77" s="341">
        <v>17718.5</v>
      </c>
      <c r="H77" s="342">
        <v>23.6</v>
      </c>
      <c r="I77" s="341">
        <v>4234.1</v>
      </c>
      <c r="J77" s="342">
        <v>48.0</v>
      </c>
      <c r="K77" s="342">
        <v>23.9</v>
      </c>
      <c r="L77" s="342">
        <v>37.5</v>
      </c>
      <c r="M77" s="343">
        <v>5043.8</v>
      </c>
      <c r="O77" s="344"/>
    </row>
    <row r="78" ht="15.75" customHeight="1">
      <c r="A78" s="335">
        <v>75.0</v>
      </c>
      <c r="B78" s="336">
        <v>75.0</v>
      </c>
      <c r="C78" s="337"/>
      <c r="D78" s="345" t="s">
        <v>2494</v>
      </c>
      <c r="E78" s="339" t="s">
        <v>482</v>
      </c>
      <c r="F78" s="340" t="s">
        <v>3754</v>
      </c>
      <c r="G78" s="341">
        <v>17321.0</v>
      </c>
      <c r="H78" s="342">
        <v>6.3</v>
      </c>
      <c r="I78" s="342">
        <v>-4.0</v>
      </c>
      <c r="J78" s="342">
        <v>-100.4</v>
      </c>
      <c r="K78" s="342">
        <v>0.0</v>
      </c>
      <c r="L78" s="342">
        <v>0.0</v>
      </c>
      <c r="M78" s="346">
        <v>474.0</v>
      </c>
      <c r="O78" s="344"/>
    </row>
    <row r="79" ht="15.75" customHeight="1">
      <c r="A79" s="335">
        <v>76.0</v>
      </c>
      <c r="B79" s="336">
        <v>76.0</v>
      </c>
      <c r="C79" s="337">
        <v>61.0</v>
      </c>
      <c r="D79" s="338" t="s">
        <v>5035</v>
      </c>
      <c r="E79" s="339" t="s">
        <v>482</v>
      </c>
      <c r="F79" s="340" t="s">
        <v>4983</v>
      </c>
      <c r="G79" s="341">
        <v>17287.7</v>
      </c>
      <c r="H79" s="342">
        <v>-8.4</v>
      </c>
      <c r="I79" s="341">
        <v>1212.7</v>
      </c>
      <c r="J79" s="342">
        <v>-48.8</v>
      </c>
      <c r="K79" s="342">
        <v>7.0</v>
      </c>
      <c r="L79" s="342">
        <v>10.0</v>
      </c>
      <c r="M79" s="343">
        <v>3010.0</v>
      </c>
      <c r="O79" s="344"/>
    </row>
    <row r="80" ht="15.75" customHeight="1">
      <c r="A80" s="335">
        <v>77.0</v>
      </c>
      <c r="B80" s="336">
        <v>77.0</v>
      </c>
      <c r="C80" s="337">
        <v>60.0</v>
      </c>
      <c r="D80" s="338" t="s">
        <v>5036</v>
      </c>
      <c r="E80" s="339" t="s">
        <v>1793</v>
      </c>
      <c r="F80" s="340" t="s">
        <v>4983</v>
      </c>
      <c r="G80" s="341">
        <v>16963.0</v>
      </c>
      <c r="H80" s="342">
        <v>-10.7</v>
      </c>
      <c r="I80" s="342" t="s">
        <v>3537</v>
      </c>
      <c r="J80" s="342" t="s">
        <v>3537</v>
      </c>
      <c r="K80" s="342" t="s">
        <v>3537</v>
      </c>
      <c r="L80" s="342" t="s">
        <v>3537</v>
      </c>
      <c r="M80" s="346" t="s">
        <v>3537</v>
      </c>
      <c r="O80" s="344"/>
    </row>
    <row r="81" ht="15.75" customHeight="1">
      <c r="A81" s="335">
        <v>78.0</v>
      </c>
      <c r="B81" s="336">
        <v>78.0</v>
      </c>
      <c r="C81" s="337">
        <v>81.0</v>
      </c>
      <c r="D81" s="338" t="s">
        <v>5037</v>
      </c>
      <c r="E81" s="339" t="s">
        <v>482</v>
      </c>
      <c r="F81" s="340" t="s">
        <v>4976</v>
      </c>
      <c r="G81" s="341">
        <v>16947.9</v>
      </c>
      <c r="H81" s="342">
        <v>23.8</v>
      </c>
      <c r="I81" s="342">
        <v>404.2</v>
      </c>
      <c r="J81" s="342">
        <v>-35.5</v>
      </c>
      <c r="K81" s="342">
        <v>2.4</v>
      </c>
      <c r="L81" s="342">
        <v>9.3</v>
      </c>
      <c r="M81" s="346">
        <v>997.9</v>
      </c>
      <c r="O81" s="344"/>
    </row>
    <row r="82" ht="15.75" customHeight="1">
      <c r="A82" s="335">
        <v>79.0</v>
      </c>
      <c r="B82" s="336">
        <v>79.0</v>
      </c>
      <c r="C82" s="337">
        <v>74.0</v>
      </c>
      <c r="D82" s="345" t="s">
        <v>5038</v>
      </c>
      <c r="E82" s="339" t="s">
        <v>482</v>
      </c>
      <c r="F82" s="340" t="s">
        <v>3256</v>
      </c>
      <c r="G82" s="341">
        <v>16418.0</v>
      </c>
      <c r="H82" s="342" t="s">
        <v>3537</v>
      </c>
      <c r="I82" s="342" t="s">
        <v>3537</v>
      </c>
      <c r="J82" s="342" t="s">
        <v>3537</v>
      </c>
      <c r="K82" s="342" t="s">
        <v>3537</v>
      </c>
      <c r="L82" s="342" t="s">
        <v>3537</v>
      </c>
      <c r="M82" s="346" t="s">
        <v>3537</v>
      </c>
      <c r="O82" s="344"/>
    </row>
    <row r="83" ht="15.75" customHeight="1">
      <c r="A83" s="335">
        <v>80.0</v>
      </c>
      <c r="B83" s="336">
        <v>80.0</v>
      </c>
      <c r="C83" s="337">
        <v>103.0</v>
      </c>
      <c r="D83" s="338" t="s">
        <v>5039</v>
      </c>
      <c r="E83" s="339" t="s">
        <v>482</v>
      </c>
      <c r="F83" s="340" t="s">
        <v>5012</v>
      </c>
      <c r="G83" s="341">
        <v>15948.1</v>
      </c>
      <c r="H83" s="342">
        <v>59.9</v>
      </c>
      <c r="I83" s="342">
        <v>-722.4</v>
      </c>
      <c r="J83" s="342">
        <v>82.9</v>
      </c>
      <c r="K83" s="342">
        <v>-4.5</v>
      </c>
      <c r="L83" s="342" t="s">
        <v>5021</v>
      </c>
      <c r="M83" s="343">
        <v>1429.6</v>
      </c>
      <c r="O83" s="344"/>
    </row>
    <row r="84" ht="15.75" customHeight="1">
      <c r="A84" s="335">
        <v>81.0</v>
      </c>
      <c r="B84" s="336">
        <v>81.0</v>
      </c>
      <c r="C84" s="337">
        <v>78.0</v>
      </c>
      <c r="D84" s="338" t="s">
        <v>5040</v>
      </c>
      <c r="E84" s="339" t="s">
        <v>332</v>
      </c>
      <c r="F84" s="340" t="s">
        <v>4963</v>
      </c>
      <c r="G84" s="341">
        <v>15695.0</v>
      </c>
      <c r="H84" s="342">
        <v>11.0</v>
      </c>
      <c r="I84" s="342">
        <v>374.0</v>
      </c>
      <c r="J84" s="342">
        <v>-55.4</v>
      </c>
      <c r="K84" s="342">
        <v>2.4</v>
      </c>
      <c r="L84" s="342">
        <v>4.1</v>
      </c>
      <c r="M84" s="343">
        <v>1804.0</v>
      </c>
      <c r="O84" s="344"/>
    </row>
    <row r="85" ht="15.75" customHeight="1">
      <c r="A85" s="335">
        <v>82.0</v>
      </c>
      <c r="B85" s="336">
        <v>82.0</v>
      </c>
      <c r="C85" s="337">
        <v>77.0</v>
      </c>
      <c r="D85" s="338" t="s">
        <v>5041</v>
      </c>
      <c r="E85" s="339" t="s">
        <v>3439</v>
      </c>
      <c r="F85" s="340" t="s">
        <v>4960</v>
      </c>
      <c r="G85" s="341">
        <v>15569.5</v>
      </c>
      <c r="H85" s="342">
        <v>9.9</v>
      </c>
      <c r="I85" s="342">
        <v>-269.2</v>
      </c>
      <c r="J85" s="342">
        <v>-492.9</v>
      </c>
      <c r="K85" s="342">
        <v>-1.7</v>
      </c>
      <c r="L85" s="342">
        <v>-133.8</v>
      </c>
      <c r="M85" s="346">
        <v>-121.3</v>
      </c>
      <c r="O85" s="344"/>
    </row>
    <row r="86" ht="15.75" customHeight="1">
      <c r="A86" s="335">
        <v>83.0</v>
      </c>
      <c r="B86" s="336">
        <v>83.0</v>
      </c>
      <c r="C86" s="337">
        <v>82.0</v>
      </c>
      <c r="D86" s="338" t="s">
        <v>5042</v>
      </c>
      <c r="E86" s="339" t="s">
        <v>482</v>
      </c>
      <c r="F86" s="340" t="s">
        <v>4976</v>
      </c>
      <c r="G86" s="341">
        <v>15510.0</v>
      </c>
      <c r="H86" s="342">
        <v>19.0</v>
      </c>
      <c r="I86" s="342" t="s">
        <v>3537</v>
      </c>
      <c r="J86" s="342" t="s">
        <v>3537</v>
      </c>
      <c r="K86" s="342" t="s">
        <v>3537</v>
      </c>
      <c r="L86" s="342" t="s">
        <v>3537</v>
      </c>
      <c r="M86" s="346" t="s">
        <v>3537</v>
      </c>
      <c r="O86" s="344"/>
    </row>
    <row r="87" ht="15.75" customHeight="1">
      <c r="A87" s="335">
        <v>84.0</v>
      </c>
      <c r="B87" s="336">
        <v>84.0</v>
      </c>
      <c r="C87" s="337">
        <v>121.0</v>
      </c>
      <c r="D87" s="338" t="s">
        <v>5043</v>
      </c>
      <c r="E87" s="339" t="s">
        <v>482</v>
      </c>
      <c r="F87" s="340" t="s">
        <v>5028</v>
      </c>
      <c r="G87" s="341">
        <v>15381.0</v>
      </c>
      <c r="H87" s="342">
        <v>98.9</v>
      </c>
      <c r="I87" s="341">
        <v>1050.1</v>
      </c>
      <c r="J87" s="342">
        <v>-5.4</v>
      </c>
      <c r="K87" s="342">
        <v>6.8</v>
      </c>
      <c r="L87" s="342">
        <v>11.8</v>
      </c>
      <c r="M87" s="343">
        <v>1398.5</v>
      </c>
      <c r="O87" s="344"/>
    </row>
    <row r="88" ht="15.75" customHeight="1">
      <c r="A88" s="335">
        <v>85.0</v>
      </c>
      <c r="B88" s="336">
        <v>85.0</v>
      </c>
      <c r="C88" s="337">
        <v>101.0</v>
      </c>
      <c r="D88" s="345" t="s">
        <v>884</v>
      </c>
      <c r="E88" s="339" t="s">
        <v>574</v>
      </c>
      <c r="F88" s="340" t="s">
        <v>87</v>
      </c>
      <c r="G88" s="341">
        <v>15316.5</v>
      </c>
      <c r="H88" s="342">
        <v>53.3</v>
      </c>
      <c r="I88" s="341">
        <v>1309.4</v>
      </c>
      <c r="J88" s="342">
        <v>36.9</v>
      </c>
      <c r="K88" s="342">
        <v>8.5</v>
      </c>
      <c r="L88" s="342">
        <v>36.7</v>
      </c>
      <c r="M88" s="343">
        <v>1440.7</v>
      </c>
      <c r="O88" s="344"/>
    </row>
    <row r="89" ht="15.75" customHeight="1">
      <c r="A89" s="335">
        <v>86.0</v>
      </c>
      <c r="B89" s="336">
        <v>86.0</v>
      </c>
      <c r="C89" s="337">
        <v>83.0</v>
      </c>
      <c r="D89" s="338" t="s">
        <v>5044</v>
      </c>
      <c r="E89" s="339" t="s">
        <v>482</v>
      </c>
      <c r="F89" s="340" t="s">
        <v>4970</v>
      </c>
      <c r="G89" s="341">
        <v>15212.9</v>
      </c>
      <c r="H89" s="342">
        <v>17.1</v>
      </c>
      <c r="I89" s="342" t="s">
        <v>3537</v>
      </c>
      <c r="J89" s="342" t="s">
        <v>3537</v>
      </c>
      <c r="K89" s="342" t="s">
        <v>3537</v>
      </c>
      <c r="L89" s="342" t="s">
        <v>3537</v>
      </c>
      <c r="M89" s="346" t="s">
        <v>3537</v>
      </c>
      <c r="O89" s="344"/>
    </row>
    <row r="90" ht="15.75" customHeight="1">
      <c r="A90" s="335">
        <v>87.0</v>
      </c>
      <c r="B90" s="336">
        <v>87.0</v>
      </c>
      <c r="C90" s="337">
        <v>132.0</v>
      </c>
      <c r="D90" s="338" t="s">
        <v>5045</v>
      </c>
      <c r="E90" s="339" t="s">
        <v>482</v>
      </c>
      <c r="F90" s="340" t="s">
        <v>5012</v>
      </c>
      <c r="G90" s="341">
        <v>15198.7</v>
      </c>
      <c r="H90" s="342">
        <v>104.5</v>
      </c>
      <c r="I90" s="341">
        <v>-1561.5</v>
      </c>
      <c r="J90" s="342">
        <v>78.3</v>
      </c>
      <c r="K90" s="342">
        <v>-10.3</v>
      </c>
      <c r="L90" s="342" t="s">
        <v>5021</v>
      </c>
      <c r="M90" s="346">
        <v>335.1</v>
      </c>
      <c r="O90" s="344"/>
    </row>
    <row r="91" ht="15.75" customHeight="1">
      <c r="A91" s="335">
        <v>88.0</v>
      </c>
      <c r="B91" s="336">
        <v>88.0</v>
      </c>
      <c r="C91" s="337">
        <v>76.0</v>
      </c>
      <c r="D91" s="338" t="s">
        <v>5046</v>
      </c>
      <c r="E91" s="339" t="s">
        <v>1751</v>
      </c>
      <c r="F91" s="340" t="s">
        <v>5047</v>
      </c>
      <c r="G91" s="341">
        <v>15119.5</v>
      </c>
      <c r="H91" s="342">
        <v>6.7</v>
      </c>
      <c r="I91" s="341">
        <v>1253.5</v>
      </c>
      <c r="J91" s="342">
        <v>820.9</v>
      </c>
      <c r="K91" s="342">
        <v>8.3</v>
      </c>
      <c r="L91" s="342">
        <v>7.9</v>
      </c>
      <c r="M91" s="346">
        <v>-491.1</v>
      </c>
      <c r="O91" s="344"/>
    </row>
    <row r="92" ht="15.75" customHeight="1">
      <c r="A92" s="335">
        <v>89.0</v>
      </c>
      <c r="B92" s="336">
        <v>89.0</v>
      </c>
      <c r="C92" s="337">
        <v>88.0</v>
      </c>
      <c r="D92" s="338" t="s">
        <v>5048</v>
      </c>
      <c r="E92" s="339" t="s">
        <v>156</v>
      </c>
      <c r="F92" s="340" t="s">
        <v>4976</v>
      </c>
      <c r="G92" s="341">
        <v>14300.9</v>
      </c>
      <c r="H92" s="342">
        <v>24.9</v>
      </c>
      <c r="I92" s="342">
        <v>423.3</v>
      </c>
      <c r="J92" s="342">
        <v>25.2</v>
      </c>
      <c r="K92" s="342">
        <v>3.0</v>
      </c>
      <c r="L92" s="342">
        <v>14.6</v>
      </c>
      <c r="M92" s="346">
        <v>384.1</v>
      </c>
      <c r="O92" s="344"/>
    </row>
    <row r="93" ht="15.75" customHeight="1">
      <c r="A93" s="335">
        <v>90.0</v>
      </c>
      <c r="B93" s="336">
        <v>90.0</v>
      </c>
      <c r="C93" s="337">
        <v>97.0</v>
      </c>
      <c r="D93" s="338" t="s">
        <v>5049</v>
      </c>
      <c r="E93" s="339" t="s">
        <v>98</v>
      </c>
      <c r="F93" s="340" t="s">
        <v>5050</v>
      </c>
      <c r="G93" s="341">
        <v>13271.1</v>
      </c>
      <c r="H93" s="342">
        <v>25.5</v>
      </c>
      <c r="I93" s="341">
        <v>1291.7</v>
      </c>
      <c r="J93" s="342">
        <v>104.0</v>
      </c>
      <c r="K93" s="342">
        <v>9.7</v>
      </c>
      <c r="L93" s="342">
        <v>13.0</v>
      </c>
      <c r="M93" s="343">
        <v>1325.8</v>
      </c>
      <c r="O93" s="344"/>
    </row>
    <row r="94" ht="15.75" customHeight="1">
      <c r="A94" s="335">
        <v>91.0</v>
      </c>
      <c r="B94" s="336">
        <v>91.0</v>
      </c>
      <c r="C94" s="337">
        <v>73.0</v>
      </c>
      <c r="D94" s="338" t="s">
        <v>5051</v>
      </c>
      <c r="E94" s="339" t="s">
        <v>1751</v>
      </c>
      <c r="F94" s="340" t="s">
        <v>4983</v>
      </c>
      <c r="G94" s="341">
        <v>13253.3</v>
      </c>
      <c r="H94" s="342">
        <v>-11.0</v>
      </c>
      <c r="I94" s="341">
        <v>-5672.2</v>
      </c>
      <c r="J94" s="341">
        <v>-1525.4</v>
      </c>
      <c r="K94" s="342">
        <v>-42.8</v>
      </c>
      <c r="L94" s="342">
        <v>-98.0</v>
      </c>
      <c r="M94" s="343">
        <v>-1893.4</v>
      </c>
      <c r="O94" s="344"/>
    </row>
    <row r="95" ht="15.75" customHeight="1">
      <c r="A95" s="335">
        <v>92.0</v>
      </c>
      <c r="B95" s="336">
        <v>92.0</v>
      </c>
      <c r="C95" s="337">
        <v>99.0</v>
      </c>
      <c r="D95" s="338" t="s">
        <v>5052</v>
      </c>
      <c r="E95" s="339" t="s">
        <v>482</v>
      </c>
      <c r="F95" s="340" t="s">
        <v>5015</v>
      </c>
      <c r="G95" s="341">
        <v>13128.9</v>
      </c>
      <c r="H95" s="342">
        <v>26.0</v>
      </c>
      <c r="I95" s="342">
        <v>-387.8</v>
      </c>
      <c r="J95" s="342">
        <v>-78.7</v>
      </c>
      <c r="K95" s="342">
        <v>-3.0</v>
      </c>
      <c r="L95" s="342">
        <v>-5.3</v>
      </c>
      <c r="M95" s="346">
        <v>934.2</v>
      </c>
      <c r="O95" s="344"/>
    </row>
    <row r="96" ht="15.75" customHeight="1">
      <c r="A96" s="335">
        <v>93.0</v>
      </c>
      <c r="B96" s="336">
        <v>93.0</v>
      </c>
      <c r="C96" s="337">
        <v>93.0</v>
      </c>
      <c r="D96" s="345" t="s">
        <v>2606</v>
      </c>
      <c r="E96" s="339" t="s">
        <v>482</v>
      </c>
      <c r="F96" s="340" t="s">
        <v>3754</v>
      </c>
      <c r="G96" s="341">
        <v>12869.6</v>
      </c>
      <c r="H96" s="342">
        <v>15.2</v>
      </c>
      <c r="I96" s="342">
        <v>361.7</v>
      </c>
      <c r="J96" s="342">
        <v>140.8</v>
      </c>
      <c r="K96" s="342">
        <v>2.8</v>
      </c>
      <c r="L96" s="342">
        <v>17.8</v>
      </c>
      <c r="M96" s="346">
        <v>799.2</v>
      </c>
      <c r="O96" s="344"/>
    </row>
    <row r="97" ht="15.75" customHeight="1">
      <c r="A97" s="335">
        <v>94.0</v>
      </c>
      <c r="B97" s="336">
        <v>94.0</v>
      </c>
      <c r="C97" s="337">
        <v>65.0</v>
      </c>
      <c r="D97" s="338" t="s">
        <v>5053</v>
      </c>
      <c r="E97" s="339" t="s">
        <v>1751</v>
      </c>
      <c r="F97" s="340" t="s">
        <v>4985</v>
      </c>
      <c r="G97" s="341">
        <v>12604.0</v>
      </c>
      <c r="H97" s="342">
        <v>-29.7</v>
      </c>
      <c r="I97" s="341">
        <v>-19266.0</v>
      </c>
      <c r="J97" s="342">
        <v>-85.1</v>
      </c>
      <c r="K97" s="342">
        <v>-152.9</v>
      </c>
      <c r="L97" s="342" t="s">
        <v>5021</v>
      </c>
      <c r="M97" s="343">
        <v>-9645.0</v>
      </c>
      <c r="O97" s="344"/>
    </row>
    <row r="98" ht="15.75" customHeight="1">
      <c r="A98" s="335">
        <v>95.0</v>
      </c>
      <c r="B98" s="336">
        <v>95.0</v>
      </c>
      <c r="C98" s="337">
        <v>96.0</v>
      </c>
      <c r="D98" s="338" t="s">
        <v>5054</v>
      </c>
      <c r="E98" s="339" t="s">
        <v>482</v>
      </c>
      <c r="F98" s="340" t="s">
        <v>5055</v>
      </c>
      <c r="G98" s="341">
        <v>12135.2</v>
      </c>
      <c r="H98" s="342">
        <v>18.3</v>
      </c>
      <c r="I98" s="342">
        <v>1.9</v>
      </c>
      <c r="J98" s="342">
        <v>105.9</v>
      </c>
      <c r="K98" s="342">
        <v>0.0</v>
      </c>
      <c r="L98" s="342">
        <v>0.7</v>
      </c>
      <c r="M98" s="346">
        <v>82.5</v>
      </c>
      <c r="O98" s="344"/>
    </row>
    <row r="99" ht="15.75" customHeight="1">
      <c r="A99" s="335">
        <v>96.0</v>
      </c>
      <c r="B99" s="336">
        <v>96.0</v>
      </c>
      <c r="C99" s="337">
        <v>84.0</v>
      </c>
      <c r="D99" s="338" t="s">
        <v>5056</v>
      </c>
      <c r="E99" s="339" t="s">
        <v>1075</v>
      </c>
      <c r="F99" s="340" t="s">
        <v>4983</v>
      </c>
      <c r="G99" s="341">
        <v>11906.6</v>
      </c>
      <c r="H99" s="342">
        <v>-5.1</v>
      </c>
      <c r="I99" s="341">
        <v>2664.6</v>
      </c>
      <c r="J99" s="342">
        <v>70.3</v>
      </c>
      <c r="K99" s="342">
        <v>22.4</v>
      </c>
      <c r="L99" s="342">
        <v>32.5</v>
      </c>
      <c r="M99" s="343">
        <v>5223.0</v>
      </c>
      <c r="O99" s="344"/>
    </row>
    <row r="100" ht="15.75" customHeight="1">
      <c r="A100" s="335">
        <v>97.0</v>
      </c>
      <c r="B100" s="336">
        <v>97.0</v>
      </c>
      <c r="C100" s="337">
        <v>100.0</v>
      </c>
      <c r="D100" s="338" t="s">
        <v>5057</v>
      </c>
      <c r="E100" s="339" t="s">
        <v>482</v>
      </c>
      <c r="F100" s="340" t="s">
        <v>4960</v>
      </c>
      <c r="G100" s="341">
        <v>11741.1</v>
      </c>
      <c r="H100" s="342">
        <v>15.4</v>
      </c>
      <c r="I100" s="342">
        <v>300.1</v>
      </c>
      <c r="J100" s="342">
        <v>50.9</v>
      </c>
      <c r="K100" s="342">
        <v>2.6</v>
      </c>
      <c r="L100" s="342">
        <v>16.6</v>
      </c>
      <c r="M100" s="346">
        <v>694.1</v>
      </c>
      <c r="O100" s="344"/>
    </row>
    <row r="101" ht="15.75" customHeight="1">
      <c r="A101" s="335">
        <v>98.0</v>
      </c>
      <c r="B101" s="336">
        <v>98.0</v>
      </c>
      <c r="C101" s="337" t="s">
        <v>3537</v>
      </c>
      <c r="D101" s="338" t="s">
        <v>5058</v>
      </c>
      <c r="E101" s="339" t="s">
        <v>482</v>
      </c>
      <c r="F101" s="340" t="s">
        <v>4985</v>
      </c>
      <c r="G101" s="341">
        <v>11639.7</v>
      </c>
      <c r="H101" s="342">
        <v>34.0</v>
      </c>
      <c r="I101" s="341">
        <v>1634.0</v>
      </c>
      <c r="J101" s="342">
        <v>14.2</v>
      </c>
      <c r="K101" s="342">
        <v>14.0</v>
      </c>
      <c r="L101" s="342">
        <v>10.0</v>
      </c>
      <c r="M101" s="346">
        <v>-718.5</v>
      </c>
      <c r="O101" s="344"/>
    </row>
    <row r="102" ht="15.75" customHeight="1">
      <c r="A102" s="335">
        <v>99.0</v>
      </c>
      <c r="B102" s="336">
        <v>99.0</v>
      </c>
      <c r="C102" s="337">
        <v>148.0</v>
      </c>
      <c r="D102" s="345" t="s">
        <v>212</v>
      </c>
      <c r="E102" s="339" t="s">
        <v>482</v>
      </c>
      <c r="F102" s="340" t="s">
        <v>87</v>
      </c>
      <c r="G102" s="341">
        <v>11592.5</v>
      </c>
      <c r="H102" s="342">
        <v>76.2</v>
      </c>
      <c r="I102" s="342">
        <v>28.9</v>
      </c>
      <c r="J102" s="342">
        <v>-75.8</v>
      </c>
      <c r="K102" s="342">
        <v>0.2</v>
      </c>
      <c r="L102" s="342">
        <v>1.9</v>
      </c>
      <c r="M102" s="346">
        <v>527.9</v>
      </c>
      <c r="O102" s="344"/>
    </row>
    <row r="103" ht="15.75" customHeight="1">
      <c r="A103" s="335">
        <v>100.0</v>
      </c>
      <c r="B103" s="336">
        <v>100.0</v>
      </c>
      <c r="C103" s="337">
        <v>66.0</v>
      </c>
      <c r="D103" s="338" t="s">
        <v>5059</v>
      </c>
      <c r="E103" s="339" t="s">
        <v>332</v>
      </c>
      <c r="F103" s="340" t="s">
        <v>4963</v>
      </c>
      <c r="G103" s="341">
        <v>11266.9</v>
      </c>
      <c r="H103" s="342">
        <v>-36.1</v>
      </c>
      <c r="I103" s="341">
        <v>4207.2</v>
      </c>
      <c r="J103" s="342">
        <v>-50.8</v>
      </c>
      <c r="K103" s="342">
        <v>37.3</v>
      </c>
      <c r="L103" s="342">
        <v>14.0</v>
      </c>
      <c r="M103" s="343">
        <v>5815.7</v>
      </c>
      <c r="O103" s="344"/>
    </row>
    <row r="104" ht="15.75" customHeight="1">
      <c r="A104" s="335">
        <v>101.0</v>
      </c>
      <c r="B104" s="336">
        <v>101.0</v>
      </c>
      <c r="C104" s="337" t="s">
        <v>3537</v>
      </c>
      <c r="D104" s="338" t="s">
        <v>5060</v>
      </c>
      <c r="E104" s="339" t="s">
        <v>546</v>
      </c>
      <c r="F104" s="340" t="s">
        <v>4963</v>
      </c>
      <c r="G104" s="341">
        <v>11248.4</v>
      </c>
      <c r="H104" s="342">
        <v>3.2</v>
      </c>
      <c r="I104" s="341">
        <v>-1555.6</v>
      </c>
      <c r="J104" s="342">
        <v>-462.1</v>
      </c>
      <c r="K104" s="342">
        <v>-13.8</v>
      </c>
      <c r="L104" s="342">
        <v>-42.3</v>
      </c>
      <c r="M104" s="343">
        <v>-1314.9</v>
      </c>
      <c r="O104" s="344"/>
    </row>
    <row r="105" ht="15.75" customHeight="1">
      <c r="A105" s="335">
        <v>102.0</v>
      </c>
      <c r="B105" s="336">
        <v>102.0</v>
      </c>
      <c r="C105" s="337">
        <v>108.0</v>
      </c>
      <c r="D105" s="338" t="s">
        <v>5061</v>
      </c>
      <c r="E105" s="339" t="s">
        <v>98</v>
      </c>
      <c r="F105" s="340" t="s">
        <v>4976</v>
      </c>
      <c r="G105" s="341">
        <v>11152.4</v>
      </c>
      <c r="H105" s="342">
        <v>23.1</v>
      </c>
      <c r="I105" s="342">
        <v>666.4</v>
      </c>
      <c r="J105" s="342">
        <v>-24.7</v>
      </c>
      <c r="K105" s="342">
        <v>6.0</v>
      </c>
      <c r="L105" s="342">
        <v>18.8</v>
      </c>
      <c r="M105" s="343">
        <v>1184.2</v>
      </c>
      <c r="O105" s="344"/>
    </row>
    <row r="106" ht="15.75" customHeight="1">
      <c r="A106" s="335">
        <v>103.0</v>
      </c>
      <c r="B106" s="336">
        <v>103.0</v>
      </c>
      <c r="C106" s="337">
        <v>89.0</v>
      </c>
      <c r="D106" s="338" t="s">
        <v>5062</v>
      </c>
      <c r="E106" s="339" t="s">
        <v>332</v>
      </c>
      <c r="F106" s="340" t="s">
        <v>4963</v>
      </c>
      <c r="G106" s="341">
        <v>10953.8</v>
      </c>
      <c r="H106" s="342">
        <v>-4.2</v>
      </c>
      <c r="I106" s="341">
        <v>4521.4</v>
      </c>
      <c r="J106" s="342">
        <v>0.4</v>
      </c>
      <c r="K106" s="342">
        <v>41.3</v>
      </c>
      <c r="L106" s="342">
        <v>239.1</v>
      </c>
      <c r="M106" s="343">
        <v>7009.4</v>
      </c>
      <c r="O106" s="344"/>
    </row>
    <row r="107" ht="15.75" customHeight="1">
      <c r="A107" s="335">
        <v>104.0</v>
      </c>
      <c r="B107" s="336">
        <v>104.0</v>
      </c>
      <c r="C107" s="337">
        <v>102.0</v>
      </c>
      <c r="D107" s="338" t="s">
        <v>5063</v>
      </c>
      <c r="E107" s="339" t="s">
        <v>1751</v>
      </c>
      <c r="F107" s="340" t="s">
        <v>5055</v>
      </c>
      <c r="G107" s="341">
        <v>10874.4</v>
      </c>
      <c r="H107" s="342">
        <v>8.9</v>
      </c>
      <c r="I107" s="341">
        <v>1171.7</v>
      </c>
      <c r="J107" s="342">
        <v>51.8</v>
      </c>
      <c r="K107" s="342">
        <v>10.8</v>
      </c>
      <c r="L107" s="342">
        <v>58.2</v>
      </c>
      <c r="M107" s="343">
        <v>1231.6</v>
      </c>
      <c r="O107" s="344"/>
    </row>
    <row r="108" ht="15.75" customHeight="1">
      <c r="A108" s="335">
        <v>105.0</v>
      </c>
      <c r="B108" s="336">
        <v>105.0</v>
      </c>
      <c r="C108" s="337">
        <v>114.0</v>
      </c>
      <c r="D108" s="338" t="s">
        <v>5064</v>
      </c>
      <c r="E108" s="339" t="s">
        <v>1751</v>
      </c>
      <c r="F108" s="340" t="s">
        <v>4960</v>
      </c>
      <c r="G108" s="341">
        <v>10806.6</v>
      </c>
      <c r="H108" s="342">
        <v>26.8</v>
      </c>
      <c r="I108" s="341">
        <v>3392.7</v>
      </c>
      <c r="J108" s="342">
        <v>63.0</v>
      </c>
      <c r="K108" s="342">
        <v>31.4</v>
      </c>
      <c r="L108" s="342">
        <v>25.9</v>
      </c>
      <c r="M108" s="343">
        <v>4993.6</v>
      </c>
      <c r="O108" s="344"/>
    </row>
    <row r="109" ht="15.75" customHeight="1">
      <c r="A109" s="335">
        <v>106.0</v>
      </c>
      <c r="B109" s="336">
        <v>106.0</v>
      </c>
      <c r="C109" s="337">
        <v>90.0</v>
      </c>
      <c r="D109" s="338" t="s">
        <v>5065</v>
      </c>
      <c r="E109" s="339" t="s">
        <v>482</v>
      </c>
      <c r="F109" s="340" t="s">
        <v>4999</v>
      </c>
      <c r="G109" s="341">
        <v>10798.1</v>
      </c>
      <c r="H109" s="342">
        <v>-5.1</v>
      </c>
      <c r="I109" s="342">
        <v>418.7</v>
      </c>
      <c r="J109" s="342">
        <v>-57.4</v>
      </c>
      <c r="K109" s="342">
        <v>3.9</v>
      </c>
      <c r="L109" s="342">
        <v>19.5</v>
      </c>
      <c r="M109" s="346">
        <v>604.6</v>
      </c>
      <c r="O109" s="344"/>
    </row>
    <row r="110" ht="15.75" customHeight="1">
      <c r="A110" s="335">
        <v>107.0</v>
      </c>
      <c r="B110" s="336">
        <v>107.0</v>
      </c>
      <c r="C110" s="337">
        <v>86.0</v>
      </c>
      <c r="D110" s="338" t="s">
        <v>5066</v>
      </c>
      <c r="E110" s="339" t="s">
        <v>482</v>
      </c>
      <c r="F110" s="340" t="s">
        <v>5028</v>
      </c>
      <c r="G110" s="341">
        <v>10693.1</v>
      </c>
      <c r="H110" s="342">
        <v>-8.5</v>
      </c>
      <c r="I110" s="341">
        <v>1714.7</v>
      </c>
      <c r="J110" s="342">
        <v>640.8</v>
      </c>
      <c r="K110" s="342">
        <v>16.0</v>
      </c>
      <c r="L110" s="342">
        <v>12.7</v>
      </c>
      <c r="M110" s="343">
        <v>2807.1</v>
      </c>
      <c r="O110" s="344"/>
    </row>
    <row r="111" ht="15.75" customHeight="1">
      <c r="A111" s="335">
        <v>108.0</v>
      </c>
      <c r="B111" s="336">
        <v>108.0</v>
      </c>
      <c r="C111" s="337">
        <v>104.0</v>
      </c>
      <c r="D111" s="347" t="s">
        <v>5067</v>
      </c>
      <c r="E111" s="339" t="s">
        <v>1075</v>
      </c>
      <c r="F111" s="340" t="s">
        <v>3754</v>
      </c>
      <c r="G111" s="341">
        <v>10576.9</v>
      </c>
      <c r="H111" s="342">
        <v>10.7</v>
      </c>
      <c r="I111" s="342">
        <v>425.0</v>
      </c>
      <c r="J111" s="342">
        <v>-19.9</v>
      </c>
      <c r="K111" s="342">
        <v>4.0</v>
      </c>
      <c r="L111" s="342">
        <v>55.3</v>
      </c>
      <c r="M111" s="343">
        <v>1619.3</v>
      </c>
      <c r="O111" s="344"/>
    </row>
    <row r="112" ht="15.75" customHeight="1">
      <c r="A112" s="335">
        <v>109.0</v>
      </c>
      <c r="B112" s="336">
        <v>109.0</v>
      </c>
      <c r="C112" s="337">
        <v>107.0</v>
      </c>
      <c r="D112" s="345" t="s">
        <v>759</v>
      </c>
      <c r="E112" s="339" t="s">
        <v>156</v>
      </c>
      <c r="F112" s="340" t="s">
        <v>87</v>
      </c>
      <c r="G112" s="341">
        <v>10322.9</v>
      </c>
      <c r="H112" s="342">
        <v>13.7</v>
      </c>
      <c r="I112" s="342">
        <v>614.6</v>
      </c>
      <c r="J112" s="342">
        <v>47.5</v>
      </c>
      <c r="K112" s="342">
        <v>6.0</v>
      </c>
      <c r="L112" s="342">
        <v>30.3</v>
      </c>
      <c r="M112" s="346">
        <v>616.4</v>
      </c>
      <c r="O112" s="344"/>
    </row>
    <row r="113" ht="15.75" customHeight="1">
      <c r="A113" s="335">
        <v>110.0</v>
      </c>
      <c r="B113" s="336">
        <v>110.0</v>
      </c>
      <c r="C113" s="337">
        <v>109.0</v>
      </c>
      <c r="D113" s="345" t="s">
        <v>1829</v>
      </c>
      <c r="E113" s="339" t="s">
        <v>482</v>
      </c>
      <c r="F113" s="340" t="s">
        <v>3256</v>
      </c>
      <c r="G113" s="341">
        <v>10205.5</v>
      </c>
      <c r="H113" s="342">
        <v>13.2</v>
      </c>
      <c r="I113" s="342">
        <v>353.7</v>
      </c>
      <c r="J113" s="342">
        <v>-26.1</v>
      </c>
      <c r="K113" s="342">
        <v>3.5</v>
      </c>
      <c r="L113" s="342">
        <v>12.0</v>
      </c>
      <c r="M113" s="346">
        <v>473.0</v>
      </c>
      <c r="O113" s="344"/>
    </row>
    <row r="114" ht="15.75" customHeight="1">
      <c r="A114" s="335">
        <v>111.0</v>
      </c>
      <c r="B114" s="336">
        <v>111.0</v>
      </c>
      <c r="C114" s="337">
        <v>137.0</v>
      </c>
      <c r="D114" s="338" t="s">
        <v>5068</v>
      </c>
      <c r="E114" s="339" t="s">
        <v>1075</v>
      </c>
      <c r="F114" s="340" t="s">
        <v>4970</v>
      </c>
      <c r="G114" s="341">
        <v>10178.4</v>
      </c>
      <c r="H114" s="342">
        <v>43.7</v>
      </c>
      <c r="I114" s="342">
        <v>502.2</v>
      </c>
      <c r="J114" s="342">
        <v>147.5</v>
      </c>
      <c r="K114" s="342">
        <v>4.9</v>
      </c>
      <c r="L114" s="342">
        <v>17.4</v>
      </c>
      <c r="M114" s="346">
        <v>778.3</v>
      </c>
      <c r="O114" s="344"/>
    </row>
    <row r="115" ht="15.75" customHeight="1">
      <c r="A115" s="335">
        <v>112.0</v>
      </c>
      <c r="B115" s="336">
        <v>112.0</v>
      </c>
      <c r="C115" s="337">
        <v>105.0</v>
      </c>
      <c r="D115" s="338" t="s">
        <v>5069</v>
      </c>
      <c r="E115" s="339" t="s">
        <v>482</v>
      </c>
      <c r="F115" s="340" t="s">
        <v>5055</v>
      </c>
      <c r="G115" s="341">
        <v>10150.5</v>
      </c>
      <c r="H115" s="342">
        <v>9.4</v>
      </c>
      <c r="I115" s="342">
        <v>327.3</v>
      </c>
      <c r="J115" s="342">
        <v>-14.9</v>
      </c>
      <c r="K115" s="342">
        <v>3.2</v>
      </c>
      <c r="L115" s="342">
        <v>27.4</v>
      </c>
      <c r="M115" s="346">
        <v>372.6</v>
      </c>
      <c r="O115" s="344"/>
    </row>
    <row r="116" ht="15.75" customHeight="1">
      <c r="A116" s="335">
        <v>113.0</v>
      </c>
      <c r="B116" s="336">
        <v>113.0</v>
      </c>
      <c r="C116" s="337">
        <v>124.0</v>
      </c>
      <c r="D116" s="345" t="s">
        <v>2160</v>
      </c>
      <c r="E116" s="339" t="s">
        <v>1199</v>
      </c>
      <c r="F116" s="340" t="s">
        <v>3256</v>
      </c>
      <c r="G116" s="341">
        <v>10129.2</v>
      </c>
      <c r="H116" s="342">
        <v>29.6</v>
      </c>
      <c r="I116" s="342">
        <v>481.8</v>
      </c>
      <c r="J116" s="342">
        <v>-4.6</v>
      </c>
      <c r="K116" s="342">
        <v>4.8</v>
      </c>
      <c r="L116" s="342">
        <v>7.0</v>
      </c>
      <c r="M116" s="346">
        <v>519.2</v>
      </c>
      <c r="O116" s="344"/>
    </row>
    <row r="117" ht="15.75" customHeight="1">
      <c r="A117" s="335">
        <v>114.0</v>
      </c>
      <c r="B117" s="336">
        <v>114.0</v>
      </c>
      <c r="C117" s="337">
        <v>126.0</v>
      </c>
      <c r="D117" s="338" t="s">
        <v>5070</v>
      </c>
      <c r="E117" s="339" t="s">
        <v>3433</v>
      </c>
      <c r="F117" s="340" t="s">
        <v>5012</v>
      </c>
      <c r="G117" s="341">
        <v>10122.4</v>
      </c>
      <c r="H117" s="342">
        <v>32.0</v>
      </c>
      <c r="I117" s="342">
        <v>302.2</v>
      </c>
      <c r="J117" s="342">
        <v>-33.6</v>
      </c>
      <c r="K117" s="342">
        <v>3.0</v>
      </c>
      <c r="L117" s="342">
        <v>16.1</v>
      </c>
      <c r="M117" s="346">
        <v>587.9</v>
      </c>
      <c r="O117" s="344"/>
    </row>
    <row r="118" ht="15.75" customHeight="1">
      <c r="A118" s="335">
        <v>115.0</v>
      </c>
      <c r="B118" s="336">
        <v>115.0</v>
      </c>
      <c r="C118" s="337">
        <v>142.0</v>
      </c>
      <c r="D118" s="345" t="s">
        <v>994</v>
      </c>
      <c r="E118" s="339" t="s">
        <v>332</v>
      </c>
      <c r="F118" s="340" t="s">
        <v>87</v>
      </c>
      <c r="G118" s="341">
        <v>10105.1</v>
      </c>
      <c r="H118" s="342">
        <v>50.7</v>
      </c>
      <c r="I118" s="342">
        <v>233.1</v>
      </c>
      <c r="J118" s="342">
        <v>-26.9</v>
      </c>
      <c r="K118" s="342">
        <v>2.3</v>
      </c>
      <c r="L118" s="342">
        <v>12.5</v>
      </c>
      <c r="M118" s="346">
        <v>65.9</v>
      </c>
      <c r="O118" s="344"/>
    </row>
    <row r="119" ht="15.75" customHeight="1">
      <c r="A119" s="335">
        <v>116.0</v>
      </c>
      <c r="B119" s="336">
        <v>116.0</v>
      </c>
      <c r="C119" s="337">
        <v>91.0</v>
      </c>
      <c r="D119" s="338" t="s">
        <v>5071</v>
      </c>
      <c r="E119" s="339" t="s">
        <v>1075</v>
      </c>
      <c r="F119" s="340" t="s">
        <v>4983</v>
      </c>
      <c r="G119" s="341">
        <v>10082.8</v>
      </c>
      <c r="H119" s="342">
        <v>-11.1</v>
      </c>
      <c r="I119" s="342">
        <v>540.6</v>
      </c>
      <c r="J119" s="342">
        <v>-4.0</v>
      </c>
      <c r="K119" s="342">
        <v>5.4</v>
      </c>
      <c r="L119" s="342">
        <v>19.6</v>
      </c>
      <c r="M119" s="346">
        <v>477.2</v>
      </c>
      <c r="O119" s="344"/>
    </row>
    <row r="120" ht="15.75" customHeight="1">
      <c r="A120" s="335">
        <v>117.0</v>
      </c>
      <c r="B120" s="336">
        <v>117.0</v>
      </c>
      <c r="C120" s="337" t="s">
        <v>3537</v>
      </c>
      <c r="D120" s="347" t="s">
        <v>5072</v>
      </c>
      <c r="E120" s="339" t="s">
        <v>274</v>
      </c>
      <c r="F120" s="340" t="s">
        <v>87</v>
      </c>
      <c r="G120" s="341">
        <v>9969.8</v>
      </c>
      <c r="H120" s="342">
        <v>69.7</v>
      </c>
      <c r="I120" s="342">
        <v>183.8</v>
      </c>
      <c r="J120" s="342">
        <v>25.2</v>
      </c>
      <c r="K120" s="342">
        <v>1.8</v>
      </c>
      <c r="L120" s="342">
        <v>47.4</v>
      </c>
      <c r="M120" s="346">
        <v>422.3</v>
      </c>
      <c r="O120" s="344"/>
    </row>
    <row r="121" ht="15.75" customHeight="1">
      <c r="A121" s="335">
        <v>118.0</v>
      </c>
      <c r="B121" s="336">
        <v>118.0</v>
      </c>
      <c r="C121" s="337">
        <v>131.0</v>
      </c>
      <c r="D121" s="338" t="s">
        <v>5073</v>
      </c>
      <c r="E121" s="339" t="s">
        <v>156</v>
      </c>
      <c r="F121" s="340" t="s">
        <v>5012</v>
      </c>
      <c r="G121" s="341">
        <v>9841.5</v>
      </c>
      <c r="H121" s="342">
        <v>32.3</v>
      </c>
      <c r="I121" s="342">
        <v>514.0</v>
      </c>
      <c r="J121" s="342">
        <v>230.0</v>
      </c>
      <c r="K121" s="342">
        <v>5.2</v>
      </c>
      <c r="L121" s="342">
        <v>3.4</v>
      </c>
      <c r="M121" s="343">
        <v>1842.0</v>
      </c>
      <c r="O121" s="344"/>
    </row>
    <row r="122" ht="15.75" customHeight="1">
      <c r="A122" s="335">
        <v>119.0</v>
      </c>
      <c r="B122" s="336">
        <v>119.0</v>
      </c>
      <c r="C122" s="337">
        <v>127.0</v>
      </c>
      <c r="D122" s="338" t="s">
        <v>5074</v>
      </c>
      <c r="E122" s="339" t="s">
        <v>482</v>
      </c>
      <c r="F122" s="340" t="s">
        <v>4968</v>
      </c>
      <c r="G122" s="341">
        <v>9740.8</v>
      </c>
      <c r="H122" s="342">
        <v>27.3</v>
      </c>
      <c r="I122" s="342">
        <v>388.7</v>
      </c>
      <c r="J122" s="342">
        <v>-55.9</v>
      </c>
      <c r="K122" s="342">
        <v>4.0</v>
      </c>
      <c r="L122" s="342">
        <v>49.5</v>
      </c>
      <c r="M122" s="343">
        <v>1475.4</v>
      </c>
      <c r="O122" s="344"/>
    </row>
    <row r="123" ht="15.75" customHeight="1">
      <c r="A123" s="335">
        <v>120.0</v>
      </c>
      <c r="B123" s="336">
        <v>120.0</v>
      </c>
      <c r="C123" s="337">
        <v>116.0</v>
      </c>
      <c r="D123" s="338" t="s">
        <v>5075</v>
      </c>
      <c r="E123" s="339" t="s">
        <v>482</v>
      </c>
      <c r="F123" s="340" t="s">
        <v>5015</v>
      </c>
      <c r="G123" s="341">
        <v>9565.0</v>
      </c>
      <c r="H123" s="342">
        <v>16.2</v>
      </c>
      <c r="I123" s="342">
        <v>160.6</v>
      </c>
      <c r="J123" s="342">
        <v>325.7</v>
      </c>
      <c r="K123" s="342">
        <v>1.7</v>
      </c>
      <c r="L123" s="342" t="s">
        <v>5021</v>
      </c>
      <c r="M123" s="346">
        <v>-93.5</v>
      </c>
      <c r="O123" s="344"/>
    </row>
    <row r="124" ht="15.75" customHeight="1">
      <c r="A124" s="335">
        <v>121.0</v>
      </c>
      <c r="B124" s="336">
        <v>121.0</v>
      </c>
      <c r="C124" s="337" t="s">
        <v>3537</v>
      </c>
      <c r="D124" s="345" t="s">
        <v>3077</v>
      </c>
      <c r="E124" s="339" t="s">
        <v>156</v>
      </c>
      <c r="F124" s="340" t="s">
        <v>3754</v>
      </c>
      <c r="G124" s="341">
        <v>9395.5</v>
      </c>
      <c r="H124" s="342">
        <v>15.7</v>
      </c>
      <c r="I124" s="342">
        <v>470.7</v>
      </c>
      <c r="J124" s="342">
        <v>-19.5</v>
      </c>
      <c r="K124" s="342">
        <v>5.0</v>
      </c>
      <c r="L124" s="342">
        <v>37.8</v>
      </c>
      <c r="M124" s="346">
        <v>44.2</v>
      </c>
      <c r="O124" s="344"/>
    </row>
    <row r="125" ht="15.75" customHeight="1">
      <c r="A125" s="335">
        <v>122.0</v>
      </c>
      <c r="B125" s="336">
        <v>122.0</v>
      </c>
      <c r="C125" s="337">
        <v>122.0</v>
      </c>
      <c r="D125" s="338" t="s">
        <v>5076</v>
      </c>
      <c r="E125" s="339" t="s">
        <v>98</v>
      </c>
      <c r="F125" s="340" t="s">
        <v>4974</v>
      </c>
      <c r="G125" s="341">
        <v>9380.6</v>
      </c>
      <c r="H125" s="342">
        <v>18.7</v>
      </c>
      <c r="I125" s="342">
        <v>70.6</v>
      </c>
      <c r="J125" s="342">
        <v>-15.4</v>
      </c>
      <c r="K125" s="342">
        <v>0.8</v>
      </c>
      <c r="L125" s="342">
        <v>18.1</v>
      </c>
      <c r="M125" s="346">
        <v>308.8</v>
      </c>
      <c r="O125" s="344"/>
    </row>
    <row r="126" ht="15.75" customHeight="1">
      <c r="A126" s="335">
        <v>123.0</v>
      </c>
      <c r="B126" s="336">
        <v>123.0</v>
      </c>
      <c r="C126" s="337">
        <v>145.0</v>
      </c>
      <c r="D126" s="338" t="s">
        <v>5077</v>
      </c>
      <c r="E126" s="339" t="s">
        <v>482</v>
      </c>
      <c r="F126" s="340" t="s">
        <v>5028</v>
      </c>
      <c r="G126" s="341">
        <v>9218.7</v>
      </c>
      <c r="H126" s="342">
        <v>39.4</v>
      </c>
      <c r="I126" s="342">
        <v>517.0</v>
      </c>
      <c r="J126" s="342">
        <v>29.3</v>
      </c>
      <c r="K126" s="342">
        <v>5.6</v>
      </c>
      <c r="L126" s="342">
        <v>21.6</v>
      </c>
      <c r="M126" s="346">
        <v>868.9</v>
      </c>
      <c r="O126" s="344"/>
    </row>
    <row r="127" ht="15.75" customHeight="1">
      <c r="A127" s="335">
        <v>124.0</v>
      </c>
      <c r="B127" s="336">
        <v>124.0</v>
      </c>
      <c r="C127" s="337">
        <v>119.0</v>
      </c>
      <c r="D127" s="345" t="s">
        <v>2552</v>
      </c>
      <c r="E127" s="339" t="s">
        <v>3441</v>
      </c>
      <c r="F127" s="340" t="s">
        <v>3754</v>
      </c>
      <c r="G127" s="341">
        <v>9198.6</v>
      </c>
      <c r="H127" s="342">
        <v>12.9</v>
      </c>
      <c r="I127" s="342">
        <v>-467.0</v>
      </c>
      <c r="J127" s="342">
        <v>-524.4</v>
      </c>
      <c r="K127" s="342">
        <v>-5.1</v>
      </c>
      <c r="L127" s="342">
        <v>-19.4</v>
      </c>
      <c r="M127" s="346">
        <v>198.2</v>
      </c>
      <c r="O127" s="344"/>
    </row>
    <row r="128" ht="15.75" customHeight="1">
      <c r="A128" s="335">
        <v>125.0</v>
      </c>
      <c r="B128" s="336">
        <v>125.0</v>
      </c>
      <c r="C128" s="337">
        <v>106.0</v>
      </c>
      <c r="D128" s="338" t="s">
        <v>5078</v>
      </c>
      <c r="E128" s="339" t="s">
        <v>482</v>
      </c>
      <c r="F128" s="340" t="s">
        <v>5028</v>
      </c>
      <c r="G128" s="341">
        <v>9091.7</v>
      </c>
      <c r="H128" s="342">
        <v>-1.7</v>
      </c>
      <c r="I128" s="341">
        <v>4226.6</v>
      </c>
      <c r="J128" s="342">
        <v>-10.4</v>
      </c>
      <c r="K128" s="342">
        <v>46.5</v>
      </c>
      <c r="L128" s="342">
        <v>19.8</v>
      </c>
      <c r="M128" s="343">
        <v>5572.3</v>
      </c>
      <c r="O128" s="344"/>
    </row>
    <row r="129" ht="15.75" customHeight="1">
      <c r="A129" s="335">
        <v>126.0</v>
      </c>
      <c r="B129" s="336">
        <v>126.0</v>
      </c>
      <c r="C129" s="337">
        <v>125.0</v>
      </c>
      <c r="D129" s="345" t="s">
        <v>939</v>
      </c>
      <c r="E129" s="339" t="s">
        <v>482</v>
      </c>
      <c r="F129" s="340" t="s">
        <v>87</v>
      </c>
      <c r="G129" s="341">
        <v>9028.3</v>
      </c>
      <c r="H129" s="342">
        <v>16.9</v>
      </c>
      <c r="I129" s="342">
        <v>157.7</v>
      </c>
      <c r="J129" s="342">
        <v>-29.2</v>
      </c>
      <c r="K129" s="342">
        <v>1.7</v>
      </c>
      <c r="L129" s="342">
        <v>9.7</v>
      </c>
      <c r="M129" s="346">
        <v>404.4</v>
      </c>
      <c r="O129" s="344"/>
    </row>
    <row r="130" ht="15.75" customHeight="1">
      <c r="A130" s="335">
        <v>127.0</v>
      </c>
      <c r="B130" s="336">
        <v>127.0</v>
      </c>
      <c r="C130" s="337">
        <v>399.0</v>
      </c>
      <c r="D130" s="338" t="s">
        <v>5079</v>
      </c>
      <c r="E130" s="339" t="s">
        <v>482</v>
      </c>
      <c r="F130" s="340" t="s">
        <v>5028</v>
      </c>
      <c r="G130" s="341">
        <v>9016.3</v>
      </c>
      <c r="H130" s="342">
        <v>97.0</v>
      </c>
      <c r="I130" s="342">
        <v>-526.4</v>
      </c>
      <c r="J130" s="342">
        <v>61.8</v>
      </c>
      <c r="K130" s="342">
        <v>-5.8</v>
      </c>
      <c r="L130" s="342">
        <v>-4.0</v>
      </c>
      <c r="M130" s="343">
        <v>2558.4</v>
      </c>
      <c r="O130" s="344"/>
    </row>
    <row r="131" ht="15.75" customHeight="1">
      <c r="A131" s="335">
        <v>128.0</v>
      </c>
      <c r="B131" s="336">
        <v>128.0</v>
      </c>
      <c r="C131" s="337">
        <v>219.0</v>
      </c>
      <c r="D131" s="338" t="s">
        <v>5080</v>
      </c>
      <c r="E131" s="339" t="s">
        <v>3433</v>
      </c>
      <c r="F131" s="340" t="s">
        <v>5055</v>
      </c>
      <c r="G131" s="341">
        <v>8949.4</v>
      </c>
      <c r="H131" s="342">
        <v>100.3</v>
      </c>
      <c r="I131" s="342">
        <v>300.9</v>
      </c>
      <c r="J131" s="342">
        <v>263.7</v>
      </c>
      <c r="K131" s="342">
        <v>3.4</v>
      </c>
      <c r="L131" s="342">
        <v>120.1</v>
      </c>
      <c r="M131" s="346">
        <v>265.7</v>
      </c>
      <c r="O131" s="344"/>
    </row>
    <row r="132" ht="15.75" customHeight="1">
      <c r="A132" s="335">
        <v>129.0</v>
      </c>
      <c r="B132" s="336">
        <v>129.0</v>
      </c>
      <c r="C132" s="337">
        <v>135.0</v>
      </c>
      <c r="D132" s="338" t="s">
        <v>5081</v>
      </c>
      <c r="E132" s="339" t="s">
        <v>349</v>
      </c>
      <c r="F132" s="340" t="s">
        <v>4960</v>
      </c>
      <c r="G132" s="341">
        <v>8885.6</v>
      </c>
      <c r="H132" s="342">
        <v>23.1</v>
      </c>
      <c r="I132" s="342">
        <v>213.2</v>
      </c>
      <c r="J132" s="342">
        <v>361.5</v>
      </c>
      <c r="K132" s="342">
        <v>2.4</v>
      </c>
      <c r="L132" s="342">
        <v>111.6</v>
      </c>
      <c r="M132" s="346">
        <v>280.8</v>
      </c>
      <c r="O132" s="344"/>
    </row>
    <row r="133" ht="15.75" customHeight="1">
      <c r="A133" s="335">
        <v>130.0</v>
      </c>
      <c r="B133" s="336">
        <v>130.0</v>
      </c>
      <c r="C133" s="337">
        <v>115.0</v>
      </c>
      <c r="D133" s="338" t="s">
        <v>5082</v>
      </c>
      <c r="E133" s="339" t="s">
        <v>482</v>
      </c>
      <c r="F133" s="340" t="s">
        <v>4970</v>
      </c>
      <c r="G133" s="341">
        <v>8824.6</v>
      </c>
      <c r="H133" s="342">
        <v>4.8</v>
      </c>
      <c r="I133" s="342">
        <v>957.2</v>
      </c>
      <c r="J133" s="342">
        <v>14.3</v>
      </c>
      <c r="K133" s="342">
        <v>10.8</v>
      </c>
      <c r="L133" s="342">
        <v>19.1</v>
      </c>
      <c r="M133" s="346">
        <v>918.5</v>
      </c>
      <c r="O133" s="344"/>
    </row>
    <row r="134" ht="15.75" customHeight="1">
      <c r="A134" s="335">
        <v>131.0</v>
      </c>
      <c r="B134" s="336">
        <v>131.0</v>
      </c>
      <c r="C134" s="337">
        <v>133.0</v>
      </c>
      <c r="D134" s="345" t="s">
        <v>1932</v>
      </c>
      <c r="E134" s="339" t="s">
        <v>156</v>
      </c>
      <c r="F134" s="340" t="s">
        <v>3256</v>
      </c>
      <c r="G134" s="341">
        <v>8805.2</v>
      </c>
      <c r="H134" s="342">
        <v>18.3</v>
      </c>
      <c r="I134" s="342">
        <v>369.2</v>
      </c>
      <c r="J134" s="342">
        <v>-6.9</v>
      </c>
      <c r="K134" s="342">
        <v>4.2</v>
      </c>
      <c r="L134" s="342">
        <v>15.9</v>
      </c>
      <c r="M134" s="346">
        <v>657.0</v>
      </c>
      <c r="O134" s="344"/>
    </row>
    <row r="135" ht="15.75" customHeight="1">
      <c r="A135" s="335">
        <v>132.0</v>
      </c>
      <c r="B135" s="336">
        <v>132.0</v>
      </c>
      <c r="C135" s="337">
        <v>187.0</v>
      </c>
      <c r="D135" s="345" t="s">
        <v>3538</v>
      </c>
      <c r="E135" s="339" t="s">
        <v>98</v>
      </c>
      <c r="F135" s="340" t="s">
        <v>87</v>
      </c>
      <c r="G135" s="341">
        <v>8790.9</v>
      </c>
      <c r="H135" s="342">
        <v>63.0</v>
      </c>
      <c r="I135" s="341">
        <v>1396.2</v>
      </c>
      <c r="J135" s="342">
        <v>18.6</v>
      </c>
      <c r="K135" s="342">
        <v>15.9</v>
      </c>
      <c r="L135" s="342">
        <v>27.4</v>
      </c>
      <c r="M135" s="343">
        <v>2576.4</v>
      </c>
      <c r="O135" s="344"/>
    </row>
    <row r="136" ht="15.75" customHeight="1">
      <c r="A136" s="335">
        <v>133.0</v>
      </c>
      <c r="B136" s="336">
        <v>133.0</v>
      </c>
      <c r="C136" s="337">
        <v>159.0</v>
      </c>
      <c r="D136" s="338" t="s">
        <v>5083</v>
      </c>
      <c r="E136" s="339" t="s">
        <v>482</v>
      </c>
      <c r="F136" s="340" t="s">
        <v>5055</v>
      </c>
      <c r="G136" s="341">
        <v>8746.5</v>
      </c>
      <c r="H136" s="342">
        <v>40.6</v>
      </c>
      <c r="I136" s="342">
        <v>259.7</v>
      </c>
      <c r="J136" s="342">
        <v>-34.3</v>
      </c>
      <c r="K136" s="342">
        <v>3.0</v>
      </c>
      <c r="L136" s="342">
        <v>11.7</v>
      </c>
      <c r="M136" s="346">
        <v>502.6</v>
      </c>
      <c r="O136" s="344"/>
    </row>
    <row r="137" ht="15.75" customHeight="1">
      <c r="A137" s="335">
        <v>134.0</v>
      </c>
      <c r="B137" s="336">
        <v>134.0</v>
      </c>
      <c r="C137" s="337">
        <v>128.0</v>
      </c>
      <c r="D137" s="345" t="s">
        <v>490</v>
      </c>
      <c r="E137" s="339" t="s">
        <v>574</v>
      </c>
      <c r="F137" s="340" t="s">
        <v>87</v>
      </c>
      <c r="G137" s="341">
        <v>8626.4</v>
      </c>
      <c r="H137" s="342">
        <v>13.6</v>
      </c>
      <c r="I137" s="342">
        <v>348.7</v>
      </c>
      <c r="J137" s="342">
        <v>-1.4</v>
      </c>
      <c r="K137" s="342">
        <v>4.0</v>
      </c>
      <c r="L137" s="342">
        <v>20.9</v>
      </c>
      <c r="M137" s="346">
        <v>381.4</v>
      </c>
      <c r="O137" s="344"/>
    </row>
    <row r="138" ht="15.75" customHeight="1">
      <c r="A138" s="335">
        <v>135.0</v>
      </c>
      <c r="B138" s="336">
        <v>135.0</v>
      </c>
      <c r="C138" s="337">
        <v>111.0</v>
      </c>
      <c r="D138" s="338" t="s">
        <v>5084</v>
      </c>
      <c r="E138" s="339" t="s">
        <v>156</v>
      </c>
      <c r="F138" s="340" t="s">
        <v>4999</v>
      </c>
      <c r="G138" s="341">
        <v>8603.0</v>
      </c>
      <c r="H138" s="342">
        <v>-0.6</v>
      </c>
      <c r="I138" s="342">
        <v>225.3</v>
      </c>
      <c r="J138" s="342">
        <v>-42.2</v>
      </c>
      <c r="K138" s="342">
        <v>2.6</v>
      </c>
      <c r="L138" s="342">
        <v>12.7</v>
      </c>
      <c r="M138" s="346">
        <v>90.6</v>
      </c>
      <c r="O138" s="344"/>
    </row>
    <row r="139" ht="15.75" customHeight="1">
      <c r="A139" s="335">
        <v>136.0</v>
      </c>
      <c r="B139" s="336">
        <v>136.0</v>
      </c>
      <c r="C139" s="337">
        <v>236.0</v>
      </c>
      <c r="D139" s="338" t="s">
        <v>5085</v>
      </c>
      <c r="E139" s="339" t="s">
        <v>274</v>
      </c>
      <c r="F139" s="340" t="s">
        <v>4974</v>
      </c>
      <c r="G139" s="341">
        <v>8591.1</v>
      </c>
      <c r="H139" s="342">
        <v>109.3</v>
      </c>
      <c r="I139" s="341">
        <v>2077.1</v>
      </c>
      <c r="J139" s="342">
        <v>53.0</v>
      </c>
      <c r="K139" s="342">
        <v>24.2</v>
      </c>
      <c r="L139" s="342">
        <v>63.4</v>
      </c>
      <c r="M139" s="343">
        <v>2349.8</v>
      </c>
      <c r="O139" s="344"/>
    </row>
    <row r="140" ht="15.75" customHeight="1">
      <c r="A140" s="335">
        <v>137.0</v>
      </c>
      <c r="B140" s="336">
        <v>137.0</v>
      </c>
      <c r="C140" s="337">
        <v>234.0</v>
      </c>
      <c r="D140" s="338" t="s">
        <v>5086</v>
      </c>
      <c r="E140" s="339" t="s">
        <v>482</v>
      </c>
      <c r="F140" s="340" t="s">
        <v>5028</v>
      </c>
      <c r="G140" s="341">
        <v>8573.3</v>
      </c>
      <c r="H140" s="342">
        <v>104.3</v>
      </c>
      <c r="I140" s="341">
        <v>3348.0</v>
      </c>
      <c r="J140" s="342">
        <v>299.8</v>
      </c>
      <c r="K140" s="342">
        <v>39.1</v>
      </c>
      <c r="L140" s="342">
        <v>7.4</v>
      </c>
      <c r="M140" s="343">
        <v>4884.7</v>
      </c>
      <c r="O140" s="344"/>
    </row>
    <row r="141" ht="15.75" customHeight="1">
      <c r="A141" s="335">
        <v>138.0</v>
      </c>
      <c r="B141" s="336">
        <v>138.0</v>
      </c>
      <c r="C141" s="337">
        <v>118.0</v>
      </c>
      <c r="D141" s="338" t="s">
        <v>5087</v>
      </c>
      <c r="E141" s="339" t="s">
        <v>482</v>
      </c>
      <c r="F141" s="340" t="s">
        <v>5010</v>
      </c>
      <c r="G141" s="341">
        <v>8486.7</v>
      </c>
      <c r="H141" s="342">
        <v>3.9</v>
      </c>
      <c r="I141" s="342">
        <v>764.9</v>
      </c>
      <c r="J141" s="342">
        <v>-55.7</v>
      </c>
      <c r="K141" s="342">
        <v>9.0</v>
      </c>
      <c r="L141" s="342">
        <v>13.1</v>
      </c>
      <c r="M141" s="343">
        <v>1349.2</v>
      </c>
      <c r="O141" s="344"/>
    </row>
    <row r="142" ht="15.75" customHeight="1">
      <c r="A142" s="335">
        <v>139.0</v>
      </c>
      <c r="B142" s="336">
        <v>139.0</v>
      </c>
      <c r="C142" s="337">
        <v>120.0</v>
      </c>
      <c r="D142" s="338" t="s">
        <v>5088</v>
      </c>
      <c r="E142" s="339" t="s">
        <v>482</v>
      </c>
      <c r="F142" s="340" t="s">
        <v>4968</v>
      </c>
      <c r="G142" s="341">
        <v>8478.9</v>
      </c>
      <c r="H142" s="342">
        <v>5.5</v>
      </c>
      <c r="I142" s="342">
        <v>-214.4</v>
      </c>
      <c r="J142" s="342">
        <v>-159.0</v>
      </c>
      <c r="K142" s="342">
        <v>-2.5</v>
      </c>
      <c r="L142" s="342">
        <v>-18.0</v>
      </c>
      <c r="M142" s="346">
        <v>746.3</v>
      </c>
      <c r="O142" s="344"/>
    </row>
    <row r="143" ht="15.75" customHeight="1">
      <c r="A143" s="335">
        <v>140.0</v>
      </c>
      <c r="B143" s="336">
        <v>140.0</v>
      </c>
      <c r="C143" s="337">
        <v>134.0</v>
      </c>
      <c r="D143" s="338" t="s">
        <v>5089</v>
      </c>
      <c r="E143" s="339" t="s">
        <v>3439</v>
      </c>
      <c r="F143" s="340" t="s">
        <v>5050</v>
      </c>
      <c r="G143" s="341">
        <v>8458.7</v>
      </c>
      <c r="H143" s="342">
        <v>17.1</v>
      </c>
      <c r="I143" s="342">
        <v>52.0</v>
      </c>
      <c r="J143" s="342">
        <v>-88.5</v>
      </c>
      <c r="K143" s="342">
        <v>0.6</v>
      </c>
      <c r="L143" s="342">
        <v>1.0</v>
      </c>
      <c r="M143" s="346">
        <v>119.7</v>
      </c>
      <c r="O143" s="344"/>
    </row>
    <row r="144" ht="15.75" customHeight="1">
      <c r="A144" s="335">
        <v>141.0</v>
      </c>
      <c r="B144" s="336">
        <v>141.0</v>
      </c>
      <c r="C144" s="337">
        <v>138.0</v>
      </c>
      <c r="D144" s="338" t="s">
        <v>5090</v>
      </c>
      <c r="E144" s="339" t="s">
        <v>1751</v>
      </c>
      <c r="F144" s="340" t="s">
        <v>5012</v>
      </c>
      <c r="G144" s="341">
        <v>8426.0</v>
      </c>
      <c r="H144" s="342">
        <v>19.2</v>
      </c>
      <c r="I144" s="341">
        <v>2237.0</v>
      </c>
      <c r="J144" s="342">
        <v>20.8</v>
      </c>
      <c r="K144" s="342">
        <v>26.5</v>
      </c>
      <c r="L144" s="342">
        <v>28.9</v>
      </c>
      <c r="M144" s="343">
        <v>5470.0</v>
      </c>
      <c r="O144" s="344"/>
    </row>
    <row r="145" ht="15.75" customHeight="1">
      <c r="A145" s="335">
        <v>142.0</v>
      </c>
      <c r="B145" s="336">
        <v>142.0</v>
      </c>
      <c r="C145" s="337">
        <v>143.0</v>
      </c>
      <c r="D145" s="345" t="s">
        <v>503</v>
      </c>
      <c r="E145" s="339" t="s">
        <v>1075</v>
      </c>
      <c r="F145" s="340" t="s">
        <v>87</v>
      </c>
      <c r="G145" s="341">
        <v>8411.2</v>
      </c>
      <c r="H145" s="342">
        <v>26.4</v>
      </c>
      <c r="I145" s="342">
        <v>291.1</v>
      </c>
      <c r="J145" s="342">
        <v>-42.2</v>
      </c>
      <c r="K145" s="342">
        <v>3.5</v>
      </c>
      <c r="L145" s="342">
        <v>11.6</v>
      </c>
      <c r="M145" s="346">
        <v>191.7</v>
      </c>
      <c r="O145" s="344"/>
    </row>
    <row r="146" ht="15.75" customHeight="1">
      <c r="A146" s="335">
        <v>143.0</v>
      </c>
      <c r="B146" s="336">
        <v>143.0</v>
      </c>
      <c r="C146" s="337">
        <v>146.0</v>
      </c>
      <c r="D146" s="338" t="s">
        <v>5091</v>
      </c>
      <c r="E146" s="339" t="s">
        <v>482</v>
      </c>
      <c r="F146" s="340" t="s">
        <v>4968</v>
      </c>
      <c r="G146" s="341">
        <v>8373.0</v>
      </c>
      <c r="H146" s="342">
        <v>26.7</v>
      </c>
      <c r="I146" s="342" t="s">
        <v>3537</v>
      </c>
      <c r="J146" s="342" t="s">
        <v>3537</v>
      </c>
      <c r="K146" s="342" t="s">
        <v>3537</v>
      </c>
      <c r="L146" s="342" t="s">
        <v>3537</v>
      </c>
      <c r="M146" s="346" t="s">
        <v>3537</v>
      </c>
      <c r="O146" s="344"/>
    </row>
    <row r="147" ht="15.75" customHeight="1">
      <c r="A147" s="335">
        <v>144.0</v>
      </c>
      <c r="B147" s="336">
        <v>144.0</v>
      </c>
      <c r="C147" s="337">
        <v>130.0</v>
      </c>
      <c r="D147" s="345" t="s">
        <v>2622</v>
      </c>
      <c r="E147" s="339" t="s">
        <v>1199</v>
      </c>
      <c r="F147" s="340" t="s">
        <v>3754</v>
      </c>
      <c r="G147" s="341">
        <v>8369.5</v>
      </c>
      <c r="H147" s="342">
        <v>11.2</v>
      </c>
      <c r="I147" s="342">
        <v>263.7</v>
      </c>
      <c r="J147" s="342">
        <v>60.3</v>
      </c>
      <c r="K147" s="342">
        <v>3.2</v>
      </c>
      <c r="L147" s="342">
        <v>11.9</v>
      </c>
      <c r="M147" s="346">
        <v>425.6</v>
      </c>
      <c r="O147" s="344"/>
    </row>
    <row r="148" ht="15.75" customHeight="1">
      <c r="A148" s="335">
        <v>145.0</v>
      </c>
      <c r="B148" s="336">
        <v>145.0</v>
      </c>
      <c r="C148" s="337">
        <v>123.0</v>
      </c>
      <c r="D148" s="338" t="s">
        <v>5092</v>
      </c>
      <c r="E148" s="339" t="s">
        <v>332</v>
      </c>
      <c r="F148" s="340" t="s">
        <v>4970</v>
      </c>
      <c r="G148" s="341">
        <v>8352.6</v>
      </c>
      <c r="H148" s="342">
        <v>6.4</v>
      </c>
      <c r="I148" s="341">
        <v>1456.4</v>
      </c>
      <c r="J148" s="342">
        <v>-40.7</v>
      </c>
      <c r="K148" s="342">
        <v>17.4</v>
      </c>
      <c r="L148" s="342">
        <v>46.3</v>
      </c>
      <c r="M148" s="343">
        <v>1970.6</v>
      </c>
      <c r="O148" s="344"/>
    </row>
    <row r="149" ht="15.75" customHeight="1">
      <c r="A149" s="335">
        <v>146.0</v>
      </c>
      <c r="B149" s="336">
        <v>146.0</v>
      </c>
      <c r="C149" s="337">
        <v>168.0</v>
      </c>
      <c r="D149" s="345" t="s">
        <v>3633</v>
      </c>
      <c r="E149" s="339" t="s">
        <v>156</v>
      </c>
      <c r="F149" s="340" t="s">
        <v>87</v>
      </c>
      <c r="G149" s="341">
        <v>8315.9</v>
      </c>
      <c r="H149" s="342">
        <v>40.2</v>
      </c>
      <c r="I149" s="342">
        <v>226.8</v>
      </c>
      <c r="J149" s="342">
        <v>49.6</v>
      </c>
      <c r="K149" s="342">
        <v>2.7</v>
      </c>
      <c r="L149" s="342">
        <v>23.7</v>
      </c>
      <c r="M149" s="346">
        <v>441.1</v>
      </c>
      <c r="O149" s="344"/>
    </row>
    <row r="150" ht="15.75" customHeight="1">
      <c r="A150" s="335">
        <v>147.0</v>
      </c>
      <c r="B150" s="336">
        <v>147.0</v>
      </c>
      <c r="C150" s="337">
        <v>228.0</v>
      </c>
      <c r="D150" s="345" t="s">
        <v>314</v>
      </c>
      <c r="E150" s="339" t="s">
        <v>156</v>
      </c>
      <c r="F150" s="340" t="s">
        <v>87</v>
      </c>
      <c r="G150" s="341">
        <v>8174.7</v>
      </c>
      <c r="H150" s="342">
        <v>86.7</v>
      </c>
      <c r="I150" s="342">
        <v>99.1</v>
      </c>
      <c r="J150" s="342">
        <v>65.9</v>
      </c>
      <c r="K150" s="342">
        <v>1.2</v>
      </c>
      <c r="L150" s="342">
        <v>10.8</v>
      </c>
      <c r="M150" s="346">
        <v>290.9</v>
      </c>
      <c r="O150" s="344"/>
    </row>
    <row r="151" ht="15.75" customHeight="1">
      <c r="A151" s="335">
        <v>148.0</v>
      </c>
      <c r="B151" s="336">
        <v>148.0</v>
      </c>
      <c r="C151" s="337">
        <v>177.0</v>
      </c>
      <c r="D151" s="345" t="s">
        <v>5093</v>
      </c>
      <c r="E151" s="339" t="s">
        <v>1199</v>
      </c>
      <c r="F151" s="340" t="s">
        <v>3256</v>
      </c>
      <c r="G151" s="341">
        <v>8169.8</v>
      </c>
      <c r="H151" s="342">
        <v>43.8</v>
      </c>
      <c r="I151" s="342">
        <v>452.6</v>
      </c>
      <c r="J151" s="342">
        <v>47.3</v>
      </c>
      <c r="K151" s="342">
        <v>5.5</v>
      </c>
      <c r="L151" s="342">
        <v>29.0</v>
      </c>
      <c r="M151" s="346">
        <v>555.2</v>
      </c>
      <c r="O151" s="344"/>
    </row>
    <row r="152" ht="15.75" customHeight="1">
      <c r="A152" s="335">
        <v>149.0</v>
      </c>
      <c r="B152" s="336">
        <v>149.0</v>
      </c>
      <c r="C152" s="337" t="s">
        <v>3537</v>
      </c>
      <c r="D152" s="345" t="s">
        <v>2412</v>
      </c>
      <c r="E152" s="339" t="s">
        <v>1199</v>
      </c>
      <c r="F152" s="340" t="s">
        <v>3256</v>
      </c>
      <c r="G152" s="341">
        <v>8138.8</v>
      </c>
      <c r="H152" s="342" t="s">
        <v>3537</v>
      </c>
      <c r="I152" s="342">
        <v>732.7</v>
      </c>
      <c r="J152" s="342" t="s">
        <v>3537</v>
      </c>
      <c r="K152" s="342">
        <v>9.0</v>
      </c>
      <c r="L152" s="342">
        <v>18.3</v>
      </c>
      <c r="M152" s="346">
        <v>906.5</v>
      </c>
      <c r="O152" s="344"/>
    </row>
    <row r="153" ht="15.75" customHeight="1">
      <c r="A153" s="335">
        <v>150.0</v>
      </c>
      <c r="B153" s="336">
        <v>150.0</v>
      </c>
      <c r="C153" s="337">
        <v>110.0</v>
      </c>
      <c r="D153" s="338" t="s">
        <v>5094</v>
      </c>
      <c r="E153" s="339" t="s">
        <v>332</v>
      </c>
      <c r="F153" s="340" t="s">
        <v>4963</v>
      </c>
      <c r="G153" s="341">
        <v>8136.4</v>
      </c>
      <c r="H153" s="342">
        <v>-8.6</v>
      </c>
      <c r="I153" s="341">
        <v>-12078.7</v>
      </c>
      <c r="J153" s="342">
        <v>-20.2</v>
      </c>
      <c r="K153" s="342">
        <v>-148.5</v>
      </c>
      <c r="L153" s="342" t="s">
        <v>5021</v>
      </c>
      <c r="M153" s="343">
        <v>-6181.3</v>
      </c>
      <c r="O153" s="344"/>
    </row>
    <row r="154" ht="15.75" customHeight="1">
      <c r="A154" s="335">
        <v>151.0</v>
      </c>
      <c r="B154" s="336">
        <v>151.0</v>
      </c>
      <c r="C154" s="337">
        <v>98.0</v>
      </c>
      <c r="D154" s="338" t="s">
        <v>5095</v>
      </c>
      <c r="E154" s="339" t="s">
        <v>482</v>
      </c>
      <c r="F154" s="340" t="s">
        <v>4993</v>
      </c>
      <c r="G154" s="341">
        <v>8119.0</v>
      </c>
      <c r="H154" s="342">
        <v>-23.2</v>
      </c>
      <c r="I154" s="342" t="s">
        <v>3537</v>
      </c>
      <c r="J154" s="342" t="s">
        <v>3537</v>
      </c>
      <c r="K154" s="342" t="s">
        <v>3537</v>
      </c>
      <c r="L154" s="342" t="s">
        <v>3537</v>
      </c>
      <c r="M154" s="346" t="s">
        <v>3537</v>
      </c>
      <c r="O154" s="344"/>
    </row>
    <row r="155" ht="15.75" customHeight="1">
      <c r="A155" s="335">
        <v>152.0</v>
      </c>
      <c r="B155" s="336">
        <v>152.0</v>
      </c>
      <c r="C155" s="337">
        <v>139.0</v>
      </c>
      <c r="D155" s="338" t="s">
        <v>5096</v>
      </c>
      <c r="E155" s="339" t="s">
        <v>482</v>
      </c>
      <c r="F155" s="340" t="s">
        <v>4993</v>
      </c>
      <c r="G155" s="341">
        <v>8006.3</v>
      </c>
      <c r="H155" s="342">
        <v>13.3</v>
      </c>
      <c r="I155" s="341">
        <v>1001.0</v>
      </c>
      <c r="J155" s="342">
        <v>0.1</v>
      </c>
      <c r="K155" s="342">
        <v>12.5</v>
      </c>
      <c r="L155" s="342">
        <v>27.4</v>
      </c>
      <c r="M155" s="343">
        <v>1751.2</v>
      </c>
      <c r="O155" s="344"/>
    </row>
    <row r="156" ht="15.75" customHeight="1">
      <c r="A156" s="335">
        <v>153.0</v>
      </c>
      <c r="B156" s="336">
        <v>153.0</v>
      </c>
      <c r="C156" s="337">
        <v>129.0</v>
      </c>
      <c r="D156" s="338" t="s">
        <v>5097</v>
      </c>
      <c r="E156" s="339" t="s">
        <v>482</v>
      </c>
      <c r="F156" s="340" t="s">
        <v>5028</v>
      </c>
      <c r="G156" s="341">
        <v>7951.0</v>
      </c>
      <c r="H156" s="342">
        <v>5.2</v>
      </c>
      <c r="I156" s="341">
        <v>1582.2</v>
      </c>
      <c r="J156" s="342">
        <v>47.6</v>
      </c>
      <c r="K156" s="342">
        <v>19.9</v>
      </c>
      <c r="L156" s="342">
        <v>52.1</v>
      </c>
      <c r="M156" s="343">
        <v>1936.2</v>
      </c>
      <c r="O156" s="344"/>
    </row>
    <row r="157" ht="15.75" customHeight="1">
      <c r="A157" s="335">
        <v>154.0</v>
      </c>
      <c r="B157" s="336">
        <v>154.0</v>
      </c>
      <c r="C157" s="337">
        <v>152.0</v>
      </c>
      <c r="D157" s="338" t="s">
        <v>5098</v>
      </c>
      <c r="E157" s="339" t="s">
        <v>1751</v>
      </c>
      <c r="F157" s="340" t="s">
        <v>5055</v>
      </c>
      <c r="G157" s="341">
        <v>7816.2</v>
      </c>
      <c r="H157" s="342">
        <v>21.9</v>
      </c>
      <c r="I157" s="342">
        <v>85.0</v>
      </c>
      <c r="J157" s="342">
        <v>7.5</v>
      </c>
      <c r="K157" s="342">
        <v>1.1</v>
      </c>
      <c r="L157" s="342">
        <v>5.7</v>
      </c>
      <c r="M157" s="346">
        <v>227.8</v>
      </c>
      <c r="O157" s="344"/>
    </row>
    <row r="158" ht="15.75" customHeight="1">
      <c r="A158" s="335">
        <v>155.0</v>
      </c>
      <c r="B158" s="336">
        <v>155.0</v>
      </c>
      <c r="C158" s="337">
        <v>141.0</v>
      </c>
      <c r="D158" s="338" t="s">
        <v>5099</v>
      </c>
      <c r="E158" s="339" t="s">
        <v>482</v>
      </c>
      <c r="F158" s="340" t="s">
        <v>4976</v>
      </c>
      <c r="G158" s="341">
        <v>7790.0</v>
      </c>
      <c r="H158" s="342">
        <v>15.9</v>
      </c>
      <c r="I158" s="342" t="s">
        <v>3537</v>
      </c>
      <c r="J158" s="342" t="s">
        <v>3537</v>
      </c>
      <c r="K158" s="342" t="s">
        <v>3537</v>
      </c>
      <c r="L158" s="342" t="s">
        <v>3537</v>
      </c>
      <c r="M158" s="346" t="s">
        <v>3537</v>
      </c>
      <c r="O158" s="344"/>
    </row>
    <row r="159" ht="15.75" customHeight="1">
      <c r="A159" s="335">
        <v>156.0</v>
      </c>
      <c r="B159" s="336">
        <v>156.0</v>
      </c>
      <c r="C159" s="337">
        <v>210.0</v>
      </c>
      <c r="D159" s="338" t="s">
        <v>5100</v>
      </c>
      <c r="E159" s="339" t="s">
        <v>349</v>
      </c>
      <c r="F159" s="340" t="s">
        <v>4968</v>
      </c>
      <c r="G159" s="341">
        <v>7789.0</v>
      </c>
      <c r="H159" s="342">
        <v>63.5</v>
      </c>
      <c r="I159" s="342">
        <v>108.1</v>
      </c>
      <c r="J159" s="342">
        <v>-21.8</v>
      </c>
      <c r="K159" s="342">
        <v>1.4</v>
      </c>
      <c r="L159" s="342">
        <v>28.0</v>
      </c>
      <c r="M159" s="346">
        <v>416.5</v>
      </c>
      <c r="O159" s="344"/>
    </row>
    <row r="160" ht="15.75" customHeight="1">
      <c r="A160" s="335">
        <v>157.0</v>
      </c>
      <c r="B160" s="336">
        <v>157.0</v>
      </c>
      <c r="C160" s="337" t="s">
        <v>3537</v>
      </c>
      <c r="D160" s="345" t="s">
        <v>1545</v>
      </c>
      <c r="E160" s="339" t="s">
        <v>482</v>
      </c>
      <c r="F160" s="340" t="s">
        <v>87</v>
      </c>
      <c r="G160" s="341">
        <v>7746.5</v>
      </c>
      <c r="H160" s="342">
        <v>51.9</v>
      </c>
      <c r="I160" s="342">
        <v>107.8</v>
      </c>
      <c r="J160" s="342">
        <v>400.5</v>
      </c>
      <c r="K160" s="342">
        <v>1.4</v>
      </c>
      <c r="L160" s="342">
        <v>6.9</v>
      </c>
      <c r="M160" s="346">
        <v>303.1</v>
      </c>
      <c r="O160" s="344"/>
    </row>
    <row r="161" ht="15.75" customHeight="1">
      <c r="A161" s="335">
        <v>158.0</v>
      </c>
      <c r="B161" s="336">
        <v>158.0</v>
      </c>
      <c r="C161" s="337">
        <v>151.0</v>
      </c>
      <c r="D161" s="345" t="s">
        <v>2359</v>
      </c>
      <c r="E161" s="339" t="s">
        <v>574</v>
      </c>
      <c r="F161" s="340" t="s">
        <v>3256</v>
      </c>
      <c r="G161" s="341">
        <v>7724.4</v>
      </c>
      <c r="H161" s="342">
        <v>20.2</v>
      </c>
      <c r="I161" s="342">
        <v>471.9</v>
      </c>
      <c r="J161" s="341">
        <v>1924.5</v>
      </c>
      <c r="K161" s="342">
        <v>6.1</v>
      </c>
      <c r="L161" s="342">
        <v>24.9</v>
      </c>
      <c r="M161" s="346">
        <v>486.5</v>
      </c>
      <c r="O161" s="344"/>
    </row>
    <row r="162" ht="15.75" customHeight="1">
      <c r="A162" s="335">
        <v>159.0</v>
      </c>
      <c r="B162" s="336">
        <v>159.0</v>
      </c>
      <c r="C162" s="337" t="s">
        <v>3537</v>
      </c>
      <c r="D162" s="347" t="s">
        <v>5101</v>
      </c>
      <c r="E162" s="339" t="s">
        <v>274</v>
      </c>
      <c r="F162" s="340" t="s">
        <v>87</v>
      </c>
      <c r="G162" s="341">
        <v>7655.3</v>
      </c>
      <c r="H162" s="342">
        <v>25.3</v>
      </c>
      <c r="I162" s="341">
        <v>2166.8</v>
      </c>
      <c r="J162" s="342">
        <v>-4.7</v>
      </c>
      <c r="K162" s="342">
        <v>28.3</v>
      </c>
      <c r="L162" s="342">
        <v>29.5</v>
      </c>
      <c r="M162" s="343">
        <v>2774.7</v>
      </c>
      <c r="O162" s="344"/>
    </row>
    <row r="163" ht="15.75" customHeight="1">
      <c r="A163" s="335">
        <v>160.0</v>
      </c>
      <c r="B163" s="336">
        <v>160.0</v>
      </c>
      <c r="C163" s="337">
        <v>150.0</v>
      </c>
      <c r="D163" s="338" t="s">
        <v>5102</v>
      </c>
      <c r="E163" s="339" t="s">
        <v>482</v>
      </c>
      <c r="F163" s="340" t="s">
        <v>5012</v>
      </c>
      <c r="G163" s="341">
        <v>7645.1</v>
      </c>
      <c r="H163" s="342">
        <v>18.2</v>
      </c>
      <c r="I163" s="341">
        <v>-2071.2</v>
      </c>
      <c r="J163" s="342">
        <v>-991.9</v>
      </c>
      <c r="K163" s="342">
        <v>-27.1</v>
      </c>
      <c r="L163" s="342">
        <v>-28.3</v>
      </c>
      <c r="M163" s="346">
        <v>482.7</v>
      </c>
      <c r="O163" s="344"/>
    </row>
    <row r="164" ht="15.75" customHeight="1">
      <c r="A164" s="335">
        <v>161.0</v>
      </c>
      <c r="B164" s="336">
        <v>161.0</v>
      </c>
      <c r="C164" s="337">
        <v>204.0</v>
      </c>
      <c r="D164" s="338" t="s">
        <v>5103</v>
      </c>
      <c r="E164" s="339" t="s">
        <v>3433</v>
      </c>
      <c r="F164" s="340" t="s">
        <v>5055</v>
      </c>
      <c r="G164" s="341">
        <v>7637.9</v>
      </c>
      <c r="H164" s="342">
        <v>52.1</v>
      </c>
      <c r="I164" s="342">
        <v>100.4</v>
      </c>
      <c r="J164" s="342">
        <v>-41.5</v>
      </c>
      <c r="K164" s="342">
        <v>1.3</v>
      </c>
      <c r="L164" s="342">
        <v>29.6</v>
      </c>
      <c r="M164" s="346">
        <v>25.5</v>
      </c>
      <c r="O164" s="344"/>
    </row>
    <row r="165" ht="15.75" customHeight="1">
      <c r="A165" s="335">
        <v>162.0</v>
      </c>
      <c r="B165" s="336">
        <v>162.0</v>
      </c>
      <c r="C165" s="337">
        <v>154.0</v>
      </c>
      <c r="D165" s="338" t="s">
        <v>5104</v>
      </c>
      <c r="E165" s="339" t="s">
        <v>98</v>
      </c>
      <c r="F165" s="340" t="s">
        <v>4981</v>
      </c>
      <c r="G165" s="341">
        <v>7597.4</v>
      </c>
      <c r="H165" s="342">
        <v>20.2</v>
      </c>
      <c r="I165" s="341">
        <v>2881.3</v>
      </c>
      <c r="J165" s="342">
        <v>75.6</v>
      </c>
      <c r="K165" s="342">
        <v>37.9</v>
      </c>
      <c r="L165" s="342">
        <v>18.5</v>
      </c>
      <c r="M165" s="343">
        <v>2771.9</v>
      </c>
      <c r="O165" s="344"/>
    </row>
    <row r="166" ht="15.75" customHeight="1">
      <c r="A166" s="335">
        <v>163.0</v>
      </c>
      <c r="B166" s="336">
        <v>163.0</v>
      </c>
      <c r="C166" s="337">
        <v>144.0</v>
      </c>
      <c r="D166" s="338" t="s">
        <v>5105</v>
      </c>
      <c r="E166" s="339" t="s">
        <v>274</v>
      </c>
      <c r="F166" s="340" t="s">
        <v>4974</v>
      </c>
      <c r="G166" s="341">
        <v>7550.5</v>
      </c>
      <c r="H166" s="342">
        <v>13.8</v>
      </c>
      <c r="I166" s="342">
        <v>877.4</v>
      </c>
      <c r="J166" s="342">
        <v>-40.9</v>
      </c>
      <c r="K166" s="342">
        <v>11.6</v>
      </c>
      <c r="L166" s="342">
        <v>136.6</v>
      </c>
      <c r="M166" s="343">
        <v>1570.0</v>
      </c>
      <c r="O166" s="344"/>
    </row>
    <row r="167" ht="15.75" customHeight="1">
      <c r="A167" s="335">
        <v>164.0</v>
      </c>
      <c r="B167" s="336">
        <v>164.0</v>
      </c>
      <c r="C167" s="337">
        <v>167.0</v>
      </c>
      <c r="D167" s="338" t="s">
        <v>5106</v>
      </c>
      <c r="E167" s="339" t="s">
        <v>482</v>
      </c>
      <c r="F167" s="340" t="s">
        <v>4993</v>
      </c>
      <c r="G167" s="341">
        <v>7546.4</v>
      </c>
      <c r="H167" s="342">
        <v>27.1</v>
      </c>
      <c r="I167" s="341">
        <v>1698.4</v>
      </c>
      <c r="J167" s="342">
        <v>27.7</v>
      </c>
      <c r="K167" s="342">
        <v>22.5</v>
      </c>
      <c r="L167" s="342">
        <v>16.6</v>
      </c>
      <c r="M167" s="343">
        <v>2440.1</v>
      </c>
      <c r="O167" s="344"/>
    </row>
    <row r="168" ht="15.75" customHeight="1">
      <c r="A168" s="335">
        <v>165.0</v>
      </c>
      <c r="B168" s="336">
        <v>165.0</v>
      </c>
      <c r="C168" s="337">
        <v>163.0</v>
      </c>
      <c r="D168" s="338" t="s">
        <v>5107</v>
      </c>
      <c r="E168" s="339" t="s">
        <v>482</v>
      </c>
      <c r="F168" s="340" t="s">
        <v>4981</v>
      </c>
      <c r="G168" s="341">
        <v>7538.1</v>
      </c>
      <c r="H168" s="342">
        <v>24.5</v>
      </c>
      <c r="I168" s="341">
        <v>3534.3</v>
      </c>
      <c r="J168" s="342">
        <v>301.7</v>
      </c>
      <c r="K168" s="342">
        <v>46.9</v>
      </c>
      <c r="L168" s="342">
        <v>56.0</v>
      </c>
      <c r="M168" s="343">
        <v>3883.4</v>
      </c>
      <c r="O168" s="344"/>
    </row>
    <row r="169" ht="15.75" customHeight="1">
      <c r="A169" s="335">
        <v>166.0</v>
      </c>
      <c r="B169" s="336">
        <v>166.0</v>
      </c>
      <c r="C169" s="337">
        <v>112.0</v>
      </c>
      <c r="D169" s="347" t="s">
        <v>5108</v>
      </c>
      <c r="E169" s="339" t="s">
        <v>98</v>
      </c>
      <c r="F169" s="340" t="s">
        <v>87</v>
      </c>
      <c r="G169" s="341">
        <v>7535.5</v>
      </c>
      <c r="H169" s="342">
        <v>-12.1</v>
      </c>
      <c r="I169" s="342">
        <v>226.9</v>
      </c>
      <c r="J169" s="342">
        <v>-0.6</v>
      </c>
      <c r="K169" s="342">
        <v>3.0</v>
      </c>
      <c r="L169" s="342">
        <v>18.9</v>
      </c>
      <c r="M169" s="346">
        <v>273.6</v>
      </c>
      <c r="O169" s="344"/>
    </row>
    <row r="170" ht="15.75" customHeight="1">
      <c r="A170" s="335">
        <v>167.0</v>
      </c>
      <c r="B170" s="336">
        <v>167.0</v>
      </c>
      <c r="C170" s="337">
        <v>186.0</v>
      </c>
      <c r="D170" s="345" t="s">
        <v>2922</v>
      </c>
      <c r="E170" s="339" t="s">
        <v>482</v>
      </c>
      <c r="F170" s="340" t="s">
        <v>3754</v>
      </c>
      <c r="G170" s="341">
        <v>7373.0</v>
      </c>
      <c r="H170" s="342">
        <v>36.4</v>
      </c>
      <c r="I170" s="342">
        <v>441.2</v>
      </c>
      <c r="J170" s="342">
        <v>138.9</v>
      </c>
      <c r="K170" s="342">
        <v>6.0</v>
      </c>
      <c r="L170" s="342">
        <v>53.3</v>
      </c>
      <c r="M170" s="343">
        <v>1119.1</v>
      </c>
      <c r="O170" s="344"/>
    </row>
    <row r="171" ht="15.75" customHeight="1">
      <c r="A171" s="335">
        <v>168.0</v>
      </c>
      <c r="B171" s="336">
        <v>168.0</v>
      </c>
      <c r="C171" s="337">
        <v>117.0</v>
      </c>
      <c r="D171" s="338" t="s">
        <v>5109</v>
      </c>
      <c r="E171" s="339" t="s">
        <v>98</v>
      </c>
      <c r="F171" s="340" t="s">
        <v>5110</v>
      </c>
      <c r="G171" s="341">
        <v>7332.6</v>
      </c>
      <c r="H171" s="342">
        <v>-10.8</v>
      </c>
      <c r="I171" s="342">
        <v>858.5</v>
      </c>
      <c r="J171" s="342">
        <v>-20.4</v>
      </c>
      <c r="K171" s="342">
        <v>11.7</v>
      </c>
      <c r="L171" s="342">
        <v>24.8</v>
      </c>
      <c r="M171" s="346">
        <v>569.3</v>
      </c>
      <c r="O171" s="344"/>
    </row>
    <row r="172" ht="15.75" customHeight="1">
      <c r="A172" s="335">
        <v>169.0</v>
      </c>
      <c r="B172" s="336">
        <v>169.0</v>
      </c>
      <c r="C172" s="337">
        <v>156.0</v>
      </c>
      <c r="D172" s="347" t="s">
        <v>5111</v>
      </c>
      <c r="E172" s="339" t="s">
        <v>332</v>
      </c>
      <c r="F172" s="340" t="s">
        <v>3754</v>
      </c>
      <c r="G172" s="341">
        <v>7312.0</v>
      </c>
      <c r="H172" s="342" t="s">
        <v>3537</v>
      </c>
      <c r="I172" s="342" t="s">
        <v>3537</v>
      </c>
      <c r="J172" s="342" t="s">
        <v>3537</v>
      </c>
      <c r="K172" s="342" t="s">
        <v>3537</v>
      </c>
      <c r="L172" s="342" t="s">
        <v>3537</v>
      </c>
      <c r="M172" s="346" t="s">
        <v>3537</v>
      </c>
      <c r="O172" s="344"/>
    </row>
    <row r="173" ht="15.75" customHeight="1">
      <c r="A173" s="335">
        <v>170.0</v>
      </c>
      <c r="B173" s="336">
        <v>170.0</v>
      </c>
      <c r="C173" s="337">
        <v>164.0</v>
      </c>
      <c r="D173" s="345" t="s">
        <v>154</v>
      </c>
      <c r="E173" s="339" t="s">
        <v>156</v>
      </c>
      <c r="F173" s="340" t="s">
        <v>87</v>
      </c>
      <c r="G173" s="341">
        <v>7292.4</v>
      </c>
      <c r="H173" s="342">
        <v>21.0</v>
      </c>
      <c r="I173" s="342">
        <v>606.0</v>
      </c>
      <c r="J173" s="342">
        <v>9.1</v>
      </c>
      <c r="K173" s="342">
        <v>8.3</v>
      </c>
      <c r="L173" s="342">
        <v>21.7</v>
      </c>
      <c r="M173" s="346">
        <v>750.8</v>
      </c>
      <c r="O173" s="344"/>
    </row>
    <row r="174" ht="15.75" customHeight="1">
      <c r="A174" s="335">
        <v>171.0</v>
      </c>
      <c r="B174" s="336">
        <v>171.0</v>
      </c>
      <c r="C174" s="337">
        <v>155.0</v>
      </c>
      <c r="D174" s="338" t="s">
        <v>5112</v>
      </c>
      <c r="E174" s="339" t="s">
        <v>482</v>
      </c>
      <c r="F174" s="340" t="s">
        <v>4968</v>
      </c>
      <c r="G174" s="341">
        <v>7270.4</v>
      </c>
      <c r="H174" s="342">
        <v>15.6</v>
      </c>
      <c r="I174" s="341">
        <v>1334.3</v>
      </c>
      <c r="J174" s="342">
        <v>-33.4</v>
      </c>
      <c r="K174" s="342">
        <v>18.4</v>
      </c>
      <c r="L174" s="342">
        <v>57.1</v>
      </c>
      <c r="M174" s="343">
        <v>2338.6</v>
      </c>
      <c r="O174" s="344"/>
    </row>
    <row r="175" ht="15.75" customHeight="1">
      <c r="A175" s="335">
        <v>172.0</v>
      </c>
      <c r="B175" s="336">
        <v>172.0</v>
      </c>
      <c r="C175" s="337">
        <v>160.0</v>
      </c>
      <c r="D175" s="338" t="s">
        <v>5113</v>
      </c>
      <c r="E175" s="339" t="s">
        <v>482</v>
      </c>
      <c r="F175" s="340" t="s">
        <v>4974</v>
      </c>
      <c r="G175" s="341">
        <v>7256.0</v>
      </c>
      <c r="H175" s="342">
        <v>18.5</v>
      </c>
      <c r="I175" s="341">
        <v>1647.1</v>
      </c>
      <c r="J175" s="342">
        <v>316.1</v>
      </c>
      <c r="K175" s="342">
        <v>22.7</v>
      </c>
      <c r="L175" s="342">
        <v>40.0</v>
      </c>
      <c r="M175" s="343">
        <v>1898.8</v>
      </c>
      <c r="O175" s="344"/>
    </row>
    <row r="176" ht="15.75" customHeight="1">
      <c r="A176" s="335">
        <v>173.0</v>
      </c>
      <c r="B176" s="336">
        <v>173.0</v>
      </c>
      <c r="C176" s="337">
        <v>140.0</v>
      </c>
      <c r="D176" s="347" t="s">
        <v>5114</v>
      </c>
      <c r="E176" s="339" t="s">
        <v>574</v>
      </c>
      <c r="F176" s="340" t="s">
        <v>3754</v>
      </c>
      <c r="G176" s="341">
        <v>7235.5</v>
      </c>
      <c r="H176" s="342">
        <v>6.0</v>
      </c>
      <c r="I176" s="342">
        <v>345.4</v>
      </c>
      <c r="J176" s="342">
        <v>17.8</v>
      </c>
      <c r="K176" s="342">
        <v>4.8</v>
      </c>
      <c r="L176" s="342">
        <v>50.5</v>
      </c>
      <c r="M176" s="346">
        <v>272.2</v>
      </c>
      <c r="O176" s="344"/>
    </row>
    <row r="177" ht="15.75" customHeight="1">
      <c r="A177" s="335">
        <v>174.0</v>
      </c>
      <c r="B177" s="336">
        <v>174.0</v>
      </c>
      <c r="C177" s="337">
        <v>180.0</v>
      </c>
      <c r="D177" s="345" t="s">
        <v>487</v>
      </c>
      <c r="E177" s="339" t="s">
        <v>156</v>
      </c>
      <c r="F177" s="340" t="s">
        <v>87</v>
      </c>
      <c r="G177" s="341">
        <v>6941.3</v>
      </c>
      <c r="H177" s="342">
        <v>24.9</v>
      </c>
      <c r="I177" s="342">
        <v>252.7</v>
      </c>
      <c r="J177" s="342">
        <v>73.4</v>
      </c>
      <c r="K177" s="342">
        <v>3.6</v>
      </c>
      <c r="L177" s="342">
        <v>14.8</v>
      </c>
      <c r="M177" s="346">
        <v>261.0</v>
      </c>
      <c r="O177" s="344"/>
    </row>
    <row r="178" ht="15.75" customHeight="1">
      <c r="A178" s="335">
        <v>175.0</v>
      </c>
      <c r="B178" s="336">
        <v>175.0</v>
      </c>
      <c r="C178" s="337">
        <v>240.0</v>
      </c>
      <c r="D178" s="338" t="s">
        <v>5115</v>
      </c>
      <c r="E178" s="339" t="s">
        <v>1751</v>
      </c>
      <c r="F178" s="340" t="s">
        <v>4960</v>
      </c>
      <c r="G178" s="341">
        <v>6894.2</v>
      </c>
      <c r="H178" s="342">
        <v>69.6</v>
      </c>
      <c r="I178" s="341">
        <v>-1325.1</v>
      </c>
      <c r="J178" s="342">
        <v>48.8</v>
      </c>
      <c r="K178" s="342">
        <v>-19.2</v>
      </c>
      <c r="L178" s="342">
        <v>-4.6</v>
      </c>
      <c r="M178" s="346">
        <v>-337.6</v>
      </c>
      <c r="O178" s="344"/>
    </row>
    <row r="179" ht="15.75" customHeight="1">
      <c r="A179" s="335">
        <v>176.0</v>
      </c>
      <c r="B179" s="336">
        <v>176.0</v>
      </c>
      <c r="C179" s="337">
        <v>203.0</v>
      </c>
      <c r="D179" s="345" t="s">
        <v>3311</v>
      </c>
      <c r="E179" s="339" t="s">
        <v>156</v>
      </c>
      <c r="F179" s="340" t="s">
        <v>87</v>
      </c>
      <c r="G179" s="341">
        <v>6890.3</v>
      </c>
      <c r="H179" s="342">
        <v>35.9</v>
      </c>
      <c r="I179" s="342">
        <v>286.1</v>
      </c>
      <c r="J179" s="342">
        <v>41.3</v>
      </c>
      <c r="K179" s="342">
        <v>4.2</v>
      </c>
      <c r="L179" s="342">
        <v>18.3</v>
      </c>
      <c r="M179" s="346">
        <v>304.0</v>
      </c>
      <c r="O179" s="344"/>
    </row>
    <row r="180" ht="15.75" customHeight="1">
      <c r="A180" s="335">
        <v>177.0</v>
      </c>
      <c r="B180" s="336">
        <v>177.0</v>
      </c>
      <c r="C180" s="337">
        <v>190.0</v>
      </c>
      <c r="D180" s="345" t="s">
        <v>85</v>
      </c>
      <c r="E180" s="339" t="s">
        <v>98</v>
      </c>
      <c r="F180" s="340" t="s">
        <v>87</v>
      </c>
      <c r="G180" s="341">
        <v>6885.3</v>
      </c>
      <c r="H180" s="342">
        <v>29.0</v>
      </c>
      <c r="I180" s="342">
        <v>571.4</v>
      </c>
      <c r="J180" s="342">
        <v>32.8</v>
      </c>
      <c r="K180" s="342">
        <v>8.3</v>
      </c>
      <c r="L180" s="342">
        <v>22.6</v>
      </c>
      <c r="M180" s="346">
        <v>512.1</v>
      </c>
      <c r="O180" s="344"/>
    </row>
    <row r="181" ht="15.75" customHeight="1">
      <c r="A181" s="335">
        <v>178.0</v>
      </c>
      <c r="B181" s="336">
        <v>178.0</v>
      </c>
      <c r="C181" s="337">
        <v>202.0</v>
      </c>
      <c r="D181" s="338" t="s">
        <v>5116</v>
      </c>
      <c r="E181" s="339" t="s">
        <v>482</v>
      </c>
      <c r="F181" s="340" t="s">
        <v>4974</v>
      </c>
      <c r="G181" s="341">
        <v>6870.0</v>
      </c>
      <c r="H181" s="342">
        <v>34.6</v>
      </c>
      <c r="I181" s="342" t="s">
        <v>3537</v>
      </c>
      <c r="J181" s="342" t="s">
        <v>3537</v>
      </c>
      <c r="K181" s="342" t="s">
        <v>3537</v>
      </c>
      <c r="L181" s="342" t="s">
        <v>3537</v>
      </c>
      <c r="M181" s="346" t="s">
        <v>3537</v>
      </c>
      <c r="O181" s="344"/>
    </row>
    <row r="182" ht="15.75" customHeight="1">
      <c r="A182" s="335">
        <v>179.0</v>
      </c>
      <c r="B182" s="336">
        <v>179.0</v>
      </c>
      <c r="C182" s="337" t="s">
        <v>3537</v>
      </c>
      <c r="D182" s="338" t="s">
        <v>5117</v>
      </c>
      <c r="E182" s="339" t="s">
        <v>574</v>
      </c>
      <c r="F182" s="340" t="s">
        <v>4968</v>
      </c>
      <c r="G182" s="341">
        <v>6864.1</v>
      </c>
      <c r="H182" s="342">
        <v>68.6</v>
      </c>
      <c r="I182" s="342">
        <v>515.4</v>
      </c>
      <c r="J182" s="342">
        <v>-0.2</v>
      </c>
      <c r="K182" s="342">
        <v>7.5</v>
      </c>
      <c r="L182" s="342">
        <v>73.2</v>
      </c>
      <c r="M182" s="346">
        <v>835.8</v>
      </c>
      <c r="O182" s="344"/>
    </row>
    <row r="183" ht="15.75" customHeight="1">
      <c r="A183" s="335">
        <v>180.0</v>
      </c>
      <c r="B183" s="336">
        <v>180.0</v>
      </c>
      <c r="C183" s="337">
        <v>173.0</v>
      </c>
      <c r="D183" s="338" t="s">
        <v>5118</v>
      </c>
      <c r="E183" s="339" t="s">
        <v>1751</v>
      </c>
      <c r="F183" s="340" t="s">
        <v>5012</v>
      </c>
      <c r="G183" s="341">
        <v>6777.5</v>
      </c>
      <c r="H183" s="342">
        <v>17.5</v>
      </c>
      <c r="I183" s="341">
        <v>3075.1</v>
      </c>
      <c r="J183" s="342">
        <v>0.5</v>
      </c>
      <c r="K183" s="342">
        <v>45.4</v>
      </c>
      <c r="L183" s="342" t="s">
        <v>5021</v>
      </c>
      <c r="M183" s="343">
        <v>5830.4</v>
      </c>
      <c r="O183" s="344"/>
    </row>
    <row r="184" ht="15.75" customHeight="1">
      <c r="A184" s="335">
        <v>181.0</v>
      </c>
      <c r="B184" s="336">
        <v>181.0</v>
      </c>
      <c r="C184" s="337">
        <v>205.0</v>
      </c>
      <c r="D184" s="338" t="s">
        <v>5119</v>
      </c>
      <c r="E184" s="339" t="s">
        <v>482</v>
      </c>
      <c r="F184" s="340" t="s">
        <v>4993</v>
      </c>
      <c r="G184" s="341">
        <v>6770.7</v>
      </c>
      <c r="H184" s="342">
        <v>18.5</v>
      </c>
      <c r="I184" s="341">
        <v>2009.9</v>
      </c>
      <c r="J184" s="342">
        <v>9.9</v>
      </c>
      <c r="K184" s="342">
        <v>29.7</v>
      </c>
      <c r="L184" s="342">
        <v>53.4</v>
      </c>
      <c r="M184" s="343">
        <v>2268.7</v>
      </c>
      <c r="O184" s="344"/>
    </row>
    <row r="185" ht="15.75" customHeight="1">
      <c r="A185" s="335">
        <v>182.0</v>
      </c>
      <c r="B185" s="336">
        <v>182.0</v>
      </c>
      <c r="C185" s="337">
        <v>162.0</v>
      </c>
      <c r="D185" s="347" t="s">
        <v>5120</v>
      </c>
      <c r="E185" s="339" t="s">
        <v>482</v>
      </c>
      <c r="F185" s="340" t="s">
        <v>87</v>
      </c>
      <c r="G185" s="341">
        <v>6741.4</v>
      </c>
      <c r="H185" s="342">
        <v>10.5</v>
      </c>
      <c r="I185" s="342">
        <v>299.4</v>
      </c>
      <c r="J185" s="342">
        <v>-10.5</v>
      </c>
      <c r="K185" s="342">
        <v>4.4</v>
      </c>
      <c r="L185" s="342">
        <v>25.1</v>
      </c>
      <c r="M185" s="346">
        <v>272.4</v>
      </c>
      <c r="O185" s="344"/>
    </row>
    <row r="186" ht="15.75" customHeight="1">
      <c r="A186" s="335">
        <v>183.0</v>
      </c>
      <c r="B186" s="336">
        <v>183.0</v>
      </c>
      <c r="C186" s="337">
        <v>136.0</v>
      </c>
      <c r="D186" s="338" t="s">
        <v>5121</v>
      </c>
      <c r="E186" s="339" t="s">
        <v>332</v>
      </c>
      <c r="F186" s="340" t="s">
        <v>5122</v>
      </c>
      <c r="G186" s="341">
        <v>6633.1</v>
      </c>
      <c r="H186" s="342">
        <v>-6.8</v>
      </c>
      <c r="I186" s="342">
        <v>-149.3</v>
      </c>
      <c r="J186" s="342">
        <v>-116.5</v>
      </c>
      <c r="K186" s="342">
        <v>-2.3</v>
      </c>
      <c r="L186" s="342">
        <v>-2.3</v>
      </c>
      <c r="M186" s="346">
        <v>-206.9</v>
      </c>
      <c r="O186" s="344"/>
    </row>
    <row r="187" ht="15.75" customHeight="1">
      <c r="A187" s="335">
        <v>184.0</v>
      </c>
      <c r="B187" s="336">
        <v>184.0</v>
      </c>
      <c r="C187" s="337">
        <v>175.0</v>
      </c>
      <c r="D187" s="338" t="s">
        <v>5123</v>
      </c>
      <c r="E187" s="339" t="s">
        <v>482</v>
      </c>
      <c r="F187" s="340" t="s">
        <v>4974</v>
      </c>
      <c r="G187" s="341">
        <v>6627.6</v>
      </c>
      <c r="H187" s="342">
        <v>15.9</v>
      </c>
      <c r="I187" s="341">
        <v>1015.7</v>
      </c>
      <c r="J187" s="342">
        <v>-31.4</v>
      </c>
      <c r="K187" s="342">
        <v>15.3</v>
      </c>
      <c r="L187" s="342">
        <v>18.1</v>
      </c>
      <c r="M187" s="343">
        <v>1551.9</v>
      </c>
      <c r="O187" s="344"/>
    </row>
    <row r="188" ht="15.75" customHeight="1">
      <c r="A188" s="335">
        <v>185.0</v>
      </c>
      <c r="B188" s="336">
        <v>185.0</v>
      </c>
      <c r="C188" s="337">
        <v>185.0</v>
      </c>
      <c r="D188" s="338" t="s">
        <v>5124</v>
      </c>
      <c r="E188" s="339" t="s">
        <v>482</v>
      </c>
      <c r="F188" s="340" t="s">
        <v>5028</v>
      </c>
      <c r="G188" s="341">
        <v>6602.4</v>
      </c>
      <c r="H188" s="342">
        <v>22.0</v>
      </c>
      <c r="I188" s="342">
        <v>186.6</v>
      </c>
      <c r="J188" s="342">
        <v>4.7</v>
      </c>
      <c r="K188" s="342">
        <v>2.8</v>
      </c>
      <c r="L188" s="342">
        <v>11.0</v>
      </c>
      <c r="M188" s="346">
        <v>371.7</v>
      </c>
      <c r="O188" s="344"/>
    </row>
    <row r="189" ht="15.75" customHeight="1">
      <c r="A189" s="335">
        <v>186.0</v>
      </c>
      <c r="B189" s="336">
        <v>186.0</v>
      </c>
      <c r="C189" s="337">
        <v>171.0</v>
      </c>
      <c r="D189" s="338" t="s">
        <v>5125</v>
      </c>
      <c r="E189" s="339" t="s">
        <v>482</v>
      </c>
      <c r="F189" s="340" t="s">
        <v>4976</v>
      </c>
      <c r="G189" s="341">
        <v>6589.0</v>
      </c>
      <c r="H189" s="342">
        <v>12.8</v>
      </c>
      <c r="I189" s="342" t="s">
        <v>3537</v>
      </c>
      <c r="J189" s="342" t="s">
        <v>3537</v>
      </c>
      <c r="K189" s="342" t="s">
        <v>3537</v>
      </c>
      <c r="L189" s="342" t="s">
        <v>3537</v>
      </c>
      <c r="M189" s="346" t="s">
        <v>3537</v>
      </c>
      <c r="O189" s="344"/>
    </row>
    <row r="190" ht="15.75" customHeight="1">
      <c r="A190" s="335">
        <v>187.0</v>
      </c>
      <c r="B190" s="336">
        <v>187.0</v>
      </c>
      <c r="C190" s="337">
        <v>184.0</v>
      </c>
      <c r="D190" s="338" t="s">
        <v>5126</v>
      </c>
      <c r="E190" s="339" t="s">
        <v>98</v>
      </c>
      <c r="F190" s="340" t="s">
        <v>4960</v>
      </c>
      <c r="G190" s="341">
        <v>6575.5</v>
      </c>
      <c r="H190" s="342">
        <v>20.0</v>
      </c>
      <c r="I190" s="342">
        <v>40.7</v>
      </c>
      <c r="J190" s="342">
        <v>171.1</v>
      </c>
      <c r="K190" s="342">
        <v>0.6</v>
      </c>
      <c r="L190" s="342">
        <v>21.3</v>
      </c>
      <c r="M190" s="346">
        <v>95.4</v>
      </c>
      <c r="O190" s="344"/>
    </row>
    <row r="191" ht="15.75" customHeight="1">
      <c r="A191" s="335">
        <v>188.0</v>
      </c>
      <c r="B191" s="336">
        <v>188.0</v>
      </c>
      <c r="C191" s="337">
        <v>169.0</v>
      </c>
      <c r="D191" s="345" t="s">
        <v>3109</v>
      </c>
      <c r="E191" s="339" t="s">
        <v>98</v>
      </c>
      <c r="F191" s="340" t="s">
        <v>3754</v>
      </c>
      <c r="G191" s="341">
        <v>6403.5</v>
      </c>
      <c r="H191" s="342">
        <v>8.6</v>
      </c>
      <c r="I191" s="342">
        <v>526.2</v>
      </c>
      <c r="J191" s="342">
        <v>5.0</v>
      </c>
      <c r="K191" s="342">
        <v>8.2</v>
      </c>
      <c r="L191" s="342">
        <v>36.9</v>
      </c>
      <c r="M191" s="346">
        <v>492.9</v>
      </c>
      <c r="O191" s="344"/>
    </row>
    <row r="192" ht="15.75" customHeight="1">
      <c r="A192" s="335">
        <v>189.0</v>
      </c>
      <c r="B192" s="336">
        <v>189.0</v>
      </c>
      <c r="C192" s="337">
        <v>225.0</v>
      </c>
      <c r="D192" s="338" t="s">
        <v>5127</v>
      </c>
      <c r="E192" s="339" t="s">
        <v>1751</v>
      </c>
      <c r="F192" s="340" t="s">
        <v>4960</v>
      </c>
      <c r="G192" s="341">
        <v>6363.5</v>
      </c>
      <c r="H192" s="342">
        <v>44.8</v>
      </c>
      <c r="I192" s="341">
        <v>3427.1</v>
      </c>
      <c r="J192" s="342">
        <v>157.1</v>
      </c>
      <c r="K192" s="342">
        <v>53.9</v>
      </c>
      <c r="L192" s="342">
        <v>41.5</v>
      </c>
      <c r="M192" s="343">
        <v>3603.8</v>
      </c>
      <c r="O192" s="344"/>
    </row>
    <row r="193" ht="15.75" customHeight="1">
      <c r="A193" s="335">
        <v>190.0</v>
      </c>
      <c r="B193" s="336">
        <v>190.0</v>
      </c>
      <c r="C193" s="337">
        <v>176.0</v>
      </c>
      <c r="D193" s="345" t="s">
        <v>2636</v>
      </c>
      <c r="E193" s="339" t="s">
        <v>156</v>
      </c>
      <c r="F193" s="340" t="s">
        <v>3754</v>
      </c>
      <c r="G193" s="341">
        <v>6277.6</v>
      </c>
      <c r="H193" s="342">
        <v>9.9</v>
      </c>
      <c r="I193" s="342">
        <v>560.9</v>
      </c>
      <c r="J193" s="342">
        <v>3.0</v>
      </c>
      <c r="K193" s="342">
        <v>8.9</v>
      </c>
      <c r="L193" s="342">
        <v>19.4</v>
      </c>
      <c r="M193" s="346">
        <v>207.1</v>
      </c>
      <c r="O193" s="344"/>
    </row>
    <row r="194" ht="15.75" customHeight="1">
      <c r="A194" s="335">
        <v>191.0</v>
      </c>
      <c r="B194" s="336">
        <v>191.0</v>
      </c>
      <c r="C194" s="337">
        <v>201.0</v>
      </c>
      <c r="D194" s="338" t="s">
        <v>5128</v>
      </c>
      <c r="E194" s="339" t="s">
        <v>482</v>
      </c>
      <c r="F194" s="340" t="s">
        <v>5050</v>
      </c>
      <c r="G194" s="341">
        <v>6260.7</v>
      </c>
      <c r="H194" s="342">
        <v>22.5</v>
      </c>
      <c r="I194" s="342">
        <v>204.6</v>
      </c>
      <c r="J194" s="342">
        <v>-58.9</v>
      </c>
      <c r="K194" s="342">
        <v>3.3</v>
      </c>
      <c r="L194" s="342">
        <v>8.8</v>
      </c>
      <c r="M194" s="346">
        <v>354.6</v>
      </c>
      <c r="O194" s="344"/>
    </row>
    <row r="195" ht="15.75" customHeight="1">
      <c r="A195" s="335">
        <v>192.0</v>
      </c>
      <c r="B195" s="336">
        <v>192.0</v>
      </c>
      <c r="C195" s="337">
        <v>189.0</v>
      </c>
      <c r="D195" s="345" t="s">
        <v>3061</v>
      </c>
      <c r="E195" s="339" t="s">
        <v>482</v>
      </c>
      <c r="F195" s="340" t="s">
        <v>3754</v>
      </c>
      <c r="G195" s="341">
        <v>6254.5</v>
      </c>
      <c r="H195" s="342">
        <v>16.5</v>
      </c>
      <c r="I195" s="342">
        <v>501.2</v>
      </c>
      <c r="J195" s="342">
        <v>6.4</v>
      </c>
      <c r="K195" s="342">
        <v>8.0</v>
      </c>
      <c r="L195" s="342">
        <v>60.6</v>
      </c>
      <c r="M195" s="346">
        <v>582.3</v>
      </c>
      <c r="O195" s="344"/>
    </row>
    <row r="196" ht="15.75" customHeight="1">
      <c r="A196" s="335">
        <v>193.0</v>
      </c>
      <c r="B196" s="336">
        <v>193.0</v>
      </c>
      <c r="C196" s="337">
        <v>198.0</v>
      </c>
      <c r="D196" s="338" t="s">
        <v>5129</v>
      </c>
      <c r="E196" s="339" t="s">
        <v>482</v>
      </c>
      <c r="F196" s="340" t="s">
        <v>5055</v>
      </c>
      <c r="G196" s="341">
        <v>6185.0</v>
      </c>
      <c r="H196" s="342">
        <v>20.1</v>
      </c>
      <c r="I196" s="342">
        <v>-11.8</v>
      </c>
      <c r="J196" s="342">
        <v>-112.2</v>
      </c>
      <c r="K196" s="342">
        <v>-0.2</v>
      </c>
      <c r="L196" s="342">
        <v>-4.2</v>
      </c>
      <c r="M196" s="346">
        <v>86.0</v>
      </c>
      <c r="O196" s="344"/>
    </row>
    <row r="197" ht="15.75" customHeight="1">
      <c r="A197" s="335">
        <v>194.0</v>
      </c>
      <c r="B197" s="336">
        <v>194.0</v>
      </c>
      <c r="C197" s="337">
        <v>197.0</v>
      </c>
      <c r="D197" s="338" t="s">
        <v>5130</v>
      </c>
      <c r="E197" s="339" t="s">
        <v>482</v>
      </c>
      <c r="F197" s="340" t="s">
        <v>5050</v>
      </c>
      <c r="G197" s="341">
        <v>6183.6</v>
      </c>
      <c r="H197" s="342">
        <v>20.0</v>
      </c>
      <c r="I197" s="342">
        <v>0.8</v>
      </c>
      <c r="J197" s="342">
        <v>-99.7</v>
      </c>
      <c r="K197" s="342">
        <v>0.0</v>
      </c>
      <c r="L197" s="342">
        <v>0.0</v>
      </c>
      <c r="M197" s="346">
        <v>70.3</v>
      </c>
      <c r="O197" s="344"/>
    </row>
    <row r="198" ht="15.75" customHeight="1">
      <c r="A198" s="335">
        <v>195.0</v>
      </c>
      <c r="B198" s="336">
        <v>195.0</v>
      </c>
      <c r="C198" s="337">
        <v>170.0</v>
      </c>
      <c r="D198" s="338" t="s">
        <v>5131</v>
      </c>
      <c r="E198" s="339" t="s">
        <v>332</v>
      </c>
      <c r="F198" s="340" t="s">
        <v>5018</v>
      </c>
      <c r="G198" s="341">
        <v>6176.9</v>
      </c>
      <c r="H198" s="342">
        <v>4.8</v>
      </c>
      <c r="I198" s="342">
        <v>843.4</v>
      </c>
      <c r="J198" s="342">
        <v>56.9</v>
      </c>
      <c r="K198" s="342">
        <v>13.7</v>
      </c>
      <c r="L198" s="342">
        <v>12.0</v>
      </c>
      <c r="M198" s="343">
        <v>1160.1</v>
      </c>
      <c r="O198" s="344"/>
    </row>
    <row r="199" ht="15.75" customHeight="1">
      <c r="A199" s="335">
        <v>196.0</v>
      </c>
      <c r="B199" s="336">
        <v>196.0</v>
      </c>
      <c r="C199" s="337">
        <v>172.0</v>
      </c>
      <c r="D199" s="338" t="s">
        <v>5132</v>
      </c>
      <c r="E199" s="339" t="s">
        <v>1793</v>
      </c>
      <c r="F199" s="340" t="s">
        <v>5055</v>
      </c>
      <c r="G199" s="341">
        <v>6174.6</v>
      </c>
      <c r="H199" s="342">
        <v>5.7</v>
      </c>
      <c r="I199" s="342">
        <v>84.4</v>
      </c>
      <c r="J199" s="342">
        <v>-52.2</v>
      </c>
      <c r="K199" s="342">
        <v>1.4</v>
      </c>
      <c r="L199" s="342">
        <v>3.8</v>
      </c>
      <c r="M199" s="346">
        <v>16.0</v>
      </c>
      <c r="O199" s="344"/>
    </row>
    <row r="200" ht="15.75" customHeight="1">
      <c r="A200" s="335">
        <v>197.0</v>
      </c>
      <c r="B200" s="336">
        <v>197.0</v>
      </c>
      <c r="C200" s="337">
        <v>251.0</v>
      </c>
      <c r="D200" s="345" t="s">
        <v>2877</v>
      </c>
      <c r="E200" s="339" t="s">
        <v>1075</v>
      </c>
      <c r="F200" s="340" t="s">
        <v>3754</v>
      </c>
      <c r="G200" s="341">
        <v>6136.0</v>
      </c>
      <c r="H200" s="342">
        <v>56.0</v>
      </c>
      <c r="I200" s="342" t="s">
        <v>3537</v>
      </c>
      <c r="J200" s="342" t="s">
        <v>3537</v>
      </c>
      <c r="K200" s="342" t="s">
        <v>3537</v>
      </c>
      <c r="L200" s="342" t="s">
        <v>3537</v>
      </c>
      <c r="M200" s="346" t="s">
        <v>3537</v>
      </c>
      <c r="O200" s="344"/>
    </row>
    <row r="201" ht="15.75" customHeight="1">
      <c r="A201" s="335">
        <v>198.0</v>
      </c>
      <c r="B201" s="336">
        <v>198.0</v>
      </c>
      <c r="C201" s="337">
        <v>221.0</v>
      </c>
      <c r="D201" s="338" t="s">
        <v>5133</v>
      </c>
      <c r="E201" s="339" t="s">
        <v>1751</v>
      </c>
      <c r="F201" s="340" t="s">
        <v>4960</v>
      </c>
      <c r="G201" s="341">
        <v>6133.8</v>
      </c>
      <c r="H201" s="342">
        <v>39.0</v>
      </c>
      <c r="I201" s="342">
        <v>273.9</v>
      </c>
      <c r="J201" s="342">
        <v>-42.3</v>
      </c>
      <c r="K201" s="342">
        <v>4.5</v>
      </c>
      <c r="L201" s="342">
        <v>25.2</v>
      </c>
      <c r="M201" s="346">
        <v>822.6</v>
      </c>
      <c r="O201" s="344"/>
    </row>
    <row r="202" ht="15.75" customHeight="1">
      <c r="A202" s="335">
        <v>199.0</v>
      </c>
      <c r="B202" s="336">
        <v>199.0</v>
      </c>
      <c r="C202" s="337">
        <v>199.0</v>
      </c>
      <c r="D202" s="338" t="s">
        <v>5134</v>
      </c>
      <c r="E202" s="339" t="s">
        <v>1751</v>
      </c>
      <c r="F202" s="340" t="s">
        <v>4983</v>
      </c>
      <c r="G202" s="341">
        <v>6128.6</v>
      </c>
      <c r="H202" s="342">
        <v>19.6</v>
      </c>
      <c r="I202" s="342">
        <v>375.8</v>
      </c>
      <c r="J202" s="342">
        <v>-68.0</v>
      </c>
      <c r="K202" s="342">
        <v>6.1</v>
      </c>
      <c r="L202" s="342">
        <v>3.3</v>
      </c>
      <c r="M202" s="346">
        <v>910.9</v>
      </c>
      <c r="O202" s="344"/>
    </row>
    <row r="203" ht="15.75" customHeight="1">
      <c r="A203" s="335">
        <v>200.0</v>
      </c>
      <c r="B203" s="336">
        <v>200.0</v>
      </c>
      <c r="C203" s="337">
        <v>214.0</v>
      </c>
      <c r="D203" s="338" t="s">
        <v>5135</v>
      </c>
      <c r="E203" s="339" t="s">
        <v>482</v>
      </c>
      <c r="F203" s="340" t="s">
        <v>5012</v>
      </c>
      <c r="G203" s="341">
        <v>6061.3</v>
      </c>
      <c r="H203" s="342">
        <v>30.3</v>
      </c>
      <c r="I203" s="342">
        <v>234.1</v>
      </c>
      <c r="J203" s="342">
        <v>-36.3</v>
      </c>
      <c r="K203" s="342">
        <v>3.9</v>
      </c>
      <c r="L203" s="342">
        <v>9.7</v>
      </c>
      <c r="M203" s="343">
        <v>1615.7</v>
      </c>
      <c r="O203" s="344"/>
    </row>
    <row r="204" ht="15.75" customHeight="1">
      <c r="A204" s="335">
        <v>201.0</v>
      </c>
      <c r="B204" s="336">
        <v>201.0</v>
      </c>
      <c r="C204" s="337">
        <v>222.0</v>
      </c>
      <c r="D204" s="345" t="s">
        <v>5136</v>
      </c>
      <c r="E204" s="339" t="s">
        <v>482</v>
      </c>
      <c r="F204" s="340" t="s">
        <v>87</v>
      </c>
      <c r="G204" s="341">
        <v>6029.6</v>
      </c>
      <c r="H204" s="342">
        <v>36.6</v>
      </c>
      <c r="I204" s="342">
        <v>28.0</v>
      </c>
      <c r="J204" s="342">
        <v>-89.9</v>
      </c>
      <c r="K204" s="342">
        <v>0.5</v>
      </c>
      <c r="L204" s="342">
        <v>3.9</v>
      </c>
      <c r="M204" s="346">
        <v>-88.8</v>
      </c>
      <c r="O204" s="344"/>
    </row>
    <row r="205" ht="15.75" customHeight="1">
      <c r="A205" s="335">
        <v>202.0</v>
      </c>
      <c r="B205" s="336">
        <v>202.0</v>
      </c>
      <c r="C205" s="337">
        <v>239.0</v>
      </c>
      <c r="D205" s="338" t="s">
        <v>1527</v>
      </c>
      <c r="E205" s="339" t="s">
        <v>482</v>
      </c>
      <c r="F205" s="340" t="s">
        <v>4968</v>
      </c>
      <c r="G205" s="341">
        <v>6017.4</v>
      </c>
      <c r="H205" s="342">
        <v>46.2</v>
      </c>
      <c r="I205" s="341">
        <v>1109.1</v>
      </c>
      <c r="J205" s="342">
        <v>128.7</v>
      </c>
      <c r="K205" s="342">
        <v>18.4</v>
      </c>
      <c r="L205" s="342">
        <v>39.2</v>
      </c>
      <c r="M205" s="343">
        <v>1016.3</v>
      </c>
      <c r="O205" s="344"/>
    </row>
    <row r="206" ht="15.75" customHeight="1">
      <c r="A206" s="335">
        <v>203.0</v>
      </c>
      <c r="B206" s="336">
        <v>203.0</v>
      </c>
      <c r="C206" s="337">
        <v>166.0</v>
      </c>
      <c r="D206" s="338" t="s">
        <v>5137</v>
      </c>
      <c r="E206" s="339" t="s">
        <v>546</v>
      </c>
      <c r="F206" s="340" t="s">
        <v>4970</v>
      </c>
      <c r="G206" s="341">
        <v>6014.3</v>
      </c>
      <c r="H206" s="342">
        <v>1.1</v>
      </c>
      <c r="I206" s="342">
        <v>495.2</v>
      </c>
      <c r="J206" s="342">
        <v>-50.4</v>
      </c>
      <c r="K206" s="342">
        <v>8.2</v>
      </c>
      <c r="L206" s="342">
        <v>19.3</v>
      </c>
      <c r="M206" s="346">
        <v>213.6</v>
      </c>
      <c r="O206" s="344"/>
    </row>
    <row r="207" ht="15.75" customHeight="1">
      <c r="A207" s="335">
        <v>204.0</v>
      </c>
      <c r="B207" s="336">
        <v>204.0</v>
      </c>
      <c r="C207" s="337">
        <v>213.0</v>
      </c>
      <c r="D207" s="338" t="s">
        <v>5138</v>
      </c>
      <c r="E207" s="339" t="s">
        <v>98</v>
      </c>
      <c r="F207" s="340" t="s">
        <v>4974</v>
      </c>
      <c r="G207" s="341">
        <v>5973.9</v>
      </c>
      <c r="H207" s="342">
        <v>27.8</v>
      </c>
      <c r="I207" s="342">
        <v>340.7</v>
      </c>
      <c r="J207" s="342">
        <v>198.5</v>
      </c>
      <c r="K207" s="342">
        <v>5.7</v>
      </c>
      <c r="L207" s="342">
        <v>45.3</v>
      </c>
      <c r="M207" s="346">
        <v>451.5</v>
      </c>
      <c r="O207" s="344"/>
    </row>
    <row r="208" ht="15.75" customHeight="1">
      <c r="A208" s="335">
        <v>205.0</v>
      </c>
      <c r="B208" s="336">
        <v>205.0</v>
      </c>
      <c r="C208" s="337">
        <v>157.0</v>
      </c>
      <c r="D208" s="338" t="s">
        <v>5139</v>
      </c>
      <c r="E208" s="339" t="s">
        <v>482</v>
      </c>
      <c r="F208" s="340" t="s">
        <v>4983</v>
      </c>
      <c r="G208" s="341">
        <v>5962.2</v>
      </c>
      <c r="H208" s="342">
        <v>-1.6</v>
      </c>
      <c r="I208" s="341">
        <v>2278.4</v>
      </c>
      <c r="J208" s="342">
        <v>30.5</v>
      </c>
      <c r="K208" s="342">
        <v>38.2</v>
      </c>
      <c r="L208" s="342">
        <v>14.1</v>
      </c>
      <c r="M208" s="343">
        <v>3582.6</v>
      </c>
      <c r="O208" s="344"/>
    </row>
    <row r="209" ht="15.75" customHeight="1">
      <c r="A209" s="335">
        <v>206.0</v>
      </c>
      <c r="B209" s="336">
        <v>206.0</v>
      </c>
      <c r="C209" s="337">
        <v>158.0</v>
      </c>
      <c r="D209" s="338" t="s">
        <v>5140</v>
      </c>
      <c r="E209" s="339" t="s">
        <v>156</v>
      </c>
      <c r="F209" s="340" t="s">
        <v>4993</v>
      </c>
      <c r="G209" s="341">
        <v>5943.5</v>
      </c>
      <c r="H209" s="342">
        <v>-4.6</v>
      </c>
      <c r="I209" s="342">
        <v>305.8</v>
      </c>
      <c r="J209" s="342">
        <v>-58.5</v>
      </c>
      <c r="K209" s="342">
        <v>5.1</v>
      </c>
      <c r="L209" s="342">
        <v>19.9</v>
      </c>
      <c r="M209" s="346">
        <v>969.2</v>
      </c>
      <c r="O209" s="344"/>
    </row>
    <row r="210" ht="15.75" customHeight="1">
      <c r="A210" s="335">
        <v>207.0</v>
      </c>
      <c r="B210" s="336">
        <v>207.0</v>
      </c>
      <c r="C210" s="337">
        <v>165.0</v>
      </c>
      <c r="D210" s="338" t="s">
        <v>5141</v>
      </c>
      <c r="E210" s="339" t="s">
        <v>332</v>
      </c>
      <c r="F210" s="340" t="s">
        <v>5055</v>
      </c>
      <c r="G210" s="341">
        <v>5911.9</v>
      </c>
      <c r="H210" s="342">
        <v>-1.2</v>
      </c>
      <c r="I210" s="342">
        <v>173.4</v>
      </c>
      <c r="J210" s="342">
        <v>-69.5</v>
      </c>
      <c r="K210" s="342">
        <v>2.9</v>
      </c>
      <c r="L210" s="342">
        <v>16.1</v>
      </c>
      <c r="M210" s="346">
        <v>69.7</v>
      </c>
      <c r="O210" s="344"/>
    </row>
    <row r="211" ht="15.75" customHeight="1">
      <c r="A211" s="335">
        <v>208.0</v>
      </c>
      <c r="B211" s="336">
        <v>208.0</v>
      </c>
      <c r="C211" s="337">
        <v>178.0</v>
      </c>
      <c r="D211" s="338" t="s">
        <v>5142</v>
      </c>
      <c r="E211" s="339" t="s">
        <v>1075</v>
      </c>
      <c r="F211" s="340" t="s">
        <v>5110</v>
      </c>
      <c r="G211" s="341">
        <v>5880.8</v>
      </c>
      <c r="H211" s="342">
        <v>4.0</v>
      </c>
      <c r="I211" s="342">
        <v>612.4</v>
      </c>
      <c r="J211" s="342">
        <v>7.6</v>
      </c>
      <c r="K211" s="342">
        <v>10.4</v>
      </c>
      <c r="L211" s="342">
        <v>33.6</v>
      </c>
      <c r="M211" s="346">
        <v>798.6</v>
      </c>
      <c r="O211" s="344"/>
    </row>
    <row r="212" ht="15.75" customHeight="1">
      <c r="A212" s="335">
        <v>209.0</v>
      </c>
      <c r="B212" s="336">
        <v>209.0</v>
      </c>
      <c r="C212" s="337" t="s">
        <v>3537</v>
      </c>
      <c r="D212" s="338" t="s">
        <v>5143</v>
      </c>
      <c r="E212" s="339" t="s">
        <v>482</v>
      </c>
      <c r="F212" s="340" t="s">
        <v>4968</v>
      </c>
      <c r="G212" s="341">
        <v>5876.3</v>
      </c>
      <c r="H212" s="342">
        <v>60.9</v>
      </c>
      <c r="I212" s="342">
        <v>-6.5</v>
      </c>
      <c r="J212" s="342">
        <v>-104.5</v>
      </c>
      <c r="K212" s="342">
        <v>-0.1</v>
      </c>
      <c r="L212" s="342">
        <v>-7.3</v>
      </c>
      <c r="M212" s="346">
        <v>127.1</v>
      </c>
      <c r="O212" s="344"/>
    </row>
    <row r="213" ht="15.75" customHeight="1">
      <c r="A213" s="335">
        <v>210.0</v>
      </c>
      <c r="B213" s="336">
        <v>210.0</v>
      </c>
      <c r="C213" s="337">
        <v>194.0</v>
      </c>
      <c r="D213" s="338" t="s">
        <v>5144</v>
      </c>
      <c r="E213" s="339" t="s">
        <v>98</v>
      </c>
      <c r="F213" s="340" t="s">
        <v>4974</v>
      </c>
      <c r="G213" s="341">
        <v>5874.2</v>
      </c>
      <c r="H213" s="342">
        <v>12.9</v>
      </c>
      <c r="I213" s="342">
        <v>305.2</v>
      </c>
      <c r="J213" s="342">
        <v>-24.0</v>
      </c>
      <c r="K213" s="342">
        <v>5.2</v>
      </c>
      <c r="L213" s="342">
        <v>31.2</v>
      </c>
      <c r="M213" s="346">
        <v>114.8</v>
      </c>
      <c r="O213" s="344"/>
    </row>
    <row r="214" ht="15.75" customHeight="1">
      <c r="A214" s="335">
        <v>211.0</v>
      </c>
      <c r="B214" s="336">
        <v>211.0</v>
      </c>
      <c r="C214" s="337">
        <v>233.0</v>
      </c>
      <c r="D214" s="345" t="s">
        <v>5145</v>
      </c>
      <c r="E214" s="339" t="s">
        <v>98</v>
      </c>
      <c r="F214" s="340" t="s">
        <v>87</v>
      </c>
      <c r="G214" s="341">
        <v>5804.0</v>
      </c>
      <c r="H214" s="342">
        <v>35.6</v>
      </c>
      <c r="I214" s="342" t="s">
        <v>3537</v>
      </c>
      <c r="J214" s="342" t="s">
        <v>3537</v>
      </c>
      <c r="K214" s="342" t="s">
        <v>3537</v>
      </c>
      <c r="L214" s="342" t="s">
        <v>3537</v>
      </c>
      <c r="M214" s="346" t="s">
        <v>3537</v>
      </c>
      <c r="O214" s="344"/>
    </row>
    <row r="215" ht="15.75" customHeight="1">
      <c r="A215" s="335">
        <v>212.0</v>
      </c>
      <c r="B215" s="336">
        <v>212.0</v>
      </c>
      <c r="C215" s="337">
        <v>216.0</v>
      </c>
      <c r="D215" s="338" t="s">
        <v>5146</v>
      </c>
      <c r="E215" s="339" t="s">
        <v>156</v>
      </c>
      <c r="F215" s="340" t="s">
        <v>4968</v>
      </c>
      <c r="G215" s="341">
        <v>5752.5</v>
      </c>
      <c r="H215" s="342">
        <v>25.8</v>
      </c>
      <c r="I215" s="342">
        <v>62.6</v>
      </c>
      <c r="J215" s="342">
        <v>139.2</v>
      </c>
      <c r="K215" s="342">
        <v>1.1</v>
      </c>
      <c r="L215" s="342">
        <v>8.6</v>
      </c>
      <c r="M215" s="346">
        <v>300.0</v>
      </c>
      <c r="O215" s="344"/>
    </row>
    <row r="216" ht="15.75" customHeight="1">
      <c r="A216" s="335">
        <v>213.0</v>
      </c>
      <c r="B216" s="336">
        <v>213.0</v>
      </c>
      <c r="C216" s="337">
        <v>232.0</v>
      </c>
      <c r="D216" s="338" t="s">
        <v>5147</v>
      </c>
      <c r="E216" s="339" t="s">
        <v>3433</v>
      </c>
      <c r="F216" s="340" t="s">
        <v>5055</v>
      </c>
      <c r="G216" s="341">
        <v>5729.6</v>
      </c>
      <c r="H216" s="342">
        <v>34.7</v>
      </c>
      <c r="I216" s="342">
        <v>95.2</v>
      </c>
      <c r="J216" s="342">
        <v>10.2</v>
      </c>
      <c r="K216" s="342">
        <v>1.7</v>
      </c>
      <c r="L216" s="342">
        <v>35.3</v>
      </c>
      <c r="M216" s="346">
        <v>138.9</v>
      </c>
      <c r="O216" s="344"/>
    </row>
    <row r="217" ht="15.75" customHeight="1">
      <c r="A217" s="335">
        <v>214.0</v>
      </c>
      <c r="B217" s="336">
        <v>214.0</v>
      </c>
      <c r="C217" s="337">
        <v>195.0</v>
      </c>
      <c r="D217" s="338" t="s">
        <v>5148</v>
      </c>
      <c r="E217" s="339" t="s">
        <v>1708</v>
      </c>
      <c r="F217" s="340" t="s">
        <v>4968</v>
      </c>
      <c r="G217" s="341">
        <v>5729.1</v>
      </c>
      <c r="H217" s="342">
        <v>10.7</v>
      </c>
      <c r="I217" s="341">
        <v>1027.3</v>
      </c>
      <c r="J217" s="342">
        <v>23.2</v>
      </c>
      <c r="K217" s="342">
        <v>17.9</v>
      </c>
      <c r="L217" s="342">
        <v>32.1</v>
      </c>
      <c r="M217" s="343">
        <v>1090.3</v>
      </c>
      <c r="O217" s="344"/>
    </row>
    <row r="218" ht="15.75" customHeight="1">
      <c r="A218" s="335">
        <v>215.0</v>
      </c>
      <c r="B218" s="336">
        <v>215.0</v>
      </c>
      <c r="C218" s="337">
        <v>229.0</v>
      </c>
      <c r="D218" s="338" t="s">
        <v>5149</v>
      </c>
      <c r="E218" s="339" t="s">
        <v>3433</v>
      </c>
      <c r="F218" s="340" t="s">
        <v>4968</v>
      </c>
      <c r="G218" s="341">
        <v>5675.1</v>
      </c>
      <c r="H218" s="342">
        <v>32.2</v>
      </c>
      <c r="I218" s="342">
        <v>-150.6</v>
      </c>
      <c r="J218" s="342">
        <v>-122.6</v>
      </c>
      <c r="K218" s="342">
        <v>-2.7</v>
      </c>
      <c r="L218" s="342">
        <v>-33.9</v>
      </c>
      <c r="M218" s="346">
        <v>-27.6</v>
      </c>
      <c r="O218" s="344"/>
    </row>
    <row r="219" ht="15.75" customHeight="1">
      <c r="A219" s="335">
        <v>216.0</v>
      </c>
      <c r="B219" s="336">
        <v>216.0</v>
      </c>
      <c r="C219" s="337">
        <v>193.0</v>
      </c>
      <c r="D219" s="338" t="s">
        <v>5150</v>
      </c>
      <c r="E219" s="339" t="s">
        <v>156</v>
      </c>
      <c r="F219" s="340" t="s">
        <v>5018</v>
      </c>
      <c r="G219" s="341">
        <v>5673.6</v>
      </c>
      <c r="H219" s="342">
        <v>9.0</v>
      </c>
      <c r="I219" s="341">
        <v>1151.5</v>
      </c>
      <c r="J219" s="342">
        <v>-2.2</v>
      </c>
      <c r="K219" s="342">
        <v>20.3</v>
      </c>
      <c r="L219" s="342">
        <v>13.9</v>
      </c>
      <c r="M219" s="343">
        <v>1533.6</v>
      </c>
      <c r="O219" s="344"/>
    </row>
    <row r="220" ht="15.75" customHeight="1">
      <c r="A220" s="335">
        <v>217.0</v>
      </c>
      <c r="B220" s="336">
        <v>217.0</v>
      </c>
      <c r="C220" s="337">
        <v>242.0</v>
      </c>
      <c r="D220" s="338" t="s">
        <v>5151</v>
      </c>
      <c r="E220" s="339" t="s">
        <v>349</v>
      </c>
      <c r="F220" s="340" t="s">
        <v>4960</v>
      </c>
      <c r="G220" s="341">
        <v>5626.0</v>
      </c>
      <c r="H220" s="342">
        <v>39.2</v>
      </c>
      <c r="I220" s="342">
        <v>41.3</v>
      </c>
      <c r="J220" s="342">
        <v>82.5</v>
      </c>
      <c r="K220" s="342">
        <v>0.7</v>
      </c>
      <c r="L220" s="342">
        <v>45.4</v>
      </c>
      <c r="M220" s="346">
        <v>63.9</v>
      </c>
      <c r="O220" s="344"/>
    </row>
    <row r="221" ht="15.75" customHeight="1">
      <c r="A221" s="335">
        <v>218.0</v>
      </c>
      <c r="B221" s="336">
        <v>218.0</v>
      </c>
      <c r="C221" s="337" t="s">
        <v>3537</v>
      </c>
      <c r="D221" s="345" t="s">
        <v>3667</v>
      </c>
      <c r="E221" s="339" t="s">
        <v>274</v>
      </c>
      <c r="F221" s="340" t="s">
        <v>87</v>
      </c>
      <c r="G221" s="341">
        <v>5616.1</v>
      </c>
      <c r="H221" s="342">
        <v>39.6</v>
      </c>
      <c r="I221" s="342">
        <v>81.5</v>
      </c>
      <c r="J221" s="342">
        <v>143.9</v>
      </c>
      <c r="K221" s="342">
        <v>1.5</v>
      </c>
      <c r="L221" s="342">
        <v>19.7</v>
      </c>
      <c r="M221" s="346">
        <v>253.5</v>
      </c>
      <c r="O221" s="344"/>
    </row>
    <row r="222" ht="15.75" customHeight="1">
      <c r="A222" s="335">
        <v>219.0</v>
      </c>
      <c r="B222" s="336">
        <v>219.0</v>
      </c>
      <c r="C222" s="337">
        <v>220.0</v>
      </c>
      <c r="D222" s="338" t="s">
        <v>5152</v>
      </c>
      <c r="E222" s="339" t="s">
        <v>332</v>
      </c>
      <c r="F222" s="340" t="s">
        <v>5012</v>
      </c>
      <c r="G222" s="341">
        <v>5592.1</v>
      </c>
      <c r="H222" s="342">
        <v>26.3</v>
      </c>
      <c r="I222" s="342">
        <v>874.2</v>
      </c>
      <c r="J222" s="342">
        <v>25.0</v>
      </c>
      <c r="K222" s="342">
        <v>15.6</v>
      </c>
      <c r="L222" s="342">
        <v>16.9</v>
      </c>
      <c r="M222" s="343">
        <v>1508.4</v>
      </c>
      <c r="O222" s="344"/>
    </row>
    <row r="223" ht="15.75" customHeight="1">
      <c r="A223" s="335">
        <v>220.0</v>
      </c>
      <c r="B223" s="336">
        <v>220.0</v>
      </c>
      <c r="C223" s="337">
        <v>188.0</v>
      </c>
      <c r="D223" s="338" t="s">
        <v>5153</v>
      </c>
      <c r="E223" s="339" t="s">
        <v>1199</v>
      </c>
      <c r="F223" s="340" t="s">
        <v>4970</v>
      </c>
      <c r="G223" s="341">
        <v>5574.6</v>
      </c>
      <c r="H223" s="342">
        <v>3.5</v>
      </c>
      <c r="I223" s="342">
        <v>588.1</v>
      </c>
      <c r="J223" s="342">
        <v>-69.7</v>
      </c>
      <c r="K223" s="342">
        <v>10.5</v>
      </c>
      <c r="L223" s="342">
        <v>16.7</v>
      </c>
      <c r="M223" s="346">
        <v>746.4</v>
      </c>
      <c r="O223" s="344"/>
    </row>
    <row r="224" ht="15.75" customHeight="1">
      <c r="A224" s="335">
        <v>221.0</v>
      </c>
      <c r="B224" s="336">
        <v>221.0</v>
      </c>
      <c r="C224" s="337">
        <v>223.0</v>
      </c>
      <c r="D224" s="338" t="s">
        <v>5154</v>
      </c>
      <c r="E224" s="339" t="s">
        <v>156</v>
      </c>
      <c r="F224" s="340" t="s">
        <v>4960</v>
      </c>
      <c r="G224" s="341">
        <v>5560.7</v>
      </c>
      <c r="H224" s="342">
        <v>26.3</v>
      </c>
      <c r="I224" s="342" t="s">
        <v>3537</v>
      </c>
      <c r="J224" s="342" t="s">
        <v>3537</v>
      </c>
      <c r="K224" s="342" t="s">
        <v>3537</v>
      </c>
      <c r="L224" s="342" t="s">
        <v>3537</v>
      </c>
      <c r="M224" s="346" t="s">
        <v>3537</v>
      </c>
      <c r="O224" s="344"/>
    </row>
    <row r="225" ht="15.75" customHeight="1">
      <c r="A225" s="335">
        <v>222.0</v>
      </c>
      <c r="B225" s="336">
        <v>222.0</v>
      </c>
      <c r="C225" s="337">
        <v>218.0</v>
      </c>
      <c r="D225" s="338" t="s">
        <v>5155</v>
      </c>
      <c r="E225" s="339" t="s">
        <v>482</v>
      </c>
      <c r="F225" s="340" t="s">
        <v>4985</v>
      </c>
      <c r="G225" s="341">
        <v>5546.5</v>
      </c>
      <c r="H225" s="342">
        <v>23.5</v>
      </c>
      <c r="I225" s="342">
        <v>520.6</v>
      </c>
      <c r="J225" s="342">
        <v>63.8</v>
      </c>
      <c r="K225" s="342">
        <v>9.4</v>
      </c>
      <c r="L225" s="342">
        <v>40.7</v>
      </c>
      <c r="M225" s="346">
        <v>608.0</v>
      </c>
      <c r="O225" s="344"/>
    </row>
    <row r="226" ht="15.75" customHeight="1">
      <c r="A226" s="335">
        <v>223.0</v>
      </c>
      <c r="B226" s="336">
        <v>223.0</v>
      </c>
      <c r="C226" s="337">
        <v>354.0</v>
      </c>
      <c r="D226" s="338" t="s">
        <v>5156</v>
      </c>
      <c r="E226" s="339" t="s">
        <v>482</v>
      </c>
      <c r="F226" s="340" t="s">
        <v>4983</v>
      </c>
      <c r="G226" s="341">
        <v>5515.7</v>
      </c>
      <c r="H226" s="342">
        <v>110.2</v>
      </c>
      <c r="I226" s="341">
        <v>2678.6</v>
      </c>
      <c r="J226" s="342">
        <v>759.5</v>
      </c>
      <c r="K226" s="342">
        <v>48.6</v>
      </c>
      <c r="L226" s="342">
        <v>22.0</v>
      </c>
      <c r="M226" s="346">
        <v>39.9</v>
      </c>
      <c r="O226" s="344"/>
    </row>
    <row r="227" ht="15.75" customHeight="1">
      <c r="A227" s="335">
        <v>224.0</v>
      </c>
      <c r="B227" s="336">
        <v>224.0</v>
      </c>
      <c r="C227" s="337" t="s">
        <v>3537</v>
      </c>
      <c r="D227" s="345" t="s">
        <v>5157</v>
      </c>
      <c r="E227" s="339" t="s">
        <v>156</v>
      </c>
      <c r="F227" s="340" t="s">
        <v>87</v>
      </c>
      <c r="G227" s="341">
        <v>5504.6</v>
      </c>
      <c r="H227" s="342">
        <v>18.8</v>
      </c>
      <c r="I227" s="342" t="s">
        <v>3537</v>
      </c>
      <c r="J227" s="342" t="s">
        <v>3537</v>
      </c>
      <c r="K227" s="342" t="s">
        <v>3537</v>
      </c>
      <c r="L227" s="342" t="s">
        <v>3537</v>
      </c>
      <c r="M227" s="346" t="s">
        <v>3537</v>
      </c>
      <c r="O227" s="344"/>
    </row>
    <row r="228" ht="15.75" customHeight="1">
      <c r="A228" s="335">
        <v>225.0</v>
      </c>
      <c r="B228" s="336">
        <v>225.0</v>
      </c>
      <c r="C228" s="337">
        <v>224.0</v>
      </c>
      <c r="D228" s="338" t="s">
        <v>5158</v>
      </c>
      <c r="E228" s="339" t="s">
        <v>482</v>
      </c>
      <c r="F228" s="340" t="s">
        <v>4963</v>
      </c>
      <c r="G228" s="341">
        <v>5459.2</v>
      </c>
      <c r="H228" s="342">
        <v>24.0</v>
      </c>
      <c r="I228" s="342" t="s">
        <v>3537</v>
      </c>
      <c r="J228" s="342" t="s">
        <v>3537</v>
      </c>
      <c r="K228" s="342" t="s">
        <v>3537</v>
      </c>
      <c r="L228" s="342" t="s">
        <v>3537</v>
      </c>
      <c r="M228" s="346" t="s">
        <v>3537</v>
      </c>
      <c r="O228" s="344"/>
    </row>
    <row r="229" ht="15.75" customHeight="1">
      <c r="A229" s="335">
        <v>226.0</v>
      </c>
      <c r="B229" s="336">
        <v>226.0</v>
      </c>
      <c r="C229" s="337">
        <v>181.0</v>
      </c>
      <c r="D229" s="338" t="s">
        <v>5159</v>
      </c>
      <c r="E229" s="339" t="s">
        <v>482</v>
      </c>
      <c r="F229" s="340" t="s">
        <v>4983</v>
      </c>
      <c r="G229" s="341">
        <v>5450.6</v>
      </c>
      <c r="H229" s="342">
        <v>-1.5</v>
      </c>
      <c r="I229" s="341">
        <v>2319.8</v>
      </c>
      <c r="J229" s="342">
        <v>-23.6</v>
      </c>
      <c r="K229" s="342">
        <v>42.6</v>
      </c>
      <c r="L229" s="342">
        <v>14.8</v>
      </c>
      <c r="M229" s="343">
        <v>2943.5</v>
      </c>
      <c r="O229" s="344"/>
    </row>
    <row r="230" ht="15.75" customHeight="1">
      <c r="A230" s="335">
        <v>227.0</v>
      </c>
      <c r="B230" s="336">
        <v>227.0</v>
      </c>
      <c r="C230" s="337">
        <v>267.0</v>
      </c>
      <c r="D230" s="338" t="s">
        <v>5160</v>
      </c>
      <c r="E230" s="339" t="s">
        <v>98</v>
      </c>
      <c r="F230" s="340" t="s">
        <v>4976</v>
      </c>
      <c r="G230" s="341">
        <v>5415.6</v>
      </c>
      <c r="H230" s="342">
        <v>54.8</v>
      </c>
      <c r="I230" s="342">
        <v>436.8</v>
      </c>
      <c r="J230" s="342">
        <v>21.9</v>
      </c>
      <c r="K230" s="342">
        <v>8.1</v>
      </c>
      <c r="L230" s="342">
        <v>14.2</v>
      </c>
      <c r="M230" s="346">
        <v>283.3</v>
      </c>
      <c r="O230" s="344"/>
    </row>
    <row r="231" ht="15.75" customHeight="1">
      <c r="A231" s="335">
        <v>228.0</v>
      </c>
      <c r="B231" s="336">
        <v>228.0</v>
      </c>
      <c r="C231" s="337">
        <v>208.0</v>
      </c>
      <c r="D231" s="338" t="s">
        <v>5161</v>
      </c>
      <c r="E231" s="339" t="s">
        <v>482</v>
      </c>
      <c r="F231" s="340" t="s">
        <v>5122</v>
      </c>
      <c r="G231" s="341">
        <v>5412.3</v>
      </c>
      <c r="H231" s="342">
        <v>13.0</v>
      </c>
      <c r="I231" s="342">
        <v>858.6</v>
      </c>
      <c r="J231" s="342">
        <v>-15.6</v>
      </c>
      <c r="K231" s="342">
        <v>15.9</v>
      </c>
      <c r="L231" s="342">
        <v>11.8</v>
      </c>
      <c r="M231" s="346">
        <v>371.0</v>
      </c>
      <c r="O231" s="344"/>
    </row>
    <row r="232" ht="15.75" customHeight="1">
      <c r="A232" s="335">
        <v>229.0</v>
      </c>
      <c r="B232" s="336">
        <v>229.0</v>
      </c>
      <c r="C232" s="337">
        <v>206.0</v>
      </c>
      <c r="D232" s="345" t="s">
        <v>5162</v>
      </c>
      <c r="E232" s="339" t="s">
        <v>156</v>
      </c>
      <c r="F232" s="340" t="s">
        <v>87</v>
      </c>
      <c r="G232" s="341">
        <v>5389.5</v>
      </c>
      <c r="H232" s="342">
        <v>9.8</v>
      </c>
      <c r="I232" s="342">
        <v>92.5</v>
      </c>
      <c r="J232" s="342">
        <v>-32.3</v>
      </c>
      <c r="K232" s="342">
        <v>1.7</v>
      </c>
      <c r="L232" s="342">
        <v>14.5</v>
      </c>
      <c r="M232" s="346">
        <v>303.7</v>
      </c>
      <c r="O232" s="344"/>
    </row>
    <row r="233" ht="15.75" customHeight="1">
      <c r="A233" s="335">
        <v>230.0</v>
      </c>
      <c r="B233" s="336">
        <v>230.0</v>
      </c>
      <c r="C233" s="337" t="s">
        <v>3537</v>
      </c>
      <c r="D233" s="338" t="s">
        <v>5163</v>
      </c>
      <c r="E233" s="339" t="s">
        <v>1708</v>
      </c>
      <c r="F233" s="340" t="s">
        <v>4983</v>
      </c>
      <c r="G233" s="341">
        <v>5284.5</v>
      </c>
      <c r="H233" s="342">
        <v>-12.6</v>
      </c>
      <c r="I233" s="342">
        <v>-425.2</v>
      </c>
      <c r="J233" s="342">
        <v>-33.0</v>
      </c>
      <c r="K233" s="342">
        <v>-8.0</v>
      </c>
      <c r="L233" s="342" t="s">
        <v>5021</v>
      </c>
      <c r="M233" s="346">
        <v>383.9</v>
      </c>
      <c r="O233" s="344"/>
    </row>
    <row r="234" ht="15.75" customHeight="1">
      <c r="A234" s="335">
        <v>231.0</v>
      </c>
      <c r="B234" s="336">
        <v>231.0</v>
      </c>
      <c r="C234" s="337">
        <v>231.0</v>
      </c>
      <c r="D234" s="338" t="s">
        <v>5164</v>
      </c>
      <c r="E234" s="339" t="s">
        <v>3433</v>
      </c>
      <c r="F234" s="340" t="s">
        <v>5055</v>
      </c>
      <c r="G234" s="341">
        <v>5280.9</v>
      </c>
      <c r="H234" s="342">
        <v>23.1</v>
      </c>
      <c r="I234" s="342">
        <v>90.5</v>
      </c>
      <c r="J234" s="342">
        <v>-12.2</v>
      </c>
      <c r="K234" s="342">
        <v>1.7</v>
      </c>
      <c r="L234" s="342">
        <v>23.1</v>
      </c>
      <c r="M234" s="346">
        <v>81.1</v>
      </c>
      <c r="O234" s="344"/>
    </row>
    <row r="235" ht="15.75" customHeight="1">
      <c r="A235" s="335">
        <v>232.0</v>
      </c>
      <c r="B235" s="336">
        <v>232.0</v>
      </c>
      <c r="C235" s="337" t="s">
        <v>3537</v>
      </c>
      <c r="D235" s="338" t="s">
        <v>5165</v>
      </c>
      <c r="E235" s="339" t="s">
        <v>482</v>
      </c>
      <c r="F235" s="340" t="s">
        <v>4981</v>
      </c>
      <c r="G235" s="341">
        <v>5278.7</v>
      </c>
      <c r="H235" s="342">
        <v>18.9</v>
      </c>
      <c r="I235" s="342" t="s">
        <v>3537</v>
      </c>
      <c r="J235" s="342" t="s">
        <v>3537</v>
      </c>
      <c r="K235" s="342" t="s">
        <v>3537</v>
      </c>
      <c r="L235" s="342" t="s">
        <v>3537</v>
      </c>
      <c r="M235" s="346" t="s">
        <v>3537</v>
      </c>
      <c r="O235" s="344"/>
    </row>
    <row r="236" ht="15.75" customHeight="1">
      <c r="A236" s="335">
        <v>233.0</v>
      </c>
      <c r="B236" s="336">
        <v>233.0</v>
      </c>
      <c r="C236" s="337">
        <v>243.0</v>
      </c>
      <c r="D236" s="347" t="s">
        <v>5166</v>
      </c>
      <c r="E236" s="339" t="s">
        <v>482</v>
      </c>
      <c r="F236" s="340" t="s">
        <v>3754</v>
      </c>
      <c r="G236" s="341">
        <v>5134.0</v>
      </c>
      <c r="H236" s="342">
        <v>27.3</v>
      </c>
      <c r="I236" s="342">
        <v>52.9</v>
      </c>
      <c r="J236" s="342">
        <v>-52.3</v>
      </c>
      <c r="K236" s="342">
        <v>1.0</v>
      </c>
      <c r="L236" s="342">
        <v>10.9</v>
      </c>
      <c r="M236" s="346">
        <v>84.9</v>
      </c>
      <c r="O236" s="344"/>
    </row>
    <row r="237" ht="15.75" customHeight="1">
      <c r="A237" s="335">
        <v>234.0</v>
      </c>
      <c r="B237" s="336">
        <v>234.0</v>
      </c>
      <c r="C237" s="337" t="s">
        <v>3537</v>
      </c>
      <c r="D237" s="345" t="s">
        <v>2569</v>
      </c>
      <c r="E237" s="339" t="s">
        <v>156</v>
      </c>
      <c r="F237" s="340" t="s">
        <v>3754</v>
      </c>
      <c r="G237" s="341">
        <v>5132.5</v>
      </c>
      <c r="H237" s="342">
        <v>11.4</v>
      </c>
      <c r="I237" s="342">
        <v>438.9</v>
      </c>
      <c r="J237" s="342">
        <v>201.5</v>
      </c>
      <c r="K237" s="342">
        <v>8.6</v>
      </c>
      <c r="L237" s="342">
        <v>222.3</v>
      </c>
      <c r="M237" s="346">
        <v>490.7</v>
      </c>
      <c r="O237" s="344"/>
    </row>
    <row r="238" ht="15.75" customHeight="1">
      <c r="A238" s="335">
        <v>235.0</v>
      </c>
      <c r="B238" s="336">
        <v>235.0</v>
      </c>
      <c r="C238" s="337">
        <v>174.0</v>
      </c>
      <c r="D238" s="338" t="s">
        <v>5167</v>
      </c>
      <c r="E238" s="339" t="s">
        <v>482</v>
      </c>
      <c r="F238" s="340" t="s">
        <v>4985</v>
      </c>
      <c r="G238" s="341">
        <v>5127.8</v>
      </c>
      <c r="H238" s="342">
        <v>-10.6</v>
      </c>
      <c r="I238" s="342">
        <v>76.1</v>
      </c>
      <c r="J238" s="342">
        <v>-73.6</v>
      </c>
      <c r="K238" s="342">
        <v>1.5</v>
      </c>
      <c r="L238" s="342">
        <v>5.1</v>
      </c>
      <c r="M238" s="346">
        <v>190.1</v>
      </c>
      <c r="O238" s="344"/>
    </row>
    <row r="239" ht="15.75" customHeight="1">
      <c r="A239" s="335">
        <v>236.0</v>
      </c>
      <c r="B239" s="336">
        <v>236.0</v>
      </c>
      <c r="C239" s="337" t="s">
        <v>3537</v>
      </c>
      <c r="D239" s="338" t="s">
        <v>5168</v>
      </c>
      <c r="E239" s="339" t="s">
        <v>482</v>
      </c>
      <c r="F239" s="340" t="s">
        <v>4985</v>
      </c>
      <c r="G239" s="341">
        <v>5119.7</v>
      </c>
      <c r="H239" s="342" t="s">
        <v>3537</v>
      </c>
      <c r="I239" s="342">
        <v>-443.3</v>
      </c>
      <c r="J239" s="342" t="s">
        <v>3537</v>
      </c>
      <c r="K239" s="342">
        <v>-8.7</v>
      </c>
      <c r="L239" s="342" t="s">
        <v>3537</v>
      </c>
      <c r="M239" s="346">
        <v>-113.5</v>
      </c>
      <c r="O239" s="344"/>
    </row>
    <row r="240" ht="15.75" customHeight="1">
      <c r="A240" s="335">
        <v>237.0</v>
      </c>
      <c r="B240" s="336">
        <v>237.0</v>
      </c>
      <c r="C240" s="337">
        <v>211.0</v>
      </c>
      <c r="D240" s="338" t="s">
        <v>5169</v>
      </c>
      <c r="E240" s="339" t="s">
        <v>482</v>
      </c>
      <c r="F240" s="340" t="s">
        <v>4993</v>
      </c>
      <c r="G240" s="341">
        <v>5109.3</v>
      </c>
      <c r="H240" s="342">
        <v>8.1</v>
      </c>
      <c r="I240" s="342">
        <v>949.5</v>
      </c>
      <c r="J240" s="342">
        <v>30.2</v>
      </c>
      <c r="K240" s="342">
        <v>18.6</v>
      </c>
      <c r="L240" s="342">
        <v>33.5</v>
      </c>
      <c r="M240" s="343">
        <v>1266.6</v>
      </c>
      <c r="O240" s="344"/>
    </row>
    <row r="241" ht="15.75" customHeight="1">
      <c r="A241" s="335">
        <v>238.0</v>
      </c>
      <c r="B241" s="336">
        <v>238.0</v>
      </c>
      <c r="C241" s="337">
        <v>196.0</v>
      </c>
      <c r="D241" s="338" t="s">
        <v>5170</v>
      </c>
      <c r="E241" s="339" t="s">
        <v>332</v>
      </c>
      <c r="F241" s="340" t="s">
        <v>4963</v>
      </c>
      <c r="G241" s="341">
        <v>5102.0</v>
      </c>
      <c r="H241" s="342">
        <v>-1.1</v>
      </c>
      <c r="I241" s="341">
        <v>1343.6</v>
      </c>
      <c r="J241" s="342">
        <v>4.4</v>
      </c>
      <c r="K241" s="342">
        <v>26.3</v>
      </c>
      <c r="L241" s="342">
        <v>15.7</v>
      </c>
      <c r="M241" s="343">
        <v>1640.4</v>
      </c>
      <c r="O241" s="344"/>
    </row>
    <row r="242" ht="15.75" customHeight="1">
      <c r="A242" s="335">
        <v>239.0</v>
      </c>
      <c r="B242" s="336">
        <v>239.0</v>
      </c>
      <c r="C242" s="337">
        <v>209.0</v>
      </c>
      <c r="D242" s="338" t="s">
        <v>5171</v>
      </c>
      <c r="E242" s="339" t="s">
        <v>332</v>
      </c>
      <c r="F242" s="340" t="s">
        <v>5172</v>
      </c>
      <c r="G242" s="341">
        <v>5092.2</v>
      </c>
      <c r="H242" s="342">
        <v>6.6</v>
      </c>
      <c r="I242" s="342">
        <v>-541.0</v>
      </c>
      <c r="J242" s="342">
        <v>-5.5</v>
      </c>
      <c r="K242" s="342">
        <v>-10.6</v>
      </c>
      <c r="L242" s="342">
        <v>-4.0</v>
      </c>
      <c r="M242" s="346">
        <v>290.3</v>
      </c>
      <c r="O242" s="344"/>
    </row>
    <row r="243" ht="15.75" customHeight="1">
      <c r="A243" s="335">
        <v>240.0</v>
      </c>
      <c r="B243" s="336">
        <v>240.0</v>
      </c>
      <c r="C243" s="337">
        <v>153.0</v>
      </c>
      <c r="D243" s="338" t="s">
        <v>5173</v>
      </c>
      <c r="E243" s="339" t="s">
        <v>482</v>
      </c>
      <c r="F243" s="340" t="s">
        <v>4968</v>
      </c>
      <c r="G243" s="341">
        <v>5070.1</v>
      </c>
      <c r="H243" s="342">
        <v>-20.8</v>
      </c>
      <c r="I243" s="342">
        <v>61.7</v>
      </c>
      <c r="J243" s="342">
        <v>-89.4</v>
      </c>
      <c r="K243" s="342">
        <v>1.2</v>
      </c>
      <c r="L243" s="342">
        <v>2.7</v>
      </c>
      <c r="M243" s="346">
        <v>-347.0</v>
      </c>
      <c r="O243" s="344"/>
    </row>
    <row r="244" ht="15.75" customHeight="1">
      <c r="A244" s="335">
        <v>241.0</v>
      </c>
      <c r="B244" s="336">
        <v>241.0</v>
      </c>
      <c r="C244" s="337">
        <v>281.0</v>
      </c>
      <c r="D244" s="338" t="s">
        <v>5174</v>
      </c>
      <c r="E244" s="339" t="s">
        <v>156</v>
      </c>
      <c r="F244" s="340" t="s">
        <v>4985</v>
      </c>
      <c r="G244" s="341">
        <v>4993.2</v>
      </c>
      <c r="H244" s="342">
        <v>48.4</v>
      </c>
      <c r="I244" s="342">
        <v>306.4</v>
      </c>
      <c r="J244" s="342">
        <v>51.0</v>
      </c>
      <c r="K244" s="342">
        <v>6.1</v>
      </c>
      <c r="L244" s="342">
        <v>23.7</v>
      </c>
      <c r="M244" s="346">
        <v>459.2</v>
      </c>
      <c r="O244" s="344"/>
    </row>
    <row r="245" ht="15.75" customHeight="1">
      <c r="A245" s="335">
        <v>242.0</v>
      </c>
      <c r="B245" s="336">
        <v>242.0</v>
      </c>
      <c r="C245" s="337">
        <v>245.0</v>
      </c>
      <c r="D245" s="338" t="s">
        <v>5175</v>
      </c>
      <c r="E245" s="339" t="s">
        <v>482</v>
      </c>
      <c r="F245" s="340" t="s">
        <v>4993</v>
      </c>
      <c r="G245" s="341">
        <v>4977.6</v>
      </c>
      <c r="H245" s="342">
        <v>23.6</v>
      </c>
      <c r="I245" s="341">
        <v>1058.4</v>
      </c>
      <c r="J245" s="342">
        <v>62.4</v>
      </c>
      <c r="K245" s="342">
        <v>21.3</v>
      </c>
      <c r="L245" s="342">
        <v>50.6</v>
      </c>
      <c r="M245" s="343">
        <v>1226.1</v>
      </c>
      <c r="O245" s="344"/>
    </row>
    <row r="246" ht="15.75" customHeight="1">
      <c r="A246" s="335">
        <v>243.0</v>
      </c>
      <c r="B246" s="336">
        <v>243.0</v>
      </c>
      <c r="C246" s="337">
        <v>217.0</v>
      </c>
      <c r="D246" s="338" t="s">
        <v>5176</v>
      </c>
      <c r="E246" s="339" t="s">
        <v>482</v>
      </c>
      <c r="F246" s="340" t="s">
        <v>5015</v>
      </c>
      <c r="G246" s="341">
        <v>4911.5</v>
      </c>
      <c r="H246" s="342">
        <v>7.4</v>
      </c>
      <c r="I246" s="342">
        <v>315.2</v>
      </c>
      <c r="J246" s="342">
        <v>-39.2</v>
      </c>
      <c r="K246" s="342">
        <v>6.4</v>
      </c>
      <c r="L246" s="342">
        <v>7.3</v>
      </c>
      <c r="M246" s="346">
        <v>328.4</v>
      </c>
      <c r="O246" s="344"/>
    </row>
    <row r="247" ht="15.75" customHeight="1">
      <c r="A247" s="335">
        <v>244.0</v>
      </c>
      <c r="B247" s="336">
        <v>244.0</v>
      </c>
      <c r="C247" s="337">
        <v>329.0</v>
      </c>
      <c r="D247" s="338" t="s">
        <v>5177</v>
      </c>
      <c r="E247" s="339" t="s">
        <v>1751</v>
      </c>
      <c r="F247" s="340" t="s">
        <v>5050</v>
      </c>
      <c r="G247" s="341">
        <v>4870.5</v>
      </c>
      <c r="H247" s="342">
        <v>74.5</v>
      </c>
      <c r="I247" s="342">
        <v>335.2</v>
      </c>
      <c r="J247" s="342">
        <v>11.8</v>
      </c>
      <c r="K247" s="342">
        <v>6.9</v>
      </c>
      <c r="L247" s="342">
        <v>4.6</v>
      </c>
      <c r="M247" s="346">
        <v>446.8</v>
      </c>
      <c r="O247" s="344"/>
    </row>
    <row r="248" ht="15.75" customHeight="1">
      <c r="A248" s="335">
        <v>245.0</v>
      </c>
      <c r="B248" s="336">
        <v>245.0</v>
      </c>
      <c r="C248" s="337">
        <v>200.0</v>
      </c>
      <c r="D248" s="345" t="s">
        <v>5178</v>
      </c>
      <c r="E248" s="339" t="s">
        <v>482</v>
      </c>
      <c r="F248" s="340" t="s">
        <v>3754</v>
      </c>
      <c r="G248" s="341">
        <v>4841.0</v>
      </c>
      <c r="H248" s="342">
        <v>-5.3</v>
      </c>
      <c r="I248" s="342" t="s">
        <v>3537</v>
      </c>
      <c r="J248" s="342" t="s">
        <v>3537</v>
      </c>
      <c r="K248" s="342" t="s">
        <v>3537</v>
      </c>
      <c r="L248" s="342" t="s">
        <v>3537</v>
      </c>
      <c r="M248" s="346" t="s">
        <v>3537</v>
      </c>
      <c r="O248" s="344"/>
    </row>
    <row r="249" ht="15.75" customHeight="1">
      <c r="A249" s="335">
        <v>246.0</v>
      </c>
      <c r="B249" s="336">
        <v>246.0</v>
      </c>
      <c r="C249" s="337">
        <v>230.0</v>
      </c>
      <c r="D249" s="338" t="s">
        <v>5179</v>
      </c>
      <c r="E249" s="339" t="s">
        <v>482</v>
      </c>
      <c r="F249" s="340" t="s">
        <v>5012</v>
      </c>
      <c r="G249" s="341">
        <v>4838.9</v>
      </c>
      <c r="H249" s="342">
        <v>12.8</v>
      </c>
      <c r="I249" s="341">
        <v>-1620.5</v>
      </c>
      <c r="J249" s="342">
        <v>-922.0</v>
      </c>
      <c r="K249" s="342">
        <v>-33.5</v>
      </c>
      <c r="L249" s="342">
        <v>-28.7</v>
      </c>
      <c r="M249" s="346">
        <v>-436.3</v>
      </c>
      <c r="O249" s="344"/>
    </row>
    <row r="250" ht="15.75" customHeight="1">
      <c r="A250" s="335">
        <v>247.0</v>
      </c>
      <c r="B250" s="336">
        <v>247.0</v>
      </c>
      <c r="C250" s="337">
        <v>227.0</v>
      </c>
      <c r="D250" s="345" t="s">
        <v>2008</v>
      </c>
      <c r="E250" s="339" t="s">
        <v>156</v>
      </c>
      <c r="F250" s="340" t="s">
        <v>3256</v>
      </c>
      <c r="G250" s="341">
        <v>4808.1</v>
      </c>
      <c r="H250" s="342">
        <v>9.6</v>
      </c>
      <c r="I250" s="342">
        <v>42.9</v>
      </c>
      <c r="J250" s="342">
        <v>-60.1</v>
      </c>
      <c r="K250" s="342">
        <v>0.9</v>
      </c>
      <c r="L250" s="342">
        <v>4.1</v>
      </c>
      <c r="M250" s="346">
        <v>-179.7</v>
      </c>
      <c r="O250" s="344"/>
    </row>
    <row r="251" ht="15.75" customHeight="1">
      <c r="A251" s="335">
        <v>248.0</v>
      </c>
      <c r="B251" s="336">
        <v>248.0</v>
      </c>
      <c r="C251" s="337">
        <v>244.0</v>
      </c>
      <c r="D251" s="347" t="s">
        <v>5180</v>
      </c>
      <c r="E251" s="339" t="s">
        <v>482</v>
      </c>
      <c r="F251" s="340" t="s">
        <v>3754</v>
      </c>
      <c r="G251" s="341">
        <v>4737.2</v>
      </c>
      <c r="H251" s="342">
        <v>17.6</v>
      </c>
      <c r="I251" s="342">
        <v>140.3</v>
      </c>
      <c r="J251" s="342">
        <v>-45.3</v>
      </c>
      <c r="K251" s="342">
        <v>3.0</v>
      </c>
      <c r="L251" s="342">
        <v>8.1</v>
      </c>
      <c r="M251" s="346">
        <v>-131.8</v>
      </c>
      <c r="O251" s="344"/>
    </row>
    <row r="252" ht="15.75" customHeight="1">
      <c r="A252" s="335">
        <v>249.0</v>
      </c>
      <c r="B252" s="336">
        <v>249.0</v>
      </c>
      <c r="C252" s="337">
        <v>237.0</v>
      </c>
      <c r="D252" s="338" t="s">
        <v>5181</v>
      </c>
      <c r="E252" s="339" t="s">
        <v>349</v>
      </c>
      <c r="F252" s="340" t="s">
        <v>5018</v>
      </c>
      <c r="G252" s="341">
        <v>4684.9</v>
      </c>
      <c r="H252" s="342">
        <v>14.7</v>
      </c>
      <c r="I252" s="342">
        <v>456.8</v>
      </c>
      <c r="J252" s="342">
        <v>18.3</v>
      </c>
      <c r="K252" s="342">
        <v>9.8</v>
      </c>
      <c r="L252" s="342">
        <v>6.7</v>
      </c>
      <c r="M252" s="346">
        <v>140.1</v>
      </c>
      <c r="O252" s="344"/>
    </row>
    <row r="253" ht="15.75" customHeight="1">
      <c r="A253" s="335">
        <v>250.0</v>
      </c>
      <c r="B253" s="336">
        <v>250.0</v>
      </c>
      <c r="C253" s="337">
        <v>331.0</v>
      </c>
      <c r="D253" s="338" t="s">
        <v>5182</v>
      </c>
      <c r="E253" s="339" t="s">
        <v>482</v>
      </c>
      <c r="F253" s="340" t="s">
        <v>5183</v>
      </c>
      <c r="G253" s="341">
        <v>4683.5</v>
      </c>
      <c r="H253" s="342">
        <v>68.1</v>
      </c>
      <c r="I253" s="342">
        <v>79.1</v>
      </c>
      <c r="J253" s="342">
        <v>100.6</v>
      </c>
      <c r="K253" s="342">
        <v>1.7</v>
      </c>
      <c r="L253" s="342" t="s">
        <v>5021</v>
      </c>
      <c r="M253" s="346">
        <v>-550.6</v>
      </c>
      <c r="O253" s="344"/>
    </row>
    <row r="254" ht="15.75" customHeight="1">
      <c r="A254" s="335">
        <v>251.0</v>
      </c>
      <c r="B254" s="336">
        <v>251.0</v>
      </c>
      <c r="C254" s="337">
        <v>246.0</v>
      </c>
      <c r="D254" s="338" t="s">
        <v>5184</v>
      </c>
      <c r="E254" s="339" t="s">
        <v>156</v>
      </c>
      <c r="F254" s="340" t="s">
        <v>4974</v>
      </c>
      <c r="G254" s="341">
        <v>4666.8</v>
      </c>
      <c r="H254" s="342" t="s">
        <v>3537</v>
      </c>
      <c r="I254" s="341">
        <v>1559.2</v>
      </c>
      <c r="J254" s="342" t="s">
        <v>3537</v>
      </c>
      <c r="K254" s="342">
        <v>33.4</v>
      </c>
      <c r="L254" s="342" t="s">
        <v>3537</v>
      </c>
      <c r="M254" s="343">
        <v>1789.1</v>
      </c>
      <c r="O254" s="344"/>
    </row>
    <row r="255" ht="15.75" customHeight="1">
      <c r="A255" s="335">
        <v>252.0</v>
      </c>
      <c r="B255" s="336">
        <v>252.0</v>
      </c>
      <c r="C255" s="337">
        <v>262.0</v>
      </c>
      <c r="D255" s="338" t="s">
        <v>5185</v>
      </c>
      <c r="E255" s="339" t="s">
        <v>482</v>
      </c>
      <c r="F255" s="340" t="s">
        <v>5018</v>
      </c>
      <c r="G255" s="341">
        <v>4634.0</v>
      </c>
      <c r="H255" s="342">
        <v>24.9</v>
      </c>
      <c r="I255" s="342">
        <v>416.9</v>
      </c>
      <c r="J255" s="342">
        <v>-28.9</v>
      </c>
      <c r="K255" s="342">
        <v>9.0</v>
      </c>
      <c r="L255" s="342">
        <v>6.7</v>
      </c>
      <c r="M255" s="343">
        <v>1685.8</v>
      </c>
      <c r="O255" s="344"/>
    </row>
    <row r="256" ht="15.75" customHeight="1">
      <c r="A256" s="335">
        <v>253.0</v>
      </c>
      <c r="B256" s="336">
        <v>253.0</v>
      </c>
      <c r="C256" s="337">
        <v>241.0</v>
      </c>
      <c r="D256" s="345" t="s">
        <v>737</v>
      </c>
      <c r="E256" s="339" t="s">
        <v>156</v>
      </c>
      <c r="F256" s="340" t="s">
        <v>87</v>
      </c>
      <c r="G256" s="341">
        <v>4596.0</v>
      </c>
      <c r="H256" s="342">
        <v>12.9</v>
      </c>
      <c r="I256" s="342">
        <v>211.2</v>
      </c>
      <c r="J256" s="342">
        <v>28.3</v>
      </c>
      <c r="K256" s="342">
        <v>4.6</v>
      </c>
      <c r="L256" s="342">
        <v>27.2</v>
      </c>
      <c r="M256" s="346">
        <v>270.4</v>
      </c>
      <c r="O256" s="344"/>
    </row>
    <row r="257" ht="15.75" customHeight="1">
      <c r="A257" s="335">
        <v>254.0</v>
      </c>
      <c r="B257" s="336">
        <v>254.0</v>
      </c>
      <c r="C257" s="337">
        <v>289.0</v>
      </c>
      <c r="D257" s="345" t="s">
        <v>3684</v>
      </c>
      <c r="E257" s="339" t="s">
        <v>482</v>
      </c>
      <c r="F257" s="340" t="s">
        <v>87</v>
      </c>
      <c r="G257" s="341">
        <v>4583.7</v>
      </c>
      <c r="H257" s="342">
        <v>42.5</v>
      </c>
      <c r="I257" s="342">
        <v>53.1</v>
      </c>
      <c r="J257" s="342">
        <v>-8.7</v>
      </c>
      <c r="K257" s="342">
        <v>1.2</v>
      </c>
      <c r="L257" s="342">
        <v>9.8</v>
      </c>
      <c r="M257" s="346">
        <v>126.7</v>
      </c>
      <c r="O257" s="344"/>
    </row>
    <row r="258" ht="15.75" customHeight="1">
      <c r="A258" s="335">
        <v>255.0</v>
      </c>
      <c r="B258" s="336">
        <v>255.0</v>
      </c>
      <c r="C258" s="337">
        <v>226.0</v>
      </c>
      <c r="D258" s="338" t="s">
        <v>5186</v>
      </c>
      <c r="E258" s="339" t="s">
        <v>1751</v>
      </c>
      <c r="F258" s="340" t="s">
        <v>5172</v>
      </c>
      <c r="G258" s="341">
        <v>4564.9</v>
      </c>
      <c r="H258" s="342">
        <v>4.0</v>
      </c>
      <c r="I258" s="342">
        <v>-55.4</v>
      </c>
      <c r="J258" s="342">
        <v>-135.1</v>
      </c>
      <c r="K258" s="342">
        <v>-1.2</v>
      </c>
      <c r="L258" s="342">
        <v>-1.8</v>
      </c>
      <c r="M258" s="346">
        <v>557.0</v>
      </c>
      <c r="O258" s="344"/>
    </row>
    <row r="259" ht="15.75" customHeight="1">
      <c r="A259" s="335">
        <v>256.0</v>
      </c>
      <c r="B259" s="336">
        <v>256.0</v>
      </c>
      <c r="C259" s="337">
        <v>296.0</v>
      </c>
      <c r="D259" s="347" t="s">
        <v>5187</v>
      </c>
      <c r="E259" s="339" t="s">
        <v>274</v>
      </c>
      <c r="F259" s="340" t="s">
        <v>87</v>
      </c>
      <c r="G259" s="341">
        <v>4532.3</v>
      </c>
      <c r="H259" s="342">
        <v>44.5</v>
      </c>
      <c r="I259" s="342">
        <v>198.3</v>
      </c>
      <c r="J259" s="342">
        <v>28.9</v>
      </c>
      <c r="K259" s="342">
        <v>4.4</v>
      </c>
      <c r="L259" s="342">
        <v>55.1</v>
      </c>
      <c r="M259" s="346">
        <v>394.9</v>
      </c>
      <c r="O259" s="344"/>
    </row>
    <row r="260" ht="15.75" customHeight="1">
      <c r="A260" s="335">
        <v>257.0</v>
      </c>
      <c r="B260" s="336">
        <v>257.0</v>
      </c>
      <c r="C260" s="337">
        <v>261.0</v>
      </c>
      <c r="D260" s="338" t="s">
        <v>5188</v>
      </c>
      <c r="E260" s="339" t="s">
        <v>482</v>
      </c>
      <c r="F260" s="340" t="s">
        <v>4983</v>
      </c>
      <c r="G260" s="341">
        <v>4499.0</v>
      </c>
      <c r="H260" s="342">
        <v>21.1</v>
      </c>
      <c r="I260" s="342">
        <v>-27.0</v>
      </c>
      <c r="J260" s="342">
        <v>89.6</v>
      </c>
      <c r="K260" s="342">
        <v>-0.6</v>
      </c>
      <c r="L260" s="342">
        <v>-1.2</v>
      </c>
      <c r="M260" s="346">
        <v>508.1</v>
      </c>
      <c r="O260" s="344"/>
    </row>
    <row r="261" ht="15.75" customHeight="1">
      <c r="A261" s="335">
        <v>258.0</v>
      </c>
      <c r="B261" s="336">
        <v>258.0</v>
      </c>
      <c r="C261" s="337">
        <v>252.0</v>
      </c>
      <c r="D261" s="345" t="s">
        <v>1285</v>
      </c>
      <c r="E261" s="339" t="s">
        <v>482</v>
      </c>
      <c r="F261" s="340" t="s">
        <v>87</v>
      </c>
      <c r="G261" s="341">
        <v>4480.8</v>
      </c>
      <c r="H261" s="342">
        <v>14.1</v>
      </c>
      <c r="I261" s="342">
        <v>165.1</v>
      </c>
      <c r="J261" s="342">
        <v>-22.6</v>
      </c>
      <c r="K261" s="342">
        <v>3.7</v>
      </c>
      <c r="L261" s="342">
        <v>7.5</v>
      </c>
      <c r="M261" s="346">
        <v>288.4</v>
      </c>
      <c r="O261" s="344"/>
    </row>
    <row r="262" ht="15.75" customHeight="1">
      <c r="A262" s="335">
        <v>259.0</v>
      </c>
      <c r="B262" s="336">
        <v>259.0</v>
      </c>
      <c r="C262" s="337">
        <v>215.0</v>
      </c>
      <c r="D262" s="347" t="s">
        <v>5189</v>
      </c>
      <c r="E262" s="339" t="s">
        <v>98</v>
      </c>
      <c r="F262" s="340" t="s">
        <v>87</v>
      </c>
      <c r="G262" s="341">
        <v>4479.8</v>
      </c>
      <c r="H262" s="342">
        <v>-3.0</v>
      </c>
      <c r="I262" s="342">
        <v>131.2</v>
      </c>
      <c r="J262" s="342">
        <v>22.7</v>
      </c>
      <c r="K262" s="342">
        <v>2.9</v>
      </c>
      <c r="L262" s="342">
        <v>39.1</v>
      </c>
      <c r="M262" s="346">
        <v>122.3</v>
      </c>
      <c r="O262" s="344"/>
    </row>
    <row r="263" ht="15.75" customHeight="1">
      <c r="A263" s="335">
        <v>260.0</v>
      </c>
      <c r="B263" s="336">
        <v>260.0</v>
      </c>
      <c r="C263" s="337">
        <v>275.0</v>
      </c>
      <c r="D263" s="338" t="s">
        <v>5190</v>
      </c>
      <c r="E263" s="339" t="s">
        <v>482</v>
      </c>
      <c r="F263" s="340" t="s">
        <v>5018</v>
      </c>
      <c r="G263" s="341">
        <v>4478.6</v>
      </c>
      <c r="H263" s="342">
        <v>30.2</v>
      </c>
      <c r="I263" s="342">
        <v>-12.8</v>
      </c>
      <c r="J263" s="342">
        <v>-113.7</v>
      </c>
      <c r="K263" s="342">
        <v>-0.3</v>
      </c>
      <c r="L263" s="342">
        <v>-0.4</v>
      </c>
      <c r="M263" s="346">
        <v>840.1</v>
      </c>
      <c r="O263" s="344"/>
    </row>
    <row r="264" ht="15.75" customHeight="1">
      <c r="A264" s="335">
        <v>261.0</v>
      </c>
      <c r="B264" s="336">
        <v>261.0</v>
      </c>
      <c r="C264" s="337">
        <v>238.0</v>
      </c>
      <c r="D264" s="338" t="s">
        <v>5191</v>
      </c>
      <c r="E264" s="339" t="s">
        <v>332</v>
      </c>
      <c r="F264" s="340" t="s">
        <v>5055</v>
      </c>
      <c r="G264" s="341">
        <v>4469.0</v>
      </c>
      <c r="H264" s="342">
        <v>9.5</v>
      </c>
      <c r="I264" s="342">
        <v>441.0</v>
      </c>
      <c r="J264" s="342">
        <v>-32.0</v>
      </c>
      <c r="K264" s="342">
        <v>9.9</v>
      </c>
      <c r="L264" s="342">
        <v>151.7</v>
      </c>
      <c r="M264" s="346">
        <v>485.1</v>
      </c>
      <c r="O264" s="344"/>
    </row>
    <row r="265" ht="15.75" customHeight="1">
      <c r="A265" s="335">
        <v>262.0</v>
      </c>
      <c r="B265" s="336">
        <v>262.0</v>
      </c>
      <c r="C265" s="337">
        <v>182.0</v>
      </c>
      <c r="D265" s="338" t="s">
        <v>5192</v>
      </c>
      <c r="E265" s="339" t="s">
        <v>1755</v>
      </c>
      <c r="F265" s="340" t="s">
        <v>4960</v>
      </c>
      <c r="G265" s="341">
        <v>4467.7</v>
      </c>
      <c r="H265" s="342">
        <v>-18.6</v>
      </c>
      <c r="I265" s="342">
        <v>14.4</v>
      </c>
      <c r="J265" s="342">
        <v>158.7</v>
      </c>
      <c r="K265" s="342">
        <v>0.3</v>
      </c>
      <c r="L265" s="342">
        <v>17.4</v>
      </c>
      <c r="M265" s="346">
        <v>25.3</v>
      </c>
      <c r="O265" s="344"/>
    </row>
    <row r="266" ht="15.75" customHeight="1">
      <c r="A266" s="335">
        <v>263.0</v>
      </c>
      <c r="B266" s="336">
        <v>263.0</v>
      </c>
      <c r="C266" s="337">
        <v>253.0</v>
      </c>
      <c r="D266" s="338" t="s">
        <v>5193</v>
      </c>
      <c r="E266" s="339" t="s">
        <v>482</v>
      </c>
      <c r="F266" s="340" t="s">
        <v>5015</v>
      </c>
      <c r="G266" s="341">
        <v>4463.0</v>
      </c>
      <c r="H266" s="342">
        <v>15.2</v>
      </c>
      <c r="I266" s="342">
        <v>308.7</v>
      </c>
      <c r="J266" s="342">
        <v>-12.2</v>
      </c>
      <c r="K266" s="342">
        <v>6.9</v>
      </c>
      <c r="L266" s="342">
        <v>13.6</v>
      </c>
      <c r="M266" s="346">
        <v>703.6</v>
      </c>
      <c r="O266" s="344"/>
    </row>
    <row r="267" ht="15.75" customHeight="1">
      <c r="A267" s="335">
        <v>264.0</v>
      </c>
      <c r="B267" s="336">
        <v>264.0</v>
      </c>
      <c r="C267" s="337">
        <v>235.0</v>
      </c>
      <c r="D267" s="347" t="s">
        <v>5194</v>
      </c>
      <c r="E267" s="339" t="s">
        <v>482</v>
      </c>
      <c r="F267" s="340" t="s">
        <v>3754</v>
      </c>
      <c r="G267" s="341">
        <v>4419.5</v>
      </c>
      <c r="H267" s="342">
        <v>6.7</v>
      </c>
      <c r="I267" s="341">
        <v>1028.8</v>
      </c>
      <c r="J267" s="342">
        <v>97.3</v>
      </c>
      <c r="K267" s="342">
        <v>23.3</v>
      </c>
      <c r="L267" s="342">
        <v>24.7</v>
      </c>
      <c r="M267" s="346">
        <v>366.5</v>
      </c>
      <c r="O267" s="344"/>
    </row>
    <row r="268" ht="15.75" customHeight="1">
      <c r="A268" s="335">
        <v>265.0</v>
      </c>
      <c r="B268" s="336">
        <v>265.0</v>
      </c>
      <c r="C268" s="337">
        <v>268.0</v>
      </c>
      <c r="D268" s="345" t="s">
        <v>721</v>
      </c>
      <c r="E268" s="339" t="s">
        <v>332</v>
      </c>
      <c r="F268" s="340" t="s">
        <v>87</v>
      </c>
      <c r="G268" s="341">
        <v>4407.0</v>
      </c>
      <c r="H268" s="342">
        <v>26.1</v>
      </c>
      <c r="I268" s="342" t="s">
        <v>3537</v>
      </c>
      <c r="J268" s="342" t="s">
        <v>3537</v>
      </c>
      <c r="K268" s="342" t="s">
        <v>3537</v>
      </c>
      <c r="L268" s="342" t="s">
        <v>3537</v>
      </c>
      <c r="M268" s="346" t="s">
        <v>3537</v>
      </c>
      <c r="O268" s="344"/>
    </row>
    <row r="269" ht="15.75" customHeight="1">
      <c r="A269" s="335">
        <v>266.0</v>
      </c>
      <c r="B269" s="336">
        <v>266.0</v>
      </c>
      <c r="C269" s="337">
        <v>207.0</v>
      </c>
      <c r="D269" s="338" t="s">
        <v>5195</v>
      </c>
      <c r="E269" s="339" t="s">
        <v>482</v>
      </c>
      <c r="F269" s="340" t="s">
        <v>4985</v>
      </c>
      <c r="G269" s="341">
        <v>4383.8</v>
      </c>
      <c r="H269" s="342">
        <v>-9.5</v>
      </c>
      <c r="I269" s="342">
        <v>90.0</v>
      </c>
      <c r="J269" s="342">
        <v>-88.4</v>
      </c>
      <c r="K269" s="342">
        <v>2.1</v>
      </c>
      <c r="L269" s="342">
        <v>2.2</v>
      </c>
      <c r="M269" s="346">
        <v>-179.5</v>
      </c>
      <c r="O269" s="344"/>
    </row>
    <row r="270" ht="15.75" customHeight="1">
      <c r="A270" s="335">
        <v>267.0</v>
      </c>
      <c r="B270" s="336">
        <v>267.0</v>
      </c>
      <c r="C270" s="337">
        <v>263.0</v>
      </c>
      <c r="D270" s="338" t="s">
        <v>5196</v>
      </c>
      <c r="E270" s="339" t="s">
        <v>482</v>
      </c>
      <c r="F270" s="340" t="s">
        <v>5028</v>
      </c>
      <c r="G270" s="341">
        <v>4339.1</v>
      </c>
      <c r="H270" s="342">
        <v>17.9</v>
      </c>
      <c r="I270" s="341">
        <v>1009.3</v>
      </c>
      <c r="J270" s="342">
        <v>41.6</v>
      </c>
      <c r="K270" s="342">
        <v>23.3</v>
      </c>
      <c r="L270" s="342">
        <v>73.6</v>
      </c>
      <c r="M270" s="343">
        <v>1653.8</v>
      </c>
      <c r="O270" s="344"/>
    </row>
    <row r="271" ht="15.75" customHeight="1">
      <c r="A271" s="335">
        <v>268.0</v>
      </c>
      <c r="B271" s="336">
        <v>268.0</v>
      </c>
      <c r="C271" s="337">
        <v>259.0</v>
      </c>
      <c r="D271" s="338" t="s">
        <v>5197</v>
      </c>
      <c r="E271" s="339" t="s">
        <v>332</v>
      </c>
      <c r="F271" s="340" t="s">
        <v>4981</v>
      </c>
      <c r="G271" s="341">
        <v>4334.4</v>
      </c>
      <c r="H271" s="342">
        <v>15.7</v>
      </c>
      <c r="I271" s="341">
        <v>1500.6</v>
      </c>
      <c r="J271" s="342">
        <v>33.6</v>
      </c>
      <c r="K271" s="342">
        <v>34.6</v>
      </c>
      <c r="L271" s="342">
        <v>23.3</v>
      </c>
      <c r="M271" s="343">
        <v>1307.0</v>
      </c>
      <c r="O271" s="344"/>
    </row>
    <row r="272" ht="15.75" customHeight="1">
      <c r="A272" s="335">
        <v>269.0</v>
      </c>
      <c r="B272" s="336">
        <v>269.0</v>
      </c>
      <c r="C272" s="337">
        <v>285.0</v>
      </c>
      <c r="D272" s="345" t="s">
        <v>435</v>
      </c>
      <c r="E272" s="339" t="s">
        <v>156</v>
      </c>
      <c r="F272" s="340" t="s">
        <v>87</v>
      </c>
      <c r="G272" s="341">
        <v>4289.9</v>
      </c>
      <c r="H272" s="342">
        <v>31.9</v>
      </c>
      <c r="I272" s="342">
        <v>231.1</v>
      </c>
      <c r="J272" s="342">
        <v>33.1</v>
      </c>
      <c r="K272" s="342">
        <v>5.4</v>
      </c>
      <c r="L272" s="342">
        <v>28.9</v>
      </c>
      <c r="M272" s="346">
        <v>239.6</v>
      </c>
      <c r="O272" s="344"/>
    </row>
    <row r="273" ht="15.75" customHeight="1">
      <c r="A273" s="335">
        <v>270.0</v>
      </c>
      <c r="B273" s="336">
        <v>270.0</v>
      </c>
      <c r="C273" s="337">
        <v>256.0</v>
      </c>
      <c r="D273" s="345" t="s">
        <v>1062</v>
      </c>
      <c r="E273" s="339" t="s">
        <v>1075</v>
      </c>
      <c r="F273" s="340" t="s">
        <v>87</v>
      </c>
      <c r="G273" s="341">
        <v>4282.7</v>
      </c>
      <c r="H273" s="342">
        <v>11.9</v>
      </c>
      <c r="I273" s="342">
        <v>143.4</v>
      </c>
      <c r="J273" s="342">
        <v>0.0</v>
      </c>
      <c r="K273" s="342">
        <v>3.3</v>
      </c>
      <c r="L273" s="342">
        <v>19.6</v>
      </c>
      <c r="M273" s="346">
        <v>142.7</v>
      </c>
      <c r="O273" s="344"/>
    </row>
    <row r="274" ht="15.75" customHeight="1">
      <c r="A274" s="335">
        <v>271.0</v>
      </c>
      <c r="B274" s="336">
        <v>271.0</v>
      </c>
      <c r="C274" s="337">
        <v>315.0</v>
      </c>
      <c r="D274" s="338" t="s">
        <v>5198</v>
      </c>
      <c r="E274" s="339" t="s">
        <v>332</v>
      </c>
      <c r="F274" s="340" t="s">
        <v>5050</v>
      </c>
      <c r="G274" s="341">
        <v>4233.7</v>
      </c>
      <c r="H274" s="342">
        <v>44.8</v>
      </c>
      <c r="I274" s="342">
        <v>422.5</v>
      </c>
      <c r="J274" s="342">
        <v>22.9</v>
      </c>
      <c r="K274" s="342">
        <v>10.0</v>
      </c>
      <c r="L274" s="342">
        <v>19.9</v>
      </c>
      <c r="M274" s="346">
        <v>452.9</v>
      </c>
      <c r="O274" s="344"/>
    </row>
    <row r="275" ht="15.75" customHeight="1">
      <c r="A275" s="335">
        <v>272.0</v>
      </c>
      <c r="B275" s="336">
        <v>272.0</v>
      </c>
      <c r="C275" s="337">
        <v>301.0</v>
      </c>
      <c r="D275" s="338" t="s">
        <v>5199</v>
      </c>
      <c r="E275" s="339" t="s">
        <v>1075</v>
      </c>
      <c r="F275" s="340" t="s">
        <v>4999</v>
      </c>
      <c r="G275" s="341">
        <v>4232.6</v>
      </c>
      <c r="H275" s="342">
        <v>37.1</v>
      </c>
      <c r="I275" s="342">
        <v>479.2</v>
      </c>
      <c r="J275" s="342">
        <v>31.8</v>
      </c>
      <c r="K275" s="342">
        <v>11.3</v>
      </c>
      <c r="L275" s="342">
        <v>23.0</v>
      </c>
      <c r="M275" s="346">
        <v>335.4</v>
      </c>
      <c r="O275" s="344"/>
    </row>
    <row r="276" ht="15.75" customHeight="1">
      <c r="A276" s="335">
        <v>273.0</v>
      </c>
      <c r="B276" s="336">
        <v>273.0</v>
      </c>
      <c r="C276" s="337">
        <v>264.0</v>
      </c>
      <c r="D276" s="338" t="s">
        <v>5200</v>
      </c>
      <c r="E276" s="339" t="s">
        <v>482</v>
      </c>
      <c r="F276" s="340" t="s">
        <v>4976</v>
      </c>
      <c r="G276" s="341">
        <v>4224.0</v>
      </c>
      <c r="H276" s="342">
        <v>16.8</v>
      </c>
      <c r="I276" s="342">
        <v>562.4</v>
      </c>
      <c r="J276" s="342">
        <v>-0.8</v>
      </c>
      <c r="K276" s="342">
        <v>13.3</v>
      </c>
      <c r="L276" s="342">
        <v>34.2</v>
      </c>
      <c r="M276" s="346">
        <v>499.0</v>
      </c>
      <c r="O276" s="344"/>
    </row>
    <row r="277" ht="15.75" customHeight="1">
      <c r="A277" s="335">
        <v>274.0</v>
      </c>
      <c r="B277" s="336">
        <v>274.0</v>
      </c>
      <c r="C277" s="337">
        <v>265.0</v>
      </c>
      <c r="D277" s="345" t="s">
        <v>681</v>
      </c>
      <c r="E277" s="339" t="s">
        <v>482</v>
      </c>
      <c r="F277" s="340" t="s">
        <v>87</v>
      </c>
      <c r="G277" s="341">
        <v>4194.4</v>
      </c>
      <c r="H277" s="342">
        <v>16.3</v>
      </c>
      <c r="I277" s="342">
        <v>-486.3</v>
      </c>
      <c r="J277" s="342">
        <v>33.1</v>
      </c>
      <c r="K277" s="342">
        <v>-11.6</v>
      </c>
      <c r="L277" s="342" t="s">
        <v>5021</v>
      </c>
      <c r="M277" s="346">
        <v>-230.1</v>
      </c>
      <c r="O277" s="344"/>
    </row>
    <row r="278" ht="15.75" customHeight="1">
      <c r="A278" s="335">
        <v>275.0</v>
      </c>
      <c r="B278" s="336">
        <v>275.0</v>
      </c>
      <c r="C278" s="337">
        <v>293.0</v>
      </c>
      <c r="D278" s="345" t="s">
        <v>1039</v>
      </c>
      <c r="E278" s="339" t="s">
        <v>1044</v>
      </c>
      <c r="F278" s="340" t="s">
        <v>87</v>
      </c>
      <c r="G278" s="341">
        <v>4190.3</v>
      </c>
      <c r="H278" s="342">
        <v>32.8</v>
      </c>
      <c r="I278" s="342">
        <v>183.7</v>
      </c>
      <c r="J278" s="342">
        <v>46.6</v>
      </c>
      <c r="K278" s="342">
        <v>4.4</v>
      </c>
      <c r="L278" s="342">
        <v>26.7</v>
      </c>
      <c r="M278" s="346">
        <v>207.6</v>
      </c>
      <c r="O278" s="344"/>
    </row>
    <row r="279" ht="15.75" customHeight="1">
      <c r="A279" s="335">
        <v>276.0</v>
      </c>
      <c r="B279" s="336">
        <v>276.0</v>
      </c>
      <c r="C279" s="337">
        <v>249.0</v>
      </c>
      <c r="D279" s="338" t="s">
        <v>5201</v>
      </c>
      <c r="E279" s="339" t="s">
        <v>482</v>
      </c>
      <c r="F279" s="340" t="s">
        <v>5050</v>
      </c>
      <c r="G279" s="341">
        <v>4181.9</v>
      </c>
      <c r="H279" s="342">
        <v>5.9</v>
      </c>
      <c r="I279" s="342">
        <v>108.5</v>
      </c>
      <c r="J279" s="342">
        <v>-84.3</v>
      </c>
      <c r="K279" s="342">
        <v>2.6</v>
      </c>
      <c r="L279" s="342">
        <v>2.4</v>
      </c>
      <c r="M279" s="346">
        <v>366.1</v>
      </c>
      <c r="O279" s="344"/>
    </row>
    <row r="280" ht="15.75" customHeight="1">
      <c r="A280" s="335">
        <v>277.0</v>
      </c>
      <c r="B280" s="336">
        <v>277.0</v>
      </c>
      <c r="C280" s="337">
        <v>147.0</v>
      </c>
      <c r="D280" s="338" t="s">
        <v>5202</v>
      </c>
      <c r="E280" s="339" t="s">
        <v>1751</v>
      </c>
      <c r="F280" s="340" t="s">
        <v>5012</v>
      </c>
      <c r="G280" s="341">
        <v>4149.1</v>
      </c>
      <c r="H280" s="342">
        <v>-37.1</v>
      </c>
      <c r="I280" s="342">
        <v>-553.6</v>
      </c>
      <c r="J280" s="342">
        <v>-40.8</v>
      </c>
      <c r="K280" s="342">
        <v>-13.3</v>
      </c>
      <c r="L280" s="342" t="s">
        <v>5021</v>
      </c>
      <c r="M280" s="346">
        <v>560.9</v>
      </c>
      <c r="O280" s="344"/>
    </row>
    <row r="281" ht="15.75" customHeight="1">
      <c r="A281" s="335">
        <v>278.0</v>
      </c>
      <c r="B281" s="336">
        <v>278.0</v>
      </c>
      <c r="C281" s="337">
        <v>260.0</v>
      </c>
      <c r="D281" s="338" t="s">
        <v>5203</v>
      </c>
      <c r="E281" s="339" t="s">
        <v>332</v>
      </c>
      <c r="F281" s="340" t="s">
        <v>4963</v>
      </c>
      <c r="G281" s="341">
        <v>4149.0</v>
      </c>
      <c r="H281" s="342">
        <v>11.5</v>
      </c>
      <c r="I281" s="341">
        <v>1425.9</v>
      </c>
      <c r="J281" s="342">
        <v>-37.0</v>
      </c>
      <c r="K281" s="342">
        <v>34.4</v>
      </c>
      <c r="L281" s="342">
        <v>26.2</v>
      </c>
      <c r="M281" s="343">
        <v>1468.0</v>
      </c>
      <c r="O281" s="344"/>
    </row>
    <row r="282" ht="15.75" customHeight="1">
      <c r="A282" s="335">
        <v>279.0</v>
      </c>
      <c r="B282" s="336">
        <v>279.0</v>
      </c>
      <c r="C282" s="337">
        <v>257.0</v>
      </c>
      <c r="D282" s="338" t="s">
        <v>5204</v>
      </c>
      <c r="E282" s="339" t="s">
        <v>482</v>
      </c>
      <c r="F282" s="340" t="s">
        <v>4983</v>
      </c>
      <c r="G282" s="341">
        <v>4137.1</v>
      </c>
      <c r="H282" s="342">
        <v>10.1</v>
      </c>
      <c r="I282" s="341">
        <v>-2936.0</v>
      </c>
      <c r="J282" s="341">
        <v>-23604.5</v>
      </c>
      <c r="K282" s="342">
        <v>-71.0</v>
      </c>
      <c r="L282" s="342">
        <v>-360.1</v>
      </c>
      <c r="M282" s="346">
        <v>524.7</v>
      </c>
      <c r="O282" s="344"/>
    </row>
    <row r="283" ht="15.75" customHeight="1">
      <c r="A283" s="335">
        <v>280.0</v>
      </c>
      <c r="B283" s="336">
        <v>280.0</v>
      </c>
      <c r="C283" s="337">
        <v>274.0</v>
      </c>
      <c r="D283" s="345" t="s">
        <v>5205</v>
      </c>
      <c r="E283" s="339" t="s">
        <v>546</v>
      </c>
      <c r="F283" s="340" t="s">
        <v>3754</v>
      </c>
      <c r="G283" s="341">
        <v>4126.0</v>
      </c>
      <c r="H283" s="342" t="s">
        <v>3537</v>
      </c>
      <c r="I283" s="342" t="s">
        <v>3537</v>
      </c>
      <c r="J283" s="342" t="s">
        <v>3537</v>
      </c>
      <c r="K283" s="342" t="s">
        <v>3537</v>
      </c>
      <c r="L283" s="342" t="s">
        <v>3537</v>
      </c>
      <c r="M283" s="346" t="s">
        <v>3537</v>
      </c>
      <c r="O283" s="344"/>
    </row>
    <row r="284" ht="15.75" customHeight="1">
      <c r="A284" s="335">
        <v>281.0</v>
      </c>
      <c r="B284" s="336">
        <v>281.0</v>
      </c>
      <c r="C284" s="337">
        <v>342.0</v>
      </c>
      <c r="D284" s="338" t="s">
        <v>5206</v>
      </c>
      <c r="E284" s="339" t="s">
        <v>482</v>
      </c>
      <c r="F284" s="340" t="s">
        <v>5015</v>
      </c>
      <c r="G284" s="341">
        <v>4088.3</v>
      </c>
      <c r="H284" s="342">
        <v>51.3</v>
      </c>
      <c r="I284" s="342">
        <v>113.8</v>
      </c>
      <c r="J284" s="342">
        <v>607.5</v>
      </c>
      <c r="K284" s="342">
        <v>2.8</v>
      </c>
      <c r="L284" s="342">
        <v>4.6</v>
      </c>
      <c r="M284" s="346">
        <v>471.1</v>
      </c>
      <c r="O284" s="344"/>
    </row>
    <row r="285" ht="15.75" customHeight="1">
      <c r="A285" s="335">
        <v>282.0</v>
      </c>
      <c r="B285" s="336">
        <v>282.0</v>
      </c>
      <c r="C285" s="337">
        <v>455.0</v>
      </c>
      <c r="D285" s="345" t="s">
        <v>1668</v>
      </c>
      <c r="E285" s="339" t="s">
        <v>332</v>
      </c>
      <c r="F285" s="340" t="s">
        <v>3256</v>
      </c>
      <c r="G285" s="341">
        <v>4087.6</v>
      </c>
      <c r="H285" s="342" t="s">
        <v>3537</v>
      </c>
      <c r="I285" s="342">
        <v>175.5</v>
      </c>
      <c r="J285" s="342" t="s">
        <v>3537</v>
      </c>
      <c r="K285" s="342">
        <v>4.3</v>
      </c>
      <c r="L285" s="342" t="s">
        <v>3537</v>
      </c>
      <c r="M285" s="346">
        <v>212.4</v>
      </c>
      <c r="O285" s="344"/>
    </row>
    <row r="286" ht="15.75" customHeight="1">
      <c r="A286" s="335">
        <v>283.0</v>
      </c>
      <c r="B286" s="336">
        <v>283.0</v>
      </c>
      <c r="C286" s="337">
        <v>277.0</v>
      </c>
      <c r="D286" s="338" t="s">
        <v>5207</v>
      </c>
      <c r="E286" s="339" t="s">
        <v>482</v>
      </c>
      <c r="F286" s="340" t="s">
        <v>4993</v>
      </c>
      <c r="G286" s="341">
        <v>4046.9</v>
      </c>
      <c r="H286" s="342">
        <v>17.5</v>
      </c>
      <c r="I286" s="342">
        <v>555.5</v>
      </c>
      <c r="J286" s="342">
        <v>135.6</v>
      </c>
      <c r="K286" s="342">
        <v>13.7</v>
      </c>
      <c r="L286" s="342">
        <v>99.9</v>
      </c>
      <c r="M286" s="346">
        <v>805.5</v>
      </c>
      <c r="O286" s="344"/>
    </row>
    <row r="287" ht="15.75" customHeight="1">
      <c r="A287" s="335">
        <v>284.0</v>
      </c>
      <c r="B287" s="336">
        <v>284.0</v>
      </c>
      <c r="C287" s="337">
        <v>304.0</v>
      </c>
      <c r="D287" s="338" t="s">
        <v>5208</v>
      </c>
      <c r="E287" s="339" t="s">
        <v>482</v>
      </c>
      <c r="F287" s="340" t="s">
        <v>5001</v>
      </c>
      <c r="G287" s="341">
        <v>4032.4</v>
      </c>
      <c r="H287" s="342">
        <v>32.1</v>
      </c>
      <c r="I287" s="342">
        <v>667.6</v>
      </c>
      <c r="J287" s="342">
        <v>23.8</v>
      </c>
      <c r="K287" s="342">
        <v>16.6</v>
      </c>
      <c r="L287" s="342">
        <v>34.8</v>
      </c>
      <c r="M287" s="346">
        <v>904.1</v>
      </c>
      <c r="O287" s="344"/>
    </row>
    <row r="288" ht="15.75" customHeight="1">
      <c r="A288" s="335">
        <v>285.0</v>
      </c>
      <c r="B288" s="336">
        <v>285.0</v>
      </c>
      <c r="C288" s="337">
        <v>248.0</v>
      </c>
      <c r="D288" s="338" t="s">
        <v>5209</v>
      </c>
      <c r="E288" s="339" t="s">
        <v>1751</v>
      </c>
      <c r="F288" s="340" t="s">
        <v>5012</v>
      </c>
      <c r="G288" s="341">
        <v>4020.0</v>
      </c>
      <c r="H288" s="342">
        <v>1.5</v>
      </c>
      <c r="I288" s="342">
        <v>88.1</v>
      </c>
      <c r="J288" s="342">
        <v>16.8</v>
      </c>
      <c r="K288" s="342">
        <v>2.2</v>
      </c>
      <c r="L288" s="342">
        <v>20.7</v>
      </c>
      <c r="M288" s="346">
        <v>129.2</v>
      </c>
      <c r="O288" s="344"/>
    </row>
    <row r="289" ht="15.75" customHeight="1">
      <c r="A289" s="335">
        <v>286.0</v>
      </c>
      <c r="B289" s="336">
        <v>286.0</v>
      </c>
      <c r="C289" s="337">
        <v>254.0</v>
      </c>
      <c r="D289" s="338" t="s">
        <v>5210</v>
      </c>
      <c r="E289" s="339" t="s">
        <v>482</v>
      </c>
      <c r="F289" s="340" t="s">
        <v>4993</v>
      </c>
      <c r="G289" s="341">
        <v>4001.3</v>
      </c>
      <c r="H289" s="342">
        <v>4.0</v>
      </c>
      <c r="I289" s="342">
        <v>821.9</v>
      </c>
      <c r="J289" s="342">
        <v>13.1</v>
      </c>
      <c r="K289" s="342">
        <v>20.5</v>
      </c>
      <c r="L289" s="342">
        <v>41.8</v>
      </c>
      <c r="M289" s="346">
        <v>816.4</v>
      </c>
      <c r="O289" s="344"/>
    </row>
    <row r="290" ht="15.75" customHeight="1">
      <c r="A290" s="335">
        <v>287.0</v>
      </c>
      <c r="B290" s="336">
        <v>287.0</v>
      </c>
      <c r="C290" s="337">
        <v>408.0</v>
      </c>
      <c r="D290" s="347" t="s">
        <v>5211</v>
      </c>
      <c r="E290" s="339" t="s">
        <v>482</v>
      </c>
      <c r="F290" s="340" t="s">
        <v>87</v>
      </c>
      <c r="G290" s="341">
        <v>3993.8</v>
      </c>
      <c r="H290" s="342">
        <v>82.9</v>
      </c>
      <c r="I290" s="342">
        <v>118.5</v>
      </c>
      <c r="J290" s="341">
        <v>1199.0</v>
      </c>
      <c r="K290" s="342">
        <v>3.0</v>
      </c>
      <c r="L290" s="342">
        <v>97.7</v>
      </c>
      <c r="M290" s="346">
        <v>-78.0</v>
      </c>
      <c r="O290" s="344"/>
    </row>
    <row r="291" ht="15.75" customHeight="1">
      <c r="A291" s="335">
        <v>288.0</v>
      </c>
      <c r="B291" s="336">
        <v>288.0</v>
      </c>
      <c r="C291" s="337">
        <v>292.0</v>
      </c>
      <c r="D291" s="345" t="s">
        <v>5212</v>
      </c>
      <c r="E291" s="339" t="s">
        <v>1075</v>
      </c>
      <c r="F291" s="340" t="s">
        <v>87</v>
      </c>
      <c r="G291" s="341">
        <v>3991.2</v>
      </c>
      <c r="H291" s="342">
        <v>25.9</v>
      </c>
      <c r="I291" s="342">
        <v>40.9</v>
      </c>
      <c r="J291" s="342">
        <v>-78.0</v>
      </c>
      <c r="K291" s="342">
        <v>1.0</v>
      </c>
      <c r="L291" s="342">
        <v>5.6</v>
      </c>
      <c r="M291" s="346">
        <v>62.9</v>
      </c>
      <c r="O291" s="344"/>
    </row>
    <row r="292" ht="15.75" customHeight="1">
      <c r="A292" s="335">
        <v>289.0</v>
      </c>
      <c r="B292" s="336">
        <v>289.0</v>
      </c>
      <c r="C292" s="337">
        <v>286.0</v>
      </c>
      <c r="D292" s="345" t="s">
        <v>2580</v>
      </c>
      <c r="E292" s="339" t="s">
        <v>98</v>
      </c>
      <c r="F292" s="340" t="s">
        <v>3754</v>
      </c>
      <c r="G292" s="341">
        <v>3990.5</v>
      </c>
      <c r="H292" s="342">
        <v>23.7</v>
      </c>
      <c r="I292" s="342">
        <v>86.3</v>
      </c>
      <c r="J292" s="342">
        <v>8.7</v>
      </c>
      <c r="K292" s="342">
        <v>2.2</v>
      </c>
      <c r="L292" s="342">
        <v>8.0</v>
      </c>
      <c r="M292" s="346">
        <v>123.4</v>
      </c>
      <c r="O292" s="344"/>
    </row>
    <row r="293" ht="15.75" customHeight="1">
      <c r="A293" s="335">
        <v>290.0</v>
      </c>
      <c r="B293" s="336">
        <v>290.0</v>
      </c>
      <c r="C293" s="337">
        <v>346.0</v>
      </c>
      <c r="D293" s="338" t="s">
        <v>5213</v>
      </c>
      <c r="E293" s="339" t="s">
        <v>482</v>
      </c>
      <c r="F293" s="340" t="s">
        <v>5055</v>
      </c>
      <c r="G293" s="341">
        <v>3973.8</v>
      </c>
      <c r="H293" s="342">
        <v>48.4</v>
      </c>
      <c r="I293" s="342">
        <v>42.5</v>
      </c>
      <c r="J293" s="342">
        <v>41.1</v>
      </c>
      <c r="K293" s="342">
        <v>1.1</v>
      </c>
      <c r="L293" s="342">
        <v>6.1</v>
      </c>
      <c r="M293" s="346">
        <v>72.7</v>
      </c>
      <c r="O293" s="344"/>
    </row>
    <row r="294" ht="15.75" customHeight="1">
      <c r="A294" s="335">
        <v>291.0</v>
      </c>
      <c r="B294" s="336">
        <v>291.0</v>
      </c>
      <c r="C294" s="337">
        <v>271.0</v>
      </c>
      <c r="D294" s="347" t="s">
        <v>5214</v>
      </c>
      <c r="E294" s="339" t="s">
        <v>482</v>
      </c>
      <c r="F294" s="340" t="s">
        <v>3754</v>
      </c>
      <c r="G294" s="341">
        <v>3970.6</v>
      </c>
      <c r="H294" s="342">
        <v>14.3</v>
      </c>
      <c r="I294" s="342">
        <v>295.1</v>
      </c>
      <c r="J294" s="342">
        <v>57.5</v>
      </c>
      <c r="K294" s="342">
        <v>7.4</v>
      </c>
      <c r="L294" s="342">
        <v>31.9</v>
      </c>
      <c r="M294" s="346">
        <v>-69.7</v>
      </c>
      <c r="O294" s="344"/>
    </row>
    <row r="295" ht="15.75" customHeight="1">
      <c r="A295" s="335">
        <v>292.0</v>
      </c>
      <c r="B295" s="336">
        <v>292.0</v>
      </c>
      <c r="C295" s="337">
        <v>278.0</v>
      </c>
      <c r="D295" s="338" t="s">
        <v>5215</v>
      </c>
      <c r="E295" s="339" t="s">
        <v>98</v>
      </c>
      <c r="F295" s="340" t="s">
        <v>5018</v>
      </c>
      <c r="G295" s="341">
        <v>3948.2</v>
      </c>
      <c r="H295" s="342">
        <v>15.8</v>
      </c>
      <c r="I295" s="342">
        <v>793.8</v>
      </c>
      <c r="J295" s="342">
        <v>126.5</v>
      </c>
      <c r="K295" s="342">
        <v>20.1</v>
      </c>
      <c r="L295" s="342">
        <v>22.1</v>
      </c>
      <c r="M295" s="346">
        <v>656.7</v>
      </c>
      <c r="O295" s="344"/>
    </row>
    <row r="296" ht="15.75" customHeight="1">
      <c r="A296" s="335">
        <v>293.0</v>
      </c>
      <c r="B296" s="336">
        <v>293.0</v>
      </c>
      <c r="C296" s="337">
        <v>352.0</v>
      </c>
      <c r="D296" s="338" t="s">
        <v>5216</v>
      </c>
      <c r="E296" s="339" t="s">
        <v>349</v>
      </c>
      <c r="F296" s="340" t="s">
        <v>4960</v>
      </c>
      <c r="G296" s="341">
        <v>3913.3</v>
      </c>
      <c r="H296" s="342">
        <v>48.7</v>
      </c>
      <c r="I296" s="342">
        <v>211.1</v>
      </c>
      <c r="J296" s="342">
        <v>80.1</v>
      </c>
      <c r="K296" s="342">
        <v>5.4</v>
      </c>
      <c r="L296" s="342">
        <v>28.8</v>
      </c>
      <c r="M296" s="346">
        <v>173.9</v>
      </c>
      <c r="O296" s="344"/>
    </row>
    <row r="297" ht="15.75" customHeight="1">
      <c r="A297" s="335">
        <v>294.0</v>
      </c>
      <c r="B297" s="336">
        <v>294.0</v>
      </c>
      <c r="C297" s="337">
        <v>345.0</v>
      </c>
      <c r="D297" s="338" t="s">
        <v>5217</v>
      </c>
      <c r="E297" s="339" t="s">
        <v>98</v>
      </c>
      <c r="F297" s="340" t="s">
        <v>5050</v>
      </c>
      <c r="G297" s="341">
        <v>3896.5</v>
      </c>
      <c r="H297" s="342">
        <v>45.4</v>
      </c>
      <c r="I297" s="342">
        <v>494.8</v>
      </c>
      <c r="J297" s="342">
        <v>30.0</v>
      </c>
      <c r="K297" s="342">
        <v>12.7</v>
      </c>
      <c r="L297" s="342">
        <v>21.7</v>
      </c>
      <c r="M297" s="346">
        <v>446.8</v>
      </c>
      <c r="O297" s="344"/>
    </row>
    <row r="298" ht="15.75" customHeight="1">
      <c r="A298" s="335">
        <v>295.0</v>
      </c>
      <c r="B298" s="336">
        <v>295.0</v>
      </c>
      <c r="C298" s="337">
        <v>340.0</v>
      </c>
      <c r="D298" s="338" t="s">
        <v>5218</v>
      </c>
      <c r="E298" s="339" t="s">
        <v>156</v>
      </c>
      <c r="F298" s="340" t="s">
        <v>5055</v>
      </c>
      <c r="G298" s="341">
        <v>3892.0</v>
      </c>
      <c r="H298" s="342">
        <v>42.4</v>
      </c>
      <c r="I298" s="342">
        <v>498.7</v>
      </c>
      <c r="J298" s="342">
        <v>24.4</v>
      </c>
      <c r="K298" s="342">
        <v>12.8</v>
      </c>
      <c r="L298" s="342">
        <v>94.9</v>
      </c>
      <c r="M298" s="346">
        <v>617.9</v>
      </c>
      <c r="O298" s="344"/>
    </row>
    <row r="299" ht="15.75" customHeight="1">
      <c r="A299" s="335">
        <v>296.0</v>
      </c>
      <c r="B299" s="336">
        <v>296.0</v>
      </c>
      <c r="C299" s="337">
        <v>250.0</v>
      </c>
      <c r="D299" s="338" t="s">
        <v>5219</v>
      </c>
      <c r="E299" s="339" t="s">
        <v>332</v>
      </c>
      <c r="F299" s="340" t="s">
        <v>4970</v>
      </c>
      <c r="G299" s="341">
        <v>3882.1</v>
      </c>
      <c r="H299" s="342">
        <v>-1.8</v>
      </c>
      <c r="I299" s="342">
        <v>-647.0</v>
      </c>
      <c r="J299" s="342">
        <v>-159.1</v>
      </c>
      <c r="K299" s="342">
        <v>-16.7</v>
      </c>
      <c r="L299" s="342">
        <v>-8.0</v>
      </c>
      <c r="M299" s="343">
        <v>-1309.7</v>
      </c>
      <c r="O299" s="344"/>
    </row>
    <row r="300" ht="15.75" customHeight="1">
      <c r="A300" s="335">
        <v>297.0</v>
      </c>
      <c r="B300" s="336">
        <v>297.0</v>
      </c>
      <c r="C300" s="337">
        <v>341.0</v>
      </c>
      <c r="D300" s="338" t="s">
        <v>5220</v>
      </c>
      <c r="E300" s="339" t="s">
        <v>1199</v>
      </c>
      <c r="F300" s="340" t="s">
        <v>5050</v>
      </c>
      <c r="G300" s="341">
        <v>3853.3</v>
      </c>
      <c r="H300" s="342">
        <v>41.9</v>
      </c>
      <c r="I300" s="342">
        <v>328.7</v>
      </c>
      <c r="J300" s="342">
        <v>-25.3</v>
      </c>
      <c r="K300" s="342">
        <v>8.5</v>
      </c>
      <c r="L300" s="342">
        <v>18.7</v>
      </c>
      <c r="M300" s="346">
        <v>699.1</v>
      </c>
      <c r="O300" s="344"/>
    </row>
    <row r="301" ht="15.75" customHeight="1">
      <c r="A301" s="335">
        <v>298.0</v>
      </c>
      <c r="B301" s="336">
        <v>298.0</v>
      </c>
      <c r="C301" s="337" t="s">
        <v>3537</v>
      </c>
      <c r="D301" s="338" t="s">
        <v>5221</v>
      </c>
      <c r="E301" s="339" t="s">
        <v>482</v>
      </c>
      <c r="F301" s="340" t="s">
        <v>5028</v>
      </c>
      <c r="G301" s="341">
        <v>3850.1</v>
      </c>
      <c r="H301" s="342">
        <v>20.7</v>
      </c>
      <c r="I301" s="342">
        <v>341.6</v>
      </c>
      <c r="J301" s="342">
        <v>247.3</v>
      </c>
      <c r="K301" s="342">
        <v>8.9</v>
      </c>
      <c r="L301" s="342">
        <v>11.0</v>
      </c>
      <c r="M301" s="343">
        <v>1730.9</v>
      </c>
      <c r="O301" s="344"/>
    </row>
    <row r="302" ht="15.75" customHeight="1">
      <c r="A302" s="335">
        <v>299.0</v>
      </c>
      <c r="B302" s="336">
        <v>299.0</v>
      </c>
      <c r="C302" s="337">
        <v>192.0</v>
      </c>
      <c r="D302" s="338" t="s">
        <v>5222</v>
      </c>
      <c r="E302" s="339" t="s">
        <v>482</v>
      </c>
      <c r="F302" s="340" t="s">
        <v>4983</v>
      </c>
      <c r="G302" s="341">
        <v>3833.7</v>
      </c>
      <c r="H302" s="342">
        <v>-26.8</v>
      </c>
      <c r="I302" s="341">
        <v>1663.9</v>
      </c>
      <c r="J302" s="342">
        <v>-21.6</v>
      </c>
      <c r="K302" s="342">
        <v>43.4</v>
      </c>
      <c r="L302" s="342">
        <v>16.3</v>
      </c>
      <c r="M302" s="343">
        <v>2784.5</v>
      </c>
      <c r="O302" s="344"/>
    </row>
    <row r="303" ht="15.75" customHeight="1">
      <c r="A303" s="335">
        <v>300.0</v>
      </c>
      <c r="B303" s="336">
        <v>300.0</v>
      </c>
      <c r="C303" s="337" t="s">
        <v>3537</v>
      </c>
      <c r="D303" s="347" t="s">
        <v>5223</v>
      </c>
      <c r="E303" s="339" t="s">
        <v>332</v>
      </c>
      <c r="F303" s="340" t="s">
        <v>3256</v>
      </c>
      <c r="G303" s="341">
        <v>3803.4</v>
      </c>
      <c r="H303" s="342">
        <v>26.3</v>
      </c>
      <c r="I303" s="342">
        <v>249.7</v>
      </c>
      <c r="J303" s="342">
        <v>62.2</v>
      </c>
      <c r="K303" s="342">
        <v>6.6</v>
      </c>
      <c r="L303" s="342">
        <v>38.3</v>
      </c>
      <c r="M303" s="346">
        <v>306.9</v>
      </c>
      <c r="O303" s="344"/>
    </row>
    <row r="304" ht="15.75" customHeight="1">
      <c r="A304" s="335">
        <v>301.0</v>
      </c>
      <c r="B304" s="336">
        <v>301.0</v>
      </c>
      <c r="C304" s="337">
        <v>284.0</v>
      </c>
      <c r="D304" s="338" t="s">
        <v>5224</v>
      </c>
      <c r="E304" s="339" t="s">
        <v>482</v>
      </c>
      <c r="F304" s="340" t="s">
        <v>4985</v>
      </c>
      <c r="G304" s="341">
        <v>3792.9</v>
      </c>
      <c r="H304" s="342">
        <v>27.4</v>
      </c>
      <c r="I304" s="342">
        <v>523.3</v>
      </c>
      <c r="J304" s="342">
        <v>39.9</v>
      </c>
      <c r="K304" s="342">
        <v>13.8</v>
      </c>
      <c r="L304" s="342">
        <v>11.5</v>
      </c>
      <c r="M304" s="346">
        <v>641.5</v>
      </c>
      <c r="O304" s="344"/>
    </row>
    <row r="305" ht="15.75" customHeight="1">
      <c r="A305" s="335">
        <v>302.0</v>
      </c>
      <c r="B305" s="336">
        <v>302.0</v>
      </c>
      <c r="C305" s="337">
        <v>449.0</v>
      </c>
      <c r="D305" s="338" t="s">
        <v>5225</v>
      </c>
      <c r="E305" s="339" t="s">
        <v>482</v>
      </c>
      <c r="F305" s="340" t="s">
        <v>5018</v>
      </c>
      <c r="G305" s="341">
        <v>3789.8</v>
      </c>
      <c r="H305" s="342">
        <v>97.8</v>
      </c>
      <c r="I305" s="342">
        <v>108.7</v>
      </c>
      <c r="J305" s="342">
        <v>-35.6</v>
      </c>
      <c r="K305" s="342">
        <v>2.9</v>
      </c>
      <c r="L305" s="342">
        <v>8.4</v>
      </c>
      <c r="M305" s="346">
        <v>690.3</v>
      </c>
      <c r="O305" s="344"/>
    </row>
    <row r="306" ht="15.75" customHeight="1">
      <c r="A306" s="335">
        <v>303.0</v>
      </c>
      <c r="B306" s="336">
        <v>303.0</v>
      </c>
      <c r="C306" s="337">
        <v>294.0</v>
      </c>
      <c r="D306" s="347" t="s">
        <v>5226</v>
      </c>
      <c r="E306" s="339" t="s">
        <v>156</v>
      </c>
      <c r="F306" s="340" t="s">
        <v>3754</v>
      </c>
      <c r="G306" s="341">
        <v>3762.0</v>
      </c>
      <c r="H306" s="342">
        <v>19.3</v>
      </c>
      <c r="I306" s="342">
        <v>35.6</v>
      </c>
      <c r="J306" s="342">
        <v>-65.4</v>
      </c>
      <c r="K306" s="342">
        <v>0.9</v>
      </c>
      <c r="L306" s="342">
        <v>6.4</v>
      </c>
      <c r="M306" s="346">
        <v>152.6</v>
      </c>
      <c r="O306" s="344"/>
    </row>
    <row r="307" ht="15.75" customHeight="1">
      <c r="A307" s="335">
        <v>304.0</v>
      </c>
      <c r="B307" s="336">
        <v>304.0</v>
      </c>
      <c r="C307" s="337">
        <v>282.0</v>
      </c>
      <c r="D307" s="338" t="s">
        <v>5227</v>
      </c>
      <c r="E307" s="339" t="s">
        <v>482</v>
      </c>
      <c r="F307" s="340" t="s">
        <v>4993</v>
      </c>
      <c r="G307" s="341">
        <v>3753.1</v>
      </c>
      <c r="H307" s="342">
        <v>12.6</v>
      </c>
      <c r="I307" s="342">
        <v>367.4</v>
      </c>
      <c r="J307" s="342">
        <v>-18.0</v>
      </c>
      <c r="K307" s="342">
        <v>9.8</v>
      </c>
      <c r="L307" s="342">
        <v>23.3</v>
      </c>
      <c r="M307" s="346">
        <v>652.9</v>
      </c>
      <c r="O307" s="344"/>
    </row>
    <row r="308" ht="15.75" customHeight="1">
      <c r="A308" s="335">
        <v>305.0</v>
      </c>
      <c r="B308" s="336">
        <v>305.0</v>
      </c>
      <c r="C308" s="337">
        <v>255.0</v>
      </c>
      <c r="D308" s="345" t="s">
        <v>5228</v>
      </c>
      <c r="E308" s="339" t="s">
        <v>1751</v>
      </c>
      <c r="F308" s="340" t="s">
        <v>3256</v>
      </c>
      <c r="G308" s="341">
        <v>3753.0</v>
      </c>
      <c r="H308" s="342">
        <v>-2.1</v>
      </c>
      <c r="I308" s="342" t="s">
        <v>3537</v>
      </c>
      <c r="J308" s="342" t="s">
        <v>3537</v>
      </c>
      <c r="K308" s="342" t="s">
        <v>3537</v>
      </c>
      <c r="L308" s="342" t="s">
        <v>3537</v>
      </c>
      <c r="M308" s="346" t="s">
        <v>3537</v>
      </c>
      <c r="O308" s="344"/>
    </row>
    <row r="309" ht="15.75" customHeight="1">
      <c r="A309" s="335">
        <v>306.0</v>
      </c>
      <c r="B309" s="336">
        <v>306.0</v>
      </c>
      <c r="C309" s="337">
        <v>300.0</v>
      </c>
      <c r="D309" s="338" t="s">
        <v>5229</v>
      </c>
      <c r="E309" s="339" t="s">
        <v>1199</v>
      </c>
      <c r="F309" s="340" t="s">
        <v>4968</v>
      </c>
      <c r="G309" s="341">
        <v>3741.4</v>
      </c>
      <c r="H309" s="342">
        <v>21.2</v>
      </c>
      <c r="I309" s="342">
        <v>211.5</v>
      </c>
      <c r="J309" s="341">
        <v>1140.4</v>
      </c>
      <c r="K309" s="342">
        <v>5.7</v>
      </c>
      <c r="L309" s="342">
        <v>22.7</v>
      </c>
      <c r="M309" s="346">
        <v>355.1</v>
      </c>
      <c r="O309" s="344"/>
    </row>
    <row r="310" ht="15.75" customHeight="1">
      <c r="A310" s="335">
        <v>307.0</v>
      </c>
      <c r="B310" s="336">
        <v>307.0</v>
      </c>
      <c r="C310" s="337">
        <v>295.0</v>
      </c>
      <c r="D310" s="338" t="s">
        <v>5230</v>
      </c>
      <c r="E310" s="339" t="s">
        <v>482</v>
      </c>
      <c r="F310" s="340" t="s">
        <v>5010</v>
      </c>
      <c r="G310" s="341">
        <v>3728.4</v>
      </c>
      <c r="H310" s="342">
        <v>18.3</v>
      </c>
      <c r="I310" s="342">
        <v>64.7</v>
      </c>
      <c r="J310" s="342">
        <v>-95.1</v>
      </c>
      <c r="K310" s="342">
        <v>1.7</v>
      </c>
      <c r="L310" s="342">
        <v>7.8</v>
      </c>
      <c r="M310" s="346">
        <v>389.1</v>
      </c>
      <c r="O310" s="344"/>
    </row>
    <row r="311" ht="15.75" customHeight="1">
      <c r="A311" s="335">
        <v>308.0</v>
      </c>
      <c r="B311" s="336">
        <v>308.0</v>
      </c>
      <c r="C311" s="337">
        <v>311.0</v>
      </c>
      <c r="D311" s="338" t="s">
        <v>5231</v>
      </c>
      <c r="E311" s="339" t="s">
        <v>482</v>
      </c>
      <c r="F311" s="340" t="s">
        <v>4985</v>
      </c>
      <c r="G311" s="341">
        <v>3702.0</v>
      </c>
      <c r="H311" s="342">
        <v>24.2</v>
      </c>
      <c r="I311" s="342" t="s">
        <v>3537</v>
      </c>
      <c r="J311" s="342" t="s">
        <v>3537</v>
      </c>
      <c r="K311" s="342" t="s">
        <v>3537</v>
      </c>
      <c r="L311" s="342" t="s">
        <v>3537</v>
      </c>
      <c r="M311" s="346" t="s">
        <v>3537</v>
      </c>
      <c r="O311" s="344"/>
    </row>
    <row r="312" ht="15.75" customHeight="1">
      <c r="A312" s="335">
        <v>309.0</v>
      </c>
      <c r="B312" s="336">
        <v>309.0</v>
      </c>
      <c r="C312" s="337">
        <v>371.0</v>
      </c>
      <c r="D312" s="347" t="s">
        <v>5232</v>
      </c>
      <c r="E312" s="339" t="s">
        <v>98</v>
      </c>
      <c r="F312" s="340" t="s">
        <v>87</v>
      </c>
      <c r="G312" s="341">
        <v>3701.2</v>
      </c>
      <c r="H312" s="342">
        <v>50.7</v>
      </c>
      <c r="I312" s="342">
        <v>151.8</v>
      </c>
      <c r="J312" s="342">
        <v>-24.3</v>
      </c>
      <c r="K312" s="342">
        <v>4.1</v>
      </c>
      <c r="L312" s="342">
        <v>40.1</v>
      </c>
      <c r="M312" s="346">
        <v>135.4</v>
      </c>
      <c r="O312" s="344"/>
    </row>
    <row r="313" ht="15.75" customHeight="1">
      <c r="A313" s="335">
        <v>310.0</v>
      </c>
      <c r="B313" s="336">
        <v>310.0</v>
      </c>
      <c r="C313" s="337">
        <v>325.0</v>
      </c>
      <c r="D313" s="338" t="s">
        <v>5233</v>
      </c>
      <c r="E313" s="339" t="s">
        <v>332</v>
      </c>
      <c r="F313" s="340" t="s">
        <v>4960</v>
      </c>
      <c r="G313" s="341">
        <v>3685.4</v>
      </c>
      <c r="H313" s="342">
        <v>29.3</v>
      </c>
      <c r="I313" s="342">
        <v>477.7</v>
      </c>
      <c r="J313" s="342">
        <v>32.4</v>
      </c>
      <c r="K313" s="342">
        <v>13.0</v>
      </c>
      <c r="L313" s="342">
        <v>37.5</v>
      </c>
      <c r="M313" s="346">
        <v>693.3</v>
      </c>
      <c r="O313" s="344"/>
    </row>
    <row r="314" ht="15.75" customHeight="1">
      <c r="A314" s="335">
        <v>311.0</v>
      </c>
      <c r="B314" s="336">
        <v>311.0</v>
      </c>
      <c r="C314" s="337">
        <v>409.0</v>
      </c>
      <c r="D314" s="338" t="s">
        <v>5234</v>
      </c>
      <c r="E314" s="339" t="s">
        <v>156</v>
      </c>
      <c r="F314" s="340" t="s">
        <v>4976</v>
      </c>
      <c r="G314" s="341">
        <v>3677.1</v>
      </c>
      <c r="H314" s="342">
        <v>69.0</v>
      </c>
      <c r="I314" s="342">
        <v>144.4</v>
      </c>
      <c r="J314" s="342">
        <v>131.6</v>
      </c>
      <c r="K314" s="342">
        <v>3.9</v>
      </c>
      <c r="L314" s="342">
        <v>18.0</v>
      </c>
      <c r="M314" s="346">
        <v>361.1</v>
      </c>
      <c r="O314" s="344"/>
    </row>
    <row r="315" ht="15.75" customHeight="1">
      <c r="A315" s="335">
        <v>312.0</v>
      </c>
      <c r="B315" s="336">
        <v>312.0</v>
      </c>
      <c r="C315" s="337">
        <v>266.0</v>
      </c>
      <c r="D315" s="338" t="s">
        <v>5235</v>
      </c>
      <c r="E315" s="339" t="s">
        <v>1075</v>
      </c>
      <c r="F315" s="340" t="s">
        <v>5110</v>
      </c>
      <c r="G315" s="341">
        <v>3672.0</v>
      </c>
      <c r="H315" s="342">
        <v>4.2</v>
      </c>
      <c r="I315" s="342" t="s">
        <v>3537</v>
      </c>
      <c r="J315" s="342" t="s">
        <v>3537</v>
      </c>
      <c r="K315" s="342" t="s">
        <v>3537</v>
      </c>
      <c r="L315" s="342" t="s">
        <v>3537</v>
      </c>
      <c r="M315" s="346" t="s">
        <v>3537</v>
      </c>
      <c r="O315" s="344"/>
    </row>
    <row r="316" ht="15.75" customHeight="1">
      <c r="A316" s="335">
        <v>313.0</v>
      </c>
      <c r="B316" s="336">
        <v>313.0</v>
      </c>
      <c r="C316" s="337">
        <v>310.0</v>
      </c>
      <c r="D316" s="338" t="s">
        <v>5236</v>
      </c>
      <c r="E316" s="339" t="s">
        <v>1392</v>
      </c>
      <c r="F316" s="340" t="s">
        <v>4974</v>
      </c>
      <c r="G316" s="341">
        <v>3662.0</v>
      </c>
      <c r="H316" s="342">
        <v>22.6</v>
      </c>
      <c r="I316" s="342">
        <v>513.2</v>
      </c>
      <c r="J316" s="342">
        <v>23.0</v>
      </c>
      <c r="K316" s="342">
        <v>14.0</v>
      </c>
      <c r="L316" s="342">
        <v>20.9</v>
      </c>
      <c r="M316" s="346">
        <v>673.6</v>
      </c>
      <c r="O316" s="344"/>
    </row>
    <row r="317" ht="15.75" customHeight="1">
      <c r="A317" s="335">
        <v>314.0</v>
      </c>
      <c r="B317" s="336">
        <v>314.0</v>
      </c>
      <c r="C317" s="337">
        <v>337.0</v>
      </c>
      <c r="D317" s="345" t="s">
        <v>3929</v>
      </c>
      <c r="E317" s="339" t="s">
        <v>482</v>
      </c>
      <c r="F317" s="340" t="s">
        <v>3754</v>
      </c>
      <c r="G317" s="341">
        <v>3644.7</v>
      </c>
      <c r="H317" s="342">
        <v>32.4</v>
      </c>
      <c r="I317" s="342">
        <v>-55.8</v>
      </c>
      <c r="J317" s="342">
        <v>79.6</v>
      </c>
      <c r="K317" s="342">
        <v>-1.5</v>
      </c>
      <c r="L317" s="342">
        <v>-3.6</v>
      </c>
      <c r="M317" s="346">
        <v>87.8</v>
      </c>
      <c r="O317" s="344"/>
    </row>
    <row r="318" ht="15.75" customHeight="1">
      <c r="A318" s="335">
        <v>315.0</v>
      </c>
      <c r="B318" s="336">
        <v>315.0</v>
      </c>
      <c r="C318" s="337">
        <v>319.0</v>
      </c>
      <c r="D318" s="345" t="s">
        <v>729</v>
      </c>
      <c r="E318" s="339" t="s">
        <v>332</v>
      </c>
      <c r="F318" s="340" t="s">
        <v>87</v>
      </c>
      <c r="G318" s="341">
        <v>3637.8</v>
      </c>
      <c r="H318" s="342">
        <v>25.5</v>
      </c>
      <c r="I318" s="342">
        <v>49.8</v>
      </c>
      <c r="J318" s="342">
        <v>293.7</v>
      </c>
      <c r="K318" s="342">
        <v>1.4</v>
      </c>
      <c r="L318" s="342">
        <v>43.6</v>
      </c>
      <c r="M318" s="346">
        <v>35.9</v>
      </c>
      <c r="O318" s="344"/>
    </row>
    <row r="319" ht="15.75" customHeight="1">
      <c r="A319" s="335">
        <v>316.0</v>
      </c>
      <c r="B319" s="336">
        <v>316.0</v>
      </c>
      <c r="C319" s="337">
        <v>269.0</v>
      </c>
      <c r="D319" s="345" t="s">
        <v>415</v>
      </c>
      <c r="E319" s="339" t="s">
        <v>1793</v>
      </c>
      <c r="F319" s="340" t="s">
        <v>87</v>
      </c>
      <c r="G319" s="341">
        <v>3627.8</v>
      </c>
      <c r="H319" s="342">
        <v>4.0</v>
      </c>
      <c r="I319" s="342">
        <v>-71.9</v>
      </c>
      <c r="J319" s="342">
        <v>-79.9</v>
      </c>
      <c r="K319" s="342">
        <v>-2.0</v>
      </c>
      <c r="L319" s="342">
        <v>-51.6</v>
      </c>
      <c r="M319" s="346">
        <v>-110.9</v>
      </c>
      <c r="O319" s="344"/>
    </row>
    <row r="320" ht="15.75" customHeight="1">
      <c r="A320" s="335">
        <v>317.0</v>
      </c>
      <c r="B320" s="336">
        <v>317.0</v>
      </c>
      <c r="C320" s="337">
        <v>273.0</v>
      </c>
      <c r="D320" s="338" t="s">
        <v>5237</v>
      </c>
      <c r="E320" s="339" t="s">
        <v>546</v>
      </c>
      <c r="F320" s="340" t="s">
        <v>4999</v>
      </c>
      <c r="G320" s="341">
        <v>3597.2</v>
      </c>
      <c r="H320" s="342">
        <v>3.7</v>
      </c>
      <c r="I320" s="342">
        <v>134.3</v>
      </c>
      <c r="J320" s="342">
        <v>-16.9</v>
      </c>
      <c r="K320" s="342">
        <v>3.7</v>
      </c>
      <c r="L320" s="342">
        <v>32.3</v>
      </c>
      <c r="M320" s="346">
        <v>163.9</v>
      </c>
      <c r="O320" s="344"/>
    </row>
    <row r="321" ht="15.75" customHeight="1">
      <c r="A321" s="335">
        <v>318.0</v>
      </c>
      <c r="B321" s="336">
        <v>318.0</v>
      </c>
      <c r="C321" s="337">
        <v>367.0</v>
      </c>
      <c r="D321" s="338" t="s">
        <v>5238</v>
      </c>
      <c r="E321" s="339" t="s">
        <v>482</v>
      </c>
      <c r="F321" s="340" t="s">
        <v>4968</v>
      </c>
      <c r="G321" s="341">
        <v>3589.9</v>
      </c>
      <c r="H321" s="342">
        <v>43.8</v>
      </c>
      <c r="I321" s="342">
        <v>247.2</v>
      </c>
      <c r="J321" s="342">
        <v>35.0</v>
      </c>
      <c r="K321" s="342">
        <v>6.9</v>
      </c>
      <c r="L321" s="342">
        <v>39.2</v>
      </c>
      <c r="M321" s="346">
        <v>471.0</v>
      </c>
      <c r="O321" s="344"/>
    </row>
    <row r="322" ht="15.75" customHeight="1">
      <c r="A322" s="335">
        <v>319.0</v>
      </c>
      <c r="B322" s="336">
        <v>319.0</v>
      </c>
      <c r="C322" s="337">
        <v>288.0</v>
      </c>
      <c r="D322" s="338" t="s">
        <v>5239</v>
      </c>
      <c r="E322" s="339" t="s">
        <v>1751</v>
      </c>
      <c r="F322" s="340" t="s">
        <v>4983</v>
      </c>
      <c r="G322" s="341">
        <v>3582.4</v>
      </c>
      <c r="H322" s="342">
        <v>6.3</v>
      </c>
      <c r="I322" s="341">
        <v>2221.6</v>
      </c>
      <c r="J322" s="342">
        <v>52.0</v>
      </c>
      <c r="K322" s="342">
        <v>62.0</v>
      </c>
      <c r="L322" s="342">
        <v>17.9</v>
      </c>
      <c r="M322" s="343">
        <v>2686.2</v>
      </c>
      <c r="O322" s="344"/>
    </row>
    <row r="323" ht="15.75" customHeight="1">
      <c r="A323" s="335">
        <v>320.0</v>
      </c>
      <c r="B323" s="336">
        <v>320.0</v>
      </c>
      <c r="C323" s="337">
        <v>312.0</v>
      </c>
      <c r="D323" s="345" t="s">
        <v>1984</v>
      </c>
      <c r="E323" s="339" t="s">
        <v>482</v>
      </c>
      <c r="F323" s="340" t="s">
        <v>3256</v>
      </c>
      <c r="G323" s="341">
        <v>3574.4</v>
      </c>
      <c r="H323" s="342">
        <v>20.7</v>
      </c>
      <c r="I323" s="342">
        <v>132.9</v>
      </c>
      <c r="J323" s="342">
        <v>225.8</v>
      </c>
      <c r="K323" s="342">
        <v>3.7</v>
      </c>
      <c r="L323" s="342">
        <v>54.8</v>
      </c>
      <c r="M323" s="346">
        <v>218.3</v>
      </c>
      <c r="O323" s="344"/>
    </row>
    <row r="324" ht="15.75" customHeight="1">
      <c r="A324" s="335">
        <v>321.0</v>
      </c>
      <c r="B324" s="336">
        <v>321.0</v>
      </c>
      <c r="C324" s="337">
        <v>351.0</v>
      </c>
      <c r="D324" s="338" t="s">
        <v>5240</v>
      </c>
      <c r="E324" s="339" t="s">
        <v>482</v>
      </c>
      <c r="F324" s="340" t="s">
        <v>5172</v>
      </c>
      <c r="G324" s="341">
        <v>3563.2</v>
      </c>
      <c r="H324" s="342">
        <v>34.4</v>
      </c>
      <c r="I324" s="342">
        <v>11.5</v>
      </c>
      <c r="J324" s="342">
        <v>114.1</v>
      </c>
      <c r="K324" s="342">
        <v>0.3</v>
      </c>
      <c r="L324" s="342">
        <v>0.4</v>
      </c>
      <c r="M324" s="346">
        <v>392.4</v>
      </c>
      <c r="O324" s="344"/>
    </row>
    <row r="325" ht="15.75" customHeight="1">
      <c r="A325" s="335">
        <v>322.0</v>
      </c>
      <c r="B325" s="336">
        <v>322.0</v>
      </c>
      <c r="C325" s="337">
        <v>283.0</v>
      </c>
      <c r="D325" s="347" t="s">
        <v>5241</v>
      </c>
      <c r="E325" s="339" t="s">
        <v>332</v>
      </c>
      <c r="F325" s="340" t="s">
        <v>3754</v>
      </c>
      <c r="G325" s="341">
        <v>3553.2</v>
      </c>
      <c r="H325" s="342">
        <v>8.2</v>
      </c>
      <c r="I325" s="342">
        <v>40.4</v>
      </c>
      <c r="J325" s="342">
        <v>13.9</v>
      </c>
      <c r="K325" s="342">
        <v>1.1</v>
      </c>
      <c r="L325" s="342">
        <v>18.7</v>
      </c>
      <c r="M325" s="346">
        <v>147.7</v>
      </c>
      <c r="O325" s="344"/>
    </row>
    <row r="326" ht="15.75" customHeight="1">
      <c r="A326" s="335">
        <v>323.0</v>
      </c>
      <c r="B326" s="336">
        <v>323.0</v>
      </c>
      <c r="C326" s="337">
        <v>276.0</v>
      </c>
      <c r="D326" s="345" t="s">
        <v>1157</v>
      </c>
      <c r="E326" s="339" t="s">
        <v>98</v>
      </c>
      <c r="F326" s="340" t="s">
        <v>87</v>
      </c>
      <c r="G326" s="341">
        <v>3535.7</v>
      </c>
      <c r="H326" s="342">
        <v>2.5</v>
      </c>
      <c r="I326" s="342" t="s">
        <v>3537</v>
      </c>
      <c r="J326" s="342" t="s">
        <v>3537</v>
      </c>
      <c r="K326" s="342" t="s">
        <v>3537</v>
      </c>
      <c r="L326" s="342" t="s">
        <v>3537</v>
      </c>
      <c r="M326" s="346" t="s">
        <v>3537</v>
      </c>
      <c r="O326" s="344"/>
    </row>
    <row r="327" ht="15.75" customHeight="1">
      <c r="A327" s="335">
        <v>324.0</v>
      </c>
      <c r="B327" s="336">
        <v>324.0</v>
      </c>
      <c r="C327" s="337">
        <v>353.0</v>
      </c>
      <c r="D327" s="347" t="s">
        <v>5242</v>
      </c>
      <c r="E327" s="339" t="s">
        <v>482</v>
      </c>
      <c r="F327" s="340" t="s">
        <v>3256</v>
      </c>
      <c r="G327" s="341">
        <v>3477.9</v>
      </c>
      <c r="H327" s="342">
        <v>32.3</v>
      </c>
      <c r="I327" s="342">
        <v>142.5</v>
      </c>
      <c r="J327" s="342">
        <v>1.3</v>
      </c>
      <c r="K327" s="342">
        <v>4.1</v>
      </c>
      <c r="L327" s="342">
        <v>25.5</v>
      </c>
      <c r="M327" s="346">
        <v>204.7</v>
      </c>
      <c r="O327" s="344"/>
    </row>
    <row r="328" ht="15.75" customHeight="1">
      <c r="A328" s="335">
        <v>325.0</v>
      </c>
      <c r="B328" s="336">
        <v>325.0</v>
      </c>
      <c r="C328" s="337" t="s">
        <v>3537</v>
      </c>
      <c r="D328" s="347" t="s">
        <v>5243</v>
      </c>
      <c r="E328" s="339" t="s">
        <v>482</v>
      </c>
      <c r="F328" s="340" t="s">
        <v>87</v>
      </c>
      <c r="G328" s="341">
        <v>3453.4</v>
      </c>
      <c r="H328" s="342">
        <v>82.8</v>
      </c>
      <c r="I328" s="342">
        <v>-6.6</v>
      </c>
      <c r="J328" s="342">
        <v>-15.2</v>
      </c>
      <c r="K328" s="342">
        <v>-0.2</v>
      </c>
      <c r="L328" s="342">
        <v>-16.6</v>
      </c>
      <c r="M328" s="346">
        <v>-24.3</v>
      </c>
      <c r="O328" s="344"/>
    </row>
    <row r="329" ht="15.75" customHeight="1">
      <c r="A329" s="335">
        <v>326.0</v>
      </c>
      <c r="B329" s="336">
        <v>326.0</v>
      </c>
      <c r="C329" s="337">
        <v>298.0</v>
      </c>
      <c r="D329" s="345" t="s">
        <v>2077</v>
      </c>
      <c r="E329" s="339" t="s">
        <v>156</v>
      </c>
      <c r="F329" s="340" t="s">
        <v>3256</v>
      </c>
      <c r="G329" s="341">
        <v>3450.5</v>
      </c>
      <c r="H329" s="342">
        <v>10.5</v>
      </c>
      <c r="I329" s="342">
        <v>259.4</v>
      </c>
      <c r="J329" s="342">
        <v>49.0</v>
      </c>
      <c r="K329" s="342">
        <v>7.5</v>
      </c>
      <c r="L329" s="342">
        <v>28.7</v>
      </c>
      <c r="M329" s="346">
        <v>186.9</v>
      </c>
      <c r="O329" s="344"/>
    </row>
    <row r="330" ht="15.75" customHeight="1">
      <c r="A330" s="335">
        <v>327.0</v>
      </c>
      <c r="B330" s="336">
        <v>327.0</v>
      </c>
      <c r="C330" s="337">
        <v>270.0</v>
      </c>
      <c r="D330" s="338" t="s">
        <v>5244</v>
      </c>
      <c r="E330" s="339" t="s">
        <v>1751</v>
      </c>
      <c r="F330" s="340" t="s">
        <v>5015</v>
      </c>
      <c r="G330" s="341">
        <v>3421.1</v>
      </c>
      <c r="H330" s="342">
        <v>-1.6</v>
      </c>
      <c r="I330" s="342">
        <v>-289.7</v>
      </c>
      <c r="J330" s="342">
        <v>-30.6</v>
      </c>
      <c r="K330" s="342">
        <v>-8.5</v>
      </c>
      <c r="L330" s="342">
        <v>-5.9</v>
      </c>
      <c r="M330" s="346">
        <v>-263.0</v>
      </c>
      <c r="O330" s="344"/>
    </row>
    <row r="331" ht="15.75" customHeight="1">
      <c r="A331" s="335">
        <v>328.0</v>
      </c>
      <c r="B331" s="336">
        <v>328.0</v>
      </c>
      <c r="C331" s="337">
        <v>287.0</v>
      </c>
      <c r="D331" s="338" t="s">
        <v>5245</v>
      </c>
      <c r="E331" s="339" t="s">
        <v>482</v>
      </c>
      <c r="F331" s="340" t="s">
        <v>4974</v>
      </c>
      <c r="G331" s="341">
        <v>3410.3</v>
      </c>
      <c r="H331" s="342">
        <v>5.8</v>
      </c>
      <c r="I331" s="342">
        <v>350.8</v>
      </c>
      <c r="J331" s="342">
        <v>-50.7</v>
      </c>
      <c r="K331" s="342">
        <v>10.3</v>
      </c>
      <c r="L331" s="342">
        <v>19.7</v>
      </c>
      <c r="M331" s="346">
        <v>438.6</v>
      </c>
      <c r="O331" s="344"/>
    </row>
    <row r="332" ht="15.75" customHeight="1">
      <c r="A332" s="335">
        <v>329.0</v>
      </c>
      <c r="B332" s="336">
        <v>329.0</v>
      </c>
      <c r="C332" s="337">
        <v>344.0</v>
      </c>
      <c r="D332" s="347" t="s">
        <v>5246</v>
      </c>
      <c r="E332" s="339" t="s">
        <v>1751</v>
      </c>
      <c r="F332" s="340" t="s">
        <v>3754</v>
      </c>
      <c r="G332" s="341">
        <v>3404.0</v>
      </c>
      <c r="H332" s="342">
        <v>20.7</v>
      </c>
      <c r="I332" s="342">
        <v>100.3</v>
      </c>
      <c r="J332" s="342">
        <v>-36.0</v>
      </c>
      <c r="K332" s="342">
        <v>2.9</v>
      </c>
      <c r="L332" s="342">
        <v>18.0</v>
      </c>
      <c r="M332" s="346">
        <v>149.5</v>
      </c>
      <c r="O332" s="344"/>
    </row>
    <row r="333" ht="15.75" customHeight="1">
      <c r="A333" s="335">
        <v>330.0</v>
      </c>
      <c r="B333" s="336">
        <v>330.0</v>
      </c>
      <c r="C333" s="337">
        <v>297.0</v>
      </c>
      <c r="D333" s="338" t="s">
        <v>5247</v>
      </c>
      <c r="E333" s="339" t="s">
        <v>1751</v>
      </c>
      <c r="F333" s="340" t="s">
        <v>4960</v>
      </c>
      <c r="G333" s="341">
        <v>3399.2</v>
      </c>
      <c r="H333" s="342">
        <v>8.7</v>
      </c>
      <c r="I333" s="342">
        <v>174.1</v>
      </c>
      <c r="J333" s="342">
        <v>7.5</v>
      </c>
      <c r="K333" s="342">
        <v>5.1</v>
      </c>
      <c r="L333" s="342">
        <v>32.2</v>
      </c>
      <c r="M333" s="346">
        <v>259.5</v>
      </c>
      <c r="O333" s="344"/>
    </row>
    <row r="334" ht="15.75" customHeight="1">
      <c r="A334" s="335">
        <v>331.0</v>
      </c>
      <c r="B334" s="336">
        <v>331.0</v>
      </c>
      <c r="C334" s="337">
        <v>305.0</v>
      </c>
      <c r="D334" s="345" t="s">
        <v>5248</v>
      </c>
      <c r="E334" s="339" t="s">
        <v>482</v>
      </c>
      <c r="F334" s="340" t="s">
        <v>3256</v>
      </c>
      <c r="G334" s="341">
        <v>3389.8</v>
      </c>
      <c r="H334" s="342">
        <v>11.5</v>
      </c>
      <c r="I334" s="342" t="s">
        <v>3537</v>
      </c>
      <c r="J334" s="342" t="s">
        <v>3537</v>
      </c>
      <c r="K334" s="342" t="s">
        <v>3537</v>
      </c>
      <c r="L334" s="342" t="s">
        <v>3537</v>
      </c>
      <c r="M334" s="346" t="s">
        <v>3537</v>
      </c>
      <c r="O334" s="344"/>
    </row>
    <row r="335" ht="15.75" customHeight="1">
      <c r="A335" s="335">
        <v>332.0</v>
      </c>
      <c r="B335" s="336">
        <v>332.0</v>
      </c>
      <c r="C335" s="337">
        <v>279.0</v>
      </c>
      <c r="D335" s="338" t="s">
        <v>5249</v>
      </c>
      <c r="E335" s="339" t="s">
        <v>482</v>
      </c>
      <c r="F335" s="340" t="s">
        <v>5015</v>
      </c>
      <c r="G335" s="341">
        <v>3352.4</v>
      </c>
      <c r="H335" s="342">
        <v>-1.2</v>
      </c>
      <c r="I335" s="342">
        <v>34.7</v>
      </c>
      <c r="J335" s="342">
        <v>156.8</v>
      </c>
      <c r="K335" s="342">
        <v>1.0</v>
      </c>
      <c r="L335" s="342" t="s">
        <v>5021</v>
      </c>
      <c r="M335" s="346">
        <v>26.1</v>
      </c>
      <c r="O335" s="344"/>
    </row>
    <row r="336" ht="15.75" customHeight="1">
      <c r="A336" s="335">
        <v>333.0</v>
      </c>
      <c r="B336" s="336">
        <v>333.0</v>
      </c>
      <c r="C336" s="337" t="s">
        <v>3537</v>
      </c>
      <c r="D336" s="347" t="s">
        <v>5250</v>
      </c>
      <c r="E336" s="339" t="s">
        <v>482</v>
      </c>
      <c r="F336" s="340" t="s">
        <v>3754</v>
      </c>
      <c r="G336" s="341">
        <v>3347.2</v>
      </c>
      <c r="H336" s="342">
        <v>271.6</v>
      </c>
      <c r="I336" s="342">
        <v>6.7</v>
      </c>
      <c r="J336" s="342">
        <v>108.9</v>
      </c>
      <c r="K336" s="342">
        <v>0.2</v>
      </c>
      <c r="L336" s="342">
        <v>0.6</v>
      </c>
      <c r="M336" s="346">
        <v>129.6</v>
      </c>
      <c r="O336" s="344"/>
    </row>
    <row r="337" ht="15.75" customHeight="1">
      <c r="A337" s="335">
        <v>334.0</v>
      </c>
      <c r="B337" s="336">
        <v>334.0</v>
      </c>
      <c r="C337" s="337">
        <v>316.0</v>
      </c>
      <c r="D337" s="338" t="s">
        <v>5251</v>
      </c>
      <c r="E337" s="339" t="s">
        <v>482</v>
      </c>
      <c r="F337" s="340" t="s">
        <v>4976</v>
      </c>
      <c r="G337" s="341">
        <v>3318.3</v>
      </c>
      <c r="H337" s="342">
        <v>13.7</v>
      </c>
      <c r="I337" s="342">
        <v>436.4</v>
      </c>
      <c r="J337" s="342">
        <v>-2.3</v>
      </c>
      <c r="K337" s="342">
        <v>13.2</v>
      </c>
      <c r="L337" s="342">
        <v>36.0</v>
      </c>
      <c r="M337" s="346">
        <v>561.6</v>
      </c>
      <c r="O337" s="344"/>
    </row>
    <row r="338" ht="15.75" customHeight="1">
      <c r="A338" s="335">
        <v>335.0</v>
      </c>
      <c r="B338" s="336">
        <v>335.0</v>
      </c>
      <c r="C338" s="337">
        <v>290.0</v>
      </c>
      <c r="D338" s="338" t="s">
        <v>5252</v>
      </c>
      <c r="E338" s="339" t="s">
        <v>482</v>
      </c>
      <c r="F338" s="340" t="s">
        <v>4970</v>
      </c>
      <c r="G338" s="341">
        <v>3302.4</v>
      </c>
      <c r="H338" s="342">
        <v>2.7</v>
      </c>
      <c r="I338" s="342">
        <v>130.0</v>
      </c>
      <c r="J338" s="342">
        <v>-62.3</v>
      </c>
      <c r="K338" s="342">
        <v>3.9</v>
      </c>
      <c r="L338" s="342">
        <v>5.0</v>
      </c>
      <c r="M338" s="346">
        <v>102.7</v>
      </c>
      <c r="O338" s="344"/>
    </row>
    <row r="339" ht="15.75" customHeight="1">
      <c r="A339" s="335">
        <v>336.0</v>
      </c>
      <c r="B339" s="336">
        <v>336.0</v>
      </c>
      <c r="C339" s="337">
        <v>326.0</v>
      </c>
      <c r="D339" s="338" t="s">
        <v>5253</v>
      </c>
      <c r="E339" s="339" t="s">
        <v>98</v>
      </c>
      <c r="F339" s="340" t="s">
        <v>5028</v>
      </c>
      <c r="G339" s="341">
        <v>3279.6</v>
      </c>
      <c r="H339" s="342">
        <v>20.1</v>
      </c>
      <c r="I339" s="342">
        <v>573.3</v>
      </c>
      <c r="J339" s="342">
        <v>21.1</v>
      </c>
      <c r="K339" s="342">
        <v>17.5</v>
      </c>
      <c r="L339" s="342">
        <v>20.0</v>
      </c>
      <c r="M339" s="346">
        <v>909.1</v>
      </c>
      <c r="O339" s="344"/>
    </row>
    <row r="340" ht="15.75" customHeight="1">
      <c r="A340" s="335">
        <v>337.0</v>
      </c>
      <c r="B340" s="336">
        <v>337.0</v>
      </c>
      <c r="C340" s="337">
        <v>183.0</v>
      </c>
      <c r="D340" s="338" t="s">
        <v>5254</v>
      </c>
      <c r="E340" s="339" t="s">
        <v>156</v>
      </c>
      <c r="F340" s="340" t="s">
        <v>4974</v>
      </c>
      <c r="G340" s="341">
        <v>3273.4</v>
      </c>
      <c r="H340" s="342">
        <v>-40.2</v>
      </c>
      <c r="I340" s="342" t="s">
        <v>3537</v>
      </c>
      <c r="J340" s="342" t="s">
        <v>3537</v>
      </c>
      <c r="K340" s="342" t="s">
        <v>3537</v>
      </c>
      <c r="L340" s="342" t="s">
        <v>3537</v>
      </c>
      <c r="M340" s="346" t="s">
        <v>3537</v>
      </c>
      <c r="O340" s="344"/>
    </row>
    <row r="341" ht="15.75" customHeight="1">
      <c r="A341" s="335">
        <v>338.0</v>
      </c>
      <c r="B341" s="336">
        <v>338.0</v>
      </c>
      <c r="C341" s="337">
        <v>369.0</v>
      </c>
      <c r="D341" s="338" t="s">
        <v>5255</v>
      </c>
      <c r="E341" s="339" t="s">
        <v>156</v>
      </c>
      <c r="F341" s="340" t="s">
        <v>4970</v>
      </c>
      <c r="G341" s="341">
        <v>3255.4</v>
      </c>
      <c r="H341" s="342">
        <v>31.5</v>
      </c>
      <c r="I341" s="342">
        <v>96.0</v>
      </c>
      <c r="J341" s="342">
        <v>-45.5</v>
      </c>
      <c r="K341" s="342">
        <v>2.9</v>
      </c>
      <c r="L341" s="342">
        <v>19.2</v>
      </c>
      <c r="M341" s="346">
        <v>120.6</v>
      </c>
      <c r="O341" s="344"/>
    </row>
    <row r="342" ht="15.75" customHeight="1">
      <c r="A342" s="335">
        <v>339.0</v>
      </c>
      <c r="B342" s="336">
        <v>339.0</v>
      </c>
      <c r="C342" s="337">
        <v>370.0</v>
      </c>
      <c r="D342" s="338" t="s">
        <v>5256</v>
      </c>
      <c r="E342" s="339" t="s">
        <v>482</v>
      </c>
      <c r="F342" s="340" t="s">
        <v>4968</v>
      </c>
      <c r="G342" s="341">
        <v>3231.0</v>
      </c>
      <c r="H342" s="342" t="s">
        <v>3537</v>
      </c>
      <c r="I342" s="342" t="s">
        <v>3537</v>
      </c>
      <c r="J342" s="342" t="s">
        <v>3537</v>
      </c>
      <c r="K342" s="342" t="s">
        <v>3537</v>
      </c>
      <c r="L342" s="342" t="s">
        <v>3537</v>
      </c>
      <c r="M342" s="346" t="s">
        <v>3537</v>
      </c>
      <c r="O342" s="344"/>
    </row>
    <row r="343" ht="15.75" customHeight="1">
      <c r="A343" s="335">
        <v>340.0</v>
      </c>
      <c r="B343" s="336">
        <v>340.0</v>
      </c>
      <c r="C343" s="337">
        <v>324.0</v>
      </c>
      <c r="D343" s="338" t="s">
        <v>5257</v>
      </c>
      <c r="E343" s="339" t="s">
        <v>98</v>
      </c>
      <c r="F343" s="340" t="s">
        <v>5001</v>
      </c>
      <c r="G343" s="341">
        <v>3211.3</v>
      </c>
      <c r="H343" s="342">
        <v>12.2</v>
      </c>
      <c r="I343" s="342" t="s">
        <v>3537</v>
      </c>
      <c r="J343" s="342" t="s">
        <v>3537</v>
      </c>
      <c r="K343" s="342" t="s">
        <v>3537</v>
      </c>
      <c r="L343" s="342" t="s">
        <v>3537</v>
      </c>
      <c r="M343" s="346" t="s">
        <v>3537</v>
      </c>
      <c r="O343" s="344"/>
    </row>
    <row r="344" ht="15.75" customHeight="1">
      <c r="A344" s="335">
        <v>341.0</v>
      </c>
      <c r="B344" s="336">
        <v>341.0</v>
      </c>
      <c r="C344" s="337">
        <v>358.0</v>
      </c>
      <c r="D344" s="338" t="s">
        <v>5258</v>
      </c>
      <c r="E344" s="339" t="s">
        <v>349</v>
      </c>
      <c r="F344" s="340" t="s">
        <v>5055</v>
      </c>
      <c r="G344" s="341">
        <v>3198.6</v>
      </c>
      <c r="H344" s="342">
        <v>23.4</v>
      </c>
      <c r="I344" s="342">
        <v>29.7</v>
      </c>
      <c r="J344" s="342">
        <v>61.9</v>
      </c>
      <c r="K344" s="342">
        <v>0.9</v>
      </c>
      <c r="L344" s="342">
        <v>24.9</v>
      </c>
      <c r="M344" s="346">
        <v>152.8</v>
      </c>
      <c r="O344" s="344"/>
    </row>
    <row r="345" ht="15.75" customHeight="1">
      <c r="A345" s="335">
        <v>342.0</v>
      </c>
      <c r="B345" s="336">
        <v>342.0</v>
      </c>
      <c r="C345" s="337">
        <v>372.0</v>
      </c>
      <c r="D345" s="345" t="s">
        <v>1461</v>
      </c>
      <c r="E345" s="339" t="s">
        <v>332</v>
      </c>
      <c r="F345" s="340" t="s">
        <v>87</v>
      </c>
      <c r="G345" s="341">
        <v>3193.0</v>
      </c>
      <c r="H345" s="342">
        <v>30.0</v>
      </c>
      <c r="I345" s="342">
        <v>62.8</v>
      </c>
      <c r="J345" s="342">
        <v>-10.8</v>
      </c>
      <c r="K345" s="342">
        <v>2.0</v>
      </c>
      <c r="L345" s="342">
        <v>13.1</v>
      </c>
      <c r="M345" s="346">
        <v>107.6</v>
      </c>
      <c r="O345" s="344"/>
    </row>
    <row r="346" ht="15.75" customHeight="1">
      <c r="A346" s="335">
        <v>343.0</v>
      </c>
      <c r="B346" s="336">
        <v>343.0</v>
      </c>
      <c r="C346" s="337">
        <v>318.0</v>
      </c>
      <c r="D346" s="338" t="s">
        <v>5259</v>
      </c>
      <c r="E346" s="339" t="s">
        <v>482</v>
      </c>
      <c r="F346" s="340" t="s">
        <v>5047</v>
      </c>
      <c r="G346" s="341">
        <v>3189.2</v>
      </c>
      <c r="H346" s="342">
        <v>9.8</v>
      </c>
      <c r="I346" s="342">
        <v>-547.9</v>
      </c>
      <c r="J346" s="342">
        <v>-491.9</v>
      </c>
      <c r="K346" s="342">
        <v>-17.2</v>
      </c>
      <c r="L346" s="342">
        <v>-153.6</v>
      </c>
      <c r="M346" s="343">
        <v>-1065.9</v>
      </c>
      <c r="O346" s="344"/>
    </row>
    <row r="347" ht="15.75" customHeight="1">
      <c r="A347" s="335">
        <v>344.0</v>
      </c>
      <c r="B347" s="336">
        <v>344.0</v>
      </c>
      <c r="C347" s="337">
        <v>356.0</v>
      </c>
      <c r="D347" s="345" t="s">
        <v>5260</v>
      </c>
      <c r="E347" s="339" t="s">
        <v>332</v>
      </c>
      <c r="F347" s="340" t="s">
        <v>3256</v>
      </c>
      <c r="G347" s="341">
        <v>3157.3</v>
      </c>
      <c r="H347" s="342">
        <v>21.5</v>
      </c>
      <c r="I347" s="342">
        <v>249.0</v>
      </c>
      <c r="J347" s="342">
        <v>69.1</v>
      </c>
      <c r="K347" s="342">
        <v>7.9</v>
      </c>
      <c r="L347" s="342">
        <v>34.1</v>
      </c>
      <c r="M347" s="346">
        <v>254.8</v>
      </c>
      <c r="O347" s="344"/>
    </row>
    <row r="348" ht="15.75" customHeight="1">
      <c r="A348" s="335">
        <v>345.0</v>
      </c>
      <c r="B348" s="336">
        <v>345.0</v>
      </c>
      <c r="C348" s="337">
        <v>400.0</v>
      </c>
      <c r="D348" s="338" t="s">
        <v>5261</v>
      </c>
      <c r="E348" s="339" t="s">
        <v>482</v>
      </c>
      <c r="F348" s="340" t="s">
        <v>5028</v>
      </c>
      <c r="G348" s="341">
        <v>3149.0</v>
      </c>
      <c r="H348" s="342">
        <v>40.0</v>
      </c>
      <c r="I348" s="342">
        <v>-16.1</v>
      </c>
      <c r="J348" s="342">
        <v>-191.6</v>
      </c>
      <c r="K348" s="342">
        <v>-0.5</v>
      </c>
      <c r="L348" s="342">
        <v>-8.2</v>
      </c>
      <c r="M348" s="346">
        <v>93.4</v>
      </c>
      <c r="O348" s="344"/>
    </row>
    <row r="349" ht="15.75" customHeight="1">
      <c r="A349" s="335">
        <v>346.0</v>
      </c>
      <c r="B349" s="336">
        <v>346.0</v>
      </c>
      <c r="C349" s="337">
        <v>380.0</v>
      </c>
      <c r="D349" s="338" t="s">
        <v>5262</v>
      </c>
      <c r="E349" s="339" t="s">
        <v>349</v>
      </c>
      <c r="F349" s="340" t="s">
        <v>4970</v>
      </c>
      <c r="G349" s="341">
        <v>3139.0</v>
      </c>
      <c r="H349" s="342">
        <v>31.4</v>
      </c>
      <c r="I349" s="341">
        <v>1062.5</v>
      </c>
      <c r="J349" s="342">
        <v>65.3</v>
      </c>
      <c r="K349" s="342">
        <v>33.8</v>
      </c>
      <c r="L349" s="342">
        <v>39.3</v>
      </c>
      <c r="M349" s="343">
        <v>1126.1</v>
      </c>
      <c r="O349" s="344"/>
    </row>
    <row r="350" ht="15.75" customHeight="1">
      <c r="A350" s="335">
        <v>347.0</v>
      </c>
      <c r="B350" s="336">
        <v>347.0</v>
      </c>
      <c r="C350" s="337">
        <v>306.0</v>
      </c>
      <c r="D350" s="338" t="s">
        <v>5263</v>
      </c>
      <c r="E350" s="339" t="s">
        <v>1708</v>
      </c>
      <c r="F350" s="340" t="s">
        <v>4960</v>
      </c>
      <c r="G350" s="341">
        <v>3138.7</v>
      </c>
      <c r="H350" s="342">
        <v>3.4</v>
      </c>
      <c r="I350" s="342">
        <v>114.3</v>
      </c>
      <c r="J350" s="342">
        <v>-3.7</v>
      </c>
      <c r="K350" s="342">
        <v>3.6</v>
      </c>
      <c r="L350" s="342">
        <v>39.3</v>
      </c>
      <c r="M350" s="346">
        <v>125.5</v>
      </c>
      <c r="O350" s="344"/>
    </row>
    <row r="351" ht="15.75" customHeight="1">
      <c r="A351" s="335">
        <v>348.0</v>
      </c>
      <c r="B351" s="336">
        <v>348.0</v>
      </c>
      <c r="C351" s="337">
        <v>332.0</v>
      </c>
      <c r="D351" s="338" t="s">
        <v>5264</v>
      </c>
      <c r="E351" s="339" t="s">
        <v>1751</v>
      </c>
      <c r="F351" s="340" t="s">
        <v>4983</v>
      </c>
      <c r="G351" s="341">
        <v>3116.5</v>
      </c>
      <c r="H351" s="342">
        <v>12.0</v>
      </c>
      <c r="I351" s="342">
        <v>-104.2</v>
      </c>
      <c r="J351" s="342">
        <v>46.3</v>
      </c>
      <c r="K351" s="342">
        <v>-3.3</v>
      </c>
      <c r="L351" s="342">
        <v>-1.2</v>
      </c>
      <c r="M351" s="346">
        <v>677.7</v>
      </c>
      <c r="O351" s="344"/>
    </row>
    <row r="352" ht="15.75" customHeight="1">
      <c r="A352" s="335">
        <v>349.0</v>
      </c>
      <c r="B352" s="336">
        <v>349.0</v>
      </c>
      <c r="C352" s="337">
        <v>314.0</v>
      </c>
      <c r="D352" s="338" t="s">
        <v>5265</v>
      </c>
      <c r="E352" s="339" t="s">
        <v>482</v>
      </c>
      <c r="F352" s="340" t="s">
        <v>5055</v>
      </c>
      <c r="G352" s="341">
        <v>3111.8</v>
      </c>
      <c r="H352" s="342">
        <v>6.1</v>
      </c>
      <c r="I352" s="342">
        <v>46.3</v>
      </c>
      <c r="J352" s="342">
        <v>-57.6</v>
      </c>
      <c r="K352" s="342">
        <v>1.5</v>
      </c>
      <c r="L352" s="342">
        <v>14.6</v>
      </c>
      <c r="M352" s="346">
        <v>130.5</v>
      </c>
      <c r="O352" s="344"/>
    </row>
    <row r="353" ht="15.75" customHeight="1">
      <c r="A353" s="335">
        <v>350.0</v>
      </c>
      <c r="B353" s="336">
        <v>350.0</v>
      </c>
      <c r="C353" s="337">
        <v>291.0</v>
      </c>
      <c r="D353" s="338" t="s">
        <v>5266</v>
      </c>
      <c r="E353" s="339" t="s">
        <v>156</v>
      </c>
      <c r="F353" s="340" t="s">
        <v>5010</v>
      </c>
      <c r="G353" s="341">
        <v>3105.0</v>
      </c>
      <c r="H353" s="342">
        <v>-3.3</v>
      </c>
      <c r="I353" s="342">
        <v>71.8</v>
      </c>
      <c r="J353" s="342">
        <v>-84.4</v>
      </c>
      <c r="K353" s="342">
        <v>2.3</v>
      </c>
      <c r="L353" s="342">
        <v>4.0</v>
      </c>
      <c r="M353" s="346">
        <v>159.9</v>
      </c>
      <c r="O353" s="344"/>
    </row>
    <row r="354" ht="15.75" customHeight="1">
      <c r="A354" s="335">
        <v>351.0</v>
      </c>
      <c r="B354" s="336">
        <v>351.0</v>
      </c>
      <c r="C354" s="337">
        <v>320.0</v>
      </c>
      <c r="D354" s="338" t="s">
        <v>5267</v>
      </c>
      <c r="E354" s="339" t="s">
        <v>482</v>
      </c>
      <c r="F354" s="340" t="s">
        <v>4974</v>
      </c>
      <c r="G354" s="341">
        <v>3092.8</v>
      </c>
      <c r="H354" s="342">
        <v>7.1</v>
      </c>
      <c r="I354" s="342">
        <v>397.5</v>
      </c>
      <c r="J354" s="342">
        <v>-16.6</v>
      </c>
      <c r="K354" s="342">
        <v>12.9</v>
      </c>
      <c r="L354" s="342">
        <v>28.5</v>
      </c>
      <c r="M354" s="343">
        <v>1039.8</v>
      </c>
      <c r="O354" s="344"/>
    </row>
    <row r="355" ht="15.75" customHeight="1">
      <c r="A355" s="335">
        <v>352.0</v>
      </c>
      <c r="B355" s="336">
        <v>352.0</v>
      </c>
      <c r="C355" s="337" t="s">
        <v>3537</v>
      </c>
      <c r="D355" s="338" t="s">
        <v>5268</v>
      </c>
      <c r="E355" s="339" t="s">
        <v>332</v>
      </c>
      <c r="F355" s="340" t="s">
        <v>4974</v>
      </c>
      <c r="G355" s="341">
        <v>3092.2</v>
      </c>
      <c r="H355" s="342">
        <v>20.9</v>
      </c>
      <c r="I355" s="342">
        <v>597.9</v>
      </c>
      <c r="J355" s="342">
        <v>-10.2</v>
      </c>
      <c r="K355" s="342">
        <v>19.3</v>
      </c>
      <c r="L355" s="342">
        <v>23.5</v>
      </c>
      <c r="M355" s="346">
        <v>940.5</v>
      </c>
      <c r="O355" s="344"/>
    </row>
    <row r="356" ht="15.75" customHeight="1">
      <c r="A356" s="335">
        <v>353.0</v>
      </c>
      <c r="B356" s="336">
        <v>353.0</v>
      </c>
      <c r="C356" s="337">
        <v>381.0</v>
      </c>
      <c r="D356" s="338" t="s">
        <v>5269</v>
      </c>
      <c r="E356" s="339" t="s">
        <v>1755</v>
      </c>
      <c r="F356" s="340" t="s">
        <v>4983</v>
      </c>
      <c r="G356" s="341">
        <v>3080.9</v>
      </c>
      <c r="H356" s="342">
        <v>29.3</v>
      </c>
      <c r="I356" s="342">
        <v>17.2</v>
      </c>
      <c r="J356" s="342">
        <v>82.9</v>
      </c>
      <c r="K356" s="342">
        <v>0.6</v>
      </c>
      <c r="L356" s="342">
        <v>15.3</v>
      </c>
      <c r="M356" s="346">
        <v>22.8</v>
      </c>
      <c r="O356" s="344"/>
    </row>
    <row r="357" ht="15.75" customHeight="1">
      <c r="A357" s="335">
        <v>354.0</v>
      </c>
      <c r="B357" s="336">
        <v>354.0</v>
      </c>
      <c r="C357" s="337">
        <v>161.0</v>
      </c>
      <c r="D357" s="338" t="s">
        <v>5270</v>
      </c>
      <c r="E357" s="339" t="s">
        <v>1751</v>
      </c>
      <c r="F357" s="340" t="s">
        <v>5018</v>
      </c>
      <c r="G357" s="341">
        <v>3069.0</v>
      </c>
      <c r="H357" s="342">
        <v>-49.8</v>
      </c>
      <c r="I357" s="342">
        <v>1.1</v>
      </c>
      <c r="J357" s="342">
        <v>101.4</v>
      </c>
      <c r="K357" s="342">
        <v>0.0</v>
      </c>
      <c r="L357" s="342">
        <v>0.0</v>
      </c>
      <c r="M357" s="346">
        <v>-566.0</v>
      </c>
      <c r="O357" s="344"/>
    </row>
    <row r="358" ht="15.75" customHeight="1">
      <c r="A358" s="335">
        <v>355.0</v>
      </c>
      <c r="B358" s="336">
        <v>355.0</v>
      </c>
      <c r="C358" s="337">
        <v>394.0</v>
      </c>
      <c r="D358" s="338" t="s">
        <v>5271</v>
      </c>
      <c r="E358" s="339" t="s">
        <v>482</v>
      </c>
      <c r="F358" s="340" t="s">
        <v>4974</v>
      </c>
      <c r="G358" s="341">
        <v>3065.1</v>
      </c>
      <c r="H358" s="342">
        <v>33.7</v>
      </c>
      <c r="I358" s="342">
        <v>664.6</v>
      </c>
      <c r="J358" s="342">
        <v>63.1</v>
      </c>
      <c r="K358" s="342">
        <v>21.7</v>
      </c>
      <c r="L358" s="342">
        <v>34.8</v>
      </c>
      <c r="M358" s="346">
        <v>800.5</v>
      </c>
      <c r="O358" s="344"/>
    </row>
    <row r="359" ht="15.75" customHeight="1">
      <c r="A359" s="335">
        <v>356.0</v>
      </c>
      <c r="B359" s="336">
        <v>356.0</v>
      </c>
      <c r="C359" s="337">
        <v>362.0</v>
      </c>
      <c r="D359" s="338" t="s">
        <v>5272</v>
      </c>
      <c r="E359" s="339" t="s">
        <v>1755</v>
      </c>
      <c r="F359" s="340" t="s">
        <v>5018</v>
      </c>
      <c r="G359" s="341">
        <v>3059.8</v>
      </c>
      <c r="H359" s="342">
        <v>20.5</v>
      </c>
      <c r="I359" s="342">
        <v>69.7</v>
      </c>
      <c r="J359" s="342">
        <v>-71.8</v>
      </c>
      <c r="K359" s="342">
        <v>2.3</v>
      </c>
      <c r="L359" s="342">
        <v>0.9</v>
      </c>
      <c r="M359" s="346">
        <v>141.5</v>
      </c>
      <c r="O359" s="344"/>
    </row>
    <row r="360" ht="15.75" customHeight="1">
      <c r="A360" s="335">
        <v>357.0</v>
      </c>
      <c r="B360" s="336">
        <v>357.0</v>
      </c>
      <c r="C360" s="337">
        <v>364.0</v>
      </c>
      <c r="D360" s="338" t="s">
        <v>5273</v>
      </c>
      <c r="E360" s="339" t="s">
        <v>574</v>
      </c>
      <c r="F360" s="340" t="s">
        <v>5018</v>
      </c>
      <c r="G360" s="341">
        <v>3049.3</v>
      </c>
      <c r="H360" s="342">
        <v>19.4</v>
      </c>
      <c r="I360" s="342">
        <v>401.6</v>
      </c>
      <c r="J360" s="342">
        <v>14.0</v>
      </c>
      <c r="K360" s="342">
        <v>13.2</v>
      </c>
      <c r="L360" s="342">
        <v>11.4</v>
      </c>
      <c r="M360" s="346">
        <v>563.5</v>
      </c>
      <c r="O360" s="344"/>
    </row>
    <row r="361" ht="15.75" customHeight="1">
      <c r="A361" s="335">
        <v>358.0</v>
      </c>
      <c r="B361" s="336">
        <v>358.0</v>
      </c>
      <c r="C361" s="337">
        <v>333.0</v>
      </c>
      <c r="D361" s="345" t="s">
        <v>2536</v>
      </c>
      <c r="E361" s="339" t="s">
        <v>1708</v>
      </c>
      <c r="F361" s="340" t="s">
        <v>3754</v>
      </c>
      <c r="G361" s="341">
        <v>3044.3</v>
      </c>
      <c r="H361" s="342">
        <v>9.6</v>
      </c>
      <c r="I361" s="342">
        <v>185.1</v>
      </c>
      <c r="J361" s="342">
        <v>-51.4</v>
      </c>
      <c r="K361" s="342">
        <v>6.1</v>
      </c>
      <c r="L361" s="342">
        <v>15.1</v>
      </c>
      <c r="M361" s="346">
        <v>14.9</v>
      </c>
      <c r="O361" s="344"/>
    </row>
    <row r="362" ht="15.75" customHeight="1">
      <c r="A362" s="335">
        <v>359.0</v>
      </c>
      <c r="B362" s="336">
        <v>359.0</v>
      </c>
      <c r="C362" s="337">
        <v>347.0</v>
      </c>
      <c r="D362" s="347" t="s">
        <v>5274</v>
      </c>
      <c r="E362" s="339" t="s">
        <v>482</v>
      </c>
      <c r="F362" s="340" t="s">
        <v>3256</v>
      </c>
      <c r="G362" s="341">
        <v>3043.9</v>
      </c>
      <c r="H362" s="342">
        <v>13.8</v>
      </c>
      <c r="I362" s="342">
        <v>-815.2</v>
      </c>
      <c r="J362" s="342">
        <v>5.5</v>
      </c>
      <c r="K362" s="342">
        <v>-26.8</v>
      </c>
      <c r="L362" s="342">
        <v>-24.2</v>
      </c>
      <c r="M362" s="343">
        <v>-1058.9</v>
      </c>
      <c r="O362" s="344"/>
    </row>
    <row r="363" ht="15.75" customHeight="1">
      <c r="A363" s="335">
        <v>360.0</v>
      </c>
      <c r="B363" s="336">
        <v>360.0</v>
      </c>
      <c r="C363" s="337">
        <v>309.0</v>
      </c>
      <c r="D363" s="338" t="s">
        <v>5275</v>
      </c>
      <c r="E363" s="339" t="s">
        <v>156</v>
      </c>
      <c r="F363" s="340" t="s">
        <v>5010</v>
      </c>
      <c r="G363" s="341">
        <v>3042.9</v>
      </c>
      <c r="H363" s="342">
        <v>1.6</v>
      </c>
      <c r="I363" s="342">
        <v>61.1</v>
      </c>
      <c r="J363" s="342">
        <v>-97.6</v>
      </c>
      <c r="K363" s="342">
        <v>2.0</v>
      </c>
      <c r="L363" s="342">
        <v>1.3</v>
      </c>
      <c r="M363" s="346">
        <v>277.9</v>
      </c>
      <c r="O363" s="344"/>
    </row>
    <row r="364" ht="15.75" customHeight="1">
      <c r="A364" s="335">
        <v>361.0</v>
      </c>
      <c r="B364" s="336">
        <v>361.0</v>
      </c>
      <c r="C364" s="337">
        <v>349.0</v>
      </c>
      <c r="D364" s="345" t="s">
        <v>2384</v>
      </c>
      <c r="E364" s="339" t="s">
        <v>574</v>
      </c>
      <c r="F364" s="340" t="s">
        <v>3256</v>
      </c>
      <c r="G364" s="341">
        <v>3037.8</v>
      </c>
      <c r="H364" s="342">
        <v>14.2</v>
      </c>
      <c r="I364" s="342">
        <v>276.7</v>
      </c>
      <c r="J364" s="342">
        <v>-3.0</v>
      </c>
      <c r="K364" s="342">
        <v>9.1</v>
      </c>
      <c r="L364" s="342">
        <v>71.1</v>
      </c>
      <c r="M364" s="346">
        <v>346.9</v>
      </c>
      <c r="O364" s="344"/>
    </row>
    <row r="365" ht="15.75" customHeight="1">
      <c r="A365" s="335">
        <v>362.0</v>
      </c>
      <c r="B365" s="336">
        <v>362.0</v>
      </c>
      <c r="C365" s="337">
        <v>280.0</v>
      </c>
      <c r="D365" s="338" t="s">
        <v>5276</v>
      </c>
      <c r="E365" s="339" t="s">
        <v>332</v>
      </c>
      <c r="F365" s="340" t="s">
        <v>4963</v>
      </c>
      <c r="G365" s="341">
        <v>3025.5</v>
      </c>
      <c r="H365" s="342">
        <v>-10.7</v>
      </c>
      <c r="I365" s="342">
        <v>-651.1</v>
      </c>
      <c r="J365" s="342">
        <v>-245.7</v>
      </c>
      <c r="K365" s="342">
        <v>-21.5</v>
      </c>
      <c r="L365" s="342">
        <v>-22.7</v>
      </c>
      <c r="M365" s="346">
        <v>-9.9</v>
      </c>
      <c r="O365" s="344"/>
    </row>
    <row r="366" ht="15.75" customHeight="1">
      <c r="A366" s="335">
        <v>363.0</v>
      </c>
      <c r="B366" s="336">
        <v>363.0</v>
      </c>
      <c r="C366" s="337" t="s">
        <v>3537</v>
      </c>
      <c r="D366" s="338" t="s">
        <v>5277</v>
      </c>
      <c r="E366" s="339" t="s">
        <v>1708</v>
      </c>
      <c r="F366" s="340" t="s">
        <v>4999</v>
      </c>
      <c r="G366" s="341">
        <v>3008.2</v>
      </c>
      <c r="H366" s="342">
        <v>7.7</v>
      </c>
      <c r="I366" s="342">
        <v>92.7</v>
      </c>
      <c r="J366" s="342">
        <v>34.5</v>
      </c>
      <c r="K366" s="342">
        <v>3.1</v>
      </c>
      <c r="L366" s="342">
        <v>20.7</v>
      </c>
      <c r="M366" s="346">
        <v>142.4</v>
      </c>
      <c r="O366" s="344"/>
    </row>
    <row r="367" ht="15.75" customHeight="1">
      <c r="A367" s="335">
        <v>364.0</v>
      </c>
      <c r="B367" s="336">
        <v>364.0</v>
      </c>
      <c r="C367" s="337">
        <v>330.0</v>
      </c>
      <c r="D367" s="338" t="s">
        <v>5278</v>
      </c>
      <c r="E367" s="339" t="s">
        <v>1793</v>
      </c>
      <c r="F367" s="340" t="s">
        <v>4985</v>
      </c>
      <c r="G367" s="341">
        <v>3000.6</v>
      </c>
      <c r="H367" s="342">
        <v>7.6</v>
      </c>
      <c r="I367" s="342">
        <v>559.7</v>
      </c>
      <c r="J367" s="342">
        <v>61.9</v>
      </c>
      <c r="K367" s="342">
        <v>18.7</v>
      </c>
      <c r="L367" s="342">
        <v>28.8</v>
      </c>
      <c r="M367" s="346">
        <v>495.1</v>
      </c>
      <c r="O367" s="344"/>
    </row>
    <row r="368" ht="15.75" customHeight="1">
      <c r="A368" s="335">
        <v>365.0</v>
      </c>
      <c r="B368" s="336">
        <v>365.0</v>
      </c>
      <c r="C368" s="337">
        <v>382.0</v>
      </c>
      <c r="D368" s="345" t="s">
        <v>3933</v>
      </c>
      <c r="E368" s="339" t="s">
        <v>332</v>
      </c>
      <c r="F368" s="340" t="s">
        <v>3754</v>
      </c>
      <c r="G368" s="341">
        <v>2999.2</v>
      </c>
      <c r="H368" s="342">
        <v>26.5</v>
      </c>
      <c r="I368" s="342">
        <v>62.5</v>
      </c>
      <c r="J368" s="342">
        <v>-34.7</v>
      </c>
      <c r="K368" s="342">
        <v>2.1</v>
      </c>
      <c r="L368" s="342">
        <v>41.9</v>
      </c>
      <c r="M368" s="346">
        <v>130.0</v>
      </c>
      <c r="O368" s="344"/>
    </row>
    <row r="369" ht="15.75" customHeight="1">
      <c r="A369" s="335">
        <v>366.0</v>
      </c>
      <c r="B369" s="336">
        <v>366.0</v>
      </c>
      <c r="C369" s="337">
        <v>388.0</v>
      </c>
      <c r="D369" s="338" t="s">
        <v>5279</v>
      </c>
      <c r="E369" s="339" t="s">
        <v>1755</v>
      </c>
      <c r="F369" s="340" t="s">
        <v>4960</v>
      </c>
      <c r="G369" s="341">
        <v>2980.8</v>
      </c>
      <c r="H369" s="342">
        <v>26.5</v>
      </c>
      <c r="I369" s="342">
        <v>123.2</v>
      </c>
      <c r="J369" s="342">
        <v>160.2</v>
      </c>
      <c r="K369" s="342">
        <v>4.1</v>
      </c>
      <c r="L369" s="342">
        <v>38.1</v>
      </c>
      <c r="M369" s="346">
        <v>142.3</v>
      </c>
      <c r="O369" s="344"/>
    </row>
    <row r="370" ht="15.75" customHeight="1">
      <c r="A370" s="335">
        <v>367.0</v>
      </c>
      <c r="B370" s="336">
        <v>367.0</v>
      </c>
      <c r="C370" s="337">
        <v>687.0</v>
      </c>
      <c r="D370" s="338" t="s">
        <v>5280</v>
      </c>
      <c r="E370" s="339" t="s">
        <v>349</v>
      </c>
      <c r="F370" s="340" t="s">
        <v>4960</v>
      </c>
      <c r="G370" s="341">
        <v>2975.9</v>
      </c>
      <c r="H370" s="342">
        <v>186.0</v>
      </c>
      <c r="I370" s="341">
        <v>1153.4</v>
      </c>
      <c r="J370" s="342">
        <v>552.0</v>
      </c>
      <c r="K370" s="342">
        <v>38.8</v>
      </c>
      <c r="L370" s="342">
        <v>40.6</v>
      </c>
      <c r="M370" s="343">
        <v>1258.2</v>
      </c>
      <c r="O370" s="344"/>
    </row>
    <row r="371" ht="15.75" customHeight="1">
      <c r="A371" s="335">
        <v>368.0</v>
      </c>
      <c r="B371" s="336">
        <v>368.0</v>
      </c>
      <c r="C371" s="337">
        <v>411.0</v>
      </c>
      <c r="D371" s="338" t="s">
        <v>5281</v>
      </c>
      <c r="E371" s="339" t="s">
        <v>98</v>
      </c>
      <c r="F371" s="340" t="s">
        <v>4960</v>
      </c>
      <c r="G371" s="341">
        <v>2973.6</v>
      </c>
      <c r="H371" s="342">
        <v>37.0</v>
      </c>
      <c r="I371" s="342">
        <v>44.3</v>
      </c>
      <c r="J371" s="342">
        <v>33.4</v>
      </c>
      <c r="K371" s="342">
        <v>1.5</v>
      </c>
      <c r="L371" s="342">
        <v>15.3</v>
      </c>
      <c r="M371" s="346">
        <v>50.9</v>
      </c>
      <c r="O371" s="344"/>
    </row>
    <row r="372" ht="15.75" customHeight="1">
      <c r="A372" s="335">
        <v>369.0</v>
      </c>
      <c r="B372" s="336">
        <v>369.0</v>
      </c>
      <c r="C372" s="337">
        <v>322.0</v>
      </c>
      <c r="D372" s="338" t="s">
        <v>5282</v>
      </c>
      <c r="E372" s="339" t="s">
        <v>482</v>
      </c>
      <c r="F372" s="340" t="s">
        <v>5015</v>
      </c>
      <c r="G372" s="341">
        <v>2971.8</v>
      </c>
      <c r="H372" s="342">
        <v>3.6</v>
      </c>
      <c r="I372" s="342">
        <v>1.4</v>
      </c>
      <c r="J372" s="342">
        <v>105.5</v>
      </c>
      <c r="K372" s="342">
        <v>0.0</v>
      </c>
      <c r="L372" s="342">
        <v>0.1</v>
      </c>
      <c r="M372" s="346">
        <v>64.8</v>
      </c>
      <c r="O372" s="344"/>
    </row>
    <row r="373" ht="15.75" customHeight="1">
      <c r="A373" s="335">
        <v>370.0</v>
      </c>
      <c r="B373" s="336">
        <v>370.0</v>
      </c>
      <c r="C373" s="337">
        <v>425.0</v>
      </c>
      <c r="D373" s="338" t="s">
        <v>969</v>
      </c>
      <c r="E373" s="339" t="s">
        <v>156</v>
      </c>
      <c r="F373" s="340" t="s">
        <v>4968</v>
      </c>
      <c r="G373" s="341">
        <v>2954.1</v>
      </c>
      <c r="H373" s="342">
        <v>43.5</v>
      </c>
      <c r="I373" s="342">
        <v>468.8</v>
      </c>
      <c r="J373" s="342">
        <v>148.5</v>
      </c>
      <c r="K373" s="342">
        <v>15.9</v>
      </c>
      <c r="L373" s="342">
        <v>33.3</v>
      </c>
      <c r="M373" s="346">
        <v>772.8</v>
      </c>
      <c r="O373" s="344"/>
    </row>
    <row r="374" ht="15.75" customHeight="1">
      <c r="A374" s="335">
        <v>371.0</v>
      </c>
      <c r="B374" s="336">
        <v>371.0</v>
      </c>
      <c r="C374" s="337">
        <v>485.0</v>
      </c>
      <c r="D374" s="338" t="s">
        <v>5283</v>
      </c>
      <c r="E374" s="339" t="s">
        <v>482</v>
      </c>
      <c r="F374" s="340" t="s">
        <v>5028</v>
      </c>
      <c r="G374" s="341">
        <v>2930.4</v>
      </c>
      <c r="H374" s="342">
        <v>71.7</v>
      </c>
      <c r="I374" s="342">
        <v>-86.1</v>
      </c>
      <c r="J374" s="342">
        <v>86.4</v>
      </c>
      <c r="K374" s="342">
        <v>-2.9</v>
      </c>
      <c r="L374" s="342">
        <v>-2.0</v>
      </c>
      <c r="M374" s="346">
        <v>258.8</v>
      </c>
      <c r="O374" s="344"/>
    </row>
    <row r="375" ht="15.75" customHeight="1">
      <c r="A375" s="335">
        <v>372.0</v>
      </c>
      <c r="B375" s="336">
        <v>372.0</v>
      </c>
      <c r="C375" s="337">
        <v>494.0</v>
      </c>
      <c r="D375" s="338" t="s">
        <v>5284</v>
      </c>
      <c r="E375" s="339" t="s">
        <v>482</v>
      </c>
      <c r="F375" s="340" t="s">
        <v>4970</v>
      </c>
      <c r="G375" s="341">
        <v>2929.5</v>
      </c>
      <c r="H375" s="342">
        <v>75.3</v>
      </c>
      <c r="I375" s="342">
        <v>154.8</v>
      </c>
      <c r="J375" s="342">
        <v>-29.5</v>
      </c>
      <c r="K375" s="342">
        <v>5.3</v>
      </c>
      <c r="L375" s="342">
        <v>36.9</v>
      </c>
      <c r="M375" s="346">
        <v>360.2</v>
      </c>
      <c r="O375" s="344"/>
    </row>
    <row r="376" ht="15.75" customHeight="1">
      <c r="A376" s="335">
        <v>373.0</v>
      </c>
      <c r="B376" s="336">
        <v>373.0</v>
      </c>
      <c r="C376" s="337">
        <v>384.0</v>
      </c>
      <c r="D376" s="345" t="s">
        <v>2094</v>
      </c>
      <c r="E376" s="339" t="s">
        <v>1199</v>
      </c>
      <c r="F376" s="340" t="s">
        <v>3256</v>
      </c>
      <c r="G376" s="341">
        <v>2914.0</v>
      </c>
      <c r="H376" s="342">
        <v>23.2</v>
      </c>
      <c r="I376" s="342">
        <v>317.9</v>
      </c>
      <c r="J376" s="342">
        <v>136.7</v>
      </c>
      <c r="K376" s="342">
        <v>10.9</v>
      </c>
      <c r="L376" s="342">
        <v>50.0</v>
      </c>
      <c r="M376" s="346">
        <v>386.1</v>
      </c>
      <c r="O376" s="344"/>
    </row>
    <row r="377" ht="15.75" customHeight="1">
      <c r="A377" s="335">
        <v>374.0</v>
      </c>
      <c r="B377" s="336">
        <v>374.0</v>
      </c>
      <c r="C377" s="337">
        <v>357.0</v>
      </c>
      <c r="D377" s="338" t="s">
        <v>5285</v>
      </c>
      <c r="E377" s="339" t="s">
        <v>1199</v>
      </c>
      <c r="F377" s="340" t="s">
        <v>5050</v>
      </c>
      <c r="G377" s="341">
        <v>2908.2</v>
      </c>
      <c r="H377" s="342">
        <v>12.1</v>
      </c>
      <c r="I377" s="342">
        <v>125.1</v>
      </c>
      <c r="J377" s="342">
        <v>-22.6</v>
      </c>
      <c r="K377" s="342">
        <v>4.3</v>
      </c>
      <c r="L377" s="342">
        <v>8.8</v>
      </c>
      <c r="M377" s="346">
        <v>235.6</v>
      </c>
      <c r="O377" s="344"/>
    </row>
    <row r="378" ht="15.75" customHeight="1">
      <c r="A378" s="335">
        <v>375.0</v>
      </c>
      <c r="B378" s="336">
        <v>375.0</v>
      </c>
      <c r="C378" s="337">
        <v>387.0</v>
      </c>
      <c r="D378" s="338" t="s">
        <v>5286</v>
      </c>
      <c r="E378" s="339" t="s">
        <v>332</v>
      </c>
      <c r="F378" s="340" t="s">
        <v>4960</v>
      </c>
      <c r="G378" s="341">
        <v>2908.0</v>
      </c>
      <c r="H378" s="342">
        <v>23.4</v>
      </c>
      <c r="I378" s="342">
        <v>33.7</v>
      </c>
      <c r="J378" s="342">
        <v>417.2</v>
      </c>
      <c r="K378" s="342">
        <v>1.2</v>
      </c>
      <c r="L378" s="342">
        <v>103.0</v>
      </c>
      <c r="M378" s="346">
        <v>41.1</v>
      </c>
      <c r="O378" s="344"/>
    </row>
    <row r="379" ht="15.75" customHeight="1">
      <c r="A379" s="335">
        <v>376.0</v>
      </c>
      <c r="B379" s="336">
        <v>376.0</v>
      </c>
      <c r="C379" s="337">
        <v>336.0</v>
      </c>
      <c r="D379" s="338" t="s">
        <v>5287</v>
      </c>
      <c r="E379" s="339" t="s">
        <v>482</v>
      </c>
      <c r="F379" s="340" t="s">
        <v>5028</v>
      </c>
      <c r="G379" s="341">
        <v>2904.8</v>
      </c>
      <c r="H379" s="342">
        <v>5.4</v>
      </c>
      <c r="I379" s="342">
        <v>45.5</v>
      </c>
      <c r="J379" s="342">
        <v>-73.7</v>
      </c>
      <c r="K379" s="342">
        <v>1.6</v>
      </c>
      <c r="L379" s="342">
        <v>5.1</v>
      </c>
      <c r="M379" s="346">
        <v>179.0</v>
      </c>
      <c r="O379" s="344"/>
    </row>
    <row r="380" ht="15.75" customHeight="1">
      <c r="A380" s="335">
        <v>377.0</v>
      </c>
      <c r="B380" s="336">
        <v>377.0</v>
      </c>
      <c r="C380" s="337">
        <v>429.0</v>
      </c>
      <c r="D380" s="348" t="s">
        <v>5288</v>
      </c>
      <c r="E380" s="339" t="s">
        <v>98</v>
      </c>
      <c r="F380" s="340" t="s">
        <v>87</v>
      </c>
      <c r="G380" s="341">
        <v>2856.1</v>
      </c>
      <c r="H380" s="342">
        <v>40.1</v>
      </c>
      <c r="I380" s="342">
        <v>92.0</v>
      </c>
      <c r="J380" s="342">
        <v>225.2</v>
      </c>
      <c r="K380" s="342">
        <v>3.2</v>
      </c>
      <c r="L380" s="342">
        <v>13.2</v>
      </c>
      <c r="M380" s="346">
        <v>137.9</v>
      </c>
      <c r="O380" s="344"/>
    </row>
    <row r="381" ht="15.75" customHeight="1">
      <c r="A381" s="335">
        <v>378.0</v>
      </c>
      <c r="B381" s="336">
        <v>378.0</v>
      </c>
      <c r="C381" s="337">
        <v>389.0</v>
      </c>
      <c r="D381" s="347" t="s">
        <v>5289</v>
      </c>
      <c r="E381" s="339" t="s">
        <v>1075</v>
      </c>
      <c r="F381" s="340" t="s">
        <v>3754</v>
      </c>
      <c r="G381" s="341">
        <v>2852.5</v>
      </c>
      <c r="H381" s="342">
        <v>21.6</v>
      </c>
      <c r="I381" s="342">
        <v>255.2</v>
      </c>
      <c r="J381" s="342">
        <v>64.3</v>
      </c>
      <c r="K381" s="342">
        <v>8.9</v>
      </c>
      <c r="L381" s="342">
        <v>20.4</v>
      </c>
      <c r="M381" s="346">
        <v>143.6</v>
      </c>
      <c r="O381" s="344"/>
    </row>
    <row r="382" ht="15.75" customHeight="1">
      <c r="A382" s="335">
        <v>379.0</v>
      </c>
      <c r="B382" s="336">
        <v>379.0</v>
      </c>
      <c r="C382" s="337">
        <v>454.0</v>
      </c>
      <c r="D382" s="338" t="s">
        <v>5290</v>
      </c>
      <c r="E382" s="339" t="s">
        <v>482</v>
      </c>
      <c r="F382" s="340" t="s">
        <v>87</v>
      </c>
      <c r="G382" s="341">
        <v>2849.1</v>
      </c>
      <c r="H382" s="342">
        <v>51.2</v>
      </c>
      <c r="I382" s="342">
        <v>72.5</v>
      </c>
      <c r="J382" s="342">
        <v>45.7</v>
      </c>
      <c r="K382" s="342">
        <v>2.5</v>
      </c>
      <c r="L382" s="342">
        <v>23.6</v>
      </c>
      <c r="M382" s="346">
        <v>103.5</v>
      </c>
      <c r="O382" s="344"/>
    </row>
    <row r="383" ht="15.75" customHeight="1">
      <c r="A383" s="335">
        <v>380.0</v>
      </c>
      <c r="B383" s="336">
        <v>380.0</v>
      </c>
      <c r="C383" s="337" t="s">
        <v>3537</v>
      </c>
      <c r="D383" s="338" t="s">
        <v>5291</v>
      </c>
      <c r="E383" s="339" t="s">
        <v>482</v>
      </c>
      <c r="F383" s="340" t="s">
        <v>4983</v>
      </c>
      <c r="G383" s="341">
        <v>2845.1</v>
      </c>
      <c r="H383" s="342">
        <v>45.5</v>
      </c>
      <c r="I383" s="342">
        <v>320.1</v>
      </c>
      <c r="J383" s="342">
        <v>-24.6</v>
      </c>
      <c r="K383" s="342">
        <v>11.3</v>
      </c>
      <c r="L383" s="342">
        <v>6.7</v>
      </c>
      <c r="M383" s="346">
        <v>674.1</v>
      </c>
      <c r="O383" s="344"/>
    </row>
    <row r="384" ht="15.75" customHeight="1">
      <c r="A384" s="335">
        <v>381.0</v>
      </c>
      <c r="B384" s="336">
        <v>381.0</v>
      </c>
      <c r="C384" s="337">
        <v>419.0</v>
      </c>
      <c r="D384" s="345" t="s">
        <v>3032</v>
      </c>
      <c r="E384" s="339" t="s">
        <v>482</v>
      </c>
      <c r="F384" s="340" t="s">
        <v>3754</v>
      </c>
      <c r="G384" s="341">
        <v>2834.5</v>
      </c>
      <c r="H384" s="342">
        <v>35.1</v>
      </c>
      <c r="I384" s="342">
        <v>50.6</v>
      </c>
      <c r="J384" s="342">
        <v>-32.6</v>
      </c>
      <c r="K384" s="342">
        <v>1.8</v>
      </c>
      <c r="L384" s="342">
        <v>2.8</v>
      </c>
      <c r="M384" s="346">
        <v>135.9</v>
      </c>
      <c r="O384" s="344"/>
    </row>
    <row r="385" ht="15.75" customHeight="1">
      <c r="A385" s="335">
        <v>382.0</v>
      </c>
      <c r="B385" s="336">
        <v>382.0</v>
      </c>
      <c r="C385" s="337">
        <v>359.0</v>
      </c>
      <c r="D385" s="338" t="s">
        <v>5292</v>
      </c>
      <c r="E385" s="339" t="s">
        <v>332</v>
      </c>
      <c r="F385" s="340" t="s">
        <v>4985</v>
      </c>
      <c r="G385" s="341">
        <v>2798.9</v>
      </c>
      <c r="H385" s="342">
        <v>8.1</v>
      </c>
      <c r="I385" s="342">
        <v>51.4</v>
      </c>
      <c r="J385" s="342">
        <v>-77.6</v>
      </c>
      <c r="K385" s="342">
        <v>1.8</v>
      </c>
      <c r="L385" s="342">
        <v>3.2</v>
      </c>
      <c r="M385" s="346">
        <v>292.7</v>
      </c>
      <c r="O385" s="344"/>
    </row>
    <row r="386" ht="15.75" customHeight="1">
      <c r="A386" s="335">
        <v>383.0</v>
      </c>
      <c r="B386" s="336">
        <v>383.0</v>
      </c>
      <c r="C386" s="337">
        <v>363.0</v>
      </c>
      <c r="D386" s="338" t="s">
        <v>5293</v>
      </c>
      <c r="E386" s="339" t="s">
        <v>482</v>
      </c>
      <c r="F386" s="340" t="s">
        <v>5050</v>
      </c>
      <c r="G386" s="341">
        <v>2749.9</v>
      </c>
      <c r="H386" s="342">
        <v>9.2</v>
      </c>
      <c r="I386" s="342">
        <v>-391.0</v>
      </c>
      <c r="J386" s="342">
        <v>-320.2</v>
      </c>
      <c r="K386" s="342">
        <v>-14.2</v>
      </c>
      <c r="L386" s="342">
        <v>-52.0</v>
      </c>
      <c r="M386" s="346">
        <v>-192.8</v>
      </c>
      <c r="O386" s="344"/>
    </row>
    <row r="387" ht="15.75" customHeight="1">
      <c r="A387" s="335">
        <v>384.0</v>
      </c>
      <c r="B387" s="336">
        <v>384.0</v>
      </c>
      <c r="C387" s="337">
        <v>343.0</v>
      </c>
      <c r="D387" s="338" t="s">
        <v>5294</v>
      </c>
      <c r="E387" s="339" t="s">
        <v>482</v>
      </c>
      <c r="F387" s="340" t="s">
        <v>4993</v>
      </c>
      <c r="G387" s="341">
        <v>2749.7</v>
      </c>
      <c r="H387" s="342">
        <v>2.3</v>
      </c>
      <c r="I387" s="342" t="s">
        <v>3537</v>
      </c>
      <c r="J387" s="342" t="s">
        <v>3537</v>
      </c>
      <c r="K387" s="342" t="s">
        <v>3537</v>
      </c>
      <c r="L387" s="342" t="s">
        <v>3537</v>
      </c>
      <c r="M387" s="346" t="s">
        <v>3537</v>
      </c>
      <c r="O387" s="344"/>
    </row>
    <row r="388" ht="15.75" customHeight="1">
      <c r="A388" s="335">
        <v>385.0</v>
      </c>
      <c r="B388" s="336">
        <v>385.0</v>
      </c>
      <c r="C388" s="337">
        <v>396.0</v>
      </c>
      <c r="D388" s="338" t="s">
        <v>5295</v>
      </c>
      <c r="E388" s="339" t="s">
        <v>98</v>
      </c>
      <c r="F388" s="340" t="s">
        <v>5110</v>
      </c>
      <c r="G388" s="341">
        <v>2740.7</v>
      </c>
      <c r="H388" s="342">
        <v>20.2</v>
      </c>
      <c r="I388" s="342">
        <v>178.5</v>
      </c>
      <c r="J388" s="342">
        <v>-11.9</v>
      </c>
      <c r="K388" s="342">
        <v>6.5</v>
      </c>
      <c r="L388" s="342">
        <v>37.3</v>
      </c>
      <c r="M388" s="346">
        <v>326.0</v>
      </c>
      <c r="O388" s="344"/>
    </row>
    <row r="389" ht="15.75" customHeight="1">
      <c r="A389" s="335">
        <v>386.0</v>
      </c>
      <c r="B389" s="336">
        <v>386.0</v>
      </c>
      <c r="C389" s="337">
        <v>433.0</v>
      </c>
      <c r="D389" s="338" t="s">
        <v>5296</v>
      </c>
      <c r="E389" s="339" t="s">
        <v>332</v>
      </c>
      <c r="F389" s="340" t="s">
        <v>4963</v>
      </c>
      <c r="G389" s="341">
        <v>2734.6</v>
      </c>
      <c r="H389" s="342">
        <v>35.2</v>
      </c>
      <c r="I389" s="342">
        <v>293.7</v>
      </c>
      <c r="J389" s="342">
        <v>-63.3</v>
      </c>
      <c r="K389" s="342">
        <v>10.7</v>
      </c>
      <c r="L389" s="342">
        <v>16.1</v>
      </c>
      <c r="M389" s="346">
        <v>312.0</v>
      </c>
      <c r="O389" s="344"/>
    </row>
    <row r="390" ht="15.75" customHeight="1">
      <c r="A390" s="335">
        <v>387.0</v>
      </c>
      <c r="B390" s="336">
        <v>387.0</v>
      </c>
      <c r="C390" s="337">
        <v>395.0</v>
      </c>
      <c r="D390" s="347" t="s">
        <v>5297</v>
      </c>
      <c r="E390" s="339" t="s">
        <v>98</v>
      </c>
      <c r="F390" s="340" t="s">
        <v>3754</v>
      </c>
      <c r="G390" s="341">
        <v>2712.9</v>
      </c>
      <c r="H390" s="342">
        <v>18.5</v>
      </c>
      <c r="I390" s="342">
        <v>65.1</v>
      </c>
      <c r="J390" s="342">
        <v>25.7</v>
      </c>
      <c r="K390" s="342">
        <v>2.4</v>
      </c>
      <c r="L390" s="342">
        <v>28.0</v>
      </c>
      <c r="M390" s="346">
        <v>145.4</v>
      </c>
      <c r="O390" s="344"/>
    </row>
    <row r="391" ht="15.75" customHeight="1">
      <c r="A391" s="335">
        <v>388.0</v>
      </c>
      <c r="B391" s="336">
        <v>388.0</v>
      </c>
      <c r="C391" s="337">
        <v>374.0</v>
      </c>
      <c r="D391" s="338" t="s">
        <v>5298</v>
      </c>
      <c r="E391" s="339" t="s">
        <v>1075</v>
      </c>
      <c r="F391" s="340" t="s">
        <v>4970</v>
      </c>
      <c r="G391" s="341">
        <v>2709.9</v>
      </c>
      <c r="H391" s="342">
        <v>11.0</v>
      </c>
      <c r="I391" s="342">
        <v>83.8</v>
      </c>
      <c r="J391" s="342">
        <v>53.1</v>
      </c>
      <c r="K391" s="342">
        <v>3.1</v>
      </c>
      <c r="L391" s="342">
        <v>47.6</v>
      </c>
      <c r="M391" s="346">
        <v>181.4</v>
      </c>
      <c r="O391" s="344"/>
    </row>
    <row r="392" ht="15.75" customHeight="1">
      <c r="A392" s="335">
        <v>389.0</v>
      </c>
      <c r="B392" s="336">
        <v>389.0</v>
      </c>
      <c r="C392" s="337">
        <v>513.0</v>
      </c>
      <c r="D392" s="338" t="s">
        <v>5299</v>
      </c>
      <c r="E392" s="339" t="s">
        <v>332</v>
      </c>
      <c r="F392" s="340" t="s">
        <v>4970</v>
      </c>
      <c r="G392" s="341">
        <v>2708.1</v>
      </c>
      <c r="H392" s="342">
        <v>71.0</v>
      </c>
      <c r="I392" s="342">
        <v>549.5</v>
      </c>
      <c r="J392" s="342">
        <v>297.4</v>
      </c>
      <c r="K392" s="342">
        <v>20.3</v>
      </c>
      <c r="L392" s="342">
        <v>48.9</v>
      </c>
      <c r="M392" s="346">
        <v>722.7</v>
      </c>
      <c r="O392" s="344"/>
    </row>
    <row r="393" ht="15.75" customHeight="1">
      <c r="A393" s="335">
        <v>390.0</v>
      </c>
      <c r="B393" s="336">
        <v>390.0</v>
      </c>
      <c r="C393" s="337">
        <v>420.0</v>
      </c>
      <c r="D393" s="338" t="s">
        <v>5300</v>
      </c>
      <c r="E393" s="339" t="s">
        <v>1751</v>
      </c>
      <c r="F393" s="340" t="s">
        <v>4963</v>
      </c>
      <c r="G393" s="341">
        <v>2706.3</v>
      </c>
      <c r="H393" s="342">
        <v>29.6</v>
      </c>
      <c r="I393" s="342">
        <v>585.9</v>
      </c>
      <c r="J393" s="342">
        <v>112.8</v>
      </c>
      <c r="K393" s="342">
        <v>21.7</v>
      </c>
      <c r="L393" s="342">
        <v>17.9</v>
      </c>
      <c r="M393" s="346">
        <v>259.3</v>
      </c>
      <c r="O393" s="344"/>
    </row>
    <row r="394" ht="15.75" customHeight="1">
      <c r="A394" s="335">
        <v>391.0</v>
      </c>
      <c r="B394" s="336">
        <v>391.0</v>
      </c>
      <c r="C394" s="337" t="s">
        <v>3537</v>
      </c>
      <c r="D394" s="338" t="s">
        <v>5301</v>
      </c>
      <c r="E394" s="339" t="s">
        <v>332</v>
      </c>
      <c r="F394" s="340" t="s">
        <v>5183</v>
      </c>
      <c r="G394" s="341">
        <v>2685.0</v>
      </c>
      <c r="H394" s="342">
        <v>38.8</v>
      </c>
      <c r="I394" s="342">
        <v>-311.3</v>
      </c>
      <c r="J394" s="342">
        <v>50.7</v>
      </c>
      <c r="K394" s="342">
        <v>-11.6</v>
      </c>
      <c r="L394" s="342">
        <v>-575.0</v>
      </c>
      <c r="M394" s="346">
        <v>-7.6</v>
      </c>
      <c r="O394" s="344"/>
    </row>
    <row r="395" ht="15.75" customHeight="1">
      <c r="A395" s="335">
        <v>392.0</v>
      </c>
      <c r="B395" s="336">
        <v>392.0</v>
      </c>
      <c r="C395" s="337">
        <v>338.0</v>
      </c>
      <c r="D395" s="338" t="s">
        <v>5302</v>
      </c>
      <c r="E395" s="339" t="s">
        <v>1751</v>
      </c>
      <c r="F395" s="340" t="s">
        <v>4983</v>
      </c>
      <c r="G395" s="341">
        <v>2683.6</v>
      </c>
      <c r="H395" s="342">
        <v>-2.2</v>
      </c>
      <c r="I395" s="342">
        <v>731.1</v>
      </c>
      <c r="J395" s="342">
        <v>42.9</v>
      </c>
      <c r="K395" s="342">
        <v>27.2</v>
      </c>
      <c r="L395" s="342">
        <v>44.7</v>
      </c>
      <c r="M395" s="343">
        <v>1085.7</v>
      </c>
      <c r="O395" s="344"/>
    </row>
    <row r="396" ht="15.75" customHeight="1">
      <c r="A396" s="335">
        <v>393.0</v>
      </c>
      <c r="B396" s="336">
        <v>393.0</v>
      </c>
      <c r="C396" s="337">
        <v>376.0</v>
      </c>
      <c r="D396" s="338" t="s">
        <v>5303</v>
      </c>
      <c r="E396" s="339" t="s">
        <v>482</v>
      </c>
      <c r="F396" s="340" t="s">
        <v>4974</v>
      </c>
      <c r="G396" s="341">
        <v>2669.1</v>
      </c>
      <c r="H396" s="342">
        <v>9.6</v>
      </c>
      <c r="I396" s="342">
        <v>254.1</v>
      </c>
      <c r="J396" s="342">
        <v>1.0</v>
      </c>
      <c r="K396" s="342">
        <v>9.5</v>
      </c>
      <c r="L396" s="342">
        <v>14.5</v>
      </c>
      <c r="M396" s="346">
        <v>484.3</v>
      </c>
      <c r="O396" s="344"/>
    </row>
    <row r="397" ht="15.75" customHeight="1">
      <c r="A397" s="335">
        <v>394.0</v>
      </c>
      <c r="B397" s="336">
        <v>394.0</v>
      </c>
      <c r="C397" s="337">
        <v>366.0</v>
      </c>
      <c r="D397" s="347" t="s">
        <v>5304</v>
      </c>
      <c r="E397" s="339" t="s">
        <v>482</v>
      </c>
      <c r="F397" s="340" t="s">
        <v>3754</v>
      </c>
      <c r="G397" s="341">
        <v>2654.9</v>
      </c>
      <c r="H397" s="342">
        <v>6.0</v>
      </c>
      <c r="I397" s="342">
        <v>39.8</v>
      </c>
      <c r="J397" s="342">
        <v>167.4</v>
      </c>
      <c r="K397" s="342">
        <v>1.5</v>
      </c>
      <c r="L397" s="342">
        <v>6.8</v>
      </c>
      <c r="M397" s="346">
        <v>48.5</v>
      </c>
      <c r="O397" s="344"/>
    </row>
    <row r="398" ht="15.75" customHeight="1">
      <c r="A398" s="335">
        <v>395.0</v>
      </c>
      <c r="B398" s="336">
        <v>395.0</v>
      </c>
      <c r="C398" s="337">
        <v>383.0</v>
      </c>
      <c r="D398" s="345" t="s">
        <v>5305</v>
      </c>
      <c r="E398" s="339" t="s">
        <v>1751</v>
      </c>
      <c r="F398" s="340" t="s">
        <v>3754</v>
      </c>
      <c r="G398" s="341">
        <v>2634.2</v>
      </c>
      <c r="H398" s="342">
        <v>11.2</v>
      </c>
      <c r="I398" s="342">
        <v>91.3</v>
      </c>
      <c r="J398" s="342">
        <v>6.6</v>
      </c>
      <c r="K398" s="342">
        <v>3.5</v>
      </c>
      <c r="L398" s="342">
        <v>17.2</v>
      </c>
      <c r="M398" s="346">
        <v>66.5</v>
      </c>
      <c r="O398" s="344"/>
    </row>
    <row r="399" ht="15.75" customHeight="1">
      <c r="A399" s="335">
        <v>396.0</v>
      </c>
      <c r="B399" s="336">
        <v>396.0</v>
      </c>
      <c r="C399" s="337" t="s">
        <v>3537</v>
      </c>
      <c r="D399" s="347" t="s">
        <v>5306</v>
      </c>
      <c r="E399" s="339" t="s">
        <v>1075</v>
      </c>
      <c r="F399" s="340" t="s">
        <v>3754</v>
      </c>
      <c r="G399" s="341">
        <v>2621.5</v>
      </c>
      <c r="H399" s="342">
        <v>7.2</v>
      </c>
      <c r="I399" s="342">
        <v>53.8</v>
      </c>
      <c r="J399" s="342">
        <v>28.2</v>
      </c>
      <c r="K399" s="342">
        <v>2.1</v>
      </c>
      <c r="L399" s="342">
        <v>7.9</v>
      </c>
      <c r="M399" s="346">
        <v>0.6</v>
      </c>
      <c r="O399" s="344"/>
    </row>
    <row r="400" ht="15.75" customHeight="1">
      <c r="A400" s="335">
        <v>397.0</v>
      </c>
      <c r="B400" s="336">
        <v>397.0</v>
      </c>
      <c r="C400" s="337">
        <v>272.0</v>
      </c>
      <c r="D400" s="338" t="s">
        <v>5307</v>
      </c>
      <c r="E400" s="339" t="s">
        <v>1751</v>
      </c>
      <c r="F400" s="340" t="s">
        <v>4983</v>
      </c>
      <c r="G400" s="341">
        <v>2616.5</v>
      </c>
      <c r="H400" s="342">
        <v>-24.6</v>
      </c>
      <c r="I400" s="341">
        <v>1449.2</v>
      </c>
      <c r="J400" s="342">
        <v>-34.5</v>
      </c>
      <c r="K400" s="342">
        <v>55.4</v>
      </c>
      <c r="L400" s="342">
        <v>21.9</v>
      </c>
      <c r="M400" s="343">
        <v>1876.4</v>
      </c>
      <c r="O400" s="344"/>
    </row>
    <row r="401" ht="15.75" customHeight="1">
      <c r="A401" s="335">
        <v>398.0</v>
      </c>
      <c r="B401" s="336">
        <v>398.0</v>
      </c>
      <c r="C401" s="337">
        <v>402.0</v>
      </c>
      <c r="D401" s="345" t="s">
        <v>2591</v>
      </c>
      <c r="E401" s="339" t="s">
        <v>482</v>
      </c>
      <c r="F401" s="340" t="s">
        <v>3754</v>
      </c>
      <c r="G401" s="341">
        <v>2613.4</v>
      </c>
      <c r="H401" s="342">
        <v>18.0</v>
      </c>
      <c r="I401" s="342">
        <v>103.5</v>
      </c>
      <c r="J401" s="342">
        <v>32.3</v>
      </c>
      <c r="K401" s="342">
        <v>4.0</v>
      </c>
      <c r="L401" s="342">
        <v>47.1</v>
      </c>
      <c r="M401" s="346">
        <v>83.8</v>
      </c>
      <c r="O401" s="344"/>
    </row>
    <row r="402" ht="15.75" customHeight="1">
      <c r="A402" s="335">
        <v>399.0</v>
      </c>
      <c r="B402" s="336">
        <v>399.0</v>
      </c>
      <c r="C402" s="337" t="s">
        <v>3537</v>
      </c>
      <c r="D402" s="338" t="s">
        <v>5308</v>
      </c>
      <c r="E402" s="339" t="s">
        <v>156</v>
      </c>
      <c r="F402" s="340" t="s">
        <v>87</v>
      </c>
      <c r="G402" s="341">
        <v>2597.3</v>
      </c>
      <c r="H402" s="342">
        <v>141.6</v>
      </c>
      <c r="I402" s="342">
        <v>24.6</v>
      </c>
      <c r="J402" s="342">
        <v>-60.5</v>
      </c>
      <c r="K402" s="342">
        <v>0.9</v>
      </c>
      <c r="L402" s="342">
        <v>30.5</v>
      </c>
      <c r="M402" s="346">
        <v>85.8</v>
      </c>
      <c r="O402" s="344"/>
    </row>
    <row r="403" ht="15.75" customHeight="1">
      <c r="A403" s="335">
        <v>400.0</v>
      </c>
      <c r="B403" s="336">
        <v>400.0</v>
      </c>
      <c r="C403" s="337" t="s">
        <v>3537</v>
      </c>
      <c r="D403" s="338" t="s">
        <v>5309</v>
      </c>
      <c r="E403" s="339" t="s">
        <v>482</v>
      </c>
      <c r="F403" s="340" t="s">
        <v>5028</v>
      </c>
      <c r="G403" s="341">
        <v>2575.8</v>
      </c>
      <c r="H403" s="342">
        <v>135.7</v>
      </c>
      <c r="I403" s="342">
        <v>-697.0</v>
      </c>
      <c r="J403" s="342">
        <v>39.4</v>
      </c>
      <c r="K403" s="342">
        <v>-27.1</v>
      </c>
      <c r="L403" s="342">
        <v>-93.1</v>
      </c>
      <c r="M403" s="346">
        <v>-693.5</v>
      </c>
      <c r="O403" s="344"/>
    </row>
    <row r="404" ht="15.75" customHeight="1">
      <c r="A404" s="335">
        <v>401.0</v>
      </c>
      <c r="B404" s="336">
        <v>401.0</v>
      </c>
      <c r="C404" s="337">
        <v>398.0</v>
      </c>
      <c r="D404" s="347" t="s">
        <v>5310</v>
      </c>
      <c r="E404" s="339" t="s">
        <v>1075</v>
      </c>
      <c r="F404" s="340" t="s">
        <v>3754</v>
      </c>
      <c r="G404" s="341">
        <v>2575.7</v>
      </c>
      <c r="H404" s="342">
        <v>13.2</v>
      </c>
      <c r="I404" s="342">
        <v>66.7</v>
      </c>
      <c r="J404" s="342">
        <v>3.0</v>
      </c>
      <c r="K404" s="342">
        <v>2.6</v>
      </c>
      <c r="L404" s="342">
        <v>20.4</v>
      </c>
      <c r="M404" s="346">
        <v>123.4</v>
      </c>
      <c r="O404" s="344"/>
    </row>
    <row r="405" ht="15.75" customHeight="1">
      <c r="A405" s="335">
        <v>402.0</v>
      </c>
      <c r="B405" s="336">
        <v>402.0</v>
      </c>
      <c r="C405" s="337">
        <v>495.0</v>
      </c>
      <c r="D405" s="338" t="s">
        <v>5311</v>
      </c>
      <c r="E405" s="339" t="s">
        <v>1075</v>
      </c>
      <c r="F405" s="340" t="s">
        <v>4960</v>
      </c>
      <c r="G405" s="341">
        <v>2573.4</v>
      </c>
      <c r="H405" s="342">
        <v>55.2</v>
      </c>
      <c r="I405" s="342">
        <v>169.6</v>
      </c>
      <c r="J405" s="342">
        <v>4.2</v>
      </c>
      <c r="K405" s="342">
        <v>6.6</v>
      </c>
      <c r="L405" s="342">
        <v>30.5</v>
      </c>
      <c r="M405" s="346">
        <v>201.5</v>
      </c>
      <c r="O405" s="344"/>
    </row>
    <row r="406" ht="15.75" customHeight="1">
      <c r="A406" s="335">
        <v>403.0</v>
      </c>
      <c r="B406" s="336">
        <v>403.0</v>
      </c>
      <c r="C406" s="337">
        <v>447.0</v>
      </c>
      <c r="D406" s="338" t="s">
        <v>5312</v>
      </c>
      <c r="E406" s="339" t="s">
        <v>349</v>
      </c>
      <c r="F406" s="340" t="s">
        <v>4968</v>
      </c>
      <c r="G406" s="341">
        <v>2561.6</v>
      </c>
      <c r="H406" s="342">
        <v>33.2</v>
      </c>
      <c r="I406" s="342">
        <v>327.6</v>
      </c>
      <c r="J406" s="342">
        <v>-33.0</v>
      </c>
      <c r="K406" s="342">
        <v>12.8</v>
      </c>
      <c r="L406" s="342">
        <v>41.7</v>
      </c>
      <c r="M406" s="346">
        <v>649.9</v>
      </c>
      <c r="O406" s="344"/>
    </row>
    <row r="407" ht="15.75" customHeight="1">
      <c r="A407" s="335">
        <v>404.0</v>
      </c>
      <c r="B407" s="336">
        <v>404.0</v>
      </c>
      <c r="C407" s="337">
        <v>446.0</v>
      </c>
      <c r="D407" s="338" t="s">
        <v>5313</v>
      </c>
      <c r="E407" s="339" t="s">
        <v>156</v>
      </c>
      <c r="F407" s="340" t="s">
        <v>5012</v>
      </c>
      <c r="G407" s="341">
        <v>2554.4</v>
      </c>
      <c r="H407" s="342">
        <v>32.4</v>
      </c>
      <c r="I407" s="342">
        <v>6.7</v>
      </c>
      <c r="J407" s="342">
        <v>-52.4</v>
      </c>
      <c r="K407" s="342">
        <v>0.3</v>
      </c>
      <c r="L407" s="342">
        <v>8.0</v>
      </c>
      <c r="M407" s="346">
        <v>48.0</v>
      </c>
      <c r="O407" s="344"/>
    </row>
    <row r="408" ht="15.75" customHeight="1">
      <c r="A408" s="335">
        <v>405.0</v>
      </c>
      <c r="B408" s="336">
        <v>405.0</v>
      </c>
      <c r="C408" s="337">
        <v>328.0</v>
      </c>
      <c r="D408" s="338" t="s">
        <v>5314</v>
      </c>
      <c r="E408" s="339" t="s">
        <v>482</v>
      </c>
      <c r="F408" s="340" t="s">
        <v>5015</v>
      </c>
      <c r="G408" s="341">
        <v>2545.0</v>
      </c>
      <c r="H408" s="342">
        <v>-9.6</v>
      </c>
      <c r="I408" s="342">
        <v>-35.5</v>
      </c>
      <c r="J408" s="342">
        <v>-112.4</v>
      </c>
      <c r="K408" s="342">
        <v>-1.4</v>
      </c>
      <c r="L408" s="342">
        <v>-1.3</v>
      </c>
      <c r="M408" s="346">
        <v>-215.2</v>
      </c>
      <c r="O408" s="344"/>
    </row>
    <row r="409" ht="15.75" customHeight="1">
      <c r="A409" s="335">
        <v>406.0</v>
      </c>
      <c r="B409" s="336">
        <v>406.0</v>
      </c>
      <c r="C409" s="337">
        <v>339.0</v>
      </c>
      <c r="D409" s="338" t="s">
        <v>5315</v>
      </c>
      <c r="E409" s="339" t="s">
        <v>98</v>
      </c>
      <c r="F409" s="340" t="s">
        <v>4970</v>
      </c>
      <c r="G409" s="341">
        <v>2540.0</v>
      </c>
      <c r="H409" s="342">
        <v>-7.3</v>
      </c>
      <c r="I409" s="342">
        <v>520.0</v>
      </c>
      <c r="J409" s="342">
        <v>-18.1</v>
      </c>
      <c r="K409" s="342">
        <v>20.5</v>
      </c>
      <c r="L409" s="342">
        <v>58.4</v>
      </c>
      <c r="M409" s="346">
        <v>710.2</v>
      </c>
      <c r="O409" s="344"/>
    </row>
    <row r="410" ht="15.75" customHeight="1">
      <c r="A410" s="335">
        <v>407.0</v>
      </c>
      <c r="B410" s="336">
        <v>407.0</v>
      </c>
      <c r="C410" s="337">
        <v>456.0</v>
      </c>
      <c r="D410" s="338" t="s">
        <v>5316</v>
      </c>
      <c r="E410" s="339" t="s">
        <v>482</v>
      </c>
      <c r="F410" s="340" t="s">
        <v>5050</v>
      </c>
      <c r="G410" s="341">
        <v>2536.9</v>
      </c>
      <c r="H410" s="342">
        <v>35.9</v>
      </c>
      <c r="I410" s="342">
        <v>469.9</v>
      </c>
      <c r="J410" s="342">
        <v>49.7</v>
      </c>
      <c r="K410" s="342">
        <v>18.5</v>
      </c>
      <c r="L410" s="342">
        <v>30.6</v>
      </c>
      <c r="M410" s="346">
        <v>363.7</v>
      </c>
      <c r="O410" s="344"/>
    </row>
    <row r="411" ht="15.75" customHeight="1">
      <c r="A411" s="335">
        <v>408.0</v>
      </c>
      <c r="B411" s="336">
        <v>408.0</v>
      </c>
      <c r="C411" s="337">
        <v>442.0</v>
      </c>
      <c r="D411" s="338" t="s">
        <v>5317</v>
      </c>
      <c r="E411" s="339" t="s">
        <v>482</v>
      </c>
      <c r="F411" s="340" t="s">
        <v>4970</v>
      </c>
      <c r="G411" s="341">
        <v>2536.0</v>
      </c>
      <c r="H411" s="342">
        <v>30.0</v>
      </c>
      <c r="I411" s="342">
        <v>24.2</v>
      </c>
      <c r="J411" s="342">
        <v>-57.4</v>
      </c>
      <c r="K411" s="342">
        <v>1.0</v>
      </c>
      <c r="L411" s="342">
        <v>4.9</v>
      </c>
      <c r="M411" s="346">
        <v>147.2</v>
      </c>
      <c r="O411" s="344"/>
    </row>
    <row r="412" ht="15.75" customHeight="1">
      <c r="A412" s="335">
        <v>409.0</v>
      </c>
      <c r="B412" s="336">
        <v>409.0</v>
      </c>
      <c r="C412" s="337">
        <v>307.0</v>
      </c>
      <c r="D412" s="338" t="s">
        <v>5318</v>
      </c>
      <c r="E412" s="339" t="s">
        <v>482</v>
      </c>
      <c r="F412" s="340" t="s">
        <v>5055</v>
      </c>
      <c r="G412" s="341">
        <v>2514.9</v>
      </c>
      <c r="H412" s="342">
        <v>-17.1</v>
      </c>
      <c r="I412" s="342">
        <v>42.2</v>
      </c>
      <c r="J412" s="342">
        <v>-37.0</v>
      </c>
      <c r="K412" s="342">
        <v>1.7</v>
      </c>
      <c r="L412" s="342">
        <v>10.3</v>
      </c>
      <c r="M412" s="346">
        <v>131.4</v>
      </c>
      <c r="O412" s="344"/>
    </row>
    <row r="413" ht="15.75" customHeight="1">
      <c r="A413" s="335">
        <v>410.0</v>
      </c>
      <c r="B413" s="336">
        <v>410.0</v>
      </c>
      <c r="C413" s="337">
        <v>391.0</v>
      </c>
      <c r="D413" s="338" t="s">
        <v>5319</v>
      </c>
      <c r="E413" s="339" t="s">
        <v>1199</v>
      </c>
      <c r="F413" s="340" t="s">
        <v>5050</v>
      </c>
      <c r="G413" s="341">
        <v>2512.7</v>
      </c>
      <c r="H413" s="342">
        <v>7.3</v>
      </c>
      <c r="I413" s="342">
        <v>568.0</v>
      </c>
      <c r="J413" s="342">
        <v>-5.5</v>
      </c>
      <c r="K413" s="342">
        <v>22.6</v>
      </c>
      <c r="L413" s="342">
        <v>13.4</v>
      </c>
      <c r="M413" s="346">
        <v>239.3</v>
      </c>
      <c r="O413" s="344"/>
    </row>
    <row r="414" ht="15.75" customHeight="1">
      <c r="A414" s="335">
        <v>411.0</v>
      </c>
      <c r="B414" s="336">
        <v>411.0</v>
      </c>
      <c r="C414" s="337">
        <v>373.0</v>
      </c>
      <c r="D414" s="338" t="s">
        <v>5320</v>
      </c>
      <c r="E414" s="339" t="s">
        <v>482</v>
      </c>
      <c r="F414" s="340" t="s">
        <v>5010</v>
      </c>
      <c r="G414" s="341">
        <v>2510.6</v>
      </c>
      <c r="H414" s="342">
        <v>2.5</v>
      </c>
      <c r="I414" s="342">
        <v>257.5</v>
      </c>
      <c r="J414" s="342">
        <v>-39.8</v>
      </c>
      <c r="K414" s="342">
        <v>10.3</v>
      </c>
      <c r="L414" s="342">
        <v>13.2</v>
      </c>
      <c r="M414" s="346">
        <v>381.9</v>
      </c>
      <c r="O414" s="344"/>
    </row>
    <row r="415" ht="15.75" customHeight="1">
      <c r="A415" s="335">
        <v>412.0</v>
      </c>
      <c r="B415" s="336">
        <v>412.0</v>
      </c>
      <c r="C415" s="337">
        <v>505.0</v>
      </c>
      <c r="D415" s="338" t="s">
        <v>5321</v>
      </c>
      <c r="E415" s="339" t="s">
        <v>482</v>
      </c>
      <c r="F415" s="340" t="s">
        <v>5012</v>
      </c>
      <c r="G415" s="341">
        <v>2494.5</v>
      </c>
      <c r="H415" s="342">
        <v>54.1</v>
      </c>
      <c r="I415" s="342">
        <v>201.0</v>
      </c>
      <c r="J415" s="342">
        <v>732.0</v>
      </c>
      <c r="K415" s="342">
        <v>8.1</v>
      </c>
      <c r="L415" s="342">
        <v>42.6</v>
      </c>
      <c r="M415" s="346">
        <v>302.1</v>
      </c>
      <c r="O415" s="344"/>
    </row>
    <row r="416" ht="15.75" customHeight="1">
      <c r="A416" s="335">
        <v>413.0</v>
      </c>
      <c r="B416" s="336">
        <v>413.0</v>
      </c>
      <c r="C416" s="337">
        <v>527.0</v>
      </c>
      <c r="D416" s="347" t="s">
        <v>5322</v>
      </c>
      <c r="E416" s="339" t="s">
        <v>482</v>
      </c>
      <c r="F416" s="340" t="s">
        <v>3256</v>
      </c>
      <c r="G416" s="341">
        <v>2490.2</v>
      </c>
      <c r="H416" s="342">
        <v>63.1</v>
      </c>
      <c r="I416" s="342">
        <v>-189.8</v>
      </c>
      <c r="J416" s="342">
        <v>9.3</v>
      </c>
      <c r="K416" s="342">
        <v>-7.6</v>
      </c>
      <c r="L416" s="342">
        <v>-13.4</v>
      </c>
      <c r="M416" s="346">
        <v>-82.8</v>
      </c>
      <c r="O416" s="344"/>
    </row>
    <row r="417" ht="15.75" customHeight="1">
      <c r="A417" s="335">
        <v>414.0</v>
      </c>
      <c r="B417" s="336">
        <v>414.0</v>
      </c>
      <c r="C417" s="337">
        <v>416.0</v>
      </c>
      <c r="D417" s="338" t="s">
        <v>5323</v>
      </c>
      <c r="E417" s="339" t="s">
        <v>482</v>
      </c>
      <c r="F417" s="340" t="s">
        <v>4983</v>
      </c>
      <c r="G417" s="341">
        <v>2485.7</v>
      </c>
      <c r="H417" s="342">
        <v>17.3</v>
      </c>
      <c r="I417" s="342">
        <v>88.5</v>
      </c>
      <c r="J417" s="341">
        <v>1565.5</v>
      </c>
      <c r="K417" s="342">
        <v>3.6</v>
      </c>
      <c r="L417" s="342">
        <v>14.9</v>
      </c>
      <c r="M417" s="346">
        <v>160.9</v>
      </c>
      <c r="O417" s="344"/>
    </row>
    <row r="418" ht="15.75" customHeight="1">
      <c r="A418" s="335">
        <v>415.0</v>
      </c>
      <c r="B418" s="336">
        <v>415.0</v>
      </c>
      <c r="C418" s="337">
        <v>355.0</v>
      </c>
      <c r="D418" s="338" t="s">
        <v>5324</v>
      </c>
      <c r="E418" s="339" t="s">
        <v>574</v>
      </c>
      <c r="F418" s="340" t="s">
        <v>4974</v>
      </c>
      <c r="G418" s="341">
        <v>2476.6</v>
      </c>
      <c r="H418" s="342">
        <v>-5.6</v>
      </c>
      <c r="I418" s="342">
        <v>242.8</v>
      </c>
      <c r="J418" s="342">
        <v>-52.7</v>
      </c>
      <c r="K418" s="342">
        <v>9.8</v>
      </c>
      <c r="L418" s="342">
        <v>19.8</v>
      </c>
      <c r="M418" s="346">
        <v>434.4</v>
      </c>
      <c r="O418" s="344"/>
    </row>
    <row r="419" ht="15.75" customHeight="1">
      <c r="A419" s="335">
        <v>416.0</v>
      </c>
      <c r="B419" s="336">
        <v>416.0</v>
      </c>
      <c r="C419" s="337">
        <v>375.0</v>
      </c>
      <c r="D419" s="338" t="s">
        <v>5325</v>
      </c>
      <c r="E419" s="339" t="s">
        <v>1199</v>
      </c>
      <c r="F419" s="340" t="s">
        <v>5001</v>
      </c>
      <c r="G419" s="341">
        <v>2468.9</v>
      </c>
      <c r="H419" s="342">
        <v>-0.7</v>
      </c>
      <c r="I419" s="342">
        <v>-92.7</v>
      </c>
      <c r="J419" s="342">
        <v>-234.0</v>
      </c>
      <c r="K419" s="342">
        <v>-3.8</v>
      </c>
      <c r="L419" s="342">
        <v>-9.8</v>
      </c>
      <c r="M419" s="346">
        <v>181.7</v>
      </c>
      <c r="O419" s="344"/>
    </row>
    <row r="420" ht="15.75" customHeight="1">
      <c r="A420" s="335">
        <v>417.0</v>
      </c>
      <c r="B420" s="336">
        <v>417.0</v>
      </c>
      <c r="C420" s="337" t="s">
        <v>3537</v>
      </c>
      <c r="D420" s="338" t="s">
        <v>5326</v>
      </c>
      <c r="E420" s="339" t="s">
        <v>1751</v>
      </c>
      <c r="F420" s="340" t="s">
        <v>4960</v>
      </c>
      <c r="G420" s="341">
        <v>2467.0</v>
      </c>
      <c r="H420" s="342">
        <v>37.0</v>
      </c>
      <c r="I420" s="342">
        <v>558.0</v>
      </c>
      <c r="J420" s="342">
        <v>254.9</v>
      </c>
      <c r="K420" s="342">
        <v>22.6</v>
      </c>
      <c r="L420" s="342">
        <v>36.5</v>
      </c>
      <c r="M420" s="346">
        <v>927.9</v>
      </c>
      <c r="O420" s="344"/>
    </row>
    <row r="421" ht="15.75" customHeight="1">
      <c r="A421" s="335">
        <v>418.0</v>
      </c>
      <c r="B421" s="336">
        <v>418.0</v>
      </c>
      <c r="C421" s="337">
        <v>500.0</v>
      </c>
      <c r="D421" s="338" t="s">
        <v>5327</v>
      </c>
      <c r="E421" s="339" t="s">
        <v>1751</v>
      </c>
      <c r="F421" s="340" t="s">
        <v>5012</v>
      </c>
      <c r="G421" s="341">
        <v>2461.9</v>
      </c>
      <c r="H421" s="342">
        <v>50.6</v>
      </c>
      <c r="I421" s="342">
        <v>-235.9</v>
      </c>
      <c r="J421" s="342">
        <v>79.2</v>
      </c>
      <c r="K421" s="342">
        <v>-9.6</v>
      </c>
      <c r="L421" s="342" t="s">
        <v>5021</v>
      </c>
      <c r="M421" s="346">
        <v>562.1</v>
      </c>
      <c r="O421" s="344"/>
    </row>
    <row r="422" ht="15.75" customHeight="1">
      <c r="A422" s="335">
        <v>419.0</v>
      </c>
      <c r="B422" s="336">
        <v>419.0</v>
      </c>
      <c r="C422" s="337">
        <v>507.0</v>
      </c>
      <c r="D422" s="345" t="s">
        <v>1762</v>
      </c>
      <c r="E422" s="339" t="s">
        <v>482</v>
      </c>
      <c r="F422" s="340" t="s">
        <v>3256</v>
      </c>
      <c r="G422" s="341">
        <v>2457.8</v>
      </c>
      <c r="H422" s="342">
        <v>52.5</v>
      </c>
      <c r="I422" s="342">
        <v>231.1</v>
      </c>
      <c r="J422" s="342">
        <v>158.2</v>
      </c>
      <c r="K422" s="342">
        <v>9.4</v>
      </c>
      <c r="L422" s="342">
        <v>82.1</v>
      </c>
      <c r="M422" s="346">
        <v>271.7</v>
      </c>
      <c r="O422" s="344"/>
    </row>
    <row r="423" ht="15.75" customHeight="1">
      <c r="A423" s="335">
        <v>420.0</v>
      </c>
      <c r="B423" s="336">
        <v>420.0</v>
      </c>
      <c r="C423" s="337">
        <v>474.0</v>
      </c>
      <c r="D423" s="338" t="s">
        <v>5328</v>
      </c>
      <c r="E423" s="339" t="s">
        <v>332</v>
      </c>
      <c r="F423" s="340" t="s">
        <v>4983</v>
      </c>
      <c r="G423" s="341">
        <v>2434.0</v>
      </c>
      <c r="H423" s="342">
        <v>37.5</v>
      </c>
      <c r="I423" s="342">
        <v>3.0</v>
      </c>
      <c r="J423" s="342">
        <v>-99.0</v>
      </c>
      <c r="K423" s="342">
        <v>0.1</v>
      </c>
      <c r="L423" s="342">
        <v>0.1</v>
      </c>
      <c r="M423" s="346">
        <v>564.5</v>
      </c>
      <c r="O423" s="344"/>
    </row>
    <row r="424" ht="15.75" customHeight="1">
      <c r="A424" s="335">
        <v>421.0</v>
      </c>
      <c r="B424" s="336">
        <v>421.0</v>
      </c>
      <c r="C424" s="337" t="s">
        <v>3537</v>
      </c>
      <c r="D424" s="338" t="s">
        <v>5329</v>
      </c>
      <c r="E424" s="339" t="s">
        <v>1075</v>
      </c>
      <c r="F424" s="340" t="s">
        <v>4970</v>
      </c>
      <c r="G424" s="341">
        <v>2431.1</v>
      </c>
      <c r="H424" s="342">
        <v>8.4</v>
      </c>
      <c r="I424" s="342">
        <v>46.8</v>
      </c>
      <c r="J424" s="342">
        <v>-38.1</v>
      </c>
      <c r="K424" s="342">
        <v>1.9</v>
      </c>
      <c r="L424" s="342">
        <v>32.3</v>
      </c>
      <c r="M424" s="346">
        <v>76.2</v>
      </c>
      <c r="O424" s="344"/>
    </row>
    <row r="425" ht="15.75" customHeight="1">
      <c r="A425" s="335">
        <v>422.0</v>
      </c>
      <c r="B425" s="336">
        <v>422.0</v>
      </c>
      <c r="C425" s="337">
        <v>444.0</v>
      </c>
      <c r="D425" s="338" t="s">
        <v>5330</v>
      </c>
      <c r="E425" s="339" t="s">
        <v>156</v>
      </c>
      <c r="F425" s="340" t="s">
        <v>87</v>
      </c>
      <c r="G425" s="341">
        <v>2430.2</v>
      </c>
      <c r="H425" s="342">
        <v>24.0</v>
      </c>
      <c r="I425" s="342">
        <v>157.8</v>
      </c>
      <c r="J425" s="342">
        <v>66.5</v>
      </c>
      <c r="K425" s="342">
        <v>6.5</v>
      </c>
      <c r="L425" s="342">
        <v>34.2</v>
      </c>
      <c r="M425" s="346">
        <v>-209.6</v>
      </c>
      <c r="O425" s="344"/>
    </row>
    <row r="426" ht="15.75" customHeight="1">
      <c r="A426" s="335">
        <v>423.0</v>
      </c>
      <c r="B426" s="336">
        <v>423.0</v>
      </c>
      <c r="C426" s="337">
        <v>434.0</v>
      </c>
      <c r="D426" s="338" t="s">
        <v>5331</v>
      </c>
      <c r="E426" s="339" t="s">
        <v>482</v>
      </c>
      <c r="F426" s="340" t="s">
        <v>5055</v>
      </c>
      <c r="G426" s="341">
        <v>2423.4</v>
      </c>
      <c r="H426" s="342">
        <v>20.1</v>
      </c>
      <c r="I426" s="342">
        <v>46.2</v>
      </c>
      <c r="J426" s="342">
        <v>-41.2</v>
      </c>
      <c r="K426" s="342">
        <v>1.9</v>
      </c>
      <c r="L426" s="342">
        <v>8.5</v>
      </c>
      <c r="M426" s="346">
        <v>149.0</v>
      </c>
      <c r="O426" s="344"/>
    </row>
    <row r="427" ht="15.75" customHeight="1">
      <c r="A427" s="335">
        <v>424.0</v>
      </c>
      <c r="B427" s="336">
        <v>424.0</v>
      </c>
      <c r="C427" s="337">
        <v>463.0</v>
      </c>
      <c r="D427" s="338" t="s">
        <v>5332</v>
      </c>
      <c r="E427" s="339" t="s">
        <v>274</v>
      </c>
      <c r="F427" s="340" t="s">
        <v>87</v>
      </c>
      <c r="G427" s="341">
        <v>2422.7</v>
      </c>
      <c r="H427" s="342">
        <v>32.8</v>
      </c>
      <c r="I427" s="342">
        <v>228.9</v>
      </c>
      <c r="J427" s="342">
        <v>-57.9</v>
      </c>
      <c r="K427" s="342">
        <v>9.4</v>
      </c>
      <c r="L427" s="342">
        <v>15.0</v>
      </c>
      <c r="M427" s="346">
        <v>288.9</v>
      </c>
      <c r="O427" s="344"/>
    </row>
    <row r="428" ht="15.75" customHeight="1">
      <c r="A428" s="335">
        <v>425.0</v>
      </c>
      <c r="B428" s="336">
        <v>425.0</v>
      </c>
      <c r="C428" s="337">
        <v>361.0</v>
      </c>
      <c r="D428" s="338" t="s">
        <v>5333</v>
      </c>
      <c r="E428" s="339" t="s">
        <v>482</v>
      </c>
      <c r="F428" s="340" t="s">
        <v>5122</v>
      </c>
      <c r="G428" s="341">
        <v>2412.6</v>
      </c>
      <c r="H428" s="342">
        <v>-5.0</v>
      </c>
      <c r="I428" s="342">
        <v>-555.7</v>
      </c>
      <c r="J428" s="342">
        <v>-182.7</v>
      </c>
      <c r="K428" s="342">
        <v>-23.0</v>
      </c>
      <c r="L428" s="342">
        <v>-57.6</v>
      </c>
      <c r="M428" s="346">
        <v>-308.4</v>
      </c>
      <c r="O428" s="344"/>
    </row>
    <row r="429" ht="15.75" customHeight="1">
      <c r="A429" s="335">
        <v>426.0</v>
      </c>
      <c r="B429" s="336">
        <v>426.0</v>
      </c>
      <c r="C429" s="337">
        <v>392.0</v>
      </c>
      <c r="D429" s="338" t="s">
        <v>5334</v>
      </c>
      <c r="E429" s="339" t="s">
        <v>482</v>
      </c>
      <c r="F429" s="340" t="s">
        <v>5018</v>
      </c>
      <c r="G429" s="341">
        <v>2389.4</v>
      </c>
      <c r="H429" s="342">
        <v>3.0</v>
      </c>
      <c r="I429" s="342">
        <v>-34.5</v>
      </c>
      <c r="J429" s="342">
        <v>-142.9</v>
      </c>
      <c r="K429" s="342">
        <v>-1.4</v>
      </c>
      <c r="L429" s="342">
        <v>-2.8</v>
      </c>
      <c r="M429" s="346">
        <v>157.8</v>
      </c>
      <c r="O429" s="344"/>
    </row>
    <row r="430" ht="15.75" customHeight="1">
      <c r="A430" s="335">
        <v>427.0</v>
      </c>
      <c r="B430" s="336">
        <v>427.0</v>
      </c>
      <c r="C430" s="337" t="s">
        <v>3537</v>
      </c>
      <c r="D430" s="338" t="s">
        <v>5335</v>
      </c>
      <c r="E430" s="339" t="s">
        <v>3433</v>
      </c>
      <c r="F430" s="340" t="s">
        <v>5055</v>
      </c>
      <c r="G430" s="341">
        <v>2379.3</v>
      </c>
      <c r="H430" s="342">
        <v>88.5</v>
      </c>
      <c r="I430" s="342">
        <v>121.5</v>
      </c>
      <c r="J430" s="342">
        <v>-30.0</v>
      </c>
      <c r="K430" s="342">
        <v>5.1</v>
      </c>
      <c r="L430" s="342">
        <v>20.7</v>
      </c>
      <c r="M430" s="346">
        <v>18.4</v>
      </c>
      <c r="O430" s="344"/>
    </row>
    <row r="431" ht="15.75" customHeight="1">
      <c r="A431" s="335">
        <v>428.0</v>
      </c>
      <c r="B431" s="336">
        <v>428.0</v>
      </c>
      <c r="C431" s="337">
        <v>334.0</v>
      </c>
      <c r="D431" s="338" t="s">
        <v>5336</v>
      </c>
      <c r="E431" s="339" t="s">
        <v>482</v>
      </c>
      <c r="F431" s="340" t="s">
        <v>5012</v>
      </c>
      <c r="G431" s="341">
        <v>2370.3</v>
      </c>
      <c r="H431" s="342">
        <v>-14.4</v>
      </c>
      <c r="I431" s="342">
        <v>-432.8</v>
      </c>
      <c r="J431" s="342">
        <v>7.8</v>
      </c>
      <c r="K431" s="342">
        <v>-18.3</v>
      </c>
      <c r="L431" s="342">
        <v>-4.4</v>
      </c>
      <c r="M431" s="346">
        <v>-291.1</v>
      </c>
      <c r="O431" s="344"/>
    </row>
    <row r="432" ht="15.75" customHeight="1">
      <c r="A432" s="335">
        <v>429.0</v>
      </c>
      <c r="B432" s="336">
        <v>429.0</v>
      </c>
      <c r="C432" s="337">
        <v>302.0</v>
      </c>
      <c r="D432" s="338" t="s">
        <v>5337</v>
      </c>
      <c r="E432" s="339" t="s">
        <v>1751</v>
      </c>
      <c r="F432" s="340" t="s">
        <v>4960</v>
      </c>
      <c r="G432" s="341">
        <v>2370.0</v>
      </c>
      <c r="H432" s="342">
        <v>-23.1</v>
      </c>
      <c r="I432" s="342" t="s">
        <v>3537</v>
      </c>
      <c r="J432" s="342" t="s">
        <v>3537</v>
      </c>
      <c r="K432" s="342" t="s">
        <v>3537</v>
      </c>
      <c r="L432" s="342" t="s">
        <v>3537</v>
      </c>
      <c r="M432" s="346" t="s">
        <v>3537</v>
      </c>
      <c r="O432" s="344"/>
    </row>
    <row r="433" ht="15.75" customHeight="1">
      <c r="A433" s="335">
        <v>430.0</v>
      </c>
      <c r="B433" s="336">
        <v>430.0</v>
      </c>
      <c r="C433" s="337">
        <v>426.0</v>
      </c>
      <c r="D433" s="347" t="s">
        <v>5338</v>
      </c>
      <c r="E433" s="339" t="s">
        <v>482</v>
      </c>
      <c r="F433" s="340" t="s">
        <v>3754</v>
      </c>
      <c r="G433" s="341">
        <v>2369.4</v>
      </c>
      <c r="H433" s="342">
        <v>15.3</v>
      </c>
      <c r="I433" s="342">
        <v>95.2</v>
      </c>
      <c r="J433" s="342">
        <v>92.4</v>
      </c>
      <c r="K433" s="342">
        <v>4.0</v>
      </c>
      <c r="L433" s="342">
        <v>104.4</v>
      </c>
      <c r="M433" s="346">
        <v>252.4</v>
      </c>
      <c r="O433" s="344"/>
    </row>
    <row r="434" ht="15.75" customHeight="1">
      <c r="A434" s="335">
        <v>431.0</v>
      </c>
      <c r="B434" s="336">
        <v>431.0</v>
      </c>
      <c r="C434" s="337">
        <v>407.0</v>
      </c>
      <c r="D434" s="338" t="s">
        <v>5339</v>
      </c>
      <c r="E434" s="339" t="s">
        <v>482</v>
      </c>
      <c r="F434" s="340" t="s">
        <v>5015</v>
      </c>
      <c r="G434" s="341">
        <v>2367.4</v>
      </c>
      <c r="H434" s="342">
        <v>12.1</v>
      </c>
      <c r="I434" s="342">
        <v>42.4</v>
      </c>
      <c r="J434" s="342">
        <v>-51.1</v>
      </c>
      <c r="K434" s="342">
        <v>1.8</v>
      </c>
      <c r="L434" s="342">
        <v>3.9</v>
      </c>
      <c r="M434" s="346">
        <v>-27.5</v>
      </c>
      <c r="O434" s="344"/>
    </row>
    <row r="435" ht="15.75" customHeight="1">
      <c r="A435" s="335">
        <v>432.0</v>
      </c>
      <c r="B435" s="336">
        <v>432.0</v>
      </c>
      <c r="C435" s="337">
        <v>440.0</v>
      </c>
      <c r="D435" s="338" t="s">
        <v>5340</v>
      </c>
      <c r="E435" s="339" t="s">
        <v>1751</v>
      </c>
      <c r="F435" s="340" t="s">
        <v>5028</v>
      </c>
      <c r="G435" s="341">
        <v>2362.6</v>
      </c>
      <c r="H435" s="342">
        <v>19.0</v>
      </c>
      <c r="I435" s="342">
        <v>-142.8</v>
      </c>
      <c r="J435" s="341">
        <v>-3326.5</v>
      </c>
      <c r="K435" s="342">
        <v>-6.0</v>
      </c>
      <c r="L435" s="342" t="s">
        <v>5021</v>
      </c>
      <c r="M435" s="346">
        <v>-208.8</v>
      </c>
      <c r="O435" s="344"/>
    </row>
    <row r="436" ht="15.75" customHeight="1">
      <c r="A436" s="335">
        <v>433.0</v>
      </c>
      <c r="B436" s="336">
        <v>433.0</v>
      </c>
      <c r="C436" s="337">
        <v>431.0</v>
      </c>
      <c r="D436" s="338" t="s">
        <v>5341</v>
      </c>
      <c r="E436" s="339" t="s">
        <v>574</v>
      </c>
      <c r="F436" s="340" t="s">
        <v>87</v>
      </c>
      <c r="G436" s="341">
        <v>2358.6</v>
      </c>
      <c r="H436" s="342">
        <v>16.3</v>
      </c>
      <c r="I436" s="342">
        <v>256.6</v>
      </c>
      <c r="J436" s="342">
        <v>27.7</v>
      </c>
      <c r="K436" s="342">
        <v>10.9</v>
      </c>
      <c r="L436" s="342">
        <v>22.3</v>
      </c>
      <c r="M436" s="346">
        <v>237.1</v>
      </c>
      <c r="O436" s="344"/>
    </row>
    <row r="437" ht="15.75" customHeight="1">
      <c r="A437" s="335">
        <v>434.0</v>
      </c>
      <c r="B437" s="336">
        <v>434.0</v>
      </c>
      <c r="C437" s="337">
        <v>477.0</v>
      </c>
      <c r="D437" s="338" t="s">
        <v>5342</v>
      </c>
      <c r="E437" s="339" t="s">
        <v>1199</v>
      </c>
      <c r="F437" s="340" t="s">
        <v>5018</v>
      </c>
      <c r="G437" s="341">
        <v>2348.9</v>
      </c>
      <c r="H437" s="342">
        <v>34.6</v>
      </c>
      <c r="I437" s="342">
        <v>198.0</v>
      </c>
      <c r="J437" s="342">
        <v>27.1</v>
      </c>
      <c r="K437" s="342">
        <v>8.4</v>
      </c>
      <c r="L437" s="342">
        <v>7.3</v>
      </c>
      <c r="M437" s="346">
        <v>265.0</v>
      </c>
      <c r="O437" s="344"/>
    </row>
    <row r="438" ht="15.75" customHeight="1">
      <c r="A438" s="335">
        <v>435.0</v>
      </c>
      <c r="B438" s="336">
        <v>435.0</v>
      </c>
      <c r="C438" s="337">
        <v>410.0</v>
      </c>
      <c r="D438" s="338" t="s">
        <v>5343</v>
      </c>
      <c r="E438" s="339" t="s">
        <v>482</v>
      </c>
      <c r="F438" s="340" t="s">
        <v>4993</v>
      </c>
      <c r="G438" s="341">
        <v>2342.4</v>
      </c>
      <c r="H438" s="342">
        <v>7.8</v>
      </c>
      <c r="I438" s="342">
        <v>294.2</v>
      </c>
      <c r="J438" s="342">
        <v>9.6</v>
      </c>
      <c r="K438" s="342">
        <v>12.6</v>
      </c>
      <c r="L438" s="342">
        <v>16.6</v>
      </c>
      <c r="M438" s="346">
        <v>352.3</v>
      </c>
      <c r="O438" s="344"/>
    </row>
    <row r="439" ht="15.75" customHeight="1">
      <c r="A439" s="335">
        <v>436.0</v>
      </c>
      <c r="B439" s="336">
        <v>436.0</v>
      </c>
      <c r="C439" s="337">
        <v>422.0</v>
      </c>
      <c r="D439" s="338" t="s">
        <v>5344</v>
      </c>
      <c r="E439" s="339" t="s">
        <v>546</v>
      </c>
      <c r="F439" s="340" t="s">
        <v>4963</v>
      </c>
      <c r="G439" s="341">
        <v>2342.0</v>
      </c>
      <c r="H439" s="342">
        <v>12.8</v>
      </c>
      <c r="I439" s="342">
        <v>699.8</v>
      </c>
      <c r="J439" s="342">
        <v>39.3</v>
      </c>
      <c r="K439" s="342">
        <v>29.9</v>
      </c>
      <c r="L439" s="342">
        <v>20.4</v>
      </c>
      <c r="M439" s="346">
        <v>779.1</v>
      </c>
      <c r="O439" s="344"/>
    </row>
    <row r="440" ht="15.75" customHeight="1">
      <c r="A440" s="335">
        <v>437.0</v>
      </c>
      <c r="B440" s="336">
        <v>437.0</v>
      </c>
      <c r="C440" s="337" t="s">
        <v>3537</v>
      </c>
      <c r="D440" s="338" t="s">
        <v>5345</v>
      </c>
      <c r="E440" s="339" t="s">
        <v>482</v>
      </c>
      <c r="F440" s="340" t="s">
        <v>5055</v>
      </c>
      <c r="G440" s="341">
        <v>2335.9</v>
      </c>
      <c r="H440" s="342">
        <v>11.3</v>
      </c>
      <c r="I440" s="342">
        <v>115.9</v>
      </c>
      <c r="J440" s="342">
        <v>-21.1</v>
      </c>
      <c r="K440" s="342">
        <v>5.0</v>
      </c>
      <c r="L440" s="342">
        <v>16.2</v>
      </c>
      <c r="M440" s="346">
        <v>145.9</v>
      </c>
      <c r="O440" s="344"/>
    </row>
    <row r="441" ht="15.75" customHeight="1">
      <c r="A441" s="335">
        <v>438.0</v>
      </c>
      <c r="B441" s="336">
        <v>438.0</v>
      </c>
      <c r="C441" s="337">
        <v>435.0</v>
      </c>
      <c r="D441" s="347" t="s">
        <v>5346</v>
      </c>
      <c r="E441" s="339" t="s">
        <v>482</v>
      </c>
      <c r="F441" s="340" t="s">
        <v>3754</v>
      </c>
      <c r="G441" s="341">
        <v>2331.2</v>
      </c>
      <c r="H441" s="342">
        <v>15.6</v>
      </c>
      <c r="I441" s="342">
        <v>34.5</v>
      </c>
      <c r="J441" s="342">
        <v>67.1</v>
      </c>
      <c r="K441" s="342">
        <v>1.5</v>
      </c>
      <c r="L441" s="342">
        <v>14.2</v>
      </c>
      <c r="M441" s="346">
        <v>111.9</v>
      </c>
      <c r="O441" s="344"/>
    </row>
    <row r="442" ht="15.75" customHeight="1">
      <c r="A442" s="335">
        <v>439.0</v>
      </c>
      <c r="B442" s="336">
        <v>439.0</v>
      </c>
      <c r="C442" s="337">
        <v>348.0</v>
      </c>
      <c r="D442" s="338" t="s">
        <v>5347</v>
      </c>
      <c r="E442" s="339" t="s">
        <v>98</v>
      </c>
      <c r="F442" s="340" t="s">
        <v>4970</v>
      </c>
      <c r="G442" s="341">
        <v>2331.1</v>
      </c>
      <c r="H442" s="342">
        <v>-12.6</v>
      </c>
      <c r="I442" s="342">
        <v>55.7</v>
      </c>
      <c r="J442" s="342">
        <v>-81.0</v>
      </c>
      <c r="K442" s="342">
        <v>2.4</v>
      </c>
      <c r="L442" s="342">
        <v>6.6</v>
      </c>
      <c r="M442" s="346">
        <v>50.9</v>
      </c>
      <c r="O442" s="344"/>
    </row>
    <row r="443" ht="15.75" customHeight="1">
      <c r="A443" s="335">
        <v>440.0</v>
      </c>
      <c r="B443" s="336">
        <v>440.0</v>
      </c>
      <c r="C443" s="337">
        <v>483.0</v>
      </c>
      <c r="D443" s="338" t="s">
        <v>5348</v>
      </c>
      <c r="E443" s="339" t="s">
        <v>332</v>
      </c>
      <c r="F443" s="340" t="s">
        <v>5172</v>
      </c>
      <c r="G443" s="341">
        <v>2329.1</v>
      </c>
      <c r="H443" s="342">
        <v>35.5</v>
      </c>
      <c r="I443" s="342">
        <v>458.1</v>
      </c>
      <c r="J443" s="342">
        <v>47.8</v>
      </c>
      <c r="K443" s="342">
        <v>19.7</v>
      </c>
      <c r="L443" s="342">
        <v>11.7</v>
      </c>
      <c r="M443" s="346">
        <v>674.6</v>
      </c>
      <c r="O443" s="344"/>
    </row>
    <row r="444" ht="15.75" customHeight="1">
      <c r="A444" s="335">
        <v>441.0</v>
      </c>
      <c r="B444" s="336">
        <v>441.0</v>
      </c>
      <c r="C444" s="337">
        <v>473.0</v>
      </c>
      <c r="D444" s="347" t="s">
        <v>5349</v>
      </c>
      <c r="E444" s="339" t="s">
        <v>156</v>
      </c>
      <c r="F444" s="340" t="s">
        <v>3754</v>
      </c>
      <c r="G444" s="341">
        <v>2319.6</v>
      </c>
      <c r="H444" s="342">
        <v>31.1</v>
      </c>
      <c r="I444" s="342">
        <v>226.8</v>
      </c>
      <c r="J444" s="342">
        <v>37.3</v>
      </c>
      <c r="K444" s="342">
        <v>9.8</v>
      </c>
      <c r="L444" s="342">
        <v>67.4</v>
      </c>
      <c r="M444" s="346">
        <v>257.4</v>
      </c>
      <c r="O444" s="344"/>
    </row>
    <row r="445" ht="15.75" customHeight="1">
      <c r="A445" s="335">
        <v>442.0</v>
      </c>
      <c r="B445" s="336">
        <v>442.0</v>
      </c>
      <c r="C445" s="337">
        <v>397.0</v>
      </c>
      <c r="D445" s="338" t="s">
        <v>5350</v>
      </c>
      <c r="E445" s="339" t="s">
        <v>482</v>
      </c>
      <c r="F445" s="340" t="s">
        <v>5122</v>
      </c>
      <c r="G445" s="341">
        <v>2317.9</v>
      </c>
      <c r="H445" s="342">
        <v>1.9</v>
      </c>
      <c r="I445" s="342">
        <v>195.0</v>
      </c>
      <c r="J445" s="342">
        <v>-31.9</v>
      </c>
      <c r="K445" s="342">
        <v>8.4</v>
      </c>
      <c r="L445" s="342">
        <v>7.3</v>
      </c>
      <c r="M445" s="346">
        <v>128.8</v>
      </c>
      <c r="O445" s="344"/>
    </row>
    <row r="446" ht="15.75" customHeight="1">
      <c r="A446" s="335">
        <v>443.0</v>
      </c>
      <c r="B446" s="336">
        <v>443.0</v>
      </c>
      <c r="C446" s="337">
        <v>430.0</v>
      </c>
      <c r="D446" s="345" t="s">
        <v>2894</v>
      </c>
      <c r="E446" s="339" t="s">
        <v>98</v>
      </c>
      <c r="F446" s="340" t="s">
        <v>3754</v>
      </c>
      <c r="G446" s="341">
        <v>2312.7</v>
      </c>
      <c r="H446" s="342">
        <v>13.7</v>
      </c>
      <c r="I446" s="342">
        <v>-18.7</v>
      </c>
      <c r="J446" s="342">
        <v>-127.4</v>
      </c>
      <c r="K446" s="342">
        <v>-0.8</v>
      </c>
      <c r="L446" s="342">
        <v>-3.5</v>
      </c>
      <c r="M446" s="346">
        <v>66.7</v>
      </c>
      <c r="O446" s="344"/>
    </row>
    <row r="447" ht="15.75" customHeight="1">
      <c r="A447" s="335">
        <v>444.0</v>
      </c>
      <c r="B447" s="336">
        <v>444.0</v>
      </c>
      <c r="C447" s="337">
        <v>466.0</v>
      </c>
      <c r="D447" s="338" t="s">
        <v>5351</v>
      </c>
      <c r="E447" s="339" t="s">
        <v>482</v>
      </c>
      <c r="F447" s="340" t="s">
        <v>5028</v>
      </c>
      <c r="G447" s="341">
        <v>2308.6</v>
      </c>
      <c r="H447" s="342">
        <v>27.6</v>
      </c>
      <c r="I447" s="342">
        <v>83.5</v>
      </c>
      <c r="J447" s="342">
        <v>185.7</v>
      </c>
      <c r="K447" s="342">
        <v>3.6</v>
      </c>
      <c r="L447" s="342">
        <v>42.6</v>
      </c>
      <c r="M447" s="346">
        <v>66.2</v>
      </c>
      <c r="O447" s="344"/>
    </row>
    <row r="448" ht="15.75" customHeight="1">
      <c r="A448" s="335">
        <v>445.0</v>
      </c>
      <c r="B448" s="336">
        <v>445.0</v>
      </c>
      <c r="C448" s="337">
        <v>414.0</v>
      </c>
      <c r="D448" s="338" t="s">
        <v>5352</v>
      </c>
      <c r="E448" s="339" t="s">
        <v>482</v>
      </c>
      <c r="F448" s="340" t="s">
        <v>5001</v>
      </c>
      <c r="G448" s="341">
        <v>2304.4</v>
      </c>
      <c r="H448" s="342">
        <v>7.4</v>
      </c>
      <c r="I448" s="342" t="s">
        <v>3537</v>
      </c>
      <c r="J448" s="342" t="s">
        <v>3537</v>
      </c>
      <c r="K448" s="342" t="s">
        <v>3537</v>
      </c>
      <c r="L448" s="342" t="s">
        <v>3537</v>
      </c>
      <c r="M448" s="346" t="s">
        <v>3537</v>
      </c>
      <c r="O448" s="344"/>
    </row>
    <row r="449" ht="15.75" customHeight="1">
      <c r="A449" s="335">
        <v>446.0</v>
      </c>
      <c r="B449" s="336">
        <v>446.0</v>
      </c>
      <c r="C449" s="337">
        <v>535.0</v>
      </c>
      <c r="D449" s="345" t="s">
        <v>1768</v>
      </c>
      <c r="E449" s="339" t="s">
        <v>332</v>
      </c>
      <c r="F449" s="340" t="s">
        <v>3256</v>
      </c>
      <c r="G449" s="341">
        <v>2298.4</v>
      </c>
      <c r="H449" s="342">
        <v>54.5</v>
      </c>
      <c r="I449" s="342">
        <v>242.0</v>
      </c>
      <c r="J449" s="342">
        <v>11.4</v>
      </c>
      <c r="K449" s="342">
        <v>10.5</v>
      </c>
      <c r="L449" s="342">
        <v>31.2</v>
      </c>
      <c r="M449" s="346">
        <v>380.3</v>
      </c>
      <c r="O449" s="344"/>
    </row>
    <row r="450" ht="15.75" customHeight="1">
      <c r="A450" s="335">
        <v>447.0</v>
      </c>
      <c r="B450" s="336">
        <v>447.0</v>
      </c>
      <c r="C450" s="337">
        <v>385.0</v>
      </c>
      <c r="D450" s="338" t="s">
        <v>5353</v>
      </c>
      <c r="E450" s="339" t="s">
        <v>98</v>
      </c>
      <c r="F450" s="340" t="s">
        <v>87</v>
      </c>
      <c r="G450" s="341">
        <v>2286.1</v>
      </c>
      <c r="H450" s="342">
        <v>-3.3</v>
      </c>
      <c r="I450" s="342">
        <v>87.0</v>
      </c>
      <c r="J450" s="342">
        <v>21.1</v>
      </c>
      <c r="K450" s="342">
        <v>3.8</v>
      </c>
      <c r="L450" s="342">
        <v>14.6</v>
      </c>
      <c r="M450" s="346">
        <v>75.9</v>
      </c>
      <c r="O450" s="344"/>
    </row>
    <row r="451" ht="15.75" customHeight="1">
      <c r="A451" s="335">
        <v>448.0</v>
      </c>
      <c r="B451" s="336">
        <v>448.0</v>
      </c>
      <c r="C451" s="337">
        <v>317.0</v>
      </c>
      <c r="D451" s="338" t="s">
        <v>5354</v>
      </c>
      <c r="E451" s="339" t="s">
        <v>574</v>
      </c>
      <c r="F451" s="340" t="s">
        <v>4963</v>
      </c>
      <c r="G451" s="341">
        <v>2278.8</v>
      </c>
      <c r="H451" s="342">
        <v>-21.7</v>
      </c>
      <c r="I451" s="342">
        <v>302.0</v>
      </c>
      <c r="J451" s="342">
        <v>-60.6</v>
      </c>
      <c r="K451" s="342">
        <v>13.3</v>
      </c>
      <c r="L451" s="342">
        <v>7.7</v>
      </c>
      <c r="M451" s="346">
        <v>570.5</v>
      </c>
      <c r="O451" s="344"/>
    </row>
    <row r="452" ht="15.75" customHeight="1">
      <c r="A452" s="335">
        <v>449.0</v>
      </c>
      <c r="B452" s="336">
        <v>449.0</v>
      </c>
      <c r="C452" s="337">
        <v>415.0</v>
      </c>
      <c r="D452" s="338" t="s">
        <v>5355</v>
      </c>
      <c r="E452" s="339" t="s">
        <v>1751</v>
      </c>
      <c r="F452" s="340" t="s">
        <v>5012</v>
      </c>
      <c r="G452" s="341">
        <v>2271.9</v>
      </c>
      <c r="H452" s="342">
        <v>6.2</v>
      </c>
      <c r="I452" s="342">
        <v>338.9</v>
      </c>
      <c r="J452" s="342">
        <v>51.5</v>
      </c>
      <c r="K452" s="342">
        <v>14.9</v>
      </c>
      <c r="L452" s="342">
        <v>14.4</v>
      </c>
      <c r="M452" s="346">
        <v>559.5</v>
      </c>
      <c r="O452" s="344"/>
    </row>
    <row r="453" ht="15.75" customHeight="1">
      <c r="A453" s="335">
        <v>450.0</v>
      </c>
      <c r="B453" s="336">
        <v>450.0</v>
      </c>
      <c r="C453" s="337">
        <v>451.0</v>
      </c>
      <c r="D453" s="338" t="s">
        <v>5356</v>
      </c>
      <c r="E453" s="339" t="s">
        <v>332</v>
      </c>
      <c r="F453" s="340" t="s">
        <v>4968</v>
      </c>
      <c r="G453" s="341">
        <v>2268.8</v>
      </c>
      <c r="H453" s="342">
        <v>19.4</v>
      </c>
      <c r="I453" s="342">
        <v>75.5</v>
      </c>
      <c r="J453" s="342">
        <v>-50.0</v>
      </c>
      <c r="K453" s="342">
        <v>3.3</v>
      </c>
      <c r="L453" s="342">
        <v>15.1</v>
      </c>
      <c r="M453" s="346">
        <v>103.2</v>
      </c>
      <c r="O453" s="344"/>
    </row>
    <row r="454" ht="15.75" customHeight="1">
      <c r="A454" s="335">
        <v>451.0</v>
      </c>
      <c r="B454" s="336">
        <v>451.0</v>
      </c>
      <c r="C454" s="337">
        <v>438.0</v>
      </c>
      <c r="D454" s="347" t="s">
        <v>5357</v>
      </c>
      <c r="E454" s="339" t="s">
        <v>98</v>
      </c>
      <c r="F454" s="340" t="s">
        <v>3256</v>
      </c>
      <c r="G454" s="341">
        <v>2265.9</v>
      </c>
      <c r="H454" s="342">
        <v>13.1</v>
      </c>
      <c r="I454" s="342">
        <v>37.3</v>
      </c>
      <c r="J454" s="342">
        <v>0.2</v>
      </c>
      <c r="K454" s="342">
        <v>1.6</v>
      </c>
      <c r="L454" s="342">
        <v>5.1</v>
      </c>
      <c r="M454" s="346">
        <v>126.3</v>
      </c>
      <c r="O454" s="344"/>
    </row>
    <row r="455" ht="15.75" customHeight="1">
      <c r="A455" s="335">
        <v>452.0</v>
      </c>
      <c r="B455" s="336">
        <v>452.0</v>
      </c>
      <c r="C455" s="337">
        <v>479.0</v>
      </c>
      <c r="D455" s="338" t="s">
        <v>5358</v>
      </c>
      <c r="E455" s="339" t="s">
        <v>482</v>
      </c>
      <c r="F455" s="340" t="s">
        <v>5122</v>
      </c>
      <c r="G455" s="341">
        <v>2257.3</v>
      </c>
      <c r="H455" s="342">
        <v>29.9</v>
      </c>
      <c r="I455" s="342">
        <v>348.4</v>
      </c>
      <c r="J455" s="342">
        <v>10.5</v>
      </c>
      <c r="K455" s="342">
        <v>15.4</v>
      </c>
      <c r="L455" s="342">
        <v>43.1</v>
      </c>
      <c r="M455" s="346">
        <v>426.3</v>
      </c>
      <c r="O455" s="344"/>
    </row>
    <row r="456" ht="15.75" customHeight="1">
      <c r="A456" s="335">
        <v>453.0</v>
      </c>
      <c r="B456" s="336">
        <v>453.0</v>
      </c>
      <c r="C456" s="337">
        <v>460.0</v>
      </c>
      <c r="D456" s="347" t="s">
        <v>5359</v>
      </c>
      <c r="E456" s="339" t="s">
        <v>482</v>
      </c>
      <c r="F456" s="340" t="s">
        <v>3754</v>
      </c>
      <c r="G456" s="341">
        <v>2240.7</v>
      </c>
      <c r="H456" s="342">
        <v>21.0</v>
      </c>
      <c r="I456" s="342">
        <v>64.7</v>
      </c>
      <c r="J456" s="342">
        <v>180.4</v>
      </c>
      <c r="K456" s="342">
        <v>2.9</v>
      </c>
      <c r="L456" s="342">
        <v>5.7</v>
      </c>
      <c r="M456" s="346">
        <v>-88.5</v>
      </c>
      <c r="O456" s="344"/>
    </row>
    <row r="457" ht="15.75" customHeight="1">
      <c r="A457" s="335">
        <v>454.0</v>
      </c>
      <c r="B457" s="336">
        <v>454.0</v>
      </c>
      <c r="C457" s="337">
        <v>412.0</v>
      </c>
      <c r="D457" s="338" t="s">
        <v>5360</v>
      </c>
      <c r="E457" s="339" t="s">
        <v>482</v>
      </c>
      <c r="F457" s="340" t="s">
        <v>4968</v>
      </c>
      <c r="G457" s="341">
        <v>2232.4</v>
      </c>
      <c r="H457" s="342">
        <v>2.9</v>
      </c>
      <c r="I457" s="342">
        <v>226.1</v>
      </c>
      <c r="J457" s="342">
        <v>-53.7</v>
      </c>
      <c r="K457" s="342">
        <v>10.1</v>
      </c>
      <c r="L457" s="342">
        <v>51.8</v>
      </c>
      <c r="M457" s="346">
        <v>324.2</v>
      </c>
      <c r="O457" s="344"/>
    </row>
    <row r="458" ht="15.75" customHeight="1">
      <c r="A458" s="335">
        <v>455.0</v>
      </c>
      <c r="B458" s="336">
        <v>455.0</v>
      </c>
      <c r="C458" s="337">
        <v>427.0</v>
      </c>
      <c r="D458" s="338" t="s">
        <v>5361</v>
      </c>
      <c r="E458" s="339" t="s">
        <v>1755</v>
      </c>
      <c r="F458" s="340" t="s">
        <v>4976</v>
      </c>
      <c r="G458" s="341">
        <v>2218.9</v>
      </c>
      <c r="H458" s="342">
        <v>8.4</v>
      </c>
      <c r="I458" s="342">
        <v>373.8</v>
      </c>
      <c r="J458" s="342">
        <v>2.2</v>
      </c>
      <c r="K458" s="342">
        <v>16.8</v>
      </c>
      <c r="L458" s="342">
        <v>13.7</v>
      </c>
      <c r="M458" s="346">
        <v>312.6</v>
      </c>
      <c r="O458" s="344"/>
    </row>
    <row r="459" ht="15.75" customHeight="1">
      <c r="A459" s="335">
        <v>456.0</v>
      </c>
      <c r="B459" s="336">
        <v>456.0</v>
      </c>
      <c r="C459" s="337">
        <v>458.0</v>
      </c>
      <c r="D459" s="347" t="s">
        <v>5362</v>
      </c>
      <c r="E459" s="339" t="s">
        <v>156</v>
      </c>
      <c r="F459" s="340" t="s">
        <v>3754</v>
      </c>
      <c r="G459" s="341">
        <v>2207.0</v>
      </c>
      <c r="H459" s="342">
        <v>18.7</v>
      </c>
      <c r="I459" s="342">
        <v>12.4</v>
      </c>
      <c r="J459" s="342">
        <v>-37.9</v>
      </c>
      <c r="K459" s="342">
        <v>0.6</v>
      </c>
      <c r="L459" s="342">
        <v>31.3</v>
      </c>
      <c r="M459" s="346">
        <v>143.5</v>
      </c>
      <c r="O459" s="344"/>
    </row>
    <row r="460" ht="15.75" customHeight="1">
      <c r="A460" s="335">
        <v>457.0</v>
      </c>
      <c r="B460" s="336">
        <v>457.0</v>
      </c>
      <c r="C460" s="337">
        <v>453.0</v>
      </c>
      <c r="D460" s="338" t="s">
        <v>5363</v>
      </c>
      <c r="E460" s="339" t="s">
        <v>482</v>
      </c>
      <c r="F460" s="340" t="s">
        <v>5015</v>
      </c>
      <c r="G460" s="341">
        <v>2200.6</v>
      </c>
      <c r="H460" s="342">
        <v>16.4</v>
      </c>
      <c r="I460" s="342" t="s">
        <v>3537</v>
      </c>
      <c r="J460" s="342" t="s">
        <v>3537</v>
      </c>
      <c r="K460" s="342" t="s">
        <v>3537</v>
      </c>
      <c r="L460" s="342" t="s">
        <v>3537</v>
      </c>
      <c r="M460" s="346" t="s">
        <v>3537</v>
      </c>
      <c r="O460" s="344"/>
    </row>
    <row r="461" ht="15.75" customHeight="1">
      <c r="A461" s="335">
        <v>458.0</v>
      </c>
      <c r="B461" s="336">
        <v>458.0</v>
      </c>
      <c r="C461" s="337">
        <v>450.0</v>
      </c>
      <c r="D461" s="338" t="s">
        <v>5364</v>
      </c>
      <c r="E461" s="339" t="s">
        <v>1075</v>
      </c>
      <c r="F461" s="340" t="s">
        <v>5010</v>
      </c>
      <c r="G461" s="341">
        <v>2196.7</v>
      </c>
      <c r="H461" s="342">
        <v>14.9</v>
      </c>
      <c r="I461" s="342">
        <v>153.1</v>
      </c>
      <c r="J461" s="342">
        <v>-29.2</v>
      </c>
      <c r="K461" s="342">
        <v>7.0</v>
      </c>
      <c r="L461" s="342">
        <v>37.2</v>
      </c>
      <c r="M461" s="346">
        <v>287.1</v>
      </c>
      <c r="O461" s="344"/>
    </row>
    <row r="462" ht="15.75" customHeight="1">
      <c r="A462" s="335">
        <v>459.0</v>
      </c>
      <c r="B462" s="336">
        <v>459.0</v>
      </c>
      <c r="C462" s="337">
        <v>572.0</v>
      </c>
      <c r="D462" s="338" t="s">
        <v>5365</v>
      </c>
      <c r="E462" s="339" t="s">
        <v>367</v>
      </c>
      <c r="F462" s="340" t="s">
        <v>5012</v>
      </c>
      <c r="G462" s="341">
        <v>2189.3</v>
      </c>
      <c r="H462" s="342">
        <v>60.2</v>
      </c>
      <c r="I462" s="342">
        <v>188.0</v>
      </c>
      <c r="J462" s="342">
        <v>-12.2</v>
      </c>
      <c r="K462" s="342">
        <v>8.6</v>
      </c>
      <c r="L462" s="342">
        <v>12.0</v>
      </c>
      <c r="M462" s="346">
        <v>155.8</v>
      </c>
      <c r="O462" s="344"/>
    </row>
    <row r="463" ht="15.75" customHeight="1">
      <c r="A463" s="335">
        <v>460.0</v>
      </c>
      <c r="B463" s="336">
        <v>460.0</v>
      </c>
      <c r="C463" s="337">
        <v>503.0</v>
      </c>
      <c r="D463" s="338" t="s">
        <v>5366</v>
      </c>
      <c r="E463" s="339" t="s">
        <v>1755</v>
      </c>
      <c r="F463" s="340" t="s">
        <v>5010</v>
      </c>
      <c r="G463" s="341">
        <v>2181.0</v>
      </c>
      <c r="H463" s="342">
        <v>34.5</v>
      </c>
      <c r="I463" s="342">
        <v>371.1</v>
      </c>
      <c r="J463" s="342">
        <v>-13.6</v>
      </c>
      <c r="K463" s="342">
        <v>17.0</v>
      </c>
      <c r="L463" s="342">
        <v>27.4</v>
      </c>
      <c r="M463" s="346">
        <v>462.9</v>
      </c>
      <c r="O463" s="344"/>
    </row>
    <row r="464" ht="15.75" customHeight="1">
      <c r="A464" s="335">
        <v>461.0</v>
      </c>
      <c r="B464" s="336">
        <v>461.0</v>
      </c>
      <c r="C464" s="337">
        <v>493.0</v>
      </c>
      <c r="D464" s="338" t="s">
        <v>5367</v>
      </c>
      <c r="E464" s="339" t="s">
        <v>482</v>
      </c>
      <c r="F464" s="340" t="s">
        <v>87</v>
      </c>
      <c r="G464" s="341">
        <v>2180.3</v>
      </c>
      <c r="H464" s="342">
        <v>30.0</v>
      </c>
      <c r="I464" s="342">
        <v>85.9</v>
      </c>
      <c r="J464" s="342">
        <v>-16.9</v>
      </c>
      <c r="K464" s="342">
        <v>3.9</v>
      </c>
      <c r="L464" s="342">
        <v>16.5</v>
      </c>
      <c r="M464" s="346">
        <v>138.7</v>
      </c>
      <c r="O464" s="344"/>
    </row>
    <row r="465" ht="15.75" customHeight="1">
      <c r="A465" s="335">
        <v>462.0</v>
      </c>
      <c r="B465" s="336">
        <v>462.0</v>
      </c>
      <c r="C465" s="337">
        <v>467.0</v>
      </c>
      <c r="D465" s="338" t="s">
        <v>5368</v>
      </c>
      <c r="E465" s="339" t="s">
        <v>1751</v>
      </c>
      <c r="F465" s="340" t="s">
        <v>4960</v>
      </c>
      <c r="G465" s="341">
        <v>2175.4</v>
      </c>
      <c r="H465" s="342">
        <v>20.5</v>
      </c>
      <c r="I465" s="342">
        <v>383.4</v>
      </c>
      <c r="J465" s="342">
        <v>-73.5</v>
      </c>
      <c r="K465" s="342">
        <v>17.6</v>
      </c>
      <c r="L465" s="342">
        <v>9.3</v>
      </c>
      <c r="M465" s="346">
        <v>657.9</v>
      </c>
      <c r="O465" s="344"/>
    </row>
    <row r="466" ht="15.75" customHeight="1">
      <c r="A466" s="335">
        <v>463.0</v>
      </c>
      <c r="B466" s="336">
        <v>463.0</v>
      </c>
      <c r="C466" s="337">
        <v>468.0</v>
      </c>
      <c r="D466" s="338" t="s">
        <v>5369</v>
      </c>
      <c r="E466" s="339" t="s">
        <v>332</v>
      </c>
      <c r="F466" s="340" t="s">
        <v>4974</v>
      </c>
      <c r="G466" s="341">
        <v>2167.2</v>
      </c>
      <c r="H466" s="342">
        <v>20.6</v>
      </c>
      <c r="I466" s="342">
        <v>78.6</v>
      </c>
      <c r="J466" s="342">
        <v>-59.7</v>
      </c>
      <c r="K466" s="342">
        <v>3.6</v>
      </c>
      <c r="L466" s="342">
        <v>15.1</v>
      </c>
      <c r="M466" s="346">
        <v>321.9</v>
      </c>
      <c r="O466" s="344"/>
    </row>
    <row r="467" ht="15.75" customHeight="1">
      <c r="A467" s="335">
        <v>464.0</v>
      </c>
      <c r="B467" s="336">
        <v>464.0</v>
      </c>
      <c r="C467" s="337">
        <v>520.0</v>
      </c>
      <c r="D467" s="338" t="s">
        <v>5370</v>
      </c>
      <c r="E467" s="339" t="s">
        <v>482</v>
      </c>
      <c r="F467" s="340" t="s">
        <v>5012</v>
      </c>
      <c r="G467" s="341">
        <v>2164.4</v>
      </c>
      <c r="H467" s="342">
        <v>40.1</v>
      </c>
      <c r="I467" s="341">
        <v>-1167.1</v>
      </c>
      <c r="J467" s="342">
        <v>-53.7</v>
      </c>
      <c r="K467" s="342">
        <v>-53.9</v>
      </c>
      <c r="L467" s="342">
        <v>-3.4</v>
      </c>
      <c r="M467" s="343">
        <v>-1297.2</v>
      </c>
      <c r="O467" s="344"/>
    </row>
    <row r="468" ht="15.75" customHeight="1">
      <c r="A468" s="335">
        <v>465.0</v>
      </c>
      <c r="B468" s="336">
        <v>465.0</v>
      </c>
      <c r="C468" s="337">
        <v>470.0</v>
      </c>
      <c r="D468" s="338" t="s">
        <v>5371</v>
      </c>
      <c r="E468" s="339" t="s">
        <v>332</v>
      </c>
      <c r="F468" s="340" t="s">
        <v>5122</v>
      </c>
      <c r="G468" s="341">
        <v>2162.6</v>
      </c>
      <c r="H468" s="342">
        <v>21.7</v>
      </c>
      <c r="I468" s="342">
        <v>276.6</v>
      </c>
      <c r="J468" s="342">
        <v>32.5</v>
      </c>
      <c r="K468" s="342">
        <v>12.8</v>
      </c>
      <c r="L468" s="342">
        <v>18.7</v>
      </c>
      <c r="M468" s="346">
        <v>176.3</v>
      </c>
      <c r="O468" s="344"/>
    </row>
    <row r="469" ht="15.75" customHeight="1">
      <c r="A469" s="335">
        <v>466.0</v>
      </c>
      <c r="B469" s="336">
        <v>466.0</v>
      </c>
      <c r="C469" s="337">
        <v>379.0</v>
      </c>
      <c r="D469" s="338" t="s">
        <v>5372</v>
      </c>
      <c r="E469" s="339" t="s">
        <v>156</v>
      </c>
      <c r="F469" s="340" t="s">
        <v>87</v>
      </c>
      <c r="G469" s="341">
        <v>2162.1</v>
      </c>
      <c r="H469" s="342">
        <v>-9.5</v>
      </c>
      <c r="I469" s="342">
        <v>12.8</v>
      </c>
      <c r="J469" s="342">
        <v>-69.2</v>
      </c>
      <c r="K469" s="342">
        <v>0.6</v>
      </c>
      <c r="L469" s="342">
        <v>5.1</v>
      </c>
      <c r="M469" s="346">
        <v>83.1</v>
      </c>
      <c r="O469" s="344"/>
    </row>
    <row r="470" ht="15.75" customHeight="1">
      <c r="A470" s="335">
        <v>467.0</v>
      </c>
      <c r="B470" s="336">
        <v>467.0</v>
      </c>
      <c r="C470" s="337">
        <v>543.0</v>
      </c>
      <c r="D470" s="338" t="s">
        <v>5373</v>
      </c>
      <c r="E470" s="339" t="s">
        <v>482</v>
      </c>
      <c r="F470" s="340" t="s">
        <v>87</v>
      </c>
      <c r="G470" s="341">
        <v>2138.4</v>
      </c>
      <c r="H470" s="342">
        <v>47.2</v>
      </c>
      <c r="I470" s="342">
        <v>104.3</v>
      </c>
      <c r="J470" s="342">
        <v>28.4</v>
      </c>
      <c r="K470" s="342">
        <v>4.9</v>
      </c>
      <c r="L470" s="342">
        <v>34.6</v>
      </c>
      <c r="M470" s="346">
        <v>123.7</v>
      </c>
      <c r="O470" s="344"/>
    </row>
    <row r="471" ht="15.75" customHeight="1">
      <c r="A471" s="335">
        <v>468.0</v>
      </c>
      <c r="B471" s="336">
        <v>468.0</v>
      </c>
      <c r="C471" s="337">
        <v>478.0</v>
      </c>
      <c r="D471" s="338" t="s">
        <v>5374</v>
      </c>
      <c r="E471" s="339" t="s">
        <v>482</v>
      </c>
      <c r="F471" s="340" t="s">
        <v>4981</v>
      </c>
      <c r="G471" s="341">
        <v>2133.6</v>
      </c>
      <c r="H471" s="342">
        <v>22.7</v>
      </c>
      <c r="I471" s="342">
        <v>18.2</v>
      </c>
      <c r="J471" s="342">
        <v>-91.3</v>
      </c>
      <c r="K471" s="342">
        <v>0.9</v>
      </c>
      <c r="L471" s="342">
        <v>3.8</v>
      </c>
      <c r="M471" s="346">
        <v>59.9</v>
      </c>
      <c r="O471" s="344"/>
    </row>
    <row r="472" ht="15.75" customHeight="1">
      <c r="A472" s="335">
        <v>469.0</v>
      </c>
      <c r="B472" s="336">
        <v>469.0</v>
      </c>
      <c r="C472" s="337">
        <v>432.0</v>
      </c>
      <c r="D472" s="338" t="s">
        <v>5375</v>
      </c>
      <c r="E472" s="339" t="s">
        <v>482</v>
      </c>
      <c r="F472" s="340" t="s">
        <v>5110</v>
      </c>
      <c r="G472" s="341">
        <v>2133.5</v>
      </c>
      <c r="H472" s="342">
        <v>5.4</v>
      </c>
      <c r="I472" s="342">
        <v>92.8</v>
      </c>
      <c r="J472" s="342">
        <v>24.8</v>
      </c>
      <c r="K472" s="342">
        <v>4.4</v>
      </c>
      <c r="L472" s="342">
        <v>10.4</v>
      </c>
      <c r="M472" s="346">
        <v>42.0</v>
      </c>
      <c r="O472" s="344"/>
    </row>
    <row r="473" ht="15.75" customHeight="1">
      <c r="A473" s="335">
        <v>470.0</v>
      </c>
      <c r="B473" s="336">
        <v>470.0</v>
      </c>
      <c r="C473" s="337">
        <v>545.0</v>
      </c>
      <c r="D473" s="338" t="s">
        <v>5376</v>
      </c>
      <c r="E473" s="339" t="s">
        <v>482</v>
      </c>
      <c r="F473" s="340" t="s">
        <v>4974</v>
      </c>
      <c r="G473" s="341">
        <v>2132.1</v>
      </c>
      <c r="H473" s="342">
        <v>47.3</v>
      </c>
      <c r="I473" s="342">
        <v>377.3</v>
      </c>
      <c r="J473" s="342">
        <v>254.3</v>
      </c>
      <c r="K473" s="342">
        <v>17.7</v>
      </c>
      <c r="L473" s="342">
        <v>43.9</v>
      </c>
      <c r="M473" s="346">
        <v>331.8</v>
      </c>
      <c r="O473" s="344"/>
    </row>
    <row r="474" ht="15.75" customHeight="1">
      <c r="A474" s="335">
        <v>471.0</v>
      </c>
      <c r="B474" s="336">
        <v>471.0</v>
      </c>
      <c r="C474" s="337" t="s">
        <v>3537</v>
      </c>
      <c r="D474" s="338" t="s">
        <v>5377</v>
      </c>
      <c r="E474" s="339" t="s">
        <v>482</v>
      </c>
      <c r="F474" s="340" t="s">
        <v>5010</v>
      </c>
      <c r="G474" s="341">
        <v>2127.1</v>
      </c>
      <c r="H474" s="342">
        <v>11.4</v>
      </c>
      <c r="I474" s="342">
        <v>157.3</v>
      </c>
      <c r="J474" s="342">
        <v>-69.3</v>
      </c>
      <c r="K474" s="342">
        <v>7.4</v>
      </c>
      <c r="L474" s="342">
        <v>12.5</v>
      </c>
      <c r="M474" s="346">
        <v>279.7</v>
      </c>
      <c r="O474" s="344"/>
    </row>
    <row r="475" ht="15.75" customHeight="1">
      <c r="A475" s="335">
        <v>472.0</v>
      </c>
      <c r="B475" s="336">
        <v>472.0</v>
      </c>
      <c r="C475" s="337">
        <v>390.0</v>
      </c>
      <c r="D475" s="338" t="s">
        <v>5378</v>
      </c>
      <c r="E475" s="339" t="s">
        <v>482</v>
      </c>
      <c r="F475" s="340" t="s">
        <v>4999</v>
      </c>
      <c r="G475" s="341">
        <v>2126.6</v>
      </c>
      <c r="H475" s="342">
        <v>-9.3</v>
      </c>
      <c r="I475" s="342">
        <v>211.7</v>
      </c>
      <c r="J475" s="342">
        <v>-26.8</v>
      </c>
      <c r="K475" s="342">
        <v>10.0</v>
      </c>
      <c r="L475" s="342">
        <v>15.5</v>
      </c>
      <c r="M475" s="346">
        <v>264.8</v>
      </c>
      <c r="O475" s="344"/>
    </row>
    <row r="476" ht="15.75" customHeight="1">
      <c r="A476" s="335">
        <v>473.0</v>
      </c>
      <c r="B476" s="336">
        <v>473.0</v>
      </c>
      <c r="C476" s="337">
        <v>377.0</v>
      </c>
      <c r="D476" s="338" t="s">
        <v>5379</v>
      </c>
      <c r="E476" s="339" t="s">
        <v>98</v>
      </c>
      <c r="F476" s="340" t="s">
        <v>4970</v>
      </c>
      <c r="G476" s="341">
        <v>2119.6</v>
      </c>
      <c r="H476" s="342">
        <v>-12.7</v>
      </c>
      <c r="I476" s="342">
        <v>146.5</v>
      </c>
      <c r="J476" s="342">
        <v>-65.1</v>
      </c>
      <c r="K476" s="342">
        <v>6.9</v>
      </c>
      <c r="L476" s="342">
        <v>10.1</v>
      </c>
      <c r="M476" s="346">
        <v>301.9</v>
      </c>
      <c r="O476" s="344"/>
    </row>
    <row r="477" ht="15.75" customHeight="1">
      <c r="A477" s="335">
        <v>474.0</v>
      </c>
      <c r="B477" s="336">
        <v>474.0</v>
      </c>
      <c r="C477" s="337" t="s">
        <v>3537</v>
      </c>
      <c r="D477" s="338" t="s">
        <v>5380</v>
      </c>
      <c r="E477" s="339" t="s">
        <v>482</v>
      </c>
      <c r="F477" s="340" t="s">
        <v>5055</v>
      </c>
      <c r="G477" s="341">
        <v>2106.0</v>
      </c>
      <c r="H477" s="342">
        <v>11.5</v>
      </c>
      <c r="I477" s="342">
        <v>-401.3</v>
      </c>
      <c r="J477" s="342">
        <v>-824.4</v>
      </c>
      <c r="K477" s="342">
        <v>-19.1</v>
      </c>
      <c r="L477" s="342">
        <v>-215.0</v>
      </c>
      <c r="M477" s="346">
        <v>11.7</v>
      </c>
      <c r="O477" s="344"/>
    </row>
    <row r="478" ht="15.75" customHeight="1">
      <c r="A478" s="335">
        <v>475.0</v>
      </c>
      <c r="B478" s="336">
        <v>475.0</v>
      </c>
      <c r="C478" s="337">
        <v>484.0</v>
      </c>
      <c r="D478" s="338" t="s">
        <v>5381</v>
      </c>
      <c r="E478" s="339" t="s">
        <v>482</v>
      </c>
      <c r="F478" s="340" t="s">
        <v>4968</v>
      </c>
      <c r="G478" s="341">
        <v>2099.1</v>
      </c>
      <c r="H478" s="342">
        <v>22.9</v>
      </c>
      <c r="I478" s="342">
        <v>329.7</v>
      </c>
      <c r="J478" s="342">
        <v>9.9</v>
      </c>
      <c r="K478" s="342">
        <v>15.7</v>
      </c>
      <c r="L478" s="342">
        <v>115.6</v>
      </c>
      <c r="M478" s="346">
        <v>390.6</v>
      </c>
      <c r="O478" s="344"/>
    </row>
    <row r="479" ht="15.75" customHeight="1">
      <c r="A479" s="335">
        <v>476.0</v>
      </c>
      <c r="B479" s="336">
        <v>476.0</v>
      </c>
      <c r="C479" s="337">
        <v>439.0</v>
      </c>
      <c r="D479" s="338" t="s">
        <v>5382</v>
      </c>
      <c r="E479" s="339" t="s">
        <v>332</v>
      </c>
      <c r="F479" s="340" t="s">
        <v>5015</v>
      </c>
      <c r="G479" s="341">
        <v>2098.7</v>
      </c>
      <c r="H479" s="342">
        <v>5.7</v>
      </c>
      <c r="I479" s="342">
        <v>173.0</v>
      </c>
      <c r="J479" s="342">
        <v>-19.2</v>
      </c>
      <c r="K479" s="342">
        <v>8.2</v>
      </c>
      <c r="L479" s="342">
        <v>18.6</v>
      </c>
      <c r="M479" s="346">
        <v>305.5</v>
      </c>
      <c r="O479" s="344"/>
    </row>
    <row r="480" ht="15.75" customHeight="1">
      <c r="A480" s="335">
        <v>477.0</v>
      </c>
      <c r="B480" s="336">
        <v>477.0</v>
      </c>
      <c r="C480" s="337">
        <v>471.0</v>
      </c>
      <c r="D480" s="338" t="s">
        <v>5383</v>
      </c>
      <c r="E480" s="339" t="s">
        <v>1751</v>
      </c>
      <c r="F480" s="340" t="s">
        <v>4968</v>
      </c>
      <c r="G480" s="341">
        <v>2098.1</v>
      </c>
      <c r="H480" s="342">
        <v>18.2</v>
      </c>
      <c r="I480" s="342">
        <v>179.9</v>
      </c>
      <c r="J480" s="342">
        <v>-21.7</v>
      </c>
      <c r="K480" s="342">
        <v>8.6</v>
      </c>
      <c r="L480" s="342">
        <v>29.5</v>
      </c>
      <c r="M480" s="346">
        <v>175.2</v>
      </c>
      <c r="O480" s="344"/>
    </row>
    <row r="481" ht="15.75" customHeight="1">
      <c r="A481" s="335">
        <v>478.0</v>
      </c>
      <c r="B481" s="336">
        <v>478.0</v>
      </c>
      <c r="C481" s="337">
        <v>486.0</v>
      </c>
      <c r="D481" s="338" t="s">
        <v>5384</v>
      </c>
      <c r="E481" s="339" t="s">
        <v>1075</v>
      </c>
      <c r="F481" s="340" t="s">
        <v>5001</v>
      </c>
      <c r="G481" s="341">
        <v>2093.0</v>
      </c>
      <c r="H481" s="342">
        <v>22.7</v>
      </c>
      <c r="I481" s="342">
        <v>270.0</v>
      </c>
      <c r="J481" s="342">
        <v>40.1</v>
      </c>
      <c r="K481" s="342">
        <v>12.9</v>
      </c>
      <c r="L481" s="342">
        <v>26.7</v>
      </c>
      <c r="M481" s="346">
        <v>253.9</v>
      </c>
      <c r="O481" s="344"/>
    </row>
    <row r="482" ht="15.75" customHeight="1">
      <c r="A482" s="335">
        <v>479.0</v>
      </c>
      <c r="B482" s="336">
        <v>479.0</v>
      </c>
      <c r="C482" s="337">
        <v>679.0</v>
      </c>
      <c r="D482" s="338" t="s">
        <v>5385</v>
      </c>
      <c r="E482" s="339" t="s">
        <v>482</v>
      </c>
      <c r="F482" s="340" t="s">
        <v>5018</v>
      </c>
      <c r="G482" s="341">
        <v>2089.8</v>
      </c>
      <c r="H482" s="342">
        <v>97.5</v>
      </c>
      <c r="I482" s="342">
        <v>-586.5</v>
      </c>
      <c r="J482" s="341">
        <v>-1126.9</v>
      </c>
      <c r="K482" s="342">
        <v>-28.1</v>
      </c>
      <c r="L482" s="342">
        <v>-19.4</v>
      </c>
      <c r="M482" s="346">
        <v>226.3</v>
      </c>
      <c r="O482" s="344"/>
    </row>
    <row r="483" ht="15.75" customHeight="1">
      <c r="A483" s="335">
        <v>480.0</v>
      </c>
      <c r="B483" s="336">
        <v>480.0</v>
      </c>
      <c r="C483" s="337">
        <v>565.0</v>
      </c>
      <c r="D483" s="338" t="s">
        <v>5386</v>
      </c>
      <c r="E483" s="339" t="s">
        <v>1751</v>
      </c>
      <c r="F483" s="340" t="s">
        <v>5012</v>
      </c>
      <c r="G483" s="341">
        <v>2067.1</v>
      </c>
      <c r="H483" s="342">
        <v>48.0</v>
      </c>
      <c r="I483" s="342">
        <v>406.8</v>
      </c>
      <c r="J483" s="342">
        <v>316.9</v>
      </c>
      <c r="K483" s="342">
        <v>19.7</v>
      </c>
      <c r="L483" s="342">
        <v>61.1</v>
      </c>
      <c r="M483" s="346">
        <v>327.5</v>
      </c>
      <c r="O483" s="344"/>
    </row>
    <row r="484" ht="15.75" customHeight="1">
      <c r="A484" s="335">
        <v>481.0</v>
      </c>
      <c r="B484" s="336">
        <v>481.0</v>
      </c>
      <c r="C484" s="337" t="s">
        <v>3537</v>
      </c>
      <c r="D484" s="347" t="s">
        <v>5387</v>
      </c>
      <c r="E484" s="339" t="s">
        <v>98</v>
      </c>
      <c r="F484" s="340" t="s">
        <v>3754</v>
      </c>
      <c r="G484" s="341">
        <v>2066.6</v>
      </c>
      <c r="H484" s="342">
        <v>6.7</v>
      </c>
      <c r="I484" s="342">
        <v>90.6</v>
      </c>
      <c r="J484" s="342">
        <v>-32.4</v>
      </c>
      <c r="K484" s="342">
        <v>4.4</v>
      </c>
      <c r="L484" s="342">
        <v>48.4</v>
      </c>
      <c r="M484" s="346">
        <v>131.5</v>
      </c>
      <c r="O484" s="344"/>
    </row>
    <row r="485" ht="15.75" customHeight="1">
      <c r="A485" s="335">
        <v>482.0</v>
      </c>
      <c r="B485" s="336">
        <v>482.0</v>
      </c>
      <c r="C485" s="337">
        <v>464.0</v>
      </c>
      <c r="D485" s="338" t="s">
        <v>5388</v>
      </c>
      <c r="E485" s="339" t="s">
        <v>1751</v>
      </c>
      <c r="F485" s="340" t="s">
        <v>4993</v>
      </c>
      <c r="G485" s="341">
        <v>2062.6</v>
      </c>
      <c r="H485" s="342">
        <v>13.1</v>
      </c>
      <c r="I485" s="342">
        <v>185.7</v>
      </c>
      <c r="J485" s="342">
        <v>8.3</v>
      </c>
      <c r="K485" s="342">
        <v>9.0</v>
      </c>
      <c r="L485" s="342">
        <v>13.9</v>
      </c>
      <c r="M485" s="346">
        <v>269.6</v>
      </c>
      <c r="O485" s="344"/>
    </row>
    <row r="486" ht="15.75" customHeight="1">
      <c r="A486" s="335">
        <v>483.0</v>
      </c>
      <c r="B486" s="336">
        <v>483.0</v>
      </c>
      <c r="C486" s="337">
        <v>417.0</v>
      </c>
      <c r="D486" s="338" t="s">
        <v>5389</v>
      </c>
      <c r="E486" s="339" t="s">
        <v>482</v>
      </c>
      <c r="F486" s="340" t="s">
        <v>4993</v>
      </c>
      <c r="G486" s="341">
        <v>2053.6</v>
      </c>
      <c r="H486" s="342">
        <v>-2.2</v>
      </c>
      <c r="I486" s="342">
        <v>298.4</v>
      </c>
      <c r="J486" s="342">
        <v>15.9</v>
      </c>
      <c r="K486" s="342">
        <v>14.5</v>
      </c>
      <c r="L486" s="342">
        <v>19.1</v>
      </c>
      <c r="M486" s="346">
        <v>345.3</v>
      </c>
      <c r="O486" s="344"/>
    </row>
    <row r="487" ht="15.75" customHeight="1">
      <c r="A487" s="335">
        <v>484.0</v>
      </c>
      <c r="B487" s="336">
        <v>484.0</v>
      </c>
      <c r="C487" s="337">
        <v>603.0</v>
      </c>
      <c r="D487" s="338" t="s">
        <v>5390</v>
      </c>
      <c r="E487" s="339" t="s">
        <v>3433</v>
      </c>
      <c r="F487" s="340" t="s">
        <v>5015</v>
      </c>
      <c r="G487" s="341">
        <v>2046.7</v>
      </c>
      <c r="H487" s="342">
        <v>62.2</v>
      </c>
      <c r="I487" s="342">
        <v>-94.5</v>
      </c>
      <c r="J487" s="342">
        <v>-71.9</v>
      </c>
      <c r="K487" s="342">
        <v>-4.6</v>
      </c>
      <c r="L487" s="342">
        <v>-7.4</v>
      </c>
      <c r="M487" s="346">
        <v>245.6</v>
      </c>
      <c r="O487" s="344"/>
    </row>
    <row r="488" ht="15.75" customHeight="1">
      <c r="A488" s="335">
        <v>485.0</v>
      </c>
      <c r="B488" s="336">
        <v>485.0</v>
      </c>
      <c r="C488" s="337">
        <v>580.0</v>
      </c>
      <c r="D488" s="338" t="s">
        <v>5391</v>
      </c>
      <c r="E488" s="339" t="s">
        <v>482</v>
      </c>
      <c r="F488" s="340" t="s">
        <v>4985</v>
      </c>
      <c r="G488" s="341">
        <v>2046.6</v>
      </c>
      <c r="H488" s="342">
        <v>51.8</v>
      </c>
      <c r="I488" s="342">
        <v>218.0</v>
      </c>
      <c r="J488" s="342">
        <v>76.7</v>
      </c>
      <c r="K488" s="342">
        <v>10.7</v>
      </c>
      <c r="L488" s="342">
        <v>29.4</v>
      </c>
      <c r="M488" s="346">
        <v>228.3</v>
      </c>
      <c r="O488" s="344"/>
    </row>
    <row r="489" ht="15.75" customHeight="1">
      <c r="A489" s="335">
        <v>486.0</v>
      </c>
      <c r="B489" s="336">
        <v>486.0</v>
      </c>
      <c r="C489" s="337">
        <v>506.0</v>
      </c>
      <c r="D489" s="338" t="s">
        <v>5392</v>
      </c>
      <c r="E489" s="339" t="s">
        <v>482</v>
      </c>
      <c r="F489" s="340" t="s">
        <v>5015</v>
      </c>
      <c r="G489" s="341">
        <v>2045.9</v>
      </c>
      <c r="H489" s="342">
        <v>26.5</v>
      </c>
      <c r="I489" s="342">
        <v>-41.9</v>
      </c>
      <c r="J489" s="342">
        <v>-152.5</v>
      </c>
      <c r="K489" s="342">
        <v>-2.0</v>
      </c>
      <c r="L489" s="342">
        <v>-7.0</v>
      </c>
      <c r="M489" s="346">
        <v>114.3</v>
      </c>
      <c r="O489" s="344"/>
    </row>
    <row r="490" ht="15.75" customHeight="1">
      <c r="A490" s="335">
        <v>487.0</v>
      </c>
      <c r="B490" s="336">
        <v>487.0</v>
      </c>
      <c r="C490" s="337" t="s">
        <v>3537</v>
      </c>
      <c r="D490" s="338" t="s">
        <v>5393</v>
      </c>
      <c r="E490" s="339" t="s">
        <v>3433</v>
      </c>
      <c r="F490" s="340" t="s">
        <v>4960</v>
      </c>
      <c r="G490" s="341">
        <v>2031.4</v>
      </c>
      <c r="H490" s="342">
        <v>22.7</v>
      </c>
      <c r="I490" s="342">
        <v>147.0</v>
      </c>
      <c r="J490" s="342">
        <v>49.8</v>
      </c>
      <c r="K490" s="342">
        <v>7.2</v>
      </c>
      <c r="L490" s="342">
        <v>20.3</v>
      </c>
      <c r="M490" s="346">
        <v>174.0</v>
      </c>
      <c r="O490" s="344"/>
    </row>
    <row r="491" ht="15.75" customHeight="1">
      <c r="A491" s="335">
        <v>488.0</v>
      </c>
      <c r="B491" s="336">
        <v>488.0</v>
      </c>
      <c r="C491" s="337">
        <v>378.0</v>
      </c>
      <c r="D491" s="338" t="s">
        <v>5394</v>
      </c>
      <c r="E491" s="339" t="s">
        <v>482</v>
      </c>
      <c r="F491" s="340" t="s">
        <v>4963</v>
      </c>
      <c r="G491" s="341">
        <v>2029.1</v>
      </c>
      <c r="H491" s="342">
        <v>-11.4</v>
      </c>
      <c r="I491" s="342">
        <v>343.8</v>
      </c>
      <c r="J491" s="342">
        <v>43.0</v>
      </c>
      <c r="K491" s="342">
        <v>16.9</v>
      </c>
      <c r="L491" s="342">
        <v>21.9</v>
      </c>
      <c r="M491" s="346">
        <v>455.5</v>
      </c>
      <c r="O491" s="344"/>
    </row>
    <row r="492" ht="15.75" customHeight="1">
      <c r="A492" s="335">
        <v>489.0</v>
      </c>
      <c r="B492" s="336">
        <v>489.0</v>
      </c>
      <c r="C492" s="337">
        <v>465.0</v>
      </c>
      <c r="D492" s="338" t="s">
        <v>5395</v>
      </c>
      <c r="E492" s="339" t="s">
        <v>482</v>
      </c>
      <c r="F492" s="340" t="s">
        <v>5172</v>
      </c>
      <c r="G492" s="341">
        <v>2028.3</v>
      </c>
      <c r="H492" s="342">
        <v>11.4</v>
      </c>
      <c r="I492" s="342">
        <v>6.6</v>
      </c>
      <c r="J492" s="342">
        <v>-92.0</v>
      </c>
      <c r="K492" s="342">
        <v>0.3</v>
      </c>
      <c r="L492" s="342">
        <v>0.5</v>
      </c>
      <c r="M492" s="346">
        <v>284.9</v>
      </c>
      <c r="O492" s="344"/>
    </row>
    <row r="493" ht="15.75" customHeight="1">
      <c r="A493" s="335">
        <v>490.0</v>
      </c>
      <c r="B493" s="336">
        <v>490.0</v>
      </c>
      <c r="C493" s="337">
        <v>598.0</v>
      </c>
      <c r="D493" s="338" t="s">
        <v>5396</v>
      </c>
      <c r="E493" s="339" t="s">
        <v>482</v>
      </c>
      <c r="F493" s="340" t="s">
        <v>4968</v>
      </c>
      <c r="G493" s="341">
        <v>2022.0</v>
      </c>
      <c r="H493" s="342">
        <v>58.7</v>
      </c>
      <c r="I493" s="342">
        <v>414.0</v>
      </c>
      <c r="J493" s="342">
        <v>68.6</v>
      </c>
      <c r="K493" s="342">
        <v>20.5</v>
      </c>
      <c r="L493" s="342">
        <v>357.9</v>
      </c>
      <c r="M493" s="346">
        <v>576.2</v>
      </c>
      <c r="O493" s="344"/>
    </row>
    <row r="494" ht="15.75" customHeight="1">
      <c r="A494" s="335">
        <v>491.0</v>
      </c>
      <c r="B494" s="336">
        <v>491.0</v>
      </c>
      <c r="C494" s="337">
        <v>491.0</v>
      </c>
      <c r="D494" s="338" t="s">
        <v>5397</v>
      </c>
      <c r="E494" s="339" t="s">
        <v>1751</v>
      </c>
      <c r="F494" s="340" t="s">
        <v>4993</v>
      </c>
      <c r="G494" s="341">
        <v>2015.9</v>
      </c>
      <c r="H494" s="342">
        <v>19.9</v>
      </c>
      <c r="I494" s="342">
        <v>295.0</v>
      </c>
      <c r="J494" s="342">
        <v>67.5</v>
      </c>
      <c r="K494" s="342">
        <v>14.6</v>
      </c>
      <c r="L494" s="342">
        <v>22.2</v>
      </c>
      <c r="M494" s="346">
        <v>381.5</v>
      </c>
      <c r="O494" s="344"/>
    </row>
    <row r="495" ht="15.75" customHeight="1">
      <c r="A495" s="335">
        <v>492.0</v>
      </c>
      <c r="B495" s="336">
        <v>492.0</v>
      </c>
      <c r="C495" s="337" t="s">
        <v>3537</v>
      </c>
      <c r="D495" s="338" t="s">
        <v>5398</v>
      </c>
      <c r="E495" s="339" t="s">
        <v>1751</v>
      </c>
      <c r="F495" s="340" t="s">
        <v>4960</v>
      </c>
      <c r="G495" s="341">
        <v>2006.8</v>
      </c>
      <c r="H495" s="342" t="s">
        <v>3537</v>
      </c>
      <c r="I495" s="342">
        <v>315.9</v>
      </c>
      <c r="J495" s="342">
        <v>949.3</v>
      </c>
      <c r="K495" s="342">
        <v>15.7</v>
      </c>
      <c r="L495" s="342">
        <v>159.5</v>
      </c>
      <c r="M495" s="346">
        <v>383.8</v>
      </c>
      <c r="O495" s="344"/>
    </row>
    <row r="496" ht="15.75" customHeight="1">
      <c r="A496" s="335">
        <v>493.0</v>
      </c>
      <c r="B496" s="336">
        <v>493.0</v>
      </c>
      <c r="C496" s="337">
        <v>212.0</v>
      </c>
      <c r="D496" s="338" t="s">
        <v>5399</v>
      </c>
      <c r="E496" s="339" t="s">
        <v>349</v>
      </c>
      <c r="F496" s="340" t="s">
        <v>4970</v>
      </c>
      <c r="G496" s="341">
        <v>2006.0</v>
      </c>
      <c r="H496" s="342">
        <v>-57.5</v>
      </c>
      <c r="I496" s="341">
        <v>-2701.1</v>
      </c>
      <c r="J496" s="342">
        <v>-237.2</v>
      </c>
      <c r="K496" s="342">
        <v>-134.7</v>
      </c>
      <c r="L496" s="342" t="s">
        <v>5021</v>
      </c>
      <c r="M496" s="343">
        <v>-1433.7</v>
      </c>
      <c r="O496" s="344"/>
    </row>
    <row r="497" ht="15.75" customHeight="1">
      <c r="A497" s="335">
        <v>494.0</v>
      </c>
      <c r="B497" s="336">
        <v>494.0</v>
      </c>
      <c r="C497" s="337">
        <v>476.0</v>
      </c>
      <c r="D497" s="338" t="s">
        <v>5400</v>
      </c>
      <c r="E497" s="339" t="s">
        <v>332</v>
      </c>
      <c r="F497" s="340" t="s">
        <v>4968</v>
      </c>
      <c r="G497" s="341">
        <v>1998.0</v>
      </c>
      <c r="H497" s="342">
        <v>14.4</v>
      </c>
      <c r="I497" s="342">
        <v>230.9</v>
      </c>
      <c r="J497" s="342">
        <v>130.9</v>
      </c>
      <c r="K497" s="342">
        <v>11.6</v>
      </c>
      <c r="L497" s="342">
        <v>25.9</v>
      </c>
      <c r="M497" s="346">
        <v>260.6</v>
      </c>
      <c r="O497" s="344"/>
    </row>
    <row r="498" ht="15.75" customHeight="1">
      <c r="A498" s="335">
        <v>495.0</v>
      </c>
      <c r="B498" s="336">
        <v>495.0</v>
      </c>
      <c r="C498" s="337">
        <v>428.0</v>
      </c>
      <c r="D498" s="338" t="s">
        <v>5401</v>
      </c>
      <c r="E498" s="339" t="s">
        <v>482</v>
      </c>
      <c r="F498" s="340" t="s">
        <v>4999</v>
      </c>
      <c r="G498" s="341">
        <v>1990.3</v>
      </c>
      <c r="H498" s="342">
        <v>-2.7</v>
      </c>
      <c r="I498" s="342">
        <v>-195.0</v>
      </c>
      <c r="J498" s="342">
        <v>-247.8</v>
      </c>
      <c r="K498" s="342">
        <v>-9.8</v>
      </c>
      <c r="L498" s="342" t="s">
        <v>5021</v>
      </c>
      <c r="M498" s="346">
        <v>63.9</v>
      </c>
      <c r="O498" s="344"/>
    </row>
    <row r="499" ht="15.75" customHeight="1">
      <c r="A499" s="335">
        <v>496.0</v>
      </c>
      <c r="B499" s="336">
        <v>496.0</v>
      </c>
      <c r="C499" s="337">
        <v>461.0</v>
      </c>
      <c r="D499" s="338" t="s">
        <v>5402</v>
      </c>
      <c r="E499" s="339" t="s">
        <v>1751</v>
      </c>
      <c r="F499" s="340" t="s">
        <v>3754</v>
      </c>
      <c r="G499" s="341">
        <v>1980.3</v>
      </c>
      <c r="H499" s="342">
        <v>7.0</v>
      </c>
      <c r="I499" s="342">
        <v>117.3</v>
      </c>
      <c r="J499" s="342">
        <v>10.9</v>
      </c>
      <c r="K499" s="342">
        <v>5.9</v>
      </c>
      <c r="L499" s="342">
        <v>20.1</v>
      </c>
      <c r="M499" s="346">
        <v>124.7</v>
      </c>
      <c r="O499" s="344"/>
    </row>
    <row r="500" ht="15.75" customHeight="1">
      <c r="A500" s="335">
        <v>497.0</v>
      </c>
      <c r="B500" s="336">
        <v>497.0</v>
      </c>
      <c r="C500" s="337">
        <v>421.0</v>
      </c>
      <c r="D500" s="338" t="s">
        <v>5403</v>
      </c>
      <c r="E500" s="339" t="s">
        <v>156</v>
      </c>
      <c r="F500" s="340" t="s">
        <v>4999</v>
      </c>
      <c r="G500" s="341">
        <v>1961.1</v>
      </c>
      <c r="H500" s="342">
        <v>-5.7</v>
      </c>
      <c r="I500" s="342">
        <v>82.0</v>
      </c>
      <c r="J500" s="342">
        <v>-63.2</v>
      </c>
      <c r="K500" s="342">
        <v>4.2</v>
      </c>
      <c r="L500" s="342">
        <v>11.6</v>
      </c>
      <c r="M500" s="346">
        <v>-51.5</v>
      </c>
      <c r="O500" s="344"/>
    </row>
    <row r="501" ht="15.75" customHeight="1">
      <c r="A501" s="335">
        <v>498.0</v>
      </c>
      <c r="B501" s="336">
        <v>498.0</v>
      </c>
      <c r="C501" s="337">
        <v>418.0</v>
      </c>
      <c r="D501" s="338" t="s">
        <v>5404</v>
      </c>
      <c r="E501" s="339" t="s">
        <v>482</v>
      </c>
      <c r="F501" s="340" t="s">
        <v>5028</v>
      </c>
      <c r="G501" s="341">
        <v>1951.4</v>
      </c>
      <c r="H501" s="342">
        <v>-6.9</v>
      </c>
      <c r="I501" s="342">
        <v>101.5</v>
      </c>
      <c r="J501" s="342">
        <v>-73.1</v>
      </c>
      <c r="K501" s="342">
        <v>5.2</v>
      </c>
      <c r="L501" s="342">
        <v>7.7</v>
      </c>
      <c r="M501" s="346">
        <v>361.4</v>
      </c>
      <c r="O501" s="344"/>
    </row>
    <row r="502" ht="15.75" customHeight="1">
      <c r="A502" s="335">
        <v>499.0</v>
      </c>
      <c r="B502" s="336">
        <v>499.0</v>
      </c>
      <c r="C502" s="337">
        <v>534.0</v>
      </c>
      <c r="D502" s="338" t="s">
        <v>5405</v>
      </c>
      <c r="E502" s="339" t="s">
        <v>482</v>
      </c>
      <c r="F502" s="340" t="s">
        <v>4968</v>
      </c>
      <c r="G502" s="341">
        <v>1948.0</v>
      </c>
      <c r="H502" s="342">
        <v>30.5</v>
      </c>
      <c r="I502" s="342">
        <v>453.6</v>
      </c>
      <c r="J502" s="342">
        <v>9.4</v>
      </c>
      <c r="K502" s="342">
        <v>23.3</v>
      </c>
      <c r="L502" s="342">
        <v>50.5</v>
      </c>
      <c r="M502" s="346">
        <v>309.1</v>
      </c>
      <c r="O502" s="344"/>
    </row>
    <row r="503" ht="15.75" customHeight="1">
      <c r="A503" s="335">
        <v>500.0</v>
      </c>
      <c r="B503" s="336">
        <v>500.0</v>
      </c>
      <c r="C503" s="337">
        <v>805.0</v>
      </c>
      <c r="D503" s="338" t="s">
        <v>5406</v>
      </c>
      <c r="E503" s="339" t="s">
        <v>332</v>
      </c>
      <c r="F503" s="340" t="s">
        <v>4963</v>
      </c>
      <c r="G503" s="341">
        <v>1947.5</v>
      </c>
      <c r="H503" s="342">
        <v>129.7</v>
      </c>
      <c r="I503" s="342">
        <v>739.5</v>
      </c>
      <c r="J503" s="342">
        <v>859.7</v>
      </c>
      <c r="K503" s="342">
        <v>38.0</v>
      </c>
      <c r="L503" s="342">
        <v>143.8</v>
      </c>
      <c r="M503" s="343">
        <v>1060.4</v>
      </c>
      <c r="O503" s="344"/>
    </row>
    <row r="504" ht="15.75" customHeight="1">
      <c r="A504" s="335">
        <v>501.0</v>
      </c>
      <c r="B504" s="336">
        <v>501.0</v>
      </c>
      <c r="C504" s="337">
        <v>424.0</v>
      </c>
      <c r="D504" s="338" t="s">
        <v>5407</v>
      </c>
      <c r="E504" s="339" t="s">
        <v>482</v>
      </c>
      <c r="F504" s="340" t="s">
        <v>4983</v>
      </c>
      <c r="G504" s="341">
        <v>1946.7</v>
      </c>
      <c r="H504" s="342">
        <v>-5.5</v>
      </c>
      <c r="I504" s="342">
        <v>510.3</v>
      </c>
      <c r="J504" s="342">
        <v>-9.3</v>
      </c>
      <c r="K504" s="342">
        <v>26.2</v>
      </c>
      <c r="L504" s="342">
        <v>9.4</v>
      </c>
      <c r="M504" s="343">
        <v>1381.8</v>
      </c>
      <c r="O504" s="344"/>
    </row>
    <row r="505" ht="15.75" customHeight="1">
      <c r="A505" s="335">
        <v>502.0</v>
      </c>
      <c r="B505" s="336">
        <v>502.0</v>
      </c>
      <c r="C505" s="337">
        <v>515.0</v>
      </c>
      <c r="D505" s="338" t="s">
        <v>5408</v>
      </c>
      <c r="E505" s="339" t="s">
        <v>482</v>
      </c>
      <c r="F505" s="340" t="s">
        <v>4993</v>
      </c>
      <c r="G505" s="341">
        <v>1937.6</v>
      </c>
      <c r="H505" s="342">
        <v>30.4</v>
      </c>
      <c r="I505" s="342">
        <v>223.6</v>
      </c>
      <c r="J505" s="342">
        <v>5.0</v>
      </c>
      <c r="K505" s="342">
        <v>11.5</v>
      </c>
      <c r="L505" s="342">
        <v>44.0</v>
      </c>
      <c r="M505" s="346">
        <v>372.8</v>
      </c>
      <c r="O505" s="344"/>
    </row>
    <row r="506" ht="15.75" customHeight="1">
      <c r="A506" s="335">
        <v>503.0</v>
      </c>
      <c r="B506" s="336">
        <v>503.0</v>
      </c>
      <c r="C506" s="337" t="s">
        <v>3537</v>
      </c>
      <c r="D506" s="338" t="s">
        <v>5409</v>
      </c>
      <c r="E506" s="339" t="s">
        <v>482</v>
      </c>
      <c r="F506" s="340" t="s">
        <v>4974</v>
      </c>
      <c r="G506" s="341">
        <v>1937.3</v>
      </c>
      <c r="H506" s="342">
        <v>33.5</v>
      </c>
      <c r="I506" s="342">
        <v>486.3</v>
      </c>
      <c r="J506" s="342">
        <v>25.1</v>
      </c>
      <c r="K506" s="342">
        <v>25.1</v>
      </c>
      <c r="L506" s="342">
        <v>46.0</v>
      </c>
      <c r="M506" s="346">
        <v>703.4</v>
      </c>
      <c r="O506" s="344"/>
    </row>
    <row r="507" ht="15.75" customHeight="1">
      <c r="A507" s="335">
        <v>504.0</v>
      </c>
      <c r="B507" s="336">
        <v>504.0</v>
      </c>
      <c r="C507" s="337">
        <v>501.0</v>
      </c>
      <c r="D507" s="338" t="s">
        <v>5410</v>
      </c>
      <c r="E507" s="339" t="s">
        <v>482</v>
      </c>
      <c r="F507" s="340" t="s">
        <v>4968</v>
      </c>
      <c r="G507" s="341">
        <v>1936.0</v>
      </c>
      <c r="H507" s="342">
        <v>18.9</v>
      </c>
      <c r="I507" s="342">
        <v>113.1</v>
      </c>
      <c r="J507" s="342">
        <v>-19.8</v>
      </c>
      <c r="K507" s="342">
        <v>5.8</v>
      </c>
      <c r="L507" s="342">
        <v>28.7</v>
      </c>
      <c r="M507" s="346">
        <v>178.2</v>
      </c>
      <c r="O507" s="344"/>
    </row>
    <row r="508" ht="15.75" customHeight="1">
      <c r="A508" s="335">
        <v>505.0</v>
      </c>
      <c r="B508" s="336">
        <v>505.0</v>
      </c>
      <c r="C508" s="337">
        <v>522.0</v>
      </c>
      <c r="D508" s="338" t="s">
        <v>5411</v>
      </c>
      <c r="E508" s="339" t="s">
        <v>482</v>
      </c>
      <c r="F508" s="340" t="s">
        <v>5012</v>
      </c>
      <c r="G508" s="341">
        <v>1931.8</v>
      </c>
      <c r="H508" s="342">
        <v>25.9</v>
      </c>
      <c r="I508" s="342">
        <v>429.5</v>
      </c>
      <c r="J508" s="342">
        <v>67.5</v>
      </c>
      <c r="K508" s="342">
        <v>22.2</v>
      </c>
      <c r="L508" s="342">
        <v>19.9</v>
      </c>
      <c r="M508" s="346">
        <v>563.8</v>
      </c>
      <c r="O508" s="344"/>
    </row>
    <row r="509" ht="15.75" customHeight="1">
      <c r="A509" s="335">
        <v>506.0</v>
      </c>
      <c r="B509" s="336">
        <v>506.0</v>
      </c>
      <c r="C509" s="337">
        <v>532.0</v>
      </c>
      <c r="D509" s="338" t="s">
        <v>5412</v>
      </c>
      <c r="E509" s="339" t="s">
        <v>98</v>
      </c>
      <c r="F509" s="340" t="s">
        <v>4974</v>
      </c>
      <c r="G509" s="341">
        <v>1920.6</v>
      </c>
      <c r="H509" s="342">
        <v>28.6</v>
      </c>
      <c r="I509" s="342">
        <v>179.3</v>
      </c>
      <c r="J509" s="342">
        <v>8.0</v>
      </c>
      <c r="K509" s="342">
        <v>9.3</v>
      </c>
      <c r="L509" s="342">
        <v>18.2</v>
      </c>
      <c r="M509" s="346">
        <v>65.6</v>
      </c>
      <c r="O509" s="344"/>
    </row>
    <row r="510" ht="15.75" customHeight="1">
      <c r="A510" s="335">
        <v>507.0</v>
      </c>
      <c r="B510" s="336">
        <v>507.0</v>
      </c>
      <c r="C510" s="337">
        <v>445.0</v>
      </c>
      <c r="D510" s="345" t="s">
        <v>2312</v>
      </c>
      <c r="E510" s="339" t="s">
        <v>1075</v>
      </c>
      <c r="F510" s="340" t="s">
        <v>3256</v>
      </c>
      <c r="G510" s="341">
        <v>1919.2</v>
      </c>
      <c r="H510" s="342">
        <v>-0.8</v>
      </c>
      <c r="I510" s="342">
        <v>-47.2</v>
      </c>
      <c r="J510" s="342">
        <v>-158.2</v>
      </c>
      <c r="K510" s="342">
        <v>-2.5</v>
      </c>
      <c r="L510" s="342">
        <v>-7.3</v>
      </c>
      <c r="M510" s="346">
        <v>-101.5</v>
      </c>
      <c r="O510" s="344"/>
    </row>
    <row r="511" ht="15.75" customHeight="1">
      <c r="A511" s="335">
        <v>508.0</v>
      </c>
      <c r="B511" s="336">
        <v>508.0</v>
      </c>
      <c r="C511" s="337">
        <v>457.0</v>
      </c>
      <c r="D511" s="338" t="s">
        <v>5413</v>
      </c>
      <c r="E511" s="339" t="s">
        <v>1793</v>
      </c>
      <c r="F511" s="340" t="s">
        <v>5018</v>
      </c>
      <c r="G511" s="341">
        <v>1916.7</v>
      </c>
      <c r="H511" s="342">
        <v>2.9</v>
      </c>
      <c r="I511" s="342">
        <v>563.1</v>
      </c>
      <c r="J511" s="342">
        <v>323.0</v>
      </c>
      <c r="K511" s="342">
        <v>29.4</v>
      </c>
      <c r="L511" s="342">
        <v>31.4</v>
      </c>
      <c r="M511" s="346">
        <v>26.3</v>
      </c>
      <c r="O511" s="344"/>
    </row>
    <row r="512" ht="15.75" customHeight="1">
      <c r="A512" s="335">
        <v>509.0</v>
      </c>
      <c r="B512" s="336">
        <v>509.0</v>
      </c>
      <c r="C512" s="337" t="s">
        <v>3537</v>
      </c>
      <c r="D512" s="347" t="s">
        <v>5414</v>
      </c>
      <c r="E512" s="339" t="s">
        <v>482</v>
      </c>
      <c r="F512" s="340" t="s">
        <v>3256</v>
      </c>
      <c r="G512" s="341">
        <v>1916.1</v>
      </c>
      <c r="H512" s="342">
        <v>8.3</v>
      </c>
      <c r="I512" s="342">
        <v>94.1</v>
      </c>
      <c r="J512" s="342">
        <v>-54.9</v>
      </c>
      <c r="K512" s="342">
        <v>4.9</v>
      </c>
      <c r="L512" s="342">
        <v>10.7</v>
      </c>
      <c r="M512" s="346">
        <v>209.4</v>
      </c>
      <c r="O512" s="344"/>
    </row>
    <row r="513" ht="15.75" customHeight="1">
      <c r="A513" s="335">
        <v>510.0</v>
      </c>
      <c r="B513" s="336">
        <v>510.0</v>
      </c>
      <c r="C513" s="337">
        <v>452.0</v>
      </c>
      <c r="D513" s="338" t="s">
        <v>5415</v>
      </c>
      <c r="E513" s="339" t="s">
        <v>482</v>
      </c>
      <c r="F513" s="340" t="s">
        <v>5012</v>
      </c>
      <c r="G513" s="341">
        <v>1914.4</v>
      </c>
      <c r="H513" s="342">
        <v>0.9</v>
      </c>
      <c r="I513" s="342">
        <v>18.2</v>
      </c>
      <c r="J513" s="342">
        <v>-41.2</v>
      </c>
      <c r="K513" s="342">
        <v>1.0</v>
      </c>
      <c r="L513" s="342">
        <v>1.2</v>
      </c>
      <c r="M513" s="346">
        <v>72.9</v>
      </c>
      <c r="O513" s="344"/>
    </row>
    <row r="514" ht="15.75" customHeight="1">
      <c r="A514" s="335">
        <v>511.0</v>
      </c>
      <c r="B514" s="336">
        <v>511.0</v>
      </c>
      <c r="C514" s="337">
        <v>548.0</v>
      </c>
      <c r="D514" s="338" t="s">
        <v>5416</v>
      </c>
      <c r="E514" s="339" t="s">
        <v>482</v>
      </c>
      <c r="F514" s="340" t="s">
        <v>4970</v>
      </c>
      <c r="G514" s="341">
        <v>1904.8</v>
      </c>
      <c r="H514" s="342">
        <v>32.5</v>
      </c>
      <c r="I514" s="342">
        <v>7.0</v>
      </c>
      <c r="J514" s="342">
        <v>-98.9</v>
      </c>
      <c r="K514" s="342">
        <v>0.4</v>
      </c>
      <c r="L514" s="342">
        <v>0.4</v>
      </c>
      <c r="M514" s="346">
        <v>43.9</v>
      </c>
      <c r="O514" s="344"/>
    </row>
    <row r="515" ht="15.75" customHeight="1">
      <c r="A515" s="335">
        <v>512.0</v>
      </c>
      <c r="B515" s="336">
        <v>512.0</v>
      </c>
      <c r="C515" s="337">
        <v>437.0</v>
      </c>
      <c r="D515" s="338" t="s">
        <v>5417</v>
      </c>
      <c r="E515" s="339" t="s">
        <v>482</v>
      </c>
      <c r="F515" s="340" t="s">
        <v>5122</v>
      </c>
      <c r="G515" s="341">
        <v>1902.1</v>
      </c>
      <c r="H515" s="342">
        <v>-5.2</v>
      </c>
      <c r="I515" s="342">
        <v>632.1</v>
      </c>
      <c r="J515" s="342">
        <v>-35.6</v>
      </c>
      <c r="K515" s="342">
        <v>33.2</v>
      </c>
      <c r="L515" s="342">
        <v>13.0</v>
      </c>
      <c r="M515" s="346">
        <v>761.1</v>
      </c>
      <c r="O515" s="344"/>
    </row>
    <row r="516" ht="15.75" customHeight="1">
      <c r="A516" s="335">
        <v>513.0</v>
      </c>
      <c r="B516" s="336">
        <v>513.0</v>
      </c>
      <c r="C516" s="337">
        <v>401.0</v>
      </c>
      <c r="D516" s="338" t="s">
        <v>5418</v>
      </c>
      <c r="E516" s="339" t="s">
        <v>482</v>
      </c>
      <c r="F516" s="340" t="s">
        <v>5050</v>
      </c>
      <c r="G516" s="341">
        <v>1900.0</v>
      </c>
      <c r="H516" s="342">
        <v>-15.4</v>
      </c>
      <c r="I516" s="342" t="s">
        <v>3537</v>
      </c>
      <c r="J516" s="342" t="s">
        <v>3537</v>
      </c>
      <c r="K516" s="342" t="s">
        <v>3537</v>
      </c>
      <c r="L516" s="342" t="s">
        <v>3537</v>
      </c>
      <c r="M516" s="346" t="s">
        <v>3537</v>
      </c>
      <c r="O516" s="344"/>
    </row>
    <row r="517" ht="15.75" customHeight="1">
      <c r="A517" s="335">
        <v>514.0</v>
      </c>
      <c r="B517" s="336">
        <v>514.0</v>
      </c>
      <c r="C517" s="337">
        <v>423.0</v>
      </c>
      <c r="D517" s="338" t="s">
        <v>5419</v>
      </c>
      <c r="E517" s="339" t="s">
        <v>274</v>
      </c>
      <c r="F517" s="340" t="s">
        <v>4983</v>
      </c>
      <c r="G517" s="341">
        <v>1892.8</v>
      </c>
      <c r="H517" s="342">
        <v>-8.2</v>
      </c>
      <c r="I517" s="342">
        <v>3.3</v>
      </c>
      <c r="J517" s="342">
        <v>-99.5</v>
      </c>
      <c r="K517" s="342">
        <v>0.2</v>
      </c>
      <c r="L517" s="342">
        <v>0.2</v>
      </c>
      <c r="M517" s="346">
        <v>541.0</v>
      </c>
      <c r="O517" s="344"/>
    </row>
    <row r="518" ht="15.75" customHeight="1">
      <c r="A518" s="335">
        <v>515.0</v>
      </c>
      <c r="B518" s="336">
        <v>515.0</v>
      </c>
      <c r="C518" s="337">
        <v>519.0</v>
      </c>
      <c r="D518" s="338" t="s">
        <v>5420</v>
      </c>
      <c r="E518" s="339" t="s">
        <v>546</v>
      </c>
      <c r="F518" s="340" t="s">
        <v>4963</v>
      </c>
      <c r="G518" s="341">
        <v>1892.7</v>
      </c>
      <c r="H518" s="342">
        <v>21.8</v>
      </c>
      <c r="I518" s="342">
        <v>162.6</v>
      </c>
      <c r="J518" s="341">
        <v>2677.9</v>
      </c>
      <c r="K518" s="342">
        <v>8.6</v>
      </c>
      <c r="L518" s="342">
        <v>17.1</v>
      </c>
      <c r="M518" s="346">
        <v>245.1</v>
      </c>
      <c r="O518" s="344"/>
    </row>
    <row r="519" ht="15.75" customHeight="1">
      <c r="A519" s="335">
        <v>516.0</v>
      </c>
      <c r="B519" s="336">
        <v>516.0</v>
      </c>
      <c r="C519" s="337">
        <v>554.0</v>
      </c>
      <c r="D519" s="338" t="s">
        <v>5421</v>
      </c>
      <c r="E519" s="339" t="s">
        <v>367</v>
      </c>
      <c r="F519" s="340" t="s">
        <v>4970</v>
      </c>
      <c r="G519" s="341">
        <v>1892.6</v>
      </c>
      <c r="H519" s="342">
        <v>33.5</v>
      </c>
      <c r="I519" s="342">
        <v>542.5</v>
      </c>
      <c r="J519" s="342">
        <v>-0.2</v>
      </c>
      <c r="K519" s="342">
        <v>28.7</v>
      </c>
      <c r="L519" s="342">
        <v>42.0</v>
      </c>
      <c r="M519" s="346">
        <v>507.9</v>
      </c>
      <c r="O519" s="344"/>
    </row>
    <row r="520" ht="15.75" customHeight="1">
      <c r="A520" s="335">
        <v>517.0</v>
      </c>
      <c r="B520" s="336">
        <v>517.0</v>
      </c>
      <c r="C520" s="337">
        <v>664.0</v>
      </c>
      <c r="D520" s="338" t="s">
        <v>5422</v>
      </c>
      <c r="E520" s="339" t="s">
        <v>482</v>
      </c>
      <c r="F520" s="340" t="s">
        <v>5028</v>
      </c>
      <c r="G520" s="341">
        <v>1887.6</v>
      </c>
      <c r="H520" s="342">
        <v>71.4</v>
      </c>
      <c r="I520" s="342">
        <v>619.0</v>
      </c>
      <c r="J520" s="342">
        <v>73.9</v>
      </c>
      <c r="K520" s="342">
        <v>32.8</v>
      </c>
      <c r="L520" s="342">
        <v>60.3</v>
      </c>
      <c r="M520" s="346">
        <v>676.2</v>
      </c>
      <c r="O520" s="344"/>
    </row>
    <row r="521" ht="15.75" customHeight="1">
      <c r="A521" s="335">
        <v>518.0</v>
      </c>
      <c r="B521" s="336">
        <v>518.0</v>
      </c>
      <c r="C521" s="337">
        <v>406.0</v>
      </c>
      <c r="D521" s="338" t="s">
        <v>5423</v>
      </c>
      <c r="E521" s="339" t="s">
        <v>482</v>
      </c>
      <c r="F521" s="340" t="s">
        <v>5028</v>
      </c>
      <c r="G521" s="341">
        <v>1879.4</v>
      </c>
      <c r="H521" s="342">
        <v>16.3</v>
      </c>
      <c r="I521" s="342">
        <v>15.5</v>
      </c>
      <c r="J521" s="342">
        <v>-73.2</v>
      </c>
      <c r="K521" s="342">
        <v>0.8</v>
      </c>
      <c r="L521" s="342">
        <v>1.2</v>
      </c>
      <c r="M521" s="346">
        <v>338.2</v>
      </c>
      <c r="O521" s="344"/>
    </row>
    <row r="522" ht="15.75" customHeight="1">
      <c r="A522" s="335">
        <v>519.0</v>
      </c>
      <c r="B522" s="336">
        <v>519.0</v>
      </c>
      <c r="C522" s="337" t="s">
        <v>3537</v>
      </c>
      <c r="D522" s="338" t="s">
        <v>5424</v>
      </c>
      <c r="E522" s="339" t="s">
        <v>98</v>
      </c>
      <c r="F522" s="340" t="s">
        <v>4960</v>
      </c>
      <c r="G522" s="341">
        <v>1879.1</v>
      </c>
      <c r="H522" s="342">
        <v>40.4</v>
      </c>
      <c r="I522" s="342">
        <v>17.8</v>
      </c>
      <c r="J522" s="342">
        <v>320.1</v>
      </c>
      <c r="K522" s="342">
        <v>0.9</v>
      </c>
      <c r="L522" s="342">
        <v>61.5</v>
      </c>
      <c r="M522" s="346">
        <v>32.8</v>
      </c>
      <c r="O522" s="344"/>
    </row>
    <row r="523" ht="15.75" customHeight="1">
      <c r="A523" s="335">
        <v>520.0</v>
      </c>
      <c r="B523" s="336">
        <v>520.0</v>
      </c>
      <c r="C523" s="337">
        <v>480.0</v>
      </c>
      <c r="D523" s="338" t="s">
        <v>5425</v>
      </c>
      <c r="E523" s="339" t="s">
        <v>482</v>
      </c>
      <c r="F523" s="340" t="s">
        <v>4974</v>
      </c>
      <c r="G523" s="341">
        <v>1877.1</v>
      </c>
      <c r="H523" s="342">
        <v>8.5</v>
      </c>
      <c r="I523" s="342">
        <v>354.8</v>
      </c>
      <c r="J523" s="342">
        <v>27.5</v>
      </c>
      <c r="K523" s="342">
        <v>18.9</v>
      </c>
      <c r="L523" s="342">
        <v>19.5</v>
      </c>
      <c r="M523" s="346">
        <v>364.8</v>
      </c>
      <c r="O523" s="344"/>
    </row>
    <row r="524" ht="15.75" customHeight="1">
      <c r="A524" s="335">
        <v>521.0</v>
      </c>
      <c r="B524" s="336">
        <v>521.0</v>
      </c>
      <c r="C524" s="337" t="s">
        <v>3537</v>
      </c>
      <c r="D524" s="338" t="s">
        <v>5426</v>
      </c>
      <c r="E524" s="339" t="s">
        <v>482</v>
      </c>
      <c r="F524" s="340" t="s">
        <v>4999</v>
      </c>
      <c r="G524" s="341">
        <v>1869.2</v>
      </c>
      <c r="H524" s="342">
        <v>-5.2</v>
      </c>
      <c r="I524" s="342" t="s">
        <v>3537</v>
      </c>
      <c r="J524" s="342" t="s">
        <v>3537</v>
      </c>
      <c r="K524" s="342" t="s">
        <v>3537</v>
      </c>
      <c r="L524" s="342" t="s">
        <v>3537</v>
      </c>
      <c r="M524" s="346" t="s">
        <v>3537</v>
      </c>
      <c r="O524" s="344"/>
    </row>
    <row r="525" ht="15.75" customHeight="1">
      <c r="A525" s="335">
        <v>522.0</v>
      </c>
      <c r="B525" s="336">
        <v>522.0</v>
      </c>
      <c r="C525" s="337" t="s">
        <v>3537</v>
      </c>
      <c r="D525" s="338" t="s">
        <v>5427</v>
      </c>
      <c r="E525" s="339" t="s">
        <v>482</v>
      </c>
      <c r="F525" s="340" t="s">
        <v>4983</v>
      </c>
      <c r="G525" s="341">
        <v>1868.2</v>
      </c>
      <c r="H525" s="342">
        <v>138.1</v>
      </c>
      <c r="I525" s="342">
        <v>320.9</v>
      </c>
      <c r="J525" s="342">
        <v>200.4</v>
      </c>
      <c r="K525" s="342">
        <v>17.2</v>
      </c>
      <c r="L525" s="342">
        <v>46.1</v>
      </c>
      <c r="M525" s="346">
        <v>440.1</v>
      </c>
      <c r="O525" s="344"/>
    </row>
    <row r="526" ht="15.75" customHeight="1">
      <c r="A526" s="335">
        <v>523.0</v>
      </c>
      <c r="B526" s="336">
        <v>523.0</v>
      </c>
      <c r="C526" s="337">
        <v>512.0</v>
      </c>
      <c r="D526" s="338" t="s">
        <v>5428</v>
      </c>
      <c r="E526" s="339" t="s">
        <v>349</v>
      </c>
      <c r="F526" s="340" t="s">
        <v>4981</v>
      </c>
      <c r="G526" s="341">
        <v>1864.6</v>
      </c>
      <c r="H526" s="342">
        <v>17.0</v>
      </c>
      <c r="I526" s="342">
        <v>64.0</v>
      </c>
      <c r="J526" s="342">
        <v>-41.5</v>
      </c>
      <c r="K526" s="342">
        <v>3.4</v>
      </c>
      <c r="L526" s="342">
        <v>2.3</v>
      </c>
      <c r="M526" s="346">
        <v>33.6</v>
      </c>
      <c r="O526" s="344"/>
    </row>
    <row r="527" ht="15.75" customHeight="1">
      <c r="A527" s="335">
        <v>524.0</v>
      </c>
      <c r="B527" s="336">
        <v>524.0</v>
      </c>
      <c r="C527" s="337">
        <v>475.0</v>
      </c>
      <c r="D527" s="338" t="s">
        <v>5429</v>
      </c>
      <c r="E527" s="339" t="s">
        <v>482</v>
      </c>
      <c r="F527" s="340" t="s">
        <v>5015</v>
      </c>
      <c r="G527" s="341">
        <v>1862.3</v>
      </c>
      <c r="H527" s="342">
        <v>5.5</v>
      </c>
      <c r="I527" s="342">
        <v>-45.4</v>
      </c>
      <c r="J527" s="342">
        <v>-3.3</v>
      </c>
      <c r="K527" s="342">
        <v>-2.4</v>
      </c>
      <c r="L527" s="342">
        <v>-5.1</v>
      </c>
      <c r="M527" s="346">
        <v>-76.4</v>
      </c>
      <c r="O527" s="344"/>
    </row>
    <row r="528" ht="15.75" customHeight="1">
      <c r="A528" s="335">
        <v>525.0</v>
      </c>
      <c r="B528" s="336">
        <v>525.0</v>
      </c>
      <c r="C528" s="337">
        <v>646.0</v>
      </c>
      <c r="D528" s="338" t="s">
        <v>5430</v>
      </c>
      <c r="E528" s="339" t="s">
        <v>98</v>
      </c>
      <c r="F528" s="340" t="s">
        <v>4960</v>
      </c>
      <c r="G528" s="341">
        <v>1860.3</v>
      </c>
      <c r="H528" s="342">
        <v>63.1</v>
      </c>
      <c r="I528" s="342">
        <v>152.4</v>
      </c>
      <c r="J528" s="342">
        <v>109.7</v>
      </c>
      <c r="K528" s="342">
        <v>8.2</v>
      </c>
      <c r="L528" s="342">
        <v>80.3</v>
      </c>
      <c r="M528" s="346">
        <v>204.4</v>
      </c>
      <c r="O528" s="344"/>
    </row>
    <row r="529" ht="15.75" customHeight="1">
      <c r="A529" s="335">
        <v>526.0</v>
      </c>
      <c r="B529" s="336">
        <v>526.0</v>
      </c>
      <c r="C529" s="337">
        <v>600.0</v>
      </c>
      <c r="D529" s="338" t="s">
        <v>5431</v>
      </c>
      <c r="E529" s="339" t="s">
        <v>1736</v>
      </c>
      <c r="F529" s="340" t="s">
        <v>87</v>
      </c>
      <c r="G529" s="341">
        <v>1859.5</v>
      </c>
      <c r="H529" s="342">
        <v>46.3</v>
      </c>
      <c r="I529" s="342">
        <v>385.1</v>
      </c>
      <c r="J529" s="342">
        <v>78.1</v>
      </c>
      <c r="K529" s="342">
        <v>20.7</v>
      </c>
      <c r="L529" s="342">
        <v>59.5</v>
      </c>
      <c r="M529" s="346">
        <v>183.5</v>
      </c>
      <c r="O529" s="344"/>
    </row>
    <row r="530" ht="15.75" customHeight="1">
      <c r="A530" s="335">
        <v>527.0</v>
      </c>
      <c r="B530" s="336">
        <v>527.0</v>
      </c>
      <c r="C530" s="337">
        <v>540.0</v>
      </c>
      <c r="D530" s="338" t="s">
        <v>5432</v>
      </c>
      <c r="E530" s="339" t="s">
        <v>482</v>
      </c>
      <c r="F530" s="340" t="s">
        <v>5050</v>
      </c>
      <c r="G530" s="341">
        <v>1843.7</v>
      </c>
      <c r="H530" s="342">
        <v>25.7</v>
      </c>
      <c r="I530" s="342">
        <v>360.9</v>
      </c>
      <c r="J530" s="342">
        <v>20.9</v>
      </c>
      <c r="K530" s="342">
        <v>19.6</v>
      </c>
      <c r="L530" s="342">
        <v>23.7</v>
      </c>
      <c r="M530" s="346">
        <v>365.5</v>
      </c>
      <c r="O530" s="344"/>
    </row>
    <row r="531" ht="15.75" customHeight="1">
      <c r="A531" s="335">
        <v>528.0</v>
      </c>
      <c r="B531" s="336">
        <v>528.0</v>
      </c>
      <c r="C531" s="337">
        <v>558.0</v>
      </c>
      <c r="D531" s="338" t="s">
        <v>5433</v>
      </c>
      <c r="E531" s="339" t="s">
        <v>1751</v>
      </c>
      <c r="F531" s="340" t="s">
        <v>5012</v>
      </c>
      <c r="G531" s="341">
        <v>1828.4</v>
      </c>
      <c r="H531" s="342">
        <v>29.6</v>
      </c>
      <c r="I531" s="342">
        <v>70.8</v>
      </c>
      <c r="J531" s="342">
        <v>-59.0</v>
      </c>
      <c r="K531" s="342">
        <v>3.9</v>
      </c>
      <c r="L531" s="342">
        <v>4.2</v>
      </c>
      <c r="M531" s="346">
        <v>294.2</v>
      </c>
      <c r="O531" s="344"/>
    </row>
    <row r="532" ht="15.75" customHeight="1">
      <c r="A532" s="335">
        <v>529.0</v>
      </c>
      <c r="B532" s="336">
        <v>529.0</v>
      </c>
      <c r="C532" s="337">
        <v>448.0</v>
      </c>
      <c r="D532" s="338" t="s">
        <v>5434</v>
      </c>
      <c r="E532" s="339" t="s">
        <v>98</v>
      </c>
      <c r="F532" s="340" t="s">
        <v>87</v>
      </c>
      <c r="G532" s="341">
        <v>1826.0</v>
      </c>
      <c r="H532" s="342">
        <v>-4.8</v>
      </c>
      <c r="I532" s="342">
        <v>7.0</v>
      </c>
      <c r="J532" s="342">
        <v>-94.4</v>
      </c>
      <c r="K532" s="342">
        <v>0.4</v>
      </c>
      <c r="L532" s="342">
        <v>1.1</v>
      </c>
      <c r="M532" s="346">
        <v>-32.1</v>
      </c>
      <c r="O532" s="344"/>
    </row>
    <row r="533" ht="15.75" customHeight="1">
      <c r="A533" s="335">
        <v>530.0</v>
      </c>
      <c r="B533" s="336">
        <v>530.0</v>
      </c>
      <c r="C533" s="337">
        <v>481.0</v>
      </c>
      <c r="D533" s="338" t="s">
        <v>5435</v>
      </c>
      <c r="E533" s="339" t="s">
        <v>98</v>
      </c>
      <c r="F533" s="340" t="s">
        <v>3754</v>
      </c>
      <c r="G533" s="341">
        <v>1823.6</v>
      </c>
      <c r="H533" s="342">
        <v>5.5</v>
      </c>
      <c r="I533" s="342">
        <v>4.7</v>
      </c>
      <c r="J533" s="342">
        <v>-92.9</v>
      </c>
      <c r="K533" s="342">
        <v>0.3</v>
      </c>
      <c r="L533" s="342">
        <v>0.8</v>
      </c>
      <c r="M533" s="346">
        <v>-2.6</v>
      </c>
      <c r="O533" s="344"/>
    </row>
    <row r="534" ht="15.75" customHeight="1">
      <c r="A534" s="335">
        <v>531.0</v>
      </c>
      <c r="B534" s="336">
        <v>531.0</v>
      </c>
      <c r="C534" s="337">
        <v>584.0</v>
      </c>
      <c r="D534" s="338" t="s">
        <v>5436</v>
      </c>
      <c r="E534" s="339" t="s">
        <v>156</v>
      </c>
      <c r="F534" s="340" t="s">
        <v>3754</v>
      </c>
      <c r="G534" s="341">
        <v>1818.6</v>
      </c>
      <c r="H534" s="342">
        <v>35.9</v>
      </c>
      <c r="I534" s="342">
        <v>-99.8</v>
      </c>
      <c r="J534" s="342">
        <v>29.9</v>
      </c>
      <c r="K534" s="342">
        <v>-5.5</v>
      </c>
      <c r="L534" s="342">
        <v>-10.0</v>
      </c>
      <c r="M534" s="346">
        <v>-123.5</v>
      </c>
      <c r="O534" s="344"/>
    </row>
    <row r="535" ht="15.75" customHeight="1">
      <c r="A535" s="335">
        <v>532.0</v>
      </c>
      <c r="B535" s="336">
        <v>532.0</v>
      </c>
      <c r="C535" s="337">
        <v>617.0</v>
      </c>
      <c r="D535" s="338" t="s">
        <v>5437</v>
      </c>
      <c r="E535" s="339" t="s">
        <v>482</v>
      </c>
      <c r="F535" s="340" t="s">
        <v>5001</v>
      </c>
      <c r="G535" s="341">
        <v>1815.4</v>
      </c>
      <c r="H535" s="342">
        <v>48.1</v>
      </c>
      <c r="I535" s="342">
        <v>382.5</v>
      </c>
      <c r="J535" s="342">
        <v>147.3</v>
      </c>
      <c r="K535" s="342">
        <v>21.1</v>
      </c>
      <c r="L535" s="342">
        <v>72.2</v>
      </c>
      <c r="M535" s="346">
        <v>447.5</v>
      </c>
      <c r="O535" s="344"/>
    </row>
    <row r="536" ht="15.75" customHeight="1">
      <c r="A536" s="335">
        <v>533.0</v>
      </c>
      <c r="B536" s="336">
        <v>533.0</v>
      </c>
      <c r="C536" s="337">
        <v>560.0</v>
      </c>
      <c r="D536" s="338" t="s">
        <v>5438</v>
      </c>
      <c r="E536" s="339" t="s">
        <v>482</v>
      </c>
      <c r="F536" s="340" t="s">
        <v>4974</v>
      </c>
      <c r="G536" s="341">
        <v>1815.4</v>
      </c>
      <c r="H536" s="342">
        <v>29.0</v>
      </c>
      <c r="I536" s="342">
        <v>335.1</v>
      </c>
      <c r="J536" s="342">
        <v>16.4</v>
      </c>
      <c r="K536" s="342">
        <v>18.5</v>
      </c>
      <c r="L536" s="342">
        <v>29.8</v>
      </c>
      <c r="M536" s="346">
        <v>370.8</v>
      </c>
      <c r="O536" s="344"/>
    </row>
    <row r="537" ht="15.75" customHeight="1">
      <c r="A537" s="335">
        <v>534.0</v>
      </c>
      <c r="B537" s="336">
        <v>534.0</v>
      </c>
      <c r="C537" s="337">
        <v>531.0</v>
      </c>
      <c r="D537" s="338" t="s">
        <v>5439</v>
      </c>
      <c r="E537" s="339" t="s">
        <v>156</v>
      </c>
      <c r="F537" s="340" t="s">
        <v>5012</v>
      </c>
      <c r="G537" s="341">
        <v>1814.7</v>
      </c>
      <c r="H537" s="342">
        <v>20.4</v>
      </c>
      <c r="I537" s="342">
        <v>-43.1</v>
      </c>
      <c r="J537" s="342">
        <v>-38.9</v>
      </c>
      <c r="K537" s="342">
        <v>-2.4</v>
      </c>
      <c r="L537" s="342">
        <v>-126.6</v>
      </c>
      <c r="M537" s="346">
        <v>-9.3</v>
      </c>
      <c r="O537" s="344"/>
    </row>
    <row r="538" ht="15.75" customHeight="1">
      <c r="A538" s="335">
        <v>535.0</v>
      </c>
      <c r="B538" s="336">
        <v>535.0</v>
      </c>
      <c r="C538" s="337">
        <v>731.0</v>
      </c>
      <c r="D538" s="338" t="s">
        <v>5440</v>
      </c>
      <c r="E538" s="339" t="s">
        <v>332</v>
      </c>
      <c r="F538" s="340" t="s">
        <v>4970</v>
      </c>
      <c r="G538" s="341">
        <v>1814.7</v>
      </c>
      <c r="H538" s="342">
        <v>88.6</v>
      </c>
      <c r="I538" s="342">
        <v>915.9</v>
      </c>
      <c r="J538" s="342">
        <v>186.5</v>
      </c>
      <c r="K538" s="342">
        <v>50.5</v>
      </c>
      <c r="L538" s="342">
        <v>141.6</v>
      </c>
      <c r="M538" s="346">
        <v>968.5</v>
      </c>
      <c r="O538" s="344"/>
    </row>
    <row r="539" ht="15.75" customHeight="1">
      <c r="A539" s="335">
        <v>536.0</v>
      </c>
      <c r="B539" s="336">
        <v>536.0</v>
      </c>
      <c r="C539" s="337">
        <v>611.0</v>
      </c>
      <c r="D539" s="338" t="s">
        <v>5441</v>
      </c>
      <c r="E539" s="339" t="s">
        <v>156</v>
      </c>
      <c r="F539" s="340" t="s">
        <v>4999</v>
      </c>
      <c r="G539" s="341">
        <v>1812.4</v>
      </c>
      <c r="H539" s="342">
        <v>45.6</v>
      </c>
      <c r="I539" s="342">
        <v>239.3</v>
      </c>
      <c r="J539" s="342">
        <v>18.0</v>
      </c>
      <c r="K539" s="342">
        <v>13.2</v>
      </c>
      <c r="L539" s="342">
        <v>44.0</v>
      </c>
      <c r="M539" s="346">
        <v>321.6</v>
      </c>
      <c r="O539" s="344"/>
    </row>
    <row r="540" ht="15.75" customHeight="1">
      <c r="A540" s="335">
        <v>537.0</v>
      </c>
      <c r="B540" s="336">
        <v>537.0</v>
      </c>
      <c r="C540" s="337">
        <v>525.0</v>
      </c>
      <c r="D540" s="338" t="s">
        <v>5442</v>
      </c>
      <c r="E540" s="339" t="s">
        <v>482</v>
      </c>
      <c r="F540" s="340" t="s">
        <v>5012</v>
      </c>
      <c r="G540" s="341">
        <v>1804.3</v>
      </c>
      <c r="H540" s="342">
        <v>18.7</v>
      </c>
      <c r="I540" s="342">
        <v>-106.9</v>
      </c>
      <c r="J540" s="342">
        <v>-498.4</v>
      </c>
      <c r="K540" s="342">
        <v>-5.9</v>
      </c>
      <c r="L540" s="342">
        <v>-19.4</v>
      </c>
      <c r="M540" s="346">
        <v>-6.6</v>
      </c>
      <c r="O540" s="344"/>
    </row>
    <row r="541" ht="15.75" customHeight="1">
      <c r="A541" s="335">
        <v>538.0</v>
      </c>
      <c r="B541" s="336">
        <v>538.0</v>
      </c>
      <c r="C541" s="337">
        <v>594.0</v>
      </c>
      <c r="D541" s="338" t="s">
        <v>5443</v>
      </c>
      <c r="E541" s="339" t="s">
        <v>1751</v>
      </c>
      <c r="F541" s="340" t="s">
        <v>5122</v>
      </c>
      <c r="G541" s="341">
        <v>1797.6</v>
      </c>
      <c r="H541" s="342">
        <v>39.5</v>
      </c>
      <c r="I541" s="342">
        <v>769.4</v>
      </c>
      <c r="J541" s="342">
        <v>70.0</v>
      </c>
      <c r="K541" s="342">
        <v>42.8</v>
      </c>
      <c r="L541" s="342">
        <v>11.9</v>
      </c>
      <c r="M541" s="343">
        <v>1052.0</v>
      </c>
      <c r="O541" s="344"/>
    </row>
    <row r="542" ht="15.75" customHeight="1">
      <c r="A542" s="335">
        <v>539.0</v>
      </c>
      <c r="B542" s="336">
        <v>539.0</v>
      </c>
      <c r="C542" s="337">
        <v>571.0</v>
      </c>
      <c r="D542" s="338" t="s">
        <v>5444</v>
      </c>
      <c r="E542" s="339" t="s">
        <v>482</v>
      </c>
      <c r="F542" s="340" t="s">
        <v>4993</v>
      </c>
      <c r="G542" s="341">
        <v>1794.0</v>
      </c>
      <c r="H542" s="342">
        <v>31.1</v>
      </c>
      <c r="I542" s="342">
        <v>89.8</v>
      </c>
      <c r="J542" s="342">
        <v>421.4</v>
      </c>
      <c r="K542" s="342">
        <v>5.0</v>
      </c>
      <c r="L542" s="342">
        <v>10.7</v>
      </c>
      <c r="M542" s="346">
        <v>117.3</v>
      </c>
      <c r="O542" s="344"/>
    </row>
    <row r="543" ht="15.75" customHeight="1">
      <c r="A543" s="335">
        <v>540.0</v>
      </c>
      <c r="B543" s="336">
        <v>540.0</v>
      </c>
      <c r="C543" s="337" t="s">
        <v>3537</v>
      </c>
      <c r="D543" s="338" t="s">
        <v>5445</v>
      </c>
      <c r="E543" s="339" t="s">
        <v>1751</v>
      </c>
      <c r="F543" s="340" t="s">
        <v>5172</v>
      </c>
      <c r="G543" s="341">
        <v>1793.9</v>
      </c>
      <c r="H543" s="342">
        <v>70.1</v>
      </c>
      <c r="I543" s="342">
        <v>-43.3</v>
      </c>
      <c r="J543" s="342">
        <v>-113.6</v>
      </c>
      <c r="K543" s="342">
        <v>-2.4</v>
      </c>
      <c r="L543" s="342">
        <v>-4.2</v>
      </c>
      <c r="M543" s="346">
        <v>108.0</v>
      </c>
      <c r="O543" s="344"/>
    </row>
    <row r="544" ht="15.75" customHeight="1">
      <c r="A544" s="335">
        <v>541.0</v>
      </c>
      <c r="B544" s="336">
        <v>541.0</v>
      </c>
      <c r="C544" s="337">
        <v>517.0</v>
      </c>
      <c r="D544" s="338" t="s">
        <v>5446</v>
      </c>
      <c r="E544" s="339" t="s">
        <v>574</v>
      </c>
      <c r="F544" s="340" t="s">
        <v>5010</v>
      </c>
      <c r="G544" s="341">
        <v>1781.8</v>
      </c>
      <c r="H544" s="342">
        <v>14.0</v>
      </c>
      <c r="I544" s="342">
        <v>168.6</v>
      </c>
      <c r="J544" s="342">
        <v>12.0</v>
      </c>
      <c r="K544" s="342">
        <v>9.5</v>
      </c>
      <c r="L544" s="342">
        <v>30.6</v>
      </c>
      <c r="M544" s="346">
        <v>212.4</v>
      </c>
      <c r="O544" s="344"/>
    </row>
    <row r="545" ht="15.75" customHeight="1">
      <c r="A545" s="335">
        <v>542.0</v>
      </c>
      <c r="B545" s="336">
        <v>542.0</v>
      </c>
      <c r="C545" s="337">
        <v>605.0</v>
      </c>
      <c r="D545" s="338" t="s">
        <v>5447</v>
      </c>
      <c r="E545" s="339" t="s">
        <v>156</v>
      </c>
      <c r="F545" s="340" t="s">
        <v>4981</v>
      </c>
      <c r="G545" s="341">
        <v>1779.9</v>
      </c>
      <c r="H545" s="342">
        <v>41.4</v>
      </c>
      <c r="I545" s="342">
        <v>129.7</v>
      </c>
      <c r="J545" s="342">
        <v>118.6</v>
      </c>
      <c r="K545" s="342">
        <v>7.3</v>
      </c>
      <c r="L545" s="342">
        <v>15.0</v>
      </c>
      <c r="M545" s="346">
        <v>195.2</v>
      </c>
      <c r="O545" s="344"/>
    </row>
    <row r="546" ht="15.75" customHeight="1">
      <c r="A546" s="335">
        <v>543.0</v>
      </c>
      <c r="B546" s="336">
        <v>543.0</v>
      </c>
      <c r="C546" s="337">
        <v>615.0</v>
      </c>
      <c r="D546" s="338" t="s">
        <v>5448</v>
      </c>
      <c r="E546" s="339" t="s">
        <v>482</v>
      </c>
      <c r="F546" s="340" t="s">
        <v>5172</v>
      </c>
      <c r="G546" s="341">
        <v>1775.4</v>
      </c>
      <c r="H546" s="342">
        <v>44.1</v>
      </c>
      <c r="I546" s="342">
        <v>27.9</v>
      </c>
      <c r="J546" s="342">
        <v>133.7</v>
      </c>
      <c r="K546" s="342">
        <v>1.6</v>
      </c>
      <c r="L546" s="342">
        <v>1.0</v>
      </c>
      <c r="M546" s="346">
        <v>294.6</v>
      </c>
      <c r="O546" s="344"/>
    </row>
    <row r="547" ht="15.75" customHeight="1">
      <c r="A547" s="335">
        <v>544.0</v>
      </c>
      <c r="B547" s="336">
        <v>544.0</v>
      </c>
      <c r="C547" s="337">
        <v>583.0</v>
      </c>
      <c r="D547" s="338" t="s">
        <v>5449</v>
      </c>
      <c r="E547" s="339" t="s">
        <v>3433</v>
      </c>
      <c r="F547" s="340" t="s">
        <v>87</v>
      </c>
      <c r="G547" s="341">
        <v>1768.5</v>
      </c>
      <c r="H547" s="342">
        <v>32.0</v>
      </c>
      <c r="I547" s="342">
        <v>5.2</v>
      </c>
      <c r="J547" s="342">
        <v>-86.5</v>
      </c>
      <c r="K547" s="342">
        <v>0.3</v>
      </c>
      <c r="L547" s="342">
        <v>2.0</v>
      </c>
      <c r="M547" s="346">
        <v>-26.0</v>
      </c>
      <c r="O547" s="344"/>
    </row>
    <row r="548" ht="15.75" customHeight="1">
      <c r="A548" s="335">
        <v>545.0</v>
      </c>
      <c r="B548" s="336">
        <v>545.0</v>
      </c>
      <c r="C548" s="337">
        <v>656.0</v>
      </c>
      <c r="D548" s="338" t="s">
        <v>5450</v>
      </c>
      <c r="E548" s="339" t="s">
        <v>482</v>
      </c>
      <c r="F548" s="340" t="s">
        <v>5012</v>
      </c>
      <c r="G548" s="341">
        <v>1767.9</v>
      </c>
      <c r="H548" s="342">
        <v>58.5</v>
      </c>
      <c r="I548" s="342">
        <v>-8.2</v>
      </c>
      <c r="J548" s="342">
        <v>97.6</v>
      </c>
      <c r="K548" s="342">
        <v>-0.5</v>
      </c>
      <c r="L548" s="342">
        <v>-0.6</v>
      </c>
      <c r="M548" s="346">
        <v>289.6</v>
      </c>
      <c r="O548" s="344"/>
    </row>
    <row r="549" ht="15.75" customHeight="1">
      <c r="A549" s="335">
        <v>546.0</v>
      </c>
      <c r="B549" s="336">
        <v>546.0</v>
      </c>
      <c r="C549" s="337">
        <v>686.0</v>
      </c>
      <c r="D549" s="338" t="s">
        <v>5451</v>
      </c>
      <c r="E549" s="339" t="s">
        <v>574</v>
      </c>
      <c r="F549" s="340" t="s">
        <v>87</v>
      </c>
      <c r="G549" s="341">
        <v>1757.0</v>
      </c>
      <c r="H549" s="342">
        <v>68.2</v>
      </c>
      <c r="I549" s="342">
        <v>169.3</v>
      </c>
      <c r="J549" s="342">
        <v>32.5</v>
      </c>
      <c r="K549" s="342">
        <v>9.6</v>
      </c>
      <c r="L549" s="342">
        <v>23.0</v>
      </c>
      <c r="M549" s="346">
        <v>179.5</v>
      </c>
      <c r="O549" s="344"/>
    </row>
    <row r="550" ht="15.75" customHeight="1">
      <c r="A550" s="335">
        <v>547.0</v>
      </c>
      <c r="B550" s="336">
        <v>547.0</v>
      </c>
      <c r="C550" s="337">
        <v>574.0</v>
      </c>
      <c r="D550" s="338" t="s">
        <v>5452</v>
      </c>
      <c r="E550" s="339" t="s">
        <v>156</v>
      </c>
      <c r="F550" s="340" t="s">
        <v>5122</v>
      </c>
      <c r="G550" s="341">
        <v>1748.7</v>
      </c>
      <c r="H550" s="342">
        <v>28.1</v>
      </c>
      <c r="I550" s="342">
        <v>221.5</v>
      </c>
      <c r="J550" s="342">
        <v>29.2</v>
      </c>
      <c r="K550" s="342">
        <v>12.7</v>
      </c>
      <c r="L550" s="342">
        <v>16.5</v>
      </c>
      <c r="M550" s="346">
        <v>207.3</v>
      </c>
      <c r="O550" s="344"/>
    </row>
    <row r="551" ht="15.75" customHeight="1">
      <c r="A551" s="335">
        <v>548.0</v>
      </c>
      <c r="B551" s="336">
        <v>548.0</v>
      </c>
      <c r="C551" s="337">
        <v>533.0</v>
      </c>
      <c r="D551" s="338" t="s">
        <v>5453</v>
      </c>
      <c r="E551" s="339" t="s">
        <v>1751</v>
      </c>
      <c r="F551" s="340" t="s">
        <v>5172</v>
      </c>
      <c r="G551" s="341">
        <v>1748.2</v>
      </c>
      <c r="H551" s="342">
        <v>17.1</v>
      </c>
      <c r="I551" s="342">
        <v>5.7</v>
      </c>
      <c r="J551" s="342">
        <v>114.4</v>
      </c>
      <c r="K551" s="342">
        <v>0.3</v>
      </c>
      <c r="L551" s="342">
        <v>0.5</v>
      </c>
      <c r="M551" s="346">
        <v>-78.7</v>
      </c>
      <c r="O551" s="344"/>
    </row>
    <row r="552" ht="15.75" customHeight="1">
      <c r="A552" s="335">
        <v>549.0</v>
      </c>
      <c r="B552" s="336">
        <v>549.0</v>
      </c>
      <c r="C552" s="337" t="s">
        <v>3537</v>
      </c>
      <c r="D552" s="338" t="s">
        <v>5454</v>
      </c>
      <c r="E552" s="339" t="s">
        <v>482</v>
      </c>
      <c r="F552" s="340" t="s">
        <v>4974</v>
      </c>
      <c r="G552" s="341">
        <v>1746.1</v>
      </c>
      <c r="H552" s="342">
        <v>41.0</v>
      </c>
      <c r="I552" s="342">
        <v>356.5</v>
      </c>
      <c r="J552" s="342">
        <v>135.7</v>
      </c>
      <c r="K552" s="342">
        <v>20.4</v>
      </c>
      <c r="L552" s="342">
        <v>32.2</v>
      </c>
      <c r="M552" s="346">
        <v>515.9</v>
      </c>
      <c r="O552" s="344"/>
    </row>
    <row r="553" ht="15.75" customHeight="1">
      <c r="A553" s="335">
        <v>550.0</v>
      </c>
      <c r="B553" s="336">
        <v>550.0</v>
      </c>
      <c r="C553" s="337">
        <v>510.0</v>
      </c>
      <c r="D553" s="338" t="s">
        <v>5455</v>
      </c>
      <c r="E553" s="339" t="s">
        <v>98</v>
      </c>
      <c r="F553" s="340" t="s">
        <v>5015</v>
      </c>
      <c r="G553" s="341">
        <v>1745.3</v>
      </c>
      <c r="H553" s="342">
        <v>9.4</v>
      </c>
      <c r="I553" s="342">
        <v>-114.5</v>
      </c>
      <c r="J553" s="342">
        <v>-320.4</v>
      </c>
      <c r="K553" s="342">
        <v>-6.6</v>
      </c>
      <c r="L553" s="342" t="s">
        <v>5021</v>
      </c>
      <c r="M553" s="346">
        <v>-136.8</v>
      </c>
      <c r="O553" s="344"/>
    </row>
    <row r="554" ht="15.75" customHeight="1">
      <c r="A554" s="335">
        <v>551.0</v>
      </c>
      <c r="B554" s="336">
        <v>551.0</v>
      </c>
      <c r="C554" s="337">
        <v>631.0</v>
      </c>
      <c r="D554" s="347" t="s">
        <v>5456</v>
      </c>
      <c r="E554" s="339" t="s">
        <v>482</v>
      </c>
      <c r="F554" s="340" t="s">
        <v>3256</v>
      </c>
      <c r="G554" s="341">
        <v>1741.9</v>
      </c>
      <c r="H554" s="342">
        <v>27.3</v>
      </c>
      <c r="I554" s="342">
        <v>63.1</v>
      </c>
      <c r="J554" s="342">
        <v>-10.7</v>
      </c>
      <c r="K554" s="342">
        <v>3.6</v>
      </c>
      <c r="L554" s="342">
        <v>13.7</v>
      </c>
      <c r="M554" s="346">
        <v>108.2</v>
      </c>
      <c r="O554" s="344"/>
    </row>
    <row r="555" ht="15.75" customHeight="1">
      <c r="A555" s="335">
        <v>552.0</v>
      </c>
      <c r="B555" s="336">
        <v>552.0</v>
      </c>
      <c r="C555" s="337">
        <v>747.0</v>
      </c>
      <c r="D555" s="338" t="s">
        <v>5457</v>
      </c>
      <c r="E555" s="339" t="s">
        <v>332</v>
      </c>
      <c r="F555" s="340" t="s">
        <v>5055</v>
      </c>
      <c r="G555" s="341">
        <v>1725.7</v>
      </c>
      <c r="H555" s="342">
        <v>83.4</v>
      </c>
      <c r="I555" s="342">
        <v>42.3</v>
      </c>
      <c r="J555" s="342">
        <v>316.2</v>
      </c>
      <c r="K555" s="342">
        <v>2.5</v>
      </c>
      <c r="L555" s="342">
        <v>688.4</v>
      </c>
      <c r="M555" s="346">
        <v>51.6</v>
      </c>
      <c r="O555" s="344"/>
    </row>
    <row r="556" ht="15.75" customHeight="1">
      <c r="A556" s="335">
        <v>553.0</v>
      </c>
      <c r="B556" s="336">
        <v>553.0</v>
      </c>
      <c r="C556" s="337">
        <v>529.0</v>
      </c>
      <c r="D556" s="338" t="s">
        <v>5458</v>
      </c>
      <c r="E556" s="339" t="s">
        <v>1793</v>
      </c>
      <c r="F556" s="340" t="s">
        <v>3754</v>
      </c>
      <c r="G556" s="341">
        <v>1724.7</v>
      </c>
      <c r="H556" s="342">
        <v>14.1</v>
      </c>
      <c r="I556" s="342">
        <v>-5.4</v>
      </c>
      <c r="J556" s="342">
        <v>-124.8</v>
      </c>
      <c r="K556" s="342">
        <v>-0.3</v>
      </c>
      <c r="L556" s="342">
        <v>-5.1</v>
      </c>
      <c r="M556" s="346">
        <v>-5.4</v>
      </c>
      <c r="O556" s="344"/>
    </row>
    <row r="557" ht="15.75" customHeight="1">
      <c r="A557" s="335">
        <v>554.0</v>
      </c>
      <c r="B557" s="336">
        <v>554.0</v>
      </c>
      <c r="C557" s="337">
        <v>541.0</v>
      </c>
      <c r="D557" s="338" t="s">
        <v>5459</v>
      </c>
      <c r="E557" s="339" t="s">
        <v>1751</v>
      </c>
      <c r="F557" s="340" t="s">
        <v>5018</v>
      </c>
      <c r="G557" s="341">
        <v>1724.4</v>
      </c>
      <c r="H557" s="342">
        <v>17.6</v>
      </c>
      <c r="I557" s="342">
        <v>194.7</v>
      </c>
      <c r="J557" s="342">
        <v>-13.4</v>
      </c>
      <c r="K557" s="342">
        <v>11.3</v>
      </c>
      <c r="L557" s="342">
        <v>18.3</v>
      </c>
      <c r="M557" s="346">
        <v>471.7</v>
      </c>
      <c r="O557" s="344"/>
    </row>
    <row r="558" ht="15.75" customHeight="1">
      <c r="A558" s="335">
        <v>555.0</v>
      </c>
      <c r="B558" s="336">
        <v>555.0</v>
      </c>
      <c r="C558" s="337">
        <v>893.0</v>
      </c>
      <c r="D558" s="338" t="s">
        <v>5460</v>
      </c>
      <c r="E558" s="339" t="s">
        <v>1751</v>
      </c>
      <c r="F558" s="340" t="s">
        <v>4960</v>
      </c>
      <c r="G558" s="341">
        <v>1722.4</v>
      </c>
      <c r="H558" s="342">
        <v>136.7</v>
      </c>
      <c r="I558" s="342">
        <v>127.7</v>
      </c>
      <c r="J558" s="342">
        <v>698.7</v>
      </c>
      <c r="K558" s="342">
        <v>7.4</v>
      </c>
      <c r="L558" s="342">
        <v>3.0</v>
      </c>
      <c r="M558" s="346">
        <v>366.5</v>
      </c>
      <c r="O558" s="344"/>
    </row>
    <row r="559" ht="15.75" customHeight="1">
      <c r="A559" s="335">
        <v>556.0</v>
      </c>
      <c r="B559" s="336">
        <v>556.0</v>
      </c>
      <c r="C559" s="337">
        <v>672.0</v>
      </c>
      <c r="D559" s="338" t="s">
        <v>5461</v>
      </c>
      <c r="E559" s="339" t="s">
        <v>332</v>
      </c>
      <c r="F559" s="340" t="s">
        <v>3754</v>
      </c>
      <c r="G559" s="341">
        <v>1715.8</v>
      </c>
      <c r="H559" s="342">
        <v>58.9</v>
      </c>
      <c r="I559" s="342">
        <v>272.6</v>
      </c>
      <c r="J559" s="342">
        <v>64.0</v>
      </c>
      <c r="K559" s="342">
        <v>15.9</v>
      </c>
      <c r="L559" s="342">
        <v>65.4</v>
      </c>
      <c r="M559" s="346">
        <v>319.6</v>
      </c>
      <c r="O559" s="344"/>
    </row>
    <row r="560" ht="15.75" customHeight="1">
      <c r="A560" s="335">
        <v>557.0</v>
      </c>
      <c r="B560" s="336">
        <v>557.0</v>
      </c>
      <c r="C560" s="337">
        <v>524.0</v>
      </c>
      <c r="D560" s="338" t="s">
        <v>5462</v>
      </c>
      <c r="E560" s="339" t="s">
        <v>1793</v>
      </c>
      <c r="F560" s="340" t="s">
        <v>4985</v>
      </c>
      <c r="G560" s="341">
        <v>1715.3</v>
      </c>
      <c r="H560" s="342">
        <v>12.5</v>
      </c>
      <c r="I560" s="342">
        <v>524.3</v>
      </c>
      <c r="J560" s="342">
        <v>47.5</v>
      </c>
      <c r="K560" s="342">
        <v>30.6</v>
      </c>
      <c r="L560" s="342">
        <v>32.6</v>
      </c>
      <c r="M560" s="346">
        <v>419.3</v>
      </c>
      <c r="O560" s="344"/>
    </row>
    <row r="561" ht="15.75" customHeight="1">
      <c r="A561" s="335">
        <v>558.0</v>
      </c>
      <c r="B561" s="336">
        <v>558.0</v>
      </c>
      <c r="C561" s="337">
        <v>497.0</v>
      </c>
      <c r="D561" s="338" t="s">
        <v>5463</v>
      </c>
      <c r="E561" s="339" t="s">
        <v>482</v>
      </c>
      <c r="F561" s="340" t="s">
        <v>4974</v>
      </c>
      <c r="G561" s="341">
        <v>1711.9</v>
      </c>
      <c r="H561" s="342">
        <v>4.3</v>
      </c>
      <c r="I561" s="342">
        <v>77.9</v>
      </c>
      <c r="J561" s="342">
        <v>-48.0</v>
      </c>
      <c r="K561" s="342">
        <v>4.6</v>
      </c>
      <c r="L561" s="342">
        <v>9.2</v>
      </c>
      <c r="M561" s="346">
        <v>326.4</v>
      </c>
      <c r="O561" s="344"/>
    </row>
    <row r="562" ht="15.75" customHeight="1">
      <c r="A562" s="335">
        <v>559.0</v>
      </c>
      <c r="B562" s="336">
        <v>559.0</v>
      </c>
      <c r="C562" s="337">
        <v>570.0</v>
      </c>
      <c r="D562" s="338" t="s">
        <v>5464</v>
      </c>
      <c r="E562" s="339" t="s">
        <v>482</v>
      </c>
      <c r="F562" s="340" t="s">
        <v>5012</v>
      </c>
      <c r="G562" s="341">
        <v>1709.4</v>
      </c>
      <c r="H562" s="342">
        <v>24.4</v>
      </c>
      <c r="I562" s="342">
        <v>-335.4</v>
      </c>
      <c r="J562" s="341">
        <v>-1817.1</v>
      </c>
      <c r="K562" s="342">
        <v>-19.6</v>
      </c>
      <c r="L562" s="342">
        <v>-13.1</v>
      </c>
      <c r="M562" s="346">
        <v>209.1</v>
      </c>
      <c r="O562" s="344"/>
    </row>
    <row r="563" ht="15.75" customHeight="1">
      <c r="A563" s="335">
        <v>560.0</v>
      </c>
      <c r="B563" s="336">
        <v>560.0</v>
      </c>
      <c r="C563" s="337">
        <v>489.0</v>
      </c>
      <c r="D563" s="338" t="s">
        <v>5465</v>
      </c>
      <c r="E563" s="339" t="s">
        <v>98</v>
      </c>
      <c r="F563" s="340" t="s">
        <v>5015</v>
      </c>
      <c r="G563" s="341">
        <v>1703.7</v>
      </c>
      <c r="H563" s="342">
        <v>1.9</v>
      </c>
      <c r="I563" s="342">
        <v>-158.0</v>
      </c>
      <c r="J563" s="342">
        <v>41.2</v>
      </c>
      <c r="K563" s="342">
        <v>-9.3</v>
      </c>
      <c r="L563" s="342">
        <v>-142.8</v>
      </c>
      <c r="M563" s="346">
        <v>-182.3</v>
      </c>
      <c r="O563" s="344"/>
    </row>
    <row r="564" ht="15.75" customHeight="1">
      <c r="A564" s="335">
        <v>561.0</v>
      </c>
      <c r="B564" s="336">
        <v>561.0</v>
      </c>
      <c r="C564" s="337">
        <v>614.0</v>
      </c>
      <c r="D564" s="345" t="s">
        <v>5466</v>
      </c>
      <c r="E564" s="339" t="s">
        <v>482</v>
      </c>
      <c r="F564" s="340" t="s">
        <v>3256</v>
      </c>
      <c r="G564" s="341">
        <v>1699.2</v>
      </c>
      <c r="H564" s="342">
        <v>37.5</v>
      </c>
      <c r="I564" s="342">
        <v>173.7</v>
      </c>
      <c r="J564" s="342">
        <v>112.3</v>
      </c>
      <c r="K564" s="342">
        <v>10.2</v>
      </c>
      <c r="L564" s="342">
        <v>55.7</v>
      </c>
      <c r="M564" s="346">
        <v>145.0</v>
      </c>
      <c r="O564" s="344"/>
    </row>
    <row r="565" ht="15.75" customHeight="1">
      <c r="A565" s="335">
        <v>562.0</v>
      </c>
      <c r="B565" s="336">
        <v>562.0</v>
      </c>
      <c r="C565" s="337">
        <v>472.0</v>
      </c>
      <c r="D565" s="338" t="s">
        <v>5467</v>
      </c>
      <c r="E565" s="339" t="s">
        <v>1755</v>
      </c>
      <c r="F565" s="340" t="s">
        <v>4960</v>
      </c>
      <c r="G565" s="341">
        <v>1696.4</v>
      </c>
      <c r="H565" s="342">
        <v>-4.2</v>
      </c>
      <c r="I565" s="342">
        <v>86.7</v>
      </c>
      <c r="J565" s="342">
        <v>-55.5</v>
      </c>
      <c r="K565" s="342">
        <v>5.1</v>
      </c>
      <c r="L565" s="342">
        <v>19.5</v>
      </c>
      <c r="M565" s="346">
        <v>-79.7</v>
      </c>
      <c r="O565" s="344"/>
    </row>
    <row r="566" ht="15.75" customHeight="1">
      <c r="A566" s="335">
        <v>563.0</v>
      </c>
      <c r="B566" s="336">
        <v>563.0</v>
      </c>
      <c r="C566" s="337">
        <v>499.0</v>
      </c>
      <c r="D566" s="338" t="s">
        <v>5468</v>
      </c>
      <c r="E566" s="339" t="s">
        <v>98</v>
      </c>
      <c r="F566" s="340" t="s">
        <v>87</v>
      </c>
      <c r="G566" s="341">
        <v>1694.9</v>
      </c>
      <c r="H566" s="342">
        <v>3.3</v>
      </c>
      <c r="I566" s="342">
        <v>34.8</v>
      </c>
      <c r="J566" s="342">
        <v>42.2</v>
      </c>
      <c r="K566" s="342">
        <v>2.1</v>
      </c>
      <c r="L566" s="342">
        <v>19.0</v>
      </c>
      <c r="M566" s="346">
        <v>33.2</v>
      </c>
      <c r="O566" s="344"/>
    </row>
    <row r="567" ht="15.75" customHeight="1">
      <c r="A567" s="335">
        <v>564.0</v>
      </c>
      <c r="B567" s="336">
        <v>564.0</v>
      </c>
      <c r="C567" s="337" t="s">
        <v>3537</v>
      </c>
      <c r="D567" s="338" t="s">
        <v>5469</v>
      </c>
      <c r="E567" s="339" t="s">
        <v>332</v>
      </c>
      <c r="F567" s="340" t="s">
        <v>5055</v>
      </c>
      <c r="G567" s="341">
        <v>1687.1</v>
      </c>
      <c r="H567" s="342">
        <v>55.3</v>
      </c>
      <c r="I567" s="342">
        <v>164.8</v>
      </c>
      <c r="J567" s="342">
        <v>22.1</v>
      </c>
      <c r="K567" s="342">
        <v>9.8</v>
      </c>
      <c r="L567" s="342">
        <v>53.5</v>
      </c>
      <c r="M567" s="346">
        <v>243.4</v>
      </c>
      <c r="O567" s="344"/>
    </row>
    <row r="568" ht="15.75" customHeight="1">
      <c r="A568" s="335">
        <v>565.0</v>
      </c>
      <c r="B568" s="336">
        <v>565.0</v>
      </c>
      <c r="C568" s="337">
        <v>508.0</v>
      </c>
      <c r="D568" s="338" t="s">
        <v>5470</v>
      </c>
      <c r="E568" s="339" t="s">
        <v>98</v>
      </c>
      <c r="F568" s="340" t="s">
        <v>4981</v>
      </c>
      <c r="G568" s="341">
        <v>1686.7</v>
      </c>
      <c r="H568" s="342">
        <v>5.0</v>
      </c>
      <c r="I568" s="342">
        <v>378.2</v>
      </c>
      <c r="J568" s="342">
        <v>32.6</v>
      </c>
      <c r="K568" s="342">
        <v>22.4</v>
      </c>
      <c r="L568" s="342">
        <v>36.3</v>
      </c>
      <c r="M568" s="346">
        <v>554.0</v>
      </c>
      <c r="O568" s="344"/>
    </row>
    <row r="569" ht="15.75" customHeight="1">
      <c r="A569" s="335">
        <v>566.0</v>
      </c>
      <c r="B569" s="336">
        <v>566.0</v>
      </c>
      <c r="C569" s="337" t="s">
        <v>3537</v>
      </c>
      <c r="D569" s="338" t="s">
        <v>5471</v>
      </c>
      <c r="E569" s="339" t="s">
        <v>349</v>
      </c>
      <c r="F569" s="340" t="s">
        <v>4974</v>
      </c>
      <c r="G569" s="341">
        <v>1685.9</v>
      </c>
      <c r="H569" s="341">
        <v>1155.3</v>
      </c>
      <c r="I569" s="342">
        <v>106.6</v>
      </c>
      <c r="J569" s="341">
        <v>1818.8</v>
      </c>
      <c r="K569" s="342">
        <v>6.3</v>
      </c>
      <c r="L569" s="342">
        <v>200.9</v>
      </c>
      <c r="M569" s="346">
        <v>75.2</v>
      </c>
      <c r="O569" s="344"/>
    </row>
    <row r="570" ht="15.75" customHeight="1">
      <c r="A570" s="335">
        <v>567.0</v>
      </c>
      <c r="B570" s="336">
        <v>567.0</v>
      </c>
      <c r="C570" s="337" t="s">
        <v>3537</v>
      </c>
      <c r="D570" s="338" t="s">
        <v>5472</v>
      </c>
      <c r="E570" s="339" t="s">
        <v>156</v>
      </c>
      <c r="F570" s="340" t="s">
        <v>87</v>
      </c>
      <c r="G570" s="341">
        <v>1683.3</v>
      </c>
      <c r="H570" s="342">
        <v>62.5</v>
      </c>
      <c r="I570" s="342">
        <v>64.8</v>
      </c>
      <c r="J570" s="342">
        <v>64.2</v>
      </c>
      <c r="K570" s="342">
        <v>3.9</v>
      </c>
      <c r="L570" s="342">
        <v>46.8</v>
      </c>
      <c r="M570" s="346">
        <v>63.3</v>
      </c>
      <c r="O570" s="344"/>
    </row>
    <row r="571" ht="15.75" customHeight="1">
      <c r="A571" s="335">
        <v>568.0</v>
      </c>
      <c r="B571" s="336">
        <v>568.0</v>
      </c>
      <c r="C571" s="337">
        <v>561.0</v>
      </c>
      <c r="D571" s="338" t="s">
        <v>5473</v>
      </c>
      <c r="E571" s="339" t="s">
        <v>1755</v>
      </c>
      <c r="F571" s="340" t="s">
        <v>5172</v>
      </c>
      <c r="G571" s="341">
        <v>1676.3</v>
      </c>
      <c r="H571" s="342">
        <v>19.1</v>
      </c>
      <c r="I571" s="342">
        <v>-222.1</v>
      </c>
      <c r="J571" s="342">
        <v>-523.3</v>
      </c>
      <c r="K571" s="342">
        <v>-13.3</v>
      </c>
      <c r="L571" s="342">
        <v>-16.5</v>
      </c>
      <c r="M571" s="346">
        <v>-27.2</v>
      </c>
      <c r="O571" s="344"/>
    </row>
    <row r="572" ht="15.75" customHeight="1">
      <c r="A572" s="335">
        <v>569.0</v>
      </c>
      <c r="B572" s="336">
        <v>569.0</v>
      </c>
      <c r="C572" s="337">
        <v>634.0</v>
      </c>
      <c r="D572" s="338" t="s">
        <v>5474</v>
      </c>
      <c r="E572" s="339" t="s">
        <v>156</v>
      </c>
      <c r="F572" s="340" t="s">
        <v>3754</v>
      </c>
      <c r="G572" s="341">
        <v>1674.3</v>
      </c>
      <c r="H572" s="342">
        <v>44.4</v>
      </c>
      <c r="I572" s="342">
        <v>215.7</v>
      </c>
      <c r="J572" s="342">
        <v>105.0</v>
      </c>
      <c r="K572" s="342">
        <v>12.9</v>
      </c>
      <c r="L572" s="342">
        <v>46.8</v>
      </c>
      <c r="M572" s="346">
        <v>293.5</v>
      </c>
      <c r="O572" s="344"/>
    </row>
    <row r="573" ht="15.75" customHeight="1">
      <c r="A573" s="335">
        <v>570.0</v>
      </c>
      <c r="B573" s="336">
        <v>570.0</v>
      </c>
      <c r="C573" s="337">
        <v>487.0</v>
      </c>
      <c r="D573" s="338" t="s">
        <v>5475</v>
      </c>
      <c r="E573" s="339" t="s">
        <v>482</v>
      </c>
      <c r="F573" s="340" t="s">
        <v>4985</v>
      </c>
      <c r="G573" s="341">
        <v>1673.5</v>
      </c>
      <c r="H573" s="342">
        <v>-1.6</v>
      </c>
      <c r="I573" s="342">
        <v>-47.2</v>
      </c>
      <c r="J573" s="342">
        <v>-172.6</v>
      </c>
      <c r="K573" s="342">
        <v>-2.8</v>
      </c>
      <c r="L573" s="342">
        <v>-4.0</v>
      </c>
      <c r="M573" s="346">
        <v>0.1</v>
      </c>
      <c r="O573" s="344"/>
    </row>
    <row r="574" ht="15.75" customHeight="1">
      <c r="A574" s="335">
        <v>571.0</v>
      </c>
      <c r="B574" s="336">
        <v>571.0</v>
      </c>
      <c r="C574" s="337">
        <v>492.0</v>
      </c>
      <c r="D574" s="338" t="s">
        <v>5476</v>
      </c>
      <c r="E574" s="339" t="s">
        <v>482</v>
      </c>
      <c r="F574" s="340" t="s">
        <v>4999</v>
      </c>
      <c r="G574" s="341">
        <v>1665.4</v>
      </c>
      <c r="H574" s="342">
        <v>-0.9</v>
      </c>
      <c r="I574" s="342">
        <v>292.6</v>
      </c>
      <c r="J574" s="342">
        <v>-10.0</v>
      </c>
      <c r="K574" s="342">
        <v>17.6</v>
      </c>
      <c r="L574" s="342">
        <v>22.8</v>
      </c>
      <c r="M574" s="346">
        <v>381.5</v>
      </c>
      <c r="O574" s="344"/>
    </row>
    <row r="575" ht="15.75" customHeight="1">
      <c r="A575" s="335">
        <v>572.0</v>
      </c>
      <c r="B575" s="336">
        <v>572.0</v>
      </c>
      <c r="C575" s="337" t="s">
        <v>3537</v>
      </c>
      <c r="D575" s="338" t="s">
        <v>5477</v>
      </c>
      <c r="E575" s="339" t="s">
        <v>1751</v>
      </c>
      <c r="F575" s="340" t="s">
        <v>4960</v>
      </c>
      <c r="G575" s="341">
        <v>1664.9</v>
      </c>
      <c r="H575" s="342">
        <v>21.4</v>
      </c>
      <c r="I575" s="342">
        <v>13.4</v>
      </c>
      <c r="J575" s="342">
        <v>-89.5</v>
      </c>
      <c r="K575" s="342">
        <v>0.8</v>
      </c>
      <c r="L575" s="342">
        <v>3.1</v>
      </c>
      <c r="M575" s="346">
        <v>12.8</v>
      </c>
      <c r="O575" s="344"/>
    </row>
    <row r="576" ht="15.75" customHeight="1">
      <c r="A576" s="335">
        <v>573.0</v>
      </c>
      <c r="B576" s="336">
        <v>573.0</v>
      </c>
      <c r="C576" s="337">
        <v>562.0</v>
      </c>
      <c r="D576" s="338" t="s">
        <v>5478</v>
      </c>
      <c r="E576" s="339" t="s">
        <v>156</v>
      </c>
      <c r="F576" s="340" t="s">
        <v>4993</v>
      </c>
      <c r="G576" s="341">
        <v>1662.1</v>
      </c>
      <c r="H576" s="342">
        <v>18.4</v>
      </c>
      <c r="I576" s="342">
        <v>260.4</v>
      </c>
      <c r="J576" s="342">
        <v>44.0</v>
      </c>
      <c r="K576" s="342">
        <v>15.7</v>
      </c>
      <c r="L576" s="342">
        <v>42.8</v>
      </c>
      <c r="M576" s="346">
        <v>332.8</v>
      </c>
      <c r="O576" s="344"/>
    </row>
    <row r="577" ht="15.75" customHeight="1">
      <c r="A577" s="335">
        <v>574.0</v>
      </c>
      <c r="B577" s="336">
        <v>574.0</v>
      </c>
      <c r="C577" s="337">
        <v>597.0</v>
      </c>
      <c r="D577" s="347" t="s">
        <v>5479</v>
      </c>
      <c r="E577" s="339" t="s">
        <v>482</v>
      </c>
      <c r="F577" s="340" t="s">
        <v>3256</v>
      </c>
      <c r="G577" s="341">
        <v>1660.0</v>
      </c>
      <c r="H577" s="342">
        <v>29.9</v>
      </c>
      <c r="I577" s="342">
        <v>98.1</v>
      </c>
      <c r="J577" s="342">
        <v>62.1</v>
      </c>
      <c r="K577" s="342">
        <v>5.9</v>
      </c>
      <c r="L577" s="342">
        <v>22.1</v>
      </c>
      <c r="M577" s="346">
        <v>121.1</v>
      </c>
      <c r="O577" s="344"/>
    </row>
    <row r="578" ht="15.75" customHeight="1">
      <c r="A578" s="335">
        <v>575.0</v>
      </c>
      <c r="B578" s="336">
        <v>575.0</v>
      </c>
      <c r="C578" s="337">
        <v>502.0</v>
      </c>
      <c r="D578" s="338" t="s">
        <v>5480</v>
      </c>
      <c r="E578" s="339" t="s">
        <v>156</v>
      </c>
      <c r="F578" s="340" t="s">
        <v>4981</v>
      </c>
      <c r="G578" s="341">
        <v>1648.3</v>
      </c>
      <c r="H578" s="342">
        <v>1.5</v>
      </c>
      <c r="I578" s="342">
        <v>79.0</v>
      </c>
      <c r="J578" s="342">
        <v>-18.4</v>
      </c>
      <c r="K578" s="342">
        <v>4.8</v>
      </c>
      <c r="L578" s="342">
        <v>35.7</v>
      </c>
      <c r="M578" s="346">
        <v>112.1</v>
      </c>
      <c r="O578" s="344"/>
    </row>
    <row r="579" ht="15.75" customHeight="1">
      <c r="A579" s="335">
        <v>576.0</v>
      </c>
      <c r="B579" s="336">
        <v>576.0</v>
      </c>
      <c r="C579" s="337">
        <v>895.0</v>
      </c>
      <c r="D579" s="338" t="s">
        <v>5481</v>
      </c>
      <c r="E579" s="339" t="s">
        <v>98</v>
      </c>
      <c r="F579" s="340" t="s">
        <v>5482</v>
      </c>
      <c r="G579" s="341">
        <v>1644.9</v>
      </c>
      <c r="H579" s="342">
        <v>126.5</v>
      </c>
      <c r="I579" s="342">
        <v>82.6</v>
      </c>
      <c r="J579" s="342">
        <v>92.1</v>
      </c>
      <c r="K579" s="342">
        <v>5.0</v>
      </c>
      <c r="L579" s="342">
        <v>22.9</v>
      </c>
      <c r="M579" s="346">
        <v>209.8</v>
      </c>
      <c r="O579" s="344"/>
    </row>
    <row r="580" ht="15.75" customHeight="1">
      <c r="A580" s="335">
        <v>577.0</v>
      </c>
      <c r="B580" s="336">
        <v>577.0</v>
      </c>
      <c r="C580" s="337">
        <v>591.0</v>
      </c>
      <c r="D580" s="338" t="s">
        <v>5483</v>
      </c>
      <c r="E580" s="339" t="s">
        <v>482</v>
      </c>
      <c r="F580" s="340" t="s">
        <v>5012</v>
      </c>
      <c r="G580" s="341">
        <v>1644.9</v>
      </c>
      <c r="H580" s="342">
        <v>26.5</v>
      </c>
      <c r="I580" s="342">
        <v>219.0</v>
      </c>
      <c r="J580" s="342">
        <v>131.8</v>
      </c>
      <c r="K580" s="342">
        <v>13.3</v>
      </c>
      <c r="L580" s="342">
        <v>22.0</v>
      </c>
      <c r="M580" s="346">
        <v>215.0</v>
      </c>
      <c r="O580" s="344"/>
    </row>
    <row r="581" ht="15.75" customHeight="1">
      <c r="A581" s="335">
        <v>578.0</v>
      </c>
      <c r="B581" s="336">
        <v>578.0</v>
      </c>
      <c r="C581" s="337">
        <v>521.0</v>
      </c>
      <c r="D581" s="338" t="s">
        <v>5484</v>
      </c>
      <c r="E581" s="339" t="s">
        <v>482</v>
      </c>
      <c r="F581" s="340" t="s">
        <v>5012</v>
      </c>
      <c r="G581" s="341">
        <v>1642.7</v>
      </c>
      <c r="H581" s="342">
        <v>6.4</v>
      </c>
      <c r="I581" s="342">
        <v>505.9</v>
      </c>
      <c r="J581" s="342">
        <v>18.1</v>
      </c>
      <c r="K581" s="342">
        <v>30.8</v>
      </c>
      <c r="L581" s="342">
        <v>28.0</v>
      </c>
      <c r="M581" s="346">
        <v>696.8</v>
      </c>
      <c r="O581" s="344"/>
    </row>
    <row r="582" ht="15.75" customHeight="1">
      <c r="A582" s="335">
        <v>579.0</v>
      </c>
      <c r="B582" s="336">
        <v>579.0</v>
      </c>
      <c r="C582" s="337">
        <v>612.0</v>
      </c>
      <c r="D582" s="338" t="s">
        <v>5485</v>
      </c>
      <c r="E582" s="339" t="s">
        <v>332</v>
      </c>
      <c r="F582" s="340" t="s">
        <v>4976</v>
      </c>
      <c r="G582" s="341">
        <v>1640.7</v>
      </c>
      <c r="H582" s="342">
        <v>32.4</v>
      </c>
      <c r="I582" s="342">
        <v>16.2</v>
      </c>
      <c r="J582" s="342">
        <v>37.5</v>
      </c>
      <c r="K582" s="342">
        <v>1.0</v>
      </c>
      <c r="L582" s="342">
        <v>29.7</v>
      </c>
      <c r="M582" s="346">
        <v>126.6</v>
      </c>
      <c r="O582" s="344"/>
    </row>
    <row r="583" ht="15.75" customHeight="1">
      <c r="A583" s="335">
        <v>580.0</v>
      </c>
      <c r="B583" s="336">
        <v>580.0</v>
      </c>
      <c r="C583" s="337">
        <v>576.0</v>
      </c>
      <c r="D583" s="338" t="s">
        <v>5486</v>
      </c>
      <c r="E583" s="339" t="s">
        <v>156</v>
      </c>
      <c r="F583" s="340" t="s">
        <v>5012</v>
      </c>
      <c r="G583" s="341">
        <v>1631.8</v>
      </c>
      <c r="H583" s="342">
        <v>20.3</v>
      </c>
      <c r="I583" s="342">
        <v>-71.1</v>
      </c>
      <c r="J583" s="342">
        <v>-691.4</v>
      </c>
      <c r="K583" s="342">
        <v>-4.4</v>
      </c>
      <c r="L583" s="342">
        <v>-69.3</v>
      </c>
      <c r="M583" s="346">
        <v>7.9</v>
      </c>
      <c r="O583" s="344"/>
    </row>
    <row r="584" ht="15.75" customHeight="1">
      <c r="A584" s="335">
        <v>581.0</v>
      </c>
      <c r="B584" s="336">
        <v>581.0</v>
      </c>
      <c r="C584" s="337">
        <v>546.0</v>
      </c>
      <c r="D584" s="338" t="s">
        <v>5487</v>
      </c>
      <c r="E584" s="339" t="s">
        <v>482</v>
      </c>
      <c r="F584" s="340" t="s">
        <v>4985</v>
      </c>
      <c r="G584" s="341">
        <v>1626.5</v>
      </c>
      <c r="H584" s="342">
        <v>12.6</v>
      </c>
      <c r="I584" s="342">
        <v>161.1</v>
      </c>
      <c r="J584" s="342">
        <v>38.9</v>
      </c>
      <c r="K584" s="342">
        <v>9.9</v>
      </c>
      <c r="L584" s="342">
        <v>64.1</v>
      </c>
      <c r="M584" s="346">
        <v>240.9</v>
      </c>
      <c r="O584" s="344"/>
    </row>
    <row r="585" ht="15.75" customHeight="1">
      <c r="A585" s="335">
        <v>582.0</v>
      </c>
      <c r="B585" s="336">
        <v>582.0</v>
      </c>
      <c r="C585" s="337">
        <v>666.0</v>
      </c>
      <c r="D585" s="338" t="s">
        <v>5488</v>
      </c>
      <c r="E585" s="339" t="s">
        <v>482</v>
      </c>
      <c r="F585" s="340" t="s">
        <v>4993</v>
      </c>
      <c r="G585" s="341">
        <v>1623.8</v>
      </c>
      <c r="H585" s="342">
        <v>48.3</v>
      </c>
      <c r="I585" s="342">
        <v>235.8</v>
      </c>
      <c r="J585" s="342">
        <v>22.9</v>
      </c>
      <c r="K585" s="342">
        <v>14.5</v>
      </c>
      <c r="L585" s="342">
        <v>40.8</v>
      </c>
      <c r="M585" s="346">
        <v>311.5</v>
      </c>
      <c r="O585" s="344"/>
    </row>
    <row r="586" ht="15.75" customHeight="1">
      <c r="A586" s="335">
        <v>583.0</v>
      </c>
      <c r="B586" s="336">
        <v>583.0</v>
      </c>
      <c r="C586" s="337">
        <v>625.0</v>
      </c>
      <c r="D586" s="338" t="s">
        <v>5489</v>
      </c>
      <c r="E586" s="339" t="s">
        <v>574</v>
      </c>
      <c r="F586" s="340" t="s">
        <v>3754</v>
      </c>
      <c r="G586" s="341">
        <v>1618.7</v>
      </c>
      <c r="H586" s="342">
        <v>34.8</v>
      </c>
      <c r="I586" s="342">
        <v>129.8</v>
      </c>
      <c r="J586" s="342">
        <v>50.6</v>
      </c>
      <c r="K586" s="342">
        <v>8.0</v>
      </c>
      <c r="L586" s="342">
        <v>58.6</v>
      </c>
      <c r="M586" s="346">
        <v>128.1</v>
      </c>
      <c r="O586" s="344"/>
    </row>
    <row r="587" ht="15.75" customHeight="1">
      <c r="A587" s="335">
        <v>584.0</v>
      </c>
      <c r="B587" s="336">
        <v>584.0</v>
      </c>
      <c r="C587" s="337">
        <v>509.0</v>
      </c>
      <c r="D587" s="338" t="s">
        <v>5490</v>
      </c>
      <c r="E587" s="339" t="s">
        <v>1075</v>
      </c>
      <c r="F587" s="340" t="s">
        <v>5010</v>
      </c>
      <c r="G587" s="341">
        <v>1601.6</v>
      </c>
      <c r="H587" s="342">
        <v>-0.1</v>
      </c>
      <c r="I587" s="342">
        <v>163.8</v>
      </c>
      <c r="J587" s="342">
        <v>-61.7</v>
      </c>
      <c r="K587" s="342">
        <v>10.2</v>
      </c>
      <c r="L587" s="342">
        <v>10.0</v>
      </c>
      <c r="M587" s="346">
        <v>286.9</v>
      </c>
      <c r="O587" s="344"/>
    </row>
    <row r="588" ht="15.75" customHeight="1">
      <c r="A588" s="335">
        <v>585.0</v>
      </c>
      <c r="B588" s="336">
        <v>585.0</v>
      </c>
      <c r="C588" s="337">
        <v>537.0</v>
      </c>
      <c r="D588" s="338" t="s">
        <v>5491</v>
      </c>
      <c r="E588" s="339" t="s">
        <v>332</v>
      </c>
      <c r="F588" s="340" t="s">
        <v>5055</v>
      </c>
      <c r="G588" s="341">
        <v>1599.8</v>
      </c>
      <c r="H588" s="342">
        <v>8.3</v>
      </c>
      <c r="I588" s="342">
        <v>153.3</v>
      </c>
      <c r="J588" s="342">
        <v>-22.1</v>
      </c>
      <c r="K588" s="342">
        <v>9.6</v>
      </c>
      <c r="L588" s="342">
        <v>17.5</v>
      </c>
      <c r="M588" s="346">
        <v>143.2</v>
      </c>
      <c r="O588" s="344"/>
    </row>
    <row r="589" ht="15.75" customHeight="1">
      <c r="A589" s="335">
        <v>586.0</v>
      </c>
      <c r="B589" s="336">
        <v>586.0</v>
      </c>
      <c r="C589" s="337">
        <v>568.0</v>
      </c>
      <c r="D589" s="338" t="s">
        <v>5492</v>
      </c>
      <c r="E589" s="339" t="s">
        <v>482</v>
      </c>
      <c r="F589" s="340" t="s">
        <v>5001</v>
      </c>
      <c r="G589" s="341">
        <v>1592.3</v>
      </c>
      <c r="H589" s="342">
        <v>15.1</v>
      </c>
      <c r="I589" s="342">
        <v>216.1</v>
      </c>
      <c r="J589" s="342">
        <v>5.9</v>
      </c>
      <c r="K589" s="342">
        <v>13.6</v>
      </c>
      <c r="L589" s="342">
        <v>21.0</v>
      </c>
      <c r="M589" s="346">
        <v>244.2</v>
      </c>
      <c r="O589" s="344"/>
    </row>
    <row r="590" ht="15.75" customHeight="1">
      <c r="A590" s="335">
        <v>587.0</v>
      </c>
      <c r="B590" s="336">
        <v>587.0</v>
      </c>
      <c r="C590" s="337" t="s">
        <v>3537</v>
      </c>
      <c r="D590" s="338" t="s">
        <v>5493</v>
      </c>
      <c r="E590" s="339" t="s">
        <v>156</v>
      </c>
      <c r="F590" s="340" t="s">
        <v>3754</v>
      </c>
      <c r="G590" s="341">
        <v>1590.5</v>
      </c>
      <c r="H590" s="342">
        <v>18.3</v>
      </c>
      <c r="I590" s="342">
        <v>98.4</v>
      </c>
      <c r="J590" s="342">
        <v>114.7</v>
      </c>
      <c r="K590" s="342">
        <v>6.2</v>
      </c>
      <c r="L590" s="342">
        <v>50.5</v>
      </c>
      <c r="M590" s="346">
        <v>32.6</v>
      </c>
      <c r="O590" s="344"/>
    </row>
    <row r="591" ht="15.75" customHeight="1">
      <c r="A591" s="335">
        <v>588.0</v>
      </c>
      <c r="B591" s="336">
        <v>588.0</v>
      </c>
      <c r="C591" s="337">
        <v>569.0</v>
      </c>
      <c r="D591" s="338" t="s">
        <v>5494</v>
      </c>
      <c r="E591" s="339" t="s">
        <v>332</v>
      </c>
      <c r="F591" s="340" t="s">
        <v>87</v>
      </c>
      <c r="G591" s="341">
        <v>1590.3</v>
      </c>
      <c r="H591" s="342">
        <v>15.5</v>
      </c>
      <c r="I591" s="342">
        <v>15.6</v>
      </c>
      <c r="J591" s="342">
        <v>-59.0</v>
      </c>
      <c r="K591" s="342">
        <v>1.0</v>
      </c>
      <c r="L591" s="342">
        <v>9.0</v>
      </c>
      <c r="M591" s="346">
        <v>0.3</v>
      </c>
      <c r="O591" s="344"/>
    </row>
    <row r="592" ht="15.75" customHeight="1">
      <c r="A592" s="335">
        <v>589.0</v>
      </c>
      <c r="B592" s="336">
        <v>589.0</v>
      </c>
      <c r="C592" s="337">
        <v>825.0</v>
      </c>
      <c r="D592" s="338" t="s">
        <v>5495</v>
      </c>
      <c r="E592" s="339" t="s">
        <v>482</v>
      </c>
      <c r="F592" s="340" t="s">
        <v>4974</v>
      </c>
      <c r="G592" s="341">
        <v>1589.8</v>
      </c>
      <c r="H592" s="342">
        <v>33.7</v>
      </c>
      <c r="I592" s="342">
        <v>137.3</v>
      </c>
      <c r="J592" s="342">
        <v>-26.1</v>
      </c>
      <c r="K592" s="342">
        <v>8.6</v>
      </c>
      <c r="L592" s="342">
        <v>48.8</v>
      </c>
      <c r="M592" s="346">
        <v>200.8</v>
      </c>
      <c r="O592" s="344"/>
    </row>
    <row r="593" ht="15.75" customHeight="1">
      <c r="A593" s="335">
        <v>590.0</v>
      </c>
      <c r="B593" s="336">
        <v>590.0</v>
      </c>
      <c r="C593" s="337" t="s">
        <v>3537</v>
      </c>
      <c r="D593" s="338" t="s">
        <v>5496</v>
      </c>
      <c r="E593" s="339" t="s">
        <v>1751</v>
      </c>
      <c r="F593" s="340" t="s">
        <v>5012</v>
      </c>
      <c r="G593" s="341">
        <v>1586.6</v>
      </c>
      <c r="H593" s="342">
        <v>52.9</v>
      </c>
      <c r="I593" s="342">
        <v>0.6</v>
      </c>
      <c r="J593" s="342">
        <v>110.1</v>
      </c>
      <c r="K593" s="342">
        <v>0.0</v>
      </c>
      <c r="L593" s="342">
        <v>1.1</v>
      </c>
      <c r="M593" s="346">
        <v>60.2</v>
      </c>
      <c r="O593" s="344"/>
    </row>
    <row r="594" ht="15.75" customHeight="1">
      <c r="A594" s="335">
        <v>591.0</v>
      </c>
      <c r="B594" s="336">
        <v>591.0</v>
      </c>
      <c r="C594" s="337">
        <v>633.0</v>
      </c>
      <c r="D594" s="347" t="s">
        <v>5497</v>
      </c>
      <c r="E594" s="339" t="s">
        <v>98</v>
      </c>
      <c r="F594" s="340" t="s">
        <v>3256</v>
      </c>
      <c r="G594" s="341">
        <v>1584.2</v>
      </c>
      <c r="H594" s="342">
        <v>36.3</v>
      </c>
      <c r="I594" s="342">
        <v>105.4</v>
      </c>
      <c r="J594" s="341">
        <v>2345.3</v>
      </c>
      <c r="K594" s="342">
        <v>6.7</v>
      </c>
      <c r="L594" s="342">
        <v>32.0</v>
      </c>
      <c r="M594" s="346">
        <v>139.4</v>
      </c>
      <c r="O594" s="344"/>
    </row>
    <row r="595" ht="15.75" customHeight="1">
      <c r="A595" s="335">
        <v>592.0</v>
      </c>
      <c r="B595" s="336">
        <v>592.0</v>
      </c>
      <c r="C595" s="337">
        <v>526.0</v>
      </c>
      <c r="D595" s="338" t="s">
        <v>5498</v>
      </c>
      <c r="E595" s="339" t="s">
        <v>98</v>
      </c>
      <c r="F595" s="340" t="s">
        <v>5110</v>
      </c>
      <c r="G595" s="341">
        <v>1578.4</v>
      </c>
      <c r="H595" s="342">
        <v>3.8</v>
      </c>
      <c r="I595" s="342">
        <v>222.7</v>
      </c>
      <c r="J595" s="342">
        <v>-18.7</v>
      </c>
      <c r="K595" s="342">
        <v>14.1</v>
      </c>
      <c r="L595" s="342">
        <v>14.8</v>
      </c>
      <c r="M595" s="346">
        <v>180.4</v>
      </c>
      <c r="O595" s="344"/>
    </row>
    <row r="596" ht="15.75" customHeight="1">
      <c r="A596" s="335">
        <v>593.0</v>
      </c>
      <c r="B596" s="336">
        <v>593.0</v>
      </c>
      <c r="C596" s="337">
        <v>824.0</v>
      </c>
      <c r="D596" s="338" t="s">
        <v>5499</v>
      </c>
      <c r="E596" s="339" t="s">
        <v>482</v>
      </c>
      <c r="F596" s="340" t="s">
        <v>4968</v>
      </c>
      <c r="G596" s="341">
        <v>1571.8</v>
      </c>
      <c r="H596" s="342">
        <v>92.5</v>
      </c>
      <c r="I596" s="342">
        <v>335.6</v>
      </c>
      <c r="J596" s="342">
        <v>174.2</v>
      </c>
      <c r="K596" s="342">
        <v>21.3</v>
      </c>
      <c r="L596" s="342">
        <v>30.3</v>
      </c>
      <c r="M596" s="346">
        <v>362.3</v>
      </c>
      <c r="O596" s="344"/>
    </row>
    <row r="597" ht="15.75" customHeight="1">
      <c r="A597" s="335">
        <v>594.0</v>
      </c>
      <c r="B597" s="336">
        <v>594.0</v>
      </c>
      <c r="C597" s="337">
        <v>706.0</v>
      </c>
      <c r="D597" s="338" t="s">
        <v>5500</v>
      </c>
      <c r="E597" s="339" t="s">
        <v>274</v>
      </c>
      <c r="F597" s="340" t="s">
        <v>87</v>
      </c>
      <c r="G597" s="341">
        <v>1567.3</v>
      </c>
      <c r="H597" s="342">
        <v>56.5</v>
      </c>
      <c r="I597" s="342">
        <v>91.4</v>
      </c>
      <c r="J597" s="342">
        <v>599.9</v>
      </c>
      <c r="K597" s="342">
        <v>5.8</v>
      </c>
      <c r="L597" s="342">
        <v>84.1</v>
      </c>
      <c r="M597" s="346">
        <v>124.6</v>
      </c>
      <c r="O597" s="344"/>
    </row>
    <row r="598" ht="15.75" customHeight="1">
      <c r="A598" s="335">
        <v>595.0</v>
      </c>
      <c r="B598" s="336">
        <v>595.0</v>
      </c>
      <c r="C598" s="337">
        <v>511.0</v>
      </c>
      <c r="D598" s="338" t="s">
        <v>5501</v>
      </c>
      <c r="E598" s="339" t="s">
        <v>482</v>
      </c>
      <c r="F598" s="340" t="s">
        <v>4970</v>
      </c>
      <c r="G598" s="341">
        <v>1565.7</v>
      </c>
      <c r="H598" s="342">
        <v>-1.8</v>
      </c>
      <c r="I598" s="342">
        <v>310.5</v>
      </c>
      <c r="J598" s="342">
        <v>-37.4</v>
      </c>
      <c r="K598" s="342">
        <v>19.8</v>
      </c>
      <c r="L598" s="342">
        <v>31.2</v>
      </c>
      <c r="M598" s="346">
        <v>449.9</v>
      </c>
      <c r="O598" s="344"/>
    </row>
    <row r="599" ht="15.75" customHeight="1">
      <c r="A599" s="335">
        <v>596.0</v>
      </c>
      <c r="B599" s="336">
        <v>596.0</v>
      </c>
      <c r="C599" s="337">
        <v>575.0</v>
      </c>
      <c r="D599" s="338" t="s">
        <v>5502</v>
      </c>
      <c r="E599" s="339" t="s">
        <v>1075</v>
      </c>
      <c r="F599" s="340" t="s">
        <v>4981</v>
      </c>
      <c r="G599" s="341">
        <v>1555.3</v>
      </c>
      <c r="H599" s="342">
        <v>14.5</v>
      </c>
      <c r="I599" s="342">
        <v>140.3</v>
      </c>
      <c r="J599" s="342">
        <v>-46.1</v>
      </c>
      <c r="K599" s="342">
        <v>9.0</v>
      </c>
      <c r="L599" s="342">
        <v>16.2</v>
      </c>
      <c r="M599" s="346">
        <v>243.3</v>
      </c>
      <c r="O599" s="344"/>
    </row>
    <row r="600" ht="15.75" customHeight="1">
      <c r="A600" s="335">
        <v>597.0</v>
      </c>
      <c r="B600" s="336">
        <v>597.0</v>
      </c>
      <c r="C600" s="337" t="s">
        <v>3537</v>
      </c>
      <c r="D600" s="338" t="s">
        <v>5503</v>
      </c>
      <c r="E600" s="339" t="s">
        <v>332</v>
      </c>
      <c r="F600" s="340" t="s">
        <v>4963</v>
      </c>
      <c r="G600" s="341">
        <v>1553.0</v>
      </c>
      <c r="H600" s="342">
        <v>28.1</v>
      </c>
      <c r="I600" s="342">
        <v>153.3</v>
      </c>
      <c r="J600" s="342">
        <v>17.3</v>
      </c>
      <c r="K600" s="342">
        <v>9.9</v>
      </c>
      <c r="L600" s="342">
        <v>14.1</v>
      </c>
      <c r="M600" s="346">
        <v>246.0</v>
      </c>
      <c r="O600" s="344"/>
    </row>
    <row r="601" ht="15.75" customHeight="1">
      <c r="A601" s="335">
        <v>598.0</v>
      </c>
      <c r="B601" s="336">
        <v>598.0</v>
      </c>
      <c r="C601" s="337">
        <v>608.0</v>
      </c>
      <c r="D601" s="338" t="s">
        <v>5504</v>
      </c>
      <c r="E601" s="339" t="s">
        <v>332</v>
      </c>
      <c r="F601" s="340" t="s">
        <v>3754</v>
      </c>
      <c r="G601" s="341">
        <v>1552.5</v>
      </c>
      <c r="H601" s="342">
        <v>24.1</v>
      </c>
      <c r="I601" s="342">
        <v>22.9</v>
      </c>
      <c r="J601" s="342">
        <v>-29.0</v>
      </c>
      <c r="K601" s="342">
        <v>1.5</v>
      </c>
      <c r="L601" s="342">
        <v>10.9</v>
      </c>
      <c r="M601" s="346">
        <v>87.6</v>
      </c>
      <c r="O601" s="344"/>
    </row>
    <row r="602" ht="15.75" customHeight="1">
      <c r="A602" s="335">
        <v>599.0</v>
      </c>
      <c r="B602" s="336">
        <v>599.0</v>
      </c>
      <c r="C602" s="337">
        <v>715.0</v>
      </c>
      <c r="D602" s="338" t="s">
        <v>5505</v>
      </c>
      <c r="E602" s="339" t="s">
        <v>482</v>
      </c>
      <c r="F602" s="340" t="s">
        <v>5183</v>
      </c>
      <c r="G602" s="341">
        <v>1550.2</v>
      </c>
      <c r="H602" s="342">
        <v>57.0</v>
      </c>
      <c r="I602" s="342">
        <v>51.6</v>
      </c>
      <c r="J602" s="342">
        <v>-59.4</v>
      </c>
      <c r="K602" s="342">
        <v>3.3</v>
      </c>
      <c r="L602" s="342">
        <v>23.5</v>
      </c>
      <c r="M602" s="346">
        <v>75.7</v>
      </c>
      <c r="O602" s="344"/>
    </row>
    <row r="603" ht="15.75" customHeight="1">
      <c r="A603" s="335">
        <v>600.0</v>
      </c>
      <c r="B603" s="336">
        <v>600.0</v>
      </c>
      <c r="C603" s="337">
        <v>607.0</v>
      </c>
      <c r="D603" s="338" t="s">
        <v>5506</v>
      </c>
      <c r="E603" s="339" t="s">
        <v>332</v>
      </c>
      <c r="F603" s="340" t="s">
        <v>4970</v>
      </c>
      <c r="G603" s="341">
        <v>1549.2</v>
      </c>
      <c r="H603" s="342">
        <v>23.7</v>
      </c>
      <c r="I603" s="342">
        <v>508.2</v>
      </c>
      <c r="J603" s="342">
        <v>141.0</v>
      </c>
      <c r="K603" s="342">
        <v>32.8</v>
      </c>
      <c r="L603" s="342">
        <v>102.2</v>
      </c>
      <c r="M603" s="346">
        <v>599.1</v>
      </c>
      <c r="O603" s="344"/>
    </row>
    <row r="604" ht="15.75" customHeight="1">
      <c r="A604" s="335">
        <v>601.0</v>
      </c>
      <c r="B604" s="336">
        <v>601.0</v>
      </c>
      <c r="C604" s="337">
        <v>578.0</v>
      </c>
      <c r="D604" s="338" t="s">
        <v>5507</v>
      </c>
      <c r="E604" s="339" t="s">
        <v>332</v>
      </c>
      <c r="F604" s="340" t="s">
        <v>87</v>
      </c>
      <c r="G604" s="341">
        <v>1546.2</v>
      </c>
      <c r="H604" s="342">
        <v>14.1</v>
      </c>
      <c r="I604" s="342">
        <v>32.1</v>
      </c>
      <c r="J604" s="342">
        <v>202.8</v>
      </c>
      <c r="K604" s="342">
        <v>2.1</v>
      </c>
      <c r="L604" s="342">
        <v>20.6</v>
      </c>
      <c r="M604" s="346">
        <v>3.5</v>
      </c>
      <c r="O604" s="344"/>
    </row>
    <row r="605" ht="15.75" customHeight="1">
      <c r="A605" s="335">
        <v>602.0</v>
      </c>
      <c r="B605" s="336">
        <v>602.0</v>
      </c>
      <c r="C605" s="337" t="s">
        <v>3537</v>
      </c>
      <c r="D605" s="338" t="s">
        <v>5508</v>
      </c>
      <c r="E605" s="339" t="s">
        <v>1793</v>
      </c>
      <c r="F605" s="340" t="s">
        <v>5010</v>
      </c>
      <c r="G605" s="341">
        <v>1541.0</v>
      </c>
      <c r="H605" s="342">
        <v>28.3</v>
      </c>
      <c r="I605" s="342">
        <v>146.1</v>
      </c>
      <c r="J605" s="342">
        <v>-6.7</v>
      </c>
      <c r="K605" s="342">
        <v>9.5</v>
      </c>
      <c r="L605" s="342">
        <v>36.2</v>
      </c>
      <c r="M605" s="346">
        <v>224.4</v>
      </c>
      <c r="O605" s="344"/>
    </row>
    <row r="606" ht="15.75" customHeight="1">
      <c r="A606" s="335">
        <v>603.0</v>
      </c>
      <c r="B606" s="336">
        <v>603.0</v>
      </c>
      <c r="C606" s="337" t="s">
        <v>3537</v>
      </c>
      <c r="D606" s="338" t="s">
        <v>5509</v>
      </c>
      <c r="E606" s="339" t="s">
        <v>482</v>
      </c>
      <c r="F606" s="340" t="s">
        <v>5055</v>
      </c>
      <c r="G606" s="341">
        <v>1536.4</v>
      </c>
      <c r="H606" s="342" t="s">
        <v>3537</v>
      </c>
      <c r="I606" s="342">
        <v>263.4</v>
      </c>
      <c r="J606" s="342" t="s">
        <v>3537</v>
      </c>
      <c r="K606" s="342">
        <v>17.1</v>
      </c>
      <c r="L606" s="342" t="s">
        <v>3537</v>
      </c>
      <c r="M606" s="346">
        <v>190.6</v>
      </c>
      <c r="O606" s="344"/>
    </row>
    <row r="607" ht="15.75" customHeight="1">
      <c r="A607" s="335">
        <v>604.0</v>
      </c>
      <c r="B607" s="336">
        <v>604.0</v>
      </c>
      <c r="C607" s="337" t="s">
        <v>3537</v>
      </c>
      <c r="D607" s="338" t="s">
        <v>5510</v>
      </c>
      <c r="E607" s="339" t="s">
        <v>482</v>
      </c>
      <c r="F607" s="340" t="s">
        <v>5055</v>
      </c>
      <c r="G607" s="341">
        <v>1525.5</v>
      </c>
      <c r="H607" s="342">
        <v>12.6</v>
      </c>
      <c r="I607" s="342">
        <v>70.9</v>
      </c>
      <c r="J607" s="342">
        <v>-21.1</v>
      </c>
      <c r="K607" s="342">
        <v>4.6</v>
      </c>
      <c r="L607" s="342">
        <v>32.0</v>
      </c>
      <c r="M607" s="346">
        <v>93.9</v>
      </c>
      <c r="O607" s="344"/>
    </row>
    <row r="608" ht="15.75" customHeight="1">
      <c r="A608" s="335">
        <v>605.0</v>
      </c>
      <c r="B608" s="336">
        <v>605.0</v>
      </c>
      <c r="C608" s="337">
        <v>705.0</v>
      </c>
      <c r="D608" s="338" t="s">
        <v>5511</v>
      </c>
      <c r="E608" s="339" t="s">
        <v>332</v>
      </c>
      <c r="F608" s="340" t="s">
        <v>5028</v>
      </c>
      <c r="G608" s="341">
        <v>1524.4</v>
      </c>
      <c r="H608" s="342">
        <v>51.7</v>
      </c>
      <c r="I608" s="342">
        <v>79.1</v>
      </c>
      <c r="J608" s="342">
        <v>92.4</v>
      </c>
      <c r="K608" s="342">
        <v>5.2</v>
      </c>
      <c r="L608" s="342">
        <v>75.3</v>
      </c>
      <c r="M608" s="346">
        <v>139.3</v>
      </c>
      <c r="O608" s="344"/>
    </row>
    <row r="609" ht="15.75" customHeight="1">
      <c r="A609" s="335">
        <v>606.0</v>
      </c>
      <c r="B609" s="336">
        <v>606.0</v>
      </c>
      <c r="C609" s="337">
        <v>564.0</v>
      </c>
      <c r="D609" s="338" t="s">
        <v>5512</v>
      </c>
      <c r="E609" s="339" t="s">
        <v>482</v>
      </c>
      <c r="F609" s="340" t="s">
        <v>5183</v>
      </c>
      <c r="G609" s="341">
        <v>1523.7</v>
      </c>
      <c r="H609" s="342">
        <v>8.9</v>
      </c>
      <c r="I609" s="342">
        <v>158.9</v>
      </c>
      <c r="J609" s="342">
        <v>62.2</v>
      </c>
      <c r="K609" s="342">
        <v>10.4</v>
      </c>
      <c r="L609" s="342">
        <v>15.7</v>
      </c>
      <c r="M609" s="346">
        <v>131.0</v>
      </c>
      <c r="O609" s="344"/>
    </row>
    <row r="610" ht="15.75" customHeight="1">
      <c r="A610" s="335">
        <v>607.0</v>
      </c>
      <c r="B610" s="336">
        <v>607.0</v>
      </c>
      <c r="C610" s="337">
        <v>536.0</v>
      </c>
      <c r="D610" s="338" t="s">
        <v>5513</v>
      </c>
      <c r="E610" s="339" t="s">
        <v>1751</v>
      </c>
      <c r="F610" s="340" t="s">
        <v>4983</v>
      </c>
      <c r="G610" s="341">
        <v>1513.0</v>
      </c>
      <c r="H610" s="342">
        <v>1.9</v>
      </c>
      <c r="I610" s="342">
        <v>359.0</v>
      </c>
      <c r="J610" s="342">
        <v>21.2</v>
      </c>
      <c r="K610" s="342">
        <v>23.7</v>
      </c>
      <c r="L610" s="342">
        <v>15.7</v>
      </c>
      <c r="M610" s="346">
        <v>385.2</v>
      </c>
      <c r="O610" s="344"/>
    </row>
    <row r="611" ht="15.75" customHeight="1">
      <c r="A611" s="335">
        <v>608.0</v>
      </c>
      <c r="B611" s="336">
        <v>608.0</v>
      </c>
      <c r="C611" s="337">
        <v>528.0</v>
      </c>
      <c r="D611" s="338" t="s">
        <v>5514</v>
      </c>
      <c r="E611" s="339" t="s">
        <v>1075</v>
      </c>
      <c r="F611" s="340" t="s">
        <v>5110</v>
      </c>
      <c r="G611" s="341">
        <v>1507.0</v>
      </c>
      <c r="H611" s="342">
        <v>-0.7</v>
      </c>
      <c r="I611" s="342">
        <v>39.4</v>
      </c>
      <c r="J611" s="342">
        <v>-45.9</v>
      </c>
      <c r="K611" s="342">
        <v>2.6</v>
      </c>
      <c r="L611" s="342">
        <v>11.2</v>
      </c>
      <c r="M611" s="346">
        <v>116.8</v>
      </c>
      <c r="O611" s="344"/>
    </row>
    <row r="612" ht="15.75" customHeight="1">
      <c r="A612" s="335">
        <v>609.0</v>
      </c>
      <c r="B612" s="336">
        <v>609.0</v>
      </c>
      <c r="C612" s="337">
        <v>504.0</v>
      </c>
      <c r="D612" s="338" t="s">
        <v>5515</v>
      </c>
      <c r="E612" s="339" t="s">
        <v>98</v>
      </c>
      <c r="F612" s="340" t="s">
        <v>87</v>
      </c>
      <c r="G612" s="341">
        <v>1501.4</v>
      </c>
      <c r="H612" s="342">
        <v>-7.3</v>
      </c>
      <c r="I612" s="342">
        <v>55.7</v>
      </c>
      <c r="J612" s="342">
        <v>-24.9</v>
      </c>
      <c r="K612" s="342">
        <v>3.7</v>
      </c>
      <c r="L612" s="342">
        <v>18.0</v>
      </c>
      <c r="M612" s="346">
        <v>48.6</v>
      </c>
      <c r="O612" s="344"/>
    </row>
    <row r="613" ht="15.75" customHeight="1">
      <c r="A613" s="335">
        <v>610.0</v>
      </c>
      <c r="B613" s="336">
        <v>610.0</v>
      </c>
      <c r="C613" s="337">
        <v>585.0</v>
      </c>
      <c r="D613" s="338" t="s">
        <v>5516</v>
      </c>
      <c r="E613" s="339" t="s">
        <v>482</v>
      </c>
      <c r="F613" s="340" t="s">
        <v>5050</v>
      </c>
      <c r="G613" s="341">
        <v>1500.6</v>
      </c>
      <c r="H613" s="342">
        <v>13.0</v>
      </c>
      <c r="I613" s="342">
        <v>210.3</v>
      </c>
      <c r="J613" s="342">
        <v>-29.3</v>
      </c>
      <c r="K613" s="342">
        <v>14.0</v>
      </c>
      <c r="L613" s="342">
        <v>21.0</v>
      </c>
      <c r="M613" s="346">
        <v>207.4</v>
      </c>
      <c r="O613" s="344"/>
    </row>
    <row r="614" ht="15.75" customHeight="1">
      <c r="A614" s="335">
        <v>611.0</v>
      </c>
      <c r="B614" s="336">
        <v>611.0</v>
      </c>
      <c r="C614" s="337">
        <v>618.0</v>
      </c>
      <c r="D614" s="338" t="s">
        <v>5517</v>
      </c>
      <c r="E614" s="339" t="s">
        <v>156</v>
      </c>
      <c r="F614" s="340" t="s">
        <v>5012</v>
      </c>
      <c r="G614" s="341">
        <v>1500.6</v>
      </c>
      <c r="H614" s="342">
        <v>22.5</v>
      </c>
      <c r="I614" s="342">
        <v>90.2</v>
      </c>
      <c r="J614" s="342">
        <v>93.2</v>
      </c>
      <c r="K614" s="342">
        <v>6.0</v>
      </c>
      <c r="L614" s="342">
        <v>73.1</v>
      </c>
      <c r="M614" s="346">
        <v>112.8</v>
      </c>
      <c r="O614" s="344"/>
    </row>
    <row r="615" ht="15.75" customHeight="1">
      <c r="A615" s="335">
        <v>612.0</v>
      </c>
      <c r="B615" s="336">
        <v>612.0</v>
      </c>
      <c r="C615" s="337">
        <v>538.0</v>
      </c>
      <c r="D615" s="338" t="s">
        <v>5518</v>
      </c>
      <c r="E615" s="339" t="s">
        <v>482</v>
      </c>
      <c r="F615" s="340" t="s">
        <v>5122</v>
      </c>
      <c r="G615" s="341">
        <v>1497.4</v>
      </c>
      <c r="H615" s="342">
        <v>1.7</v>
      </c>
      <c r="I615" s="342">
        <v>192.5</v>
      </c>
      <c r="J615" s="342">
        <v>19.7</v>
      </c>
      <c r="K615" s="342">
        <v>12.9</v>
      </c>
      <c r="L615" s="342">
        <v>7.7</v>
      </c>
      <c r="M615" s="346">
        <v>115.2</v>
      </c>
      <c r="O615" s="344"/>
    </row>
    <row r="616" ht="15.75" customHeight="1">
      <c r="A616" s="335">
        <v>613.0</v>
      </c>
      <c r="B616" s="336">
        <v>613.0</v>
      </c>
      <c r="C616" s="337">
        <v>588.0</v>
      </c>
      <c r="D616" s="338" t="s">
        <v>5519</v>
      </c>
      <c r="E616" s="339" t="s">
        <v>482</v>
      </c>
      <c r="F616" s="340" t="s">
        <v>5015</v>
      </c>
      <c r="G616" s="341">
        <v>1492.9</v>
      </c>
      <c r="H616" s="342">
        <v>13.5</v>
      </c>
      <c r="I616" s="342">
        <v>265.4</v>
      </c>
      <c r="J616" s="342">
        <v>472.5</v>
      </c>
      <c r="K616" s="342">
        <v>17.8</v>
      </c>
      <c r="L616" s="342">
        <v>10.0</v>
      </c>
      <c r="M616" s="346">
        <v>88.7</v>
      </c>
      <c r="O616" s="344"/>
    </row>
    <row r="617" ht="15.75" customHeight="1">
      <c r="A617" s="335">
        <v>614.0</v>
      </c>
      <c r="B617" s="336">
        <v>614.0</v>
      </c>
      <c r="C617" s="337">
        <v>599.0</v>
      </c>
      <c r="D617" s="338" t="s">
        <v>5520</v>
      </c>
      <c r="E617" s="339" t="s">
        <v>482</v>
      </c>
      <c r="F617" s="340" t="s">
        <v>5122</v>
      </c>
      <c r="G617" s="341">
        <v>1492.2</v>
      </c>
      <c r="H617" s="342">
        <v>17.4</v>
      </c>
      <c r="I617" s="342">
        <v>132.6</v>
      </c>
      <c r="J617" s="342">
        <v>-1.9</v>
      </c>
      <c r="K617" s="342">
        <v>8.9</v>
      </c>
      <c r="L617" s="342">
        <v>36.5</v>
      </c>
      <c r="M617" s="346">
        <v>162.3</v>
      </c>
      <c r="O617" s="344"/>
    </row>
    <row r="618" ht="15.75" customHeight="1">
      <c r="A618" s="335">
        <v>615.0</v>
      </c>
      <c r="B618" s="336">
        <v>615.0</v>
      </c>
      <c r="C618" s="337">
        <v>596.0</v>
      </c>
      <c r="D618" s="338" t="s">
        <v>5521</v>
      </c>
      <c r="E618" s="339" t="s">
        <v>349</v>
      </c>
      <c r="F618" s="340" t="s">
        <v>4981</v>
      </c>
      <c r="G618" s="341">
        <v>1492.0</v>
      </c>
      <c r="H618" s="342">
        <v>16.0</v>
      </c>
      <c r="I618" s="342">
        <v>-154.9</v>
      </c>
      <c r="J618" s="342">
        <v>-84.5</v>
      </c>
      <c r="K618" s="342">
        <v>-10.4</v>
      </c>
      <c r="L618" s="342">
        <v>-121.5</v>
      </c>
      <c r="M618" s="346">
        <v>-314.3</v>
      </c>
      <c r="O618" s="344"/>
    </row>
    <row r="619" ht="15.75" customHeight="1">
      <c r="A619" s="335">
        <v>616.0</v>
      </c>
      <c r="B619" s="336">
        <v>616.0</v>
      </c>
      <c r="C619" s="337">
        <v>530.0</v>
      </c>
      <c r="D619" s="338" t="s">
        <v>5522</v>
      </c>
      <c r="E619" s="339" t="s">
        <v>156</v>
      </c>
      <c r="F619" s="340" t="s">
        <v>4968</v>
      </c>
      <c r="G619" s="341">
        <v>1486.4</v>
      </c>
      <c r="H619" s="342">
        <v>-1.6</v>
      </c>
      <c r="I619" s="342">
        <v>221.3</v>
      </c>
      <c r="J619" s="342">
        <v>-65.1</v>
      </c>
      <c r="K619" s="342">
        <v>14.9</v>
      </c>
      <c r="L619" s="342">
        <v>27.5</v>
      </c>
      <c r="M619" s="346">
        <v>249.6</v>
      </c>
      <c r="O619" s="344"/>
    </row>
    <row r="620" ht="15.75" customHeight="1">
      <c r="A620" s="335">
        <v>617.0</v>
      </c>
      <c r="B620" s="336">
        <v>617.0</v>
      </c>
      <c r="C620" s="337">
        <v>642.0</v>
      </c>
      <c r="D620" s="338" t="s">
        <v>5523</v>
      </c>
      <c r="E620" s="339" t="s">
        <v>156</v>
      </c>
      <c r="F620" s="340" t="s">
        <v>3754</v>
      </c>
      <c r="G620" s="341">
        <v>1482.9</v>
      </c>
      <c r="H620" s="342">
        <v>29.4</v>
      </c>
      <c r="I620" s="342">
        <v>-146.8</v>
      </c>
      <c r="J620" s="342">
        <v>-21.0</v>
      </c>
      <c r="K620" s="342">
        <v>-9.9</v>
      </c>
      <c r="L620" s="342">
        <v>-41.3</v>
      </c>
      <c r="M620" s="346">
        <v>120.1</v>
      </c>
      <c r="O620" s="344"/>
    </row>
    <row r="621" ht="15.75" customHeight="1">
      <c r="A621" s="335">
        <v>618.0</v>
      </c>
      <c r="B621" s="336">
        <v>618.0</v>
      </c>
      <c r="C621" s="337">
        <v>675.0</v>
      </c>
      <c r="D621" s="338" t="s">
        <v>5524</v>
      </c>
      <c r="E621" s="339" t="s">
        <v>156</v>
      </c>
      <c r="F621" s="340" t="s">
        <v>87</v>
      </c>
      <c r="G621" s="341">
        <v>1480.8</v>
      </c>
      <c r="H621" s="342">
        <v>28.6</v>
      </c>
      <c r="I621" s="342">
        <v>736.7</v>
      </c>
      <c r="J621" s="342">
        <v>15.9</v>
      </c>
      <c r="K621" s="342">
        <v>49.8</v>
      </c>
      <c r="L621" s="342">
        <v>114.0</v>
      </c>
      <c r="M621" s="343">
        <v>1100.9</v>
      </c>
      <c r="O621" s="344"/>
    </row>
    <row r="622" ht="15.75" customHeight="1">
      <c r="A622" s="335">
        <v>619.0</v>
      </c>
      <c r="B622" s="336">
        <v>619.0</v>
      </c>
      <c r="C622" s="337">
        <v>627.0</v>
      </c>
      <c r="D622" s="338" t="s">
        <v>5525</v>
      </c>
      <c r="E622" s="339" t="s">
        <v>482</v>
      </c>
      <c r="F622" s="340" t="s">
        <v>5028</v>
      </c>
      <c r="G622" s="341">
        <v>1480.4</v>
      </c>
      <c r="H622" s="342">
        <v>24.1</v>
      </c>
      <c r="I622" s="342">
        <v>128.7</v>
      </c>
      <c r="J622" s="342">
        <v>25.5</v>
      </c>
      <c r="K622" s="342">
        <v>8.7</v>
      </c>
      <c r="L622" s="342">
        <v>18.5</v>
      </c>
      <c r="M622" s="346">
        <v>211.5</v>
      </c>
      <c r="O622" s="344"/>
    </row>
    <row r="623" ht="15.75" customHeight="1">
      <c r="A623" s="335">
        <v>620.0</v>
      </c>
      <c r="B623" s="336">
        <v>620.0</v>
      </c>
      <c r="C623" s="337" t="s">
        <v>3537</v>
      </c>
      <c r="D623" s="338" t="s">
        <v>5526</v>
      </c>
      <c r="E623" s="339" t="s">
        <v>482</v>
      </c>
      <c r="F623" s="340" t="s">
        <v>5012</v>
      </c>
      <c r="G623" s="341">
        <v>1476.4</v>
      </c>
      <c r="H623" s="342">
        <v>50.7</v>
      </c>
      <c r="I623" s="342">
        <v>74.5</v>
      </c>
      <c r="J623" s="342">
        <v>-8.4</v>
      </c>
      <c r="K623" s="342">
        <v>5.0</v>
      </c>
      <c r="L623" s="342">
        <v>71.4</v>
      </c>
      <c r="M623" s="346">
        <v>99.9</v>
      </c>
      <c r="O623" s="344"/>
    </row>
    <row r="624" ht="15.75" customHeight="1">
      <c r="A624" s="335">
        <v>621.0</v>
      </c>
      <c r="B624" s="336">
        <v>621.0</v>
      </c>
      <c r="C624" s="337">
        <v>610.0</v>
      </c>
      <c r="D624" s="338" t="s">
        <v>5527</v>
      </c>
      <c r="E624" s="339" t="s">
        <v>1075</v>
      </c>
      <c r="F624" s="340" t="s">
        <v>87</v>
      </c>
      <c r="G624" s="341">
        <v>1475.9</v>
      </c>
      <c r="H624" s="342">
        <v>18.3</v>
      </c>
      <c r="I624" s="342">
        <v>26.6</v>
      </c>
      <c r="J624" s="342">
        <v>-65.7</v>
      </c>
      <c r="K624" s="342">
        <v>1.8</v>
      </c>
      <c r="L624" s="342">
        <v>7.2</v>
      </c>
      <c r="M624" s="346">
        <v>1.6</v>
      </c>
      <c r="O624" s="344"/>
    </row>
    <row r="625" ht="15.75" customHeight="1">
      <c r="A625" s="335">
        <v>622.0</v>
      </c>
      <c r="B625" s="336">
        <v>622.0</v>
      </c>
      <c r="C625" s="337" t="s">
        <v>3537</v>
      </c>
      <c r="D625" s="338" t="s">
        <v>5528</v>
      </c>
      <c r="E625" s="339" t="s">
        <v>1751</v>
      </c>
      <c r="F625" s="340" t="s">
        <v>4985</v>
      </c>
      <c r="G625" s="341">
        <v>1475.8</v>
      </c>
      <c r="H625" s="342">
        <v>201.9</v>
      </c>
      <c r="I625" s="342">
        <v>85.6</v>
      </c>
      <c r="J625" s="342">
        <v>13.6</v>
      </c>
      <c r="K625" s="342">
        <v>5.8</v>
      </c>
      <c r="L625" s="342">
        <v>8.2</v>
      </c>
      <c r="M625" s="346">
        <v>98.2</v>
      </c>
      <c r="O625" s="344"/>
    </row>
    <row r="626" ht="15.75" customHeight="1">
      <c r="A626" s="335">
        <v>623.0</v>
      </c>
      <c r="B626" s="336">
        <v>623.0</v>
      </c>
      <c r="C626" s="337">
        <v>647.0</v>
      </c>
      <c r="D626" s="338" t="s">
        <v>5529</v>
      </c>
      <c r="E626" s="339" t="s">
        <v>482</v>
      </c>
      <c r="F626" s="340" t="s">
        <v>4968</v>
      </c>
      <c r="G626" s="341">
        <v>1471.2</v>
      </c>
      <c r="H626" s="342">
        <v>29.2</v>
      </c>
      <c r="I626" s="342">
        <v>22.6</v>
      </c>
      <c r="J626" s="342">
        <v>-66.2</v>
      </c>
      <c r="K626" s="342">
        <v>1.5</v>
      </c>
      <c r="L626" s="342" t="s">
        <v>5021</v>
      </c>
      <c r="M626" s="346">
        <v>154.5</v>
      </c>
      <c r="O626" s="344"/>
    </row>
    <row r="627" ht="15.75" customHeight="1">
      <c r="A627" s="335">
        <v>624.0</v>
      </c>
      <c r="B627" s="336">
        <v>624.0</v>
      </c>
      <c r="C627" s="337">
        <v>590.0</v>
      </c>
      <c r="D627" s="338" t="s">
        <v>5530</v>
      </c>
      <c r="E627" s="339" t="s">
        <v>98</v>
      </c>
      <c r="F627" s="340" t="s">
        <v>5015</v>
      </c>
      <c r="G627" s="341">
        <v>1470.5</v>
      </c>
      <c r="H627" s="342">
        <v>12.8</v>
      </c>
      <c r="I627" s="342">
        <v>4.6</v>
      </c>
      <c r="J627" s="342">
        <v>134.5</v>
      </c>
      <c r="K627" s="342">
        <v>0.3</v>
      </c>
      <c r="L627" s="342">
        <v>1.5</v>
      </c>
      <c r="M627" s="346">
        <v>30.4</v>
      </c>
      <c r="O627" s="344"/>
    </row>
    <row r="628" ht="15.75" customHeight="1">
      <c r="A628" s="335">
        <v>625.0</v>
      </c>
      <c r="B628" s="336">
        <v>625.0</v>
      </c>
      <c r="C628" s="337">
        <v>628.0</v>
      </c>
      <c r="D628" s="338" t="s">
        <v>5531</v>
      </c>
      <c r="E628" s="339" t="s">
        <v>1755</v>
      </c>
      <c r="F628" s="340" t="s">
        <v>4974</v>
      </c>
      <c r="G628" s="341">
        <v>1470.5</v>
      </c>
      <c r="H628" s="342">
        <v>24.0</v>
      </c>
      <c r="I628" s="342">
        <v>440.2</v>
      </c>
      <c r="J628" s="342">
        <v>15.5</v>
      </c>
      <c r="K628" s="342">
        <v>29.9</v>
      </c>
      <c r="L628" s="342">
        <v>31.0</v>
      </c>
      <c r="M628" s="346">
        <v>410.7</v>
      </c>
      <c r="O628" s="344"/>
    </row>
    <row r="629" ht="15.75" customHeight="1">
      <c r="A629" s="335">
        <v>626.0</v>
      </c>
      <c r="B629" s="336">
        <v>626.0</v>
      </c>
      <c r="C629" s="337">
        <v>604.0</v>
      </c>
      <c r="D629" s="338" t="s">
        <v>5532</v>
      </c>
      <c r="E629" s="339" t="s">
        <v>482</v>
      </c>
      <c r="F629" s="340" t="s">
        <v>5122</v>
      </c>
      <c r="G629" s="341">
        <v>1464.2</v>
      </c>
      <c r="H629" s="342">
        <v>16.1</v>
      </c>
      <c r="I629" s="342">
        <v>20.3</v>
      </c>
      <c r="J629" s="342">
        <v>-60.3</v>
      </c>
      <c r="K629" s="342">
        <v>1.4</v>
      </c>
      <c r="L629" s="342">
        <v>4.5</v>
      </c>
      <c r="M629" s="346">
        <v>88.7</v>
      </c>
      <c r="O629" s="344"/>
    </row>
    <row r="630" ht="15.75" customHeight="1">
      <c r="A630" s="335">
        <v>627.0</v>
      </c>
      <c r="B630" s="336">
        <v>627.0</v>
      </c>
      <c r="C630" s="337">
        <v>622.0</v>
      </c>
      <c r="D630" s="338" t="s">
        <v>5533</v>
      </c>
      <c r="E630" s="339" t="s">
        <v>332</v>
      </c>
      <c r="F630" s="340" t="s">
        <v>5055</v>
      </c>
      <c r="G630" s="341">
        <v>1464.1</v>
      </c>
      <c r="H630" s="342">
        <v>20.8</v>
      </c>
      <c r="I630" s="342" t="s">
        <v>3537</v>
      </c>
      <c r="J630" s="342" t="s">
        <v>3537</v>
      </c>
      <c r="K630" s="342" t="s">
        <v>3537</v>
      </c>
      <c r="L630" s="342" t="s">
        <v>3537</v>
      </c>
      <c r="M630" s="346" t="s">
        <v>3537</v>
      </c>
      <c r="O630" s="344"/>
    </row>
    <row r="631" ht="15.75" customHeight="1">
      <c r="A631" s="335">
        <v>628.0</v>
      </c>
      <c r="B631" s="336">
        <v>628.0</v>
      </c>
      <c r="C631" s="337">
        <v>593.0</v>
      </c>
      <c r="D631" s="338" t="s">
        <v>5534</v>
      </c>
      <c r="E631" s="339" t="s">
        <v>482</v>
      </c>
      <c r="F631" s="340" t="s">
        <v>4985</v>
      </c>
      <c r="G631" s="341">
        <v>1459.9</v>
      </c>
      <c r="H631" s="342">
        <v>13.1</v>
      </c>
      <c r="I631" s="342">
        <v>177.7</v>
      </c>
      <c r="J631" s="342">
        <v>16.4</v>
      </c>
      <c r="K631" s="342">
        <v>12.2</v>
      </c>
      <c r="L631" s="342">
        <v>12.6</v>
      </c>
      <c r="M631" s="346">
        <v>245.5</v>
      </c>
      <c r="O631" s="344"/>
    </row>
    <row r="632" ht="15.75" customHeight="1">
      <c r="A632" s="335">
        <v>629.0</v>
      </c>
      <c r="B632" s="336">
        <v>629.0</v>
      </c>
      <c r="C632" s="337" t="s">
        <v>3537</v>
      </c>
      <c r="D632" s="338" t="s">
        <v>5535</v>
      </c>
      <c r="E632" s="339" t="s">
        <v>482</v>
      </c>
      <c r="F632" s="340" t="s">
        <v>4968</v>
      </c>
      <c r="G632" s="341">
        <v>1459.8</v>
      </c>
      <c r="H632" s="342">
        <v>36.7</v>
      </c>
      <c r="I632" s="342">
        <v>114.6</v>
      </c>
      <c r="J632" s="342">
        <v>123.9</v>
      </c>
      <c r="K632" s="342">
        <v>7.9</v>
      </c>
      <c r="L632" s="342">
        <v>63.8</v>
      </c>
      <c r="M632" s="346">
        <v>105.9</v>
      </c>
      <c r="O632" s="344"/>
    </row>
    <row r="633" ht="15.75" customHeight="1">
      <c r="A633" s="335">
        <v>630.0</v>
      </c>
      <c r="B633" s="336">
        <v>630.0</v>
      </c>
      <c r="C633" s="337">
        <v>696.0</v>
      </c>
      <c r="D633" s="338" t="s">
        <v>5536</v>
      </c>
      <c r="E633" s="339" t="s">
        <v>482</v>
      </c>
      <c r="F633" s="340" t="s">
        <v>5010</v>
      </c>
      <c r="G633" s="341">
        <v>1459.6</v>
      </c>
      <c r="H633" s="342">
        <v>42.8</v>
      </c>
      <c r="I633" s="342">
        <v>93.8</v>
      </c>
      <c r="J633" s="342">
        <v>-44.6</v>
      </c>
      <c r="K633" s="342">
        <v>6.4</v>
      </c>
      <c r="L633" s="342">
        <v>30.5</v>
      </c>
      <c r="M633" s="346">
        <v>323.3</v>
      </c>
      <c r="O633" s="344"/>
    </row>
    <row r="634" ht="15.75" customHeight="1">
      <c r="A634" s="335">
        <v>631.0</v>
      </c>
      <c r="B634" s="336">
        <v>631.0</v>
      </c>
      <c r="C634" s="337">
        <v>726.0</v>
      </c>
      <c r="D634" s="338" t="s">
        <v>5537</v>
      </c>
      <c r="E634" s="339" t="s">
        <v>332</v>
      </c>
      <c r="F634" s="340" t="s">
        <v>87</v>
      </c>
      <c r="G634" s="341">
        <v>1459.4</v>
      </c>
      <c r="H634" s="342">
        <v>51.2</v>
      </c>
      <c r="I634" s="342">
        <v>18.4</v>
      </c>
      <c r="J634" s="342">
        <v>53.5</v>
      </c>
      <c r="K634" s="342">
        <v>1.3</v>
      </c>
      <c r="L634" s="342">
        <v>30.6</v>
      </c>
      <c r="M634" s="346">
        <v>55.9</v>
      </c>
      <c r="O634" s="344"/>
    </row>
    <row r="635" ht="15.75" customHeight="1">
      <c r="A635" s="335">
        <v>632.0</v>
      </c>
      <c r="B635" s="336">
        <v>632.0</v>
      </c>
      <c r="C635" s="337">
        <v>550.0</v>
      </c>
      <c r="D635" s="338" t="s">
        <v>5538</v>
      </c>
      <c r="E635" s="339" t="s">
        <v>332</v>
      </c>
      <c r="F635" s="340" t="s">
        <v>5055</v>
      </c>
      <c r="G635" s="341">
        <v>1449.7</v>
      </c>
      <c r="H635" s="342">
        <v>1.0</v>
      </c>
      <c r="I635" s="342">
        <v>78.1</v>
      </c>
      <c r="J635" s="342">
        <v>198.0</v>
      </c>
      <c r="K635" s="342">
        <v>5.4</v>
      </c>
      <c r="L635" s="342">
        <v>13.1</v>
      </c>
      <c r="M635" s="346">
        <v>66.3</v>
      </c>
      <c r="O635" s="344"/>
    </row>
    <row r="636" ht="15.75" customHeight="1">
      <c r="A636" s="335">
        <v>633.0</v>
      </c>
      <c r="B636" s="336">
        <v>633.0</v>
      </c>
      <c r="C636" s="337">
        <v>651.0</v>
      </c>
      <c r="D636" s="338" t="s">
        <v>5539</v>
      </c>
      <c r="E636" s="339" t="s">
        <v>1751</v>
      </c>
      <c r="F636" s="340" t="s">
        <v>5122</v>
      </c>
      <c r="G636" s="341">
        <v>1445.8</v>
      </c>
      <c r="H636" s="342">
        <v>27.8</v>
      </c>
      <c r="I636" s="342">
        <v>628.5</v>
      </c>
      <c r="J636" s="342">
        <v>196.4</v>
      </c>
      <c r="K636" s="342">
        <v>43.5</v>
      </c>
      <c r="L636" s="342">
        <v>5.6</v>
      </c>
      <c r="M636" s="346">
        <v>813.1</v>
      </c>
      <c r="O636" s="344"/>
    </row>
    <row r="637" ht="15.75" customHeight="1">
      <c r="A637" s="335">
        <v>634.0</v>
      </c>
      <c r="B637" s="336">
        <v>634.0</v>
      </c>
      <c r="C637" s="337">
        <v>462.0</v>
      </c>
      <c r="D637" s="338" t="s">
        <v>5540</v>
      </c>
      <c r="E637" s="339" t="s">
        <v>1793</v>
      </c>
      <c r="F637" s="340" t="s">
        <v>5012</v>
      </c>
      <c r="G637" s="341">
        <v>1441.1</v>
      </c>
      <c r="H637" s="342">
        <v>-21.9</v>
      </c>
      <c r="I637" s="342">
        <v>15.5</v>
      </c>
      <c r="J637" s="342">
        <v>107.2</v>
      </c>
      <c r="K637" s="342">
        <v>1.1</v>
      </c>
      <c r="L637" s="342">
        <v>21.2</v>
      </c>
      <c r="M637" s="346">
        <v>-56.7</v>
      </c>
      <c r="O637" s="344"/>
    </row>
    <row r="638" ht="15.75" customHeight="1">
      <c r="A638" s="335">
        <v>635.0</v>
      </c>
      <c r="B638" s="336">
        <v>635.0</v>
      </c>
      <c r="C638" s="337">
        <v>518.0</v>
      </c>
      <c r="D638" s="338" t="s">
        <v>5541</v>
      </c>
      <c r="E638" s="339" t="s">
        <v>482</v>
      </c>
      <c r="F638" s="340" t="s">
        <v>4970</v>
      </c>
      <c r="G638" s="341">
        <v>1440.3</v>
      </c>
      <c r="H638" s="342">
        <v>-7.7</v>
      </c>
      <c r="I638" s="342">
        <v>121.3</v>
      </c>
      <c r="J638" s="342">
        <v>-56.7</v>
      </c>
      <c r="K638" s="342">
        <v>8.4</v>
      </c>
      <c r="L638" s="342">
        <v>22.0</v>
      </c>
      <c r="M638" s="346">
        <v>96.0</v>
      </c>
      <c r="O638" s="344"/>
    </row>
    <row r="639" ht="15.75" customHeight="1">
      <c r="A639" s="335">
        <v>636.0</v>
      </c>
      <c r="B639" s="336">
        <v>636.0</v>
      </c>
      <c r="C639" s="337" t="s">
        <v>3537</v>
      </c>
      <c r="D639" s="338" t="s">
        <v>5542</v>
      </c>
      <c r="E639" s="339" t="s">
        <v>482</v>
      </c>
      <c r="F639" s="340" t="s">
        <v>4985</v>
      </c>
      <c r="G639" s="341">
        <v>1419.9</v>
      </c>
      <c r="H639" s="342">
        <v>58.9</v>
      </c>
      <c r="I639" s="342">
        <v>-54.3</v>
      </c>
      <c r="J639" s="342">
        <v>-31.0</v>
      </c>
      <c r="K639" s="342">
        <v>-3.8</v>
      </c>
      <c r="L639" s="342">
        <v>-3.8</v>
      </c>
      <c r="M639" s="346">
        <v>175.6</v>
      </c>
      <c r="O639" s="344"/>
    </row>
    <row r="640" ht="15.75" customHeight="1">
      <c r="A640" s="335">
        <v>637.0</v>
      </c>
      <c r="B640" s="336">
        <v>637.0</v>
      </c>
      <c r="C640" s="337">
        <v>905.0</v>
      </c>
      <c r="D640" s="345" t="s">
        <v>337</v>
      </c>
      <c r="E640" s="339" t="s">
        <v>482</v>
      </c>
      <c r="F640" s="340" t="s">
        <v>87</v>
      </c>
      <c r="G640" s="341">
        <v>1419.7</v>
      </c>
      <c r="H640" s="342">
        <v>98.3</v>
      </c>
      <c r="I640" s="342">
        <v>520.1</v>
      </c>
      <c r="J640" s="342">
        <v>63.7</v>
      </c>
      <c r="K640" s="342">
        <v>36.6</v>
      </c>
      <c r="L640" s="342">
        <v>23.6</v>
      </c>
      <c r="M640" s="346">
        <v>671.1</v>
      </c>
      <c r="O640" s="344"/>
    </row>
    <row r="641" ht="15.75" customHeight="1">
      <c r="A641" s="335">
        <v>638.0</v>
      </c>
      <c r="B641" s="336">
        <v>638.0</v>
      </c>
      <c r="C641" s="337">
        <v>619.0</v>
      </c>
      <c r="D641" s="338" t="s">
        <v>5543</v>
      </c>
      <c r="E641" s="339" t="s">
        <v>1075</v>
      </c>
      <c r="F641" s="340" t="s">
        <v>5018</v>
      </c>
      <c r="G641" s="341">
        <v>1410.0</v>
      </c>
      <c r="H641" s="342">
        <v>15.8</v>
      </c>
      <c r="I641" s="342">
        <v>92.0</v>
      </c>
      <c r="J641" s="342">
        <v>-31.8</v>
      </c>
      <c r="K641" s="342">
        <v>6.5</v>
      </c>
      <c r="L641" s="342">
        <v>5.2</v>
      </c>
      <c r="M641" s="346">
        <v>216.2</v>
      </c>
      <c r="O641" s="344"/>
    </row>
    <row r="642" ht="15.75" customHeight="1">
      <c r="A642" s="335">
        <v>639.0</v>
      </c>
      <c r="B642" s="336">
        <v>639.0</v>
      </c>
      <c r="C642" s="337">
        <v>579.0</v>
      </c>
      <c r="D642" s="338" t="s">
        <v>5544</v>
      </c>
      <c r="E642" s="339" t="s">
        <v>1751</v>
      </c>
      <c r="F642" s="340" t="s">
        <v>4970</v>
      </c>
      <c r="G642" s="341">
        <v>1408.4</v>
      </c>
      <c r="H642" s="342">
        <v>4.1</v>
      </c>
      <c r="I642" s="342">
        <v>248.8</v>
      </c>
      <c r="J642" s="342">
        <v>31.5</v>
      </c>
      <c r="K642" s="342">
        <v>17.7</v>
      </c>
      <c r="L642" s="342">
        <v>93.8</v>
      </c>
      <c r="M642" s="346">
        <v>-56.0</v>
      </c>
      <c r="O642" s="344"/>
    </row>
    <row r="643" ht="15.75" customHeight="1">
      <c r="A643" s="335">
        <v>640.0</v>
      </c>
      <c r="B643" s="336">
        <v>640.0</v>
      </c>
      <c r="C643" s="337">
        <v>573.0</v>
      </c>
      <c r="D643" s="338" t="s">
        <v>5545</v>
      </c>
      <c r="E643" s="339" t="s">
        <v>482</v>
      </c>
      <c r="F643" s="340" t="s">
        <v>4993</v>
      </c>
      <c r="G643" s="341">
        <v>1406.9</v>
      </c>
      <c r="H643" s="342">
        <v>3.0</v>
      </c>
      <c r="I643" s="342">
        <v>360.5</v>
      </c>
      <c r="J643" s="342">
        <v>11.3</v>
      </c>
      <c r="K643" s="342">
        <v>25.6</v>
      </c>
      <c r="L643" s="342">
        <v>20.9</v>
      </c>
      <c r="M643" s="346">
        <v>452.2</v>
      </c>
      <c r="O643" s="344"/>
    </row>
    <row r="644" ht="15.75" customHeight="1">
      <c r="A644" s="335">
        <v>641.0</v>
      </c>
      <c r="B644" s="336">
        <v>641.0</v>
      </c>
      <c r="C644" s="337">
        <v>790.0</v>
      </c>
      <c r="D644" s="338" t="s">
        <v>5546</v>
      </c>
      <c r="E644" s="339" t="s">
        <v>482</v>
      </c>
      <c r="F644" s="340" t="s">
        <v>4985</v>
      </c>
      <c r="G644" s="341">
        <v>1403.5</v>
      </c>
      <c r="H644" s="342">
        <v>60.3</v>
      </c>
      <c r="I644" s="342">
        <v>86.8</v>
      </c>
      <c r="J644" s="341">
        <v>1620.8</v>
      </c>
      <c r="K644" s="342">
        <v>6.2</v>
      </c>
      <c r="L644" s="342">
        <v>20.6</v>
      </c>
      <c r="M644" s="346">
        <v>156.1</v>
      </c>
      <c r="O644" s="344"/>
    </row>
    <row r="645" ht="15.75" customHeight="1">
      <c r="A645" s="335">
        <v>642.0</v>
      </c>
      <c r="B645" s="336">
        <v>642.0</v>
      </c>
      <c r="C645" s="337">
        <v>641.0</v>
      </c>
      <c r="D645" s="338" t="s">
        <v>5547</v>
      </c>
      <c r="E645" s="339" t="s">
        <v>482</v>
      </c>
      <c r="F645" s="340" t="s">
        <v>5055</v>
      </c>
      <c r="G645" s="341">
        <v>1402.0</v>
      </c>
      <c r="H645" s="342">
        <v>22.1</v>
      </c>
      <c r="I645" s="342">
        <v>49.7</v>
      </c>
      <c r="J645" s="342">
        <v>436.0</v>
      </c>
      <c r="K645" s="342">
        <v>3.5</v>
      </c>
      <c r="L645" s="342">
        <v>147.5</v>
      </c>
      <c r="M645" s="346">
        <v>85.5</v>
      </c>
      <c r="O645" s="344"/>
    </row>
    <row r="646" ht="15.75" customHeight="1">
      <c r="A646" s="335">
        <v>643.0</v>
      </c>
      <c r="B646" s="336">
        <v>643.0</v>
      </c>
      <c r="C646" s="337">
        <v>577.0</v>
      </c>
      <c r="D646" s="338" t="s">
        <v>5548</v>
      </c>
      <c r="E646" s="339" t="s">
        <v>1793</v>
      </c>
      <c r="F646" s="340" t="s">
        <v>5015</v>
      </c>
      <c r="G646" s="341">
        <v>1394.1</v>
      </c>
      <c r="H646" s="342">
        <v>2.8</v>
      </c>
      <c r="I646" s="342">
        <v>53.9</v>
      </c>
      <c r="J646" s="342">
        <v>-53.6</v>
      </c>
      <c r="K646" s="342">
        <v>3.9</v>
      </c>
      <c r="L646" s="342">
        <v>22.5</v>
      </c>
      <c r="M646" s="346">
        <v>159.0</v>
      </c>
      <c r="O646" s="344"/>
    </row>
    <row r="647" ht="15.75" customHeight="1">
      <c r="A647" s="335">
        <v>644.0</v>
      </c>
      <c r="B647" s="336">
        <v>644.0</v>
      </c>
      <c r="C647" s="337">
        <v>581.0</v>
      </c>
      <c r="D647" s="338" t="s">
        <v>5549</v>
      </c>
      <c r="E647" s="339" t="s">
        <v>482</v>
      </c>
      <c r="F647" s="340" t="s">
        <v>4981</v>
      </c>
      <c r="G647" s="341">
        <v>1393.5</v>
      </c>
      <c r="H647" s="342">
        <v>4.0</v>
      </c>
      <c r="I647" s="342">
        <v>234.3</v>
      </c>
      <c r="J647" s="342">
        <v>92.7</v>
      </c>
      <c r="K647" s="342">
        <v>16.8</v>
      </c>
      <c r="L647" s="342">
        <v>42.3</v>
      </c>
      <c r="M647" s="346">
        <v>163.9</v>
      </c>
      <c r="O647" s="344"/>
    </row>
    <row r="648" ht="15.75" customHeight="1">
      <c r="A648" s="335">
        <v>645.0</v>
      </c>
      <c r="B648" s="336">
        <v>645.0</v>
      </c>
      <c r="C648" s="337">
        <v>602.0</v>
      </c>
      <c r="D648" s="338" t="s">
        <v>5550</v>
      </c>
      <c r="E648" s="339" t="s">
        <v>1751</v>
      </c>
      <c r="F648" s="340" t="s">
        <v>3754</v>
      </c>
      <c r="G648" s="341">
        <v>1383.6</v>
      </c>
      <c r="H648" s="342">
        <v>9.5</v>
      </c>
      <c r="I648" s="342">
        <v>-15.2</v>
      </c>
      <c r="J648" s="342">
        <v>-198.0</v>
      </c>
      <c r="K648" s="342">
        <v>-1.1</v>
      </c>
      <c r="L648" s="342">
        <v>-13.7</v>
      </c>
      <c r="M648" s="346">
        <v>68.7</v>
      </c>
      <c r="O648" s="344"/>
    </row>
    <row r="649" ht="15.75" customHeight="1">
      <c r="A649" s="335">
        <v>646.0</v>
      </c>
      <c r="B649" s="336">
        <v>646.0</v>
      </c>
      <c r="C649" s="337">
        <v>770.0</v>
      </c>
      <c r="D649" s="338" t="s">
        <v>5551</v>
      </c>
      <c r="E649" s="339" t="s">
        <v>156</v>
      </c>
      <c r="F649" s="340" t="s">
        <v>5122</v>
      </c>
      <c r="G649" s="341">
        <v>1381.7</v>
      </c>
      <c r="H649" s="342">
        <v>52.7</v>
      </c>
      <c r="I649" s="342">
        <v>173.4</v>
      </c>
      <c r="J649" s="342">
        <v>16.2</v>
      </c>
      <c r="K649" s="342">
        <v>12.6</v>
      </c>
      <c r="L649" s="342">
        <v>21.0</v>
      </c>
      <c r="M649" s="346">
        <v>198.0</v>
      </c>
      <c r="O649" s="344"/>
    </row>
    <row r="650" ht="15.75" customHeight="1">
      <c r="A650" s="335">
        <v>647.0</v>
      </c>
      <c r="B650" s="336">
        <v>647.0</v>
      </c>
      <c r="C650" s="337">
        <v>659.0</v>
      </c>
      <c r="D650" s="338" t="s">
        <v>5552</v>
      </c>
      <c r="E650" s="339" t="s">
        <v>482</v>
      </c>
      <c r="F650" s="340" t="s">
        <v>5012</v>
      </c>
      <c r="G650" s="341">
        <v>1378.4</v>
      </c>
      <c r="H650" s="342">
        <v>24.1</v>
      </c>
      <c r="I650" s="342">
        <v>547.3</v>
      </c>
      <c r="J650" s="342">
        <v>66.3</v>
      </c>
      <c r="K650" s="342">
        <v>39.7</v>
      </c>
      <c r="L650" s="342">
        <v>40.2</v>
      </c>
      <c r="M650" s="346">
        <v>684.7</v>
      </c>
      <c r="O650" s="344"/>
    </row>
    <row r="651" ht="15.75" customHeight="1">
      <c r="A651" s="335">
        <v>648.0</v>
      </c>
      <c r="B651" s="336">
        <v>648.0</v>
      </c>
      <c r="C651" s="337">
        <v>763.0</v>
      </c>
      <c r="D651" s="338" t="s">
        <v>5553</v>
      </c>
      <c r="E651" s="339" t="s">
        <v>156</v>
      </c>
      <c r="F651" s="340" t="s">
        <v>5012</v>
      </c>
      <c r="G651" s="341">
        <v>1375.2</v>
      </c>
      <c r="H651" s="342">
        <v>49.9</v>
      </c>
      <c r="I651" s="342">
        <v>102.1</v>
      </c>
      <c r="J651" s="342">
        <v>117.1</v>
      </c>
      <c r="K651" s="342">
        <v>7.4</v>
      </c>
      <c r="L651" s="342">
        <v>12.3</v>
      </c>
      <c r="M651" s="346">
        <v>436.1</v>
      </c>
      <c r="O651" s="344"/>
    </row>
    <row r="652" ht="15.75" customHeight="1">
      <c r="A652" s="335">
        <v>649.0</v>
      </c>
      <c r="B652" s="336">
        <v>649.0</v>
      </c>
      <c r="C652" s="337">
        <v>704.0</v>
      </c>
      <c r="D652" s="338" t="s">
        <v>5554</v>
      </c>
      <c r="E652" s="339" t="s">
        <v>482</v>
      </c>
      <c r="F652" s="340" t="s">
        <v>5012</v>
      </c>
      <c r="G652" s="341">
        <v>1370.5</v>
      </c>
      <c r="H652" s="342">
        <v>36.1</v>
      </c>
      <c r="I652" s="342">
        <v>159.7</v>
      </c>
      <c r="J652" s="342">
        <v>48.1</v>
      </c>
      <c r="K652" s="342">
        <v>11.6</v>
      </c>
      <c r="L652" s="342">
        <v>22.0</v>
      </c>
      <c r="M652" s="346">
        <v>180.8</v>
      </c>
      <c r="O652" s="344"/>
    </row>
    <row r="653" ht="15.75" customHeight="1">
      <c r="A653" s="335">
        <v>650.0</v>
      </c>
      <c r="B653" s="336">
        <v>650.0</v>
      </c>
      <c r="C653" s="337">
        <v>613.0</v>
      </c>
      <c r="D653" s="347" t="s">
        <v>5555</v>
      </c>
      <c r="E653" s="339" t="s">
        <v>1199</v>
      </c>
      <c r="F653" s="340" t="s">
        <v>3256</v>
      </c>
      <c r="G653" s="341">
        <v>1369.5</v>
      </c>
      <c r="H653" s="342">
        <v>10.6</v>
      </c>
      <c r="I653" s="342">
        <v>137.0</v>
      </c>
      <c r="J653" s="342">
        <v>13.6</v>
      </c>
      <c r="K653" s="342">
        <v>10.0</v>
      </c>
      <c r="L653" s="342">
        <v>15.8</v>
      </c>
      <c r="M653" s="346">
        <v>157.1</v>
      </c>
      <c r="O653" s="344"/>
    </row>
    <row r="654" ht="15.75" customHeight="1">
      <c r="A654" s="335">
        <v>651.0</v>
      </c>
      <c r="B654" s="336">
        <v>651.0</v>
      </c>
      <c r="C654" s="337">
        <v>716.0</v>
      </c>
      <c r="D654" s="338" t="s">
        <v>5556</v>
      </c>
      <c r="E654" s="339" t="s">
        <v>482</v>
      </c>
      <c r="F654" s="340" t="s">
        <v>4999</v>
      </c>
      <c r="G654" s="341">
        <v>1369.4</v>
      </c>
      <c r="H654" s="342">
        <v>39.3</v>
      </c>
      <c r="I654" s="342">
        <v>31.2</v>
      </c>
      <c r="J654" s="342">
        <v>-47.6</v>
      </c>
      <c r="K654" s="342">
        <v>2.3</v>
      </c>
      <c r="L654" s="342">
        <v>19.2</v>
      </c>
      <c r="M654" s="346">
        <v>66.1</v>
      </c>
      <c r="O654" s="344"/>
    </row>
    <row r="655" ht="15.75" customHeight="1">
      <c r="A655" s="335">
        <v>652.0</v>
      </c>
      <c r="B655" s="336">
        <v>652.0</v>
      </c>
      <c r="C655" s="337" t="s">
        <v>3537</v>
      </c>
      <c r="D655" s="338" t="s">
        <v>5557</v>
      </c>
      <c r="E655" s="339" t="s">
        <v>1708</v>
      </c>
      <c r="F655" s="340" t="s">
        <v>4963</v>
      </c>
      <c r="G655" s="341">
        <v>1362.6</v>
      </c>
      <c r="H655" s="342">
        <v>25.8</v>
      </c>
      <c r="I655" s="342">
        <v>259.9</v>
      </c>
      <c r="J655" s="342">
        <v>17.1</v>
      </c>
      <c r="K655" s="342">
        <v>19.1</v>
      </c>
      <c r="L655" s="342">
        <v>114.9</v>
      </c>
      <c r="M655" s="346">
        <v>268.1</v>
      </c>
      <c r="O655" s="344"/>
    </row>
    <row r="656" ht="15.75" customHeight="1">
      <c r="A656" s="335">
        <v>653.0</v>
      </c>
      <c r="B656" s="336">
        <v>653.0</v>
      </c>
      <c r="C656" s="337">
        <v>490.0</v>
      </c>
      <c r="D656" s="338" t="s">
        <v>5558</v>
      </c>
      <c r="E656" s="339" t="s">
        <v>482</v>
      </c>
      <c r="F656" s="340" t="s">
        <v>4985</v>
      </c>
      <c r="G656" s="341">
        <v>1359.9</v>
      </c>
      <c r="H656" s="342">
        <v>-19.3</v>
      </c>
      <c r="I656" s="342">
        <v>47.5</v>
      </c>
      <c r="J656" s="342">
        <v>-29.0</v>
      </c>
      <c r="K656" s="342">
        <v>3.5</v>
      </c>
      <c r="L656" s="342">
        <v>8.4</v>
      </c>
      <c r="M656" s="346">
        <v>88.6</v>
      </c>
      <c r="O656" s="344"/>
    </row>
    <row r="657" ht="15.75" customHeight="1">
      <c r="A657" s="335">
        <v>654.0</v>
      </c>
      <c r="B657" s="336">
        <v>654.0</v>
      </c>
      <c r="C657" s="337">
        <v>606.0</v>
      </c>
      <c r="D657" s="338" t="s">
        <v>5559</v>
      </c>
      <c r="E657" s="339" t="s">
        <v>482</v>
      </c>
      <c r="F657" s="340" t="s">
        <v>4983</v>
      </c>
      <c r="G657" s="341">
        <v>1356.0</v>
      </c>
      <c r="H657" s="342">
        <v>7.7</v>
      </c>
      <c r="I657" s="342">
        <v>12.1</v>
      </c>
      <c r="J657" s="342">
        <v>-2.2</v>
      </c>
      <c r="K657" s="342">
        <v>0.9</v>
      </c>
      <c r="L657" s="342">
        <v>30.6</v>
      </c>
      <c r="M657" s="346">
        <v>14.8</v>
      </c>
      <c r="O657" s="344"/>
    </row>
    <row r="658" ht="15.75" customHeight="1">
      <c r="A658" s="335">
        <v>655.0</v>
      </c>
      <c r="B658" s="336">
        <v>655.0</v>
      </c>
      <c r="C658" s="337">
        <v>663.0</v>
      </c>
      <c r="D658" s="347" t="s">
        <v>5560</v>
      </c>
      <c r="E658" s="339" t="s">
        <v>482</v>
      </c>
      <c r="F658" s="340" t="s">
        <v>3256</v>
      </c>
      <c r="G658" s="341">
        <v>1355.7</v>
      </c>
      <c r="H658" s="342">
        <v>23.0</v>
      </c>
      <c r="I658" s="342">
        <v>49.5</v>
      </c>
      <c r="J658" s="342">
        <v>221.4</v>
      </c>
      <c r="K658" s="342">
        <v>3.6</v>
      </c>
      <c r="L658" s="342">
        <v>31.3</v>
      </c>
      <c r="M658" s="346">
        <v>57.2</v>
      </c>
      <c r="O658" s="344"/>
    </row>
    <row r="659" ht="15.75" customHeight="1">
      <c r="A659" s="335">
        <v>656.0</v>
      </c>
      <c r="B659" s="336">
        <v>656.0</v>
      </c>
      <c r="C659" s="337">
        <v>624.0</v>
      </c>
      <c r="D659" s="338" t="s">
        <v>5561</v>
      </c>
      <c r="E659" s="339" t="s">
        <v>482</v>
      </c>
      <c r="F659" s="340" t="s">
        <v>3754</v>
      </c>
      <c r="G659" s="341">
        <v>1355.3</v>
      </c>
      <c r="H659" s="342">
        <v>12.4</v>
      </c>
      <c r="I659" s="342">
        <v>43.4</v>
      </c>
      <c r="J659" s="342">
        <v>9.1</v>
      </c>
      <c r="K659" s="342">
        <v>3.2</v>
      </c>
      <c r="L659" s="342">
        <v>41.6</v>
      </c>
      <c r="M659" s="346">
        <v>75.2</v>
      </c>
      <c r="O659" s="344"/>
    </row>
    <row r="660" ht="15.75" customHeight="1">
      <c r="A660" s="335">
        <v>657.0</v>
      </c>
      <c r="B660" s="336">
        <v>657.0</v>
      </c>
      <c r="C660" s="337">
        <v>587.0</v>
      </c>
      <c r="D660" s="338" t="s">
        <v>5562</v>
      </c>
      <c r="E660" s="339" t="s">
        <v>482</v>
      </c>
      <c r="F660" s="340" t="s">
        <v>5028</v>
      </c>
      <c r="G660" s="341">
        <v>1354.6</v>
      </c>
      <c r="H660" s="342">
        <v>2.8</v>
      </c>
      <c r="I660" s="342">
        <v>30.0</v>
      </c>
      <c r="J660" s="342">
        <v>-46.0</v>
      </c>
      <c r="K660" s="342">
        <v>2.2</v>
      </c>
      <c r="L660" s="342">
        <v>12.8</v>
      </c>
      <c r="M660" s="346">
        <v>78.9</v>
      </c>
      <c r="O660" s="344"/>
    </row>
    <row r="661" ht="15.75" customHeight="1">
      <c r="A661" s="335">
        <v>658.0</v>
      </c>
      <c r="B661" s="336">
        <v>658.0</v>
      </c>
      <c r="C661" s="337">
        <v>657.0</v>
      </c>
      <c r="D661" s="338" t="s">
        <v>5563</v>
      </c>
      <c r="E661" s="339" t="s">
        <v>156</v>
      </c>
      <c r="F661" s="340" t="s">
        <v>3754</v>
      </c>
      <c r="G661" s="341">
        <v>1346.0</v>
      </c>
      <c r="H661" s="342">
        <v>20.7</v>
      </c>
      <c r="I661" s="342">
        <v>105.8</v>
      </c>
      <c r="J661" s="342">
        <v>-0.2</v>
      </c>
      <c r="K661" s="342">
        <v>7.9</v>
      </c>
      <c r="L661" s="342">
        <v>43.0</v>
      </c>
      <c r="M661" s="346">
        <v>117.9</v>
      </c>
      <c r="O661" s="344"/>
    </row>
    <row r="662" ht="15.75" customHeight="1">
      <c r="A662" s="335">
        <v>659.0</v>
      </c>
      <c r="B662" s="336">
        <v>659.0</v>
      </c>
      <c r="C662" s="337">
        <v>708.0</v>
      </c>
      <c r="D662" s="338" t="s">
        <v>5564</v>
      </c>
      <c r="E662" s="339" t="s">
        <v>332</v>
      </c>
      <c r="F662" s="340" t="s">
        <v>4976</v>
      </c>
      <c r="G662" s="341">
        <v>1340.9</v>
      </c>
      <c r="H662" s="342">
        <v>34.7</v>
      </c>
      <c r="I662" s="342">
        <v>16.1</v>
      </c>
      <c r="J662" s="342">
        <v>341.6</v>
      </c>
      <c r="K662" s="342">
        <v>1.2</v>
      </c>
      <c r="L662" s="342">
        <v>10.4</v>
      </c>
      <c r="M662" s="346">
        <v>59.8</v>
      </c>
      <c r="O662" s="344"/>
    </row>
    <row r="663" ht="15.75" customHeight="1">
      <c r="A663" s="335">
        <v>660.0</v>
      </c>
      <c r="B663" s="336">
        <v>660.0</v>
      </c>
      <c r="C663" s="337">
        <v>582.0</v>
      </c>
      <c r="D663" s="338" t="s">
        <v>5565</v>
      </c>
      <c r="E663" s="339" t="s">
        <v>482</v>
      </c>
      <c r="F663" s="340" t="s">
        <v>4974</v>
      </c>
      <c r="G663" s="341">
        <v>1340.7</v>
      </c>
      <c r="H663" s="342">
        <v>0.3</v>
      </c>
      <c r="I663" s="342">
        <v>134.0</v>
      </c>
      <c r="J663" s="342">
        <v>-58.8</v>
      </c>
      <c r="K663" s="342">
        <v>10.0</v>
      </c>
      <c r="L663" s="342">
        <v>13.8</v>
      </c>
      <c r="M663" s="346">
        <v>160.7</v>
      </c>
      <c r="O663" s="344"/>
    </row>
    <row r="664" ht="15.75" customHeight="1">
      <c r="A664" s="335">
        <v>661.0</v>
      </c>
      <c r="B664" s="336">
        <v>661.0</v>
      </c>
      <c r="C664" s="337">
        <v>636.0</v>
      </c>
      <c r="D664" s="338" t="s">
        <v>5566</v>
      </c>
      <c r="E664" s="339" t="s">
        <v>1751</v>
      </c>
      <c r="F664" s="340" t="s">
        <v>5047</v>
      </c>
      <c r="G664" s="341">
        <v>1337.7</v>
      </c>
      <c r="H664" s="342">
        <v>15.7</v>
      </c>
      <c r="I664" s="342">
        <v>23.4</v>
      </c>
      <c r="J664" s="342">
        <v>-22.7</v>
      </c>
      <c r="K664" s="342">
        <v>1.7</v>
      </c>
      <c r="L664" s="342">
        <v>1.4</v>
      </c>
      <c r="M664" s="346">
        <v>-116.3</v>
      </c>
      <c r="O664" s="344"/>
    </row>
    <row r="665" ht="15.75" customHeight="1">
      <c r="A665" s="335">
        <v>662.0</v>
      </c>
      <c r="B665" s="336">
        <v>662.0</v>
      </c>
      <c r="C665" s="337">
        <v>670.0</v>
      </c>
      <c r="D665" s="338" t="s">
        <v>5567</v>
      </c>
      <c r="E665" s="339" t="s">
        <v>482</v>
      </c>
      <c r="F665" s="340" t="s">
        <v>4974</v>
      </c>
      <c r="G665" s="341">
        <v>1333.1</v>
      </c>
      <c r="H665" s="342">
        <v>22.2</v>
      </c>
      <c r="I665" s="342">
        <v>203.0</v>
      </c>
      <c r="J665" s="342">
        <v>-8.2</v>
      </c>
      <c r="K665" s="342">
        <v>15.2</v>
      </c>
      <c r="L665" s="342">
        <v>27.6</v>
      </c>
      <c r="M665" s="346">
        <v>384.5</v>
      </c>
      <c r="O665" s="344"/>
    </row>
    <row r="666" ht="15.75" customHeight="1">
      <c r="A666" s="335">
        <v>663.0</v>
      </c>
      <c r="B666" s="336">
        <v>663.0</v>
      </c>
      <c r="C666" s="337">
        <v>759.0</v>
      </c>
      <c r="D666" s="338" t="s">
        <v>5568</v>
      </c>
      <c r="E666" s="339" t="s">
        <v>156</v>
      </c>
      <c r="F666" s="340" t="s">
        <v>4968</v>
      </c>
      <c r="G666" s="341">
        <v>1333.0</v>
      </c>
      <c r="H666" s="342">
        <v>44.3</v>
      </c>
      <c r="I666" s="342">
        <v>65.2</v>
      </c>
      <c r="J666" s="342">
        <v>71.7</v>
      </c>
      <c r="K666" s="342">
        <v>4.9</v>
      </c>
      <c r="L666" s="342">
        <v>18.2</v>
      </c>
      <c r="M666" s="346">
        <v>103.2</v>
      </c>
      <c r="O666" s="344"/>
    </row>
    <row r="667" ht="15.75" customHeight="1">
      <c r="A667" s="335">
        <v>664.0</v>
      </c>
      <c r="B667" s="336">
        <v>664.0</v>
      </c>
      <c r="C667" s="337">
        <v>677.0</v>
      </c>
      <c r="D667" s="345" t="s">
        <v>1782</v>
      </c>
      <c r="E667" s="339" t="s">
        <v>1793</v>
      </c>
      <c r="F667" s="340" t="s">
        <v>3256</v>
      </c>
      <c r="G667" s="341">
        <v>1325.1</v>
      </c>
      <c r="H667" s="342">
        <v>24.8</v>
      </c>
      <c r="I667" s="342">
        <v>177.2</v>
      </c>
      <c r="J667" s="342">
        <v>-36.0</v>
      </c>
      <c r="K667" s="342">
        <v>13.4</v>
      </c>
      <c r="L667" s="342">
        <v>40.3</v>
      </c>
      <c r="M667" s="346">
        <v>178.8</v>
      </c>
      <c r="O667" s="344"/>
    </row>
    <row r="668" ht="15.75" customHeight="1">
      <c r="A668" s="335">
        <v>665.0</v>
      </c>
      <c r="B668" s="336">
        <v>665.0</v>
      </c>
      <c r="C668" s="337">
        <v>703.0</v>
      </c>
      <c r="D668" s="338" t="s">
        <v>5569</v>
      </c>
      <c r="E668" s="339" t="s">
        <v>482</v>
      </c>
      <c r="F668" s="340" t="s">
        <v>5012</v>
      </c>
      <c r="G668" s="341">
        <v>1320.7</v>
      </c>
      <c r="H668" s="342">
        <v>30.9</v>
      </c>
      <c r="I668" s="342">
        <v>45.2</v>
      </c>
      <c r="J668" s="342">
        <v>-83.6</v>
      </c>
      <c r="K668" s="342">
        <v>3.4</v>
      </c>
      <c r="L668" s="342" t="s">
        <v>5021</v>
      </c>
      <c r="M668" s="346">
        <v>484.6</v>
      </c>
      <c r="O668" s="344"/>
    </row>
    <row r="669" ht="15.75" customHeight="1">
      <c r="A669" s="335">
        <v>666.0</v>
      </c>
      <c r="B669" s="336">
        <v>666.0</v>
      </c>
      <c r="C669" s="337">
        <v>609.0</v>
      </c>
      <c r="D669" s="338" t="s">
        <v>5570</v>
      </c>
      <c r="E669" s="339" t="s">
        <v>482</v>
      </c>
      <c r="F669" s="340" t="s">
        <v>5028</v>
      </c>
      <c r="G669" s="341">
        <v>1318.0</v>
      </c>
      <c r="H669" s="342" t="s">
        <v>3537</v>
      </c>
      <c r="I669" s="342" t="s">
        <v>3537</v>
      </c>
      <c r="J669" s="342" t="s">
        <v>3537</v>
      </c>
      <c r="K669" s="342" t="s">
        <v>3537</v>
      </c>
      <c r="L669" s="342" t="s">
        <v>3537</v>
      </c>
      <c r="M669" s="346" t="s">
        <v>3537</v>
      </c>
      <c r="O669" s="344"/>
    </row>
    <row r="670" ht="15.75" customHeight="1">
      <c r="A670" s="335">
        <v>667.0</v>
      </c>
      <c r="B670" s="336">
        <v>667.0</v>
      </c>
      <c r="C670" s="337">
        <v>960.0</v>
      </c>
      <c r="D670" s="338" t="s">
        <v>5571</v>
      </c>
      <c r="E670" s="339" t="s">
        <v>1075</v>
      </c>
      <c r="F670" s="340" t="s">
        <v>5172</v>
      </c>
      <c r="G670" s="341">
        <v>1317.3</v>
      </c>
      <c r="H670" s="342">
        <v>108.7</v>
      </c>
      <c r="I670" s="342">
        <v>93.1</v>
      </c>
      <c r="J670" s="342">
        <v>62.8</v>
      </c>
      <c r="K670" s="342">
        <v>7.1</v>
      </c>
      <c r="L670" s="342">
        <v>6.2</v>
      </c>
      <c r="M670" s="346">
        <v>381.8</v>
      </c>
      <c r="O670" s="344"/>
    </row>
    <row r="671" ht="15.75" customHeight="1">
      <c r="A671" s="335">
        <v>668.0</v>
      </c>
      <c r="B671" s="336">
        <v>668.0</v>
      </c>
      <c r="C671" s="337">
        <v>639.0</v>
      </c>
      <c r="D671" s="338" t="s">
        <v>5572</v>
      </c>
      <c r="E671" s="339" t="s">
        <v>482</v>
      </c>
      <c r="F671" s="340" t="s">
        <v>5055</v>
      </c>
      <c r="G671" s="341">
        <v>1315.2</v>
      </c>
      <c r="H671" s="342">
        <v>14.9</v>
      </c>
      <c r="I671" s="342">
        <v>-1.4</v>
      </c>
      <c r="J671" s="342">
        <v>-102.9</v>
      </c>
      <c r="K671" s="342">
        <v>-0.1</v>
      </c>
      <c r="L671" s="342">
        <v>-1.0</v>
      </c>
      <c r="M671" s="346">
        <v>10.4</v>
      </c>
      <c r="O671" s="344"/>
    </row>
    <row r="672" ht="15.75" customHeight="1">
      <c r="A672" s="335">
        <v>669.0</v>
      </c>
      <c r="B672" s="336">
        <v>669.0</v>
      </c>
      <c r="C672" s="337">
        <v>660.0</v>
      </c>
      <c r="D672" s="338" t="s">
        <v>5573</v>
      </c>
      <c r="E672" s="339" t="s">
        <v>482</v>
      </c>
      <c r="F672" s="340" t="s">
        <v>5028</v>
      </c>
      <c r="G672" s="341">
        <v>1313.4</v>
      </c>
      <c r="H672" s="342">
        <v>18.8</v>
      </c>
      <c r="I672" s="342">
        <v>327.1</v>
      </c>
      <c r="J672" s="342">
        <v>128.4</v>
      </c>
      <c r="K672" s="342">
        <v>24.9</v>
      </c>
      <c r="L672" s="342">
        <v>16.9</v>
      </c>
      <c r="M672" s="346">
        <v>465.0</v>
      </c>
      <c r="O672" s="344"/>
    </row>
    <row r="673" ht="15.75" customHeight="1">
      <c r="A673" s="335">
        <v>670.0</v>
      </c>
      <c r="B673" s="336">
        <v>670.0</v>
      </c>
      <c r="C673" s="337">
        <v>719.0</v>
      </c>
      <c r="D673" s="338" t="s">
        <v>5574</v>
      </c>
      <c r="E673" s="339" t="s">
        <v>332</v>
      </c>
      <c r="F673" s="340" t="s">
        <v>87</v>
      </c>
      <c r="G673" s="341">
        <v>1312.1</v>
      </c>
      <c r="H673" s="342">
        <v>34.1</v>
      </c>
      <c r="I673" s="342">
        <v>4.7</v>
      </c>
      <c r="J673" s="342">
        <v>313.1</v>
      </c>
      <c r="K673" s="342">
        <v>0.4</v>
      </c>
      <c r="L673" s="342">
        <v>3.7</v>
      </c>
      <c r="M673" s="346">
        <v>274.6</v>
      </c>
      <c r="O673" s="344"/>
    </row>
    <row r="674" ht="15.75" customHeight="1">
      <c r="A674" s="335">
        <v>671.0</v>
      </c>
      <c r="B674" s="336">
        <v>671.0</v>
      </c>
      <c r="C674" s="337">
        <v>694.0</v>
      </c>
      <c r="D674" s="347" t="s">
        <v>5575</v>
      </c>
      <c r="E674" s="339" t="s">
        <v>332</v>
      </c>
      <c r="F674" s="340" t="s">
        <v>3256</v>
      </c>
      <c r="G674" s="341">
        <v>1308.9</v>
      </c>
      <c r="H674" s="342">
        <v>27.6</v>
      </c>
      <c r="I674" s="342">
        <v>50.4</v>
      </c>
      <c r="J674" s="342">
        <v>197.7</v>
      </c>
      <c r="K674" s="342">
        <v>3.9</v>
      </c>
      <c r="L674" s="342">
        <v>8.1</v>
      </c>
      <c r="M674" s="346">
        <v>56.1</v>
      </c>
      <c r="O674" s="344"/>
    </row>
    <row r="675" ht="15.75" customHeight="1">
      <c r="A675" s="335">
        <v>672.0</v>
      </c>
      <c r="B675" s="336">
        <v>672.0</v>
      </c>
      <c r="C675" s="337">
        <v>654.0</v>
      </c>
      <c r="D675" s="338" t="s">
        <v>5576</v>
      </c>
      <c r="E675" s="339" t="s">
        <v>482</v>
      </c>
      <c r="F675" s="340" t="s">
        <v>5012</v>
      </c>
      <c r="G675" s="341">
        <v>1307.4</v>
      </c>
      <c r="H675" s="342">
        <v>16.6</v>
      </c>
      <c r="I675" s="342">
        <v>120.6</v>
      </c>
      <c r="J675" s="342">
        <v>36.0</v>
      </c>
      <c r="K675" s="342">
        <v>9.2</v>
      </c>
      <c r="L675" s="342">
        <v>59.5</v>
      </c>
      <c r="M675" s="346">
        <v>119.9</v>
      </c>
      <c r="O675" s="344"/>
    </row>
    <row r="676" ht="15.75" customHeight="1">
      <c r="A676" s="335">
        <v>673.0</v>
      </c>
      <c r="B676" s="336">
        <v>673.0</v>
      </c>
      <c r="C676" s="337">
        <v>640.0</v>
      </c>
      <c r="D676" s="338" t="s">
        <v>5577</v>
      </c>
      <c r="E676" s="339" t="s">
        <v>482</v>
      </c>
      <c r="F676" s="340" t="s">
        <v>3754</v>
      </c>
      <c r="G676" s="341">
        <v>1304.7</v>
      </c>
      <c r="H676" s="342">
        <v>13.6</v>
      </c>
      <c r="I676" s="342">
        <v>-88.1</v>
      </c>
      <c r="J676" s="342">
        <v>-813.0</v>
      </c>
      <c r="K676" s="342">
        <v>-6.8</v>
      </c>
      <c r="L676" s="342">
        <v>-35.2</v>
      </c>
      <c r="M676" s="346">
        <v>60.9</v>
      </c>
      <c r="O676" s="344"/>
    </row>
    <row r="677" ht="15.75" customHeight="1">
      <c r="A677" s="335">
        <v>674.0</v>
      </c>
      <c r="B677" s="336">
        <v>674.0</v>
      </c>
      <c r="C677" s="337">
        <v>752.0</v>
      </c>
      <c r="D677" s="338" t="s">
        <v>5578</v>
      </c>
      <c r="E677" s="339" t="s">
        <v>156</v>
      </c>
      <c r="F677" s="340" t="s">
        <v>5001</v>
      </c>
      <c r="G677" s="341">
        <v>1303.1</v>
      </c>
      <c r="H677" s="342">
        <v>39.2</v>
      </c>
      <c r="I677" s="342">
        <v>374.3</v>
      </c>
      <c r="J677" s="342">
        <v>137.0</v>
      </c>
      <c r="K677" s="342">
        <v>28.7</v>
      </c>
      <c r="L677" s="342">
        <v>72.3</v>
      </c>
      <c r="M677" s="346">
        <v>309.2</v>
      </c>
      <c r="O677" s="344"/>
    </row>
    <row r="678" ht="15.75" customHeight="1">
      <c r="A678" s="335">
        <v>675.0</v>
      </c>
      <c r="B678" s="336">
        <v>675.0</v>
      </c>
      <c r="C678" s="337">
        <v>589.0</v>
      </c>
      <c r="D678" s="338" t="s">
        <v>5579</v>
      </c>
      <c r="E678" s="339" t="s">
        <v>482</v>
      </c>
      <c r="F678" s="340" t="s">
        <v>5010</v>
      </c>
      <c r="G678" s="341">
        <v>1303.0</v>
      </c>
      <c r="H678" s="342">
        <v>-0.1</v>
      </c>
      <c r="I678" s="342">
        <v>304.1</v>
      </c>
      <c r="J678" s="342">
        <v>-18.2</v>
      </c>
      <c r="K678" s="342">
        <v>23.3</v>
      </c>
      <c r="L678" s="342">
        <v>29.5</v>
      </c>
      <c r="M678" s="346">
        <v>385.0</v>
      </c>
      <c r="O678" s="344"/>
    </row>
    <row r="679" ht="15.75" customHeight="1">
      <c r="A679" s="335">
        <v>676.0</v>
      </c>
      <c r="B679" s="336">
        <v>676.0</v>
      </c>
      <c r="C679" s="337" t="s">
        <v>3537</v>
      </c>
      <c r="D679" s="338" t="s">
        <v>5580</v>
      </c>
      <c r="E679" s="339" t="s">
        <v>482</v>
      </c>
      <c r="F679" s="340" t="s">
        <v>5012</v>
      </c>
      <c r="G679" s="341">
        <v>1301.7</v>
      </c>
      <c r="H679" s="342">
        <v>20.8</v>
      </c>
      <c r="I679" s="342">
        <v>-54.9</v>
      </c>
      <c r="J679" s="342">
        <v>-968.9</v>
      </c>
      <c r="K679" s="342">
        <v>-4.2</v>
      </c>
      <c r="L679" s="342">
        <v>-66.6</v>
      </c>
      <c r="M679" s="346">
        <v>2.4</v>
      </c>
      <c r="O679" s="344"/>
    </row>
    <row r="680" ht="15.75" customHeight="1">
      <c r="A680" s="335">
        <v>677.0</v>
      </c>
      <c r="B680" s="336">
        <v>677.0</v>
      </c>
      <c r="C680" s="337">
        <v>632.0</v>
      </c>
      <c r="D680" s="338" t="s">
        <v>5581</v>
      </c>
      <c r="E680" s="339" t="s">
        <v>1751</v>
      </c>
      <c r="F680" s="340" t="s">
        <v>5183</v>
      </c>
      <c r="G680" s="341">
        <v>1293.1</v>
      </c>
      <c r="H680" s="342">
        <v>11.2</v>
      </c>
      <c r="I680" s="342">
        <v>10.3</v>
      </c>
      <c r="J680" s="342">
        <v>-81.1</v>
      </c>
      <c r="K680" s="342">
        <v>0.8</v>
      </c>
      <c r="L680" s="342">
        <v>1.9</v>
      </c>
      <c r="M680" s="346">
        <v>84.8</v>
      </c>
      <c r="O680" s="344"/>
    </row>
    <row r="681" ht="15.75" customHeight="1">
      <c r="A681" s="335">
        <v>678.0</v>
      </c>
      <c r="B681" s="336">
        <v>678.0</v>
      </c>
      <c r="C681" s="337">
        <v>652.0</v>
      </c>
      <c r="D681" s="345" t="s">
        <v>2030</v>
      </c>
      <c r="E681" s="339" t="s">
        <v>1075</v>
      </c>
      <c r="F681" s="340" t="s">
        <v>3256</v>
      </c>
      <c r="G681" s="341">
        <v>1292.3</v>
      </c>
      <c r="H681" s="342">
        <v>14.7</v>
      </c>
      <c r="I681" s="342">
        <v>65.2</v>
      </c>
      <c r="J681" s="342">
        <v>-4.9</v>
      </c>
      <c r="K681" s="342">
        <v>5.0</v>
      </c>
      <c r="L681" s="342">
        <v>12.4</v>
      </c>
      <c r="M681" s="346">
        <v>52.2</v>
      </c>
      <c r="O681" s="344"/>
    </row>
    <row r="682" ht="15.75" customHeight="1">
      <c r="A682" s="335">
        <v>679.0</v>
      </c>
      <c r="B682" s="336">
        <v>679.0</v>
      </c>
      <c r="C682" s="337">
        <v>729.0</v>
      </c>
      <c r="D682" s="338" t="s">
        <v>5582</v>
      </c>
      <c r="E682" s="339" t="s">
        <v>98</v>
      </c>
      <c r="F682" s="340" t="s">
        <v>5482</v>
      </c>
      <c r="G682" s="341">
        <v>1291.5</v>
      </c>
      <c r="H682" s="342">
        <v>34.1</v>
      </c>
      <c r="I682" s="342">
        <v>139.1</v>
      </c>
      <c r="J682" s="342">
        <v>20.3</v>
      </c>
      <c r="K682" s="342">
        <v>10.8</v>
      </c>
      <c r="L682" s="342">
        <v>61.7</v>
      </c>
      <c r="M682" s="346">
        <v>246.2</v>
      </c>
      <c r="O682" s="344"/>
    </row>
    <row r="683" ht="15.75" customHeight="1">
      <c r="A683" s="335">
        <v>680.0</v>
      </c>
      <c r="B683" s="336">
        <v>680.0</v>
      </c>
      <c r="C683" s="337">
        <v>553.0</v>
      </c>
      <c r="D683" s="338" t="s">
        <v>5583</v>
      </c>
      <c r="E683" s="339" t="s">
        <v>574</v>
      </c>
      <c r="F683" s="340" t="s">
        <v>4993</v>
      </c>
      <c r="G683" s="341">
        <v>1288.7</v>
      </c>
      <c r="H683" s="342">
        <v>-9.4</v>
      </c>
      <c r="I683" s="342">
        <v>211.2</v>
      </c>
      <c r="J683" s="342">
        <v>-31.6</v>
      </c>
      <c r="K683" s="342">
        <v>16.4</v>
      </c>
      <c r="L683" s="342">
        <v>28.4</v>
      </c>
      <c r="M683" s="346">
        <v>219.4</v>
      </c>
      <c r="O683" s="344"/>
    </row>
    <row r="684" ht="15.75" customHeight="1">
      <c r="A684" s="335">
        <v>681.0</v>
      </c>
      <c r="B684" s="336">
        <v>681.0</v>
      </c>
      <c r="C684" s="337">
        <v>626.0</v>
      </c>
      <c r="D684" s="338" t="s">
        <v>5584</v>
      </c>
      <c r="E684" s="339" t="s">
        <v>482</v>
      </c>
      <c r="F684" s="340" t="s">
        <v>87</v>
      </c>
      <c r="G684" s="341">
        <v>1281.5</v>
      </c>
      <c r="H684" s="342">
        <v>10.0</v>
      </c>
      <c r="I684" s="342">
        <v>202.0</v>
      </c>
      <c r="J684" s="342">
        <v>-44.3</v>
      </c>
      <c r="K684" s="342">
        <v>15.8</v>
      </c>
      <c r="L684" s="342">
        <v>17.9</v>
      </c>
      <c r="M684" s="346">
        <v>354.8</v>
      </c>
      <c r="O684" s="344"/>
    </row>
    <row r="685" ht="15.75" customHeight="1">
      <c r="A685" s="335">
        <v>682.0</v>
      </c>
      <c r="B685" s="336">
        <v>682.0</v>
      </c>
      <c r="C685" s="337">
        <v>655.0</v>
      </c>
      <c r="D685" s="338" t="s">
        <v>5585</v>
      </c>
      <c r="E685" s="339" t="s">
        <v>482</v>
      </c>
      <c r="F685" s="340" t="s">
        <v>4985</v>
      </c>
      <c r="G685" s="341">
        <v>1277.6</v>
      </c>
      <c r="H685" s="342">
        <v>14.2</v>
      </c>
      <c r="I685" s="342">
        <v>53.2</v>
      </c>
      <c r="J685" s="342">
        <v>115.1</v>
      </c>
      <c r="K685" s="342">
        <v>4.2</v>
      </c>
      <c r="L685" s="342">
        <v>1.3</v>
      </c>
      <c r="M685" s="346">
        <v>230.0</v>
      </c>
      <c r="O685" s="344"/>
    </row>
    <row r="686" ht="15.75" customHeight="1">
      <c r="A686" s="335">
        <v>683.0</v>
      </c>
      <c r="B686" s="336">
        <v>683.0</v>
      </c>
      <c r="C686" s="337">
        <v>680.0</v>
      </c>
      <c r="D686" s="345" t="s">
        <v>5586</v>
      </c>
      <c r="E686" s="339" t="s">
        <v>156</v>
      </c>
      <c r="F686" s="340" t="s">
        <v>3256</v>
      </c>
      <c r="G686" s="341">
        <v>1276.3</v>
      </c>
      <c r="H686" s="342">
        <v>20.8</v>
      </c>
      <c r="I686" s="342">
        <v>27.3</v>
      </c>
      <c r="J686" s="342">
        <v>-48.9</v>
      </c>
      <c r="K686" s="342">
        <v>2.1</v>
      </c>
      <c r="L686" s="342">
        <v>5.1</v>
      </c>
      <c r="M686" s="346">
        <v>-20.1</v>
      </c>
      <c r="O686" s="344"/>
    </row>
    <row r="687" ht="15.75" customHeight="1">
      <c r="A687" s="335">
        <v>684.0</v>
      </c>
      <c r="B687" s="336">
        <v>684.0</v>
      </c>
      <c r="C687" s="337">
        <v>876.0</v>
      </c>
      <c r="D687" s="338" t="s">
        <v>5587</v>
      </c>
      <c r="E687" s="339" t="s">
        <v>156</v>
      </c>
      <c r="F687" s="340" t="s">
        <v>4960</v>
      </c>
      <c r="G687" s="341">
        <v>1274.7</v>
      </c>
      <c r="H687" s="342">
        <v>70.1</v>
      </c>
      <c r="I687" s="342">
        <v>176.2</v>
      </c>
      <c r="J687" s="342">
        <v>40.3</v>
      </c>
      <c r="K687" s="342">
        <v>13.8</v>
      </c>
      <c r="L687" s="342">
        <v>32.3</v>
      </c>
      <c r="M687" s="346">
        <v>171.5</v>
      </c>
      <c r="O687" s="344"/>
    </row>
    <row r="688" ht="15.75" customHeight="1">
      <c r="A688" s="335">
        <v>685.0</v>
      </c>
      <c r="B688" s="336">
        <v>685.0</v>
      </c>
      <c r="C688" s="337">
        <v>637.0</v>
      </c>
      <c r="D688" s="338" t="s">
        <v>5588</v>
      </c>
      <c r="E688" s="339" t="s">
        <v>482</v>
      </c>
      <c r="F688" s="340" t="s">
        <v>3754</v>
      </c>
      <c r="G688" s="341">
        <v>1274.1</v>
      </c>
      <c r="H688" s="342">
        <v>10.3</v>
      </c>
      <c r="I688" s="342">
        <v>-460.8</v>
      </c>
      <c r="J688" s="342">
        <v>-956.7</v>
      </c>
      <c r="K688" s="342">
        <v>-36.2</v>
      </c>
      <c r="L688" s="342">
        <v>-223.1</v>
      </c>
      <c r="M688" s="346">
        <v>-197.0</v>
      </c>
      <c r="O688" s="344"/>
    </row>
    <row r="689" ht="15.75" customHeight="1">
      <c r="A689" s="335">
        <v>686.0</v>
      </c>
      <c r="B689" s="336">
        <v>686.0</v>
      </c>
      <c r="C689" s="337">
        <v>717.0</v>
      </c>
      <c r="D689" s="338" t="s">
        <v>5589</v>
      </c>
      <c r="E689" s="339" t="s">
        <v>332</v>
      </c>
      <c r="F689" s="340" t="s">
        <v>4963</v>
      </c>
      <c r="G689" s="341">
        <v>1271.0</v>
      </c>
      <c r="H689" s="342">
        <v>29.5</v>
      </c>
      <c r="I689" s="342">
        <v>181.8</v>
      </c>
      <c r="J689" s="342">
        <v>28.0</v>
      </c>
      <c r="K689" s="342">
        <v>14.3</v>
      </c>
      <c r="L689" s="342">
        <v>35.1</v>
      </c>
      <c r="M689" s="346">
        <v>280.4</v>
      </c>
      <c r="O689" s="344"/>
    </row>
    <row r="690" ht="15.75" customHeight="1">
      <c r="A690" s="335">
        <v>687.0</v>
      </c>
      <c r="B690" s="336">
        <v>687.0</v>
      </c>
      <c r="C690" s="337">
        <v>862.0</v>
      </c>
      <c r="D690" s="338" t="s">
        <v>5590</v>
      </c>
      <c r="E690" s="339" t="s">
        <v>156</v>
      </c>
      <c r="F690" s="340" t="s">
        <v>5012</v>
      </c>
      <c r="G690" s="341">
        <v>1268.7</v>
      </c>
      <c r="H690" s="342">
        <v>64.7</v>
      </c>
      <c r="I690" s="342">
        <v>51.3</v>
      </c>
      <c r="J690" s="342">
        <v>51.9</v>
      </c>
      <c r="K690" s="342">
        <v>4.0</v>
      </c>
      <c r="L690" s="342">
        <v>21.3</v>
      </c>
      <c r="M690" s="346">
        <v>-5.6</v>
      </c>
      <c r="O690" s="344"/>
    </row>
    <row r="691" ht="15.75" customHeight="1">
      <c r="A691" s="335">
        <v>688.0</v>
      </c>
      <c r="B691" s="336">
        <v>688.0</v>
      </c>
      <c r="C691" s="337" t="s">
        <v>3537</v>
      </c>
      <c r="D691" s="338" t="s">
        <v>5591</v>
      </c>
      <c r="E691" s="339" t="s">
        <v>1075</v>
      </c>
      <c r="F691" s="340" t="s">
        <v>3754</v>
      </c>
      <c r="G691" s="341">
        <v>1261.7</v>
      </c>
      <c r="H691" s="342">
        <v>28.6</v>
      </c>
      <c r="I691" s="342">
        <v>95.7</v>
      </c>
      <c r="J691" s="342">
        <v>1.2</v>
      </c>
      <c r="K691" s="342">
        <v>7.6</v>
      </c>
      <c r="L691" s="342">
        <v>26.3</v>
      </c>
      <c r="M691" s="346">
        <v>137.5</v>
      </c>
      <c r="O691" s="344"/>
    </row>
    <row r="692" ht="15.75" customHeight="1">
      <c r="A692" s="335">
        <v>689.0</v>
      </c>
      <c r="B692" s="336">
        <v>689.0</v>
      </c>
      <c r="C692" s="337">
        <v>635.0</v>
      </c>
      <c r="D692" s="338" t="s">
        <v>5592</v>
      </c>
      <c r="E692" s="339" t="s">
        <v>1793</v>
      </c>
      <c r="F692" s="340" t="s">
        <v>5015</v>
      </c>
      <c r="G692" s="341">
        <v>1260.2</v>
      </c>
      <c r="H692" s="342">
        <v>8.8</v>
      </c>
      <c r="I692" s="342">
        <v>169.9</v>
      </c>
      <c r="J692" s="342">
        <v>190.1</v>
      </c>
      <c r="K692" s="342">
        <v>13.5</v>
      </c>
      <c r="L692" s="342">
        <v>9.9</v>
      </c>
      <c r="M692" s="346">
        <v>53.8</v>
      </c>
      <c r="O692" s="344"/>
    </row>
    <row r="693" ht="15.75" customHeight="1">
      <c r="A693" s="335">
        <v>690.0</v>
      </c>
      <c r="B693" s="336">
        <v>690.0</v>
      </c>
      <c r="C693" s="337" t="s">
        <v>3537</v>
      </c>
      <c r="D693" s="338" t="s">
        <v>5593</v>
      </c>
      <c r="E693" s="339" t="s">
        <v>1075</v>
      </c>
      <c r="F693" s="340" t="s">
        <v>5050</v>
      </c>
      <c r="G693" s="341">
        <v>1256.5</v>
      </c>
      <c r="H693" s="342">
        <v>19.1</v>
      </c>
      <c r="I693" s="342">
        <v>149.5</v>
      </c>
      <c r="J693" s="342">
        <v>-4.8</v>
      </c>
      <c r="K693" s="342">
        <v>11.9</v>
      </c>
      <c r="L693" s="342">
        <v>25.5</v>
      </c>
      <c r="M693" s="346">
        <v>150.4</v>
      </c>
      <c r="O693" s="344"/>
    </row>
    <row r="694" ht="15.75" customHeight="1">
      <c r="A694" s="335">
        <v>691.0</v>
      </c>
      <c r="B694" s="336">
        <v>691.0</v>
      </c>
      <c r="C694" s="337">
        <v>962.0</v>
      </c>
      <c r="D694" s="338" t="s">
        <v>5594</v>
      </c>
      <c r="E694" s="339" t="s">
        <v>349</v>
      </c>
      <c r="F694" s="340" t="s">
        <v>5012</v>
      </c>
      <c r="G694" s="341">
        <v>1243.9</v>
      </c>
      <c r="H694" s="342">
        <v>58.1</v>
      </c>
      <c r="I694" s="342">
        <v>140.9</v>
      </c>
      <c r="J694" s="342">
        <v>42.8</v>
      </c>
      <c r="K694" s="342">
        <v>11.3</v>
      </c>
      <c r="L694" s="342">
        <v>11.0</v>
      </c>
      <c r="M694" s="346">
        <v>471.7</v>
      </c>
      <c r="O694" s="344"/>
    </row>
    <row r="695" ht="15.75" customHeight="1">
      <c r="A695" s="335">
        <v>692.0</v>
      </c>
      <c r="B695" s="336">
        <v>692.0</v>
      </c>
      <c r="C695" s="337">
        <v>649.0</v>
      </c>
      <c r="D695" s="338" t="s">
        <v>5595</v>
      </c>
      <c r="E695" s="339" t="s">
        <v>482</v>
      </c>
      <c r="F695" s="340" t="s">
        <v>5015</v>
      </c>
      <c r="G695" s="341">
        <v>1242.9</v>
      </c>
      <c r="H695" s="342">
        <v>9.6</v>
      </c>
      <c r="I695" s="342">
        <v>-77.9</v>
      </c>
      <c r="J695" s="342">
        <v>17.7</v>
      </c>
      <c r="K695" s="342">
        <v>-6.3</v>
      </c>
      <c r="L695" s="342">
        <v>-11.6</v>
      </c>
      <c r="M695" s="346">
        <v>-12.7</v>
      </c>
      <c r="O695" s="344"/>
    </row>
    <row r="696" ht="15.75" customHeight="1">
      <c r="A696" s="335">
        <v>693.0</v>
      </c>
      <c r="B696" s="336">
        <v>693.0</v>
      </c>
      <c r="C696" s="337" t="s">
        <v>3537</v>
      </c>
      <c r="D696" s="338" t="s">
        <v>5596</v>
      </c>
      <c r="E696" s="339" t="s">
        <v>482</v>
      </c>
      <c r="F696" s="340" t="s">
        <v>5028</v>
      </c>
      <c r="G696" s="341">
        <v>1240.8</v>
      </c>
      <c r="H696" s="342">
        <v>9.6</v>
      </c>
      <c r="I696" s="342">
        <v>-36.0</v>
      </c>
      <c r="J696" s="342">
        <v>67.3</v>
      </c>
      <c r="K696" s="342">
        <v>-2.9</v>
      </c>
      <c r="L696" s="342">
        <v>-28.0</v>
      </c>
      <c r="M696" s="346">
        <v>-29.5</v>
      </c>
      <c r="O696" s="344"/>
    </row>
    <row r="697" ht="15.75" customHeight="1">
      <c r="A697" s="335">
        <v>694.0</v>
      </c>
      <c r="B697" s="336">
        <v>694.0</v>
      </c>
      <c r="C697" s="337" t="s">
        <v>3537</v>
      </c>
      <c r="D697" s="338" t="s">
        <v>5597</v>
      </c>
      <c r="E697" s="339" t="s">
        <v>98</v>
      </c>
      <c r="F697" s="340" t="s">
        <v>5012</v>
      </c>
      <c r="G697" s="341">
        <v>1239.6</v>
      </c>
      <c r="H697" s="342">
        <v>34.4</v>
      </c>
      <c r="I697" s="342">
        <v>23.4</v>
      </c>
      <c r="J697" s="342">
        <v>462.8</v>
      </c>
      <c r="K697" s="342">
        <v>1.9</v>
      </c>
      <c r="L697" s="342">
        <v>96.0</v>
      </c>
      <c r="M697" s="346">
        <v>41.8</v>
      </c>
      <c r="O697" s="344"/>
    </row>
    <row r="698" ht="15.75" customHeight="1">
      <c r="A698" s="335">
        <v>695.0</v>
      </c>
      <c r="B698" s="336">
        <v>695.0</v>
      </c>
      <c r="C698" s="337">
        <v>621.0</v>
      </c>
      <c r="D698" s="338" t="s">
        <v>5598</v>
      </c>
      <c r="E698" s="339" t="s">
        <v>1075</v>
      </c>
      <c r="F698" s="340" t="s">
        <v>5110</v>
      </c>
      <c r="G698" s="341">
        <v>1236.4</v>
      </c>
      <c r="H698" s="342">
        <v>1.9</v>
      </c>
      <c r="I698" s="342">
        <v>27.4</v>
      </c>
      <c r="J698" s="342">
        <v>-66.4</v>
      </c>
      <c r="K698" s="342">
        <v>2.2</v>
      </c>
      <c r="L698" s="342">
        <v>23.3</v>
      </c>
      <c r="M698" s="346">
        <v>51.0</v>
      </c>
      <c r="O698" s="344"/>
    </row>
    <row r="699" ht="15.75" customHeight="1">
      <c r="A699" s="335">
        <v>696.0</v>
      </c>
      <c r="B699" s="336">
        <v>696.0</v>
      </c>
      <c r="C699" s="337" t="s">
        <v>3537</v>
      </c>
      <c r="D699" s="338" t="s">
        <v>5599</v>
      </c>
      <c r="E699" s="339" t="s">
        <v>332</v>
      </c>
      <c r="F699" s="340" t="s">
        <v>4993</v>
      </c>
      <c r="G699" s="341">
        <v>1232.0</v>
      </c>
      <c r="H699" s="342">
        <v>20.2</v>
      </c>
      <c r="I699" s="342" t="s">
        <v>3537</v>
      </c>
      <c r="J699" s="342" t="s">
        <v>3537</v>
      </c>
      <c r="K699" s="342" t="s">
        <v>3537</v>
      </c>
      <c r="L699" s="342" t="s">
        <v>3537</v>
      </c>
      <c r="M699" s="346" t="s">
        <v>3537</v>
      </c>
      <c r="O699" s="344"/>
    </row>
    <row r="700" ht="15.75" customHeight="1">
      <c r="A700" s="335">
        <v>697.0</v>
      </c>
      <c r="B700" s="336">
        <v>697.0</v>
      </c>
      <c r="C700" s="337">
        <v>601.0</v>
      </c>
      <c r="D700" s="338" t="s">
        <v>5600</v>
      </c>
      <c r="E700" s="339" t="s">
        <v>482</v>
      </c>
      <c r="F700" s="340" t="s">
        <v>5012</v>
      </c>
      <c r="G700" s="341">
        <v>1228.1</v>
      </c>
      <c r="H700" s="342">
        <v>-3.2</v>
      </c>
      <c r="I700" s="342">
        <v>20.8</v>
      </c>
      <c r="J700" s="342">
        <v>-73.2</v>
      </c>
      <c r="K700" s="342">
        <v>1.7</v>
      </c>
      <c r="L700" s="342">
        <v>7.1</v>
      </c>
      <c r="M700" s="346">
        <v>48.4</v>
      </c>
      <c r="O700" s="344"/>
    </row>
    <row r="701" ht="15.75" customHeight="1">
      <c r="A701" s="335">
        <v>698.0</v>
      </c>
      <c r="B701" s="336">
        <v>698.0</v>
      </c>
      <c r="C701" s="337">
        <v>808.0</v>
      </c>
      <c r="D701" s="338" t="s">
        <v>5601</v>
      </c>
      <c r="E701" s="339" t="s">
        <v>482</v>
      </c>
      <c r="F701" s="340" t="s">
        <v>4974</v>
      </c>
      <c r="G701" s="341">
        <v>1227.7</v>
      </c>
      <c r="H701" s="342">
        <v>17.8</v>
      </c>
      <c r="I701" s="342">
        <v>74.7</v>
      </c>
      <c r="J701" s="342">
        <v>163.2</v>
      </c>
      <c r="K701" s="342">
        <v>6.1</v>
      </c>
      <c r="L701" s="342">
        <v>73.8</v>
      </c>
      <c r="M701" s="346">
        <v>224.4</v>
      </c>
      <c r="O701" s="344"/>
    </row>
    <row r="702" ht="15.75" customHeight="1">
      <c r="A702" s="335">
        <v>699.0</v>
      </c>
      <c r="B702" s="336">
        <v>699.0</v>
      </c>
      <c r="C702" s="337">
        <v>738.0</v>
      </c>
      <c r="D702" s="338" t="s">
        <v>5602</v>
      </c>
      <c r="E702" s="339" t="s">
        <v>332</v>
      </c>
      <c r="F702" s="340" t="s">
        <v>5050</v>
      </c>
      <c r="G702" s="341">
        <v>1227.6</v>
      </c>
      <c r="H702" s="342">
        <v>28.6</v>
      </c>
      <c r="I702" s="342">
        <v>-27.0</v>
      </c>
      <c r="J702" s="341">
        <v>-1238.9</v>
      </c>
      <c r="K702" s="342">
        <v>-2.2</v>
      </c>
      <c r="L702" s="342">
        <v>-20.3</v>
      </c>
      <c r="M702" s="346">
        <v>54.2</v>
      </c>
      <c r="O702" s="344"/>
    </row>
    <row r="703" ht="15.75" customHeight="1">
      <c r="A703" s="335">
        <v>700.0</v>
      </c>
      <c r="B703" s="336">
        <v>700.0</v>
      </c>
      <c r="C703" s="337">
        <v>689.0</v>
      </c>
      <c r="D703" s="338" t="s">
        <v>5603</v>
      </c>
      <c r="E703" s="339" t="s">
        <v>482</v>
      </c>
      <c r="F703" s="340" t="s">
        <v>5028</v>
      </c>
      <c r="G703" s="341">
        <v>1225.8</v>
      </c>
      <c r="H703" s="342">
        <v>18.4</v>
      </c>
      <c r="I703" s="342">
        <v>83.8</v>
      </c>
      <c r="J703" s="342">
        <v>73.0</v>
      </c>
      <c r="K703" s="342">
        <v>6.8</v>
      </c>
      <c r="L703" s="342">
        <v>34.2</v>
      </c>
      <c r="M703" s="346">
        <v>132.9</v>
      </c>
      <c r="O703" s="344"/>
    </row>
    <row r="704" ht="15.75" customHeight="1">
      <c r="A704" s="335">
        <v>701.0</v>
      </c>
      <c r="B704" s="336">
        <v>701.0</v>
      </c>
      <c r="C704" s="337">
        <v>778.0</v>
      </c>
      <c r="D704" s="338" t="s">
        <v>5604</v>
      </c>
      <c r="E704" s="339" t="s">
        <v>482</v>
      </c>
      <c r="F704" s="340" t="s">
        <v>5028</v>
      </c>
      <c r="G704" s="341">
        <v>1223.9</v>
      </c>
      <c r="H704" s="342">
        <v>37.4</v>
      </c>
      <c r="I704" s="342">
        <v>94.9</v>
      </c>
      <c r="J704" s="342">
        <v>115.5</v>
      </c>
      <c r="K704" s="342">
        <v>7.8</v>
      </c>
      <c r="L704" s="342">
        <v>17.4</v>
      </c>
      <c r="M704" s="346">
        <v>90.7</v>
      </c>
      <c r="O704" s="344"/>
    </row>
    <row r="705" ht="15.75" customHeight="1">
      <c r="A705" s="335">
        <v>702.0</v>
      </c>
      <c r="B705" s="336">
        <v>702.0</v>
      </c>
      <c r="C705" s="337" t="s">
        <v>3537</v>
      </c>
      <c r="D705" s="338" t="s">
        <v>5605</v>
      </c>
      <c r="E705" s="339" t="s">
        <v>1751</v>
      </c>
      <c r="F705" s="340" t="s">
        <v>5110</v>
      </c>
      <c r="G705" s="341">
        <v>1222.3</v>
      </c>
      <c r="H705" s="342" t="s">
        <v>3537</v>
      </c>
      <c r="I705" s="342">
        <v>57.4</v>
      </c>
      <c r="J705" s="342" t="s">
        <v>3537</v>
      </c>
      <c r="K705" s="342">
        <v>4.7</v>
      </c>
      <c r="L705" s="342" t="s">
        <v>3537</v>
      </c>
      <c r="M705" s="346">
        <v>91.1</v>
      </c>
      <c r="O705" s="344"/>
    </row>
    <row r="706" ht="15.75" customHeight="1">
      <c r="A706" s="335">
        <v>703.0</v>
      </c>
      <c r="B706" s="336">
        <v>703.0</v>
      </c>
      <c r="C706" s="337">
        <v>736.0</v>
      </c>
      <c r="D706" s="338" t="s">
        <v>5606</v>
      </c>
      <c r="E706" s="339" t="s">
        <v>156</v>
      </c>
      <c r="F706" s="340" t="s">
        <v>5010</v>
      </c>
      <c r="G706" s="341">
        <v>1221.8</v>
      </c>
      <c r="H706" s="342">
        <v>29.3</v>
      </c>
      <c r="I706" s="342">
        <v>198.3</v>
      </c>
      <c r="J706" s="342">
        <v>1.2</v>
      </c>
      <c r="K706" s="342">
        <v>16.2</v>
      </c>
      <c r="L706" s="342">
        <v>20.9</v>
      </c>
      <c r="M706" s="346">
        <v>265.2</v>
      </c>
      <c r="O706" s="344"/>
    </row>
    <row r="707" ht="15.75" customHeight="1">
      <c r="A707" s="335">
        <v>704.0</v>
      </c>
      <c r="B707" s="336">
        <v>704.0</v>
      </c>
      <c r="C707" s="337">
        <v>815.0</v>
      </c>
      <c r="D707" s="338" t="s">
        <v>5607</v>
      </c>
      <c r="E707" s="339" t="s">
        <v>482</v>
      </c>
      <c r="F707" s="340" t="s">
        <v>5028</v>
      </c>
      <c r="G707" s="341">
        <v>1221.6</v>
      </c>
      <c r="H707" s="342">
        <v>47.9</v>
      </c>
      <c r="I707" s="342">
        <v>-433.4</v>
      </c>
      <c r="J707" s="342">
        <v>10.9</v>
      </c>
      <c r="K707" s="342">
        <v>-35.5</v>
      </c>
      <c r="L707" s="342">
        <v>-125.3</v>
      </c>
      <c r="M707" s="346">
        <v>-84.9</v>
      </c>
      <c r="O707" s="344"/>
    </row>
    <row r="708" ht="15.75" customHeight="1">
      <c r="A708" s="335">
        <v>705.0</v>
      </c>
      <c r="B708" s="336">
        <v>705.0</v>
      </c>
      <c r="C708" s="337">
        <v>668.0</v>
      </c>
      <c r="D708" s="338" t="s">
        <v>5608</v>
      </c>
      <c r="E708" s="339" t="s">
        <v>156</v>
      </c>
      <c r="F708" s="340" t="s">
        <v>4974</v>
      </c>
      <c r="G708" s="341">
        <v>1219.6</v>
      </c>
      <c r="H708" s="342">
        <v>11.7</v>
      </c>
      <c r="I708" s="342">
        <v>293.5</v>
      </c>
      <c r="J708" s="342">
        <v>-14.3</v>
      </c>
      <c r="K708" s="342">
        <v>24.1</v>
      </c>
      <c r="L708" s="342">
        <v>29.9</v>
      </c>
      <c r="M708" s="346">
        <v>236.1</v>
      </c>
      <c r="O708" s="344"/>
    </row>
    <row r="709" ht="15.75" customHeight="1">
      <c r="A709" s="335">
        <v>706.0</v>
      </c>
      <c r="B709" s="336">
        <v>706.0</v>
      </c>
      <c r="C709" s="337">
        <v>592.0</v>
      </c>
      <c r="D709" s="338" t="s">
        <v>5609</v>
      </c>
      <c r="E709" s="339" t="s">
        <v>482</v>
      </c>
      <c r="F709" s="340" t="s">
        <v>5012</v>
      </c>
      <c r="G709" s="341">
        <v>1209.6</v>
      </c>
      <c r="H709" s="342">
        <v>-6.4</v>
      </c>
      <c r="I709" s="342">
        <v>33.6</v>
      </c>
      <c r="J709" s="342">
        <v>51.9</v>
      </c>
      <c r="K709" s="342">
        <v>2.8</v>
      </c>
      <c r="L709" s="342">
        <v>3.2</v>
      </c>
      <c r="M709" s="346">
        <v>248.1</v>
      </c>
      <c r="O709" s="344"/>
    </row>
    <row r="710" ht="15.75" customHeight="1">
      <c r="A710" s="335">
        <v>707.0</v>
      </c>
      <c r="B710" s="336">
        <v>707.0</v>
      </c>
      <c r="C710" s="337">
        <v>820.0</v>
      </c>
      <c r="D710" s="338" t="s">
        <v>5610</v>
      </c>
      <c r="E710" s="339" t="s">
        <v>156</v>
      </c>
      <c r="F710" s="340" t="s">
        <v>3754</v>
      </c>
      <c r="G710" s="341">
        <v>1209.5</v>
      </c>
      <c r="H710" s="342">
        <v>47.9</v>
      </c>
      <c r="I710" s="342">
        <v>119.9</v>
      </c>
      <c r="J710" s="342">
        <v>96.2</v>
      </c>
      <c r="K710" s="342">
        <v>9.9</v>
      </c>
      <c r="L710" s="342">
        <v>63.0</v>
      </c>
      <c r="M710" s="346">
        <v>145.7</v>
      </c>
      <c r="O710" s="344"/>
    </row>
    <row r="711" ht="15.75" customHeight="1">
      <c r="A711" s="335">
        <v>708.0</v>
      </c>
      <c r="B711" s="336">
        <v>708.0</v>
      </c>
      <c r="C711" s="337">
        <v>567.0</v>
      </c>
      <c r="D711" s="338" t="s">
        <v>5611</v>
      </c>
      <c r="E711" s="339" t="s">
        <v>482</v>
      </c>
      <c r="F711" s="340" t="s">
        <v>5047</v>
      </c>
      <c r="G711" s="341">
        <v>1209.1</v>
      </c>
      <c r="H711" s="342">
        <v>-12.9</v>
      </c>
      <c r="I711" s="342">
        <v>18.9</v>
      </c>
      <c r="J711" s="342">
        <v>-86.6</v>
      </c>
      <c r="K711" s="342">
        <v>1.6</v>
      </c>
      <c r="L711" s="342">
        <v>4.0</v>
      </c>
      <c r="M711" s="346">
        <v>-45.3</v>
      </c>
      <c r="O711" s="344"/>
    </row>
    <row r="712" ht="15.75" customHeight="1">
      <c r="A712" s="335">
        <v>709.0</v>
      </c>
      <c r="B712" s="336">
        <v>709.0</v>
      </c>
      <c r="C712" s="337">
        <v>712.0</v>
      </c>
      <c r="D712" s="338" t="s">
        <v>5612</v>
      </c>
      <c r="E712" s="339" t="s">
        <v>332</v>
      </c>
      <c r="F712" s="340" t="s">
        <v>5028</v>
      </c>
      <c r="G712" s="341">
        <v>1208.8</v>
      </c>
      <c r="H712" s="342">
        <v>21.9</v>
      </c>
      <c r="I712" s="342">
        <v>60.4</v>
      </c>
      <c r="J712" s="342">
        <v>31.2</v>
      </c>
      <c r="K712" s="342">
        <v>5.0</v>
      </c>
      <c r="L712" s="342">
        <v>37.9</v>
      </c>
      <c r="M712" s="346">
        <v>63.4</v>
      </c>
      <c r="O712" s="344"/>
    </row>
    <row r="713" ht="15.75" customHeight="1">
      <c r="A713" s="335">
        <v>710.0</v>
      </c>
      <c r="B713" s="336">
        <v>710.0</v>
      </c>
      <c r="C713" s="337">
        <v>788.0</v>
      </c>
      <c r="D713" s="338" t="s">
        <v>5613</v>
      </c>
      <c r="E713" s="339" t="s">
        <v>98</v>
      </c>
      <c r="F713" s="340" t="s">
        <v>3754</v>
      </c>
      <c r="G713" s="341">
        <v>1208.7</v>
      </c>
      <c r="H713" s="342">
        <v>37.7</v>
      </c>
      <c r="I713" s="342">
        <v>34.3</v>
      </c>
      <c r="J713" s="342">
        <v>-20.3</v>
      </c>
      <c r="K713" s="342">
        <v>2.8</v>
      </c>
      <c r="L713" s="342">
        <v>16.0</v>
      </c>
      <c r="M713" s="346">
        <v>16.3</v>
      </c>
      <c r="O713" s="344"/>
    </row>
    <row r="714" ht="15.75" customHeight="1">
      <c r="A714" s="335">
        <v>711.0</v>
      </c>
      <c r="B714" s="336">
        <v>711.0</v>
      </c>
      <c r="C714" s="337">
        <v>784.0</v>
      </c>
      <c r="D714" s="338" t="s">
        <v>5614</v>
      </c>
      <c r="E714" s="339" t="s">
        <v>1751</v>
      </c>
      <c r="F714" s="340" t="s">
        <v>5012</v>
      </c>
      <c r="G714" s="341">
        <v>1201.0</v>
      </c>
      <c r="H714" s="342">
        <v>36.1</v>
      </c>
      <c r="I714" s="342">
        <v>-93.0</v>
      </c>
      <c r="J714" s="342">
        <v>-96.2</v>
      </c>
      <c r="K714" s="342">
        <v>-7.7</v>
      </c>
      <c r="L714" s="342">
        <v>-11.2</v>
      </c>
      <c r="M714" s="346">
        <v>31.2</v>
      </c>
      <c r="O714" s="344"/>
    </row>
    <row r="715" ht="15.75" customHeight="1">
      <c r="A715" s="335">
        <v>712.0</v>
      </c>
      <c r="B715" s="336">
        <v>712.0</v>
      </c>
      <c r="C715" s="337">
        <v>662.0</v>
      </c>
      <c r="D715" s="338" t="s">
        <v>5615</v>
      </c>
      <c r="E715" s="339" t="s">
        <v>482</v>
      </c>
      <c r="F715" s="340" t="s">
        <v>87</v>
      </c>
      <c r="G715" s="341">
        <v>1200.3</v>
      </c>
      <c r="H715" s="342">
        <v>8.9</v>
      </c>
      <c r="I715" s="342">
        <v>43.5</v>
      </c>
      <c r="J715" s="342">
        <v>2.7</v>
      </c>
      <c r="K715" s="342">
        <v>3.6</v>
      </c>
      <c r="L715" s="342">
        <v>15.5</v>
      </c>
      <c r="M715" s="346">
        <v>50.0</v>
      </c>
      <c r="O715" s="344"/>
    </row>
    <row r="716" ht="15.75" customHeight="1">
      <c r="A716" s="335">
        <v>713.0</v>
      </c>
      <c r="B716" s="336">
        <v>713.0</v>
      </c>
      <c r="C716" s="337">
        <v>843.0</v>
      </c>
      <c r="D716" s="338" t="s">
        <v>5616</v>
      </c>
      <c r="E716" s="339" t="s">
        <v>482</v>
      </c>
      <c r="F716" s="340" t="s">
        <v>4960</v>
      </c>
      <c r="G716" s="341">
        <v>1198.8</v>
      </c>
      <c r="H716" s="342">
        <v>50.9</v>
      </c>
      <c r="I716" s="342">
        <v>139.8</v>
      </c>
      <c r="J716" s="342">
        <v>71.9</v>
      </c>
      <c r="K716" s="342">
        <v>11.7</v>
      </c>
      <c r="L716" s="342">
        <v>24.7</v>
      </c>
      <c r="M716" s="346">
        <v>112.2</v>
      </c>
      <c r="O716" s="344"/>
    </row>
    <row r="717" ht="15.75" customHeight="1">
      <c r="A717" s="335">
        <v>714.0</v>
      </c>
      <c r="B717" s="336">
        <v>714.0</v>
      </c>
      <c r="C717" s="337" t="s">
        <v>3537</v>
      </c>
      <c r="D717" s="338" t="s">
        <v>5617</v>
      </c>
      <c r="E717" s="339" t="s">
        <v>482</v>
      </c>
      <c r="F717" s="340" t="s">
        <v>87</v>
      </c>
      <c r="G717" s="341">
        <v>1195.9</v>
      </c>
      <c r="H717" s="342">
        <v>8.3</v>
      </c>
      <c r="I717" s="342">
        <v>24.3</v>
      </c>
      <c r="J717" s="342">
        <v>64.2</v>
      </c>
      <c r="K717" s="342">
        <v>2.0</v>
      </c>
      <c r="L717" s="342">
        <v>11.7</v>
      </c>
      <c r="M717" s="346">
        <v>15.8</v>
      </c>
      <c r="O717" s="344"/>
    </row>
    <row r="718" ht="15.75" customHeight="1">
      <c r="A718" s="335">
        <v>715.0</v>
      </c>
      <c r="B718" s="336">
        <v>715.0</v>
      </c>
      <c r="C718" s="337">
        <v>665.0</v>
      </c>
      <c r="D718" s="338" t="s">
        <v>5618</v>
      </c>
      <c r="E718" s="339" t="s">
        <v>98</v>
      </c>
      <c r="F718" s="340" t="s">
        <v>4970</v>
      </c>
      <c r="G718" s="341">
        <v>1192.1</v>
      </c>
      <c r="H718" s="342">
        <v>8.4</v>
      </c>
      <c r="I718" s="342">
        <v>89.7</v>
      </c>
      <c r="J718" s="342">
        <v>-31.9</v>
      </c>
      <c r="K718" s="342">
        <v>7.5</v>
      </c>
      <c r="L718" s="342">
        <v>13.6</v>
      </c>
      <c r="M718" s="346">
        <v>69.2</v>
      </c>
      <c r="O718" s="344"/>
    </row>
    <row r="719" ht="15.75" customHeight="1">
      <c r="A719" s="335">
        <v>716.0</v>
      </c>
      <c r="B719" s="336">
        <v>716.0</v>
      </c>
      <c r="C719" s="337">
        <v>748.0</v>
      </c>
      <c r="D719" s="345" t="s">
        <v>5619</v>
      </c>
      <c r="E719" s="339" t="s">
        <v>482</v>
      </c>
      <c r="F719" s="340" t="s">
        <v>3256</v>
      </c>
      <c r="G719" s="341">
        <v>1191.4</v>
      </c>
      <c r="H719" s="342">
        <v>26.7</v>
      </c>
      <c r="I719" s="342">
        <v>65.4</v>
      </c>
      <c r="J719" s="342">
        <v>-8.3</v>
      </c>
      <c r="K719" s="342">
        <v>5.5</v>
      </c>
      <c r="L719" s="342">
        <v>28.4</v>
      </c>
      <c r="M719" s="346">
        <v>134.7</v>
      </c>
      <c r="O719" s="344"/>
    </row>
    <row r="720" ht="15.75" customHeight="1">
      <c r="A720" s="335">
        <v>717.0</v>
      </c>
      <c r="B720" s="336">
        <v>717.0</v>
      </c>
      <c r="C720" s="337">
        <v>709.0</v>
      </c>
      <c r="D720" s="338" t="s">
        <v>5620</v>
      </c>
      <c r="E720" s="339" t="s">
        <v>156</v>
      </c>
      <c r="F720" s="340" t="s">
        <v>87</v>
      </c>
      <c r="G720" s="341">
        <v>1189.7</v>
      </c>
      <c r="H720" s="342">
        <v>19.8</v>
      </c>
      <c r="I720" s="342">
        <v>20.1</v>
      </c>
      <c r="J720" s="342">
        <v>-22.4</v>
      </c>
      <c r="K720" s="342">
        <v>1.7</v>
      </c>
      <c r="L720" s="342">
        <v>16.2</v>
      </c>
      <c r="M720" s="346">
        <v>74.7</v>
      </c>
      <c r="O720" s="344"/>
    </row>
    <row r="721" ht="15.75" customHeight="1">
      <c r="A721" s="335">
        <v>718.0</v>
      </c>
      <c r="B721" s="336">
        <v>718.0</v>
      </c>
      <c r="C721" s="337">
        <v>713.0</v>
      </c>
      <c r="D721" s="338" t="s">
        <v>5621</v>
      </c>
      <c r="E721" s="339" t="s">
        <v>1755</v>
      </c>
      <c r="F721" s="340" t="s">
        <v>4983</v>
      </c>
      <c r="G721" s="341">
        <v>1188.3</v>
      </c>
      <c r="H721" s="342">
        <v>20.0</v>
      </c>
      <c r="I721" s="342">
        <v>13.2</v>
      </c>
      <c r="J721" s="342">
        <v>-82.6</v>
      </c>
      <c r="K721" s="342">
        <v>1.1</v>
      </c>
      <c r="L721" s="342">
        <v>11.9</v>
      </c>
      <c r="M721" s="346">
        <v>18.7</v>
      </c>
      <c r="O721" s="344"/>
    </row>
    <row r="722" ht="15.75" customHeight="1">
      <c r="A722" s="335">
        <v>719.0</v>
      </c>
      <c r="B722" s="336">
        <v>719.0</v>
      </c>
      <c r="C722" s="337">
        <v>762.0</v>
      </c>
      <c r="D722" s="345" t="s">
        <v>1456</v>
      </c>
      <c r="E722" s="339" t="s">
        <v>1075</v>
      </c>
      <c r="F722" s="340" t="s">
        <v>87</v>
      </c>
      <c r="G722" s="341">
        <v>1187.8</v>
      </c>
      <c r="H722" s="342">
        <v>29.2</v>
      </c>
      <c r="I722" s="342">
        <v>170.5</v>
      </c>
      <c r="J722" s="342">
        <v>844.8</v>
      </c>
      <c r="K722" s="342">
        <v>14.4</v>
      </c>
      <c r="L722" s="342">
        <v>56.0</v>
      </c>
      <c r="M722" s="346">
        <v>297.3</v>
      </c>
      <c r="O722" s="344"/>
    </row>
    <row r="723" ht="15.75" customHeight="1">
      <c r="A723" s="335">
        <v>720.0</v>
      </c>
      <c r="B723" s="336">
        <v>720.0</v>
      </c>
      <c r="C723" s="337">
        <v>653.0</v>
      </c>
      <c r="D723" s="338" t="s">
        <v>5622</v>
      </c>
      <c r="E723" s="339" t="s">
        <v>482</v>
      </c>
      <c r="F723" s="340" t="s">
        <v>5010</v>
      </c>
      <c r="G723" s="341">
        <v>1187.4</v>
      </c>
      <c r="H723" s="342">
        <v>5.7</v>
      </c>
      <c r="I723" s="342">
        <v>137.7</v>
      </c>
      <c r="J723" s="342">
        <v>-48.9</v>
      </c>
      <c r="K723" s="342">
        <v>11.6</v>
      </c>
      <c r="L723" s="342">
        <v>22.2</v>
      </c>
      <c r="M723" s="346">
        <v>141.4</v>
      </c>
      <c r="O723" s="344"/>
    </row>
    <row r="724" ht="15.75" customHeight="1">
      <c r="A724" s="335">
        <v>721.0</v>
      </c>
      <c r="B724" s="336">
        <v>721.0</v>
      </c>
      <c r="C724" s="337">
        <v>711.0</v>
      </c>
      <c r="D724" s="338" t="s">
        <v>5623</v>
      </c>
      <c r="E724" s="339" t="s">
        <v>1793</v>
      </c>
      <c r="F724" s="340" t="s">
        <v>4985</v>
      </c>
      <c r="G724" s="341">
        <v>1186.4</v>
      </c>
      <c r="H724" s="342">
        <v>19.6</v>
      </c>
      <c r="I724" s="342">
        <v>76.5</v>
      </c>
      <c r="J724" s="342">
        <v>19.4</v>
      </c>
      <c r="K724" s="342">
        <v>6.4</v>
      </c>
      <c r="L724" s="342">
        <v>25.6</v>
      </c>
      <c r="M724" s="346">
        <v>94.2</v>
      </c>
      <c r="O724" s="344"/>
    </row>
    <row r="725" ht="15.75" customHeight="1">
      <c r="A725" s="335">
        <v>722.0</v>
      </c>
      <c r="B725" s="336">
        <v>722.0</v>
      </c>
      <c r="C725" s="337" t="s">
        <v>3537</v>
      </c>
      <c r="D725" s="338" t="s">
        <v>5624</v>
      </c>
      <c r="E725" s="339" t="s">
        <v>1751</v>
      </c>
      <c r="F725" s="340" t="s">
        <v>4960</v>
      </c>
      <c r="G725" s="341">
        <v>1184.5</v>
      </c>
      <c r="H725" s="342">
        <v>6.2</v>
      </c>
      <c r="I725" s="342">
        <v>419.0</v>
      </c>
      <c r="J725" s="342">
        <v>-61.3</v>
      </c>
      <c r="K725" s="342">
        <v>35.4</v>
      </c>
      <c r="L725" s="342">
        <v>37.6</v>
      </c>
      <c r="M725" s="346">
        <v>209.4</v>
      </c>
      <c r="O725" s="344"/>
    </row>
    <row r="726" ht="15.75" customHeight="1">
      <c r="A726" s="335">
        <v>723.0</v>
      </c>
      <c r="B726" s="336">
        <v>723.0</v>
      </c>
      <c r="C726" s="337">
        <v>698.0</v>
      </c>
      <c r="D726" s="338" t="s">
        <v>5625</v>
      </c>
      <c r="E726" s="339" t="s">
        <v>274</v>
      </c>
      <c r="F726" s="340" t="s">
        <v>4974</v>
      </c>
      <c r="G726" s="341">
        <v>1184.3</v>
      </c>
      <c r="H726" s="342">
        <v>16.6</v>
      </c>
      <c r="I726" s="342">
        <v>326.4</v>
      </c>
      <c r="J726" s="342">
        <v>-21.8</v>
      </c>
      <c r="K726" s="342">
        <v>27.6</v>
      </c>
      <c r="L726" s="342">
        <v>45.1</v>
      </c>
      <c r="M726" s="346">
        <v>302.6</v>
      </c>
      <c r="O726" s="344"/>
    </row>
    <row r="727" ht="15.75" customHeight="1">
      <c r="A727" s="335">
        <v>724.0</v>
      </c>
      <c r="B727" s="336">
        <v>724.0</v>
      </c>
      <c r="C727" s="337">
        <v>645.0</v>
      </c>
      <c r="D727" s="338" t="s">
        <v>5626</v>
      </c>
      <c r="E727" s="339" t="s">
        <v>574</v>
      </c>
      <c r="F727" s="340" t="s">
        <v>4974</v>
      </c>
      <c r="G727" s="341">
        <v>1183.5</v>
      </c>
      <c r="H727" s="342">
        <v>3.7</v>
      </c>
      <c r="I727" s="342">
        <v>127.2</v>
      </c>
      <c r="J727" s="342">
        <v>81.9</v>
      </c>
      <c r="K727" s="342">
        <v>10.7</v>
      </c>
      <c r="L727" s="342">
        <v>38.5</v>
      </c>
      <c r="M727" s="346">
        <v>85.3</v>
      </c>
      <c r="O727" s="344"/>
    </row>
    <row r="728" ht="15.75" customHeight="1">
      <c r="A728" s="335">
        <v>725.0</v>
      </c>
      <c r="B728" s="336">
        <v>725.0</v>
      </c>
      <c r="C728" s="337">
        <v>616.0</v>
      </c>
      <c r="D728" s="338" t="s">
        <v>5627</v>
      </c>
      <c r="E728" s="339" t="s">
        <v>482</v>
      </c>
      <c r="F728" s="340" t="s">
        <v>4970</v>
      </c>
      <c r="G728" s="341">
        <v>1183.4</v>
      </c>
      <c r="H728" s="342">
        <v>-3.7</v>
      </c>
      <c r="I728" s="342">
        <v>111.5</v>
      </c>
      <c r="J728" s="342">
        <v>-53.7</v>
      </c>
      <c r="K728" s="342">
        <v>9.4</v>
      </c>
      <c r="L728" s="342">
        <v>17.3</v>
      </c>
      <c r="M728" s="346">
        <v>134.4</v>
      </c>
      <c r="O728" s="344"/>
    </row>
    <row r="729" ht="15.75" customHeight="1">
      <c r="A729" s="335">
        <v>726.0</v>
      </c>
      <c r="B729" s="336">
        <v>726.0</v>
      </c>
      <c r="C729" s="337">
        <v>754.0</v>
      </c>
      <c r="D729" s="347" t="s">
        <v>5628</v>
      </c>
      <c r="E729" s="339" t="s">
        <v>332</v>
      </c>
      <c r="F729" s="340" t="s">
        <v>3256</v>
      </c>
      <c r="G729" s="341">
        <v>1182.2</v>
      </c>
      <c r="H729" s="342">
        <v>26.4</v>
      </c>
      <c r="I729" s="342">
        <v>91.8</v>
      </c>
      <c r="J729" s="342">
        <v>112.1</v>
      </c>
      <c r="K729" s="342">
        <v>7.8</v>
      </c>
      <c r="L729" s="342">
        <v>14.5</v>
      </c>
      <c r="M729" s="346">
        <v>178.1</v>
      </c>
      <c r="O729" s="344"/>
    </row>
    <row r="730" ht="15.75" customHeight="1">
      <c r="A730" s="335">
        <v>727.0</v>
      </c>
      <c r="B730" s="336">
        <v>727.0</v>
      </c>
      <c r="C730" s="337">
        <v>766.0</v>
      </c>
      <c r="D730" s="347" t="s">
        <v>5629</v>
      </c>
      <c r="E730" s="339" t="s">
        <v>3440</v>
      </c>
      <c r="F730" s="340" t="s">
        <v>3256</v>
      </c>
      <c r="G730" s="341">
        <v>1181.2</v>
      </c>
      <c r="H730" s="342">
        <v>29.3</v>
      </c>
      <c r="I730" s="342">
        <v>97.8</v>
      </c>
      <c r="J730" s="342">
        <v>31.6</v>
      </c>
      <c r="K730" s="342">
        <v>8.3</v>
      </c>
      <c r="L730" s="342">
        <v>21.7</v>
      </c>
      <c r="M730" s="346">
        <v>105.5</v>
      </c>
      <c r="O730" s="344"/>
    </row>
    <row r="731" ht="15.75" customHeight="1">
      <c r="A731" s="335">
        <v>728.0</v>
      </c>
      <c r="B731" s="336">
        <v>728.0</v>
      </c>
      <c r="C731" s="337">
        <v>700.0</v>
      </c>
      <c r="D731" s="338" t="s">
        <v>5630</v>
      </c>
      <c r="E731" s="339" t="s">
        <v>482</v>
      </c>
      <c r="F731" s="340" t="s">
        <v>4983</v>
      </c>
      <c r="G731" s="341">
        <v>1177.7</v>
      </c>
      <c r="H731" s="342">
        <v>16.3</v>
      </c>
      <c r="I731" s="342">
        <v>575.2</v>
      </c>
      <c r="J731" s="342">
        <v>63.2</v>
      </c>
      <c r="K731" s="342">
        <v>48.8</v>
      </c>
      <c r="L731" s="342">
        <v>16.6</v>
      </c>
      <c r="M731" s="343">
        <v>1065.8</v>
      </c>
      <c r="O731" s="344"/>
    </row>
    <row r="732" ht="15.75" customHeight="1">
      <c r="A732" s="335">
        <v>729.0</v>
      </c>
      <c r="B732" s="336">
        <v>729.0</v>
      </c>
      <c r="C732" s="337">
        <v>710.0</v>
      </c>
      <c r="D732" s="338" t="s">
        <v>5631</v>
      </c>
      <c r="E732" s="339" t="s">
        <v>482</v>
      </c>
      <c r="F732" s="340" t="s">
        <v>5028</v>
      </c>
      <c r="G732" s="341">
        <v>1173.1</v>
      </c>
      <c r="H732" s="342">
        <v>18.2</v>
      </c>
      <c r="I732" s="342">
        <v>98.4</v>
      </c>
      <c r="J732" s="342">
        <v>11.7</v>
      </c>
      <c r="K732" s="342">
        <v>8.4</v>
      </c>
      <c r="L732" s="342">
        <v>14.0</v>
      </c>
      <c r="M732" s="346">
        <v>58.9</v>
      </c>
      <c r="O732" s="344"/>
    </row>
    <row r="733" ht="15.75" customHeight="1">
      <c r="A733" s="335">
        <v>730.0</v>
      </c>
      <c r="B733" s="336">
        <v>730.0</v>
      </c>
      <c r="C733" s="337">
        <v>813.0</v>
      </c>
      <c r="D733" s="338" t="s">
        <v>5632</v>
      </c>
      <c r="E733" s="339" t="s">
        <v>482</v>
      </c>
      <c r="F733" s="340" t="s">
        <v>5018</v>
      </c>
      <c r="G733" s="341">
        <v>1170.0</v>
      </c>
      <c r="H733" s="342">
        <v>40.6</v>
      </c>
      <c r="I733" s="342" t="s">
        <v>3537</v>
      </c>
      <c r="J733" s="342" t="s">
        <v>3537</v>
      </c>
      <c r="K733" s="342" t="s">
        <v>3537</v>
      </c>
      <c r="L733" s="342" t="s">
        <v>3537</v>
      </c>
      <c r="M733" s="346" t="s">
        <v>3537</v>
      </c>
      <c r="O733" s="344"/>
    </row>
    <row r="734" ht="15.75" customHeight="1">
      <c r="A734" s="335">
        <v>731.0</v>
      </c>
      <c r="B734" s="336">
        <v>731.0</v>
      </c>
      <c r="C734" s="337">
        <v>891.0</v>
      </c>
      <c r="D734" s="338" t="s">
        <v>5633</v>
      </c>
      <c r="E734" s="339" t="s">
        <v>482</v>
      </c>
      <c r="F734" s="340" t="s">
        <v>4960</v>
      </c>
      <c r="G734" s="341">
        <v>1169.1</v>
      </c>
      <c r="H734" s="342">
        <v>59.9</v>
      </c>
      <c r="I734" s="342">
        <v>149.8</v>
      </c>
      <c r="J734" s="342">
        <v>64.7</v>
      </c>
      <c r="K734" s="342">
        <v>12.8</v>
      </c>
      <c r="L734" s="342">
        <v>21.4</v>
      </c>
      <c r="M734" s="346">
        <v>188.3</v>
      </c>
      <c r="O734" s="344"/>
    </row>
    <row r="735" ht="15.75" customHeight="1">
      <c r="A735" s="335">
        <v>732.0</v>
      </c>
      <c r="B735" s="336">
        <v>732.0</v>
      </c>
      <c r="C735" s="337" t="s">
        <v>3537</v>
      </c>
      <c r="D735" s="338" t="s">
        <v>5634</v>
      </c>
      <c r="E735" s="339" t="s">
        <v>332</v>
      </c>
      <c r="F735" s="340" t="s">
        <v>3754</v>
      </c>
      <c r="G735" s="341">
        <v>1167.2</v>
      </c>
      <c r="H735" s="342">
        <v>5.4</v>
      </c>
      <c r="I735" s="342">
        <v>-141.6</v>
      </c>
      <c r="J735" s="342">
        <v>-141.1</v>
      </c>
      <c r="K735" s="342">
        <v>-12.1</v>
      </c>
      <c r="L735" s="342">
        <v>-91.8</v>
      </c>
      <c r="M735" s="346">
        <v>-115.2</v>
      </c>
      <c r="O735" s="344"/>
    </row>
    <row r="736" ht="15.75" customHeight="1">
      <c r="A736" s="335">
        <v>733.0</v>
      </c>
      <c r="B736" s="336">
        <v>733.0</v>
      </c>
      <c r="C736" s="337">
        <v>690.0</v>
      </c>
      <c r="D736" s="338" t="s">
        <v>5635</v>
      </c>
      <c r="E736" s="339" t="s">
        <v>482</v>
      </c>
      <c r="F736" s="340" t="s">
        <v>4974</v>
      </c>
      <c r="G736" s="341">
        <v>1163.9</v>
      </c>
      <c r="H736" s="342">
        <v>12.5</v>
      </c>
      <c r="I736" s="342">
        <v>334.3</v>
      </c>
      <c r="J736" s="342">
        <v>382.0</v>
      </c>
      <c r="K736" s="342">
        <v>28.7</v>
      </c>
      <c r="L736" s="342" t="s">
        <v>5021</v>
      </c>
      <c r="M736" s="346">
        <v>105.4</v>
      </c>
      <c r="O736" s="344"/>
    </row>
    <row r="737" ht="15.75" customHeight="1">
      <c r="A737" s="335">
        <v>734.0</v>
      </c>
      <c r="B737" s="336">
        <v>734.0</v>
      </c>
      <c r="C737" s="337">
        <v>776.0</v>
      </c>
      <c r="D737" s="338" t="s">
        <v>5636</v>
      </c>
      <c r="E737" s="339" t="s">
        <v>482</v>
      </c>
      <c r="F737" s="340" t="s">
        <v>5047</v>
      </c>
      <c r="G737" s="341">
        <v>1162.5</v>
      </c>
      <c r="H737" s="342">
        <v>30.2</v>
      </c>
      <c r="I737" s="342">
        <v>87.6</v>
      </c>
      <c r="J737" s="342">
        <v>25.9</v>
      </c>
      <c r="K737" s="342">
        <v>7.5</v>
      </c>
      <c r="L737" s="342">
        <v>13.9</v>
      </c>
      <c r="M737" s="346">
        <v>117.8</v>
      </c>
      <c r="O737" s="344"/>
    </row>
    <row r="738" ht="15.75" customHeight="1">
      <c r="A738" s="335">
        <v>735.0</v>
      </c>
      <c r="B738" s="336">
        <v>735.0</v>
      </c>
      <c r="C738" s="337">
        <v>685.0</v>
      </c>
      <c r="D738" s="338" t="s">
        <v>5637</v>
      </c>
      <c r="E738" s="339" t="s">
        <v>1075</v>
      </c>
      <c r="F738" s="340" t="s">
        <v>3754</v>
      </c>
      <c r="G738" s="341">
        <v>1159.2</v>
      </c>
      <c r="H738" s="342">
        <v>10.8</v>
      </c>
      <c r="I738" s="342">
        <v>154.7</v>
      </c>
      <c r="J738" s="342">
        <v>10.8</v>
      </c>
      <c r="K738" s="342">
        <v>13.3</v>
      </c>
      <c r="L738" s="342">
        <v>10.1</v>
      </c>
      <c r="M738" s="346">
        <v>198.3</v>
      </c>
      <c r="O738" s="344"/>
    </row>
    <row r="739" ht="15.75" customHeight="1">
      <c r="A739" s="335">
        <v>736.0</v>
      </c>
      <c r="B739" s="336">
        <v>736.0</v>
      </c>
      <c r="C739" s="337">
        <v>796.0</v>
      </c>
      <c r="D739" s="338" t="s">
        <v>5638</v>
      </c>
      <c r="E739" s="339" t="s">
        <v>332</v>
      </c>
      <c r="F739" s="340" t="s">
        <v>5012</v>
      </c>
      <c r="G739" s="341">
        <v>1154.6</v>
      </c>
      <c r="H739" s="342">
        <v>34.2</v>
      </c>
      <c r="I739" s="342">
        <v>32.5</v>
      </c>
      <c r="J739" s="342">
        <v>-40.4</v>
      </c>
      <c r="K739" s="342">
        <v>2.8</v>
      </c>
      <c r="L739" s="342">
        <v>11.2</v>
      </c>
      <c r="M739" s="346">
        <v>96.6</v>
      </c>
      <c r="O739" s="344"/>
    </row>
    <row r="740" ht="15.75" customHeight="1">
      <c r="A740" s="335">
        <v>737.0</v>
      </c>
      <c r="B740" s="336">
        <v>737.0</v>
      </c>
      <c r="C740" s="337" t="s">
        <v>3537</v>
      </c>
      <c r="D740" s="338" t="s">
        <v>5639</v>
      </c>
      <c r="E740" s="339" t="s">
        <v>156</v>
      </c>
      <c r="F740" s="340" t="s">
        <v>5012</v>
      </c>
      <c r="G740" s="341">
        <v>1154.1</v>
      </c>
      <c r="H740" s="342">
        <v>155.5</v>
      </c>
      <c r="I740" s="342">
        <v>-92.9</v>
      </c>
      <c r="J740" s="342">
        <v>-148.0</v>
      </c>
      <c r="K740" s="342">
        <v>-8.1</v>
      </c>
      <c r="L740" s="342">
        <v>-11.6</v>
      </c>
      <c r="M740" s="346">
        <v>50.8</v>
      </c>
      <c r="O740" s="344"/>
    </row>
    <row r="741" ht="15.75" customHeight="1">
      <c r="A741" s="335">
        <v>738.0</v>
      </c>
      <c r="B741" s="336">
        <v>738.0</v>
      </c>
      <c r="C741" s="337">
        <v>720.0</v>
      </c>
      <c r="D741" s="338" t="s">
        <v>5640</v>
      </c>
      <c r="E741" s="339" t="s">
        <v>156</v>
      </c>
      <c r="F741" s="340" t="s">
        <v>5012</v>
      </c>
      <c r="G741" s="341">
        <v>1151.3</v>
      </c>
      <c r="H741" s="342">
        <v>18.2</v>
      </c>
      <c r="I741" s="342">
        <v>311.5</v>
      </c>
      <c r="J741" s="342">
        <v>-26.2</v>
      </c>
      <c r="K741" s="342">
        <v>27.1</v>
      </c>
      <c r="L741" s="342">
        <v>53.0</v>
      </c>
      <c r="M741" s="346">
        <v>606.7</v>
      </c>
      <c r="O741" s="344"/>
    </row>
    <row r="742" ht="15.75" customHeight="1">
      <c r="A742" s="335">
        <v>739.0</v>
      </c>
      <c r="B742" s="336">
        <v>739.0</v>
      </c>
      <c r="C742" s="337" t="s">
        <v>3537</v>
      </c>
      <c r="D742" s="338" t="s">
        <v>5641</v>
      </c>
      <c r="E742" s="339" t="s">
        <v>546</v>
      </c>
      <c r="F742" s="340" t="s">
        <v>87</v>
      </c>
      <c r="G742" s="341">
        <v>1147.4</v>
      </c>
      <c r="H742" s="342">
        <v>62.3</v>
      </c>
      <c r="I742" s="342">
        <v>238.2</v>
      </c>
      <c r="J742" s="342">
        <v>163.1</v>
      </c>
      <c r="K742" s="342">
        <v>20.8</v>
      </c>
      <c r="L742" s="342">
        <v>38.4</v>
      </c>
      <c r="M742" s="346">
        <v>292.2</v>
      </c>
      <c r="O742" s="344"/>
    </row>
    <row r="743" ht="15.75" customHeight="1">
      <c r="A743" s="335">
        <v>740.0</v>
      </c>
      <c r="B743" s="336">
        <v>740.0</v>
      </c>
      <c r="C743" s="337">
        <v>691.0</v>
      </c>
      <c r="D743" s="338" t="s">
        <v>5642</v>
      </c>
      <c r="E743" s="339" t="s">
        <v>482</v>
      </c>
      <c r="F743" s="340" t="s">
        <v>4993</v>
      </c>
      <c r="G743" s="341">
        <v>1146.8</v>
      </c>
      <c r="H743" s="342">
        <v>10.9</v>
      </c>
      <c r="I743" s="342">
        <v>37.8</v>
      </c>
      <c r="J743" s="342">
        <v>-41.5</v>
      </c>
      <c r="K743" s="342">
        <v>3.3</v>
      </c>
      <c r="L743" s="342">
        <v>6.1</v>
      </c>
      <c r="M743" s="346">
        <v>93.3</v>
      </c>
      <c r="O743" s="344"/>
    </row>
    <row r="744" ht="15.75" customHeight="1">
      <c r="A744" s="335">
        <v>741.0</v>
      </c>
      <c r="B744" s="336">
        <v>741.0</v>
      </c>
      <c r="C744" s="337">
        <v>854.0</v>
      </c>
      <c r="D744" s="338" t="s">
        <v>5643</v>
      </c>
      <c r="E744" s="339" t="s">
        <v>1751</v>
      </c>
      <c r="F744" s="340" t="s">
        <v>5001</v>
      </c>
      <c r="G744" s="341">
        <v>1146.7</v>
      </c>
      <c r="H744" s="342">
        <v>47.9</v>
      </c>
      <c r="I744" s="342">
        <v>30.4</v>
      </c>
      <c r="J744" s="342">
        <v>240.1</v>
      </c>
      <c r="K744" s="342">
        <v>2.7</v>
      </c>
      <c r="L744" s="342">
        <v>9.3</v>
      </c>
      <c r="M744" s="346">
        <v>-12.2</v>
      </c>
      <c r="O744" s="344"/>
    </row>
    <row r="745" ht="15.75" customHeight="1">
      <c r="A745" s="335">
        <v>742.0</v>
      </c>
      <c r="B745" s="336">
        <v>742.0</v>
      </c>
      <c r="C745" s="337">
        <v>557.0</v>
      </c>
      <c r="D745" s="338" t="s">
        <v>5644</v>
      </c>
      <c r="E745" s="339" t="s">
        <v>482</v>
      </c>
      <c r="F745" s="340" t="s">
        <v>4983</v>
      </c>
      <c r="G745" s="341">
        <v>1144.8</v>
      </c>
      <c r="H745" s="342">
        <v>-7.1</v>
      </c>
      <c r="I745" s="342">
        <v>43.6</v>
      </c>
      <c r="J745" s="342">
        <v>142.6</v>
      </c>
      <c r="K745" s="342">
        <v>3.8</v>
      </c>
      <c r="L745" s="342">
        <v>65.1</v>
      </c>
      <c r="M745" s="346">
        <v>27.5</v>
      </c>
      <c r="O745" s="344"/>
    </row>
    <row r="746" ht="15.75" customHeight="1">
      <c r="A746" s="335">
        <v>743.0</v>
      </c>
      <c r="B746" s="336">
        <v>743.0</v>
      </c>
      <c r="C746" s="337" t="s">
        <v>3537</v>
      </c>
      <c r="D746" s="338" t="s">
        <v>5645</v>
      </c>
      <c r="E746" s="339" t="s">
        <v>1751</v>
      </c>
      <c r="F746" s="340" t="s">
        <v>4960</v>
      </c>
      <c r="G746" s="341">
        <v>1140.8</v>
      </c>
      <c r="H746" s="341">
        <v>20611.3</v>
      </c>
      <c r="I746" s="342">
        <v>229.0</v>
      </c>
      <c r="J746" s="342">
        <v>913.3</v>
      </c>
      <c r="K746" s="342">
        <v>20.1</v>
      </c>
      <c r="L746" s="342">
        <v>23.7</v>
      </c>
      <c r="M746" s="346">
        <v>381.0</v>
      </c>
      <c r="O746" s="344"/>
    </row>
    <row r="747" ht="15.75" customHeight="1">
      <c r="A747" s="335">
        <v>744.0</v>
      </c>
      <c r="B747" s="336">
        <v>744.0</v>
      </c>
      <c r="C747" s="337">
        <v>838.0</v>
      </c>
      <c r="D747" s="338" t="s">
        <v>5646</v>
      </c>
      <c r="E747" s="339" t="s">
        <v>482</v>
      </c>
      <c r="F747" s="340" t="s">
        <v>4985</v>
      </c>
      <c r="G747" s="341">
        <v>1138.4</v>
      </c>
      <c r="H747" s="342">
        <v>42.3</v>
      </c>
      <c r="I747" s="342">
        <v>30.3</v>
      </c>
      <c r="J747" s="342">
        <v>292.3</v>
      </c>
      <c r="K747" s="342">
        <v>2.7</v>
      </c>
      <c r="L747" s="342">
        <v>1.0</v>
      </c>
      <c r="M747" s="346">
        <v>46.4</v>
      </c>
      <c r="O747" s="344"/>
    </row>
    <row r="748" ht="15.75" customHeight="1">
      <c r="A748" s="335">
        <v>745.0</v>
      </c>
      <c r="B748" s="336">
        <v>745.0</v>
      </c>
      <c r="C748" s="337">
        <v>699.0</v>
      </c>
      <c r="D748" s="338" t="s">
        <v>5647</v>
      </c>
      <c r="E748" s="339" t="s">
        <v>332</v>
      </c>
      <c r="F748" s="340" t="s">
        <v>5183</v>
      </c>
      <c r="G748" s="341">
        <v>1138.2</v>
      </c>
      <c r="H748" s="342">
        <v>12.2</v>
      </c>
      <c r="I748" s="342">
        <v>151.6</v>
      </c>
      <c r="J748" s="342">
        <v>77.7</v>
      </c>
      <c r="K748" s="342">
        <v>13.3</v>
      </c>
      <c r="L748" s="342">
        <v>64.9</v>
      </c>
      <c r="M748" s="346">
        <v>190.5</v>
      </c>
      <c r="O748" s="344"/>
    </row>
    <row r="749" ht="15.75" customHeight="1">
      <c r="A749" s="335">
        <v>746.0</v>
      </c>
      <c r="B749" s="336">
        <v>746.0</v>
      </c>
      <c r="C749" s="337">
        <v>819.0</v>
      </c>
      <c r="D749" s="338" t="s">
        <v>5648</v>
      </c>
      <c r="E749" s="339" t="s">
        <v>482</v>
      </c>
      <c r="F749" s="340" t="s">
        <v>5122</v>
      </c>
      <c r="G749" s="341">
        <v>1136.0</v>
      </c>
      <c r="H749" s="342">
        <v>38.8</v>
      </c>
      <c r="I749" s="342">
        <v>-83.2</v>
      </c>
      <c r="J749" s="342">
        <v>-202.6</v>
      </c>
      <c r="K749" s="342">
        <v>-7.3</v>
      </c>
      <c r="L749" s="342">
        <v>-4.6</v>
      </c>
      <c r="M749" s="346">
        <v>-119.0</v>
      </c>
      <c r="O749" s="344"/>
    </row>
    <row r="750" ht="15.75" customHeight="1">
      <c r="A750" s="335">
        <v>747.0</v>
      </c>
      <c r="B750" s="336">
        <v>747.0</v>
      </c>
      <c r="C750" s="337" t="s">
        <v>3537</v>
      </c>
      <c r="D750" s="338" t="s">
        <v>5649</v>
      </c>
      <c r="E750" s="339" t="s">
        <v>482</v>
      </c>
      <c r="F750" s="340" t="s">
        <v>5001</v>
      </c>
      <c r="G750" s="341">
        <v>1132.2</v>
      </c>
      <c r="H750" s="342">
        <v>48.7</v>
      </c>
      <c r="I750" s="342">
        <v>127.4</v>
      </c>
      <c r="J750" s="342">
        <v>402.2</v>
      </c>
      <c r="K750" s="342">
        <v>11.3</v>
      </c>
      <c r="L750" s="342">
        <v>66.8</v>
      </c>
      <c r="M750" s="346">
        <v>143.8</v>
      </c>
      <c r="O750" s="344"/>
    </row>
    <row r="751" ht="15.75" customHeight="1">
      <c r="A751" s="335">
        <v>748.0</v>
      </c>
      <c r="B751" s="336">
        <v>748.0</v>
      </c>
      <c r="C751" s="337">
        <v>673.0</v>
      </c>
      <c r="D751" s="338" t="s">
        <v>5650</v>
      </c>
      <c r="E751" s="339" t="s">
        <v>482</v>
      </c>
      <c r="F751" s="340" t="s">
        <v>5012</v>
      </c>
      <c r="G751" s="341">
        <v>1131.2</v>
      </c>
      <c r="H751" s="342">
        <v>5.0</v>
      </c>
      <c r="I751" s="342">
        <v>81.0</v>
      </c>
      <c r="J751" s="342">
        <v>268.6</v>
      </c>
      <c r="K751" s="342">
        <v>7.2</v>
      </c>
      <c r="L751" s="342">
        <v>9.5</v>
      </c>
      <c r="M751" s="346">
        <v>445.5</v>
      </c>
      <c r="O751" s="344"/>
    </row>
    <row r="752" ht="15.75" customHeight="1">
      <c r="A752" s="335">
        <v>749.0</v>
      </c>
      <c r="B752" s="336">
        <v>749.0</v>
      </c>
      <c r="C752" s="337">
        <v>810.0</v>
      </c>
      <c r="D752" s="347" t="s">
        <v>5651</v>
      </c>
      <c r="E752" s="339" t="s">
        <v>482</v>
      </c>
      <c r="F752" s="340" t="s">
        <v>3256</v>
      </c>
      <c r="G752" s="341">
        <v>1130.9</v>
      </c>
      <c r="H752" s="342">
        <v>35.4</v>
      </c>
      <c r="I752" s="342">
        <v>178.9</v>
      </c>
      <c r="J752" s="342">
        <v>49.1</v>
      </c>
      <c r="K752" s="342">
        <v>15.8</v>
      </c>
      <c r="L752" s="342">
        <v>32.0</v>
      </c>
      <c r="M752" s="346">
        <v>175.6</v>
      </c>
      <c r="O752" s="344"/>
    </row>
    <row r="753" ht="15.75" customHeight="1">
      <c r="A753" s="335">
        <v>750.0</v>
      </c>
      <c r="B753" s="336">
        <v>750.0</v>
      </c>
      <c r="C753" s="337">
        <v>688.0</v>
      </c>
      <c r="D753" s="338" t="s">
        <v>5652</v>
      </c>
      <c r="E753" s="339" t="s">
        <v>1392</v>
      </c>
      <c r="F753" s="340" t="s">
        <v>4974</v>
      </c>
      <c r="G753" s="341">
        <v>1129.0</v>
      </c>
      <c r="H753" s="342">
        <v>8.6</v>
      </c>
      <c r="I753" s="342">
        <v>250.8</v>
      </c>
      <c r="J753" s="342">
        <v>-21.0</v>
      </c>
      <c r="K753" s="342">
        <v>22.2</v>
      </c>
      <c r="L753" s="342">
        <v>88.9</v>
      </c>
      <c r="M753" s="346">
        <v>289.2</v>
      </c>
      <c r="O753" s="344"/>
    </row>
    <row r="754" ht="15.75" customHeight="1">
      <c r="A754" s="335">
        <v>751.0</v>
      </c>
      <c r="B754" s="336">
        <v>751.0</v>
      </c>
      <c r="C754" s="337">
        <v>829.0</v>
      </c>
      <c r="D754" s="338" t="s">
        <v>5653</v>
      </c>
      <c r="E754" s="339" t="s">
        <v>332</v>
      </c>
      <c r="F754" s="340" t="s">
        <v>4968</v>
      </c>
      <c r="G754" s="341">
        <v>1123.7</v>
      </c>
      <c r="H754" s="342">
        <v>38.1</v>
      </c>
      <c r="I754" s="342">
        <v>218.9</v>
      </c>
      <c r="J754" s="342">
        <v>106.4</v>
      </c>
      <c r="K754" s="342">
        <v>19.5</v>
      </c>
      <c r="L754" s="342">
        <v>42.1</v>
      </c>
      <c r="M754" s="346">
        <v>261.4</v>
      </c>
      <c r="O754" s="344"/>
    </row>
    <row r="755" ht="15.75" customHeight="1">
      <c r="A755" s="335">
        <v>752.0</v>
      </c>
      <c r="B755" s="336">
        <v>752.0</v>
      </c>
      <c r="C755" s="337">
        <v>683.0</v>
      </c>
      <c r="D755" s="338" t="s">
        <v>5654</v>
      </c>
      <c r="E755" s="339" t="s">
        <v>482</v>
      </c>
      <c r="F755" s="340" t="s">
        <v>5012</v>
      </c>
      <c r="G755" s="341">
        <v>1121.8</v>
      </c>
      <c r="H755" s="342">
        <v>7.0</v>
      </c>
      <c r="I755" s="342">
        <v>6.3</v>
      </c>
      <c r="J755" s="342">
        <v>27.4</v>
      </c>
      <c r="K755" s="342">
        <v>0.6</v>
      </c>
      <c r="L755" s="342">
        <v>0.7</v>
      </c>
      <c r="M755" s="346">
        <v>183.7</v>
      </c>
      <c r="O755" s="344"/>
    </row>
    <row r="756" ht="15.75" customHeight="1">
      <c r="A756" s="335">
        <v>753.0</v>
      </c>
      <c r="B756" s="336">
        <v>753.0</v>
      </c>
      <c r="C756" s="337">
        <v>734.0</v>
      </c>
      <c r="D756" s="338" t="s">
        <v>5655</v>
      </c>
      <c r="E756" s="339" t="s">
        <v>482</v>
      </c>
      <c r="F756" s="340" t="s">
        <v>5122</v>
      </c>
      <c r="G756" s="341">
        <v>1121.3</v>
      </c>
      <c r="H756" s="342">
        <v>17.1</v>
      </c>
      <c r="I756" s="342">
        <v>342.1</v>
      </c>
      <c r="J756" s="342">
        <v>-24.3</v>
      </c>
      <c r="K756" s="342">
        <v>30.5</v>
      </c>
      <c r="L756" s="342">
        <v>7.7</v>
      </c>
      <c r="M756" s="346">
        <v>143.2</v>
      </c>
      <c r="O756" s="344"/>
    </row>
    <row r="757" ht="15.75" customHeight="1">
      <c r="A757" s="335">
        <v>754.0</v>
      </c>
      <c r="B757" s="336">
        <v>754.0</v>
      </c>
      <c r="C757" s="337" t="s">
        <v>3537</v>
      </c>
      <c r="D757" s="338" t="s">
        <v>5656</v>
      </c>
      <c r="E757" s="339" t="s">
        <v>1199</v>
      </c>
      <c r="F757" s="340" t="s">
        <v>3754</v>
      </c>
      <c r="G757" s="341">
        <v>1120.6</v>
      </c>
      <c r="H757" s="342">
        <v>18.4</v>
      </c>
      <c r="I757" s="342">
        <v>14.0</v>
      </c>
      <c r="J757" s="342">
        <v>32.0</v>
      </c>
      <c r="K757" s="342">
        <v>1.2</v>
      </c>
      <c r="L757" s="342">
        <v>43.1</v>
      </c>
      <c r="M757" s="346">
        <v>8.1</v>
      </c>
      <c r="O757" s="344"/>
    </row>
    <row r="758" ht="15.75" customHeight="1">
      <c r="A758" s="335">
        <v>755.0</v>
      </c>
      <c r="B758" s="336">
        <v>755.0</v>
      </c>
      <c r="C758" s="337">
        <v>740.0</v>
      </c>
      <c r="D758" s="338" t="s">
        <v>5657</v>
      </c>
      <c r="E758" s="339" t="s">
        <v>482</v>
      </c>
      <c r="F758" s="340" t="s">
        <v>5018</v>
      </c>
      <c r="G758" s="341">
        <v>1119.8</v>
      </c>
      <c r="H758" s="342">
        <v>17.7</v>
      </c>
      <c r="I758" s="342">
        <v>119.8</v>
      </c>
      <c r="J758" s="342">
        <v>28.7</v>
      </c>
      <c r="K758" s="342">
        <v>10.7</v>
      </c>
      <c r="L758" s="342">
        <v>20.1</v>
      </c>
      <c r="M758" s="346">
        <v>186.0</v>
      </c>
      <c r="O758" s="344"/>
    </row>
    <row r="759" ht="15.75" customHeight="1">
      <c r="A759" s="335">
        <v>756.0</v>
      </c>
      <c r="B759" s="336">
        <v>756.0</v>
      </c>
      <c r="C759" s="337">
        <v>804.0</v>
      </c>
      <c r="D759" s="347" t="s">
        <v>5658</v>
      </c>
      <c r="E759" s="339" t="s">
        <v>98</v>
      </c>
      <c r="F759" s="340" t="s">
        <v>3256</v>
      </c>
      <c r="G759" s="341">
        <v>1119.1</v>
      </c>
      <c r="H759" s="342">
        <v>31.5</v>
      </c>
      <c r="I759" s="342">
        <v>81.3</v>
      </c>
      <c r="J759" s="342">
        <v>-5.9</v>
      </c>
      <c r="K759" s="342">
        <v>7.3</v>
      </c>
      <c r="L759" s="342">
        <v>31.3</v>
      </c>
      <c r="M759" s="346">
        <v>97.0</v>
      </c>
      <c r="O759" s="344"/>
    </row>
    <row r="760" ht="15.75" customHeight="1">
      <c r="A760" s="335">
        <v>757.0</v>
      </c>
      <c r="B760" s="336">
        <v>757.0</v>
      </c>
      <c r="C760" s="337">
        <v>638.0</v>
      </c>
      <c r="D760" s="338" t="s">
        <v>5659</v>
      </c>
      <c r="E760" s="339" t="s">
        <v>332</v>
      </c>
      <c r="F760" s="340" t="s">
        <v>5183</v>
      </c>
      <c r="G760" s="341">
        <v>1116.8</v>
      </c>
      <c r="H760" s="342">
        <v>-3.1</v>
      </c>
      <c r="I760" s="342">
        <v>4.5</v>
      </c>
      <c r="J760" s="342">
        <v>-92.5</v>
      </c>
      <c r="K760" s="342">
        <v>0.4</v>
      </c>
      <c r="L760" s="342">
        <v>6.0</v>
      </c>
      <c r="M760" s="346">
        <v>28.6</v>
      </c>
      <c r="O760" s="344"/>
    </row>
    <row r="761" ht="15.75" customHeight="1">
      <c r="A761" s="335">
        <v>758.0</v>
      </c>
      <c r="B761" s="336">
        <v>758.0</v>
      </c>
      <c r="C761" s="337" t="s">
        <v>3537</v>
      </c>
      <c r="D761" s="338" t="s">
        <v>5660</v>
      </c>
      <c r="E761" s="339" t="s">
        <v>1708</v>
      </c>
      <c r="F761" s="340" t="s">
        <v>3754</v>
      </c>
      <c r="G761" s="341">
        <v>1115.7</v>
      </c>
      <c r="H761" s="342">
        <v>43.9</v>
      </c>
      <c r="I761" s="342">
        <v>53.9</v>
      </c>
      <c r="J761" s="342">
        <v>-28.0</v>
      </c>
      <c r="K761" s="342">
        <v>4.8</v>
      </c>
      <c r="L761" s="342">
        <v>15.7</v>
      </c>
      <c r="M761" s="346">
        <v>115.4</v>
      </c>
      <c r="O761" s="344"/>
    </row>
    <row r="762" ht="15.75" customHeight="1">
      <c r="A762" s="335">
        <v>759.0</v>
      </c>
      <c r="B762" s="336">
        <v>759.0</v>
      </c>
      <c r="C762" s="337">
        <v>812.0</v>
      </c>
      <c r="D762" s="338" t="s">
        <v>5661</v>
      </c>
      <c r="E762" s="339" t="s">
        <v>482</v>
      </c>
      <c r="F762" s="340" t="s">
        <v>5028</v>
      </c>
      <c r="G762" s="341">
        <v>1113.0</v>
      </c>
      <c r="H762" s="342">
        <v>33.3</v>
      </c>
      <c r="I762" s="342">
        <v>-157.7</v>
      </c>
      <c r="J762" s="342">
        <v>29.7</v>
      </c>
      <c r="K762" s="342">
        <v>-14.2</v>
      </c>
      <c r="L762" s="342">
        <v>-31.9</v>
      </c>
      <c r="M762" s="346">
        <v>55.8</v>
      </c>
      <c r="O762" s="344"/>
    </row>
    <row r="763" ht="15.75" customHeight="1">
      <c r="A763" s="335">
        <v>760.0</v>
      </c>
      <c r="B763" s="336">
        <v>760.0</v>
      </c>
      <c r="C763" s="337">
        <v>751.0</v>
      </c>
      <c r="D763" s="338" t="s">
        <v>5662</v>
      </c>
      <c r="E763" s="339" t="s">
        <v>1751</v>
      </c>
      <c r="F763" s="340" t="s">
        <v>5122</v>
      </c>
      <c r="G763" s="341">
        <v>1111.3</v>
      </c>
      <c r="H763" s="342">
        <v>18.5</v>
      </c>
      <c r="I763" s="342">
        <v>222.1</v>
      </c>
      <c r="J763" s="342">
        <v>-30.2</v>
      </c>
      <c r="K763" s="342">
        <v>20.0</v>
      </c>
      <c r="L763" s="342">
        <v>2.8</v>
      </c>
      <c r="M763" s="346">
        <v>461.1</v>
      </c>
      <c r="O763" s="344"/>
    </row>
    <row r="764" ht="15.75" customHeight="1">
      <c r="A764" s="335">
        <v>761.0</v>
      </c>
      <c r="B764" s="336">
        <v>761.0</v>
      </c>
      <c r="C764" s="337">
        <v>671.0</v>
      </c>
      <c r="D764" s="338" t="s">
        <v>5663</v>
      </c>
      <c r="E764" s="339" t="s">
        <v>482</v>
      </c>
      <c r="F764" s="340" t="s">
        <v>5122</v>
      </c>
      <c r="G764" s="341">
        <v>1108.8</v>
      </c>
      <c r="H764" s="342">
        <v>2.0</v>
      </c>
      <c r="I764" s="342">
        <v>310.6</v>
      </c>
      <c r="J764" s="342">
        <v>-5.3</v>
      </c>
      <c r="K764" s="342">
        <v>28.0</v>
      </c>
      <c r="L764" s="342">
        <v>36.9</v>
      </c>
      <c r="M764" s="346">
        <v>417.3</v>
      </c>
      <c r="O764" s="344"/>
    </row>
    <row r="765" ht="15.75" customHeight="1">
      <c r="A765" s="335">
        <v>762.0</v>
      </c>
      <c r="B765" s="336">
        <v>762.0</v>
      </c>
      <c r="C765" s="337">
        <v>516.0</v>
      </c>
      <c r="D765" s="338" t="s">
        <v>5664</v>
      </c>
      <c r="E765" s="339" t="s">
        <v>98</v>
      </c>
      <c r="F765" s="340" t="s">
        <v>5055</v>
      </c>
      <c r="G765" s="341">
        <v>1107.7</v>
      </c>
      <c r="H765" s="342">
        <v>-29.7</v>
      </c>
      <c r="I765" s="342">
        <v>26.0</v>
      </c>
      <c r="J765" s="342">
        <v>-27.5</v>
      </c>
      <c r="K765" s="342">
        <v>2.3</v>
      </c>
      <c r="L765" s="342">
        <v>30.2</v>
      </c>
      <c r="M765" s="346">
        <v>7.7</v>
      </c>
      <c r="O765" s="344"/>
    </row>
    <row r="766" ht="15.75" customHeight="1">
      <c r="A766" s="335">
        <v>763.0</v>
      </c>
      <c r="B766" s="336">
        <v>763.0</v>
      </c>
      <c r="C766" s="337" t="s">
        <v>3537</v>
      </c>
      <c r="D766" s="338" t="s">
        <v>5665</v>
      </c>
      <c r="E766" s="339" t="s">
        <v>482</v>
      </c>
      <c r="F766" s="340" t="s">
        <v>3754</v>
      </c>
      <c r="G766" s="341">
        <v>1103.8</v>
      </c>
      <c r="H766" s="342">
        <v>12.4</v>
      </c>
      <c r="I766" s="342">
        <v>54.2</v>
      </c>
      <c r="J766" s="342">
        <v>-1.1</v>
      </c>
      <c r="K766" s="342">
        <v>4.9</v>
      </c>
      <c r="L766" s="342">
        <v>24.1</v>
      </c>
      <c r="M766" s="346">
        <v>76.9</v>
      </c>
      <c r="O766" s="344"/>
    </row>
    <row r="767" ht="15.75" customHeight="1">
      <c r="A767" s="335">
        <v>764.0</v>
      </c>
      <c r="B767" s="336">
        <v>764.0</v>
      </c>
      <c r="C767" s="337">
        <v>667.0</v>
      </c>
      <c r="D767" s="338" t="s">
        <v>5666</v>
      </c>
      <c r="E767" s="339" t="s">
        <v>156</v>
      </c>
      <c r="F767" s="340" t="s">
        <v>87</v>
      </c>
      <c r="G767" s="341">
        <v>1100.3</v>
      </c>
      <c r="H767" s="342">
        <v>-0.2</v>
      </c>
      <c r="I767" s="342">
        <v>15.3</v>
      </c>
      <c r="J767" s="342">
        <v>48.9</v>
      </c>
      <c r="K767" s="342">
        <v>1.4</v>
      </c>
      <c r="L767" s="342">
        <v>8.1</v>
      </c>
      <c r="M767" s="346">
        <v>30.9</v>
      </c>
      <c r="O767" s="344"/>
    </row>
    <row r="768" ht="15.75" customHeight="1">
      <c r="A768" s="335">
        <v>765.0</v>
      </c>
      <c r="B768" s="336">
        <v>765.0</v>
      </c>
      <c r="C768" s="337" t="s">
        <v>3537</v>
      </c>
      <c r="D768" s="338" t="s">
        <v>5667</v>
      </c>
      <c r="E768" s="339" t="s">
        <v>1761</v>
      </c>
      <c r="F768" s="340" t="s">
        <v>87</v>
      </c>
      <c r="G768" s="341">
        <v>1095.9</v>
      </c>
      <c r="H768" s="342">
        <v>8.0</v>
      </c>
      <c r="I768" s="342">
        <v>0.7</v>
      </c>
      <c r="J768" s="342">
        <v>-99.6</v>
      </c>
      <c r="K768" s="342">
        <v>0.1</v>
      </c>
      <c r="L768" s="342">
        <v>0.0</v>
      </c>
      <c r="M768" s="346">
        <v>30.8</v>
      </c>
      <c r="O768" s="344"/>
    </row>
    <row r="769" ht="15.75" customHeight="1">
      <c r="A769" s="335">
        <v>766.0</v>
      </c>
      <c r="B769" s="336">
        <v>766.0</v>
      </c>
      <c r="C769" s="337">
        <v>887.0</v>
      </c>
      <c r="D769" s="338" t="s">
        <v>5668</v>
      </c>
      <c r="E769" s="339" t="s">
        <v>1751</v>
      </c>
      <c r="F769" s="340" t="s">
        <v>5183</v>
      </c>
      <c r="G769" s="341">
        <v>1092.1</v>
      </c>
      <c r="H769" s="342">
        <v>48.0</v>
      </c>
      <c r="I769" s="342">
        <v>216.5</v>
      </c>
      <c r="J769" s="342">
        <v>111.6</v>
      </c>
      <c r="K769" s="342">
        <v>19.8</v>
      </c>
      <c r="L769" s="342">
        <v>18.6</v>
      </c>
      <c r="M769" s="346">
        <v>313.4</v>
      </c>
      <c r="O769" s="344"/>
    </row>
    <row r="770" ht="15.75" customHeight="1">
      <c r="A770" s="335">
        <v>767.0</v>
      </c>
      <c r="B770" s="336">
        <v>767.0</v>
      </c>
      <c r="C770" s="337" t="s">
        <v>3537</v>
      </c>
      <c r="D770" s="338" t="s">
        <v>5669</v>
      </c>
      <c r="E770" s="339" t="s">
        <v>98</v>
      </c>
      <c r="F770" s="340" t="s">
        <v>3754</v>
      </c>
      <c r="G770" s="341">
        <v>1091.2</v>
      </c>
      <c r="H770" s="342">
        <v>9.7</v>
      </c>
      <c r="I770" s="342">
        <v>52.3</v>
      </c>
      <c r="J770" s="342">
        <v>46.0</v>
      </c>
      <c r="K770" s="342">
        <v>4.8</v>
      </c>
      <c r="L770" s="342">
        <v>35.7</v>
      </c>
      <c r="M770" s="346">
        <v>66.3</v>
      </c>
      <c r="O770" s="344"/>
    </row>
    <row r="771" ht="15.75" customHeight="1">
      <c r="A771" s="335">
        <v>768.0</v>
      </c>
      <c r="B771" s="336">
        <v>768.0</v>
      </c>
      <c r="C771" s="337">
        <v>745.0</v>
      </c>
      <c r="D771" s="338" t="s">
        <v>5670</v>
      </c>
      <c r="E771" s="339" t="s">
        <v>156</v>
      </c>
      <c r="F771" s="340" t="s">
        <v>3754</v>
      </c>
      <c r="G771" s="341">
        <v>1086.5</v>
      </c>
      <c r="H771" s="342">
        <v>15.2</v>
      </c>
      <c r="I771" s="342">
        <v>63.5</v>
      </c>
      <c r="J771" s="342">
        <v>-14.1</v>
      </c>
      <c r="K771" s="342">
        <v>5.8</v>
      </c>
      <c r="L771" s="342">
        <v>61.9</v>
      </c>
      <c r="M771" s="346">
        <v>48.9</v>
      </c>
      <c r="O771" s="344"/>
    </row>
    <row r="772" ht="15.75" customHeight="1">
      <c r="A772" s="335">
        <v>769.0</v>
      </c>
      <c r="B772" s="336">
        <v>769.0</v>
      </c>
      <c r="C772" s="337">
        <v>648.0</v>
      </c>
      <c r="D772" s="338" t="s">
        <v>5671</v>
      </c>
      <c r="E772" s="339" t="s">
        <v>482</v>
      </c>
      <c r="F772" s="340" t="s">
        <v>5015</v>
      </c>
      <c r="G772" s="341">
        <v>1085.0</v>
      </c>
      <c r="H772" s="342">
        <v>-4.5</v>
      </c>
      <c r="I772" s="342">
        <v>-219.2</v>
      </c>
      <c r="J772" s="341">
        <v>-11128.3</v>
      </c>
      <c r="K772" s="342">
        <v>-20.2</v>
      </c>
      <c r="L772" s="342">
        <v>-20.0</v>
      </c>
      <c r="M772" s="346">
        <v>-43.1</v>
      </c>
      <c r="O772" s="344"/>
    </row>
    <row r="773" ht="15.75" customHeight="1">
      <c r="A773" s="335">
        <v>770.0</v>
      </c>
      <c r="B773" s="336">
        <v>770.0</v>
      </c>
      <c r="C773" s="337">
        <v>846.0</v>
      </c>
      <c r="D773" s="338" t="s">
        <v>5672</v>
      </c>
      <c r="E773" s="339" t="s">
        <v>482</v>
      </c>
      <c r="F773" s="340" t="s">
        <v>5055</v>
      </c>
      <c r="G773" s="341">
        <v>1085.0</v>
      </c>
      <c r="H773" s="342">
        <v>37.5</v>
      </c>
      <c r="I773" s="342">
        <v>186.8</v>
      </c>
      <c r="J773" s="342">
        <v>1.4</v>
      </c>
      <c r="K773" s="342">
        <v>17.2</v>
      </c>
      <c r="L773" s="342">
        <v>69.1</v>
      </c>
      <c r="M773" s="346">
        <v>227.6</v>
      </c>
      <c r="O773" s="344"/>
    </row>
    <row r="774" ht="15.75" customHeight="1">
      <c r="A774" s="335">
        <v>771.0</v>
      </c>
      <c r="B774" s="336">
        <v>771.0</v>
      </c>
      <c r="C774" s="337">
        <v>630.0</v>
      </c>
      <c r="D774" s="338" t="s">
        <v>5673</v>
      </c>
      <c r="E774" s="339" t="s">
        <v>367</v>
      </c>
      <c r="F774" s="340" t="s">
        <v>4970</v>
      </c>
      <c r="G774" s="341">
        <v>1084.6</v>
      </c>
      <c r="H774" s="342">
        <v>-7.2</v>
      </c>
      <c r="I774" s="342">
        <v>141.3</v>
      </c>
      <c r="J774" s="342">
        <v>-53.2</v>
      </c>
      <c r="K774" s="342">
        <v>13.0</v>
      </c>
      <c r="L774" s="342">
        <v>15.9</v>
      </c>
      <c r="M774" s="346">
        <v>143.2</v>
      </c>
      <c r="O774" s="344"/>
    </row>
    <row r="775" ht="15.75" customHeight="1">
      <c r="A775" s="335">
        <v>772.0</v>
      </c>
      <c r="B775" s="336">
        <v>772.0</v>
      </c>
      <c r="C775" s="337">
        <v>864.0</v>
      </c>
      <c r="D775" s="338" t="s">
        <v>5674</v>
      </c>
      <c r="E775" s="339" t="s">
        <v>482</v>
      </c>
      <c r="F775" s="340" t="s">
        <v>4970</v>
      </c>
      <c r="G775" s="341">
        <v>1082.6</v>
      </c>
      <c r="H775" s="342">
        <v>41.3</v>
      </c>
      <c r="I775" s="342">
        <v>98.7</v>
      </c>
      <c r="J775" s="342">
        <v>-8.0</v>
      </c>
      <c r="K775" s="342">
        <v>9.1</v>
      </c>
      <c r="L775" s="342">
        <v>67.0</v>
      </c>
      <c r="M775" s="346">
        <v>166.4</v>
      </c>
      <c r="O775" s="344"/>
    </row>
    <row r="776" ht="15.75" customHeight="1">
      <c r="A776" s="335">
        <v>773.0</v>
      </c>
      <c r="B776" s="336">
        <v>773.0</v>
      </c>
      <c r="C776" s="337">
        <v>405.0</v>
      </c>
      <c r="D776" s="338" t="s">
        <v>5675</v>
      </c>
      <c r="E776" s="339" t="s">
        <v>332</v>
      </c>
      <c r="F776" s="340" t="s">
        <v>4963</v>
      </c>
      <c r="G776" s="341">
        <v>1082.1</v>
      </c>
      <c r="H776" s="342">
        <v>-52.8</v>
      </c>
      <c r="I776" s="342">
        <v>348.7</v>
      </c>
      <c r="J776" s="342">
        <v>-70.8</v>
      </c>
      <c r="K776" s="342">
        <v>32.2</v>
      </c>
      <c r="L776" s="342">
        <v>69.2</v>
      </c>
      <c r="M776" s="346">
        <v>517.6</v>
      </c>
      <c r="O776" s="344"/>
    </row>
    <row r="777" ht="15.75" customHeight="1">
      <c r="A777" s="335">
        <v>774.0</v>
      </c>
      <c r="B777" s="336">
        <v>774.0</v>
      </c>
      <c r="C777" s="337">
        <v>861.0</v>
      </c>
      <c r="D777" s="338" t="s">
        <v>5676</v>
      </c>
      <c r="E777" s="339" t="s">
        <v>482</v>
      </c>
      <c r="F777" s="340" t="s">
        <v>5183</v>
      </c>
      <c r="G777" s="341">
        <v>1079.7</v>
      </c>
      <c r="H777" s="342">
        <v>40.0</v>
      </c>
      <c r="I777" s="342">
        <v>50.9</v>
      </c>
      <c r="J777" s="342">
        <v>61.4</v>
      </c>
      <c r="K777" s="342">
        <v>4.7</v>
      </c>
      <c r="L777" s="342">
        <v>37.5</v>
      </c>
      <c r="M777" s="346">
        <v>104.9</v>
      </c>
      <c r="O777" s="344"/>
    </row>
    <row r="778" ht="15.75" customHeight="1">
      <c r="A778" s="335">
        <v>775.0</v>
      </c>
      <c r="B778" s="336">
        <v>775.0</v>
      </c>
      <c r="C778" s="337">
        <v>669.0</v>
      </c>
      <c r="D778" s="338" t="s">
        <v>5677</v>
      </c>
      <c r="E778" s="339" t="s">
        <v>482</v>
      </c>
      <c r="F778" s="340" t="s">
        <v>5010</v>
      </c>
      <c r="G778" s="341">
        <v>1074.4</v>
      </c>
      <c r="H778" s="342">
        <v>-1.6</v>
      </c>
      <c r="I778" s="342">
        <v>110.5</v>
      </c>
      <c r="J778" s="342">
        <v>-46.1</v>
      </c>
      <c r="K778" s="342">
        <v>10.3</v>
      </c>
      <c r="L778" s="342">
        <v>9.1</v>
      </c>
      <c r="M778" s="346">
        <v>94.1</v>
      </c>
      <c r="O778" s="344"/>
    </row>
    <row r="779" ht="15.75" customHeight="1">
      <c r="A779" s="335">
        <v>776.0</v>
      </c>
      <c r="B779" s="336">
        <v>776.0</v>
      </c>
      <c r="C779" s="337">
        <v>741.0</v>
      </c>
      <c r="D779" s="347" t="s">
        <v>5678</v>
      </c>
      <c r="E779" s="339" t="s">
        <v>574</v>
      </c>
      <c r="F779" s="340" t="s">
        <v>3256</v>
      </c>
      <c r="G779" s="341">
        <v>1073.8</v>
      </c>
      <c r="H779" s="342">
        <v>12.9</v>
      </c>
      <c r="I779" s="342">
        <v>13.2</v>
      </c>
      <c r="J779" s="342">
        <v>-61.0</v>
      </c>
      <c r="K779" s="342">
        <v>1.2</v>
      </c>
      <c r="L779" s="342">
        <v>6.0</v>
      </c>
      <c r="M779" s="346">
        <v>37.5</v>
      </c>
      <c r="O779" s="344"/>
    </row>
    <row r="780" ht="15.75" customHeight="1">
      <c r="A780" s="335">
        <v>777.0</v>
      </c>
      <c r="B780" s="336">
        <v>777.0</v>
      </c>
      <c r="C780" s="337">
        <v>781.0</v>
      </c>
      <c r="D780" s="338" t="s">
        <v>5679</v>
      </c>
      <c r="E780" s="339" t="s">
        <v>1075</v>
      </c>
      <c r="F780" s="340" t="s">
        <v>5012</v>
      </c>
      <c r="G780" s="341">
        <v>1072.4</v>
      </c>
      <c r="H780" s="342">
        <v>20.9</v>
      </c>
      <c r="I780" s="342">
        <v>30.2</v>
      </c>
      <c r="J780" s="342">
        <v>33.8</v>
      </c>
      <c r="K780" s="342">
        <v>2.8</v>
      </c>
      <c r="L780" s="342">
        <v>54.6</v>
      </c>
      <c r="M780" s="346">
        <v>10.8</v>
      </c>
      <c r="O780" s="344"/>
    </row>
    <row r="781" ht="15.75" customHeight="1">
      <c r="A781" s="335">
        <v>778.0</v>
      </c>
      <c r="B781" s="336">
        <v>778.0</v>
      </c>
      <c r="C781" s="337">
        <v>707.0</v>
      </c>
      <c r="D781" s="338" t="s">
        <v>5680</v>
      </c>
      <c r="E781" s="339" t="s">
        <v>482</v>
      </c>
      <c r="F781" s="340" t="s">
        <v>5015</v>
      </c>
      <c r="G781" s="341">
        <v>1072.3</v>
      </c>
      <c r="H781" s="342">
        <v>7.5</v>
      </c>
      <c r="I781" s="342">
        <v>38.8</v>
      </c>
      <c r="J781" s="342">
        <v>13.2</v>
      </c>
      <c r="K781" s="342">
        <v>3.6</v>
      </c>
      <c r="L781" s="342">
        <v>12.1</v>
      </c>
      <c r="M781" s="346">
        <v>17.1</v>
      </c>
      <c r="O781" s="344"/>
    </row>
    <row r="782" ht="15.75" customHeight="1">
      <c r="A782" s="335">
        <v>779.0</v>
      </c>
      <c r="B782" s="336">
        <v>779.0</v>
      </c>
      <c r="C782" s="337">
        <v>676.0</v>
      </c>
      <c r="D782" s="338" t="s">
        <v>5681</v>
      </c>
      <c r="E782" s="339" t="s">
        <v>482</v>
      </c>
      <c r="F782" s="340" t="s">
        <v>4985</v>
      </c>
      <c r="G782" s="341">
        <v>1070.9</v>
      </c>
      <c r="H782" s="342">
        <v>0.4</v>
      </c>
      <c r="I782" s="342">
        <v>23.2</v>
      </c>
      <c r="J782" s="342">
        <v>-68.0</v>
      </c>
      <c r="K782" s="342">
        <v>2.2</v>
      </c>
      <c r="L782" s="342">
        <v>3.6</v>
      </c>
      <c r="M782" s="346">
        <v>74.4</v>
      </c>
      <c r="O782" s="344"/>
    </row>
    <row r="783" ht="15.75" customHeight="1">
      <c r="A783" s="335">
        <v>780.0</v>
      </c>
      <c r="B783" s="336">
        <v>780.0</v>
      </c>
      <c r="C783" s="337">
        <v>857.0</v>
      </c>
      <c r="D783" s="338" t="s">
        <v>5682</v>
      </c>
      <c r="E783" s="339" t="s">
        <v>332</v>
      </c>
      <c r="F783" s="340" t="s">
        <v>4970</v>
      </c>
      <c r="G783" s="341">
        <v>1070.1</v>
      </c>
      <c r="H783" s="342">
        <v>38.6</v>
      </c>
      <c r="I783" s="342">
        <v>256.6</v>
      </c>
      <c r="J783" s="342">
        <v>42.7</v>
      </c>
      <c r="K783" s="342">
        <v>24.0</v>
      </c>
      <c r="L783" s="342">
        <v>34.0</v>
      </c>
      <c r="M783" s="346">
        <v>277.7</v>
      </c>
      <c r="O783" s="344"/>
    </row>
    <row r="784" ht="15.75" customHeight="1">
      <c r="A784" s="335">
        <v>781.0</v>
      </c>
      <c r="B784" s="336">
        <v>781.0</v>
      </c>
      <c r="C784" s="337">
        <v>818.0</v>
      </c>
      <c r="D784" s="338" t="s">
        <v>5683</v>
      </c>
      <c r="E784" s="339" t="s">
        <v>482</v>
      </c>
      <c r="F784" s="340" t="s">
        <v>4960</v>
      </c>
      <c r="G784" s="341">
        <v>1069.9</v>
      </c>
      <c r="H784" s="342">
        <v>30.7</v>
      </c>
      <c r="I784" s="342">
        <v>9.8</v>
      </c>
      <c r="J784" s="342">
        <v>560.4</v>
      </c>
      <c r="K784" s="342">
        <v>0.9</v>
      </c>
      <c r="L784" s="342">
        <v>19.3</v>
      </c>
      <c r="M784" s="346">
        <v>13.6</v>
      </c>
      <c r="O784" s="344"/>
    </row>
    <row r="785" ht="15.75" customHeight="1">
      <c r="A785" s="335">
        <v>782.0</v>
      </c>
      <c r="B785" s="336">
        <v>782.0</v>
      </c>
      <c r="C785" s="337" t="s">
        <v>3537</v>
      </c>
      <c r="D785" s="338" t="s">
        <v>5684</v>
      </c>
      <c r="E785" s="339" t="s">
        <v>574</v>
      </c>
      <c r="F785" s="340" t="s">
        <v>3754</v>
      </c>
      <c r="G785" s="341">
        <v>1069.8</v>
      </c>
      <c r="H785" s="342">
        <v>11.9</v>
      </c>
      <c r="I785" s="342">
        <v>30.6</v>
      </c>
      <c r="J785" s="342">
        <v>-52.9</v>
      </c>
      <c r="K785" s="342">
        <v>2.9</v>
      </c>
      <c r="L785" s="342">
        <v>13.1</v>
      </c>
      <c r="M785" s="346">
        <v>88.3</v>
      </c>
      <c r="O785" s="344"/>
    </row>
    <row r="786" ht="15.75" customHeight="1">
      <c r="A786" s="335">
        <v>783.0</v>
      </c>
      <c r="B786" s="336">
        <v>783.0</v>
      </c>
      <c r="C786" s="337">
        <v>789.0</v>
      </c>
      <c r="D786" s="338" t="s">
        <v>5685</v>
      </c>
      <c r="E786" s="339" t="s">
        <v>482</v>
      </c>
      <c r="F786" s="340" t="s">
        <v>5050</v>
      </c>
      <c r="G786" s="341">
        <v>1065.9</v>
      </c>
      <c r="H786" s="342">
        <v>21.7</v>
      </c>
      <c r="I786" s="342">
        <v>55.3</v>
      </c>
      <c r="J786" s="342">
        <v>106.9</v>
      </c>
      <c r="K786" s="342">
        <v>5.2</v>
      </c>
      <c r="L786" s="342">
        <v>27.1</v>
      </c>
      <c r="M786" s="346">
        <v>-10.8</v>
      </c>
      <c r="O786" s="344"/>
    </row>
    <row r="787" ht="15.75" customHeight="1">
      <c r="A787" s="335">
        <v>784.0</v>
      </c>
      <c r="B787" s="336">
        <v>784.0</v>
      </c>
      <c r="C787" s="337" t="s">
        <v>3537</v>
      </c>
      <c r="D787" s="338" t="s">
        <v>5686</v>
      </c>
      <c r="E787" s="339" t="s">
        <v>482</v>
      </c>
      <c r="F787" s="340" t="s">
        <v>3754</v>
      </c>
      <c r="G787" s="341">
        <v>1064.3</v>
      </c>
      <c r="H787" s="342">
        <v>13.7</v>
      </c>
      <c r="I787" s="342">
        <v>27.0</v>
      </c>
      <c r="J787" s="342">
        <v>-52.3</v>
      </c>
      <c r="K787" s="342">
        <v>2.5</v>
      </c>
      <c r="L787" s="342">
        <v>8.7</v>
      </c>
      <c r="M787" s="346">
        <v>59.7</v>
      </c>
      <c r="O787" s="344"/>
    </row>
    <row r="788" ht="15.75" customHeight="1">
      <c r="A788" s="335">
        <v>785.0</v>
      </c>
      <c r="B788" s="336">
        <v>785.0</v>
      </c>
      <c r="C788" s="337" t="s">
        <v>3537</v>
      </c>
      <c r="D788" s="338" t="s">
        <v>5687</v>
      </c>
      <c r="E788" s="339" t="s">
        <v>482</v>
      </c>
      <c r="F788" s="340" t="s">
        <v>4968</v>
      </c>
      <c r="G788" s="341">
        <v>1055.9</v>
      </c>
      <c r="H788" s="342">
        <v>38.4</v>
      </c>
      <c r="I788" s="342">
        <v>218.5</v>
      </c>
      <c r="J788" s="342">
        <v>186.6</v>
      </c>
      <c r="K788" s="342">
        <v>20.7</v>
      </c>
      <c r="L788" s="342">
        <v>19.9</v>
      </c>
      <c r="M788" s="346">
        <v>258.7</v>
      </c>
      <c r="O788" s="344"/>
    </row>
    <row r="789" ht="15.75" customHeight="1">
      <c r="A789" s="335">
        <v>786.0</v>
      </c>
      <c r="B789" s="336">
        <v>786.0</v>
      </c>
      <c r="C789" s="337">
        <v>761.0</v>
      </c>
      <c r="D789" s="338" t="s">
        <v>5688</v>
      </c>
      <c r="E789" s="339" t="s">
        <v>332</v>
      </c>
      <c r="F789" s="340" t="s">
        <v>3754</v>
      </c>
      <c r="G789" s="341">
        <v>1055.1</v>
      </c>
      <c r="H789" s="342">
        <v>14.7</v>
      </c>
      <c r="I789" s="342">
        <v>85.3</v>
      </c>
      <c r="J789" s="342">
        <v>18.2</v>
      </c>
      <c r="K789" s="342">
        <v>8.1</v>
      </c>
      <c r="L789" s="342">
        <v>45.0</v>
      </c>
      <c r="M789" s="346">
        <v>86.1</v>
      </c>
      <c r="O789" s="344"/>
    </row>
    <row r="790" ht="15.75" customHeight="1">
      <c r="A790" s="335">
        <v>787.0</v>
      </c>
      <c r="B790" s="336">
        <v>787.0</v>
      </c>
      <c r="C790" s="337">
        <v>728.0</v>
      </c>
      <c r="D790" s="338" t="s">
        <v>5689</v>
      </c>
      <c r="E790" s="339" t="s">
        <v>332</v>
      </c>
      <c r="F790" s="340" t="s">
        <v>5015</v>
      </c>
      <c r="G790" s="341">
        <v>1051.8</v>
      </c>
      <c r="H790" s="342">
        <v>9.0</v>
      </c>
      <c r="I790" s="342">
        <v>103.5</v>
      </c>
      <c r="J790" s="342">
        <v>-28.6</v>
      </c>
      <c r="K790" s="342">
        <v>9.8</v>
      </c>
      <c r="L790" s="342">
        <v>6.4</v>
      </c>
      <c r="M790" s="346">
        <v>199.8</v>
      </c>
      <c r="O790" s="344"/>
    </row>
    <row r="791" ht="15.75" customHeight="1">
      <c r="A791" s="335">
        <v>788.0</v>
      </c>
      <c r="B791" s="336">
        <v>788.0</v>
      </c>
      <c r="C791" s="337">
        <v>749.0</v>
      </c>
      <c r="D791" s="338" t="s">
        <v>5690</v>
      </c>
      <c r="E791" s="339" t="s">
        <v>3433</v>
      </c>
      <c r="F791" s="340" t="s">
        <v>5018</v>
      </c>
      <c r="G791" s="341">
        <v>1049.4</v>
      </c>
      <c r="H791" s="342">
        <v>11.7</v>
      </c>
      <c r="I791" s="342">
        <v>192.7</v>
      </c>
      <c r="J791" s="342">
        <v>8.8</v>
      </c>
      <c r="K791" s="342">
        <v>18.4</v>
      </c>
      <c r="L791" s="342">
        <v>5.8</v>
      </c>
      <c r="M791" s="346">
        <v>166.2</v>
      </c>
      <c r="O791" s="344"/>
    </row>
    <row r="792" ht="15.75" customHeight="1">
      <c r="A792" s="335">
        <v>789.0</v>
      </c>
      <c r="B792" s="336">
        <v>789.0</v>
      </c>
      <c r="C792" s="337">
        <v>847.0</v>
      </c>
      <c r="D792" s="338" t="s">
        <v>5691</v>
      </c>
      <c r="E792" s="339" t="s">
        <v>1751</v>
      </c>
      <c r="F792" s="340" t="s">
        <v>5012</v>
      </c>
      <c r="G792" s="341">
        <v>1048.4</v>
      </c>
      <c r="H792" s="342">
        <v>32.9</v>
      </c>
      <c r="I792" s="342">
        <v>-579.4</v>
      </c>
      <c r="J792" s="342">
        <v>43.8</v>
      </c>
      <c r="K792" s="342">
        <v>-55.3</v>
      </c>
      <c r="L792" s="342" t="s">
        <v>5021</v>
      </c>
      <c r="M792" s="346">
        <v>157.6</v>
      </c>
      <c r="O792" s="344"/>
    </row>
    <row r="793" ht="15.75" customHeight="1">
      <c r="A793" s="335">
        <v>790.0</v>
      </c>
      <c r="B793" s="336">
        <v>790.0</v>
      </c>
      <c r="C793" s="337" t="s">
        <v>3537</v>
      </c>
      <c r="D793" s="338" t="s">
        <v>5692</v>
      </c>
      <c r="E793" s="339" t="s">
        <v>1199</v>
      </c>
      <c r="F793" s="340" t="s">
        <v>4999</v>
      </c>
      <c r="G793" s="341">
        <v>1048.1</v>
      </c>
      <c r="H793" s="342">
        <v>0.7</v>
      </c>
      <c r="I793" s="342">
        <v>-15.0</v>
      </c>
      <c r="J793" s="342">
        <v>-110.4</v>
      </c>
      <c r="K793" s="342">
        <v>-1.4</v>
      </c>
      <c r="L793" s="342">
        <v>-2.6</v>
      </c>
      <c r="M793" s="346">
        <v>-42.0</v>
      </c>
      <c r="O793" s="344"/>
    </row>
    <row r="794" ht="15.75" customHeight="1">
      <c r="A794" s="335">
        <v>791.0</v>
      </c>
      <c r="B794" s="336">
        <v>791.0</v>
      </c>
      <c r="C794" s="337">
        <v>732.0</v>
      </c>
      <c r="D794" s="338" t="s">
        <v>5693</v>
      </c>
      <c r="E794" s="339" t="s">
        <v>156</v>
      </c>
      <c r="F794" s="340" t="s">
        <v>87</v>
      </c>
      <c r="G794" s="341">
        <v>1043.8</v>
      </c>
      <c r="H794" s="342">
        <v>8.6</v>
      </c>
      <c r="I794" s="342">
        <v>67.1</v>
      </c>
      <c r="J794" s="342">
        <v>186.9</v>
      </c>
      <c r="K794" s="342">
        <v>6.4</v>
      </c>
      <c r="L794" s="342">
        <v>51.2</v>
      </c>
      <c r="M794" s="346">
        <v>77.0</v>
      </c>
      <c r="O794" s="344"/>
    </row>
    <row r="795" ht="15.75" customHeight="1">
      <c r="A795" s="335">
        <v>792.0</v>
      </c>
      <c r="B795" s="336">
        <v>792.0</v>
      </c>
      <c r="C795" s="337">
        <v>739.0</v>
      </c>
      <c r="D795" s="338" t="s">
        <v>5694</v>
      </c>
      <c r="E795" s="339" t="s">
        <v>98</v>
      </c>
      <c r="F795" s="340" t="s">
        <v>5001</v>
      </c>
      <c r="G795" s="341">
        <v>1043.1</v>
      </c>
      <c r="H795" s="342">
        <v>9.3</v>
      </c>
      <c r="I795" s="342">
        <v>61.8</v>
      </c>
      <c r="J795" s="342">
        <v>-43.1</v>
      </c>
      <c r="K795" s="342">
        <v>5.9</v>
      </c>
      <c r="L795" s="342">
        <v>22.5</v>
      </c>
      <c r="M795" s="346">
        <v>109.7</v>
      </c>
      <c r="O795" s="344"/>
    </row>
    <row r="796" ht="15.75" customHeight="1">
      <c r="A796" s="335">
        <v>793.0</v>
      </c>
      <c r="B796" s="336">
        <v>793.0</v>
      </c>
      <c r="C796" s="337">
        <v>768.0</v>
      </c>
      <c r="D796" s="338" t="s">
        <v>5695</v>
      </c>
      <c r="E796" s="339" t="s">
        <v>482</v>
      </c>
      <c r="F796" s="340" t="s">
        <v>4993</v>
      </c>
      <c r="G796" s="341">
        <v>1041.1</v>
      </c>
      <c r="H796" s="342">
        <v>15.0</v>
      </c>
      <c r="I796" s="342">
        <v>130.7</v>
      </c>
      <c r="J796" s="342">
        <v>14.7</v>
      </c>
      <c r="K796" s="342">
        <v>12.5</v>
      </c>
      <c r="L796" s="342">
        <v>19.0</v>
      </c>
      <c r="M796" s="346">
        <v>171.8</v>
      </c>
      <c r="O796" s="344"/>
    </row>
    <row r="797" ht="15.75" customHeight="1">
      <c r="A797" s="335">
        <v>794.0</v>
      </c>
      <c r="B797" s="336">
        <v>794.0</v>
      </c>
      <c r="C797" s="337">
        <v>595.0</v>
      </c>
      <c r="D797" s="345" t="s">
        <v>1944</v>
      </c>
      <c r="E797" s="339" t="s">
        <v>98</v>
      </c>
      <c r="F797" s="340" t="s">
        <v>3256</v>
      </c>
      <c r="G797" s="341">
        <v>1040.4</v>
      </c>
      <c r="H797" s="342">
        <v>-19.1</v>
      </c>
      <c r="I797" s="342">
        <v>8.1</v>
      </c>
      <c r="J797" s="342">
        <v>-23.2</v>
      </c>
      <c r="K797" s="342">
        <v>0.8</v>
      </c>
      <c r="L797" s="342">
        <v>6.6</v>
      </c>
      <c r="M797" s="346">
        <v>23.9</v>
      </c>
      <c r="O797" s="344"/>
    </row>
    <row r="798" ht="15.75" customHeight="1">
      <c r="A798" s="335">
        <v>795.0</v>
      </c>
      <c r="B798" s="336">
        <v>795.0</v>
      </c>
      <c r="C798" s="337">
        <v>727.0</v>
      </c>
      <c r="D798" s="338" t="s">
        <v>5696</v>
      </c>
      <c r="E798" s="339" t="s">
        <v>482</v>
      </c>
      <c r="F798" s="340" t="s">
        <v>5028</v>
      </c>
      <c r="G798" s="341">
        <v>1036.7</v>
      </c>
      <c r="H798" s="342">
        <v>7.4</v>
      </c>
      <c r="I798" s="342" t="s">
        <v>3537</v>
      </c>
      <c r="J798" s="342" t="s">
        <v>3537</v>
      </c>
      <c r="K798" s="342" t="s">
        <v>3537</v>
      </c>
      <c r="L798" s="342" t="s">
        <v>3537</v>
      </c>
      <c r="M798" s="346" t="s">
        <v>3537</v>
      </c>
      <c r="O798" s="344"/>
    </row>
    <row r="799" ht="15.75" customHeight="1">
      <c r="A799" s="335">
        <v>796.0</v>
      </c>
      <c r="B799" s="336">
        <v>796.0</v>
      </c>
      <c r="C799" s="337">
        <v>802.0</v>
      </c>
      <c r="D799" s="338" t="s">
        <v>5697</v>
      </c>
      <c r="E799" s="339" t="s">
        <v>482</v>
      </c>
      <c r="F799" s="340" t="s">
        <v>5110</v>
      </c>
      <c r="G799" s="341">
        <v>1030.8</v>
      </c>
      <c r="H799" s="342">
        <v>21.0</v>
      </c>
      <c r="I799" s="342">
        <v>188.8</v>
      </c>
      <c r="J799" s="342">
        <v>527.6</v>
      </c>
      <c r="K799" s="342">
        <v>18.3</v>
      </c>
      <c r="L799" s="342">
        <v>92.9</v>
      </c>
      <c r="M799" s="346">
        <v>105.5</v>
      </c>
      <c r="O799" s="344"/>
    </row>
    <row r="800" ht="15.75" customHeight="1">
      <c r="A800" s="335">
        <v>797.0</v>
      </c>
      <c r="B800" s="336">
        <v>797.0</v>
      </c>
      <c r="C800" s="337">
        <v>859.0</v>
      </c>
      <c r="D800" s="338" t="s">
        <v>5698</v>
      </c>
      <c r="E800" s="339" t="s">
        <v>98</v>
      </c>
      <c r="F800" s="340" t="s">
        <v>5122</v>
      </c>
      <c r="G800" s="341">
        <v>1029.6</v>
      </c>
      <c r="H800" s="342">
        <v>33.4</v>
      </c>
      <c r="I800" s="342">
        <v>125.6</v>
      </c>
      <c r="J800" s="342">
        <v>45.4</v>
      </c>
      <c r="K800" s="342">
        <v>12.2</v>
      </c>
      <c r="L800" s="342">
        <v>10.1</v>
      </c>
      <c r="M800" s="346">
        <v>73.3</v>
      </c>
      <c r="O800" s="344"/>
    </row>
    <row r="801" ht="15.75" customHeight="1">
      <c r="A801" s="335">
        <v>798.0</v>
      </c>
      <c r="B801" s="336">
        <v>798.0</v>
      </c>
      <c r="C801" s="337" t="s">
        <v>3537</v>
      </c>
      <c r="D801" s="338" t="s">
        <v>5699</v>
      </c>
      <c r="E801" s="339" t="s">
        <v>1751</v>
      </c>
      <c r="F801" s="340" t="s">
        <v>5012</v>
      </c>
      <c r="G801" s="341">
        <v>1026.8</v>
      </c>
      <c r="H801" s="342" t="s">
        <v>3537</v>
      </c>
      <c r="I801" s="342">
        <v>324.8</v>
      </c>
      <c r="J801" s="342" t="s">
        <v>3537</v>
      </c>
      <c r="K801" s="342">
        <v>31.6</v>
      </c>
      <c r="L801" s="342">
        <v>148.8</v>
      </c>
      <c r="M801" s="346">
        <v>508.1</v>
      </c>
      <c r="O801" s="344"/>
    </row>
    <row r="802" ht="15.75" customHeight="1">
      <c r="A802" s="335">
        <v>799.0</v>
      </c>
      <c r="B802" s="336">
        <v>799.0</v>
      </c>
      <c r="C802" s="337">
        <v>764.0</v>
      </c>
      <c r="D802" s="338" t="s">
        <v>5700</v>
      </c>
      <c r="E802" s="339" t="s">
        <v>98</v>
      </c>
      <c r="F802" s="340" t="s">
        <v>5183</v>
      </c>
      <c r="G802" s="341">
        <v>1025.5</v>
      </c>
      <c r="H802" s="342">
        <v>16.7</v>
      </c>
      <c r="I802" s="342">
        <v>5.8</v>
      </c>
      <c r="J802" s="342">
        <v>-90.9</v>
      </c>
      <c r="K802" s="342">
        <v>0.6</v>
      </c>
      <c r="L802" s="342">
        <v>2.2</v>
      </c>
      <c r="M802" s="346">
        <v>77.3</v>
      </c>
      <c r="O802" s="344"/>
    </row>
    <row r="803" ht="15.75" customHeight="1">
      <c r="A803" s="335">
        <v>800.0</v>
      </c>
      <c r="B803" s="336">
        <v>800.0</v>
      </c>
      <c r="C803" s="337" t="s">
        <v>3537</v>
      </c>
      <c r="D803" s="338" t="s">
        <v>5701</v>
      </c>
      <c r="E803" s="339" t="s">
        <v>1751</v>
      </c>
      <c r="F803" s="340" t="s">
        <v>4968</v>
      </c>
      <c r="G803" s="341">
        <v>1025.2</v>
      </c>
      <c r="H803" s="342">
        <v>-3.5</v>
      </c>
      <c r="I803" s="342">
        <v>28.9</v>
      </c>
      <c r="J803" s="342">
        <v>-45.3</v>
      </c>
      <c r="K803" s="342">
        <v>2.8</v>
      </c>
      <c r="L803" s="342">
        <v>11.4</v>
      </c>
      <c r="M803" s="346">
        <v>63.0</v>
      </c>
      <c r="O803" s="344"/>
    </row>
    <row r="804" ht="15.75" customHeight="1">
      <c r="A804" s="335">
        <v>801.0</v>
      </c>
      <c r="B804" s="336">
        <v>801.0</v>
      </c>
      <c r="C804" s="337">
        <v>803.0</v>
      </c>
      <c r="D804" s="338" t="s">
        <v>5702</v>
      </c>
      <c r="E804" s="339" t="s">
        <v>1075</v>
      </c>
      <c r="F804" s="340" t="s">
        <v>5012</v>
      </c>
      <c r="G804" s="341">
        <v>1024.8</v>
      </c>
      <c r="H804" s="342">
        <v>20.4</v>
      </c>
      <c r="I804" s="342">
        <v>404.1</v>
      </c>
      <c r="J804" s="342">
        <v>45.8</v>
      </c>
      <c r="K804" s="342">
        <v>39.4</v>
      </c>
      <c r="L804" s="342">
        <v>70.6</v>
      </c>
      <c r="M804" s="346">
        <v>660.5</v>
      </c>
      <c r="O804" s="344"/>
    </row>
    <row r="805" ht="15.75" customHeight="1">
      <c r="A805" s="335">
        <v>802.0</v>
      </c>
      <c r="B805" s="336">
        <v>802.0</v>
      </c>
      <c r="C805" s="337">
        <v>792.0</v>
      </c>
      <c r="D805" s="338" t="s">
        <v>5703</v>
      </c>
      <c r="E805" s="339" t="s">
        <v>332</v>
      </c>
      <c r="F805" s="340" t="s">
        <v>5012</v>
      </c>
      <c r="G805" s="341">
        <v>1024.8</v>
      </c>
      <c r="H805" s="342">
        <v>17.4</v>
      </c>
      <c r="I805" s="342">
        <v>-1.7</v>
      </c>
      <c r="J805" s="342">
        <v>-102.6</v>
      </c>
      <c r="K805" s="342">
        <v>-0.2</v>
      </c>
      <c r="L805" s="342">
        <v>-1.1</v>
      </c>
      <c r="M805" s="346">
        <v>78.5</v>
      </c>
      <c r="O805" s="344"/>
    </row>
    <row r="806" ht="15.75" customHeight="1">
      <c r="A806" s="335">
        <v>803.0</v>
      </c>
      <c r="B806" s="336">
        <v>803.0</v>
      </c>
      <c r="C806" s="337">
        <v>735.0</v>
      </c>
      <c r="D806" s="338" t="s">
        <v>5704</v>
      </c>
      <c r="E806" s="339" t="s">
        <v>482</v>
      </c>
      <c r="F806" s="340" t="s">
        <v>5015</v>
      </c>
      <c r="G806" s="341">
        <v>1023.0</v>
      </c>
      <c r="H806" s="342">
        <v>6.9</v>
      </c>
      <c r="I806" s="342">
        <v>-13.8</v>
      </c>
      <c r="J806" s="342">
        <v>-143.8</v>
      </c>
      <c r="K806" s="342">
        <v>-1.3</v>
      </c>
      <c r="L806" s="342">
        <v>-2.5</v>
      </c>
      <c r="M806" s="346">
        <v>-29.4</v>
      </c>
      <c r="O806" s="344"/>
    </row>
    <row r="807" ht="15.75" customHeight="1">
      <c r="A807" s="335">
        <v>804.0</v>
      </c>
      <c r="B807" s="336">
        <v>804.0</v>
      </c>
      <c r="C807" s="337">
        <v>756.0</v>
      </c>
      <c r="D807" s="338" t="s">
        <v>5705</v>
      </c>
      <c r="E807" s="339" t="s">
        <v>3440</v>
      </c>
      <c r="F807" s="340" t="s">
        <v>5018</v>
      </c>
      <c r="G807" s="341">
        <v>1021.4</v>
      </c>
      <c r="H807" s="342">
        <v>9.7</v>
      </c>
      <c r="I807" s="342">
        <v>81.2</v>
      </c>
      <c r="J807" s="342">
        <v>-52.8</v>
      </c>
      <c r="K807" s="342">
        <v>8.0</v>
      </c>
      <c r="L807" s="342">
        <v>2.5</v>
      </c>
      <c r="M807" s="346">
        <v>66.8</v>
      </c>
      <c r="O807" s="344"/>
    </row>
    <row r="808" ht="15.75" customHeight="1">
      <c r="A808" s="335">
        <v>805.0</v>
      </c>
      <c r="B808" s="336">
        <v>805.0</v>
      </c>
      <c r="C808" s="337">
        <v>932.0</v>
      </c>
      <c r="D808" s="338" t="s">
        <v>5706</v>
      </c>
      <c r="E808" s="339" t="s">
        <v>98</v>
      </c>
      <c r="F808" s="340" t="s">
        <v>3754</v>
      </c>
      <c r="G808" s="341">
        <v>1020.6</v>
      </c>
      <c r="H808" s="342">
        <v>51.7</v>
      </c>
      <c r="I808" s="342">
        <v>41.6</v>
      </c>
      <c r="J808" s="342">
        <v>25.4</v>
      </c>
      <c r="K808" s="342">
        <v>4.1</v>
      </c>
      <c r="L808" s="342">
        <v>22.5</v>
      </c>
      <c r="M808" s="346">
        <v>43.4</v>
      </c>
      <c r="O808" s="344"/>
    </row>
    <row r="809" ht="15.75" customHeight="1">
      <c r="A809" s="335">
        <v>806.0</v>
      </c>
      <c r="B809" s="336">
        <v>806.0</v>
      </c>
      <c r="C809" s="337">
        <v>811.0</v>
      </c>
      <c r="D809" s="338" t="s">
        <v>5707</v>
      </c>
      <c r="E809" s="339" t="s">
        <v>1199</v>
      </c>
      <c r="F809" s="340" t="s">
        <v>87</v>
      </c>
      <c r="G809" s="341">
        <v>1020.4</v>
      </c>
      <c r="H809" s="342">
        <v>15.9</v>
      </c>
      <c r="I809" s="342">
        <v>72.2</v>
      </c>
      <c r="J809" s="342">
        <v>-34.6</v>
      </c>
      <c r="K809" s="342">
        <v>7.1</v>
      </c>
      <c r="L809" s="342">
        <v>27.9</v>
      </c>
      <c r="M809" s="346">
        <v>103.0</v>
      </c>
      <c r="O809" s="344"/>
    </row>
    <row r="810" ht="15.75" customHeight="1">
      <c r="A810" s="335">
        <v>807.0</v>
      </c>
      <c r="B810" s="336">
        <v>807.0</v>
      </c>
      <c r="C810" s="337" t="s">
        <v>3537</v>
      </c>
      <c r="D810" s="338" t="s">
        <v>5708</v>
      </c>
      <c r="E810" s="339" t="s">
        <v>332</v>
      </c>
      <c r="F810" s="340" t="s">
        <v>4970</v>
      </c>
      <c r="G810" s="341">
        <v>1018.2</v>
      </c>
      <c r="H810" s="342">
        <v>-28.9</v>
      </c>
      <c r="I810" s="342">
        <v>50.9</v>
      </c>
      <c r="J810" s="342">
        <v>-76.4</v>
      </c>
      <c r="K810" s="342">
        <v>5.0</v>
      </c>
      <c r="L810" s="342">
        <v>10.7</v>
      </c>
      <c r="M810" s="346">
        <v>47.8</v>
      </c>
      <c r="O810" s="344"/>
    </row>
    <row r="811" ht="15.75" customHeight="1">
      <c r="A811" s="335">
        <v>808.0</v>
      </c>
      <c r="B811" s="336">
        <v>808.0</v>
      </c>
      <c r="C811" s="337">
        <v>795.0</v>
      </c>
      <c r="D811" s="338" t="s">
        <v>5709</v>
      </c>
      <c r="E811" s="339" t="s">
        <v>482</v>
      </c>
      <c r="F811" s="340" t="s">
        <v>4970</v>
      </c>
      <c r="G811" s="341">
        <v>1017.2</v>
      </c>
      <c r="H811" s="342">
        <v>17.9</v>
      </c>
      <c r="I811" s="342">
        <v>258.7</v>
      </c>
      <c r="J811" s="342">
        <v>73.3</v>
      </c>
      <c r="K811" s="342">
        <v>25.4</v>
      </c>
      <c r="L811" s="342" t="s">
        <v>5021</v>
      </c>
      <c r="M811" s="346">
        <v>88.2</v>
      </c>
      <c r="O811" s="344"/>
    </row>
    <row r="812" ht="15.75" customHeight="1">
      <c r="A812" s="335">
        <v>809.0</v>
      </c>
      <c r="B812" s="336">
        <v>809.0</v>
      </c>
      <c r="C812" s="337">
        <v>753.0</v>
      </c>
      <c r="D812" s="338" t="s">
        <v>5710</v>
      </c>
      <c r="E812" s="339" t="s">
        <v>1751</v>
      </c>
      <c r="F812" s="340" t="s">
        <v>4993</v>
      </c>
      <c r="G812" s="341">
        <v>1017.1</v>
      </c>
      <c r="H812" s="342">
        <v>8.7</v>
      </c>
      <c r="I812" s="342">
        <v>29.7</v>
      </c>
      <c r="J812" s="342">
        <v>-60.4</v>
      </c>
      <c r="K812" s="342">
        <v>2.9</v>
      </c>
      <c r="L812" s="342">
        <v>4.7</v>
      </c>
      <c r="M812" s="346">
        <v>61.3</v>
      </c>
      <c r="O812" s="344"/>
    </row>
    <row r="813" ht="15.75" customHeight="1">
      <c r="A813" s="335">
        <v>810.0</v>
      </c>
      <c r="B813" s="336">
        <v>810.0</v>
      </c>
      <c r="C813" s="337">
        <v>797.0</v>
      </c>
      <c r="D813" s="338" t="s">
        <v>5711</v>
      </c>
      <c r="E813" s="339" t="s">
        <v>482</v>
      </c>
      <c r="F813" s="340" t="s">
        <v>5122</v>
      </c>
      <c r="G813" s="341">
        <v>1016.3</v>
      </c>
      <c r="H813" s="342">
        <v>18.4</v>
      </c>
      <c r="I813" s="342">
        <v>12.8</v>
      </c>
      <c r="J813" s="342">
        <v>-96.3</v>
      </c>
      <c r="K813" s="342">
        <v>1.3</v>
      </c>
      <c r="L813" s="342">
        <v>0.3</v>
      </c>
      <c r="M813" s="346">
        <v>449.0</v>
      </c>
      <c r="O813" s="344"/>
    </row>
    <row r="814" ht="15.75" customHeight="1">
      <c r="A814" s="335">
        <v>811.0</v>
      </c>
      <c r="B814" s="336">
        <v>811.0</v>
      </c>
      <c r="C814" s="337">
        <v>758.0</v>
      </c>
      <c r="D814" s="338" t="s">
        <v>5712</v>
      </c>
      <c r="E814" s="339" t="s">
        <v>1751</v>
      </c>
      <c r="F814" s="340" t="s">
        <v>5028</v>
      </c>
      <c r="G814" s="341">
        <v>1013.7</v>
      </c>
      <c r="H814" s="342">
        <v>16.7</v>
      </c>
      <c r="I814" s="342">
        <v>143.5</v>
      </c>
      <c r="J814" s="342">
        <v>108.2</v>
      </c>
      <c r="K814" s="342">
        <v>14.2</v>
      </c>
      <c r="L814" s="342">
        <v>14.0</v>
      </c>
      <c r="M814" s="346">
        <v>113.2</v>
      </c>
      <c r="O814" s="344"/>
    </row>
    <row r="815" ht="15.75" customHeight="1">
      <c r="A815" s="335">
        <v>812.0</v>
      </c>
      <c r="B815" s="336">
        <v>812.0</v>
      </c>
      <c r="C815" s="337">
        <v>765.0</v>
      </c>
      <c r="D815" s="338" t="s">
        <v>5713</v>
      </c>
      <c r="E815" s="339" t="s">
        <v>1751</v>
      </c>
      <c r="F815" s="340" t="s">
        <v>5012</v>
      </c>
      <c r="G815" s="341">
        <v>1012.6</v>
      </c>
      <c r="H815" s="342">
        <v>10.6</v>
      </c>
      <c r="I815" s="342">
        <v>473.6</v>
      </c>
      <c r="J815" s="342">
        <v>8.9</v>
      </c>
      <c r="K815" s="342">
        <v>46.8</v>
      </c>
      <c r="L815" s="342">
        <v>25.5</v>
      </c>
      <c r="M815" s="346">
        <v>690.4</v>
      </c>
      <c r="O815" s="344"/>
    </row>
    <row r="816" ht="15.75" customHeight="1">
      <c r="A816" s="335">
        <v>813.0</v>
      </c>
      <c r="B816" s="336">
        <v>813.0</v>
      </c>
      <c r="C816" s="337" t="s">
        <v>3537</v>
      </c>
      <c r="D816" s="338" t="s">
        <v>5714</v>
      </c>
      <c r="E816" s="339" t="s">
        <v>156</v>
      </c>
      <c r="F816" s="340" t="s">
        <v>4983</v>
      </c>
      <c r="G816" s="341">
        <v>1009.8</v>
      </c>
      <c r="H816" s="342">
        <v>19.6</v>
      </c>
      <c r="I816" s="342">
        <v>171.0</v>
      </c>
      <c r="J816" s="342">
        <v>298.2</v>
      </c>
      <c r="K816" s="342">
        <v>16.9</v>
      </c>
      <c r="L816" s="342">
        <v>3.2</v>
      </c>
      <c r="M816" s="346">
        <v>439.9</v>
      </c>
      <c r="O816" s="344"/>
    </row>
    <row r="817" ht="15.75" customHeight="1">
      <c r="A817" s="335">
        <v>814.0</v>
      </c>
      <c r="B817" s="336">
        <v>814.0</v>
      </c>
      <c r="C817" s="337">
        <v>767.0</v>
      </c>
      <c r="D817" s="338" t="s">
        <v>5715</v>
      </c>
      <c r="E817" s="339" t="s">
        <v>482</v>
      </c>
      <c r="F817" s="340" t="s">
        <v>5110</v>
      </c>
      <c r="G817" s="341">
        <v>1008.2</v>
      </c>
      <c r="H817" s="342">
        <v>10.6</v>
      </c>
      <c r="I817" s="342">
        <v>206.4</v>
      </c>
      <c r="J817" s="342">
        <v>67.7</v>
      </c>
      <c r="K817" s="342">
        <v>20.5</v>
      </c>
      <c r="L817" s="342">
        <v>58.0</v>
      </c>
      <c r="M817" s="346">
        <v>171.0</v>
      </c>
      <c r="O817" s="344"/>
    </row>
    <row r="818" ht="15.75" customHeight="1">
      <c r="A818" s="335">
        <v>815.0</v>
      </c>
      <c r="B818" s="336">
        <v>815.0</v>
      </c>
      <c r="C818" s="337" t="s">
        <v>3537</v>
      </c>
      <c r="D818" s="338" t="s">
        <v>5716</v>
      </c>
      <c r="E818" s="339" t="s">
        <v>482</v>
      </c>
      <c r="F818" s="340" t="s">
        <v>5183</v>
      </c>
      <c r="G818" s="341">
        <v>1004.5</v>
      </c>
      <c r="H818" s="342">
        <v>-2.0</v>
      </c>
      <c r="I818" s="342">
        <v>8.5</v>
      </c>
      <c r="J818" s="342">
        <v>-61.9</v>
      </c>
      <c r="K818" s="342">
        <v>0.8</v>
      </c>
      <c r="L818" s="342">
        <v>6.9</v>
      </c>
      <c r="M818" s="346">
        <v>-7.3</v>
      </c>
      <c r="O818" s="344"/>
    </row>
    <row r="819" ht="15.75" customHeight="1">
      <c r="A819" s="335">
        <v>816.0</v>
      </c>
      <c r="B819" s="336">
        <v>816.0</v>
      </c>
      <c r="C819" s="337">
        <v>807.0</v>
      </c>
      <c r="D819" s="338" t="s">
        <v>5717</v>
      </c>
      <c r="E819" s="339" t="s">
        <v>332</v>
      </c>
      <c r="F819" s="340" t="s">
        <v>5012</v>
      </c>
      <c r="G819" s="341">
        <v>1002.2</v>
      </c>
      <c r="H819" s="342">
        <v>19.4</v>
      </c>
      <c r="I819" s="342">
        <v>20.9</v>
      </c>
      <c r="J819" s="342">
        <v>827.5</v>
      </c>
      <c r="K819" s="342">
        <v>2.1</v>
      </c>
      <c r="L819" s="342">
        <v>14.7</v>
      </c>
      <c r="M819" s="346">
        <v>19.5</v>
      </c>
      <c r="O819" s="344"/>
    </row>
    <row r="820" ht="15.75" customHeight="1">
      <c r="A820" s="335">
        <v>817.0</v>
      </c>
      <c r="B820" s="336">
        <v>817.0</v>
      </c>
      <c r="C820" s="337" t="s">
        <v>3537</v>
      </c>
      <c r="D820" s="338" t="s">
        <v>5718</v>
      </c>
      <c r="E820" s="339" t="s">
        <v>1751</v>
      </c>
      <c r="F820" s="340" t="s">
        <v>5183</v>
      </c>
      <c r="G820" s="341">
        <v>1001.0</v>
      </c>
      <c r="H820" s="342">
        <v>496.7</v>
      </c>
      <c r="I820" s="342">
        <v>0.2</v>
      </c>
      <c r="J820" s="342">
        <v>100.5</v>
      </c>
      <c r="K820" s="342">
        <v>0.0</v>
      </c>
      <c r="L820" s="342">
        <v>0.1</v>
      </c>
      <c r="M820" s="346">
        <v>-4.9</v>
      </c>
      <c r="O820" s="344"/>
    </row>
    <row r="821" ht="15.75" customHeight="1">
      <c r="A821" s="335">
        <v>818.0</v>
      </c>
      <c r="B821" s="336">
        <v>818.0</v>
      </c>
      <c r="C821" s="337">
        <v>826.0</v>
      </c>
      <c r="D821" s="347" t="s">
        <v>5719</v>
      </c>
      <c r="E821" s="339" t="s">
        <v>332</v>
      </c>
      <c r="F821" s="340" t="s">
        <v>3256</v>
      </c>
      <c r="G821" s="342">
        <v>999.0</v>
      </c>
      <c r="H821" s="342">
        <v>22.5</v>
      </c>
      <c r="I821" s="342">
        <v>-9.2</v>
      </c>
      <c r="J821" s="342">
        <v>-147.5</v>
      </c>
      <c r="K821" s="342">
        <v>-0.9</v>
      </c>
      <c r="L821" s="342">
        <v>-5.5</v>
      </c>
      <c r="M821" s="346">
        <v>6.0</v>
      </c>
      <c r="O821" s="344"/>
    </row>
    <row r="822" ht="15.75" customHeight="1">
      <c r="A822" s="335">
        <v>819.0</v>
      </c>
      <c r="B822" s="336">
        <v>819.0</v>
      </c>
      <c r="C822" s="337">
        <v>814.0</v>
      </c>
      <c r="D822" s="338" t="s">
        <v>5720</v>
      </c>
      <c r="E822" s="339" t="s">
        <v>482</v>
      </c>
      <c r="F822" s="340" t="s">
        <v>5047</v>
      </c>
      <c r="G822" s="342">
        <v>998.6</v>
      </c>
      <c r="H822" s="342">
        <v>20.1</v>
      </c>
      <c r="I822" s="342">
        <v>49.8</v>
      </c>
      <c r="J822" s="342">
        <v>-27.0</v>
      </c>
      <c r="K822" s="342">
        <v>5.0</v>
      </c>
      <c r="L822" s="342">
        <v>20.7</v>
      </c>
      <c r="M822" s="346">
        <v>88.1</v>
      </c>
      <c r="O822" s="344"/>
    </row>
    <row r="823" ht="15.75" customHeight="1">
      <c r="A823" s="335">
        <v>820.0</v>
      </c>
      <c r="B823" s="336">
        <v>820.0</v>
      </c>
      <c r="C823" s="337">
        <v>869.0</v>
      </c>
      <c r="D823" s="338" t="s">
        <v>5721</v>
      </c>
      <c r="E823" s="339" t="s">
        <v>482</v>
      </c>
      <c r="F823" s="340" t="s">
        <v>4976</v>
      </c>
      <c r="G823" s="342">
        <v>998.1</v>
      </c>
      <c r="H823" s="342">
        <v>31.5</v>
      </c>
      <c r="I823" s="342">
        <v>32.0</v>
      </c>
      <c r="J823" s="342">
        <v>-37.2</v>
      </c>
      <c r="K823" s="342">
        <v>3.2</v>
      </c>
      <c r="L823" s="342">
        <v>20.2</v>
      </c>
      <c r="M823" s="346">
        <v>86.8</v>
      </c>
      <c r="O823" s="344"/>
    </row>
    <row r="824" ht="15.75" customHeight="1">
      <c r="A824" s="335">
        <v>821.0</v>
      </c>
      <c r="B824" s="336">
        <v>821.0</v>
      </c>
      <c r="C824" s="337">
        <v>953.0</v>
      </c>
      <c r="D824" s="338" t="s">
        <v>5722</v>
      </c>
      <c r="E824" s="339" t="s">
        <v>332</v>
      </c>
      <c r="F824" s="340" t="s">
        <v>5183</v>
      </c>
      <c r="G824" s="342">
        <v>993.6</v>
      </c>
      <c r="H824" s="342">
        <v>55.0</v>
      </c>
      <c r="I824" s="342">
        <v>189.5</v>
      </c>
      <c r="J824" s="342">
        <v>96.5</v>
      </c>
      <c r="K824" s="342">
        <v>19.1</v>
      </c>
      <c r="L824" s="342">
        <v>55.3</v>
      </c>
      <c r="M824" s="346">
        <v>251.3</v>
      </c>
      <c r="O824" s="344"/>
    </row>
    <row r="825" ht="15.75" customHeight="1">
      <c r="A825" s="335">
        <v>822.0</v>
      </c>
      <c r="B825" s="336">
        <v>822.0</v>
      </c>
      <c r="C825" s="337">
        <v>837.0</v>
      </c>
      <c r="D825" s="338" t="s">
        <v>5723</v>
      </c>
      <c r="E825" s="339" t="s">
        <v>1751</v>
      </c>
      <c r="F825" s="340" t="s">
        <v>3754</v>
      </c>
      <c r="G825" s="342">
        <v>990.3</v>
      </c>
      <c r="H825" s="342">
        <v>23.5</v>
      </c>
      <c r="I825" s="342">
        <v>86.3</v>
      </c>
      <c r="J825" s="342">
        <v>32.1</v>
      </c>
      <c r="K825" s="342">
        <v>8.7</v>
      </c>
      <c r="L825" s="342">
        <v>16.2</v>
      </c>
      <c r="M825" s="346">
        <v>138.9</v>
      </c>
      <c r="O825" s="344"/>
    </row>
    <row r="826" ht="15.75" customHeight="1">
      <c r="A826" s="335">
        <v>823.0</v>
      </c>
      <c r="B826" s="336">
        <v>823.0</v>
      </c>
      <c r="C826" s="337">
        <v>833.0</v>
      </c>
      <c r="D826" s="338" t="s">
        <v>5724</v>
      </c>
      <c r="E826" s="339" t="s">
        <v>482</v>
      </c>
      <c r="F826" s="340" t="s">
        <v>4974</v>
      </c>
      <c r="G826" s="342">
        <v>987.4</v>
      </c>
      <c r="H826" s="342">
        <v>22.2</v>
      </c>
      <c r="I826" s="342">
        <v>38.2</v>
      </c>
      <c r="J826" s="342">
        <v>-56.4</v>
      </c>
      <c r="K826" s="342">
        <v>3.9</v>
      </c>
      <c r="L826" s="342">
        <v>7.1</v>
      </c>
      <c r="M826" s="346">
        <v>190.6</v>
      </c>
      <c r="O826" s="344"/>
    </row>
    <row r="827" ht="15.75" customHeight="1">
      <c r="A827" s="335">
        <v>824.0</v>
      </c>
      <c r="B827" s="336">
        <v>824.0</v>
      </c>
      <c r="C827" s="337">
        <v>892.0</v>
      </c>
      <c r="D827" s="338" t="s">
        <v>5725</v>
      </c>
      <c r="E827" s="339" t="s">
        <v>1199</v>
      </c>
      <c r="F827" s="340" t="s">
        <v>4985</v>
      </c>
      <c r="G827" s="342">
        <v>985.2</v>
      </c>
      <c r="H827" s="342">
        <v>35.2</v>
      </c>
      <c r="I827" s="342">
        <v>60.7</v>
      </c>
      <c r="J827" s="341">
        <v>2606.4</v>
      </c>
      <c r="K827" s="342">
        <v>6.2</v>
      </c>
      <c r="L827" s="342">
        <v>4.5</v>
      </c>
      <c r="M827" s="346">
        <v>166.6</v>
      </c>
      <c r="O827" s="344"/>
    </row>
    <row r="828" ht="15.75" customHeight="1">
      <c r="A828" s="335">
        <v>825.0</v>
      </c>
      <c r="B828" s="336">
        <v>825.0</v>
      </c>
      <c r="C828" s="337">
        <v>858.0</v>
      </c>
      <c r="D828" s="338" t="s">
        <v>5726</v>
      </c>
      <c r="E828" s="339" t="s">
        <v>332</v>
      </c>
      <c r="F828" s="340" t="s">
        <v>4968</v>
      </c>
      <c r="G828" s="342">
        <v>985.0</v>
      </c>
      <c r="H828" s="342">
        <v>27.6</v>
      </c>
      <c r="I828" s="342">
        <v>44.8</v>
      </c>
      <c r="J828" s="342">
        <v>244.5</v>
      </c>
      <c r="K828" s="342">
        <v>4.5</v>
      </c>
      <c r="L828" s="342">
        <v>34.8</v>
      </c>
      <c r="M828" s="346">
        <v>117.2</v>
      </c>
      <c r="O828" s="344"/>
    </row>
    <row r="829" ht="15.75" customHeight="1">
      <c r="A829" s="335">
        <v>826.0</v>
      </c>
      <c r="B829" s="336">
        <v>826.0</v>
      </c>
      <c r="C829" s="337">
        <v>773.0</v>
      </c>
      <c r="D829" s="338" t="s">
        <v>5727</v>
      </c>
      <c r="E829" s="339" t="s">
        <v>482</v>
      </c>
      <c r="F829" s="340" t="s">
        <v>4970</v>
      </c>
      <c r="G829" s="342">
        <v>983.7</v>
      </c>
      <c r="H829" s="342">
        <v>9.4</v>
      </c>
      <c r="I829" s="342">
        <v>-17.4</v>
      </c>
      <c r="J829" s="342">
        <v>-154.6</v>
      </c>
      <c r="K829" s="342">
        <v>-1.8</v>
      </c>
      <c r="L829" s="342">
        <v>-19.7</v>
      </c>
      <c r="M829" s="346">
        <v>-2.8</v>
      </c>
      <c r="O829" s="344"/>
    </row>
    <row r="830" ht="15.75" customHeight="1">
      <c r="A830" s="335">
        <v>827.0</v>
      </c>
      <c r="B830" s="336">
        <v>827.0</v>
      </c>
      <c r="C830" s="337">
        <v>865.0</v>
      </c>
      <c r="D830" s="338" t="s">
        <v>5728</v>
      </c>
      <c r="E830" s="339" t="s">
        <v>156</v>
      </c>
      <c r="F830" s="340" t="s">
        <v>4981</v>
      </c>
      <c r="G830" s="342">
        <v>982.7</v>
      </c>
      <c r="H830" s="342">
        <v>28.7</v>
      </c>
      <c r="I830" s="342">
        <v>65.0</v>
      </c>
      <c r="J830" s="342">
        <v>-26.3</v>
      </c>
      <c r="K830" s="342">
        <v>6.6</v>
      </c>
      <c r="L830" s="342">
        <v>24.7</v>
      </c>
      <c r="M830" s="346">
        <v>131.0</v>
      </c>
      <c r="O830" s="344"/>
    </row>
    <row r="831" ht="15.75" customHeight="1">
      <c r="A831" s="335">
        <v>828.0</v>
      </c>
      <c r="B831" s="336">
        <v>828.0</v>
      </c>
      <c r="C831" s="337">
        <v>917.0</v>
      </c>
      <c r="D831" s="338" t="s">
        <v>5729</v>
      </c>
      <c r="E831" s="339" t="s">
        <v>1751</v>
      </c>
      <c r="F831" s="340" t="s">
        <v>5012</v>
      </c>
      <c r="G831" s="342">
        <v>980.6</v>
      </c>
      <c r="H831" s="342">
        <v>63.0</v>
      </c>
      <c r="I831" s="342">
        <v>336.4</v>
      </c>
      <c r="J831" s="342">
        <v>249.6</v>
      </c>
      <c r="K831" s="342">
        <v>34.3</v>
      </c>
      <c r="L831" s="342">
        <v>16.3</v>
      </c>
      <c r="M831" s="346">
        <v>228.2</v>
      </c>
      <c r="O831" s="344"/>
    </row>
    <row r="832" ht="15.75" customHeight="1">
      <c r="A832" s="335">
        <v>829.0</v>
      </c>
      <c r="B832" s="336">
        <v>829.0</v>
      </c>
      <c r="C832" s="337">
        <v>839.0</v>
      </c>
      <c r="D832" s="338" t="s">
        <v>5730</v>
      </c>
      <c r="E832" s="339" t="s">
        <v>482</v>
      </c>
      <c r="F832" s="340" t="s">
        <v>4999</v>
      </c>
      <c r="G832" s="342">
        <v>979.6</v>
      </c>
      <c r="H832" s="342">
        <v>22.5</v>
      </c>
      <c r="I832" s="342">
        <v>77.5</v>
      </c>
      <c r="J832" s="341">
        <v>1534.0</v>
      </c>
      <c r="K832" s="342">
        <v>7.9</v>
      </c>
      <c r="L832" s="342">
        <v>165.4</v>
      </c>
      <c r="M832" s="346">
        <v>57.6</v>
      </c>
      <c r="O832" s="344"/>
    </row>
    <row r="833" ht="15.75" customHeight="1">
      <c r="A833" s="335">
        <v>830.0</v>
      </c>
      <c r="B833" s="336">
        <v>830.0</v>
      </c>
      <c r="C833" s="337">
        <v>881.0</v>
      </c>
      <c r="D833" s="338" t="s">
        <v>5731</v>
      </c>
      <c r="E833" s="339" t="s">
        <v>98</v>
      </c>
      <c r="F833" s="340" t="s">
        <v>5028</v>
      </c>
      <c r="G833" s="342">
        <v>974.7</v>
      </c>
      <c r="H833" s="342">
        <v>31.0</v>
      </c>
      <c r="I833" s="342">
        <v>291.3</v>
      </c>
      <c r="J833" s="342">
        <v>5.8</v>
      </c>
      <c r="K833" s="342">
        <v>29.9</v>
      </c>
      <c r="L833" s="342">
        <v>39.7</v>
      </c>
      <c r="M833" s="346">
        <v>382.5</v>
      </c>
      <c r="O833" s="344"/>
    </row>
    <row r="834" ht="15.75" customHeight="1">
      <c r="A834" s="335">
        <v>831.0</v>
      </c>
      <c r="B834" s="336">
        <v>831.0</v>
      </c>
      <c r="C834" s="337">
        <v>793.0</v>
      </c>
      <c r="D834" s="338" t="s">
        <v>5732</v>
      </c>
      <c r="E834" s="339" t="s">
        <v>156</v>
      </c>
      <c r="F834" s="340" t="s">
        <v>5172</v>
      </c>
      <c r="G834" s="342">
        <v>972.3</v>
      </c>
      <c r="H834" s="342">
        <v>12.0</v>
      </c>
      <c r="I834" s="342">
        <v>61.3</v>
      </c>
      <c r="J834" s="342">
        <v>413.2</v>
      </c>
      <c r="K834" s="342">
        <v>6.3</v>
      </c>
      <c r="L834" s="342">
        <v>20.6</v>
      </c>
      <c r="M834" s="346">
        <v>9.4</v>
      </c>
      <c r="O834" s="344"/>
    </row>
    <row r="835" ht="15.75" customHeight="1">
      <c r="A835" s="335">
        <v>832.0</v>
      </c>
      <c r="B835" s="336">
        <v>832.0</v>
      </c>
      <c r="C835" s="337">
        <v>721.0</v>
      </c>
      <c r="D835" s="338" t="s">
        <v>5733</v>
      </c>
      <c r="E835" s="339" t="s">
        <v>482</v>
      </c>
      <c r="F835" s="340" t="s">
        <v>5012</v>
      </c>
      <c r="G835" s="342">
        <v>971.0</v>
      </c>
      <c r="H835" s="342">
        <v>-0.1</v>
      </c>
      <c r="I835" s="342">
        <v>-113.3</v>
      </c>
      <c r="J835" s="342">
        <v>-465.5</v>
      </c>
      <c r="K835" s="342">
        <v>-11.7</v>
      </c>
      <c r="L835" s="342" t="s">
        <v>5021</v>
      </c>
      <c r="M835" s="346">
        <v>-214.5</v>
      </c>
      <c r="O835" s="344"/>
    </row>
    <row r="836" ht="15.75" customHeight="1">
      <c r="A836" s="335">
        <v>833.0</v>
      </c>
      <c r="B836" s="336">
        <v>833.0</v>
      </c>
      <c r="C836" s="337">
        <v>555.0</v>
      </c>
      <c r="D836" s="338" t="s">
        <v>5734</v>
      </c>
      <c r="E836" s="339" t="s">
        <v>482</v>
      </c>
      <c r="F836" s="340" t="s">
        <v>4983</v>
      </c>
      <c r="G836" s="342">
        <v>967.4</v>
      </c>
      <c r="H836" s="342">
        <v>-31.7</v>
      </c>
      <c r="I836" s="342">
        <v>44.9</v>
      </c>
      <c r="J836" s="342">
        <v>55.6</v>
      </c>
      <c r="K836" s="342">
        <v>4.6</v>
      </c>
      <c r="L836" s="342">
        <v>69.7</v>
      </c>
      <c r="M836" s="346">
        <v>80.3</v>
      </c>
      <c r="O836" s="344"/>
    </row>
    <row r="837" ht="15.75" customHeight="1">
      <c r="A837" s="335">
        <v>834.0</v>
      </c>
      <c r="B837" s="336">
        <v>834.0</v>
      </c>
      <c r="C837" s="337" t="s">
        <v>3537</v>
      </c>
      <c r="D837" s="338" t="s">
        <v>5735</v>
      </c>
      <c r="E837" s="339" t="s">
        <v>1044</v>
      </c>
      <c r="F837" s="340" t="s">
        <v>87</v>
      </c>
      <c r="G837" s="342">
        <v>966.0</v>
      </c>
      <c r="H837" s="342">
        <v>58.0</v>
      </c>
      <c r="I837" s="342">
        <v>137.4</v>
      </c>
      <c r="J837" s="342">
        <v>96.0</v>
      </c>
      <c r="K837" s="342">
        <v>14.2</v>
      </c>
      <c r="L837" s="342">
        <v>63.0</v>
      </c>
      <c r="M837" s="346">
        <v>344.8</v>
      </c>
      <c r="O837" s="344"/>
    </row>
    <row r="838" ht="15.75" customHeight="1">
      <c r="A838" s="335">
        <v>835.0</v>
      </c>
      <c r="B838" s="336">
        <v>835.0</v>
      </c>
      <c r="C838" s="337" t="s">
        <v>3537</v>
      </c>
      <c r="D838" s="338" t="s">
        <v>5736</v>
      </c>
      <c r="E838" s="339" t="s">
        <v>482</v>
      </c>
      <c r="F838" s="340" t="s">
        <v>5028</v>
      </c>
      <c r="G838" s="342">
        <v>963.4</v>
      </c>
      <c r="H838" s="342" t="s">
        <v>3537</v>
      </c>
      <c r="I838" s="342">
        <v>319.6</v>
      </c>
      <c r="J838" s="342" t="s">
        <v>3537</v>
      </c>
      <c r="K838" s="342">
        <v>33.2</v>
      </c>
      <c r="L838" s="342" t="s">
        <v>3537</v>
      </c>
      <c r="M838" s="346">
        <v>300.7</v>
      </c>
      <c r="O838" s="344"/>
    </row>
    <row r="839" ht="15.75" customHeight="1">
      <c r="A839" s="335">
        <v>836.0</v>
      </c>
      <c r="B839" s="336">
        <v>836.0</v>
      </c>
      <c r="C839" s="337">
        <v>928.0</v>
      </c>
      <c r="D839" s="338" t="s">
        <v>5737</v>
      </c>
      <c r="E839" s="339" t="s">
        <v>482</v>
      </c>
      <c r="F839" s="340" t="s">
        <v>4976</v>
      </c>
      <c r="G839" s="342">
        <v>963.2</v>
      </c>
      <c r="H839" s="342">
        <v>42.3</v>
      </c>
      <c r="I839" s="342">
        <v>38.7</v>
      </c>
      <c r="J839" s="342">
        <v>51.5</v>
      </c>
      <c r="K839" s="342">
        <v>4.0</v>
      </c>
      <c r="L839" s="342">
        <v>37.6</v>
      </c>
      <c r="M839" s="346">
        <v>80.9</v>
      </c>
      <c r="O839" s="344"/>
    </row>
    <row r="840" ht="15.75" customHeight="1">
      <c r="A840" s="335">
        <v>837.0</v>
      </c>
      <c r="B840" s="336">
        <v>837.0</v>
      </c>
      <c r="C840" s="337">
        <v>693.0</v>
      </c>
      <c r="D840" s="338" t="s">
        <v>5738</v>
      </c>
      <c r="E840" s="339" t="s">
        <v>482</v>
      </c>
      <c r="F840" s="340" t="s">
        <v>4970</v>
      </c>
      <c r="G840" s="342">
        <v>960.3</v>
      </c>
      <c r="H840" s="342">
        <v>-6.8</v>
      </c>
      <c r="I840" s="342">
        <v>-40.0</v>
      </c>
      <c r="J840" s="342">
        <v>-346.1</v>
      </c>
      <c r="K840" s="342">
        <v>-4.2</v>
      </c>
      <c r="L840" s="342">
        <v>-19.8</v>
      </c>
      <c r="M840" s="346">
        <v>-53.4</v>
      </c>
      <c r="O840" s="344"/>
    </row>
    <row r="841" ht="15.75" customHeight="1">
      <c r="A841" s="335">
        <v>838.0</v>
      </c>
      <c r="B841" s="336">
        <v>838.0</v>
      </c>
      <c r="C841" s="337">
        <v>896.0</v>
      </c>
      <c r="D841" s="338" t="s">
        <v>5739</v>
      </c>
      <c r="E841" s="339" t="s">
        <v>156</v>
      </c>
      <c r="F841" s="340" t="s">
        <v>4970</v>
      </c>
      <c r="G841" s="342">
        <v>960.2</v>
      </c>
      <c r="H841" s="342">
        <v>32.4</v>
      </c>
      <c r="I841" s="342">
        <v>38.3</v>
      </c>
      <c r="J841" s="342">
        <v>-54.2</v>
      </c>
      <c r="K841" s="342">
        <v>4.0</v>
      </c>
      <c r="L841" s="342">
        <v>3.1</v>
      </c>
      <c r="M841" s="346">
        <v>106.4</v>
      </c>
      <c r="O841" s="344"/>
    </row>
    <row r="842" ht="15.75" customHeight="1">
      <c r="A842" s="335">
        <v>839.0</v>
      </c>
      <c r="B842" s="336">
        <v>839.0</v>
      </c>
      <c r="C842" s="337">
        <v>722.0</v>
      </c>
      <c r="D842" s="338" t="s">
        <v>5740</v>
      </c>
      <c r="E842" s="339" t="s">
        <v>1044</v>
      </c>
      <c r="F842" s="340" t="s">
        <v>87</v>
      </c>
      <c r="G842" s="342">
        <v>955.8</v>
      </c>
      <c r="H842" s="342">
        <v>-1.4</v>
      </c>
      <c r="I842" s="342">
        <v>40.4</v>
      </c>
      <c r="J842" s="342">
        <v>-91.3</v>
      </c>
      <c r="K842" s="342">
        <v>4.2</v>
      </c>
      <c r="L842" s="342">
        <v>4.8</v>
      </c>
      <c r="M842" s="346">
        <v>142.8</v>
      </c>
      <c r="O842" s="344"/>
    </row>
    <row r="843" ht="15.75" customHeight="1">
      <c r="A843" s="335">
        <v>840.0</v>
      </c>
      <c r="B843" s="336">
        <v>840.0</v>
      </c>
      <c r="C843" s="337" t="s">
        <v>3537</v>
      </c>
      <c r="D843" s="338" t="s">
        <v>5741</v>
      </c>
      <c r="E843" s="339" t="s">
        <v>156</v>
      </c>
      <c r="F843" s="340" t="s">
        <v>4983</v>
      </c>
      <c r="G843" s="342">
        <v>955.5</v>
      </c>
      <c r="H843" s="342">
        <v>-26.7</v>
      </c>
      <c r="I843" s="342">
        <v>7.8</v>
      </c>
      <c r="J843" s="342">
        <v>119.0</v>
      </c>
      <c r="K843" s="342">
        <v>0.8</v>
      </c>
      <c r="L843" s="342">
        <v>5.6</v>
      </c>
      <c r="M843" s="346">
        <v>84.5</v>
      </c>
      <c r="O843" s="344"/>
    </row>
    <row r="844" ht="15.75" customHeight="1">
      <c r="A844" s="335">
        <v>841.0</v>
      </c>
      <c r="B844" s="336">
        <v>841.0</v>
      </c>
      <c r="C844" s="337">
        <v>755.0</v>
      </c>
      <c r="D844" s="338" t="s">
        <v>5742</v>
      </c>
      <c r="E844" s="339" t="s">
        <v>482</v>
      </c>
      <c r="F844" s="340" t="s">
        <v>4970</v>
      </c>
      <c r="G844" s="342">
        <v>955.2</v>
      </c>
      <c r="H844" s="342">
        <v>2.3</v>
      </c>
      <c r="I844" s="342">
        <v>105.0</v>
      </c>
      <c r="J844" s="342">
        <v>-13.0</v>
      </c>
      <c r="K844" s="342">
        <v>11.0</v>
      </c>
      <c r="L844" s="342">
        <v>43.5</v>
      </c>
      <c r="M844" s="346">
        <v>105.8</v>
      </c>
      <c r="O844" s="344"/>
    </row>
    <row r="845" ht="15.75" customHeight="1">
      <c r="A845" s="335">
        <v>842.0</v>
      </c>
      <c r="B845" s="336">
        <v>842.0</v>
      </c>
      <c r="C845" s="337">
        <v>769.0</v>
      </c>
      <c r="D845" s="338" t="s">
        <v>5743</v>
      </c>
      <c r="E845" s="339" t="s">
        <v>482</v>
      </c>
      <c r="F845" s="340" t="s">
        <v>3754</v>
      </c>
      <c r="G845" s="342">
        <v>953.9</v>
      </c>
      <c r="H845" s="342">
        <v>5.7</v>
      </c>
      <c r="I845" s="342">
        <v>-66.2</v>
      </c>
      <c r="J845" s="341">
        <v>-8459.9</v>
      </c>
      <c r="K845" s="342">
        <v>-6.9</v>
      </c>
      <c r="L845" s="342" t="s">
        <v>5021</v>
      </c>
      <c r="M845" s="346">
        <v>38.1</v>
      </c>
      <c r="O845" s="344"/>
    </row>
    <row r="846" ht="15.75" customHeight="1">
      <c r="A846" s="335">
        <v>843.0</v>
      </c>
      <c r="B846" s="336">
        <v>843.0</v>
      </c>
      <c r="C846" s="337">
        <v>947.0</v>
      </c>
      <c r="D846" s="338" t="s">
        <v>5744</v>
      </c>
      <c r="E846" s="339" t="s">
        <v>482</v>
      </c>
      <c r="F846" s="340" t="s">
        <v>4968</v>
      </c>
      <c r="G846" s="342">
        <v>952.3</v>
      </c>
      <c r="H846" s="342">
        <v>41.5</v>
      </c>
      <c r="I846" s="342">
        <v>52.4</v>
      </c>
      <c r="J846" s="342">
        <v>5.5</v>
      </c>
      <c r="K846" s="342">
        <v>5.5</v>
      </c>
      <c r="L846" s="342">
        <v>12.7</v>
      </c>
      <c r="M846" s="346">
        <v>82.4</v>
      </c>
      <c r="O846" s="344"/>
    </row>
    <row r="847" ht="15.75" customHeight="1">
      <c r="A847" s="335">
        <v>844.0</v>
      </c>
      <c r="B847" s="336">
        <v>844.0</v>
      </c>
      <c r="C847" s="337" t="s">
        <v>3537</v>
      </c>
      <c r="D847" s="338" t="s">
        <v>5745</v>
      </c>
      <c r="E847" s="339" t="s">
        <v>482</v>
      </c>
      <c r="F847" s="340" t="s">
        <v>5028</v>
      </c>
      <c r="G847" s="342">
        <v>951.8</v>
      </c>
      <c r="H847" s="342">
        <v>144.2</v>
      </c>
      <c r="I847" s="342">
        <v>148.6</v>
      </c>
      <c r="J847" s="342">
        <v>155.9</v>
      </c>
      <c r="K847" s="342">
        <v>15.6</v>
      </c>
      <c r="L847" s="342">
        <v>13.1</v>
      </c>
      <c r="M847" s="346">
        <v>320.3</v>
      </c>
      <c r="O847" s="344"/>
    </row>
    <row r="848" ht="15.75" customHeight="1">
      <c r="A848" s="335">
        <v>845.0</v>
      </c>
      <c r="B848" s="336">
        <v>845.0</v>
      </c>
      <c r="C848" s="337">
        <v>823.0</v>
      </c>
      <c r="D848" s="338" t="s">
        <v>5746</v>
      </c>
      <c r="E848" s="339" t="s">
        <v>1793</v>
      </c>
      <c r="F848" s="340" t="s">
        <v>5028</v>
      </c>
      <c r="G848" s="342">
        <v>948.9</v>
      </c>
      <c r="H848" s="342">
        <v>16.2</v>
      </c>
      <c r="I848" s="342">
        <v>213.1</v>
      </c>
      <c r="J848" s="342">
        <v>3.6</v>
      </c>
      <c r="K848" s="342">
        <v>22.5</v>
      </c>
      <c r="L848" s="342">
        <v>24.9</v>
      </c>
      <c r="M848" s="346">
        <v>327.6</v>
      </c>
      <c r="O848" s="344"/>
    </row>
    <row r="849" ht="15.75" customHeight="1">
      <c r="A849" s="335">
        <v>846.0</v>
      </c>
      <c r="B849" s="336">
        <v>846.0</v>
      </c>
      <c r="C849" s="337">
        <v>750.0</v>
      </c>
      <c r="D849" s="338" t="s">
        <v>5747</v>
      </c>
      <c r="E849" s="339" t="s">
        <v>482</v>
      </c>
      <c r="F849" s="340" t="s">
        <v>4974</v>
      </c>
      <c r="G849" s="342">
        <v>946.3</v>
      </c>
      <c r="H849" s="342">
        <v>0.8</v>
      </c>
      <c r="I849" s="342">
        <v>134.7</v>
      </c>
      <c r="J849" s="342">
        <v>-33.3</v>
      </c>
      <c r="K849" s="342">
        <v>14.2</v>
      </c>
      <c r="L849" s="342">
        <v>11.7</v>
      </c>
      <c r="M849" s="346">
        <v>157.2</v>
      </c>
      <c r="O849" s="344"/>
    </row>
    <row r="850" ht="15.75" customHeight="1">
      <c r="A850" s="335">
        <v>847.0</v>
      </c>
      <c r="B850" s="336">
        <v>847.0</v>
      </c>
      <c r="C850" s="337">
        <v>817.0</v>
      </c>
      <c r="D850" s="338" t="s">
        <v>5748</v>
      </c>
      <c r="E850" s="339" t="s">
        <v>349</v>
      </c>
      <c r="F850" s="340" t="s">
        <v>4963</v>
      </c>
      <c r="G850" s="342">
        <v>944.8</v>
      </c>
      <c r="H850" s="342">
        <v>15.0</v>
      </c>
      <c r="I850" s="342">
        <v>109.9</v>
      </c>
      <c r="J850" s="342">
        <v>-34.9</v>
      </c>
      <c r="K850" s="342">
        <v>11.6</v>
      </c>
      <c r="L850" s="342">
        <v>11.7</v>
      </c>
      <c r="M850" s="346">
        <v>139.5</v>
      </c>
      <c r="O850" s="344"/>
    </row>
    <row r="851" ht="15.75" customHeight="1">
      <c r="A851" s="335">
        <v>848.0</v>
      </c>
      <c r="B851" s="336">
        <v>848.0</v>
      </c>
      <c r="C851" s="337">
        <v>514.0</v>
      </c>
      <c r="D851" s="338" t="s">
        <v>5749</v>
      </c>
      <c r="E851" s="339" t="s">
        <v>482</v>
      </c>
      <c r="F851" s="340" t="s">
        <v>4983</v>
      </c>
      <c r="G851" s="342">
        <v>935.8</v>
      </c>
      <c r="H851" s="342">
        <v>-40.9</v>
      </c>
      <c r="I851" s="342">
        <v>33.9</v>
      </c>
      <c r="J851" s="342">
        <v>59.2</v>
      </c>
      <c r="K851" s="342">
        <v>3.6</v>
      </c>
      <c r="L851" s="342">
        <v>28.6</v>
      </c>
      <c r="M851" s="346">
        <v>41.7</v>
      </c>
      <c r="O851" s="344"/>
    </row>
    <row r="852" ht="15.75" customHeight="1">
      <c r="A852" s="335">
        <v>849.0</v>
      </c>
      <c r="B852" s="336">
        <v>849.0</v>
      </c>
      <c r="C852" s="337">
        <v>816.0</v>
      </c>
      <c r="D852" s="338" t="s">
        <v>5750</v>
      </c>
      <c r="E852" s="339" t="s">
        <v>482</v>
      </c>
      <c r="F852" s="340" t="s">
        <v>5010</v>
      </c>
      <c r="G852" s="342">
        <v>933.9</v>
      </c>
      <c r="H852" s="342">
        <v>13.1</v>
      </c>
      <c r="I852" s="342">
        <v>192.1</v>
      </c>
      <c r="J852" s="342">
        <v>-2.8</v>
      </c>
      <c r="K852" s="342">
        <v>20.6</v>
      </c>
      <c r="L852" s="342">
        <v>34.6</v>
      </c>
      <c r="M852" s="346">
        <v>196.2</v>
      </c>
      <c r="O852" s="344"/>
    </row>
    <row r="853" ht="15.75" customHeight="1">
      <c r="A853" s="335">
        <v>850.0</v>
      </c>
      <c r="B853" s="336">
        <v>850.0</v>
      </c>
      <c r="C853" s="337">
        <v>842.0</v>
      </c>
      <c r="D853" s="338" t="s">
        <v>5751</v>
      </c>
      <c r="E853" s="339" t="s">
        <v>332</v>
      </c>
      <c r="F853" s="340" t="s">
        <v>3256</v>
      </c>
      <c r="G853" s="342">
        <v>932.8</v>
      </c>
      <c r="H853" s="342">
        <v>17.0</v>
      </c>
      <c r="I853" s="342">
        <v>72.5</v>
      </c>
      <c r="J853" s="342">
        <v>-54.8</v>
      </c>
      <c r="K853" s="342">
        <v>7.8</v>
      </c>
      <c r="L853" s="342">
        <v>14.5</v>
      </c>
      <c r="M853" s="346">
        <v>20.3</v>
      </c>
      <c r="O853" s="344"/>
    </row>
    <row r="854" ht="15.75" customHeight="1">
      <c r="A854" s="335">
        <v>851.0</v>
      </c>
      <c r="B854" s="336">
        <v>851.0</v>
      </c>
      <c r="C854" s="337">
        <v>794.0</v>
      </c>
      <c r="D854" s="338" t="s">
        <v>5752</v>
      </c>
      <c r="E854" s="339" t="s">
        <v>482</v>
      </c>
      <c r="F854" s="340" t="s">
        <v>5183</v>
      </c>
      <c r="G854" s="342">
        <v>932.1</v>
      </c>
      <c r="H854" s="342">
        <v>7.8</v>
      </c>
      <c r="I854" s="342">
        <v>88.5</v>
      </c>
      <c r="J854" s="342">
        <v>-23.8</v>
      </c>
      <c r="K854" s="342">
        <v>9.5</v>
      </c>
      <c r="L854" s="342">
        <v>5.2</v>
      </c>
      <c r="M854" s="346">
        <v>313.8</v>
      </c>
      <c r="O854" s="344"/>
    </row>
    <row r="855" ht="15.75" customHeight="1">
      <c r="A855" s="335">
        <v>852.0</v>
      </c>
      <c r="B855" s="336">
        <v>852.0</v>
      </c>
      <c r="C855" s="337">
        <v>834.0</v>
      </c>
      <c r="D855" s="338" t="s">
        <v>5753</v>
      </c>
      <c r="E855" s="339" t="s">
        <v>482</v>
      </c>
      <c r="F855" s="340" t="s">
        <v>5015</v>
      </c>
      <c r="G855" s="342">
        <v>930.2</v>
      </c>
      <c r="H855" s="342">
        <v>15.7</v>
      </c>
      <c r="I855" s="342">
        <v>151.3</v>
      </c>
      <c r="J855" s="342">
        <v>35.5</v>
      </c>
      <c r="K855" s="342">
        <v>16.3</v>
      </c>
      <c r="L855" s="342">
        <v>84.6</v>
      </c>
      <c r="M855" s="346">
        <v>216.1</v>
      </c>
      <c r="O855" s="344"/>
    </row>
    <row r="856" ht="15.75" customHeight="1">
      <c r="A856" s="335">
        <v>853.0</v>
      </c>
      <c r="B856" s="336">
        <v>853.0</v>
      </c>
      <c r="C856" s="337">
        <v>927.0</v>
      </c>
      <c r="D856" s="338" t="s">
        <v>5754</v>
      </c>
      <c r="E856" s="339" t="s">
        <v>98</v>
      </c>
      <c r="F856" s="340" t="s">
        <v>5010</v>
      </c>
      <c r="G856" s="342">
        <v>928.7</v>
      </c>
      <c r="H856" s="342">
        <v>37.2</v>
      </c>
      <c r="I856" s="342">
        <v>138.6</v>
      </c>
      <c r="J856" s="342">
        <v>24.6</v>
      </c>
      <c r="K856" s="342">
        <v>14.9</v>
      </c>
      <c r="L856" s="342">
        <v>30.3</v>
      </c>
      <c r="M856" s="346">
        <v>287.2</v>
      </c>
      <c r="O856" s="344"/>
    </row>
    <row r="857" ht="15.75" customHeight="1">
      <c r="A857" s="335">
        <v>854.0</v>
      </c>
      <c r="B857" s="336">
        <v>854.0</v>
      </c>
      <c r="C857" s="337">
        <v>967.0</v>
      </c>
      <c r="D857" s="338" t="s">
        <v>5755</v>
      </c>
      <c r="E857" s="339" t="s">
        <v>1751</v>
      </c>
      <c r="F857" s="340" t="s">
        <v>4968</v>
      </c>
      <c r="G857" s="342">
        <v>925.4</v>
      </c>
      <c r="H857" s="342">
        <v>48.8</v>
      </c>
      <c r="I857" s="342">
        <v>90.1</v>
      </c>
      <c r="J857" s="342">
        <v>131.3</v>
      </c>
      <c r="K857" s="342">
        <v>9.7</v>
      </c>
      <c r="L857" s="342">
        <v>61.2</v>
      </c>
      <c r="M857" s="346">
        <v>213.2</v>
      </c>
      <c r="O857" s="344"/>
    </row>
    <row r="858" ht="15.75" customHeight="1">
      <c r="A858" s="335">
        <v>855.0</v>
      </c>
      <c r="B858" s="336">
        <v>855.0</v>
      </c>
      <c r="C858" s="337">
        <v>744.0</v>
      </c>
      <c r="D858" s="338" t="s">
        <v>5756</v>
      </c>
      <c r="E858" s="339" t="s">
        <v>482</v>
      </c>
      <c r="F858" s="340" t="s">
        <v>5010</v>
      </c>
      <c r="G858" s="342">
        <v>924.7</v>
      </c>
      <c r="H858" s="342">
        <v>-2.4</v>
      </c>
      <c r="I858" s="342" t="s">
        <v>3537</v>
      </c>
      <c r="J858" s="342" t="s">
        <v>3537</v>
      </c>
      <c r="K858" s="342" t="s">
        <v>3537</v>
      </c>
      <c r="L858" s="342" t="s">
        <v>3537</v>
      </c>
      <c r="M858" s="346" t="s">
        <v>3537</v>
      </c>
      <c r="O858" s="344"/>
    </row>
    <row r="859" ht="15.75" customHeight="1">
      <c r="A859" s="335">
        <v>856.0</v>
      </c>
      <c r="B859" s="336">
        <v>856.0</v>
      </c>
      <c r="C859" s="337">
        <v>674.0</v>
      </c>
      <c r="D859" s="338" t="s">
        <v>5757</v>
      </c>
      <c r="E859" s="339" t="s">
        <v>482</v>
      </c>
      <c r="F859" s="340" t="s">
        <v>4974</v>
      </c>
      <c r="G859" s="342">
        <v>923.8</v>
      </c>
      <c r="H859" s="342">
        <v>-13.8</v>
      </c>
      <c r="I859" s="342">
        <v>79.8</v>
      </c>
      <c r="J859" s="342">
        <v>-51.5</v>
      </c>
      <c r="K859" s="342">
        <v>8.6</v>
      </c>
      <c r="L859" s="342">
        <v>23.7</v>
      </c>
      <c r="M859" s="346">
        <v>176.0</v>
      </c>
      <c r="O859" s="344"/>
    </row>
    <row r="860" ht="15.75" customHeight="1">
      <c r="A860" s="335">
        <v>857.0</v>
      </c>
      <c r="B860" s="336">
        <v>857.0</v>
      </c>
      <c r="C860" s="337">
        <v>875.0</v>
      </c>
      <c r="D860" s="338" t="s">
        <v>5758</v>
      </c>
      <c r="E860" s="339" t="s">
        <v>1751</v>
      </c>
      <c r="F860" s="340" t="s">
        <v>4970</v>
      </c>
      <c r="G860" s="342">
        <v>922.7</v>
      </c>
      <c r="H860" s="342">
        <v>23.1</v>
      </c>
      <c r="I860" s="342">
        <v>56.6</v>
      </c>
      <c r="J860" s="341">
        <v>11218.8</v>
      </c>
      <c r="K860" s="342">
        <v>6.1</v>
      </c>
      <c r="L860" s="342">
        <v>17.0</v>
      </c>
      <c r="M860" s="346">
        <v>5.3</v>
      </c>
      <c r="O860" s="344"/>
    </row>
    <row r="861" ht="15.75" customHeight="1">
      <c r="A861" s="335">
        <v>858.0</v>
      </c>
      <c r="B861" s="336">
        <v>858.0</v>
      </c>
      <c r="C861" s="337">
        <v>924.0</v>
      </c>
      <c r="D861" s="338" t="s">
        <v>5759</v>
      </c>
      <c r="E861" s="339" t="s">
        <v>482</v>
      </c>
      <c r="F861" s="340" t="s">
        <v>5018</v>
      </c>
      <c r="G861" s="342">
        <v>920.0</v>
      </c>
      <c r="H861" s="342">
        <v>35.4</v>
      </c>
      <c r="I861" s="342">
        <v>175.3</v>
      </c>
      <c r="J861" s="342">
        <v>131.3</v>
      </c>
      <c r="K861" s="342">
        <v>19.1</v>
      </c>
      <c r="L861" s="342">
        <v>52.8</v>
      </c>
      <c r="M861" s="346">
        <v>278.4</v>
      </c>
      <c r="O861" s="344"/>
    </row>
    <row r="862" ht="15.75" customHeight="1">
      <c r="A862" s="335">
        <v>859.0</v>
      </c>
      <c r="B862" s="336">
        <v>859.0</v>
      </c>
      <c r="C862" s="337">
        <v>1000.0</v>
      </c>
      <c r="D862" s="338" t="s">
        <v>5760</v>
      </c>
      <c r="E862" s="339" t="s">
        <v>482</v>
      </c>
      <c r="F862" s="340" t="s">
        <v>5012</v>
      </c>
      <c r="G862" s="342">
        <v>918.9</v>
      </c>
      <c r="H862" s="342">
        <v>58.6</v>
      </c>
      <c r="I862" s="342">
        <v>-72.1</v>
      </c>
      <c r="J862" s="342">
        <v>-5.4</v>
      </c>
      <c r="K862" s="342">
        <v>-7.8</v>
      </c>
      <c r="L862" s="342">
        <v>-4.7</v>
      </c>
      <c r="M862" s="346">
        <v>49.6</v>
      </c>
      <c r="O862" s="344"/>
    </row>
    <row r="863" ht="15.75" customHeight="1">
      <c r="A863" s="335">
        <v>860.0</v>
      </c>
      <c r="B863" s="336">
        <v>860.0</v>
      </c>
      <c r="C863" s="337" t="s">
        <v>3537</v>
      </c>
      <c r="D863" s="338" t="s">
        <v>5761</v>
      </c>
      <c r="E863" s="339" t="s">
        <v>1751</v>
      </c>
      <c r="F863" s="340" t="s">
        <v>4985</v>
      </c>
      <c r="G863" s="342">
        <v>917.9</v>
      </c>
      <c r="H863" s="342">
        <v>38.9</v>
      </c>
      <c r="I863" s="342">
        <v>37.3</v>
      </c>
      <c r="J863" s="342">
        <v>0.2</v>
      </c>
      <c r="K863" s="342">
        <v>4.1</v>
      </c>
      <c r="L863" s="342">
        <v>30.9</v>
      </c>
      <c r="M863" s="346">
        <v>55.1</v>
      </c>
      <c r="O863" s="344"/>
    </row>
    <row r="864" ht="15.75" customHeight="1">
      <c r="A864" s="335">
        <v>861.0</v>
      </c>
      <c r="B864" s="336">
        <v>861.0</v>
      </c>
      <c r="C864" s="337" t="s">
        <v>3537</v>
      </c>
      <c r="D864" s="338" t="s">
        <v>5762</v>
      </c>
      <c r="E864" s="339" t="s">
        <v>482</v>
      </c>
      <c r="F864" s="340" t="s">
        <v>5183</v>
      </c>
      <c r="G864" s="342">
        <v>917.6</v>
      </c>
      <c r="H864" s="342">
        <v>33.4</v>
      </c>
      <c r="I864" s="342">
        <v>28.4</v>
      </c>
      <c r="J864" s="342">
        <v>129.0</v>
      </c>
      <c r="K864" s="342">
        <v>3.1</v>
      </c>
      <c r="L864" s="342">
        <v>27.1</v>
      </c>
      <c r="M864" s="346">
        <v>59.5</v>
      </c>
      <c r="O864" s="344"/>
    </row>
    <row r="865" ht="15.75" customHeight="1">
      <c r="A865" s="335">
        <v>862.0</v>
      </c>
      <c r="B865" s="336">
        <v>862.0</v>
      </c>
      <c r="C865" s="337">
        <v>957.0</v>
      </c>
      <c r="D865" s="338" t="s">
        <v>5763</v>
      </c>
      <c r="E865" s="339" t="s">
        <v>1075</v>
      </c>
      <c r="F865" s="340" t="s">
        <v>5012</v>
      </c>
      <c r="G865" s="342">
        <v>917.5</v>
      </c>
      <c r="H865" s="342">
        <v>44.9</v>
      </c>
      <c r="I865" s="342">
        <v>169.1</v>
      </c>
      <c r="J865" s="342">
        <v>60.0</v>
      </c>
      <c r="K865" s="342">
        <v>18.4</v>
      </c>
      <c r="L865" s="342">
        <v>104.6</v>
      </c>
      <c r="M865" s="346">
        <v>218.1</v>
      </c>
      <c r="O865" s="344"/>
    </row>
    <row r="866" ht="15.75" customHeight="1">
      <c r="A866" s="335">
        <v>863.0</v>
      </c>
      <c r="B866" s="336">
        <v>863.0</v>
      </c>
      <c r="C866" s="337">
        <v>724.0</v>
      </c>
      <c r="D866" s="338" t="s">
        <v>5764</v>
      </c>
      <c r="E866" s="339" t="s">
        <v>482</v>
      </c>
      <c r="F866" s="340" t="s">
        <v>5050</v>
      </c>
      <c r="G866" s="342">
        <v>917.0</v>
      </c>
      <c r="H866" s="342">
        <v>-5.1</v>
      </c>
      <c r="I866" s="342">
        <v>30.0</v>
      </c>
      <c r="J866" s="342">
        <v>721.1</v>
      </c>
      <c r="K866" s="342">
        <v>3.3</v>
      </c>
      <c r="L866" s="342">
        <v>31.1</v>
      </c>
      <c r="M866" s="346">
        <v>37.7</v>
      </c>
      <c r="O866" s="344"/>
    </row>
    <row r="867" ht="15.75" customHeight="1">
      <c r="A867" s="335">
        <v>864.0</v>
      </c>
      <c r="B867" s="336">
        <v>864.0</v>
      </c>
      <c r="C867" s="337">
        <v>872.0</v>
      </c>
      <c r="D867" s="338" t="s">
        <v>5765</v>
      </c>
      <c r="E867" s="339" t="s">
        <v>482</v>
      </c>
      <c r="F867" s="340" t="s">
        <v>4985</v>
      </c>
      <c r="G867" s="342">
        <v>915.5</v>
      </c>
      <c r="H867" s="342">
        <v>21.0</v>
      </c>
      <c r="I867" s="342">
        <v>15.7</v>
      </c>
      <c r="J867" s="342">
        <v>128.2</v>
      </c>
      <c r="K867" s="342">
        <v>1.7</v>
      </c>
      <c r="L867" s="342">
        <v>11.7</v>
      </c>
      <c r="M867" s="346">
        <v>15.9</v>
      </c>
      <c r="O867" s="344"/>
    </row>
    <row r="868" ht="15.75" customHeight="1">
      <c r="A868" s="335">
        <v>865.0</v>
      </c>
      <c r="B868" s="336">
        <v>865.0</v>
      </c>
      <c r="C868" s="337">
        <v>787.0</v>
      </c>
      <c r="D868" s="338" t="s">
        <v>5766</v>
      </c>
      <c r="E868" s="339" t="s">
        <v>98</v>
      </c>
      <c r="F868" s="340" t="s">
        <v>3256</v>
      </c>
      <c r="G868" s="342">
        <v>911.5</v>
      </c>
      <c r="H868" s="342">
        <v>3.7</v>
      </c>
      <c r="I868" s="342">
        <v>15.7</v>
      </c>
      <c r="J868" s="342">
        <v>-70.9</v>
      </c>
      <c r="K868" s="342">
        <v>1.7</v>
      </c>
      <c r="L868" s="342">
        <v>9.3</v>
      </c>
      <c r="M868" s="346">
        <v>13.1</v>
      </c>
      <c r="O868" s="344"/>
    </row>
    <row r="869" ht="15.75" customHeight="1">
      <c r="A869" s="335">
        <v>866.0</v>
      </c>
      <c r="B869" s="336">
        <v>866.0</v>
      </c>
      <c r="C869" s="337" t="s">
        <v>3537</v>
      </c>
      <c r="D869" s="338" t="s">
        <v>5767</v>
      </c>
      <c r="E869" s="339" t="s">
        <v>332</v>
      </c>
      <c r="F869" s="340" t="s">
        <v>4985</v>
      </c>
      <c r="G869" s="342">
        <v>911.4</v>
      </c>
      <c r="H869" s="342">
        <v>21.0</v>
      </c>
      <c r="I869" s="342">
        <v>58.6</v>
      </c>
      <c r="J869" s="342">
        <v>24.7</v>
      </c>
      <c r="K869" s="342">
        <v>6.4</v>
      </c>
      <c r="L869" s="342">
        <v>49.5</v>
      </c>
      <c r="M869" s="346">
        <v>31.0</v>
      </c>
      <c r="O869" s="344"/>
    </row>
    <row r="870" ht="15.75" customHeight="1">
      <c r="A870" s="335">
        <v>867.0</v>
      </c>
      <c r="B870" s="336">
        <v>867.0</v>
      </c>
      <c r="C870" s="337">
        <v>988.0</v>
      </c>
      <c r="D870" s="338" t="s">
        <v>5768</v>
      </c>
      <c r="E870" s="339" t="s">
        <v>332</v>
      </c>
      <c r="F870" s="340" t="s">
        <v>3754</v>
      </c>
      <c r="G870" s="342">
        <v>911.0</v>
      </c>
      <c r="H870" s="342">
        <v>52.2</v>
      </c>
      <c r="I870" s="342">
        <v>94.7</v>
      </c>
      <c r="J870" s="342">
        <v>74.5</v>
      </c>
      <c r="K870" s="342">
        <v>10.4</v>
      </c>
      <c r="L870" s="342">
        <v>75.2</v>
      </c>
      <c r="M870" s="346">
        <v>91.3</v>
      </c>
      <c r="O870" s="344"/>
    </row>
    <row r="871" ht="15.75" customHeight="1">
      <c r="A871" s="335">
        <v>868.0</v>
      </c>
      <c r="B871" s="336">
        <v>868.0</v>
      </c>
      <c r="C871" s="337">
        <v>780.0</v>
      </c>
      <c r="D871" s="338" t="s">
        <v>5769</v>
      </c>
      <c r="E871" s="339" t="s">
        <v>482</v>
      </c>
      <c r="F871" s="340" t="s">
        <v>5055</v>
      </c>
      <c r="G871" s="342">
        <v>909.5</v>
      </c>
      <c r="H871" s="342">
        <v>2.2</v>
      </c>
      <c r="I871" s="342">
        <v>23.1</v>
      </c>
      <c r="J871" s="342">
        <v>103.2</v>
      </c>
      <c r="K871" s="342">
        <v>2.5</v>
      </c>
      <c r="L871" s="342">
        <v>49.5</v>
      </c>
      <c r="M871" s="346">
        <v>33.1</v>
      </c>
      <c r="O871" s="344"/>
    </row>
    <row r="872" ht="15.75" customHeight="1">
      <c r="A872" s="335">
        <v>869.0</v>
      </c>
      <c r="B872" s="336">
        <v>869.0</v>
      </c>
      <c r="C872" s="337">
        <v>878.0</v>
      </c>
      <c r="D872" s="338" t="s">
        <v>5770</v>
      </c>
      <c r="E872" s="339" t="s">
        <v>156</v>
      </c>
      <c r="F872" s="340" t="s">
        <v>5055</v>
      </c>
      <c r="G872" s="342">
        <v>909.2</v>
      </c>
      <c r="H872" s="342">
        <v>21.9</v>
      </c>
      <c r="I872" s="342">
        <v>22.6</v>
      </c>
      <c r="J872" s="342">
        <v>-51.5</v>
      </c>
      <c r="K872" s="342">
        <v>2.5</v>
      </c>
      <c r="L872" s="342">
        <v>16.9</v>
      </c>
      <c r="M872" s="346">
        <v>56.1</v>
      </c>
      <c r="O872" s="344"/>
    </row>
    <row r="873" ht="15.75" customHeight="1">
      <c r="A873" s="335">
        <v>870.0</v>
      </c>
      <c r="B873" s="336">
        <v>870.0</v>
      </c>
      <c r="C873" s="337">
        <v>908.0</v>
      </c>
      <c r="D873" s="338" t="s">
        <v>5771</v>
      </c>
      <c r="E873" s="339" t="s">
        <v>482</v>
      </c>
      <c r="F873" s="340" t="s">
        <v>5028</v>
      </c>
      <c r="G873" s="342">
        <v>906.5</v>
      </c>
      <c r="H873" s="342">
        <v>26.9</v>
      </c>
      <c r="I873" s="342">
        <v>-51.4</v>
      </c>
      <c r="J873" s="342">
        <v>-129.2</v>
      </c>
      <c r="K873" s="342">
        <v>-5.7</v>
      </c>
      <c r="L873" s="342">
        <v>-6.4</v>
      </c>
      <c r="M873" s="346">
        <v>91.2</v>
      </c>
      <c r="O873" s="344"/>
    </row>
    <row r="874" ht="15.75" customHeight="1">
      <c r="A874" s="335">
        <v>871.0</v>
      </c>
      <c r="B874" s="336">
        <v>871.0</v>
      </c>
      <c r="C874" s="337">
        <v>743.0</v>
      </c>
      <c r="D874" s="338" t="s">
        <v>5772</v>
      </c>
      <c r="E874" s="339" t="s">
        <v>482</v>
      </c>
      <c r="F874" s="340" t="s">
        <v>5122</v>
      </c>
      <c r="G874" s="342">
        <v>906.4</v>
      </c>
      <c r="H874" s="342">
        <v>-4.4</v>
      </c>
      <c r="I874" s="342">
        <v>107.7</v>
      </c>
      <c r="J874" s="342">
        <v>-25.6</v>
      </c>
      <c r="K874" s="342">
        <v>11.9</v>
      </c>
      <c r="L874" s="342">
        <v>5.5</v>
      </c>
      <c r="M874" s="346">
        <v>61.0</v>
      </c>
      <c r="O874" s="344"/>
    </row>
    <row r="875" ht="15.75" customHeight="1">
      <c r="A875" s="335">
        <v>872.0</v>
      </c>
      <c r="B875" s="336">
        <v>872.0</v>
      </c>
      <c r="C875" s="337">
        <v>873.0</v>
      </c>
      <c r="D875" s="338" t="s">
        <v>5773</v>
      </c>
      <c r="E875" s="339" t="s">
        <v>482</v>
      </c>
      <c r="F875" s="340" t="s">
        <v>4976</v>
      </c>
      <c r="G875" s="342">
        <v>903.1</v>
      </c>
      <c r="H875" s="342">
        <v>21.4</v>
      </c>
      <c r="I875" s="342">
        <v>135.3</v>
      </c>
      <c r="J875" s="342">
        <v>32.5</v>
      </c>
      <c r="K875" s="342">
        <v>15.0</v>
      </c>
      <c r="L875" s="342">
        <v>18.7</v>
      </c>
      <c r="M875" s="346">
        <v>166.8</v>
      </c>
      <c r="O875" s="344"/>
    </row>
    <row r="876" ht="15.75" customHeight="1">
      <c r="A876" s="335">
        <v>873.0</v>
      </c>
      <c r="B876" s="336">
        <v>873.0</v>
      </c>
      <c r="C876" s="337">
        <v>918.0</v>
      </c>
      <c r="D876" s="338" t="s">
        <v>5774</v>
      </c>
      <c r="E876" s="339" t="s">
        <v>1751</v>
      </c>
      <c r="F876" s="340" t="s">
        <v>5183</v>
      </c>
      <c r="G876" s="342">
        <v>901.0</v>
      </c>
      <c r="H876" s="342">
        <v>29.5</v>
      </c>
      <c r="I876" s="342">
        <v>-76.2</v>
      </c>
      <c r="J876" s="342">
        <v>-863.3</v>
      </c>
      <c r="K876" s="342">
        <v>-8.5</v>
      </c>
      <c r="L876" s="342">
        <v>-25.9</v>
      </c>
      <c r="M876" s="346">
        <v>-100.6</v>
      </c>
      <c r="O876" s="344"/>
    </row>
    <row r="877" ht="15.75" customHeight="1">
      <c r="A877" s="335">
        <v>874.0</v>
      </c>
      <c r="B877" s="336">
        <v>874.0</v>
      </c>
      <c r="C877" s="337">
        <v>836.0</v>
      </c>
      <c r="D877" s="338" t="s">
        <v>5775</v>
      </c>
      <c r="E877" s="339" t="s">
        <v>482</v>
      </c>
      <c r="F877" s="340" t="s">
        <v>5122</v>
      </c>
      <c r="G877" s="342">
        <v>900.7</v>
      </c>
      <c r="H877" s="342">
        <v>12.2</v>
      </c>
      <c r="I877" s="342">
        <v>98.0</v>
      </c>
      <c r="J877" s="342">
        <v>-9.2</v>
      </c>
      <c r="K877" s="342">
        <v>10.9</v>
      </c>
      <c r="L877" s="342">
        <v>28.6</v>
      </c>
      <c r="M877" s="346">
        <v>120.9</v>
      </c>
      <c r="O877" s="344"/>
    </row>
    <row r="878" ht="15.75" customHeight="1">
      <c r="A878" s="335">
        <v>875.0</v>
      </c>
      <c r="B878" s="336">
        <v>875.0</v>
      </c>
      <c r="C878" s="337">
        <v>863.0</v>
      </c>
      <c r="D878" s="338" t="s">
        <v>5776</v>
      </c>
      <c r="E878" s="339" t="s">
        <v>332</v>
      </c>
      <c r="F878" s="340" t="s">
        <v>5183</v>
      </c>
      <c r="G878" s="342">
        <v>900.2</v>
      </c>
      <c r="H878" s="342">
        <v>17.1</v>
      </c>
      <c r="I878" s="342">
        <v>55.3</v>
      </c>
      <c r="J878" s="342">
        <v>358.1</v>
      </c>
      <c r="K878" s="342">
        <v>6.1</v>
      </c>
      <c r="L878" s="342">
        <v>35.5</v>
      </c>
      <c r="M878" s="346">
        <v>79.8</v>
      </c>
      <c r="O878" s="344"/>
    </row>
    <row r="879" ht="15.75" customHeight="1">
      <c r="A879" s="335">
        <v>876.0</v>
      </c>
      <c r="B879" s="336">
        <v>876.0</v>
      </c>
      <c r="C879" s="337">
        <v>830.0</v>
      </c>
      <c r="D879" s="338" t="s">
        <v>5777</v>
      </c>
      <c r="E879" s="339" t="s">
        <v>98</v>
      </c>
      <c r="F879" s="340" t="s">
        <v>5010</v>
      </c>
      <c r="G879" s="342">
        <v>899.3</v>
      </c>
      <c r="H879" s="342">
        <v>10.7</v>
      </c>
      <c r="I879" s="342">
        <v>250.2</v>
      </c>
      <c r="J879" s="342">
        <v>5.3</v>
      </c>
      <c r="K879" s="342">
        <v>27.8</v>
      </c>
      <c r="L879" s="342">
        <v>21.5</v>
      </c>
      <c r="M879" s="346">
        <v>124.9</v>
      </c>
      <c r="O879" s="344"/>
    </row>
    <row r="880" ht="15.75" customHeight="1">
      <c r="A880" s="335">
        <v>877.0</v>
      </c>
      <c r="B880" s="336">
        <v>877.0</v>
      </c>
      <c r="C880" s="337" t="s">
        <v>3537</v>
      </c>
      <c r="D880" s="338" t="s">
        <v>5778</v>
      </c>
      <c r="E880" s="339" t="s">
        <v>482</v>
      </c>
      <c r="F880" s="340" t="s">
        <v>4985</v>
      </c>
      <c r="G880" s="342">
        <v>891.3</v>
      </c>
      <c r="H880" s="342">
        <v>110.9</v>
      </c>
      <c r="I880" s="342">
        <v>-264.9</v>
      </c>
      <c r="J880" s="342">
        <v>-578.1</v>
      </c>
      <c r="K880" s="342">
        <v>-29.7</v>
      </c>
      <c r="L880" s="342">
        <v>-19.4</v>
      </c>
      <c r="M880" s="346">
        <v>-100.2</v>
      </c>
      <c r="O880" s="344"/>
    </row>
    <row r="881" ht="15.75" customHeight="1">
      <c r="A881" s="335">
        <v>878.0</v>
      </c>
      <c r="B881" s="336">
        <v>878.0</v>
      </c>
      <c r="C881" s="337" t="s">
        <v>3537</v>
      </c>
      <c r="D881" s="338" t="s">
        <v>5779</v>
      </c>
      <c r="E881" s="339" t="s">
        <v>482</v>
      </c>
      <c r="F881" s="340" t="s">
        <v>4993</v>
      </c>
      <c r="G881" s="342">
        <v>890.9</v>
      </c>
      <c r="H881" s="342">
        <v>31.3</v>
      </c>
      <c r="I881" s="342">
        <v>134.6</v>
      </c>
      <c r="J881" s="342">
        <v>50.4</v>
      </c>
      <c r="K881" s="342">
        <v>15.1</v>
      </c>
      <c r="L881" s="342">
        <v>121.0</v>
      </c>
      <c r="M881" s="346">
        <v>171.6</v>
      </c>
      <c r="O881" s="344"/>
    </row>
    <row r="882" ht="15.75" customHeight="1">
      <c r="A882" s="335">
        <v>879.0</v>
      </c>
      <c r="B882" s="336">
        <v>879.0</v>
      </c>
      <c r="C882" s="337" t="s">
        <v>3537</v>
      </c>
      <c r="D882" s="338" t="s">
        <v>5780</v>
      </c>
      <c r="E882" s="339" t="s">
        <v>482</v>
      </c>
      <c r="F882" s="340" t="s">
        <v>5012</v>
      </c>
      <c r="G882" s="342">
        <v>890.6</v>
      </c>
      <c r="H882" s="342">
        <v>99.6</v>
      </c>
      <c r="I882" s="342">
        <v>422.1</v>
      </c>
      <c r="J882" s="342">
        <v>143.8</v>
      </c>
      <c r="K882" s="342">
        <v>47.4</v>
      </c>
      <c r="L882" s="342">
        <v>251.1</v>
      </c>
      <c r="M882" s="346">
        <v>615.5</v>
      </c>
      <c r="O882" s="344"/>
    </row>
    <row r="883" ht="15.75" customHeight="1">
      <c r="A883" s="335">
        <v>880.0</v>
      </c>
      <c r="B883" s="336">
        <v>880.0</v>
      </c>
      <c r="C883" s="337">
        <v>903.0</v>
      </c>
      <c r="D883" s="338" t="s">
        <v>5781</v>
      </c>
      <c r="E883" s="339" t="s">
        <v>332</v>
      </c>
      <c r="F883" s="340" t="s">
        <v>87</v>
      </c>
      <c r="G883" s="342">
        <v>890.2</v>
      </c>
      <c r="H883" s="342">
        <v>23.6</v>
      </c>
      <c r="I883" s="342">
        <v>2.2</v>
      </c>
      <c r="J883" s="342">
        <v>-37.6</v>
      </c>
      <c r="K883" s="342">
        <v>0.2</v>
      </c>
      <c r="L883" s="342">
        <v>2.3</v>
      </c>
      <c r="M883" s="346">
        <v>-4.2</v>
      </c>
      <c r="O883" s="344"/>
    </row>
    <row r="884" ht="15.75" customHeight="1">
      <c r="A884" s="335">
        <v>881.0</v>
      </c>
      <c r="B884" s="336">
        <v>881.0</v>
      </c>
      <c r="C884" s="337" t="s">
        <v>3537</v>
      </c>
      <c r="D884" s="338" t="s">
        <v>5782</v>
      </c>
      <c r="E884" s="339" t="s">
        <v>482</v>
      </c>
      <c r="F884" s="340" t="s">
        <v>3754</v>
      </c>
      <c r="G884" s="342">
        <v>888.8</v>
      </c>
      <c r="H884" s="342">
        <v>17.1</v>
      </c>
      <c r="I884" s="342">
        <v>29.6</v>
      </c>
      <c r="J884" s="342">
        <v>-37.1</v>
      </c>
      <c r="K884" s="342">
        <v>3.3</v>
      </c>
      <c r="L884" s="342">
        <v>38.5</v>
      </c>
      <c r="M884" s="346">
        <v>47.4</v>
      </c>
      <c r="O884" s="344"/>
    </row>
    <row r="885" ht="15.75" customHeight="1">
      <c r="A885" s="335">
        <v>882.0</v>
      </c>
      <c r="B885" s="336">
        <v>882.0</v>
      </c>
      <c r="C885" s="337">
        <v>897.0</v>
      </c>
      <c r="D885" s="338" t="s">
        <v>5783</v>
      </c>
      <c r="E885" s="339" t="s">
        <v>156</v>
      </c>
      <c r="F885" s="340" t="s">
        <v>3754</v>
      </c>
      <c r="G885" s="342">
        <v>888.1</v>
      </c>
      <c r="H885" s="342">
        <v>22.6</v>
      </c>
      <c r="I885" s="342">
        <v>27.0</v>
      </c>
      <c r="J885" s="342">
        <v>0.5</v>
      </c>
      <c r="K885" s="342">
        <v>3.0</v>
      </c>
      <c r="L885" s="342">
        <v>53.4</v>
      </c>
      <c r="M885" s="346">
        <v>16.6</v>
      </c>
      <c r="O885" s="344"/>
    </row>
    <row r="886" ht="15.75" customHeight="1">
      <c r="A886" s="335">
        <v>883.0</v>
      </c>
      <c r="B886" s="336">
        <v>883.0</v>
      </c>
      <c r="C886" s="337">
        <v>782.0</v>
      </c>
      <c r="D886" s="338" t="s">
        <v>5784</v>
      </c>
      <c r="E886" s="339" t="s">
        <v>482</v>
      </c>
      <c r="F886" s="340" t="s">
        <v>5028</v>
      </c>
      <c r="G886" s="342">
        <v>880.6</v>
      </c>
      <c r="H886" s="342">
        <v>-0.1</v>
      </c>
      <c r="I886" s="342">
        <v>-37.0</v>
      </c>
      <c r="J886" s="342">
        <v>-237.7</v>
      </c>
      <c r="K886" s="342">
        <v>-4.2</v>
      </c>
      <c r="L886" s="342">
        <v>-51.3</v>
      </c>
      <c r="M886" s="346">
        <v>-60.2</v>
      </c>
      <c r="O886" s="344"/>
    </row>
    <row r="887" ht="15.75" customHeight="1">
      <c r="A887" s="335">
        <v>884.0</v>
      </c>
      <c r="B887" s="336">
        <v>884.0</v>
      </c>
      <c r="C887" s="337">
        <v>678.0</v>
      </c>
      <c r="D887" s="338" t="s">
        <v>5785</v>
      </c>
      <c r="E887" s="339" t="s">
        <v>1751</v>
      </c>
      <c r="F887" s="340" t="s">
        <v>5183</v>
      </c>
      <c r="G887" s="342">
        <v>880.5</v>
      </c>
      <c r="H887" s="342">
        <v>-17.0</v>
      </c>
      <c r="I887" s="342">
        <v>93.1</v>
      </c>
      <c r="J887" s="342">
        <v>129.3</v>
      </c>
      <c r="K887" s="342">
        <v>10.6</v>
      </c>
      <c r="L887" s="342">
        <v>6.8</v>
      </c>
      <c r="M887" s="346">
        <v>-148.1</v>
      </c>
      <c r="O887" s="344"/>
    </row>
    <row r="888" ht="15.75" customHeight="1">
      <c r="A888" s="335">
        <v>885.0</v>
      </c>
      <c r="B888" s="336">
        <v>885.0</v>
      </c>
      <c r="C888" s="337">
        <v>915.0</v>
      </c>
      <c r="D888" s="338" t="s">
        <v>5786</v>
      </c>
      <c r="E888" s="339" t="s">
        <v>482</v>
      </c>
      <c r="F888" s="340" t="s">
        <v>5122</v>
      </c>
      <c r="G888" s="342">
        <v>880.1</v>
      </c>
      <c r="H888" s="342">
        <v>25.4</v>
      </c>
      <c r="I888" s="342">
        <v>95.0</v>
      </c>
      <c r="J888" s="342">
        <v>-11.0</v>
      </c>
      <c r="K888" s="342">
        <v>10.8</v>
      </c>
      <c r="L888" s="342">
        <v>34.3</v>
      </c>
      <c r="M888" s="346">
        <v>116.9</v>
      </c>
      <c r="O888" s="344"/>
    </row>
    <row r="889" ht="15.75" customHeight="1">
      <c r="A889" s="335">
        <v>886.0</v>
      </c>
      <c r="B889" s="336">
        <v>886.0</v>
      </c>
      <c r="C889" s="337">
        <v>822.0</v>
      </c>
      <c r="D889" s="338" t="s">
        <v>5787</v>
      </c>
      <c r="E889" s="339" t="s">
        <v>3433</v>
      </c>
      <c r="F889" s="340" t="s">
        <v>4970</v>
      </c>
      <c r="G889" s="342">
        <v>876.2</v>
      </c>
      <c r="H889" s="342">
        <v>7.3</v>
      </c>
      <c r="I889" s="342">
        <v>114.3</v>
      </c>
      <c r="J889" s="342">
        <v>-8.1</v>
      </c>
      <c r="K889" s="342">
        <v>13.0</v>
      </c>
      <c r="L889" s="342">
        <v>17.9</v>
      </c>
      <c r="M889" s="346">
        <v>107.7</v>
      </c>
      <c r="O889" s="344"/>
    </row>
    <row r="890" ht="15.75" customHeight="1">
      <c r="A890" s="335">
        <v>887.0</v>
      </c>
      <c r="B890" s="336">
        <v>887.0</v>
      </c>
      <c r="C890" s="337">
        <v>943.0</v>
      </c>
      <c r="D890" s="338" t="s">
        <v>5788</v>
      </c>
      <c r="E890" s="339" t="s">
        <v>482</v>
      </c>
      <c r="F890" s="340" t="s">
        <v>3256</v>
      </c>
      <c r="G890" s="342">
        <v>875.9</v>
      </c>
      <c r="H890" s="342">
        <v>34.1</v>
      </c>
      <c r="I890" s="342">
        <v>50.9</v>
      </c>
      <c r="J890" s="342">
        <v>-29.8</v>
      </c>
      <c r="K890" s="342">
        <v>5.8</v>
      </c>
      <c r="L890" s="342">
        <v>23.9</v>
      </c>
      <c r="M890" s="346">
        <v>57.0</v>
      </c>
      <c r="O890" s="344"/>
    </row>
    <row r="891" ht="15.75" customHeight="1">
      <c r="A891" s="335">
        <v>888.0</v>
      </c>
      <c r="B891" s="336">
        <v>888.0</v>
      </c>
      <c r="C891" s="337" t="s">
        <v>3537</v>
      </c>
      <c r="D891" s="338" t="s">
        <v>5789</v>
      </c>
      <c r="E891" s="339" t="s">
        <v>1755</v>
      </c>
      <c r="F891" s="340" t="s">
        <v>3754</v>
      </c>
      <c r="G891" s="342">
        <v>875.5</v>
      </c>
      <c r="H891" s="342">
        <v>29.3</v>
      </c>
      <c r="I891" s="342">
        <v>39.9</v>
      </c>
      <c r="J891" s="342">
        <v>18.0</v>
      </c>
      <c r="K891" s="342">
        <v>4.6</v>
      </c>
      <c r="L891" s="342">
        <v>41.3</v>
      </c>
      <c r="M891" s="346">
        <v>43.8</v>
      </c>
      <c r="O891" s="344"/>
    </row>
    <row r="892" ht="15.75" customHeight="1">
      <c r="A892" s="335">
        <v>889.0</v>
      </c>
      <c r="B892" s="336">
        <v>889.0</v>
      </c>
      <c r="C892" s="337">
        <v>907.0</v>
      </c>
      <c r="D892" s="338" t="s">
        <v>5790</v>
      </c>
      <c r="E892" s="339" t="s">
        <v>482</v>
      </c>
      <c r="F892" s="340" t="s">
        <v>5028</v>
      </c>
      <c r="G892" s="342">
        <v>872.3</v>
      </c>
      <c r="H892" s="342">
        <v>16.1</v>
      </c>
      <c r="I892" s="342">
        <v>297.8</v>
      </c>
      <c r="J892" s="342">
        <v>70.0</v>
      </c>
      <c r="K892" s="342">
        <v>34.1</v>
      </c>
      <c r="L892" s="342">
        <v>14.0</v>
      </c>
      <c r="M892" s="346">
        <v>215.6</v>
      </c>
      <c r="O892" s="344"/>
    </row>
    <row r="893" ht="15.75" customHeight="1">
      <c r="A893" s="335">
        <v>890.0</v>
      </c>
      <c r="B893" s="336">
        <v>890.0</v>
      </c>
      <c r="C893" s="337">
        <v>906.0</v>
      </c>
      <c r="D893" s="338" t="s">
        <v>5791</v>
      </c>
      <c r="E893" s="339" t="s">
        <v>332</v>
      </c>
      <c r="F893" s="340" t="s">
        <v>5122</v>
      </c>
      <c r="G893" s="342">
        <v>869.1</v>
      </c>
      <c r="H893" s="342">
        <v>21.3</v>
      </c>
      <c r="I893" s="342">
        <v>25.4</v>
      </c>
      <c r="J893" s="342">
        <v>-1.1</v>
      </c>
      <c r="K893" s="342">
        <v>2.9</v>
      </c>
      <c r="L893" s="342">
        <v>11.5</v>
      </c>
      <c r="M893" s="346">
        <v>51.8</v>
      </c>
      <c r="O893" s="344"/>
    </row>
    <row r="894" ht="15.75" customHeight="1">
      <c r="A894" s="335">
        <v>891.0</v>
      </c>
      <c r="B894" s="336">
        <v>891.0</v>
      </c>
      <c r="C894" s="337" t="s">
        <v>3537</v>
      </c>
      <c r="D894" s="338" t="s">
        <v>5792</v>
      </c>
      <c r="E894" s="339" t="s">
        <v>332</v>
      </c>
      <c r="F894" s="340" t="s">
        <v>5010</v>
      </c>
      <c r="G894" s="342">
        <v>869.1</v>
      </c>
      <c r="H894" s="342">
        <v>13.6</v>
      </c>
      <c r="I894" s="342">
        <v>140.0</v>
      </c>
      <c r="J894" s="342">
        <v>-41.8</v>
      </c>
      <c r="K894" s="342">
        <v>16.1</v>
      </c>
      <c r="L894" s="342">
        <v>16.9</v>
      </c>
      <c r="M894" s="346">
        <v>186.3</v>
      </c>
      <c r="O894" s="344"/>
    </row>
    <row r="895" ht="15.75" customHeight="1">
      <c r="A895" s="335">
        <v>892.0</v>
      </c>
      <c r="B895" s="336">
        <v>892.0</v>
      </c>
      <c r="C895" s="337">
        <v>912.0</v>
      </c>
      <c r="D895" s="338" t="s">
        <v>5793</v>
      </c>
      <c r="E895" s="339" t="s">
        <v>1392</v>
      </c>
      <c r="F895" s="340" t="s">
        <v>3256</v>
      </c>
      <c r="G895" s="342">
        <v>863.5</v>
      </c>
      <c r="H895" s="342">
        <v>21.5</v>
      </c>
      <c r="I895" s="342">
        <v>56.2</v>
      </c>
      <c r="J895" s="342">
        <v>18.3</v>
      </c>
      <c r="K895" s="342">
        <v>6.5</v>
      </c>
      <c r="L895" s="342">
        <v>37.9</v>
      </c>
      <c r="M895" s="346">
        <v>-21.9</v>
      </c>
      <c r="O895" s="344"/>
    </row>
    <row r="896" ht="15.75" customHeight="1">
      <c r="A896" s="335">
        <v>893.0</v>
      </c>
      <c r="B896" s="336">
        <v>893.0</v>
      </c>
      <c r="C896" s="337" t="s">
        <v>3537</v>
      </c>
      <c r="D896" s="338" t="s">
        <v>5794</v>
      </c>
      <c r="E896" s="339" t="s">
        <v>1075</v>
      </c>
      <c r="F896" s="340" t="s">
        <v>4983</v>
      </c>
      <c r="G896" s="342">
        <v>861.9</v>
      </c>
      <c r="H896" s="342">
        <v>52.5</v>
      </c>
      <c r="I896" s="342">
        <v>237.8</v>
      </c>
      <c r="J896" s="342">
        <v>29.5</v>
      </c>
      <c r="K896" s="342">
        <v>27.6</v>
      </c>
      <c r="L896" s="342">
        <v>9.0</v>
      </c>
      <c r="M896" s="346">
        <v>241.4</v>
      </c>
      <c r="O896" s="344"/>
    </row>
    <row r="897" ht="15.75" customHeight="1">
      <c r="A897" s="335">
        <v>894.0</v>
      </c>
      <c r="B897" s="336">
        <v>894.0</v>
      </c>
      <c r="C897" s="337">
        <v>986.0</v>
      </c>
      <c r="D897" s="338" t="s">
        <v>5795</v>
      </c>
      <c r="E897" s="339" t="s">
        <v>482</v>
      </c>
      <c r="F897" s="340" t="s">
        <v>5122</v>
      </c>
      <c r="G897" s="342">
        <v>859.9</v>
      </c>
      <c r="H897" s="342">
        <v>42.7</v>
      </c>
      <c r="I897" s="342">
        <v>24.2</v>
      </c>
      <c r="J897" s="342">
        <v>1.4</v>
      </c>
      <c r="K897" s="342">
        <v>2.8</v>
      </c>
      <c r="L897" s="342">
        <v>6.4</v>
      </c>
      <c r="M897" s="346">
        <v>46.3</v>
      </c>
      <c r="O897" s="344"/>
    </row>
    <row r="898" ht="15.75" customHeight="1">
      <c r="A898" s="335">
        <v>895.0</v>
      </c>
      <c r="B898" s="336">
        <v>895.0</v>
      </c>
      <c r="C898" s="337">
        <v>737.0</v>
      </c>
      <c r="D898" s="338" t="s">
        <v>5796</v>
      </c>
      <c r="E898" s="339" t="s">
        <v>574</v>
      </c>
      <c r="F898" s="340" t="s">
        <v>4963</v>
      </c>
      <c r="G898" s="342">
        <v>859.0</v>
      </c>
      <c r="H898" s="342">
        <v>-10.0</v>
      </c>
      <c r="I898" s="342">
        <v>-17.4</v>
      </c>
      <c r="J898" s="342">
        <v>-113.1</v>
      </c>
      <c r="K898" s="342">
        <v>-2.0</v>
      </c>
      <c r="L898" s="342">
        <v>-2.4</v>
      </c>
      <c r="M898" s="346">
        <v>-68.6</v>
      </c>
      <c r="O898" s="344"/>
    </row>
    <row r="899" ht="15.75" customHeight="1">
      <c r="A899" s="335">
        <v>896.0</v>
      </c>
      <c r="B899" s="336">
        <v>896.0</v>
      </c>
      <c r="C899" s="337">
        <v>682.0</v>
      </c>
      <c r="D899" s="338" t="s">
        <v>5797</v>
      </c>
      <c r="E899" s="339" t="s">
        <v>332</v>
      </c>
      <c r="F899" s="340" t="s">
        <v>5183</v>
      </c>
      <c r="G899" s="342">
        <v>858.5</v>
      </c>
      <c r="H899" s="342">
        <v>-18.4</v>
      </c>
      <c r="I899" s="342">
        <v>8.5</v>
      </c>
      <c r="J899" s="342">
        <v>-81.3</v>
      </c>
      <c r="K899" s="342">
        <v>1.0</v>
      </c>
      <c r="L899" s="342">
        <v>3.6</v>
      </c>
      <c r="M899" s="346">
        <v>32.0</v>
      </c>
      <c r="O899" s="344"/>
    </row>
    <row r="900" ht="15.75" customHeight="1">
      <c r="A900" s="335">
        <v>897.0</v>
      </c>
      <c r="B900" s="336">
        <v>897.0</v>
      </c>
      <c r="C900" s="337">
        <v>871.0</v>
      </c>
      <c r="D900" s="338" t="s">
        <v>5798</v>
      </c>
      <c r="E900" s="339" t="s">
        <v>482</v>
      </c>
      <c r="F900" s="340" t="s">
        <v>5028</v>
      </c>
      <c r="G900" s="342">
        <v>858.3</v>
      </c>
      <c r="H900" s="342">
        <v>13.5</v>
      </c>
      <c r="I900" s="342">
        <v>285.7</v>
      </c>
      <c r="J900" s="342">
        <v>8.7</v>
      </c>
      <c r="K900" s="342">
        <v>33.3</v>
      </c>
      <c r="L900" s="342">
        <v>28.1</v>
      </c>
      <c r="M900" s="346">
        <v>273.8</v>
      </c>
      <c r="O900" s="344"/>
    </row>
    <row r="901" ht="15.75" customHeight="1">
      <c r="A901" s="335">
        <v>898.0</v>
      </c>
      <c r="B901" s="336">
        <v>898.0</v>
      </c>
      <c r="C901" s="337">
        <v>910.0</v>
      </c>
      <c r="D901" s="338" t="s">
        <v>5799</v>
      </c>
      <c r="E901" s="339" t="s">
        <v>482</v>
      </c>
      <c r="F901" s="340" t="s">
        <v>5110</v>
      </c>
      <c r="G901" s="342">
        <v>858.3</v>
      </c>
      <c r="H901" s="342">
        <v>20.5</v>
      </c>
      <c r="I901" s="342">
        <v>190.4</v>
      </c>
      <c r="J901" s="342">
        <v>-0.7</v>
      </c>
      <c r="K901" s="342">
        <v>22.2</v>
      </c>
      <c r="L901" s="342">
        <v>31.5</v>
      </c>
      <c r="M901" s="346">
        <v>183.9</v>
      </c>
      <c r="O901" s="344"/>
    </row>
    <row r="902" ht="15.75" customHeight="1">
      <c r="A902" s="335">
        <v>899.0</v>
      </c>
      <c r="B902" s="336">
        <v>899.0</v>
      </c>
      <c r="C902" s="337">
        <v>832.0</v>
      </c>
      <c r="D902" s="338" t="s">
        <v>5800</v>
      </c>
      <c r="E902" s="339" t="s">
        <v>332</v>
      </c>
      <c r="F902" s="340" t="s">
        <v>5172</v>
      </c>
      <c r="G902" s="342">
        <v>857.3</v>
      </c>
      <c r="H902" s="342">
        <v>5.8</v>
      </c>
      <c r="I902" s="342">
        <v>50.2</v>
      </c>
      <c r="J902" s="342">
        <v>-59.9</v>
      </c>
      <c r="K902" s="342">
        <v>5.9</v>
      </c>
      <c r="L902" s="342">
        <v>7.4</v>
      </c>
      <c r="M902" s="346">
        <v>3.9</v>
      </c>
      <c r="O902" s="344"/>
    </row>
    <row r="903" ht="15.75" customHeight="1">
      <c r="A903" s="335">
        <v>900.0</v>
      </c>
      <c r="B903" s="336">
        <v>900.0</v>
      </c>
      <c r="C903" s="337">
        <v>884.0</v>
      </c>
      <c r="D903" s="338" t="s">
        <v>5801</v>
      </c>
      <c r="E903" s="339" t="s">
        <v>332</v>
      </c>
      <c r="F903" s="340" t="s">
        <v>4999</v>
      </c>
      <c r="G903" s="342">
        <v>856.7</v>
      </c>
      <c r="H903" s="342">
        <v>15.7</v>
      </c>
      <c r="I903" s="342">
        <v>43.2</v>
      </c>
      <c r="J903" s="342">
        <v>-24.2</v>
      </c>
      <c r="K903" s="342">
        <v>5.0</v>
      </c>
      <c r="L903" s="342">
        <v>28.9</v>
      </c>
      <c r="M903" s="346">
        <v>-10.5</v>
      </c>
      <c r="O903" s="344"/>
    </row>
    <row r="904" ht="15.75" customHeight="1">
      <c r="A904" s="335">
        <v>901.0</v>
      </c>
      <c r="B904" s="336">
        <v>901.0</v>
      </c>
      <c r="C904" s="337" t="s">
        <v>3537</v>
      </c>
      <c r="D904" s="338" t="s">
        <v>5802</v>
      </c>
      <c r="E904" s="339" t="s">
        <v>482</v>
      </c>
      <c r="F904" s="340" t="s">
        <v>4968</v>
      </c>
      <c r="G904" s="342">
        <v>854.3</v>
      </c>
      <c r="H904" s="342">
        <v>10.7</v>
      </c>
      <c r="I904" s="342">
        <v>24.8</v>
      </c>
      <c r="J904" s="342">
        <v>108.7</v>
      </c>
      <c r="K904" s="342">
        <v>2.9</v>
      </c>
      <c r="L904" s="342">
        <v>10.3</v>
      </c>
      <c r="M904" s="346">
        <v>48.2</v>
      </c>
      <c r="O904" s="344"/>
    </row>
    <row r="905" ht="15.75" customHeight="1">
      <c r="A905" s="335">
        <v>902.0</v>
      </c>
      <c r="B905" s="336">
        <v>902.0</v>
      </c>
      <c r="C905" s="337">
        <v>851.0</v>
      </c>
      <c r="D905" s="338" t="s">
        <v>5803</v>
      </c>
      <c r="E905" s="339" t="s">
        <v>482</v>
      </c>
      <c r="F905" s="340" t="s">
        <v>4968</v>
      </c>
      <c r="G905" s="342">
        <v>851.2</v>
      </c>
      <c r="H905" s="342">
        <v>9.3</v>
      </c>
      <c r="I905" s="342">
        <v>147.5</v>
      </c>
      <c r="J905" s="342">
        <v>36.9</v>
      </c>
      <c r="K905" s="342">
        <v>17.3</v>
      </c>
      <c r="L905" s="342">
        <v>27.7</v>
      </c>
      <c r="M905" s="346">
        <v>169.3</v>
      </c>
      <c r="O905" s="344"/>
    </row>
    <row r="906" ht="15.75" customHeight="1">
      <c r="A906" s="335">
        <v>903.0</v>
      </c>
      <c r="B906" s="336">
        <v>903.0</v>
      </c>
      <c r="C906" s="337">
        <v>849.0</v>
      </c>
      <c r="D906" s="338" t="s">
        <v>5804</v>
      </c>
      <c r="E906" s="339" t="s">
        <v>1751</v>
      </c>
      <c r="F906" s="340" t="s">
        <v>5047</v>
      </c>
      <c r="G906" s="342">
        <v>849.5</v>
      </c>
      <c r="H906" s="342">
        <v>8.5</v>
      </c>
      <c r="I906" s="342">
        <v>43.1</v>
      </c>
      <c r="J906" s="342">
        <v>141.8</v>
      </c>
      <c r="K906" s="342">
        <v>5.1</v>
      </c>
      <c r="L906" s="342">
        <v>15.4</v>
      </c>
      <c r="M906" s="346">
        <v>57.6</v>
      </c>
      <c r="O906" s="344"/>
    </row>
    <row r="907" ht="15.75" customHeight="1">
      <c r="A907" s="335">
        <v>904.0</v>
      </c>
      <c r="B907" s="336">
        <v>904.0</v>
      </c>
      <c r="C907" s="337">
        <v>853.0</v>
      </c>
      <c r="D907" s="338" t="s">
        <v>5805</v>
      </c>
      <c r="E907" s="339" t="s">
        <v>1751</v>
      </c>
      <c r="F907" s="340" t="s">
        <v>5012</v>
      </c>
      <c r="G907" s="342">
        <v>849.2</v>
      </c>
      <c r="H907" s="342">
        <v>9.3</v>
      </c>
      <c r="I907" s="342">
        <v>179.9</v>
      </c>
      <c r="J907" s="342">
        <v>593.6</v>
      </c>
      <c r="K907" s="342">
        <v>21.2</v>
      </c>
      <c r="L907" s="342">
        <v>37.8</v>
      </c>
      <c r="M907" s="346">
        <v>242.2</v>
      </c>
      <c r="O907" s="344"/>
    </row>
    <row r="908" ht="15.75" customHeight="1">
      <c r="A908" s="335">
        <v>905.0</v>
      </c>
      <c r="B908" s="336">
        <v>905.0</v>
      </c>
      <c r="C908" s="337">
        <v>973.0</v>
      </c>
      <c r="D908" s="338" t="s">
        <v>5806</v>
      </c>
      <c r="E908" s="339" t="s">
        <v>482</v>
      </c>
      <c r="F908" s="340" t="s">
        <v>4976</v>
      </c>
      <c r="G908" s="342">
        <v>848.2</v>
      </c>
      <c r="H908" s="342">
        <v>38.4</v>
      </c>
      <c r="I908" s="342">
        <v>-97.1</v>
      </c>
      <c r="J908" s="342">
        <v>20.5</v>
      </c>
      <c r="K908" s="342">
        <v>-11.5</v>
      </c>
      <c r="L908" s="342" t="s">
        <v>5021</v>
      </c>
      <c r="M908" s="346">
        <v>3.1</v>
      </c>
      <c r="O908" s="344"/>
    </row>
    <row r="909" ht="15.75" customHeight="1">
      <c r="A909" s="335">
        <v>906.0</v>
      </c>
      <c r="B909" s="336">
        <v>906.0</v>
      </c>
      <c r="C909" s="337">
        <v>697.0</v>
      </c>
      <c r="D909" s="338" t="s">
        <v>5807</v>
      </c>
      <c r="E909" s="339" t="s">
        <v>482</v>
      </c>
      <c r="F909" s="340" t="s">
        <v>5001</v>
      </c>
      <c r="G909" s="342">
        <v>847.2</v>
      </c>
      <c r="H909" s="342">
        <v>-16.9</v>
      </c>
      <c r="I909" s="342">
        <v>190.8</v>
      </c>
      <c r="J909" s="342">
        <v>-5.2</v>
      </c>
      <c r="K909" s="342">
        <v>22.5</v>
      </c>
      <c r="L909" s="342">
        <v>72.7</v>
      </c>
      <c r="M909" s="346">
        <v>181.5</v>
      </c>
      <c r="O909" s="344"/>
    </row>
    <row r="910" ht="15.75" customHeight="1">
      <c r="A910" s="335">
        <v>907.0</v>
      </c>
      <c r="B910" s="336">
        <v>907.0</v>
      </c>
      <c r="C910" s="337" t="s">
        <v>3537</v>
      </c>
      <c r="D910" s="338" t="s">
        <v>5808</v>
      </c>
      <c r="E910" s="339" t="s">
        <v>482</v>
      </c>
      <c r="F910" s="340" t="s">
        <v>4960</v>
      </c>
      <c r="G910" s="342">
        <v>846.9</v>
      </c>
      <c r="H910" s="342">
        <v>75.0</v>
      </c>
      <c r="I910" s="342">
        <v>2.3</v>
      </c>
      <c r="J910" s="341">
        <v>1298.7</v>
      </c>
      <c r="K910" s="342">
        <v>0.3</v>
      </c>
      <c r="L910" s="342">
        <v>13.3</v>
      </c>
      <c r="M910" s="346">
        <v>13.0</v>
      </c>
      <c r="O910" s="344"/>
    </row>
    <row r="911" ht="15.75" customHeight="1">
      <c r="A911" s="335">
        <v>908.0</v>
      </c>
      <c r="B911" s="336">
        <v>908.0</v>
      </c>
      <c r="C911" s="337">
        <v>870.0</v>
      </c>
      <c r="D911" s="338" t="s">
        <v>5809</v>
      </c>
      <c r="E911" s="339" t="s">
        <v>98</v>
      </c>
      <c r="F911" s="340" t="s">
        <v>5050</v>
      </c>
      <c r="G911" s="342">
        <v>844.0</v>
      </c>
      <c r="H911" s="342">
        <v>11.3</v>
      </c>
      <c r="I911" s="342">
        <v>82.1</v>
      </c>
      <c r="J911" s="342">
        <v>11.7</v>
      </c>
      <c r="K911" s="342">
        <v>9.7</v>
      </c>
      <c r="L911" s="342">
        <v>21.7</v>
      </c>
      <c r="M911" s="346">
        <v>56.6</v>
      </c>
      <c r="O911" s="344"/>
    </row>
    <row r="912" ht="15.75" customHeight="1">
      <c r="A912" s="335">
        <v>909.0</v>
      </c>
      <c r="B912" s="336">
        <v>909.0</v>
      </c>
      <c r="C912" s="337">
        <v>898.0</v>
      </c>
      <c r="D912" s="338" t="s">
        <v>5810</v>
      </c>
      <c r="E912" s="339" t="s">
        <v>332</v>
      </c>
      <c r="F912" s="340" t="s">
        <v>3754</v>
      </c>
      <c r="G912" s="342">
        <v>840.3</v>
      </c>
      <c r="H912" s="342">
        <v>16.1</v>
      </c>
      <c r="I912" s="342">
        <v>44.5</v>
      </c>
      <c r="J912" s="342">
        <v>14.1</v>
      </c>
      <c r="K912" s="342">
        <v>5.3</v>
      </c>
      <c r="L912" s="342">
        <v>20.2</v>
      </c>
      <c r="M912" s="346">
        <v>12.6</v>
      </c>
      <c r="O912" s="344"/>
    </row>
    <row r="913" ht="15.75" customHeight="1">
      <c r="A913" s="335">
        <v>910.0</v>
      </c>
      <c r="B913" s="336">
        <v>910.0</v>
      </c>
      <c r="C913" s="337">
        <v>926.0</v>
      </c>
      <c r="D913" s="338" t="s">
        <v>5811</v>
      </c>
      <c r="E913" s="339" t="s">
        <v>482</v>
      </c>
      <c r="F913" s="340" t="s">
        <v>5028</v>
      </c>
      <c r="G913" s="342">
        <v>840.2</v>
      </c>
      <c r="H913" s="342">
        <v>24.1</v>
      </c>
      <c r="I913" s="342">
        <v>12.2</v>
      </c>
      <c r="J913" s="342">
        <v>3.6</v>
      </c>
      <c r="K913" s="342">
        <v>1.5</v>
      </c>
      <c r="L913" s="342">
        <v>10.2</v>
      </c>
      <c r="M913" s="346">
        <v>19.2</v>
      </c>
      <c r="O913" s="344"/>
    </row>
    <row r="914" ht="15.75" customHeight="1">
      <c r="A914" s="335">
        <v>911.0</v>
      </c>
      <c r="B914" s="336">
        <v>911.0</v>
      </c>
      <c r="C914" s="337" t="s">
        <v>3537</v>
      </c>
      <c r="D914" s="338" t="s">
        <v>5812</v>
      </c>
      <c r="E914" s="339" t="s">
        <v>546</v>
      </c>
      <c r="F914" s="340" t="s">
        <v>3256</v>
      </c>
      <c r="G914" s="342">
        <v>838.9</v>
      </c>
      <c r="H914" s="342">
        <v>24.8</v>
      </c>
      <c r="I914" s="342">
        <v>111.8</v>
      </c>
      <c r="J914" s="342">
        <v>-16.3</v>
      </c>
      <c r="K914" s="342">
        <v>13.3</v>
      </c>
      <c r="L914" s="342">
        <v>20.1</v>
      </c>
      <c r="M914" s="346">
        <v>80.4</v>
      </c>
      <c r="O914" s="344"/>
    </row>
    <row r="915" ht="15.75" customHeight="1">
      <c r="A915" s="335">
        <v>912.0</v>
      </c>
      <c r="B915" s="336">
        <v>912.0</v>
      </c>
      <c r="C915" s="337">
        <v>841.0</v>
      </c>
      <c r="D915" s="338" t="s">
        <v>5813</v>
      </c>
      <c r="E915" s="339" t="s">
        <v>482</v>
      </c>
      <c r="F915" s="340" t="s">
        <v>5012</v>
      </c>
      <c r="G915" s="342">
        <v>833.7</v>
      </c>
      <c r="H915" s="342">
        <v>4.6</v>
      </c>
      <c r="I915" s="342">
        <v>-47.8</v>
      </c>
      <c r="J915" s="342">
        <v>70.9</v>
      </c>
      <c r="K915" s="342">
        <v>-5.7</v>
      </c>
      <c r="L915" s="342">
        <v>-42.2</v>
      </c>
      <c r="M915" s="346">
        <v>243.5</v>
      </c>
      <c r="O915" s="344"/>
    </row>
    <row r="916" ht="15.75" customHeight="1">
      <c r="A916" s="335">
        <v>913.0</v>
      </c>
      <c r="B916" s="336">
        <v>913.0</v>
      </c>
      <c r="C916" s="337">
        <v>879.0</v>
      </c>
      <c r="D916" s="338" t="s">
        <v>5814</v>
      </c>
      <c r="E916" s="339" t="s">
        <v>349</v>
      </c>
      <c r="F916" s="340" t="s">
        <v>5110</v>
      </c>
      <c r="G916" s="342">
        <v>833.2</v>
      </c>
      <c r="H916" s="342">
        <v>11.9</v>
      </c>
      <c r="I916" s="342">
        <v>-290.8</v>
      </c>
      <c r="J916" s="342">
        <v>-154.0</v>
      </c>
      <c r="K916" s="342">
        <v>-34.9</v>
      </c>
      <c r="L916" s="342" t="s">
        <v>5021</v>
      </c>
      <c r="M916" s="346">
        <v>-53.0</v>
      </c>
      <c r="O916" s="344"/>
    </row>
    <row r="917" ht="15.75" customHeight="1">
      <c r="A917" s="335">
        <v>914.0</v>
      </c>
      <c r="B917" s="336">
        <v>914.0</v>
      </c>
      <c r="C917" s="337" t="s">
        <v>3537</v>
      </c>
      <c r="D917" s="338" t="s">
        <v>5815</v>
      </c>
      <c r="E917" s="339" t="s">
        <v>332</v>
      </c>
      <c r="F917" s="340" t="s">
        <v>5122</v>
      </c>
      <c r="G917" s="342">
        <v>832.4</v>
      </c>
      <c r="H917" s="342">
        <v>52.0</v>
      </c>
      <c r="I917" s="342">
        <v>39.5</v>
      </c>
      <c r="J917" s="342">
        <v>101.3</v>
      </c>
      <c r="K917" s="342">
        <v>4.7</v>
      </c>
      <c r="L917" s="342">
        <v>8.4</v>
      </c>
      <c r="M917" s="346">
        <v>69.7</v>
      </c>
      <c r="O917" s="344"/>
    </row>
    <row r="918" ht="15.75" customHeight="1">
      <c r="A918" s="335">
        <v>915.0</v>
      </c>
      <c r="B918" s="336">
        <v>915.0</v>
      </c>
      <c r="C918" s="337" t="s">
        <v>3537</v>
      </c>
      <c r="D918" s="338" t="s">
        <v>5816</v>
      </c>
      <c r="E918" s="339" t="s">
        <v>482</v>
      </c>
      <c r="F918" s="340" t="s">
        <v>3754</v>
      </c>
      <c r="G918" s="342">
        <v>830.8</v>
      </c>
      <c r="H918" s="342">
        <v>26.3</v>
      </c>
      <c r="I918" s="342">
        <v>41.3</v>
      </c>
      <c r="J918" s="342">
        <v>9.7</v>
      </c>
      <c r="K918" s="342">
        <v>5.0</v>
      </c>
      <c r="L918" s="342">
        <v>20.9</v>
      </c>
      <c r="M918" s="346">
        <v>49.1</v>
      </c>
      <c r="O918" s="344"/>
    </row>
    <row r="919" ht="15.75" customHeight="1">
      <c r="A919" s="335">
        <v>916.0</v>
      </c>
      <c r="B919" s="336">
        <v>916.0</v>
      </c>
      <c r="C919" s="337">
        <v>785.0</v>
      </c>
      <c r="D919" s="338" t="s">
        <v>5817</v>
      </c>
      <c r="E919" s="339" t="s">
        <v>332</v>
      </c>
      <c r="F919" s="340" t="s">
        <v>5122</v>
      </c>
      <c r="G919" s="342">
        <v>829.4</v>
      </c>
      <c r="H919" s="342">
        <v>-6.0</v>
      </c>
      <c r="I919" s="342">
        <v>72.5</v>
      </c>
      <c r="J919" s="342">
        <v>-53.1</v>
      </c>
      <c r="K919" s="342">
        <v>8.7</v>
      </c>
      <c r="L919" s="342">
        <v>14.2</v>
      </c>
      <c r="M919" s="346">
        <v>82.5</v>
      </c>
      <c r="O919" s="344"/>
    </row>
    <row r="920" ht="15.75" customHeight="1">
      <c r="A920" s="335">
        <v>917.0</v>
      </c>
      <c r="B920" s="336">
        <v>917.0</v>
      </c>
      <c r="C920" s="337" t="s">
        <v>3537</v>
      </c>
      <c r="D920" s="338" t="s">
        <v>5818</v>
      </c>
      <c r="E920" s="339" t="s">
        <v>98</v>
      </c>
      <c r="F920" s="340" t="s">
        <v>4985</v>
      </c>
      <c r="G920" s="342">
        <v>828.9</v>
      </c>
      <c r="H920" s="342">
        <v>55.7</v>
      </c>
      <c r="I920" s="342">
        <v>26.7</v>
      </c>
      <c r="J920" s="342">
        <v>189.3</v>
      </c>
      <c r="K920" s="342">
        <v>3.2</v>
      </c>
      <c r="L920" s="342">
        <v>71.9</v>
      </c>
      <c r="M920" s="346">
        <v>-3.5</v>
      </c>
      <c r="O920" s="344"/>
    </row>
    <row r="921" ht="15.75" customHeight="1">
      <c r="A921" s="335">
        <v>918.0</v>
      </c>
      <c r="B921" s="336">
        <v>918.0</v>
      </c>
      <c r="C921" s="337">
        <v>867.0</v>
      </c>
      <c r="D921" s="338" t="s">
        <v>5819</v>
      </c>
      <c r="E921" s="339" t="s">
        <v>332</v>
      </c>
      <c r="F921" s="340" t="s">
        <v>4974</v>
      </c>
      <c r="G921" s="342">
        <v>826.2</v>
      </c>
      <c r="H921" s="342">
        <v>8.5</v>
      </c>
      <c r="I921" s="342">
        <v>137.8</v>
      </c>
      <c r="J921" s="342">
        <v>36.5</v>
      </c>
      <c r="K921" s="342">
        <v>16.7</v>
      </c>
      <c r="L921" s="342">
        <v>24.9</v>
      </c>
      <c r="M921" s="346">
        <v>152.9</v>
      </c>
      <c r="O921" s="344"/>
    </row>
    <row r="922" ht="15.75" customHeight="1">
      <c r="A922" s="335">
        <v>919.0</v>
      </c>
      <c r="B922" s="336">
        <v>919.0</v>
      </c>
      <c r="C922" s="337">
        <v>882.0</v>
      </c>
      <c r="D922" s="338" t="s">
        <v>5820</v>
      </c>
      <c r="E922" s="339" t="s">
        <v>156</v>
      </c>
      <c r="F922" s="340" t="s">
        <v>3754</v>
      </c>
      <c r="G922" s="342">
        <v>825.6</v>
      </c>
      <c r="H922" s="342">
        <v>11.3</v>
      </c>
      <c r="I922" s="342">
        <v>62.0</v>
      </c>
      <c r="J922" s="342">
        <v>20.9</v>
      </c>
      <c r="K922" s="342">
        <v>7.5</v>
      </c>
      <c r="L922" s="342">
        <v>49.0</v>
      </c>
      <c r="M922" s="346">
        <v>77.4</v>
      </c>
      <c r="O922" s="344"/>
    </row>
    <row r="923" ht="15.75" customHeight="1">
      <c r="A923" s="335">
        <v>920.0</v>
      </c>
      <c r="B923" s="336">
        <v>920.0</v>
      </c>
      <c r="C923" s="337">
        <v>856.0</v>
      </c>
      <c r="D923" s="338" t="s">
        <v>5821</v>
      </c>
      <c r="E923" s="339" t="s">
        <v>98</v>
      </c>
      <c r="F923" s="340" t="s">
        <v>5015</v>
      </c>
      <c r="G923" s="342">
        <v>825.6</v>
      </c>
      <c r="H923" s="342">
        <v>6.8</v>
      </c>
      <c r="I923" s="342">
        <v>-18.8</v>
      </c>
      <c r="J923" s="342">
        <v>-240.3</v>
      </c>
      <c r="K923" s="342">
        <v>-2.3</v>
      </c>
      <c r="L923" s="342">
        <v>-9.7</v>
      </c>
      <c r="M923" s="346">
        <v>-22.6</v>
      </c>
      <c r="O923" s="344"/>
    </row>
    <row r="924" ht="15.75" customHeight="1">
      <c r="A924" s="335">
        <v>921.0</v>
      </c>
      <c r="B924" s="336">
        <v>921.0</v>
      </c>
      <c r="C924" s="337">
        <v>944.0</v>
      </c>
      <c r="D924" s="338" t="s">
        <v>5822</v>
      </c>
      <c r="E924" s="339" t="s">
        <v>482</v>
      </c>
      <c r="F924" s="340" t="s">
        <v>3256</v>
      </c>
      <c r="G924" s="342">
        <v>823.8</v>
      </c>
      <c r="H924" s="342">
        <v>26.4</v>
      </c>
      <c r="I924" s="342">
        <v>60.1</v>
      </c>
      <c r="J924" s="342">
        <v>-64.2</v>
      </c>
      <c r="K924" s="342">
        <v>7.3</v>
      </c>
      <c r="L924" s="342">
        <v>8.7</v>
      </c>
      <c r="M924" s="346">
        <v>61.8</v>
      </c>
      <c r="O924" s="344"/>
    </row>
    <row r="925" ht="15.75" customHeight="1">
      <c r="A925" s="335">
        <v>922.0</v>
      </c>
      <c r="B925" s="336">
        <v>922.0</v>
      </c>
      <c r="C925" s="337">
        <v>772.0</v>
      </c>
      <c r="D925" s="338" t="s">
        <v>5823</v>
      </c>
      <c r="E925" s="339" t="s">
        <v>1751</v>
      </c>
      <c r="F925" s="340" t="s">
        <v>4970</v>
      </c>
      <c r="G925" s="342">
        <v>819.4</v>
      </c>
      <c r="H925" s="342">
        <v>-8.9</v>
      </c>
      <c r="I925" s="342">
        <v>137.7</v>
      </c>
      <c r="J925" s="342">
        <v>-29.1</v>
      </c>
      <c r="K925" s="342">
        <v>16.8</v>
      </c>
      <c r="L925" s="342">
        <v>101.0</v>
      </c>
      <c r="M925" s="346">
        <v>145.4</v>
      </c>
      <c r="O925" s="344"/>
    </row>
    <row r="926" ht="15.75" customHeight="1">
      <c r="A926" s="335">
        <v>923.0</v>
      </c>
      <c r="B926" s="336">
        <v>923.0</v>
      </c>
      <c r="C926" s="337" t="s">
        <v>3537</v>
      </c>
      <c r="D926" s="338" t="s">
        <v>5824</v>
      </c>
      <c r="E926" s="339" t="s">
        <v>482</v>
      </c>
      <c r="F926" s="340" t="s">
        <v>5001</v>
      </c>
      <c r="G926" s="342">
        <v>816.8</v>
      </c>
      <c r="H926" s="342">
        <v>-12.0</v>
      </c>
      <c r="I926" s="342">
        <v>-77.7</v>
      </c>
      <c r="J926" s="342">
        <v>-437.7</v>
      </c>
      <c r="K926" s="342">
        <v>-9.5</v>
      </c>
      <c r="L926" s="342">
        <v>-126.6</v>
      </c>
      <c r="M926" s="346">
        <v>-11.2</v>
      </c>
      <c r="O926" s="344"/>
    </row>
    <row r="927" ht="15.75" customHeight="1">
      <c r="A927" s="335">
        <v>924.0</v>
      </c>
      <c r="B927" s="336">
        <v>924.0</v>
      </c>
      <c r="C927" s="337">
        <v>848.0</v>
      </c>
      <c r="D927" s="338" t="s">
        <v>5825</v>
      </c>
      <c r="E927" s="339" t="s">
        <v>98</v>
      </c>
      <c r="F927" s="340" t="s">
        <v>3256</v>
      </c>
      <c r="G927" s="342">
        <v>815.8</v>
      </c>
      <c r="H927" s="342">
        <v>3.9</v>
      </c>
      <c r="I927" s="342">
        <v>173.3</v>
      </c>
      <c r="J927" s="342">
        <v>1.9</v>
      </c>
      <c r="K927" s="342">
        <v>21.2</v>
      </c>
      <c r="L927" s="342">
        <v>18.3</v>
      </c>
      <c r="M927" s="346">
        <v>131.5</v>
      </c>
      <c r="O927" s="344"/>
    </row>
    <row r="928" ht="15.75" customHeight="1">
      <c r="A928" s="335">
        <v>925.0</v>
      </c>
      <c r="B928" s="336">
        <v>925.0</v>
      </c>
      <c r="C928" s="337">
        <v>931.0</v>
      </c>
      <c r="D928" s="338" t="s">
        <v>5826</v>
      </c>
      <c r="E928" s="339" t="s">
        <v>332</v>
      </c>
      <c r="F928" s="340" t="s">
        <v>5012</v>
      </c>
      <c r="G928" s="342">
        <v>814.1</v>
      </c>
      <c r="H928" s="342">
        <v>21.0</v>
      </c>
      <c r="I928" s="342">
        <v>46.8</v>
      </c>
      <c r="J928" s="342">
        <v>9.1</v>
      </c>
      <c r="K928" s="342">
        <v>5.7</v>
      </c>
      <c r="L928" s="342">
        <v>9.8</v>
      </c>
      <c r="M928" s="346">
        <v>-6.2</v>
      </c>
      <c r="O928" s="344"/>
    </row>
    <row r="929" ht="15.75" customHeight="1">
      <c r="A929" s="335">
        <v>926.0</v>
      </c>
      <c r="B929" s="336">
        <v>926.0</v>
      </c>
      <c r="C929" s="337" t="s">
        <v>3537</v>
      </c>
      <c r="D929" s="338" t="s">
        <v>5827</v>
      </c>
      <c r="E929" s="339" t="s">
        <v>1751</v>
      </c>
      <c r="F929" s="340" t="s">
        <v>5183</v>
      </c>
      <c r="G929" s="342">
        <v>813.5</v>
      </c>
      <c r="H929" s="342">
        <v>87.8</v>
      </c>
      <c r="I929" s="342">
        <v>64.9</v>
      </c>
      <c r="J929" s="342">
        <v>347.9</v>
      </c>
      <c r="K929" s="342">
        <v>8.0</v>
      </c>
      <c r="L929" s="342">
        <v>28.8</v>
      </c>
      <c r="M929" s="346">
        <v>104.5</v>
      </c>
      <c r="O929" s="344"/>
    </row>
    <row r="930" ht="15.75" customHeight="1">
      <c r="A930" s="335">
        <v>927.0</v>
      </c>
      <c r="B930" s="336">
        <v>927.0</v>
      </c>
      <c r="C930" s="337">
        <v>877.0</v>
      </c>
      <c r="D930" s="338" t="s">
        <v>5828</v>
      </c>
      <c r="E930" s="339" t="s">
        <v>156</v>
      </c>
      <c r="F930" s="340" t="s">
        <v>3754</v>
      </c>
      <c r="G930" s="342">
        <v>813.4</v>
      </c>
      <c r="H930" s="342">
        <v>9.1</v>
      </c>
      <c r="I930" s="342">
        <v>6.4</v>
      </c>
      <c r="J930" s="342">
        <v>-91.0</v>
      </c>
      <c r="K930" s="342">
        <v>0.8</v>
      </c>
      <c r="L930" s="342">
        <v>3.1</v>
      </c>
      <c r="M930" s="346">
        <v>20.3</v>
      </c>
      <c r="O930" s="344"/>
    </row>
    <row r="931" ht="15.75" customHeight="1">
      <c r="A931" s="335">
        <v>928.0</v>
      </c>
      <c r="B931" s="336">
        <v>928.0</v>
      </c>
      <c r="C931" s="337">
        <v>845.0</v>
      </c>
      <c r="D931" s="338" t="s">
        <v>5829</v>
      </c>
      <c r="E931" s="339" t="s">
        <v>332</v>
      </c>
      <c r="F931" s="340" t="s">
        <v>87</v>
      </c>
      <c r="G931" s="342">
        <v>807.5</v>
      </c>
      <c r="H931" s="342">
        <v>2.1</v>
      </c>
      <c r="I931" s="342">
        <v>25.0</v>
      </c>
      <c r="J931" s="342">
        <v>-26.4</v>
      </c>
      <c r="K931" s="342">
        <v>3.1</v>
      </c>
      <c r="L931" s="342">
        <v>18.7</v>
      </c>
      <c r="M931" s="346">
        <v>37.1</v>
      </c>
      <c r="O931" s="344"/>
    </row>
    <row r="932" ht="15.75" customHeight="1">
      <c r="A932" s="335">
        <v>929.0</v>
      </c>
      <c r="B932" s="336">
        <v>929.0</v>
      </c>
      <c r="C932" s="337">
        <v>894.0</v>
      </c>
      <c r="D932" s="338" t="s">
        <v>5830</v>
      </c>
      <c r="E932" s="339" t="s">
        <v>1751</v>
      </c>
      <c r="F932" s="340" t="s">
        <v>4963</v>
      </c>
      <c r="G932" s="342">
        <v>804.7</v>
      </c>
      <c r="H932" s="342">
        <v>10.8</v>
      </c>
      <c r="I932" s="342">
        <v>74.6</v>
      </c>
      <c r="J932" s="342">
        <v>354.2</v>
      </c>
      <c r="K932" s="342">
        <v>9.3</v>
      </c>
      <c r="L932" s="342">
        <v>6.4</v>
      </c>
      <c r="M932" s="346">
        <v>35.5</v>
      </c>
      <c r="O932" s="344"/>
    </row>
    <row r="933" ht="15.75" customHeight="1">
      <c r="A933" s="335">
        <v>930.0</v>
      </c>
      <c r="B933" s="336">
        <v>930.0</v>
      </c>
      <c r="C933" s="337">
        <v>883.0</v>
      </c>
      <c r="D933" s="338" t="s">
        <v>5831</v>
      </c>
      <c r="E933" s="339" t="s">
        <v>482</v>
      </c>
      <c r="F933" s="340" t="s">
        <v>4968</v>
      </c>
      <c r="G933" s="342">
        <v>803.4</v>
      </c>
      <c r="H933" s="342" t="s">
        <v>3537</v>
      </c>
      <c r="I933" s="342">
        <v>9.9</v>
      </c>
      <c r="J933" s="342" t="s">
        <v>3537</v>
      </c>
      <c r="K933" s="342">
        <v>1.2</v>
      </c>
      <c r="L933" s="342" t="s">
        <v>3537</v>
      </c>
      <c r="M933" s="346">
        <v>37.3</v>
      </c>
      <c r="O933" s="344"/>
    </row>
    <row r="934" ht="15.75" customHeight="1">
      <c r="A934" s="335">
        <v>931.0</v>
      </c>
      <c r="B934" s="336">
        <v>931.0</v>
      </c>
      <c r="C934" s="337">
        <v>733.0</v>
      </c>
      <c r="D934" s="338" t="s">
        <v>5832</v>
      </c>
      <c r="E934" s="339" t="s">
        <v>349</v>
      </c>
      <c r="F934" s="340" t="s">
        <v>4968</v>
      </c>
      <c r="G934" s="342">
        <v>802.8</v>
      </c>
      <c r="H934" s="342">
        <v>-16.2</v>
      </c>
      <c r="I934" s="342">
        <v>68.4</v>
      </c>
      <c r="J934" s="342">
        <v>-75.3</v>
      </c>
      <c r="K934" s="342">
        <v>8.5</v>
      </c>
      <c r="L934" s="342">
        <v>8.1</v>
      </c>
      <c r="M934" s="346">
        <v>19.7</v>
      </c>
      <c r="O934" s="344"/>
    </row>
    <row r="935" ht="15.75" customHeight="1">
      <c r="A935" s="335">
        <v>932.0</v>
      </c>
      <c r="B935" s="336">
        <v>932.0</v>
      </c>
      <c r="C935" s="337">
        <v>866.0</v>
      </c>
      <c r="D935" s="338" t="s">
        <v>5833</v>
      </c>
      <c r="E935" s="339" t="s">
        <v>482</v>
      </c>
      <c r="F935" s="340" t="s">
        <v>5172</v>
      </c>
      <c r="G935" s="342">
        <v>801.3</v>
      </c>
      <c r="H935" s="342">
        <v>5.1</v>
      </c>
      <c r="I935" s="342">
        <v>64.4</v>
      </c>
      <c r="J935" s="342">
        <v>15.5</v>
      </c>
      <c r="K935" s="342">
        <v>8.0</v>
      </c>
      <c r="L935" s="342">
        <v>10.9</v>
      </c>
      <c r="M935" s="346">
        <v>1.7</v>
      </c>
      <c r="O935" s="344"/>
    </row>
    <row r="936" ht="15.75" customHeight="1">
      <c r="A936" s="335">
        <v>933.0</v>
      </c>
      <c r="B936" s="336">
        <v>933.0</v>
      </c>
      <c r="C936" s="337" t="s">
        <v>3537</v>
      </c>
      <c r="D936" s="338" t="s">
        <v>5834</v>
      </c>
      <c r="E936" s="339" t="s">
        <v>482</v>
      </c>
      <c r="F936" s="340" t="s">
        <v>5028</v>
      </c>
      <c r="G936" s="342">
        <v>800.0</v>
      </c>
      <c r="H936" s="342">
        <v>92.4</v>
      </c>
      <c r="I936" s="342">
        <v>51.4</v>
      </c>
      <c r="J936" s="342">
        <v>547.9</v>
      </c>
      <c r="K936" s="342">
        <v>6.4</v>
      </c>
      <c r="L936" s="342">
        <v>6.0</v>
      </c>
      <c r="M936" s="346">
        <v>134.0</v>
      </c>
      <c r="O936" s="344"/>
    </row>
    <row r="937" ht="15.75" customHeight="1">
      <c r="A937" s="335">
        <v>934.0</v>
      </c>
      <c r="B937" s="336">
        <v>934.0</v>
      </c>
      <c r="C937" s="337">
        <v>968.0</v>
      </c>
      <c r="D937" s="338" t="s">
        <v>5835</v>
      </c>
      <c r="E937" s="339" t="s">
        <v>1755</v>
      </c>
      <c r="F937" s="340" t="s">
        <v>5122</v>
      </c>
      <c r="G937" s="342">
        <v>799.5</v>
      </c>
      <c r="H937" s="342">
        <v>29.0</v>
      </c>
      <c r="I937" s="342">
        <v>105.1</v>
      </c>
      <c r="J937" s="342">
        <v>23.7</v>
      </c>
      <c r="K937" s="342">
        <v>13.1</v>
      </c>
      <c r="L937" s="342">
        <v>9.3</v>
      </c>
      <c r="M937" s="346">
        <v>87.0</v>
      </c>
      <c r="O937" s="344"/>
    </row>
    <row r="938" ht="15.75" customHeight="1">
      <c r="A938" s="335">
        <v>935.0</v>
      </c>
      <c r="B938" s="336">
        <v>935.0</v>
      </c>
      <c r="C938" s="337">
        <v>998.0</v>
      </c>
      <c r="D938" s="338" t="s">
        <v>5836</v>
      </c>
      <c r="E938" s="339" t="s">
        <v>1075</v>
      </c>
      <c r="F938" s="340" t="s">
        <v>4970</v>
      </c>
      <c r="G938" s="342">
        <v>798.3</v>
      </c>
      <c r="H938" s="342">
        <v>37.2</v>
      </c>
      <c r="I938" s="342">
        <v>91.8</v>
      </c>
      <c r="J938" s="342">
        <v>72.5</v>
      </c>
      <c r="K938" s="342">
        <v>11.5</v>
      </c>
      <c r="L938" s="342">
        <v>26.3</v>
      </c>
      <c r="M938" s="346">
        <v>116.8</v>
      </c>
      <c r="O938" s="344"/>
    </row>
    <row r="939" ht="15.75" customHeight="1">
      <c r="A939" s="335">
        <v>936.0</v>
      </c>
      <c r="B939" s="336">
        <v>936.0</v>
      </c>
      <c r="C939" s="337" t="s">
        <v>3537</v>
      </c>
      <c r="D939" s="338" t="s">
        <v>5837</v>
      </c>
      <c r="E939" s="339" t="s">
        <v>156</v>
      </c>
      <c r="F939" s="340" t="s">
        <v>3256</v>
      </c>
      <c r="G939" s="342">
        <v>796.0</v>
      </c>
      <c r="H939" s="342">
        <v>35.5</v>
      </c>
      <c r="I939" s="342">
        <v>4.9</v>
      </c>
      <c r="J939" s="342">
        <v>-34.1</v>
      </c>
      <c r="K939" s="342">
        <v>0.6</v>
      </c>
      <c r="L939" s="342">
        <v>3.6</v>
      </c>
      <c r="M939" s="346">
        <v>63.3</v>
      </c>
      <c r="O939" s="344"/>
    </row>
    <row r="940" ht="15.75" customHeight="1">
      <c r="A940" s="335">
        <v>937.0</v>
      </c>
      <c r="B940" s="336">
        <v>937.0</v>
      </c>
      <c r="C940" s="337">
        <v>921.0</v>
      </c>
      <c r="D940" s="338" t="s">
        <v>5838</v>
      </c>
      <c r="E940" s="339" t="s">
        <v>574</v>
      </c>
      <c r="F940" s="340" t="s">
        <v>3754</v>
      </c>
      <c r="G940" s="342">
        <v>795.5</v>
      </c>
      <c r="H940" s="342">
        <v>15.1</v>
      </c>
      <c r="I940" s="342">
        <v>35.0</v>
      </c>
      <c r="J940" s="342">
        <v>15.5</v>
      </c>
      <c r="K940" s="342">
        <v>4.4</v>
      </c>
      <c r="L940" s="342">
        <v>26.3</v>
      </c>
      <c r="M940" s="346">
        <v>12.8</v>
      </c>
      <c r="O940" s="344"/>
    </row>
    <row r="941" ht="15.75" customHeight="1">
      <c r="A941" s="335">
        <v>938.0</v>
      </c>
      <c r="B941" s="336">
        <v>938.0</v>
      </c>
      <c r="C941" s="337" t="s">
        <v>3537</v>
      </c>
      <c r="D941" s="338" t="s">
        <v>5839</v>
      </c>
      <c r="E941" s="339" t="s">
        <v>1751</v>
      </c>
      <c r="F941" s="340" t="s">
        <v>5183</v>
      </c>
      <c r="G941" s="342">
        <v>791.6</v>
      </c>
      <c r="H941" s="342">
        <v>147.1</v>
      </c>
      <c r="I941" s="342">
        <v>75.0</v>
      </c>
      <c r="J941" s="341">
        <v>1318.7</v>
      </c>
      <c r="K941" s="342">
        <v>9.5</v>
      </c>
      <c r="L941" s="342">
        <v>100.6</v>
      </c>
      <c r="M941" s="346">
        <v>210.9</v>
      </c>
      <c r="O941" s="344"/>
    </row>
    <row r="942" ht="15.75" customHeight="1">
      <c r="A942" s="335">
        <v>939.0</v>
      </c>
      <c r="B942" s="336">
        <v>939.0</v>
      </c>
      <c r="C942" s="337">
        <v>831.0</v>
      </c>
      <c r="D942" s="338" t="s">
        <v>5840</v>
      </c>
      <c r="E942" s="339" t="s">
        <v>482</v>
      </c>
      <c r="F942" s="340" t="s">
        <v>4976</v>
      </c>
      <c r="G942" s="342">
        <v>789.8</v>
      </c>
      <c r="H942" s="342">
        <v>-2.7</v>
      </c>
      <c r="I942" s="342">
        <v>50.7</v>
      </c>
      <c r="J942" s="342">
        <v>66.4</v>
      </c>
      <c r="K942" s="342">
        <v>6.4</v>
      </c>
      <c r="L942" s="342">
        <v>53.3</v>
      </c>
      <c r="M942" s="346">
        <v>63.1</v>
      </c>
      <c r="O942" s="344"/>
    </row>
    <row r="943" ht="15.75" customHeight="1">
      <c r="A943" s="335">
        <v>940.0</v>
      </c>
      <c r="B943" s="336">
        <v>940.0</v>
      </c>
      <c r="C943" s="337" t="s">
        <v>3537</v>
      </c>
      <c r="D943" s="338" t="s">
        <v>5841</v>
      </c>
      <c r="E943" s="339" t="s">
        <v>482</v>
      </c>
      <c r="F943" s="340" t="s">
        <v>5001</v>
      </c>
      <c r="G943" s="342">
        <v>789.7</v>
      </c>
      <c r="H943" s="342">
        <v>89.8</v>
      </c>
      <c r="I943" s="342">
        <v>17.6</v>
      </c>
      <c r="J943" s="342">
        <v>127.9</v>
      </c>
      <c r="K943" s="342">
        <v>2.2</v>
      </c>
      <c r="L943" s="342" t="s">
        <v>5021</v>
      </c>
      <c r="M943" s="346">
        <v>-47.5</v>
      </c>
      <c r="O943" s="344"/>
    </row>
    <row r="944" ht="15.75" customHeight="1">
      <c r="A944" s="335">
        <v>941.0</v>
      </c>
      <c r="B944" s="336">
        <v>941.0</v>
      </c>
      <c r="C944" s="337">
        <v>852.0</v>
      </c>
      <c r="D944" s="338" t="s">
        <v>5842</v>
      </c>
      <c r="E944" s="339" t="s">
        <v>3439</v>
      </c>
      <c r="F944" s="340" t="s">
        <v>5018</v>
      </c>
      <c r="G944" s="342">
        <v>788.3</v>
      </c>
      <c r="H944" s="342">
        <v>1.2</v>
      </c>
      <c r="I944" s="342">
        <v>12.2</v>
      </c>
      <c r="J944" s="342">
        <v>-79.0</v>
      </c>
      <c r="K944" s="342">
        <v>1.5</v>
      </c>
      <c r="L944" s="342">
        <v>0.5</v>
      </c>
      <c r="M944" s="346">
        <v>-31.5</v>
      </c>
      <c r="O944" s="344"/>
    </row>
    <row r="945" ht="15.75" customHeight="1">
      <c r="A945" s="335">
        <v>942.0</v>
      </c>
      <c r="B945" s="336">
        <v>942.0</v>
      </c>
      <c r="C945" s="337">
        <v>886.0</v>
      </c>
      <c r="D945" s="338" t="s">
        <v>5843</v>
      </c>
      <c r="E945" s="339" t="s">
        <v>332</v>
      </c>
      <c r="F945" s="340" t="s">
        <v>3256</v>
      </c>
      <c r="G945" s="342">
        <v>787.0</v>
      </c>
      <c r="H945" s="342">
        <v>6.5</v>
      </c>
      <c r="I945" s="342">
        <v>14.4</v>
      </c>
      <c r="J945" s="342">
        <v>-64.7</v>
      </c>
      <c r="K945" s="342">
        <v>1.8</v>
      </c>
      <c r="L945" s="342">
        <v>8.2</v>
      </c>
      <c r="M945" s="346">
        <v>-70.1</v>
      </c>
      <c r="O945" s="344"/>
    </row>
    <row r="946" ht="15.75" customHeight="1">
      <c r="A946" s="335">
        <v>943.0</v>
      </c>
      <c r="B946" s="336">
        <v>943.0</v>
      </c>
      <c r="C946" s="337">
        <v>939.0</v>
      </c>
      <c r="D946" s="338" t="s">
        <v>5844</v>
      </c>
      <c r="E946" s="339" t="s">
        <v>98</v>
      </c>
      <c r="F946" s="340" t="s">
        <v>3256</v>
      </c>
      <c r="G946" s="342">
        <v>787.0</v>
      </c>
      <c r="H946" s="342">
        <v>19.2</v>
      </c>
      <c r="I946" s="342">
        <v>115.9</v>
      </c>
      <c r="J946" s="342">
        <v>20.6</v>
      </c>
      <c r="K946" s="342">
        <v>14.7</v>
      </c>
      <c r="L946" s="342">
        <v>28.8</v>
      </c>
      <c r="M946" s="346">
        <v>89.2</v>
      </c>
      <c r="O946" s="344"/>
    </row>
    <row r="947" ht="15.75" customHeight="1">
      <c r="A947" s="335">
        <v>944.0</v>
      </c>
      <c r="B947" s="336">
        <v>944.0</v>
      </c>
      <c r="C947" s="337">
        <v>889.0</v>
      </c>
      <c r="D947" s="338" t="s">
        <v>5845</v>
      </c>
      <c r="E947" s="339" t="s">
        <v>156</v>
      </c>
      <c r="F947" s="340" t="s">
        <v>3754</v>
      </c>
      <c r="G947" s="342">
        <v>786.1</v>
      </c>
      <c r="H947" s="342">
        <v>7.2</v>
      </c>
      <c r="I947" s="342">
        <v>11.7</v>
      </c>
      <c r="J947" s="342">
        <v>-56.8</v>
      </c>
      <c r="K947" s="342">
        <v>1.5</v>
      </c>
      <c r="L947" s="342">
        <v>9.8</v>
      </c>
      <c r="M947" s="346">
        <v>16.0</v>
      </c>
      <c r="O947" s="344"/>
    </row>
    <row r="948" ht="15.75" customHeight="1">
      <c r="A948" s="335">
        <v>945.0</v>
      </c>
      <c r="B948" s="336">
        <v>945.0</v>
      </c>
      <c r="C948" s="337">
        <v>940.0</v>
      </c>
      <c r="D948" s="338" t="s">
        <v>5846</v>
      </c>
      <c r="E948" s="339" t="s">
        <v>482</v>
      </c>
      <c r="F948" s="340" t="s">
        <v>5028</v>
      </c>
      <c r="G948" s="342">
        <v>782.6</v>
      </c>
      <c r="H948" s="342">
        <v>19.4</v>
      </c>
      <c r="I948" s="342">
        <v>-32.0</v>
      </c>
      <c r="J948" s="342">
        <v>-191.8</v>
      </c>
      <c r="K948" s="342">
        <v>-4.1</v>
      </c>
      <c r="L948" s="342">
        <v>-106.0</v>
      </c>
      <c r="M948" s="346">
        <v>-12.7</v>
      </c>
      <c r="O948" s="344"/>
    </row>
    <row r="949" ht="15.75" customHeight="1">
      <c r="A949" s="335">
        <v>946.0</v>
      </c>
      <c r="B949" s="336">
        <v>946.0</v>
      </c>
      <c r="C949" s="337">
        <v>942.0</v>
      </c>
      <c r="D949" s="338" t="s">
        <v>5847</v>
      </c>
      <c r="E949" s="339" t="s">
        <v>574</v>
      </c>
      <c r="F949" s="340" t="s">
        <v>87</v>
      </c>
      <c r="G949" s="342">
        <v>777.9</v>
      </c>
      <c r="H949" s="342">
        <v>19.0</v>
      </c>
      <c r="I949" s="342">
        <v>96.7</v>
      </c>
      <c r="J949" s="342">
        <v>-10.0</v>
      </c>
      <c r="K949" s="342">
        <v>12.4</v>
      </c>
      <c r="L949" s="342">
        <v>57.7</v>
      </c>
      <c r="M949" s="346">
        <v>59.3</v>
      </c>
      <c r="O949" s="344"/>
    </row>
    <row r="950" ht="15.75" customHeight="1">
      <c r="A950" s="335">
        <v>947.0</v>
      </c>
      <c r="B950" s="336">
        <v>947.0</v>
      </c>
      <c r="C950" s="337">
        <v>798.0</v>
      </c>
      <c r="D950" s="338" t="s">
        <v>5848</v>
      </c>
      <c r="E950" s="339" t="s">
        <v>332</v>
      </c>
      <c r="F950" s="340" t="s">
        <v>4999</v>
      </c>
      <c r="G950" s="342">
        <v>777.6</v>
      </c>
      <c r="H950" s="342">
        <v>-9.1</v>
      </c>
      <c r="I950" s="342">
        <v>-3.2</v>
      </c>
      <c r="J950" s="342">
        <v>88.3</v>
      </c>
      <c r="K950" s="342">
        <v>-0.4</v>
      </c>
      <c r="L950" s="342">
        <v>-233.8</v>
      </c>
      <c r="M950" s="346">
        <v>67.5</v>
      </c>
      <c r="O950" s="344"/>
    </row>
    <row r="951" ht="15.75" customHeight="1">
      <c r="A951" s="335">
        <v>948.0</v>
      </c>
      <c r="B951" s="336">
        <v>948.0</v>
      </c>
      <c r="C951" s="337">
        <v>899.0</v>
      </c>
      <c r="D951" s="338" t="s">
        <v>5849</v>
      </c>
      <c r="E951" s="339" t="s">
        <v>349</v>
      </c>
      <c r="F951" s="340" t="s">
        <v>3754</v>
      </c>
      <c r="G951" s="342">
        <v>775.8</v>
      </c>
      <c r="H951" s="342">
        <v>7.5</v>
      </c>
      <c r="I951" s="342">
        <v>-106.1</v>
      </c>
      <c r="J951" s="342">
        <v>0.6</v>
      </c>
      <c r="K951" s="342">
        <v>-13.7</v>
      </c>
      <c r="L951" s="342">
        <v>-76.6</v>
      </c>
      <c r="M951" s="346">
        <v>-67.9</v>
      </c>
      <c r="O951" s="344"/>
    </row>
    <row r="952" ht="15.75" customHeight="1">
      <c r="A952" s="335">
        <v>949.0</v>
      </c>
      <c r="B952" s="336">
        <v>949.0</v>
      </c>
      <c r="C952" s="337" t="s">
        <v>3537</v>
      </c>
      <c r="D952" s="338" t="s">
        <v>5850</v>
      </c>
      <c r="E952" s="339" t="s">
        <v>482</v>
      </c>
      <c r="F952" s="340" t="s">
        <v>4970</v>
      </c>
      <c r="G952" s="342">
        <v>775.3</v>
      </c>
      <c r="H952" s="342">
        <v>41.7</v>
      </c>
      <c r="I952" s="342">
        <v>56.8</v>
      </c>
      <c r="J952" s="342">
        <v>41.2</v>
      </c>
      <c r="K952" s="342">
        <v>7.3</v>
      </c>
      <c r="L952" s="342">
        <v>20.6</v>
      </c>
      <c r="M952" s="346">
        <v>87.8</v>
      </c>
      <c r="O952" s="344"/>
    </row>
    <row r="953" ht="15.75" customHeight="1">
      <c r="A953" s="335">
        <v>950.0</v>
      </c>
      <c r="B953" s="336">
        <v>950.0</v>
      </c>
      <c r="C953" s="337" t="s">
        <v>3537</v>
      </c>
      <c r="D953" s="338" t="s">
        <v>5851</v>
      </c>
      <c r="E953" s="339" t="s">
        <v>482</v>
      </c>
      <c r="F953" s="340" t="s">
        <v>5012</v>
      </c>
      <c r="G953" s="342">
        <v>775.3</v>
      </c>
      <c r="H953" s="342">
        <v>35.2</v>
      </c>
      <c r="I953" s="342">
        <v>90.1</v>
      </c>
      <c r="J953" s="342">
        <v>2.7</v>
      </c>
      <c r="K953" s="342">
        <v>11.6</v>
      </c>
      <c r="L953" s="342">
        <v>103.0</v>
      </c>
      <c r="M953" s="346">
        <v>110.4</v>
      </c>
      <c r="O953" s="344"/>
    </row>
    <row r="954" ht="15.75" customHeight="1">
      <c r="A954" s="335">
        <v>951.0</v>
      </c>
      <c r="B954" s="336">
        <v>951.0</v>
      </c>
      <c r="C954" s="337" t="s">
        <v>3537</v>
      </c>
      <c r="D954" s="338" t="s">
        <v>5852</v>
      </c>
      <c r="E954" s="339" t="s">
        <v>482</v>
      </c>
      <c r="F954" s="340" t="s">
        <v>4983</v>
      </c>
      <c r="G954" s="342">
        <v>774.1</v>
      </c>
      <c r="H954" s="342">
        <v>-43.2</v>
      </c>
      <c r="I954" s="342">
        <v>138.8</v>
      </c>
      <c r="J954" s="342">
        <v>200.5</v>
      </c>
      <c r="K954" s="342">
        <v>17.9</v>
      </c>
      <c r="L954" s="342">
        <v>58.4</v>
      </c>
      <c r="M954" s="346">
        <v>208.2</v>
      </c>
      <c r="O954" s="344"/>
    </row>
    <row r="955" ht="15.75" customHeight="1">
      <c r="A955" s="335">
        <v>952.0</v>
      </c>
      <c r="B955" s="336">
        <v>952.0</v>
      </c>
      <c r="C955" s="337">
        <v>888.0</v>
      </c>
      <c r="D955" s="338" t="s">
        <v>5853</v>
      </c>
      <c r="E955" s="339" t="s">
        <v>482</v>
      </c>
      <c r="F955" s="340" t="s">
        <v>5122</v>
      </c>
      <c r="G955" s="342">
        <v>770.5</v>
      </c>
      <c r="H955" s="342">
        <v>4.6</v>
      </c>
      <c r="I955" s="342">
        <v>613.0</v>
      </c>
      <c r="J955" s="342">
        <v>16.0</v>
      </c>
      <c r="K955" s="342">
        <v>79.6</v>
      </c>
      <c r="L955" s="342">
        <v>12.8</v>
      </c>
      <c r="M955" s="346">
        <v>546.2</v>
      </c>
      <c r="O955" s="344"/>
    </row>
    <row r="956" ht="15.75" customHeight="1">
      <c r="A956" s="335">
        <v>953.0</v>
      </c>
      <c r="B956" s="336">
        <v>953.0</v>
      </c>
      <c r="C956" s="337">
        <v>868.0</v>
      </c>
      <c r="D956" s="338" t="s">
        <v>5854</v>
      </c>
      <c r="E956" s="339" t="s">
        <v>482</v>
      </c>
      <c r="F956" s="340" t="s">
        <v>4983</v>
      </c>
      <c r="G956" s="342">
        <v>769.6</v>
      </c>
      <c r="H956" s="342">
        <v>1.4</v>
      </c>
      <c r="I956" s="342">
        <v>-301.6</v>
      </c>
      <c r="J956" s="342">
        <v>-193.2</v>
      </c>
      <c r="K956" s="342">
        <v>-39.2</v>
      </c>
      <c r="L956" s="342">
        <v>-19.8</v>
      </c>
      <c r="M956" s="346">
        <v>-109.2</v>
      </c>
      <c r="O956" s="344"/>
    </row>
    <row r="957" ht="15.75" customHeight="1">
      <c r="A957" s="335">
        <v>954.0</v>
      </c>
      <c r="B957" s="336">
        <v>954.0</v>
      </c>
      <c r="C957" s="337" t="s">
        <v>3537</v>
      </c>
      <c r="D957" s="338" t="s">
        <v>5855</v>
      </c>
      <c r="E957" s="339" t="s">
        <v>482</v>
      </c>
      <c r="F957" s="340" t="s">
        <v>87</v>
      </c>
      <c r="G957" s="342">
        <v>769.1</v>
      </c>
      <c r="H957" s="342">
        <v>46.2</v>
      </c>
      <c r="I957" s="342">
        <v>219.3</v>
      </c>
      <c r="J957" s="342">
        <v>492.9</v>
      </c>
      <c r="K957" s="342">
        <v>28.5</v>
      </c>
      <c r="L957" s="342">
        <v>106.9</v>
      </c>
      <c r="M957" s="346">
        <v>193.4</v>
      </c>
      <c r="O957" s="344"/>
    </row>
    <row r="958" ht="15.75" customHeight="1">
      <c r="A958" s="335">
        <v>955.0</v>
      </c>
      <c r="B958" s="336">
        <v>955.0</v>
      </c>
      <c r="C958" s="337">
        <v>821.0</v>
      </c>
      <c r="D958" s="338" t="s">
        <v>5856</v>
      </c>
      <c r="E958" s="339" t="s">
        <v>482</v>
      </c>
      <c r="F958" s="340" t="s">
        <v>5018</v>
      </c>
      <c r="G958" s="342">
        <v>767.3</v>
      </c>
      <c r="H958" s="342">
        <v>-6.1</v>
      </c>
      <c r="I958" s="342">
        <v>112.2</v>
      </c>
      <c r="J958" s="342">
        <v>0.1</v>
      </c>
      <c r="K958" s="342">
        <v>14.6</v>
      </c>
      <c r="L958" s="342">
        <v>6.7</v>
      </c>
      <c r="M958" s="346">
        <v>240.1</v>
      </c>
      <c r="O958" s="344"/>
    </row>
    <row r="959" ht="15.75" customHeight="1">
      <c r="A959" s="335">
        <v>956.0</v>
      </c>
      <c r="B959" s="336">
        <v>956.0</v>
      </c>
      <c r="C959" s="337">
        <v>586.0</v>
      </c>
      <c r="D959" s="338" t="s">
        <v>5857</v>
      </c>
      <c r="E959" s="339" t="s">
        <v>482</v>
      </c>
      <c r="F959" s="340" t="s">
        <v>4983</v>
      </c>
      <c r="G959" s="342">
        <v>767.2</v>
      </c>
      <c r="H959" s="342">
        <v>-42.2</v>
      </c>
      <c r="I959" s="342">
        <v>37.2</v>
      </c>
      <c r="J959" s="342">
        <v>-24.4</v>
      </c>
      <c r="K959" s="342">
        <v>4.8</v>
      </c>
      <c r="L959" s="342">
        <v>48.3</v>
      </c>
      <c r="M959" s="346">
        <v>46.9</v>
      </c>
      <c r="O959" s="344"/>
    </row>
    <row r="960" ht="15.75" customHeight="1">
      <c r="A960" s="335">
        <v>957.0</v>
      </c>
      <c r="B960" s="336">
        <v>957.0</v>
      </c>
      <c r="C960" s="337">
        <v>933.0</v>
      </c>
      <c r="D960" s="338" t="s">
        <v>5858</v>
      </c>
      <c r="E960" s="339" t="s">
        <v>98</v>
      </c>
      <c r="F960" s="340" t="s">
        <v>4968</v>
      </c>
      <c r="G960" s="342">
        <v>765.5</v>
      </c>
      <c r="H960" s="342">
        <v>13.8</v>
      </c>
      <c r="I960" s="342">
        <v>35.4</v>
      </c>
      <c r="J960" s="342">
        <v>-15.2</v>
      </c>
      <c r="K960" s="342">
        <v>4.6</v>
      </c>
      <c r="L960" s="342">
        <v>18.4</v>
      </c>
      <c r="M960" s="346">
        <v>50.0</v>
      </c>
      <c r="O960" s="344"/>
    </row>
    <row r="961" ht="15.75" customHeight="1">
      <c r="A961" s="335">
        <v>958.0</v>
      </c>
      <c r="B961" s="336">
        <v>958.0</v>
      </c>
      <c r="C961" s="337">
        <v>901.0</v>
      </c>
      <c r="D961" s="338" t="s">
        <v>5859</v>
      </c>
      <c r="E961" s="339" t="s">
        <v>98</v>
      </c>
      <c r="F961" s="340" t="s">
        <v>5055</v>
      </c>
      <c r="G961" s="342">
        <v>764.0</v>
      </c>
      <c r="H961" s="342">
        <v>5.9</v>
      </c>
      <c r="I961" s="342">
        <v>62.2</v>
      </c>
      <c r="J961" s="342">
        <v>29.7</v>
      </c>
      <c r="K961" s="342">
        <v>8.1</v>
      </c>
      <c r="L961" s="342">
        <v>61.2</v>
      </c>
      <c r="M961" s="346">
        <v>51.2</v>
      </c>
      <c r="O961" s="344"/>
    </row>
    <row r="962" ht="15.75" customHeight="1">
      <c r="A962" s="335">
        <v>959.0</v>
      </c>
      <c r="B962" s="336">
        <v>959.0</v>
      </c>
      <c r="C962" s="337" t="s">
        <v>3537</v>
      </c>
      <c r="D962" s="338" t="s">
        <v>5860</v>
      </c>
      <c r="E962" s="339" t="s">
        <v>98</v>
      </c>
      <c r="F962" s="340" t="s">
        <v>3256</v>
      </c>
      <c r="G962" s="342">
        <v>763.7</v>
      </c>
      <c r="H962" s="342">
        <v>49.9</v>
      </c>
      <c r="I962" s="342">
        <v>34.3</v>
      </c>
      <c r="J962" s="342">
        <v>19.1</v>
      </c>
      <c r="K962" s="342">
        <v>4.5</v>
      </c>
      <c r="L962" s="342">
        <v>79.1</v>
      </c>
      <c r="M962" s="346">
        <v>44.7</v>
      </c>
      <c r="O962" s="344"/>
    </row>
    <row r="963" ht="15.75" customHeight="1">
      <c r="A963" s="335">
        <v>960.0</v>
      </c>
      <c r="B963" s="336">
        <v>960.0</v>
      </c>
      <c r="C963" s="337">
        <v>920.0</v>
      </c>
      <c r="D963" s="338" t="s">
        <v>5861</v>
      </c>
      <c r="E963" s="339" t="s">
        <v>482</v>
      </c>
      <c r="F963" s="340" t="s">
        <v>4970</v>
      </c>
      <c r="G963" s="342">
        <v>761.2</v>
      </c>
      <c r="H963" s="342">
        <v>10.2</v>
      </c>
      <c r="I963" s="342">
        <v>882.0</v>
      </c>
      <c r="J963" s="342">
        <v>254.0</v>
      </c>
      <c r="K963" s="342">
        <v>115.9</v>
      </c>
      <c r="L963" s="342" t="s">
        <v>5021</v>
      </c>
      <c r="M963" s="346">
        <v>71.4</v>
      </c>
      <c r="O963" s="344"/>
    </row>
    <row r="964" ht="15.75" customHeight="1">
      <c r="A964" s="335">
        <v>961.0</v>
      </c>
      <c r="B964" s="336">
        <v>961.0</v>
      </c>
      <c r="C964" s="337">
        <v>855.0</v>
      </c>
      <c r="D964" s="338" t="s">
        <v>5862</v>
      </c>
      <c r="E964" s="339" t="s">
        <v>482</v>
      </c>
      <c r="F964" s="340" t="s">
        <v>5122</v>
      </c>
      <c r="G964" s="342">
        <v>760.3</v>
      </c>
      <c r="H964" s="342">
        <v>-1.8</v>
      </c>
      <c r="I964" s="342">
        <v>69.7</v>
      </c>
      <c r="J964" s="342">
        <v>-47.1</v>
      </c>
      <c r="K964" s="342">
        <v>9.2</v>
      </c>
      <c r="L964" s="342">
        <v>5.4</v>
      </c>
      <c r="M964" s="346">
        <v>93.4</v>
      </c>
      <c r="O964" s="344"/>
    </row>
    <row r="965" ht="15.75" customHeight="1">
      <c r="A965" s="335">
        <v>962.0</v>
      </c>
      <c r="B965" s="336">
        <v>962.0</v>
      </c>
      <c r="C965" s="337" t="s">
        <v>3537</v>
      </c>
      <c r="D965" s="338" t="s">
        <v>5863</v>
      </c>
      <c r="E965" s="339" t="s">
        <v>482</v>
      </c>
      <c r="F965" s="340" t="s">
        <v>5122</v>
      </c>
      <c r="G965" s="342">
        <v>758.6</v>
      </c>
      <c r="H965" s="342">
        <v>32.2</v>
      </c>
      <c r="I965" s="342">
        <v>37.2</v>
      </c>
      <c r="J965" s="342">
        <v>35.9</v>
      </c>
      <c r="K965" s="342">
        <v>4.9</v>
      </c>
      <c r="L965" s="342">
        <v>3.7</v>
      </c>
      <c r="M965" s="346">
        <v>45.0</v>
      </c>
      <c r="O965" s="344"/>
    </row>
    <row r="966" ht="15.75" customHeight="1">
      <c r="A966" s="335">
        <v>963.0</v>
      </c>
      <c r="B966" s="336">
        <v>963.0</v>
      </c>
      <c r="C966" s="337">
        <v>974.0</v>
      </c>
      <c r="D966" s="338" t="s">
        <v>5864</v>
      </c>
      <c r="E966" s="339" t="s">
        <v>482</v>
      </c>
      <c r="F966" s="340" t="s">
        <v>4985</v>
      </c>
      <c r="G966" s="342">
        <v>756.7</v>
      </c>
      <c r="H966" s="342">
        <v>23.6</v>
      </c>
      <c r="I966" s="342">
        <v>-243.0</v>
      </c>
      <c r="J966" s="342">
        <v>-444.3</v>
      </c>
      <c r="K966" s="342">
        <v>-32.1</v>
      </c>
      <c r="L966" s="342">
        <v>-22.5</v>
      </c>
      <c r="M966" s="346">
        <v>-289.0</v>
      </c>
      <c r="O966" s="344"/>
    </row>
    <row r="967" ht="15.75" customHeight="1">
      <c r="A967" s="335">
        <v>964.0</v>
      </c>
      <c r="B967" s="336">
        <v>964.0</v>
      </c>
      <c r="C967" s="337" t="s">
        <v>3537</v>
      </c>
      <c r="D967" s="338" t="s">
        <v>5865</v>
      </c>
      <c r="E967" s="339" t="s">
        <v>98</v>
      </c>
      <c r="F967" s="340" t="s">
        <v>3256</v>
      </c>
      <c r="G967" s="342">
        <v>756.3</v>
      </c>
      <c r="H967" s="342">
        <v>46.2</v>
      </c>
      <c r="I967" s="342">
        <v>31.1</v>
      </c>
      <c r="J967" s="341">
        <v>1714.8</v>
      </c>
      <c r="K967" s="342">
        <v>4.1</v>
      </c>
      <c r="L967" s="342">
        <v>39.5</v>
      </c>
      <c r="M967" s="346">
        <v>55.7</v>
      </c>
      <c r="O967" s="344"/>
    </row>
    <row r="968" ht="15.75" customHeight="1">
      <c r="A968" s="335">
        <v>965.0</v>
      </c>
      <c r="B968" s="336">
        <v>965.0</v>
      </c>
      <c r="C968" s="337">
        <v>964.0</v>
      </c>
      <c r="D968" s="338" t="s">
        <v>5866</v>
      </c>
      <c r="E968" s="339" t="s">
        <v>482</v>
      </c>
      <c r="F968" s="340" t="s">
        <v>4985</v>
      </c>
      <c r="G968" s="342">
        <v>756.0</v>
      </c>
      <c r="H968" s="342">
        <v>20.8</v>
      </c>
      <c r="I968" s="342">
        <v>85.5</v>
      </c>
      <c r="J968" s="342">
        <v>112.2</v>
      </c>
      <c r="K968" s="342">
        <v>11.3</v>
      </c>
      <c r="L968" s="342">
        <v>57.6</v>
      </c>
      <c r="M968" s="346">
        <v>129.9</v>
      </c>
      <c r="O968" s="344"/>
    </row>
    <row r="969" ht="15.75" customHeight="1">
      <c r="A969" s="335">
        <v>966.0</v>
      </c>
      <c r="B969" s="336">
        <v>966.0</v>
      </c>
      <c r="C969" s="337" t="s">
        <v>3537</v>
      </c>
      <c r="D969" s="338" t="s">
        <v>5867</v>
      </c>
      <c r="E969" s="339" t="s">
        <v>482</v>
      </c>
      <c r="F969" s="340" t="s">
        <v>87</v>
      </c>
      <c r="G969" s="342">
        <v>755.0</v>
      </c>
      <c r="H969" s="342">
        <v>74.1</v>
      </c>
      <c r="I969" s="342">
        <v>8.8</v>
      </c>
      <c r="J969" s="342">
        <v>-49.4</v>
      </c>
      <c r="K969" s="342">
        <v>1.2</v>
      </c>
      <c r="L969" s="342">
        <v>20.9</v>
      </c>
      <c r="M969" s="346">
        <v>-8.2</v>
      </c>
      <c r="O969" s="344"/>
    </row>
    <row r="970" ht="15.75" customHeight="1">
      <c r="A970" s="335">
        <v>967.0</v>
      </c>
      <c r="B970" s="336">
        <v>967.0</v>
      </c>
      <c r="C970" s="337" t="s">
        <v>3537</v>
      </c>
      <c r="D970" s="338" t="s">
        <v>5868</v>
      </c>
      <c r="E970" s="339" t="s">
        <v>1075</v>
      </c>
      <c r="F970" s="340" t="s">
        <v>5183</v>
      </c>
      <c r="G970" s="342">
        <v>749.2</v>
      </c>
      <c r="H970" s="342">
        <v>61.3</v>
      </c>
      <c r="I970" s="342">
        <v>-9.9</v>
      </c>
      <c r="J970" s="342">
        <v>-298.3</v>
      </c>
      <c r="K970" s="342">
        <v>-1.3</v>
      </c>
      <c r="L970" s="342">
        <v>-10.1</v>
      </c>
      <c r="M970" s="346">
        <v>8.6</v>
      </c>
      <c r="O970" s="344"/>
    </row>
    <row r="971" ht="15.75" customHeight="1">
      <c r="A971" s="335">
        <v>968.0</v>
      </c>
      <c r="B971" s="336">
        <v>968.0</v>
      </c>
      <c r="C971" s="337" t="s">
        <v>3537</v>
      </c>
      <c r="D971" s="338" t="s">
        <v>5869</v>
      </c>
      <c r="E971" s="339" t="s">
        <v>1044</v>
      </c>
      <c r="F971" s="340" t="s">
        <v>4960</v>
      </c>
      <c r="G971" s="342">
        <v>744.0</v>
      </c>
      <c r="H971" s="342">
        <v>67.6</v>
      </c>
      <c r="I971" s="342">
        <v>63.7</v>
      </c>
      <c r="J971" s="342">
        <v>22.0</v>
      </c>
      <c r="K971" s="342">
        <v>8.6</v>
      </c>
      <c r="L971" s="342">
        <v>41.6</v>
      </c>
      <c r="M971" s="346">
        <v>52.0</v>
      </c>
      <c r="O971" s="344"/>
    </row>
    <row r="972" ht="15.75" customHeight="1">
      <c r="A972" s="335">
        <v>969.0</v>
      </c>
      <c r="B972" s="336">
        <v>969.0</v>
      </c>
      <c r="C972" s="337">
        <v>799.0</v>
      </c>
      <c r="D972" s="338" t="s">
        <v>5870</v>
      </c>
      <c r="E972" s="339" t="s">
        <v>482</v>
      </c>
      <c r="F972" s="340" t="s">
        <v>5055</v>
      </c>
      <c r="G972" s="342">
        <v>743.7</v>
      </c>
      <c r="H972" s="342">
        <v>-13.0</v>
      </c>
      <c r="I972" s="342">
        <v>31.4</v>
      </c>
      <c r="J972" s="342">
        <v>-60.0</v>
      </c>
      <c r="K972" s="342">
        <v>4.2</v>
      </c>
      <c r="L972" s="342">
        <v>25.9</v>
      </c>
      <c r="M972" s="346">
        <v>35.5</v>
      </c>
      <c r="O972" s="344"/>
    </row>
    <row r="973" ht="15.75" customHeight="1">
      <c r="A973" s="335">
        <v>970.0</v>
      </c>
      <c r="B973" s="336">
        <v>970.0</v>
      </c>
      <c r="C973" s="337" t="s">
        <v>3537</v>
      </c>
      <c r="D973" s="338" t="s">
        <v>5871</v>
      </c>
      <c r="E973" s="339" t="s">
        <v>1751</v>
      </c>
      <c r="F973" s="340" t="s">
        <v>5050</v>
      </c>
      <c r="G973" s="342">
        <v>743.3</v>
      </c>
      <c r="H973" s="342">
        <v>-0.6</v>
      </c>
      <c r="I973" s="342">
        <v>85.7</v>
      </c>
      <c r="J973" s="342">
        <v>-41.6</v>
      </c>
      <c r="K973" s="342">
        <v>11.5</v>
      </c>
      <c r="L973" s="342">
        <v>16.9</v>
      </c>
      <c r="M973" s="346">
        <v>17.8</v>
      </c>
      <c r="O973" s="344"/>
    </row>
    <row r="974" ht="15.75" customHeight="1">
      <c r="A974" s="335">
        <v>971.0</v>
      </c>
      <c r="B974" s="336">
        <v>971.0</v>
      </c>
      <c r="C974" s="337" t="s">
        <v>3537</v>
      </c>
      <c r="D974" s="338" t="s">
        <v>5872</v>
      </c>
      <c r="E974" s="339" t="s">
        <v>1751</v>
      </c>
      <c r="F974" s="340" t="s">
        <v>5172</v>
      </c>
      <c r="G974" s="342">
        <v>743.1</v>
      </c>
      <c r="H974" s="342">
        <v>111.0</v>
      </c>
      <c r="I974" s="342">
        <v>-95.2</v>
      </c>
      <c r="J974" s="342">
        <v>-419.2</v>
      </c>
      <c r="K974" s="342">
        <v>-12.8</v>
      </c>
      <c r="L974" s="342">
        <v>-27.4</v>
      </c>
      <c r="M974" s="346">
        <v>84.8</v>
      </c>
      <c r="O974" s="344"/>
    </row>
    <row r="975" ht="15.75" customHeight="1">
      <c r="A975" s="335">
        <v>972.0</v>
      </c>
      <c r="B975" s="336">
        <v>972.0</v>
      </c>
      <c r="C975" s="337" t="s">
        <v>3537</v>
      </c>
      <c r="D975" s="338" t="s">
        <v>5873</v>
      </c>
      <c r="E975" s="339" t="s">
        <v>1755</v>
      </c>
      <c r="F975" s="340" t="s">
        <v>4993</v>
      </c>
      <c r="G975" s="342">
        <v>740.7</v>
      </c>
      <c r="H975" s="342">
        <v>106.3</v>
      </c>
      <c r="I975" s="342">
        <v>44.4</v>
      </c>
      <c r="J975" s="342">
        <v>8.3</v>
      </c>
      <c r="K975" s="342">
        <v>6.0</v>
      </c>
      <c r="L975" s="342">
        <v>20.8</v>
      </c>
      <c r="M975" s="346">
        <v>61.8</v>
      </c>
      <c r="O975" s="344"/>
    </row>
    <row r="976" ht="15.75" customHeight="1">
      <c r="A976" s="335">
        <v>973.0</v>
      </c>
      <c r="B976" s="336">
        <v>973.0</v>
      </c>
      <c r="C976" s="337">
        <v>938.0</v>
      </c>
      <c r="D976" s="338" t="s">
        <v>5874</v>
      </c>
      <c r="E976" s="339" t="s">
        <v>482</v>
      </c>
      <c r="F976" s="340" t="s">
        <v>5028</v>
      </c>
      <c r="G976" s="342">
        <v>740.5</v>
      </c>
      <c r="H976" s="342">
        <v>10.9</v>
      </c>
      <c r="I976" s="342">
        <v>49.3</v>
      </c>
      <c r="J976" s="342">
        <v>-40.5</v>
      </c>
      <c r="K976" s="342">
        <v>6.7</v>
      </c>
      <c r="L976" s="342">
        <v>4.2</v>
      </c>
      <c r="M976" s="346">
        <v>182.5</v>
      </c>
      <c r="O976" s="344"/>
    </row>
    <row r="977" ht="15.75" customHeight="1">
      <c r="A977" s="335">
        <v>974.0</v>
      </c>
      <c r="B977" s="336">
        <v>974.0</v>
      </c>
      <c r="C977" s="337">
        <v>914.0</v>
      </c>
      <c r="D977" s="338" t="s">
        <v>5875</v>
      </c>
      <c r="E977" s="339" t="s">
        <v>332</v>
      </c>
      <c r="F977" s="340" t="s">
        <v>4985</v>
      </c>
      <c r="G977" s="342">
        <v>739.2</v>
      </c>
      <c r="H977" s="342">
        <v>5.0</v>
      </c>
      <c r="I977" s="342">
        <v>-45.8</v>
      </c>
      <c r="J977" s="342">
        <v>-157.2</v>
      </c>
      <c r="K977" s="342">
        <v>-6.2</v>
      </c>
      <c r="L977" s="342">
        <v>-17.2</v>
      </c>
      <c r="M977" s="346">
        <v>-4.1</v>
      </c>
      <c r="O977" s="344"/>
    </row>
    <row r="978" ht="15.75" customHeight="1">
      <c r="A978" s="335">
        <v>975.0</v>
      </c>
      <c r="B978" s="336">
        <v>975.0</v>
      </c>
      <c r="C978" s="337">
        <v>984.0</v>
      </c>
      <c r="D978" s="338" t="s">
        <v>5876</v>
      </c>
      <c r="E978" s="339" t="s">
        <v>482</v>
      </c>
      <c r="F978" s="340" t="s">
        <v>3256</v>
      </c>
      <c r="G978" s="342">
        <v>737.1</v>
      </c>
      <c r="H978" s="342">
        <v>21.8</v>
      </c>
      <c r="I978" s="342">
        <v>-32.5</v>
      </c>
      <c r="J978" s="342">
        <v>-105.9</v>
      </c>
      <c r="K978" s="342">
        <v>-4.4</v>
      </c>
      <c r="L978" s="342">
        <v>-17.4</v>
      </c>
      <c r="M978" s="346">
        <v>15.7</v>
      </c>
      <c r="O978" s="344"/>
    </row>
    <row r="979" ht="15.75" customHeight="1">
      <c r="A979" s="335">
        <v>976.0</v>
      </c>
      <c r="B979" s="336">
        <v>976.0</v>
      </c>
      <c r="C979" s="337">
        <v>993.0</v>
      </c>
      <c r="D979" s="338" t="s">
        <v>5877</v>
      </c>
      <c r="E979" s="339" t="s">
        <v>332</v>
      </c>
      <c r="F979" s="340" t="s">
        <v>4970</v>
      </c>
      <c r="G979" s="342">
        <v>733.8</v>
      </c>
      <c r="H979" s="342">
        <v>25.4</v>
      </c>
      <c r="I979" s="342">
        <v>191.5</v>
      </c>
      <c r="J979" s="342">
        <v>135.3</v>
      </c>
      <c r="K979" s="342">
        <v>26.1</v>
      </c>
      <c r="L979" s="342">
        <v>44.8</v>
      </c>
      <c r="M979" s="346">
        <v>275.5</v>
      </c>
      <c r="O979" s="344"/>
    </row>
    <row r="980" ht="15.75" customHeight="1">
      <c r="A980" s="335">
        <v>977.0</v>
      </c>
      <c r="B980" s="336">
        <v>977.0</v>
      </c>
      <c r="C980" s="337" t="s">
        <v>3537</v>
      </c>
      <c r="D980" s="338" t="s">
        <v>5878</v>
      </c>
      <c r="E980" s="339" t="s">
        <v>482</v>
      </c>
      <c r="F980" s="340" t="s">
        <v>4968</v>
      </c>
      <c r="G980" s="342">
        <v>733.6</v>
      </c>
      <c r="H980" s="342">
        <v>101.8</v>
      </c>
      <c r="I980" s="342">
        <v>29.2</v>
      </c>
      <c r="J980" s="342">
        <v>-13.5</v>
      </c>
      <c r="K980" s="342">
        <v>4.0</v>
      </c>
      <c r="L980" s="342">
        <v>73.0</v>
      </c>
      <c r="M980" s="346">
        <v>82.6</v>
      </c>
      <c r="O980" s="344"/>
    </row>
    <row r="981" ht="15.75" customHeight="1">
      <c r="A981" s="335">
        <v>978.0</v>
      </c>
      <c r="B981" s="336">
        <v>978.0</v>
      </c>
      <c r="C981" s="337">
        <v>952.0</v>
      </c>
      <c r="D981" s="338" t="s">
        <v>5879</v>
      </c>
      <c r="E981" s="339" t="s">
        <v>274</v>
      </c>
      <c r="F981" s="340" t="s">
        <v>4974</v>
      </c>
      <c r="G981" s="342">
        <v>732.9</v>
      </c>
      <c r="H981" s="342">
        <v>11.3</v>
      </c>
      <c r="I981" s="342">
        <v>187.4</v>
      </c>
      <c r="J981" s="342">
        <v>13.4</v>
      </c>
      <c r="K981" s="342">
        <v>25.6</v>
      </c>
      <c r="L981" s="342">
        <v>26.6</v>
      </c>
      <c r="M981" s="346">
        <v>146.7</v>
      </c>
      <c r="O981" s="344"/>
    </row>
    <row r="982" ht="15.75" customHeight="1">
      <c r="A982" s="335">
        <v>979.0</v>
      </c>
      <c r="B982" s="336">
        <v>979.0</v>
      </c>
      <c r="C982" s="337">
        <v>916.0</v>
      </c>
      <c r="D982" s="338" t="s">
        <v>5880</v>
      </c>
      <c r="E982" s="339" t="s">
        <v>482</v>
      </c>
      <c r="F982" s="340" t="s">
        <v>3256</v>
      </c>
      <c r="G982" s="342">
        <v>731.4</v>
      </c>
      <c r="H982" s="342">
        <v>4.4</v>
      </c>
      <c r="I982" s="342">
        <v>82.4</v>
      </c>
      <c r="J982" s="342">
        <v>116.6</v>
      </c>
      <c r="K982" s="342">
        <v>11.3</v>
      </c>
      <c r="L982" s="342">
        <v>37.7</v>
      </c>
      <c r="M982" s="346">
        <v>13.0</v>
      </c>
      <c r="O982" s="344"/>
    </row>
    <row r="983" ht="15.75" customHeight="1">
      <c r="A983" s="335">
        <v>980.0</v>
      </c>
      <c r="B983" s="336">
        <v>980.0</v>
      </c>
      <c r="C983" s="337">
        <v>930.0</v>
      </c>
      <c r="D983" s="338" t="s">
        <v>5881</v>
      </c>
      <c r="E983" s="339" t="s">
        <v>482</v>
      </c>
      <c r="F983" s="340" t="s">
        <v>5028</v>
      </c>
      <c r="G983" s="342">
        <v>731.0</v>
      </c>
      <c r="H983" s="342">
        <v>29.5</v>
      </c>
      <c r="I983" s="342">
        <v>79.5</v>
      </c>
      <c r="J983" s="342">
        <v>151.4</v>
      </c>
      <c r="K983" s="342">
        <v>10.9</v>
      </c>
      <c r="L983" s="342">
        <v>55.0</v>
      </c>
      <c r="M983" s="346">
        <v>25.9</v>
      </c>
      <c r="O983" s="344"/>
    </row>
    <row r="984" ht="15.75" customHeight="1">
      <c r="A984" s="335">
        <v>981.0</v>
      </c>
      <c r="B984" s="336">
        <v>981.0</v>
      </c>
      <c r="C984" s="337" t="s">
        <v>3537</v>
      </c>
      <c r="D984" s="338" t="s">
        <v>5882</v>
      </c>
      <c r="E984" s="339" t="s">
        <v>3433</v>
      </c>
      <c r="F984" s="340" t="s">
        <v>3754</v>
      </c>
      <c r="G984" s="342">
        <v>730.8</v>
      </c>
      <c r="H984" s="342">
        <v>31.0</v>
      </c>
      <c r="I984" s="342">
        <v>-20.3</v>
      </c>
      <c r="J984" s="342">
        <v>-479.9</v>
      </c>
      <c r="K984" s="342">
        <v>-2.8</v>
      </c>
      <c r="L984" s="342">
        <v>-15.8</v>
      </c>
      <c r="M984" s="346">
        <v>42.6</v>
      </c>
      <c r="O984" s="344"/>
    </row>
    <row r="985" ht="15.75" customHeight="1">
      <c r="A985" s="335">
        <v>982.0</v>
      </c>
      <c r="B985" s="336">
        <v>982.0</v>
      </c>
      <c r="C985" s="337" t="s">
        <v>3537</v>
      </c>
      <c r="D985" s="338" t="s">
        <v>5883</v>
      </c>
      <c r="E985" s="339" t="s">
        <v>482</v>
      </c>
      <c r="F985" s="340" t="s">
        <v>5012</v>
      </c>
      <c r="G985" s="342">
        <v>729.1</v>
      </c>
      <c r="H985" s="342">
        <v>32.2</v>
      </c>
      <c r="I985" s="342">
        <v>76.3</v>
      </c>
      <c r="J985" s="342">
        <v>142.8</v>
      </c>
      <c r="K985" s="342">
        <v>10.5</v>
      </c>
      <c r="L985" s="342" t="s">
        <v>5021</v>
      </c>
      <c r="M985" s="346">
        <v>207.5</v>
      </c>
      <c r="O985" s="344"/>
    </row>
    <row r="986" ht="15.75" customHeight="1">
      <c r="A986" s="335">
        <v>983.0</v>
      </c>
      <c r="B986" s="336">
        <v>983.0</v>
      </c>
      <c r="C986" s="337">
        <v>742.0</v>
      </c>
      <c r="D986" s="338" t="s">
        <v>5884</v>
      </c>
      <c r="E986" s="339" t="s">
        <v>1751</v>
      </c>
      <c r="F986" s="340" t="s">
        <v>5012</v>
      </c>
      <c r="G986" s="342">
        <v>729.0</v>
      </c>
      <c r="H986" s="342">
        <v>-23.4</v>
      </c>
      <c r="I986" s="342">
        <v>-267.8</v>
      </c>
      <c r="J986" s="342">
        <v>-61.6</v>
      </c>
      <c r="K986" s="342">
        <v>-36.7</v>
      </c>
      <c r="L986" s="342" t="s">
        <v>5021</v>
      </c>
      <c r="M986" s="346">
        <v>-136.3</v>
      </c>
      <c r="O986" s="344"/>
    </row>
    <row r="987" ht="15.75" customHeight="1">
      <c r="A987" s="335">
        <v>984.0</v>
      </c>
      <c r="B987" s="336">
        <v>984.0</v>
      </c>
      <c r="C987" s="337">
        <v>941.0</v>
      </c>
      <c r="D987" s="338" t="s">
        <v>5885</v>
      </c>
      <c r="E987" s="339" t="s">
        <v>3441</v>
      </c>
      <c r="F987" s="340" t="s">
        <v>5018</v>
      </c>
      <c r="G987" s="342">
        <v>727.4</v>
      </c>
      <c r="H987" s="342">
        <v>11.0</v>
      </c>
      <c r="I987" s="342">
        <v>44.9</v>
      </c>
      <c r="J987" s="342">
        <v>11.3</v>
      </c>
      <c r="K987" s="342">
        <v>6.2</v>
      </c>
      <c r="L987" s="342">
        <v>2.5</v>
      </c>
      <c r="M987" s="346">
        <v>52.8</v>
      </c>
      <c r="O987" s="344"/>
    </row>
    <row r="988" ht="15.75" customHeight="1">
      <c r="A988" s="335">
        <v>985.0</v>
      </c>
      <c r="B988" s="336">
        <v>985.0</v>
      </c>
      <c r="C988" s="337">
        <v>922.0</v>
      </c>
      <c r="D988" s="338" t="s">
        <v>5886</v>
      </c>
      <c r="E988" s="339" t="s">
        <v>482</v>
      </c>
      <c r="F988" s="340" t="s">
        <v>5122</v>
      </c>
      <c r="G988" s="342">
        <v>726.8</v>
      </c>
      <c r="H988" s="342">
        <v>6.4</v>
      </c>
      <c r="I988" s="342">
        <v>52.0</v>
      </c>
      <c r="J988" s="342">
        <v>-43.0</v>
      </c>
      <c r="K988" s="342">
        <v>7.2</v>
      </c>
      <c r="L988" s="342">
        <v>16.5</v>
      </c>
      <c r="M988" s="346">
        <v>23.5</v>
      </c>
      <c r="O988" s="344"/>
    </row>
    <row r="989" ht="15.75" customHeight="1">
      <c r="A989" s="335">
        <v>986.0</v>
      </c>
      <c r="B989" s="336">
        <v>986.0</v>
      </c>
      <c r="C989" s="337" t="s">
        <v>3537</v>
      </c>
      <c r="D989" s="338" t="s">
        <v>5887</v>
      </c>
      <c r="E989" s="339" t="s">
        <v>482</v>
      </c>
      <c r="F989" s="340" t="s">
        <v>5028</v>
      </c>
      <c r="G989" s="342">
        <v>726.5</v>
      </c>
      <c r="H989" s="342">
        <v>30.6</v>
      </c>
      <c r="I989" s="342">
        <v>89.8</v>
      </c>
      <c r="J989" s="342">
        <v>155.7</v>
      </c>
      <c r="K989" s="342">
        <v>12.4</v>
      </c>
      <c r="L989" s="342">
        <v>188.4</v>
      </c>
      <c r="M989" s="346">
        <v>84.8</v>
      </c>
      <c r="O989" s="344"/>
    </row>
    <row r="990" ht="15.75" customHeight="1">
      <c r="A990" s="335">
        <v>987.0</v>
      </c>
      <c r="B990" s="336">
        <v>987.0</v>
      </c>
      <c r="C990" s="337">
        <v>935.0</v>
      </c>
      <c r="D990" s="338" t="s">
        <v>5888</v>
      </c>
      <c r="E990" s="339" t="s">
        <v>1751</v>
      </c>
      <c r="F990" s="340" t="s">
        <v>5172</v>
      </c>
      <c r="G990" s="342">
        <v>726.2</v>
      </c>
      <c r="H990" s="342">
        <v>8.3</v>
      </c>
      <c r="I990" s="342">
        <v>5.0</v>
      </c>
      <c r="J990" s="342">
        <v>202.1</v>
      </c>
      <c r="K990" s="342">
        <v>0.7</v>
      </c>
      <c r="L990" s="342">
        <v>0.4</v>
      </c>
      <c r="M990" s="346">
        <v>-58.4</v>
      </c>
      <c r="O990" s="344"/>
    </row>
    <row r="991" ht="15.75" customHeight="1">
      <c r="A991" s="335">
        <v>988.0</v>
      </c>
      <c r="B991" s="336">
        <v>988.0</v>
      </c>
      <c r="C991" s="337">
        <v>945.0</v>
      </c>
      <c r="D991" s="338" t="s">
        <v>5889</v>
      </c>
      <c r="E991" s="339" t="s">
        <v>1075</v>
      </c>
      <c r="F991" s="340" t="s">
        <v>5001</v>
      </c>
      <c r="G991" s="342">
        <v>725.9</v>
      </c>
      <c r="H991" s="342">
        <v>11.4</v>
      </c>
      <c r="I991" s="342">
        <v>23.6</v>
      </c>
      <c r="J991" s="342">
        <v>-6.0</v>
      </c>
      <c r="K991" s="342">
        <v>3.2</v>
      </c>
      <c r="L991" s="342">
        <v>9.3</v>
      </c>
      <c r="M991" s="346">
        <v>38.4</v>
      </c>
      <c r="O991" s="344"/>
    </row>
    <row r="992" ht="15.75" customHeight="1">
      <c r="A992" s="335">
        <v>989.0</v>
      </c>
      <c r="B992" s="336">
        <v>989.0</v>
      </c>
      <c r="C992" s="337">
        <v>955.0</v>
      </c>
      <c r="D992" s="338" t="s">
        <v>5890</v>
      </c>
      <c r="E992" s="339" t="s">
        <v>482</v>
      </c>
      <c r="F992" s="340" t="s">
        <v>3754</v>
      </c>
      <c r="G992" s="342">
        <v>723.4</v>
      </c>
      <c r="H992" s="342">
        <v>13.9</v>
      </c>
      <c r="I992" s="342">
        <v>29.3</v>
      </c>
      <c r="J992" s="342">
        <v>56.5</v>
      </c>
      <c r="K992" s="342">
        <v>4.1</v>
      </c>
      <c r="L992" s="342">
        <v>20.2</v>
      </c>
      <c r="M992" s="346">
        <v>20.6</v>
      </c>
      <c r="O992" s="344"/>
    </row>
    <row r="993" ht="15.75" customHeight="1">
      <c r="A993" s="335">
        <v>990.0</v>
      </c>
      <c r="B993" s="336">
        <v>990.0</v>
      </c>
      <c r="C993" s="337">
        <v>925.0</v>
      </c>
      <c r="D993" s="338" t="s">
        <v>5891</v>
      </c>
      <c r="E993" s="339" t="s">
        <v>482</v>
      </c>
      <c r="F993" s="340" t="s">
        <v>5001</v>
      </c>
      <c r="G993" s="342">
        <v>723.4</v>
      </c>
      <c r="H993" s="342">
        <v>6.5</v>
      </c>
      <c r="I993" s="342">
        <v>91.8</v>
      </c>
      <c r="J993" s="342">
        <v>4.9</v>
      </c>
      <c r="K993" s="342">
        <v>12.7</v>
      </c>
      <c r="L993" s="342">
        <v>33.6</v>
      </c>
      <c r="M993" s="346">
        <v>64.5</v>
      </c>
      <c r="O993" s="344"/>
    </row>
    <row r="994" ht="15.75" customHeight="1">
      <c r="A994" s="335">
        <v>991.0</v>
      </c>
      <c r="B994" s="336">
        <v>991.0</v>
      </c>
      <c r="C994" s="337">
        <v>983.0</v>
      </c>
      <c r="D994" s="338" t="s">
        <v>5892</v>
      </c>
      <c r="E994" s="339" t="s">
        <v>1075</v>
      </c>
      <c r="F994" s="340" t="s">
        <v>5055</v>
      </c>
      <c r="G994" s="342">
        <v>721.4</v>
      </c>
      <c r="H994" s="342">
        <v>19.1</v>
      </c>
      <c r="I994" s="342">
        <v>32.6</v>
      </c>
      <c r="J994" s="342">
        <v>-17.0</v>
      </c>
      <c r="K994" s="342">
        <v>4.5</v>
      </c>
      <c r="L994" s="342">
        <v>44.5</v>
      </c>
      <c r="M994" s="346">
        <v>89.9</v>
      </c>
      <c r="O994" s="344"/>
    </row>
    <row r="995" ht="15.75" customHeight="1">
      <c r="A995" s="335">
        <v>992.0</v>
      </c>
      <c r="B995" s="336">
        <v>992.0</v>
      </c>
      <c r="C995" s="337">
        <v>934.0</v>
      </c>
      <c r="D995" s="338" t="s">
        <v>5893</v>
      </c>
      <c r="E995" s="339" t="s">
        <v>482</v>
      </c>
      <c r="F995" s="340" t="s">
        <v>4976</v>
      </c>
      <c r="G995" s="342">
        <v>719.7</v>
      </c>
      <c r="H995" s="342">
        <v>7.2</v>
      </c>
      <c r="I995" s="342">
        <v>-9.2</v>
      </c>
      <c r="J995" s="342">
        <v>-130.4</v>
      </c>
      <c r="K995" s="342">
        <v>-1.3</v>
      </c>
      <c r="L995" s="342">
        <v>-4.8</v>
      </c>
      <c r="M995" s="346">
        <v>57.0</v>
      </c>
      <c r="O995" s="344"/>
    </row>
    <row r="996" ht="15.75" customHeight="1">
      <c r="A996" s="335">
        <v>993.0</v>
      </c>
      <c r="B996" s="336">
        <v>993.0</v>
      </c>
      <c r="C996" s="337">
        <v>987.0</v>
      </c>
      <c r="D996" s="338" t="s">
        <v>5894</v>
      </c>
      <c r="E996" s="339" t="s">
        <v>482</v>
      </c>
      <c r="F996" s="340" t="s">
        <v>5001</v>
      </c>
      <c r="G996" s="342">
        <v>718.7</v>
      </c>
      <c r="H996" s="342">
        <v>20.0</v>
      </c>
      <c r="I996" s="342">
        <v>67.0</v>
      </c>
      <c r="J996" s="342">
        <v>-21.6</v>
      </c>
      <c r="K996" s="342">
        <v>9.3</v>
      </c>
      <c r="L996" s="342">
        <v>25.0</v>
      </c>
      <c r="M996" s="346">
        <v>99.4</v>
      </c>
      <c r="O996" s="344"/>
    </row>
    <row r="997" ht="15.75" customHeight="1">
      <c r="A997" s="335">
        <v>994.0</v>
      </c>
      <c r="B997" s="336">
        <v>994.0</v>
      </c>
      <c r="C997" s="337">
        <v>997.0</v>
      </c>
      <c r="D997" s="338" t="s">
        <v>5895</v>
      </c>
      <c r="E997" s="339" t="s">
        <v>1075</v>
      </c>
      <c r="F997" s="340" t="s">
        <v>4985</v>
      </c>
      <c r="G997" s="342">
        <v>718.2</v>
      </c>
      <c r="H997" s="342">
        <v>23.3</v>
      </c>
      <c r="I997" s="342">
        <v>134.7</v>
      </c>
      <c r="J997" s="342">
        <v>30.3</v>
      </c>
      <c r="K997" s="342">
        <v>18.8</v>
      </c>
      <c r="L997" s="342">
        <v>45.6</v>
      </c>
      <c r="M997" s="346">
        <v>165.2</v>
      </c>
      <c r="O997" s="344"/>
    </row>
    <row r="998" ht="15.75" customHeight="1">
      <c r="A998" s="335">
        <v>995.0</v>
      </c>
      <c r="B998" s="336">
        <v>995.0</v>
      </c>
      <c r="C998" s="337" t="s">
        <v>3537</v>
      </c>
      <c r="D998" s="338" t="s">
        <v>5896</v>
      </c>
      <c r="E998" s="339" t="s">
        <v>1075</v>
      </c>
      <c r="F998" s="340" t="s">
        <v>5122</v>
      </c>
      <c r="G998" s="342">
        <v>715.3</v>
      </c>
      <c r="H998" s="342">
        <v>75.2</v>
      </c>
      <c r="I998" s="342">
        <v>255.5</v>
      </c>
      <c r="J998" s="342">
        <v>77.6</v>
      </c>
      <c r="K998" s="342">
        <v>35.7</v>
      </c>
      <c r="L998" s="342">
        <v>26.6</v>
      </c>
      <c r="M998" s="346">
        <v>272.6</v>
      </c>
      <c r="O998" s="344"/>
    </row>
    <row r="999" ht="15.75" customHeight="1">
      <c r="A999" s="335">
        <v>996.0</v>
      </c>
      <c r="B999" s="336">
        <v>996.0</v>
      </c>
      <c r="C999" s="337">
        <v>551.0</v>
      </c>
      <c r="D999" s="338" t="s">
        <v>5897</v>
      </c>
      <c r="E999" s="339" t="s">
        <v>349</v>
      </c>
      <c r="F999" s="340" t="s">
        <v>4983</v>
      </c>
      <c r="G999" s="342">
        <v>714.7</v>
      </c>
      <c r="H999" s="342">
        <v>-50.2</v>
      </c>
      <c r="I999" s="342">
        <v>297.0</v>
      </c>
      <c r="J999" s="342">
        <v>46.9</v>
      </c>
      <c r="K999" s="342">
        <v>41.6</v>
      </c>
      <c r="L999" s="342">
        <v>35.3</v>
      </c>
      <c r="M999" s="346">
        <v>311.0</v>
      </c>
      <c r="O999" s="344"/>
    </row>
    <row r="1000" ht="15.75" customHeight="1">
      <c r="A1000" s="335">
        <v>997.0</v>
      </c>
      <c r="B1000" s="336">
        <v>997.0</v>
      </c>
      <c r="C1000" s="337">
        <v>990.0</v>
      </c>
      <c r="D1000" s="338" t="s">
        <v>5898</v>
      </c>
      <c r="E1000" s="339" t="s">
        <v>1751</v>
      </c>
      <c r="F1000" s="340" t="s">
        <v>4983</v>
      </c>
      <c r="G1000" s="342">
        <v>714.4</v>
      </c>
      <c r="H1000" s="342">
        <v>20.1</v>
      </c>
      <c r="I1000" s="342">
        <v>438.5</v>
      </c>
      <c r="J1000" s="342">
        <v>49.6</v>
      </c>
      <c r="K1000" s="342">
        <v>61.4</v>
      </c>
      <c r="L1000" s="342">
        <v>131.5</v>
      </c>
      <c r="M1000" s="346">
        <v>573.0</v>
      </c>
      <c r="O1000" s="344"/>
    </row>
    <row r="1001" ht="15.75" customHeight="1">
      <c r="A1001" s="335">
        <v>998.0</v>
      </c>
      <c r="B1001" s="336">
        <v>998.0</v>
      </c>
      <c r="C1001" s="337" t="s">
        <v>3537</v>
      </c>
      <c r="D1001" s="338" t="s">
        <v>5899</v>
      </c>
      <c r="E1001" s="339" t="s">
        <v>1199</v>
      </c>
      <c r="F1001" s="340" t="s">
        <v>5183</v>
      </c>
      <c r="G1001" s="342">
        <v>714.0</v>
      </c>
      <c r="H1001" s="342">
        <v>37.7</v>
      </c>
      <c r="I1001" s="342">
        <v>61.3</v>
      </c>
      <c r="J1001" s="342">
        <v>188.0</v>
      </c>
      <c r="K1001" s="342">
        <v>8.6</v>
      </c>
      <c r="L1001" s="342">
        <v>18.8</v>
      </c>
      <c r="M1001" s="346">
        <v>30.0</v>
      </c>
      <c r="O1001" s="344"/>
    </row>
    <row r="1002" ht="15.75" customHeight="1">
      <c r="A1002" s="335">
        <v>999.0</v>
      </c>
      <c r="B1002" s="336">
        <v>999.0</v>
      </c>
      <c r="C1002" s="337">
        <v>977.0</v>
      </c>
      <c r="D1002" s="338" t="s">
        <v>5900</v>
      </c>
      <c r="E1002" s="339" t="s">
        <v>482</v>
      </c>
      <c r="F1002" s="340" t="s">
        <v>5183</v>
      </c>
      <c r="G1002" s="342">
        <v>713.1</v>
      </c>
      <c r="H1002" s="342">
        <v>16.9</v>
      </c>
      <c r="I1002" s="342">
        <v>232.5</v>
      </c>
      <c r="J1002" s="342">
        <v>523.8</v>
      </c>
      <c r="K1002" s="342">
        <v>32.6</v>
      </c>
      <c r="L1002" s="342" t="s">
        <v>5021</v>
      </c>
      <c r="M1002" s="346">
        <v>-23.0</v>
      </c>
      <c r="O1002" s="344"/>
    </row>
    <row r="1003" ht="15.75" customHeight="1">
      <c r="A1003" s="335">
        <v>1000.0</v>
      </c>
      <c r="B1003" s="336">
        <v>1000.0</v>
      </c>
      <c r="C1003" s="337" t="s">
        <v>3537</v>
      </c>
      <c r="D1003" s="338" t="s">
        <v>5901</v>
      </c>
      <c r="E1003" s="339" t="s">
        <v>574</v>
      </c>
      <c r="F1003" s="340" t="s">
        <v>4993</v>
      </c>
      <c r="G1003" s="342">
        <v>712.5</v>
      </c>
      <c r="H1003" s="342">
        <v>25.4</v>
      </c>
      <c r="I1003" s="342">
        <v>107.5</v>
      </c>
      <c r="J1003" s="342">
        <v>0.9</v>
      </c>
      <c r="K1003" s="342">
        <v>15.1</v>
      </c>
      <c r="L1003" s="342">
        <v>16.2</v>
      </c>
      <c r="M1003" s="346">
        <v>104.0</v>
      </c>
    </row>
  </sheetData>
  <customSheetViews>
    <customSheetView guid="{949B0593-BF4C-4693-822C-D9E7979550CE}" filter="1" showAutoFilter="1">
      <autoFilter ref="$A$1:$AA$1003">
        <filterColumn colId="5">
          <filters>
            <filter val="Alimentos e Bebidas"/>
          </filters>
        </filterColumn>
      </autoFilter>
      <extLst>
        <ext uri="GoogleSheetsCustomDataVersion1">
          <go:sheetsCustomData xmlns:go="http://customooxmlschemas.google.com/" filterViewId="952598260"/>
        </ext>
      </extLst>
    </customSheetView>
  </customSheetViews>
  <hyperlinks>
    <hyperlink r:id="rId2" ref="D1"/>
  </hyperlinks>
  <drawing r:id="rId3"/>
  <legacyDrawing r:id="rId4"/>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88"/>
    <col customWidth="1" min="2" max="2" width="42.38"/>
    <col customWidth="1" min="3" max="3" width="48.75"/>
    <col customWidth="1" min="4" max="4" width="38.25"/>
    <col customWidth="1" min="5" max="5" width="42.38"/>
    <col customWidth="1" min="6" max="6" width="12.63"/>
  </cols>
  <sheetData>
    <row r="1" ht="15.75" customHeight="1">
      <c r="A1" s="349"/>
      <c r="B1" s="349"/>
      <c r="C1" s="349"/>
      <c r="D1" s="349"/>
      <c r="E1" s="349"/>
      <c r="F1" s="350"/>
      <c r="G1" s="350"/>
      <c r="H1" s="351"/>
      <c r="I1" s="351"/>
    </row>
    <row r="2" ht="15.75" customHeight="1">
      <c r="A2" s="352"/>
      <c r="B2" s="353" t="s">
        <v>5902</v>
      </c>
      <c r="C2" s="353" t="s">
        <v>5903</v>
      </c>
      <c r="D2" s="353" t="s">
        <v>5904</v>
      </c>
      <c r="E2" s="353" t="s">
        <v>5905</v>
      </c>
      <c r="F2" s="354" t="s">
        <v>5906</v>
      </c>
      <c r="G2" s="355"/>
      <c r="H2" s="356"/>
      <c r="I2" s="356"/>
    </row>
    <row r="3" ht="15.75" customHeight="1">
      <c r="A3" s="352" t="s">
        <v>4947</v>
      </c>
      <c r="B3" s="357"/>
      <c r="C3" s="357"/>
      <c r="D3" s="357"/>
      <c r="E3" s="357"/>
      <c r="F3" s="358" t="s">
        <v>5907</v>
      </c>
      <c r="G3" s="359" t="s">
        <v>5905</v>
      </c>
      <c r="H3" s="356"/>
      <c r="I3" s="356"/>
    </row>
    <row r="4" ht="15.75" customHeight="1">
      <c r="A4" s="360">
        <v>1.0</v>
      </c>
      <c r="B4" s="360" t="s">
        <v>5908</v>
      </c>
      <c r="C4" s="361" t="s">
        <v>5909</v>
      </c>
      <c r="D4" s="361" t="s">
        <v>5910</v>
      </c>
      <c r="E4" s="361" t="s">
        <v>5911</v>
      </c>
      <c r="F4" s="362" t="s">
        <v>5912</v>
      </c>
      <c r="G4" s="362" t="s">
        <v>5913</v>
      </c>
      <c r="H4" s="351"/>
      <c r="I4" s="351"/>
    </row>
    <row r="5" ht="15.75" customHeight="1">
      <c r="A5" s="360">
        <v>2.0</v>
      </c>
      <c r="B5" s="363" t="s">
        <v>5914</v>
      </c>
      <c r="C5" s="361" t="s">
        <v>5909</v>
      </c>
      <c r="D5" s="361" t="s">
        <v>5910</v>
      </c>
      <c r="E5" s="361" t="s">
        <v>5911</v>
      </c>
      <c r="F5" s="362" t="s">
        <v>5915</v>
      </c>
      <c r="G5" s="362" t="s">
        <v>367</v>
      </c>
      <c r="H5" s="351"/>
      <c r="I5" s="351"/>
    </row>
    <row r="6" ht="15.75" customHeight="1">
      <c r="A6" s="360">
        <v>3.0</v>
      </c>
      <c r="B6" s="360" t="s">
        <v>5916</v>
      </c>
      <c r="C6" s="361" t="s">
        <v>5909</v>
      </c>
      <c r="D6" s="361" t="s">
        <v>5910</v>
      </c>
      <c r="E6" s="361" t="s">
        <v>5911</v>
      </c>
      <c r="F6" s="362" t="s">
        <v>5917</v>
      </c>
      <c r="G6" s="362" t="s">
        <v>5913</v>
      </c>
      <c r="H6" s="351"/>
      <c r="I6" s="351"/>
    </row>
    <row r="7" ht="15.75" customHeight="1">
      <c r="A7" s="360">
        <v>4.0</v>
      </c>
      <c r="B7" s="360" t="s">
        <v>5918</v>
      </c>
      <c r="C7" s="361" t="s">
        <v>5919</v>
      </c>
      <c r="D7" s="361" t="s">
        <v>5920</v>
      </c>
      <c r="E7" s="361" t="s">
        <v>5921</v>
      </c>
      <c r="F7" s="362" t="s">
        <v>5922</v>
      </c>
      <c r="G7" s="364"/>
      <c r="H7" s="351"/>
      <c r="I7" s="351"/>
    </row>
    <row r="8" ht="15.75" customHeight="1">
      <c r="A8" s="360">
        <v>5.0</v>
      </c>
      <c r="B8" s="363" t="s">
        <v>5923</v>
      </c>
      <c r="C8" s="361" t="s">
        <v>5919</v>
      </c>
      <c r="D8" s="365" t="s">
        <v>5924</v>
      </c>
      <c r="E8" s="365" t="s">
        <v>5925</v>
      </c>
      <c r="F8" s="362" t="s">
        <v>5926</v>
      </c>
      <c r="G8" s="362"/>
      <c r="H8" s="351"/>
      <c r="I8" s="351"/>
    </row>
    <row r="9" ht="15.75" customHeight="1">
      <c r="A9" s="360">
        <v>6.0</v>
      </c>
      <c r="B9" s="360" t="s">
        <v>5927</v>
      </c>
      <c r="C9" s="361" t="s">
        <v>5919</v>
      </c>
      <c r="D9" s="365" t="s">
        <v>5924</v>
      </c>
      <c r="E9" s="365" t="s">
        <v>5925</v>
      </c>
      <c r="F9" s="362" t="s">
        <v>5928</v>
      </c>
      <c r="G9" s="362"/>
      <c r="H9" s="351"/>
      <c r="I9" s="351"/>
    </row>
    <row r="10" ht="15.75" customHeight="1">
      <c r="A10" s="360">
        <v>7.0</v>
      </c>
      <c r="B10" s="366" t="s">
        <v>5929</v>
      </c>
      <c r="C10" s="361" t="s">
        <v>5919</v>
      </c>
      <c r="D10" s="365" t="s">
        <v>5924</v>
      </c>
      <c r="E10" s="365" t="s">
        <v>5925</v>
      </c>
      <c r="F10" s="364" t="s">
        <v>5930</v>
      </c>
      <c r="G10" s="364" t="s">
        <v>5931</v>
      </c>
      <c r="H10" s="351"/>
      <c r="I10" s="351"/>
    </row>
    <row r="11" ht="15.75" customHeight="1">
      <c r="A11" s="360">
        <v>8.0</v>
      </c>
      <c r="B11" s="367" t="s">
        <v>5932</v>
      </c>
      <c r="C11" s="361" t="s">
        <v>5919</v>
      </c>
      <c r="D11" s="365" t="s">
        <v>5924</v>
      </c>
      <c r="E11" s="365" t="s">
        <v>5925</v>
      </c>
      <c r="F11" s="362" t="s">
        <v>5933</v>
      </c>
      <c r="G11" s="362"/>
      <c r="H11" s="351"/>
      <c r="I11" s="351"/>
    </row>
    <row r="12" ht="15.75" customHeight="1">
      <c r="A12" s="360">
        <v>9.0</v>
      </c>
      <c r="B12" s="368" t="s">
        <v>5934</v>
      </c>
      <c r="C12" s="361" t="s">
        <v>5919</v>
      </c>
      <c r="D12" s="365" t="s">
        <v>5924</v>
      </c>
      <c r="E12" s="365" t="s">
        <v>5925</v>
      </c>
      <c r="F12" s="364" t="s">
        <v>5935</v>
      </c>
      <c r="G12" s="364"/>
      <c r="H12" s="351"/>
      <c r="I12" s="351"/>
    </row>
    <row r="13" ht="15.75" customHeight="1">
      <c r="A13" s="360">
        <v>10.0</v>
      </c>
      <c r="B13" s="363" t="s">
        <v>5936</v>
      </c>
      <c r="C13" s="361" t="s">
        <v>5919</v>
      </c>
      <c r="D13" s="365" t="s">
        <v>5924</v>
      </c>
      <c r="E13" s="365" t="s">
        <v>5925</v>
      </c>
      <c r="F13" s="362" t="s">
        <v>5937</v>
      </c>
      <c r="G13" s="362" t="s">
        <v>5913</v>
      </c>
      <c r="H13" s="351"/>
      <c r="I13" s="351"/>
    </row>
    <row r="14" ht="15.75" customHeight="1">
      <c r="A14" s="360">
        <v>11.0</v>
      </c>
      <c r="B14" s="360" t="s">
        <v>5938</v>
      </c>
      <c r="C14" s="361" t="s">
        <v>5919</v>
      </c>
      <c r="D14" s="365" t="s">
        <v>5924</v>
      </c>
      <c r="E14" s="365" t="s">
        <v>5925</v>
      </c>
      <c r="F14" s="362" t="s">
        <v>5939</v>
      </c>
      <c r="G14" s="362" t="s">
        <v>5913</v>
      </c>
      <c r="H14" s="351"/>
      <c r="I14" s="351"/>
    </row>
    <row r="15" ht="15.75" customHeight="1">
      <c r="A15" s="360">
        <v>12.0</v>
      </c>
      <c r="B15" s="360" t="s">
        <v>5940</v>
      </c>
      <c r="C15" s="361" t="s">
        <v>5941</v>
      </c>
      <c r="D15" s="361" t="s">
        <v>3152</v>
      </c>
      <c r="E15" s="361" t="s">
        <v>3508</v>
      </c>
      <c r="F15" s="362" t="s">
        <v>5942</v>
      </c>
      <c r="G15" s="362" t="s">
        <v>5913</v>
      </c>
      <c r="H15" s="351"/>
      <c r="I15" s="351"/>
    </row>
    <row r="16" ht="15.75" customHeight="1">
      <c r="A16" s="360">
        <v>13.0</v>
      </c>
      <c r="B16" s="360" t="s">
        <v>5943</v>
      </c>
      <c r="C16" s="361" t="s">
        <v>5941</v>
      </c>
      <c r="D16" s="361" t="s">
        <v>3152</v>
      </c>
      <c r="E16" s="361" t="s">
        <v>3508</v>
      </c>
      <c r="F16" s="362" t="s">
        <v>5944</v>
      </c>
      <c r="G16" s="369" t="s">
        <v>367</v>
      </c>
      <c r="H16" s="349"/>
      <c r="I16" s="349"/>
    </row>
    <row r="17" ht="15.75" customHeight="1">
      <c r="A17" s="360">
        <v>14.0</v>
      </c>
      <c r="B17" s="360" t="s">
        <v>5945</v>
      </c>
      <c r="C17" s="361" t="s">
        <v>5941</v>
      </c>
      <c r="D17" s="361" t="s">
        <v>3152</v>
      </c>
      <c r="E17" s="361" t="s">
        <v>3508</v>
      </c>
      <c r="F17" s="362" t="s">
        <v>5946</v>
      </c>
      <c r="G17" s="369" t="s">
        <v>5913</v>
      </c>
      <c r="H17" s="349"/>
      <c r="I17" s="349"/>
    </row>
    <row r="18" ht="15.75" customHeight="1">
      <c r="A18" s="360">
        <v>15.0</v>
      </c>
      <c r="B18" s="368" t="s">
        <v>5947</v>
      </c>
      <c r="C18" s="361" t="s">
        <v>5941</v>
      </c>
      <c r="D18" s="361" t="s">
        <v>3152</v>
      </c>
      <c r="E18" s="361" t="s">
        <v>3508</v>
      </c>
      <c r="F18" s="364" t="s">
        <v>5948</v>
      </c>
      <c r="G18" s="364"/>
      <c r="H18" s="351"/>
      <c r="I18" s="351"/>
    </row>
    <row r="19" ht="15.75" customHeight="1">
      <c r="A19" s="360">
        <v>16.0</v>
      </c>
      <c r="B19" s="366" t="s">
        <v>5949</v>
      </c>
      <c r="C19" s="361" t="s">
        <v>5941</v>
      </c>
      <c r="D19" s="361" t="s">
        <v>3152</v>
      </c>
      <c r="E19" s="361" t="s">
        <v>3508</v>
      </c>
      <c r="F19" s="364" t="s">
        <v>5950</v>
      </c>
      <c r="G19" s="364" t="s">
        <v>5913</v>
      </c>
      <c r="H19" s="351"/>
      <c r="I19" s="351"/>
    </row>
    <row r="20" ht="15.75" customHeight="1">
      <c r="A20" s="360">
        <v>17.0</v>
      </c>
      <c r="B20" s="366" t="s">
        <v>5951</v>
      </c>
      <c r="C20" s="361" t="s">
        <v>5941</v>
      </c>
      <c r="D20" s="361" t="s">
        <v>3152</v>
      </c>
      <c r="E20" s="361" t="s">
        <v>3508</v>
      </c>
      <c r="F20" s="364" t="s">
        <v>5952</v>
      </c>
      <c r="G20" s="364" t="s">
        <v>5913</v>
      </c>
      <c r="H20" s="351"/>
      <c r="I20" s="351"/>
    </row>
    <row r="21" ht="15.75" customHeight="1">
      <c r="A21" s="360">
        <v>18.0</v>
      </c>
      <c r="B21" s="368" t="s">
        <v>5953</v>
      </c>
      <c r="C21" s="361" t="s">
        <v>5941</v>
      </c>
      <c r="D21" s="361" t="s">
        <v>3152</v>
      </c>
      <c r="E21" s="361" t="s">
        <v>3508</v>
      </c>
      <c r="F21" s="364" t="s">
        <v>5954</v>
      </c>
      <c r="G21" s="369" t="s">
        <v>367</v>
      </c>
      <c r="H21" s="351"/>
      <c r="I21" s="351"/>
    </row>
    <row r="22" ht="15.75" customHeight="1">
      <c r="A22" s="360">
        <v>19.0</v>
      </c>
      <c r="B22" s="366" t="s">
        <v>5955</v>
      </c>
      <c r="C22" s="361" t="s">
        <v>5941</v>
      </c>
      <c r="D22" s="361" t="s">
        <v>3152</v>
      </c>
      <c r="E22" s="361" t="s">
        <v>3508</v>
      </c>
      <c r="F22" s="364" t="s">
        <v>5956</v>
      </c>
      <c r="G22" s="369"/>
      <c r="H22" s="351"/>
      <c r="I22" s="351"/>
    </row>
    <row r="23" ht="15.75" customHeight="1">
      <c r="A23" s="360">
        <v>20.0</v>
      </c>
      <c r="B23" s="363" t="s">
        <v>5957</v>
      </c>
      <c r="C23" s="361" t="s">
        <v>5941</v>
      </c>
      <c r="D23" s="361" t="s">
        <v>3152</v>
      </c>
      <c r="E23" s="361" t="s">
        <v>3508</v>
      </c>
      <c r="F23" s="362" t="s">
        <v>5958</v>
      </c>
      <c r="G23" s="362" t="s">
        <v>5913</v>
      </c>
      <c r="H23" s="351"/>
      <c r="I23" s="351"/>
    </row>
    <row r="24" ht="15.75" customHeight="1">
      <c r="A24" s="360">
        <v>21.0</v>
      </c>
      <c r="B24" s="360" t="s">
        <v>1635</v>
      </c>
      <c r="C24" s="361" t="s">
        <v>5941</v>
      </c>
      <c r="D24" s="361" t="s">
        <v>3152</v>
      </c>
      <c r="E24" s="361" t="s">
        <v>3508</v>
      </c>
      <c r="F24" s="362" t="s">
        <v>5959</v>
      </c>
      <c r="G24" s="362" t="s">
        <v>5913</v>
      </c>
      <c r="H24" s="351"/>
      <c r="I24" s="351"/>
    </row>
    <row r="25" ht="15.75" customHeight="1">
      <c r="A25" s="360">
        <v>22.0</v>
      </c>
      <c r="B25" s="363" t="s">
        <v>5960</v>
      </c>
      <c r="C25" s="361" t="s">
        <v>5941</v>
      </c>
      <c r="D25" s="361" t="s">
        <v>3152</v>
      </c>
      <c r="E25" s="361" t="s">
        <v>3508</v>
      </c>
      <c r="F25" s="362" t="s">
        <v>5961</v>
      </c>
      <c r="G25" s="362" t="s">
        <v>5913</v>
      </c>
      <c r="H25" s="351"/>
      <c r="I25" s="351"/>
    </row>
    <row r="26" ht="15.75" customHeight="1">
      <c r="A26" s="360">
        <v>23.0</v>
      </c>
      <c r="B26" s="363" t="s">
        <v>5962</v>
      </c>
      <c r="C26" s="361" t="s">
        <v>5941</v>
      </c>
      <c r="D26" s="361" t="s">
        <v>5963</v>
      </c>
      <c r="E26" s="361" t="s">
        <v>5964</v>
      </c>
      <c r="F26" s="362" t="s">
        <v>5965</v>
      </c>
      <c r="G26" s="362" t="s">
        <v>5913</v>
      </c>
      <c r="H26" s="351"/>
      <c r="I26" s="351"/>
    </row>
    <row r="27" ht="15.75" customHeight="1">
      <c r="A27" s="360">
        <v>24.0</v>
      </c>
      <c r="B27" s="360" t="s">
        <v>5966</v>
      </c>
      <c r="C27" s="361" t="s">
        <v>5941</v>
      </c>
      <c r="D27" s="361" t="s">
        <v>5963</v>
      </c>
      <c r="E27" s="361" t="s">
        <v>5964</v>
      </c>
      <c r="F27" s="362" t="s">
        <v>5967</v>
      </c>
      <c r="G27" s="362"/>
      <c r="H27" s="351"/>
      <c r="I27" s="351"/>
    </row>
    <row r="28" ht="15.75" customHeight="1">
      <c r="A28" s="360">
        <v>25.0</v>
      </c>
      <c r="B28" s="360" t="s">
        <v>5968</v>
      </c>
      <c r="C28" s="361" t="s">
        <v>5941</v>
      </c>
      <c r="D28" s="361" t="s">
        <v>5963</v>
      </c>
      <c r="E28" s="361" t="s">
        <v>5964</v>
      </c>
      <c r="F28" s="362" t="s">
        <v>5969</v>
      </c>
      <c r="G28" s="362" t="s">
        <v>5913</v>
      </c>
      <c r="H28" s="351"/>
      <c r="I28" s="351"/>
    </row>
    <row r="29" ht="15.75" customHeight="1">
      <c r="A29" s="360">
        <v>26.0</v>
      </c>
      <c r="B29" s="360" t="s">
        <v>5970</v>
      </c>
      <c r="C29" s="361" t="s">
        <v>5941</v>
      </c>
      <c r="D29" s="361" t="s">
        <v>5963</v>
      </c>
      <c r="E29" s="361" t="s">
        <v>3746</v>
      </c>
      <c r="F29" s="362" t="s">
        <v>5971</v>
      </c>
      <c r="G29" s="362" t="s">
        <v>5913</v>
      </c>
      <c r="H29" s="351"/>
      <c r="I29" s="351"/>
    </row>
    <row r="30" ht="15.75" customHeight="1">
      <c r="A30" s="360">
        <v>27.0</v>
      </c>
      <c r="B30" s="363" t="s">
        <v>5972</v>
      </c>
      <c r="C30" s="361" t="s">
        <v>5941</v>
      </c>
      <c r="D30" s="361" t="s">
        <v>5963</v>
      </c>
      <c r="E30" s="361" t="s">
        <v>3746</v>
      </c>
      <c r="F30" s="362" t="s">
        <v>5973</v>
      </c>
      <c r="G30" s="362"/>
      <c r="H30" s="351"/>
      <c r="I30" s="351"/>
    </row>
    <row r="31" ht="15.75" customHeight="1">
      <c r="A31" s="360">
        <v>28.0</v>
      </c>
      <c r="B31" s="360" t="s">
        <v>2098</v>
      </c>
      <c r="C31" s="361" t="s">
        <v>5941</v>
      </c>
      <c r="D31" s="361" t="s">
        <v>5963</v>
      </c>
      <c r="E31" s="361" t="s">
        <v>3746</v>
      </c>
      <c r="F31" s="362" t="s">
        <v>5974</v>
      </c>
      <c r="G31" s="362" t="s">
        <v>5913</v>
      </c>
      <c r="H31" s="351"/>
      <c r="I31" s="351"/>
    </row>
    <row r="32" ht="15.75" customHeight="1">
      <c r="A32" s="360">
        <v>29.0</v>
      </c>
      <c r="B32" s="360" t="s">
        <v>5975</v>
      </c>
      <c r="C32" s="361" t="s">
        <v>5941</v>
      </c>
      <c r="D32" s="361" t="s">
        <v>5963</v>
      </c>
      <c r="E32" s="361" t="s">
        <v>3746</v>
      </c>
      <c r="F32" s="362" t="s">
        <v>5976</v>
      </c>
      <c r="G32" s="362" t="s">
        <v>5913</v>
      </c>
      <c r="H32" s="351"/>
      <c r="I32" s="351"/>
    </row>
    <row r="33" ht="15.75" customHeight="1">
      <c r="A33" s="360">
        <v>30.0</v>
      </c>
      <c r="B33" s="360" t="s">
        <v>5977</v>
      </c>
      <c r="C33" s="361" t="s">
        <v>5941</v>
      </c>
      <c r="D33" s="361" t="s">
        <v>5963</v>
      </c>
      <c r="E33" s="361" t="s">
        <v>3746</v>
      </c>
      <c r="F33" s="362" t="s">
        <v>5978</v>
      </c>
      <c r="G33" s="362" t="s">
        <v>5913</v>
      </c>
      <c r="H33" s="351"/>
      <c r="I33" s="351"/>
    </row>
    <row r="34" ht="15.75" customHeight="1">
      <c r="A34" s="360">
        <v>31.0</v>
      </c>
      <c r="B34" s="363" t="s">
        <v>5979</v>
      </c>
      <c r="C34" s="361" t="s">
        <v>5941</v>
      </c>
      <c r="D34" s="361" t="s">
        <v>5963</v>
      </c>
      <c r="E34" s="361" t="s">
        <v>3746</v>
      </c>
      <c r="F34" s="362" t="s">
        <v>5980</v>
      </c>
      <c r="G34" s="362"/>
      <c r="H34" s="351"/>
      <c r="I34" s="351"/>
    </row>
    <row r="35" ht="15.75" customHeight="1">
      <c r="A35" s="360">
        <v>32.0</v>
      </c>
      <c r="B35" s="360" t="s">
        <v>5981</v>
      </c>
      <c r="C35" s="361" t="s">
        <v>5941</v>
      </c>
      <c r="D35" s="361" t="s">
        <v>5963</v>
      </c>
      <c r="E35" s="361" t="s">
        <v>5982</v>
      </c>
      <c r="F35" s="362" t="s">
        <v>5983</v>
      </c>
      <c r="G35" s="362" t="s">
        <v>5913</v>
      </c>
      <c r="H35" s="351"/>
      <c r="I35" s="351"/>
    </row>
    <row r="36" ht="15.75" customHeight="1">
      <c r="A36" s="360">
        <v>33.0</v>
      </c>
      <c r="B36" s="360" t="s">
        <v>5984</v>
      </c>
      <c r="C36" s="361" t="s">
        <v>5941</v>
      </c>
      <c r="D36" s="361" t="s">
        <v>5963</v>
      </c>
      <c r="E36" s="361" t="s">
        <v>5982</v>
      </c>
      <c r="F36" s="362" t="s">
        <v>5985</v>
      </c>
      <c r="G36" s="362"/>
      <c r="H36" s="351"/>
      <c r="I36" s="351"/>
    </row>
    <row r="37" ht="15.75" customHeight="1">
      <c r="A37" s="360">
        <v>34.0</v>
      </c>
      <c r="B37" s="360" t="s">
        <v>5986</v>
      </c>
      <c r="C37" s="361" t="s">
        <v>5941</v>
      </c>
      <c r="D37" s="361" t="s">
        <v>5963</v>
      </c>
      <c r="E37" s="361" t="s">
        <v>5982</v>
      </c>
      <c r="F37" s="362" t="s">
        <v>5987</v>
      </c>
      <c r="G37" s="362" t="s">
        <v>5913</v>
      </c>
      <c r="H37" s="351"/>
      <c r="I37" s="351"/>
    </row>
    <row r="38" ht="15.75" customHeight="1">
      <c r="A38" s="360">
        <v>35.0</v>
      </c>
      <c r="B38" s="360" t="s">
        <v>5988</v>
      </c>
      <c r="C38" s="361" t="s">
        <v>5941</v>
      </c>
      <c r="D38" s="361" t="s">
        <v>5963</v>
      </c>
      <c r="E38" s="361" t="s">
        <v>5982</v>
      </c>
      <c r="F38" s="362" t="s">
        <v>5989</v>
      </c>
      <c r="G38" s="362"/>
      <c r="H38" s="351"/>
      <c r="I38" s="351"/>
    </row>
    <row r="39" ht="15.75" customHeight="1">
      <c r="A39" s="360">
        <v>36.0</v>
      </c>
      <c r="B39" s="360" t="s">
        <v>5990</v>
      </c>
      <c r="C39" s="361" t="s">
        <v>5941</v>
      </c>
      <c r="D39" s="361" t="s">
        <v>3765</v>
      </c>
      <c r="E39" s="361" t="s">
        <v>3766</v>
      </c>
      <c r="F39" s="362" t="s">
        <v>5991</v>
      </c>
      <c r="G39" s="362"/>
      <c r="H39" s="351"/>
      <c r="I39" s="351"/>
    </row>
    <row r="40" ht="15.75" customHeight="1">
      <c r="A40" s="360">
        <v>37.0</v>
      </c>
      <c r="B40" s="360" t="s">
        <v>5992</v>
      </c>
      <c r="C40" s="361" t="s">
        <v>5941</v>
      </c>
      <c r="D40" s="361" t="s">
        <v>3919</v>
      </c>
      <c r="E40" s="361" t="s">
        <v>3783</v>
      </c>
      <c r="F40" s="362" t="s">
        <v>5993</v>
      </c>
      <c r="G40" s="362" t="s">
        <v>5913</v>
      </c>
      <c r="H40" s="351"/>
      <c r="I40" s="351"/>
    </row>
    <row r="41" ht="15.75" customHeight="1">
      <c r="A41" s="360">
        <v>38.0</v>
      </c>
      <c r="B41" s="360" t="s">
        <v>5994</v>
      </c>
      <c r="C41" s="361" t="s">
        <v>5941</v>
      </c>
      <c r="D41" s="361" t="s">
        <v>3919</v>
      </c>
      <c r="E41" s="361" t="s">
        <v>3783</v>
      </c>
      <c r="F41" s="362" t="s">
        <v>5995</v>
      </c>
      <c r="G41" s="362" t="s">
        <v>5913</v>
      </c>
      <c r="H41" s="351"/>
      <c r="I41" s="351"/>
    </row>
    <row r="42" ht="15.75" customHeight="1">
      <c r="A42" s="360">
        <v>39.0</v>
      </c>
      <c r="B42" s="363" t="s">
        <v>5996</v>
      </c>
      <c r="C42" s="361" t="s">
        <v>5941</v>
      </c>
      <c r="D42" s="361" t="s">
        <v>3919</v>
      </c>
      <c r="E42" s="361" t="s">
        <v>3783</v>
      </c>
      <c r="F42" s="362" t="s">
        <v>5997</v>
      </c>
      <c r="G42" s="370" t="s">
        <v>5998</v>
      </c>
      <c r="H42" s="351"/>
      <c r="I42" s="351"/>
    </row>
    <row r="43" ht="15.75" customHeight="1">
      <c r="A43" s="360">
        <v>40.0</v>
      </c>
      <c r="B43" s="360" t="s">
        <v>5999</v>
      </c>
      <c r="C43" s="361" t="s">
        <v>5941</v>
      </c>
      <c r="D43" s="361" t="s">
        <v>3919</v>
      </c>
      <c r="E43" s="361" t="s">
        <v>3783</v>
      </c>
      <c r="F43" s="362" t="s">
        <v>6000</v>
      </c>
      <c r="G43" s="362" t="s">
        <v>5913</v>
      </c>
      <c r="H43" s="351"/>
      <c r="I43" s="351"/>
    </row>
    <row r="44" ht="15.75" customHeight="1">
      <c r="A44" s="360">
        <v>41.0</v>
      </c>
      <c r="B44" s="363" t="s">
        <v>6001</v>
      </c>
      <c r="C44" s="361" t="s">
        <v>5941</v>
      </c>
      <c r="D44" s="361" t="s">
        <v>3919</v>
      </c>
      <c r="E44" s="361" t="s">
        <v>3783</v>
      </c>
      <c r="F44" s="362" t="s">
        <v>6002</v>
      </c>
      <c r="G44" s="362" t="s">
        <v>5913</v>
      </c>
      <c r="H44" s="351"/>
      <c r="I44" s="351"/>
    </row>
    <row r="45" ht="15.75" customHeight="1">
      <c r="A45" s="360">
        <v>42.0</v>
      </c>
      <c r="B45" s="360" t="s">
        <v>6003</v>
      </c>
      <c r="C45" s="361" t="s">
        <v>6004</v>
      </c>
      <c r="D45" s="361" t="s">
        <v>3925</v>
      </c>
      <c r="E45" s="361" t="s">
        <v>3926</v>
      </c>
      <c r="F45" s="362" t="s">
        <v>6005</v>
      </c>
      <c r="G45" s="362" t="s">
        <v>5913</v>
      </c>
      <c r="H45" s="351"/>
      <c r="I45" s="351"/>
    </row>
    <row r="46" ht="15.75" customHeight="1">
      <c r="A46" s="360">
        <v>43.0</v>
      </c>
      <c r="B46" s="360" t="s">
        <v>6006</v>
      </c>
      <c r="C46" s="361" t="s">
        <v>6004</v>
      </c>
      <c r="D46" s="361" t="s">
        <v>3925</v>
      </c>
      <c r="E46" s="361" t="s">
        <v>3926</v>
      </c>
      <c r="F46" s="362" t="s">
        <v>6007</v>
      </c>
      <c r="G46" s="362"/>
      <c r="H46" s="351"/>
      <c r="I46" s="351"/>
    </row>
    <row r="47" ht="15.75" customHeight="1">
      <c r="A47" s="360">
        <v>44.0</v>
      </c>
      <c r="B47" s="363" t="s">
        <v>6008</v>
      </c>
      <c r="C47" s="361" t="s">
        <v>6004</v>
      </c>
      <c r="D47" s="365" t="s">
        <v>3754</v>
      </c>
      <c r="E47" s="361" t="s">
        <v>3937</v>
      </c>
      <c r="F47" s="362" t="s">
        <v>6009</v>
      </c>
      <c r="G47" s="362" t="s">
        <v>5913</v>
      </c>
      <c r="H47" s="351"/>
      <c r="I47" s="351"/>
    </row>
    <row r="48" ht="15.75" customHeight="1">
      <c r="A48" s="360">
        <v>45.0</v>
      </c>
      <c r="B48" s="366" t="s">
        <v>6010</v>
      </c>
      <c r="C48" s="361" t="s">
        <v>6004</v>
      </c>
      <c r="D48" s="365" t="s">
        <v>3754</v>
      </c>
      <c r="E48" s="361" t="s">
        <v>3937</v>
      </c>
      <c r="F48" s="364" t="s">
        <v>6011</v>
      </c>
      <c r="G48" s="369" t="s">
        <v>5913</v>
      </c>
      <c r="H48" s="351"/>
      <c r="I48" s="351"/>
    </row>
    <row r="49" ht="15.75" customHeight="1">
      <c r="A49" s="360">
        <v>46.0</v>
      </c>
      <c r="B49" s="366" t="s">
        <v>6012</v>
      </c>
      <c r="C49" s="361" t="s">
        <v>6004</v>
      </c>
      <c r="D49" s="365" t="s">
        <v>3754</v>
      </c>
      <c r="E49" s="361" t="s">
        <v>3937</v>
      </c>
      <c r="F49" s="364" t="s">
        <v>6013</v>
      </c>
      <c r="G49" s="369" t="s">
        <v>5913</v>
      </c>
      <c r="H49" s="351"/>
      <c r="I49" s="351"/>
    </row>
    <row r="50" ht="15.75" customHeight="1">
      <c r="A50" s="360">
        <v>47.0</v>
      </c>
      <c r="B50" s="366" t="s">
        <v>6014</v>
      </c>
      <c r="C50" s="361" t="s">
        <v>6004</v>
      </c>
      <c r="D50" s="365" t="s">
        <v>3754</v>
      </c>
      <c r="E50" s="361" t="s">
        <v>3937</v>
      </c>
      <c r="F50" s="364" t="s">
        <v>6015</v>
      </c>
      <c r="G50" s="369"/>
      <c r="H50" s="351"/>
      <c r="I50" s="351"/>
    </row>
    <row r="51" ht="15.75" customHeight="1">
      <c r="A51" s="360">
        <v>48.0</v>
      </c>
      <c r="B51" s="360" t="s">
        <v>6016</v>
      </c>
      <c r="C51" s="361" t="s">
        <v>6004</v>
      </c>
      <c r="D51" s="365" t="s">
        <v>3754</v>
      </c>
      <c r="E51" s="361" t="s">
        <v>3937</v>
      </c>
      <c r="F51" s="362" t="s">
        <v>6016</v>
      </c>
      <c r="G51" s="362" t="s">
        <v>5913</v>
      </c>
      <c r="H51" s="351"/>
      <c r="I51" s="351"/>
    </row>
    <row r="52" ht="15.75" customHeight="1">
      <c r="A52" s="360">
        <v>49.0</v>
      </c>
      <c r="B52" s="360" t="s">
        <v>6017</v>
      </c>
      <c r="C52" s="361" t="s">
        <v>6004</v>
      </c>
      <c r="D52" s="365" t="s">
        <v>3754</v>
      </c>
      <c r="E52" s="361" t="s">
        <v>3937</v>
      </c>
      <c r="F52" s="362" t="s">
        <v>6018</v>
      </c>
      <c r="G52" s="362" t="s">
        <v>5913</v>
      </c>
      <c r="H52" s="351"/>
      <c r="I52" s="351"/>
    </row>
    <row r="53" ht="15.75" customHeight="1">
      <c r="A53" s="360">
        <v>50.0</v>
      </c>
      <c r="B53" s="360" t="s">
        <v>6019</v>
      </c>
      <c r="C53" s="361" t="s">
        <v>6020</v>
      </c>
      <c r="D53" s="361" t="s">
        <v>6021</v>
      </c>
      <c r="E53" s="361" t="s">
        <v>6021</v>
      </c>
      <c r="F53" s="362" t="s">
        <v>6022</v>
      </c>
      <c r="G53" s="362" t="s">
        <v>5913</v>
      </c>
      <c r="H53" s="351"/>
      <c r="I53" s="351"/>
    </row>
    <row r="54" ht="15.75" customHeight="1">
      <c r="A54" s="360">
        <v>51.0</v>
      </c>
      <c r="B54" s="360" t="s">
        <v>6023</v>
      </c>
      <c r="C54" s="361" t="s">
        <v>6020</v>
      </c>
      <c r="D54" s="361" t="s">
        <v>6021</v>
      </c>
      <c r="E54" s="361" t="s">
        <v>6021</v>
      </c>
      <c r="F54" s="362" t="s">
        <v>6024</v>
      </c>
      <c r="G54" s="362"/>
      <c r="H54" s="351"/>
      <c r="I54" s="351"/>
    </row>
    <row r="55" ht="15.75" customHeight="1">
      <c r="A55" s="360">
        <v>52.0</v>
      </c>
      <c r="B55" s="360" t="s">
        <v>6025</v>
      </c>
      <c r="C55" s="361" t="s">
        <v>6020</v>
      </c>
      <c r="D55" s="361" t="s">
        <v>6021</v>
      </c>
      <c r="E55" s="361" t="s">
        <v>6021</v>
      </c>
      <c r="F55" s="362" t="s">
        <v>6026</v>
      </c>
      <c r="G55" s="362" t="s">
        <v>5913</v>
      </c>
      <c r="H55" s="351"/>
      <c r="I55" s="351"/>
    </row>
    <row r="56" ht="15.75" customHeight="1">
      <c r="A56" s="360">
        <v>53.0</v>
      </c>
      <c r="B56" s="360" t="s">
        <v>6027</v>
      </c>
      <c r="C56" s="361" t="s">
        <v>6020</v>
      </c>
      <c r="D56" s="361" t="s">
        <v>6021</v>
      </c>
      <c r="E56" s="361" t="s">
        <v>6021</v>
      </c>
      <c r="F56" s="362" t="s">
        <v>6028</v>
      </c>
      <c r="G56" s="370" t="s">
        <v>367</v>
      </c>
      <c r="H56" s="351"/>
      <c r="I56" s="351"/>
    </row>
    <row r="57" ht="15.75" customHeight="1">
      <c r="A57" s="360">
        <v>54.0</v>
      </c>
      <c r="B57" s="363" t="s">
        <v>6029</v>
      </c>
      <c r="C57" s="361" t="s">
        <v>6020</v>
      </c>
      <c r="D57" s="361" t="s">
        <v>6021</v>
      </c>
      <c r="E57" s="361" t="s">
        <v>6021</v>
      </c>
      <c r="F57" s="362" t="s">
        <v>6030</v>
      </c>
      <c r="G57" s="362" t="s">
        <v>5913</v>
      </c>
      <c r="H57" s="351"/>
      <c r="I57" s="351"/>
    </row>
    <row r="58" ht="15.75" customHeight="1">
      <c r="A58" s="360">
        <v>55.0</v>
      </c>
      <c r="B58" s="360" t="s">
        <v>6031</v>
      </c>
      <c r="C58" s="361" t="s">
        <v>6020</v>
      </c>
      <c r="D58" s="361" t="s">
        <v>6021</v>
      </c>
      <c r="E58" s="361" t="s">
        <v>6021</v>
      </c>
      <c r="F58" s="362" t="s">
        <v>6032</v>
      </c>
      <c r="G58" s="362" t="s">
        <v>5913</v>
      </c>
      <c r="H58" s="351"/>
      <c r="I58" s="351"/>
    </row>
    <row r="59" ht="15.75" customHeight="1">
      <c r="A59" s="360">
        <v>56.0</v>
      </c>
      <c r="B59" s="360" t="s">
        <v>6033</v>
      </c>
      <c r="C59" s="361" t="s">
        <v>6020</v>
      </c>
      <c r="D59" s="361" t="s">
        <v>6021</v>
      </c>
      <c r="E59" s="361" t="s">
        <v>6021</v>
      </c>
      <c r="F59" s="362" t="s">
        <v>6034</v>
      </c>
      <c r="G59" s="362" t="s">
        <v>6035</v>
      </c>
      <c r="H59" s="351"/>
      <c r="I59" s="351"/>
    </row>
    <row r="60" ht="15.75" customHeight="1">
      <c r="A60" s="360">
        <v>57.0</v>
      </c>
      <c r="B60" s="363" t="s">
        <v>6036</v>
      </c>
      <c r="C60" s="361" t="s">
        <v>6020</v>
      </c>
      <c r="D60" s="361" t="s">
        <v>6021</v>
      </c>
      <c r="E60" s="361" t="s">
        <v>6021</v>
      </c>
      <c r="F60" s="362" t="s">
        <v>6037</v>
      </c>
      <c r="G60" s="362"/>
      <c r="H60" s="351"/>
      <c r="I60" s="351"/>
    </row>
    <row r="61" ht="15.75" customHeight="1">
      <c r="A61" s="349"/>
      <c r="B61" s="349"/>
      <c r="C61" s="349"/>
      <c r="D61" s="349"/>
      <c r="E61" s="349"/>
      <c r="F61" s="350"/>
      <c r="G61" s="350"/>
      <c r="H61" s="351"/>
      <c r="I61" s="351"/>
    </row>
    <row r="62" ht="15.75" customHeight="1">
      <c r="A62" s="349"/>
      <c r="B62" s="349"/>
      <c r="C62" s="349"/>
      <c r="D62" s="349"/>
      <c r="E62" s="349"/>
      <c r="F62" s="350"/>
      <c r="G62" s="350"/>
      <c r="H62" s="351"/>
      <c r="I62" s="351"/>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G$60"/>
  <mergeCells count="1">
    <mergeCell ref="F2:G2"/>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8.75"/>
    <col customWidth="1" min="2" max="2" width="38.25"/>
    <col customWidth="1" min="3" max="3" width="42.38"/>
    <col customWidth="1" min="4" max="6" width="12.63"/>
  </cols>
  <sheetData>
    <row r="1" ht="15.75" customHeight="1">
      <c r="A1" s="371" t="s">
        <v>6038</v>
      </c>
      <c r="B1" s="371" t="s">
        <v>4944</v>
      </c>
      <c r="C1" s="372" t="s">
        <v>6039</v>
      </c>
      <c r="D1" s="371"/>
      <c r="E1" s="371"/>
      <c r="F1" s="373"/>
      <c r="G1" s="373"/>
    </row>
    <row r="2" ht="15.75" customHeight="1">
      <c r="A2" s="374" t="s">
        <v>6040</v>
      </c>
      <c r="E2" s="375"/>
      <c r="F2" s="351"/>
      <c r="G2" s="351"/>
    </row>
    <row r="3" ht="15.75" customHeight="1">
      <c r="A3" s="376"/>
      <c r="E3" s="375"/>
      <c r="F3" s="351"/>
      <c r="G3" s="351"/>
    </row>
    <row r="4" ht="15.75" customHeight="1">
      <c r="A4" s="377"/>
      <c r="B4" s="378"/>
      <c r="C4" s="378"/>
      <c r="D4" s="378"/>
      <c r="E4" s="379"/>
      <c r="F4" s="351"/>
      <c r="G4" s="351"/>
    </row>
    <row r="5" ht="15.75" customHeight="1">
      <c r="A5" s="351"/>
      <c r="B5" s="351"/>
      <c r="C5" s="351"/>
      <c r="D5" s="380"/>
      <c r="E5" s="380"/>
      <c r="F5" s="351"/>
      <c r="G5" s="351"/>
    </row>
    <row r="6" ht="15.75" customHeight="1">
      <c r="A6" s="351"/>
      <c r="B6" s="351"/>
      <c r="C6" s="351"/>
      <c r="D6" s="380"/>
      <c r="E6" s="380"/>
      <c r="F6" s="351"/>
      <c r="G6" s="351"/>
    </row>
    <row r="7" ht="15.75" customHeight="1">
      <c r="A7" s="349"/>
      <c r="B7" s="349"/>
      <c r="C7" s="349"/>
      <c r="D7" s="350"/>
      <c r="E7" s="350"/>
      <c r="F7" s="351"/>
      <c r="G7" s="351"/>
    </row>
    <row r="8" ht="15.75" customHeight="1">
      <c r="A8" s="353" t="s">
        <v>5903</v>
      </c>
      <c r="B8" s="353" t="s">
        <v>5904</v>
      </c>
      <c r="C8" s="353" t="s">
        <v>5905</v>
      </c>
      <c r="D8" s="354" t="s">
        <v>5906</v>
      </c>
      <c r="E8" s="355"/>
      <c r="F8" s="356"/>
      <c r="G8" s="356"/>
    </row>
    <row r="9" ht="15.75" customHeight="1">
      <c r="A9" s="381"/>
      <c r="B9" s="381"/>
      <c r="C9" s="381"/>
      <c r="D9" s="358" t="s">
        <v>5907</v>
      </c>
      <c r="E9" s="359" t="s">
        <v>5905</v>
      </c>
      <c r="F9" s="356"/>
      <c r="G9" s="356"/>
    </row>
    <row r="10" ht="15.75" customHeight="1">
      <c r="A10" s="382" t="s">
        <v>6041</v>
      </c>
      <c r="B10" s="383" t="s">
        <v>6041</v>
      </c>
      <c r="C10" s="384" t="s">
        <v>6042</v>
      </c>
      <c r="D10" s="385"/>
      <c r="E10" s="385"/>
      <c r="F10" s="351"/>
      <c r="G10" s="351"/>
    </row>
    <row r="11" ht="15.75" customHeight="1">
      <c r="A11" s="386"/>
      <c r="B11" s="387"/>
      <c r="C11" s="388" t="s">
        <v>6043</v>
      </c>
      <c r="D11" s="389" t="s">
        <v>6044</v>
      </c>
      <c r="E11" s="389" t="s">
        <v>5913</v>
      </c>
      <c r="F11" s="351"/>
      <c r="G11" s="351"/>
    </row>
    <row r="12" ht="15.75" customHeight="1">
      <c r="A12" s="386"/>
      <c r="B12" s="387"/>
      <c r="C12" s="388" t="s">
        <v>6045</v>
      </c>
      <c r="D12" s="389" t="s">
        <v>6046</v>
      </c>
      <c r="E12" s="389" t="s">
        <v>5913</v>
      </c>
      <c r="F12" s="351"/>
      <c r="G12" s="390"/>
    </row>
    <row r="13" ht="15.75" customHeight="1">
      <c r="A13" s="386"/>
      <c r="B13" s="387"/>
      <c r="C13" s="387" t="s">
        <v>6047</v>
      </c>
      <c r="D13" s="391" t="s">
        <v>6048</v>
      </c>
      <c r="E13" s="391" t="s">
        <v>5913</v>
      </c>
      <c r="F13" s="351"/>
      <c r="G13" s="351"/>
    </row>
    <row r="14" ht="15.75" customHeight="1">
      <c r="A14" s="386"/>
      <c r="B14" s="387"/>
      <c r="C14" s="387" t="s">
        <v>6049</v>
      </c>
      <c r="D14" s="391" t="s">
        <v>6050</v>
      </c>
      <c r="E14" s="391"/>
      <c r="F14" s="351"/>
      <c r="G14" s="351"/>
    </row>
    <row r="15" ht="15.75" customHeight="1">
      <c r="A15" s="386"/>
      <c r="B15" s="387"/>
      <c r="C15" s="387" t="s">
        <v>6051</v>
      </c>
      <c r="D15" s="391" t="s">
        <v>6052</v>
      </c>
      <c r="E15" s="392" t="s">
        <v>6035</v>
      </c>
      <c r="F15" s="351"/>
      <c r="G15" s="351"/>
    </row>
    <row r="16" ht="15.75" customHeight="1">
      <c r="A16" s="386"/>
      <c r="B16" s="387"/>
      <c r="C16" s="387" t="s">
        <v>6053</v>
      </c>
      <c r="D16" s="391" t="s">
        <v>6054</v>
      </c>
      <c r="E16" s="391" t="s">
        <v>5913</v>
      </c>
      <c r="F16" s="351"/>
      <c r="G16" s="351"/>
    </row>
    <row r="17" ht="15.75" customHeight="1">
      <c r="A17" s="386"/>
      <c r="B17" s="387"/>
      <c r="C17" s="387" t="s">
        <v>6055</v>
      </c>
      <c r="D17" s="391" t="s">
        <v>6056</v>
      </c>
      <c r="E17" s="391" t="s">
        <v>5913</v>
      </c>
      <c r="F17" s="351"/>
      <c r="G17" s="351"/>
    </row>
    <row r="18" ht="15.75" customHeight="1">
      <c r="A18" s="386"/>
      <c r="B18" s="387"/>
      <c r="C18" s="387" t="s">
        <v>6057</v>
      </c>
      <c r="D18" s="391" t="s">
        <v>6058</v>
      </c>
      <c r="E18" s="392" t="s">
        <v>6035</v>
      </c>
      <c r="F18" s="351"/>
      <c r="G18" s="351"/>
    </row>
    <row r="19" ht="15.75" customHeight="1">
      <c r="A19" s="386"/>
      <c r="B19" s="387"/>
      <c r="C19" s="388" t="s">
        <v>6059</v>
      </c>
      <c r="D19" s="389" t="s">
        <v>6060</v>
      </c>
      <c r="E19" s="389" t="s">
        <v>5913</v>
      </c>
      <c r="F19" s="351"/>
      <c r="G19" s="351"/>
    </row>
    <row r="20" ht="15.75" customHeight="1">
      <c r="A20" s="386"/>
      <c r="B20" s="387"/>
      <c r="C20" s="387" t="s">
        <v>6061</v>
      </c>
      <c r="D20" s="391" t="s">
        <v>6062</v>
      </c>
      <c r="E20" s="391" t="s">
        <v>5913</v>
      </c>
      <c r="F20" s="351"/>
      <c r="G20" s="351"/>
    </row>
    <row r="21" ht="15.75" customHeight="1">
      <c r="A21" s="386"/>
      <c r="B21" s="387"/>
      <c r="C21" s="383" t="s">
        <v>6063</v>
      </c>
      <c r="D21" s="385"/>
      <c r="E21" s="385"/>
      <c r="F21" s="351"/>
      <c r="G21" s="351"/>
    </row>
    <row r="22" ht="15.75" customHeight="1">
      <c r="A22" s="386"/>
      <c r="B22" s="387"/>
      <c r="C22" s="388" t="s">
        <v>6064</v>
      </c>
      <c r="D22" s="389" t="s">
        <v>6065</v>
      </c>
      <c r="E22" s="389" t="s">
        <v>5913</v>
      </c>
      <c r="F22" s="351"/>
      <c r="G22" s="351"/>
    </row>
    <row r="23" ht="15.75" customHeight="1">
      <c r="A23" s="386"/>
      <c r="B23" s="387"/>
      <c r="C23" s="388" t="s">
        <v>6066</v>
      </c>
      <c r="D23" s="389" t="s">
        <v>6067</v>
      </c>
      <c r="E23" s="389" t="s">
        <v>5913</v>
      </c>
      <c r="F23" s="351"/>
      <c r="G23" s="351"/>
    </row>
    <row r="24" ht="15.75" customHeight="1">
      <c r="A24" s="393"/>
      <c r="B24" s="393"/>
      <c r="C24" s="393" t="s">
        <v>6068</v>
      </c>
      <c r="D24" s="394" t="s">
        <v>6069</v>
      </c>
      <c r="E24" s="394" t="s">
        <v>5913</v>
      </c>
      <c r="F24" s="351"/>
      <c r="G24" s="351"/>
    </row>
    <row r="25" ht="15.75" customHeight="1">
      <c r="A25" s="349"/>
      <c r="B25" s="349"/>
      <c r="C25" s="349"/>
      <c r="D25" s="350"/>
      <c r="E25" s="350"/>
      <c r="F25" s="351"/>
      <c r="G25" s="351"/>
    </row>
    <row r="26" ht="15.75" customHeight="1">
      <c r="A26" s="353" t="s">
        <v>5903</v>
      </c>
      <c r="B26" s="353" t="s">
        <v>5904</v>
      </c>
      <c r="C26" s="353" t="s">
        <v>5905</v>
      </c>
      <c r="D26" s="354" t="s">
        <v>5906</v>
      </c>
      <c r="E26" s="355"/>
      <c r="F26" s="356"/>
      <c r="G26" s="356"/>
    </row>
    <row r="27" ht="15.75" customHeight="1">
      <c r="A27" s="381"/>
      <c r="B27" s="381"/>
      <c r="C27" s="381"/>
      <c r="D27" s="358" t="s">
        <v>5907</v>
      </c>
      <c r="E27" s="359" t="s">
        <v>5905</v>
      </c>
      <c r="F27" s="356"/>
      <c r="G27" s="356"/>
    </row>
    <row r="28" ht="15.75" customHeight="1">
      <c r="A28" s="382" t="s">
        <v>5909</v>
      </c>
      <c r="B28" s="383" t="s">
        <v>4963</v>
      </c>
      <c r="C28" s="383" t="s">
        <v>6070</v>
      </c>
      <c r="D28" s="385"/>
      <c r="E28" s="385"/>
      <c r="F28" s="351"/>
      <c r="G28" s="390"/>
    </row>
    <row r="29" ht="15.75" customHeight="1">
      <c r="A29" s="386"/>
      <c r="B29" s="387"/>
      <c r="C29" s="387" t="s">
        <v>6071</v>
      </c>
      <c r="D29" s="391" t="s">
        <v>6072</v>
      </c>
      <c r="E29" s="392" t="s">
        <v>5998</v>
      </c>
      <c r="F29" s="349"/>
      <c r="G29" s="395"/>
    </row>
    <row r="30" ht="15.75" customHeight="1">
      <c r="A30" s="386"/>
      <c r="B30" s="387"/>
      <c r="C30" s="388" t="s">
        <v>6073</v>
      </c>
      <c r="D30" s="389" t="s">
        <v>6074</v>
      </c>
      <c r="E30" s="389" t="s">
        <v>6075</v>
      </c>
      <c r="F30" s="351"/>
      <c r="G30" s="351"/>
    </row>
    <row r="31" ht="15.75" customHeight="1">
      <c r="A31" s="386"/>
      <c r="B31" s="387"/>
      <c r="C31" s="388" t="s">
        <v>5082</v>
      </c>
      <c r="D31" s="389" t="s">
        <v>6076</v>
      </c>
      <c r="E31" s="389" t="s">
        <v>5913</v>
      </c>
      <c r="F31" s="351"/>
      <c r="G31" s="351"/>
    </row>
    <row r="32" ht="15.75" customHeight="1">
      <c r="A32" s="386"/>
      <c r="B32" s="387"/>
      <c r="C32" s="388" t="s">
        <v>6077</v>
      </c>
      <c r="D32" s="389" t="s">
        <v>6078</v>
      </c>
      <c r="E32" s="389" t="s">
        <v>6035</v>
      </c>
      <c r="F32" s="351"/>
      <c r="G32" s="351"/>
    </row>
    <row r="33" ht="15.75" customHeight="1">
      <c r="A33" s="386"/>
      <c r="B33" s="387"/>
      <c r="C33" s="387" t="s">
        <v>6079</v>
      </c>
      <c r="D33" s="391" t="s">
        <v>6080</v>
      </c>
      <c r="E33" s="391" t="s">
        <v>5931</v>
      </c>
      <c r="F33" s="351"/>
      <c r="G33" s="351"/>
    </row>
    <row r="34" ht="15.75" customHeight="1">
      <c r="A34" s="386"/>
      <c r="B34" s="387"/>
      <c r="C34" s="387" t="s">
        <v>6081</v>
      </c>
      <c r="D34" s="391" t="s">
        <v>6082</v>
      </c>
      <c r="E34" s="391" t="s">
        <v>5931</v>
      </c>
      <c r="F34" s="351"/>
      <c r="G34" s="351"/>
    </row>
    <row r="35" ht="15.75" customHeight="1">
      <c r="A35" s="386"/>
      <c r="B35" s="387"/>
      <c r="C35" s="387" t="s">
        <v>6083</v>
      </c>
      <c r="D35" s="391" t="s">
        <v>6083</v>
      </c>
      <c r="E35" s="391" t="s">
        <v>5913</v>
      </c>
      <c r="F35" s="351"/>
      <c r="G35" s="351"/>
    </row>
    <row r="36" ht="15.75" customHeight="1">
      <c r="A36" s="386"/>
      <c r="B36" s="383" t="s">
        <v>6084</v>
      </c>
      <c r="C36" s="383" t="s">
        <v>6085</v>
      </c>
      <c r="D36" s="385"/>
      <c r="E36" s="385"/>
      <c r="F36" s="351"/>
      <c r="G36" s="351"/>
    </row>
    <row r="37" ht="15.75" customHeight="1">
      <c r="A37" s="386"/>
      <c r="B37" s="387"/>
      <c r="C37" s="387" t="s">
        <v>6086</v>
      </c>
      <c r="D37" s="391" t="s">
        <v>6087</v>
      </c>
      <c r="E37" s="391" t="s">
        <v>6075</v>
      </c>
      <c r="F37" s="351"/>
      <c r="G37" s="351"/>
    </row>
    <row r="38" ht="15.75" customHeight="1">
      <c r="A38" s="386"/>
      <c r="B38" s="387"/>
      <c r="C38" s="387" t="s">
        <v>6088</v>
      </c>
      <c r="D38" s="391" t="s">
        <v>6089</v>
      </c>
      <c r="E38" s="391" t="s">
        <v>6075</v>
      </c>
      <c r="F38" s="351"/>
      <c r="G38" s="351"/>
    </row>
    <row r="39" ht="15.75" customHeight="1">
      <c r="A39" s="386"/>
      <c r="B39" s="387"/>
      <c r="C39" s="387" t="s">
        <v>6090</v>
      </c>
      <c r="D39" s="391" t="s">
        <v>6091</v>
      </c>
      <c r="E39" s="391" t="s">
        <v>6075</v>
      </c>
      <c r="F39" s="351"/>
      <c r="G39" s="351"/>
    </row>
    <row r="40" ht="15.75" customHeight="1">
      <c r="A40" s="386"/>
      <c r="B40" s="387"/>
      <c r="C40" s="387" t="s">
        <v>6092</v>
      </c>
      <c r="D40" s="391" t="s">
        <v>6093</v>
      </c>
      <c r="E40" s="391"/>
      <c r="F40" s="351"/>
      <c r="G40" s="351"/>
    </row>
    <row r="41" ht="15.75" customHeight="1">
      <c r="A41" s="386"/>
      <c r="B41" s="387"/>
      <c r="C41" s="387" t="s">
        <v>6094</v>
      </c>
      <c r="D41" s="391" t="s">
        <v>6095</v>
      </c>
      <c r="E41" s="391" t="s">
        <v>6075</v>
      </c>
      <c r="F41" s="351"/>
      <c r="G41" s="351"/>
    </row>
    <row r="42" ht="15.75" customHeight="1">
      <c r="A42" s="386"/>
      <c r="B42" s="387"/>
      <c r="C42" s="383" t="s">
        <v>6096</v>
      </c>
      <c r="D42" s="385"/>
      <c r="E42" s="385"/>
      <c r="F42" s="351"/>
      <c r="G42" s="351"/>
    </row>
    <row r="43" ht="15.75" customHeight="1">
      <c r="A43" s="386"/>
      <c r="B43" s="387"/>
      <c r="C43" s="387" t="s">
        <v>6097</v>
      </c>
      <c r="D43" s="391" t="s">
        <v>6098</v>
      </c>
      <c r="E43" s="391"/>
      <c r="F43" s="351"/>
      <c r="G43" s="351"/>
    </row>
    <row r="44" ht="15.75" customHeight="1">
      <c r="A44" s="386"/>
      <c r="B44" s="387"/>
      <c r="C44" s="387" t="s">
        <v>6099</v>
      </c>
      <c r="D44" s="391" t="s">
        <v>6100</v>
      </c>
      <c r="E44" s="391"/>
      <c r="F44" s="351"/>
      <c r="G44" s="351"/>
    </row>
    <row r="45" ht="15.75" customHeight="1">
      <c r="A45" s="386"/>
      <c r="B45" s="387"/>
      <c r="C45" s="387" t="s">
        <v>6101</v>
      </c>
      <c r="D45" s="391" t="s">
        <v>6102</v>
      </c>
      <c r="E45" s="391"/>
      <c r="F45" s="351"/>
      <c r="G45" s="351"/>
    </row>
    <row r="46" ht="15.75" customHeight="1">
      <c r="A46" s="386"/>
      <c r="B46" s="387"/>
      <c r="C46" s="383" t="s">
        <v>6103</v>
      </c>
      <c r="D46" s="385"/>
      <c r="E46" s="385"/>
      <c r="F46" s="351"/>
      <c r="G46" s="351"/>
    </row>
    <row r="47" ht="15.75" customHeight="1">
      <c r="A47" s="386"/>
      <c r="B47" s="387"/>
      <c r="C47" s="387" t="s">
        <v>6104</v>
      </c>
      <c r="D47" s="391" t="s">
        <v>6105</v>
      </c>
      <c r="E47" s="391" t="s">
        <v>5913</v>
      </c>
      <c r="F47" s="351"/>
      <c r="G47" s="351"/>
    </row>
    <row r="48" ht="15.75" customHeight="1">
      <c r="A48" s="386"/>
      <c r="B48" s="383" t="s">
        <v>5910</v>
      </c>
      <c r="C48" s="383" t="s">
        <v>6106</v>
      </c>
      <c r="D48" s="385"/>
      <c r="E48" s="385"/>
      <c r="F48" s="351"/>
      <c r="G48" s="351"/>
    </row>
    <row r="49" ht="15.75" customHeight="1">
      <c r="A49" s="386"/>
      <c r="B49" s="387"/>
      <c r="C49" s="387" t="s">
        <v>6107</v>
      </c>
      <c r="D49" s="391" t="s">
        <v>6108</v>
      </c>
      <c r="E49" s="391" t="s">
        <v>6075</v>
      </c>
      <c r="F49" s="351"/>
      <c r="G49" s="351"/>
    </row>
    <row r="50" ht="15.75" customHeight="1">
      <c r="A50" s="386"/>
      <c r="B50" s="387"/>
      <c r="C50" s="387" t="s">
        <v>6109</v>
      </c>
      <c r="D50" s="391" t="s">
        <v>6110</v>
      </c>
      <c r="E50" s="391" t="s">
        <v>6075</v>
      </c>
      <c r="F50" s="351"/>
      <c r="G50" s="351"/>
    </row>
    <row r="51" ht="15.75" customHeight="1">
      <c r="A51" s="386"/>
      <c r="B51" s="387"/>
      <c r="C51" s="396" t="s">
        <v>5911</v>
      </c>
      <c r="D51" s="385"/>
      <c r="E51" s="385"/>
      <c r="F51" s="351"/>
      <c r="G51" s="351"/>
    </row>
    <row r="52" ht="15.75" customHeight="1">
      <c r="A52" s="386"/>
      <c r="B52" s="387"/>
      <c r="C52" s="387" t="s">
        <v>5908</v>
      </c>
      <c r="D52" s="391" t="s">
        <v>5912</v>
      </c>
      <c r="E52" s="391" t="s">
        <v>5913</v>
      </c>
      <c r="F52" s="351"/>
      <c r="G52" s="351"/>
    </row>
    <row r="53" ht="15.75" customHeight="1">
      <c r="A53" s="386"/>
      <c r="B53" s="387"/>
      <c r="C53" s="387" t="s">
        <v>5914</v>
      </c>
      <c r="D53" s="391" t="s">
        <v>5915</v>
      </c>
      <c r="E53" s="391" t="s">
        <v>367</v>
      </c>
      <c r="F53" s="351"/>
      <c r="G53" s="351"/>
    </row>
    <row r="54" ht="15.75" customHeight="1">
      <c r="A54" s="386"/>
      <c r="B54" s="387"/>
      <c r="C54" s="387" t="s">
        <v>5916</v>
      </c>
      <c r="D54" s="391" t="s">
        <v>5917</v>
      </c>
      <c r="E54" s="391" t="s">
        <v>5913</v>
      </c>
      <c r="F54" s="351"/>
      <c r="G54" s="351"/>
    </row>
    <row r="55" ht="15.75" customHeight="1">
      <c r="A55" s="386"/>
      <c r="B55" s="387"/>
      <c r="C55" s="383" t="s">
        <v>6111</v>
      </c>
      <c r="D55" s="385"/>
      <c r="E55" s="385"/>
      <c r="F55" s="351"/>
      <c r="G55" s="351"/>
    </row>
    <row r="56" ht="15.75" customHeight="1">
      <c r="A56" s="386"/>
      <c r="B56" s="387"/>
      <c r="C56" s="387" t="s">
        <v>6112</v>
      </c>
      <c r="D56" s="391" t="s">
        <v>6113</v>
      </c>
      <c r="E56" s="391"/>
      <c r="F56" s="351"/>
      <c r="G56" s="351"/>
    </row>
    <row r="57" ht="15.75" customHeight="1">
      <c r="A57" s="386"/>
      <c r="B57" s="387"/>
      <c r="C57" s="388" t="s">
        <v>6114</v>
      </c>
      <c r="D57" s="389" t="s">
        <v>6115</v>
      </c>
      <c r="E57" s="389"/>
      <c r="F57" s="351"/>
      <c r="G57" s="351"/>
    </row>
    <row r="58" ht="15.75" customHeight="1">
      <c r="A58" s="386"/>
      <c r="B58" s="383" t="s">
        <v>6116</v>
      </c>
      <c r="C58" s="383" t="s">
        <v>6117</v>
      </c>
      <c r="D58" s="385"/>
      <c r="E58" s="385"/>
      <c r="F58" s="351"/>
      <c r="G58" s="351"/>
    </row>
    <row r="59" ht="15.75" customHeight="1">
      <c r="A59" s="386"/>
      <c r="B59" s="387"/>
      <c r="C59" s="387" t="s">
        <v>6118</v>
      </c>
      <c r="D59" s="391" t="s">
        <v>6119</v>
      </c>
      <c r="E59" s="391" t="s">
        <v>5913</v>
      </c>
      <c r="F59" s="351"/>
      <c r="G59" s="351"/>
    </row>
    <row r="60" ht="15.75" customHeight="1">
      <c r="A60" s="386"/>
      <c r="B60" s="387"/>
      <c r="C60" s="387" t="s">
        <v>6120</v>
      </c>
      <c r="D60" s="391" t="s">
        <v>6121</v>
      </c>
      <c r="E60" s="391" t="s">
        <v>6075</v>
      </c>
      <c r="F60" s="351"/>
      <c r="G60" s="351"/>
    </row>
    <row r="61" ht="15.75" customHeight="1">
      <c r="A61" s="386"/>
      <c r="B61" s="387"/>
      <c r="C61" s="383" t="s">
        <v>4981</v>
      </c>
      <c r="D61" s="385"/>
      <c r="E61" s="385"/>
      <c r="F61" s="351"/>
      <c r="G61" s="351"/>
    </row>
    <row r="62" ht="15.75" customHeight="1">
      <c r="A62" s="386"/>
      <c r="B62" s="387"/>
      <c r="C62" s="387" t="s">
        <v>6122</v>
      </c>
      <c r="D62" s="391" t="s">
        <v>6123</v>
      </c>
      <c r="E62" s="392" t="s">
        <v>6035</v>
      </c>
      <c r="F62" s="351"/>
      <c r="G62" s="351"/>
    </row>
    <row r="63" ht="15.75" customHeight="1">
      <c r="A63" s="386"/>
      <c r="B63" s="387"/>
      <c r="C63" s="388" t="s">
        <v>6124</v>
      </c>
      <c r="D63" s="389" t="s">
        <v>6125</v>
      </c>
      <c r="E63" s="389"/>
      <c r="F63" s="351"/>
      <c r="G63" s="351"/>
    </row>
    <row r="64" ht="15.75" customHeight="1">
      <c r="A64" s="386"/>
      <c r="B64" s="387"/>
      <c r="C64" s="387" t="s">
        <v>6126</v>
      </c>
      <c r="D64" s="391" t="s">
        <v>6127</v>
      </c>
      <c r="E64" s="391"/>
      <c r="F64" s="351"/>
      <c r="G64" s="351"/>
    </row>
    <row r="65" ht="15.75" customHeight="1">
      <c r="A65" s="386"/>
      <c r="B65" s="387"/>
      <c r="C65" s="387" t="s">
        <v>6128</v>
      </c>
      <c r="D65" s="391" t="s">
        <v>6129</v>
      </c>
      <c r="E65" s="391" t="s">
        <v>5913</v>
      </c>
      <c r="F65" s="351"/>
      <c r="G65" s="351"/>
    </row>
    <row r="66" ht="15.75" customHeight="1">
      <c r="A66" s="386"/>
      <c r="B66" s="383" t="s">
        <v>6130</v>
      </c>
      <c r="C66" s="383" t="s">
        <v>6130</v>
      </c>
      <c r="D66" s="385"/>
      <c r="E66" s="385"/>
      <c r="F66" s="351"/>
      <c r="G66" s="351"/>
    </row>
    <row r="67" ht="15.75" customHeight="1">
      <c r="A67" s="386"/>
      <c r="B67" s="387"/>
      <c r="C67" s="387" t="s">
        <v>6131</v>
      </c>
      <c r="D67" s="391" t="s">
        <v>6132</v>
      </c>
      <c r="E67" s="391" t="s">
        <v>5913</v>
      </c>
      <c r="F67" s="351"/>
      <c r="G67" s="351"/>
    </row>
    <row r="68" ht="15.75" customHeight="1">
      <c r="A68" s="386"/>
      <c r="B68" s="383" t="s">
        <v>6133</v>
      </c>
      <c r="C68" s="383" t="s">
        <v>6133</v>
      </c>
      <c r="D68" s="385"/>
      <c r="E68" s="385"/>
      <c r="F68" s="351"/>
      <c r="G68" s="351"/>
    </row>
    <row r="69" ht="15.75" customHeight="1">
      <c r="A69" s="393"/>
      <c r="B69" s="397"/>
      <c r="C69" s="397" t="s">
        <v>6134</v>
      </c>
      <c r="D69" s="398" t="s">
        <v>6135</v>
      </c>
      <c r="E69" s="398"/>
      <c r="F69" s="351"/>
      <c r="G69" s="351"/>
    </row>
    <row r="70" ht="15.75" customHeight="1">
      <c r="A70" s="349"/>
      <c r="B70" s="349"/>
      <c r="C70" s="349"/>
      <c r="D70" s="350"/>
      <c r="E70" s="350"/>
      <c r="F70" s="351"/>
      <c r="G70" s="351"/>
    </row>
    <row r="71" ht="15.75" customHeight="1">
      <c r="A71" s="353" t="s">
        <v>5903</v>
      </c>
      <c r="B71" s="353" t="s">
        <v>5904</v>
      </c>
      <c r="C71" s="353" t="s">
        <v>5905</v>
      </c>
      <c r="D71" s="354" t="s">
        <v>5906</v>
      </c>
      <c r="E71" s="355"/>
      <c r="F71" s="356"/>
      <c r="G71" s="356"/>
    </row>
    <row r="72" ht="15.75" customHeight="1">
      <c r="A72" s="381"/>
      <c r="B72" s="381"/>
      <c r="C72" s="381"/>
      <c r="D72" s="358" t="s">
        <v>5907</v>
      </c>
      <c r="E72" s="359" t="s">
        <v>5905</v>
      </c>
      <c r="F72" s="356"/>
      <c r="G72" s="356"/>
    </row>
    <row r="73" ht="15.75" customHeight="1">
      <c r="A73" s="382" t="s">
        <v>5919</v>
      </c>
      <c r="B73" s="384" t="s">
        <v>5183</v>
      </c>
      <c r="C73" s="384" t="s">
        <v>6136</v>
      </c>
      <c r="D73" s="385"/>
      <c r="E73" s="385"/>
      <c r="F73" s="351"/>
      <c r="G73" s="351"/>
    </row>
    <row r="74" ht="15.75" customHeight="1">
      <c r="A74" s="386"/>
      <c r="B74" s="388"/>
      <c r="C74" s="388" t="s">
        <v>6137</v>
      </c>
      <c r="D74" s="389" t="s">
        <v>6138</v>
      </c>
      <c r="E74" s="389" t="s">
        <v>5913</v>
      </c>
      <c r="F74" s="351"/>
      <c r="G74" s="351"/>
    </row>
    <row r="75" ht="15.75" customHeight="1">
      <c r="A75" s="386"/>
      <c r="B75" s="388"/>
      <c r="C75" s="388" t="s">
        <v>6139</v>
      </c>
      <c r="D75" s="389" t="s">
        <v>6140</v>
      </c>
      <c r="E75" s="389"/>
      <c r="F75" s="351"/>
      <c r="G75" s="351"/>
    </row>
    <row r="76" ht="15.75" customHeight="1">
      <c r="A76" s="386"/>
      <c r="B76" s="388"/>
      <c r="C76" s="388" t="s">
        <v>6141</v>
      </c>
      <c r="D76" s="389" t="s">
        <v>6142</v>
      </c>
      <c r="E76" s="389" t="s">
        <v>5913</v>
      </c>
      <c r="F76" s="351"/>
      <c r="G76" s="351"/>
    </row>
    <row r="77" ht="15.75" customHeight="1">
      <c r="A77" s="386"/>
      <c r="B77" s="399"/>
      <c r="C77" s="384" t="s">
        <v>6143</v>
      </c>
      <c r="D77" s="385"/>
      <c r="E77" s="385"/>
      <c r="F77" s="351"/>
      <c r="G77" s="351"/>
    </row>
    <row r="78" ht="15.75" customHeight="1">
      <c r="A78" s="386"/>
      <c r="B78" s="388"/>
      <c r="C78" s="388" t="s">
        <v>6144</v>
      </c>
      <c r="D78" s="389" t="s">
        <v>6145</v>
      </c>
      <c r="E78" s="389"/>
      <c r="F78" s="351"/>
      <c r="G78" s="351"/>
    </row>
    <row r="79" ht="15.75" customHeight="1">
      <c r="A79" s="386"/>
      <c r="B79" s="388"/>
      <c r="C79" s="384" t="s">
        <v>6146</v>
      </c>
      <c r="D79" s="385"/>
      <c r="E79" s="385"/>
      <c r="F79" s="351"/>
      <c r="G79" s="351"/>
    </row>
    <row r="80" ht="15.75" customHeight="1">
      <c r="A80" s="386"/>
      <c r="B80" s="388"/>
      <c r="C80" s="388" t="s">
        <v>6147</v>
      </c>
      <c r="D80" s="389" t="s">
        <v>6148</v>
      </c>
      <c r="E80" s="389"/>
      <c r="F80" s="351"/>
      <c r="G80" s="351"/>
    </row>
    <row r="81" ht="15.75" customHeight="1">
      <c r="A81" s="400"/>
      <c r="B81" s="383" t="s">
        <v>3876</v>
      </c>
      <c r="C81" s="383" t="s">
        <v>6149</v>
      </c>
      <c r="D81" s="385"/>
      <c r="E81" s="385"/>
      <c r="F81" s="351"/>
      <c r="G81" s="351"/>
    </row>
    <row r="82" ht="15.75" customHeight="1">
      <c r="A82" s="386"/>
      <c r="B82" s="387"/>
      <c r="C82" s="387" t="s">
        <v>6150</v>
      </c>
      <c r="D82" s="391" t="s">
        <v>6151</v>
      </c>
      <c r="E82" s="391" t="s">
        <v>5913</v>
      </c>
      <c r="F82" s="351"/>
      <c r="G82" s="351"/>
    </row>
    <row r="83" ht="15.75" customHeight="1">
      <c r="A83" s="386"/>
      <c r="B83" s="387"/>
      <c r="C83" s="383" t="s">
        <v>6152</v>
      </c>
      <c r="D83" s="385"/>
      <c r="E83" s="385"/>
      <c r="F83" s="351"/>
      <c r="G83" s="351"/>
    </row>
    <row r="84" ht="15.75" customHeight="1">
      <c r="A84" s="386"/>
      <c r="B84" s="387"/>
      <c r="C84" s="387" t="s">
        <v>6153</v>
      </c>
      <c r="D84" s="391" t="s">
        <v>6154</v>
      </c>
      <c r="E84" s="391" t="s">
        <v>6075</v>
      </c>
      <c r="F84" s="351"/>
      <c r="G84" s="351"/>
    </row>
    <row r="85" ht="15.75" customHeight="1">
      <c r="A85" s="386"/>
      <c r="B85" s="387"/>
      <c r="C85" s="387" t="s">
        <v>6155</v>
      </c>
      <c r="D85" s="391" t="s">
        <v>6156</v>
      </c>
      <c r="E85" s="391" t="s">
        <v>6035</v>
      </c>
      <c r="F85" s="351"/>
      <c r="G85" s="351"/>
    </row>
    <row r="86" ht="15.75" customHeight="1">
      <c r="A86" s="386"/>
      <c r="B86" s="387"/>
      <c r="C86" s="387" t="s">
        <v>6157</v>
      </c>
      <c r="D86" s="391" t="s">
        <v>6158</v>
      </c>
      <c r="E86" s="391" t="s">
        <v>6075</v>
      </c>
      <c r="F86" s="351"/>
      <c r="G86" s="351"/>
    </row>
    <row r="87" ht="15.75" customHeight="1">
      <c r="A87" s="386"/>
      <c r="B87" s="387"/>
      <c r="C87" s="387" t="s">
        <v>6159</v>
      </c>
      <c r="D87" s="391" t="s">
        <v>6160</v>
      </c>
      <c r="E87" s="391"/>
      <c r="F87" s="351"/>
      <c r="G87" s="351"/>
    </row>
    <row r="88" ht="15.75" customHeight="1">
      <c r="A88" s="386"/>
      <c r="B88" s="387"/>
      <c r="C88" s="387" t="s">
        <v>6161</v>
      </c>
      <c r="D88" s="391" t="s">
        <v>6162</v>
      </c>
      <c r="E88" s="391"/>
      <c r="F88" s="351"/>
      <c r="G88" s="351"/>
    </row>
    <row r="89" ht="15.75" customHeight="1">
      <c r="A89" s="386"/>
      <c r="B89" s="387"/>
      <c r="C89" s="387" t="s">
        <v>6163</v>
      </c>
      <c r="D89" s="391" t="s">
        <v>6163</v>
      </c>
      <c r="E89" s="391" t="s">
        <v>5913</v>
      </c>
      <c r="F89" s="351"/>
      <c r="G89" s="351"/>
    </row>
    <row r="90" ht="15.75" customHeight="1">
      <c r="A90" s="386"/>
      <c r="B90" s="387"/>
      <c r="C90" s="387" t="s">
        <v>6164</v>
      </c>
      <c r="D90" s="391" t="s">
        <v>6165</v>
      </c>
      <c r="E90" s="391"/>
      <c r="F90" s="351"/>
      <c r="G90" s="351"/>
    </row>
    <row r="91" ht="15.75" customHeight="1">
      <c r="A91" s="386"/>
      <c r="B91" s="383" t="s">
        <v>5920</v>
      </c>
      <c r="C91" s="383" t="s">
        <v>6166</v>
      </c>
      <c r="D91" s="385"/>
      <c r="E91" s="385"/>
      <c r="F91" s="351"/>
      <c r="G91" s="351"/>
    </row>
    <row r="92" ht="15.75" customHeight="1">
      <c r="A92" s="386"/>
      <c r="B92" s="387"/>
      <c r="C92" s="387" t="s">
        <v>6167</v>
      </c>
      <c r="D92" s="391" t="s">
        <v>6168</v>
      </c>
      <c r="E92" s="391"/>
      <c r="F92" s="351"/>
      <c r="G92" s="351"/>
    </row>
    <row r="93" ht="15.75" customHeight="1">
      <c r="A93" s="386"/>
      <c r="B93" s="387"/>
      <c r="C93" s="387" t="s">
        <v>5000</v>
      </c>
      <c r="D93" s="391" t="s">
        <v>6169</v>
      </c>
      <c r="E93" s="391" t="s">
        <v>5913</v>
      </c>
      <c r="F93" s="351"/>
      <c r="G93" s="351"/>
    </row>
    <row r="94" ht="15.75" customHeight="1">
      <c r="A94" s="386"/>
      <c r="B94" s="387"/>
      <c r="C94" s="383" t="s">
        <v>6170</v>
      </c>
      <c r="D94" s="385"/>
      <c r="E94" s="385"/>
      <c r="F94" s="351"/>
      <c r="G94" s="351"/>
    </row>
    <row r="95" ht="15.75" customHeight="1">
      <c r="A95" s="386"/>
      <c r="B95" s="387"/>
      <c r="C95" s="387" t="s">
        <v>6171</v>
      </c>
      <c r="D95" s="391" t="s">
        <v>6172</v>
      </c>
      <c r="E95" s="391"/>
      <c r="F95" s="351"/>
      <c r="G95" s="351"/>
    </row>
    <row r="96" ht="15.75" customHeight="1">
      <c r="A96" s="386"/>
      <c r="B96" s="387"/>
      <c r="C96" s="387" t="s">
        <v>6173</v>
      </c>
      <c r="D96" s="391" t="s">
        <v>6174</v>
      </c>
      <c r="E96" s="391" t="s">
        <v>5913</v>
      </c>
      <c r="F96" s="351"/>
      <c r="G96" s="351"/>
    </row>
    <row r="97" ht="15.75" customHeight="1">
      <c r="A97" s="401"/>
      <c r="B97" s="388"/>
      <c r="C97" s="402" t="s">
        <v>6175</v>
      </c>
      <c r="D97" s="403" t="s">
        <v>6176</v>
      </c>
      <c r="E97" s="403" t="s">
        <v>5913</v>
      </c>
      <c r="F97" s="373"/>
      <c r="G97" s="373"/>
    </row>
    <row r="98" ht="15.75" customHeight="1">
      <c r="A98" s="386"/>
      <c r="B98" s="387"/>
      <c r="C98" s="387" t="s">
        <v>6177</v>
      </c>
      <c r="D98" s="391" t="s">
        <v>6178</v>
      </c>
      <c r="E98" s="391"/>
      <c r="F98" s="351"/>
      <c r="G98" s="351"/>
    </row>
    <row r="99" ht="15.75" customHeight="1">
      <c r="A99" s="386"/>
      <c r="B99" s="387"/>
      <c r="C99" s="387" t="s">
        <v>6179</v>
      </c>
      <c r="D99" s="391" t="s">
        <v>6180</v>
      </c>
      <c r="E99" s="391"/>
      <c r="F99" s="351"/>
      <c r="G99" s="351"/>
    </row>
    <row r="100" ht="15.75" customHeight="1">
      <c r="A100" s="386"/>
      <c r="B100" s="387"/>
      <c r="C100" s="387" t="s">
        <v>6181</v>
      </c>
      <c r="D100" s="391" t="s">
        <v>6182</v>
      </c>
      <c r="E100" s="389" t="s">
        <v>5913</v>
      </c>
      <c r="F100" s="351"/>
      <c r="G100" s="351"/>
    </row>
    <row r="101" ht="15.75" customHeight="1">
      <c r="A101" s="386"/>
      <c r="B101" s="387"/>
      <c r="C101" s="388" t="s">
        <v>6183</v>
      </c>
      <c r="D101" s="389" t="s">
        <v>6184</v>
      </c>
      <c r="E101" s="389" t="s">
        <v>5913</v>
      </c>
      <c r="F101" s="351"/>
      <c r="G101" s="351"/>
    </row>
    <row r="102" ht="15.75" customHeight="1">
      <c r="A102" s="386"/>
      <c r="B102" s="388"/>
      <c r="C102" s="388" t="s">
        <v>6185</v>
      </c>
      <c r="D102" s="391" t="s">
        <v>6186</v>
      </c>
      <c r="E102" s="391" t="s">
        <v>5913</v>
      </c>
      <c r="F102" s="351"/>
      <c r="G102" s="351"/>
    </row>
    <row r="103" ht="15.75" customHeight="1">
      <c r="A103" s="386"/>
      <c r="B103" s="387"/>
      <c r="C103" s="387" t="s">
        <v>6187</v>
      </c>
      <c r="D103" s="391" t="s">
        <v>6188</v>
      </c>
      <c r="E103" s="391"/>
      <c r="F103" s="351"/>
      <c r="G103" s="351"/>
    </row>
    <row r="104" ht="15.75" customHeight="1">
      <c r="A104" s="386"/>
      <c r="B104" s="387"/>
      <c r="C104" s="387" t="s">
        <v>6189</v>
      </c>
      <c r="D104" s="391" t="s">
        <v>6190</v>
      </c>
      <c r="E104" s="392" t="s">
        <v>6191</v>
      </c>
      <c r="F104" s="351"/>
      <c r="G104" s="351"/>
    </row>
    <row r="105" ht="15.75" customHeight="1">
      <c r="A105" s="386"/>
      <c r="B105" s="387"/>
      <c r="C105" s="387" t="s">
        <v>6192</v>
      </c>
      <c r="D105" s="391" t="s">
        <v>6192</v>
      </c>
      <c r="E105" s="391" t="s">
        <v>5913</v>
      </c>
      <c r="F105" s="351"/>
      <c r="G105" s="351"/>
    </row>
    <row r="106" ht="15.75" customHeight="1">
      <c r="A106" s="386"/>
      <c r="B106" s="387"/>
      <c r="C106" s="396" t="s">
        <v>5921</v>
      </c>
      <c r="D106" s="385"/>
      <c r="E106" s="385"/>
      <c r="F106" s="351"/>
      <c r="G106" s="351"/>
    </row>
    <row r="107" ht="15.75" customHeight="1">
      <c r="A107" s="386"/>
      <c r="B107" s="387"/>
      <c r="C107" s="387" t="s">
        <v>5918</v>
      </c>
      <c r="D107" s="391" t="s">
        <v>5922</v>
      </c>
      <c r="E107" s="391"/>
      <c r="F107" s="351"/>
      <c r="G107" s="351"/>
    </row>
    <row r="108" ht="15.75" customHeight="1">
      <c r="A108" s="386"/>
      <c r="B108" s="387"/>
      <c r="C108" s="383" t="s">
        <v>6193</v>
      </c>
      <c r="D108" s="385"/>
      <c r="E108" s="385"/>
      <c r="F108" s="351"/>
      <c r="G108" s="351"/>
    </row>
    <row r="109" ht="15.75" customHeight="1">
      <c r="A109" s="386"/>
      <c r="B109" s="387"/>
      <c r="C109" s="387" t="s">
        <v>6194</v>
      </c>
      <c r="D109" s="391" t="s">
        <v>6195</v>
      </c>
      <c r="E109" s="391" t="s">
        <v>6035</v>
      </c>
      <c r="F109" s="351"/>
      <c r="G109" s="351"/>
    </row>
    <row r="110" ht="15.75" customHeight="1">
      <c r="A110" s="386"/>
      <c r="B110" s="384" t="s">
        <v>5924</v>
      </c>
      <c r="C110" s="384" t="s">
        <v>6196</v>
      </c>
      <c r="D110" s="404"/>
      <c r="E110" s="404"/>
      <c r="F110" s="351"/>
      <c r="G110" s="351"/>
    </row>
    <row r="111" ht="15.75" customHeight="1">
      <c r="A111" s="386"/>
      <c r="B111" s="399"/>
      <c r="C111" s="402" t="s">
        <v>6197</v>
      </c>
      <c r="D111" s="405" t="s">
        <v>6197</v>
      </c>
      <c r="E111" s="389" t="s">
        <v>6035</v>
      </c>
      <c r="F111" s="349"/>
      <c r="G111" s="349"/>
    </row>
    <row r="112" ht="15.75" customHeight="1">
      <c r="A112" s="386"/>
      <c r="B112" s="388"/>
      <c r="C112" s="388" t="s">
        <v>6198</v>
      </c>
      <c r="D112" s="389" t="s">
        <v>6199</v>
      </c>
      <c r="E112" s="389" t="s">
        <v>6035</v>
      </c>
      <c r="F112" s="351"/>
      <c r="G112" s="351"/>
    </row>
    <row r="113" ht="15.75" customHeight="1">
      <c r="A113" s="386"/>
      <c r="B113" s="388"/>
      <c r="C113" s="384" t="s">
        <v>6200</v>
      </c>
      <c r="D113" s="404"/>
      <c r="E113" s="404"/>
      <c r="F113" s="351"/>
      <c r="G113" s="351"/>
    </row>
    <row r="114" ht="15.75" customHeight="1">
      <c r="A114" s="386"/>
      <c r="B114" s="388"/>
      <c r="C114" s="388" t="s">
        <v>6201</v>
      </c>
      <c r="D114" s="389" t="s">
        <v>6202</v>
      </c>
      <c r="E114" s="389" t="s">
        <v>5931</v>
      </c>
      <c r="F114" s="351"/>
      <c r="G114" s="351"/>
    </row>
    <row r="115" ht="15.75" customHeight="1">
      <c r="A115" s="386"/>
      <c r="B115" s="388"/>
      <c r="C115" s="388" t="s">
        <v>6203</v>
      </c>
      <c r="D115" s="389" t="s">
        <v>6204</v>
      </c>
      <c r="E115" s="389"/>
      <c r="F115" s="351"/>
      <c r="G115" s="351"/>
    </row>
    <row r="116" ht="15.75" customHeight="1">
      <c r="A116" s="386"/>
      <c r="B116" s="388"/>
      <c r="C116" s="388" t="s">
        <v>6205</v>
      </c>
      <c r="D116" s="389" t="s">
        <v>6206</v>
      </c>
      <c r="E116" s="389"/>
      <c r="F116" s="351"/>
      <c r="G116" s="351"/>
    </row>
    <row r="117" ht="15.75" customHeight="1">
      <c r="A117" s="386"/>
      <c r="B117" s="388"/>
      <c r="C117" s="388" t="s">
        <v>6207</v>
      </c>
      <c r="D117" s="389" t="s">
        <v>6208</v>
      </c>
      <c r="E117" s="389" t="s">
        <v>5931</v>
      </c>
      <c r="F117" s="351"/>
      <c r="G117" s="351"/>
    </row>
    <row r="118" ht="15.75" customHeight="1">
      <c r="A118" s="386"/>
      <c r="B118" s="388"/>
      <c r="C118" s="388" t="s">
        <v>6209</v>
      </c>
      <c r="D118" s="389" t="s">
        <v>6210</v>
      </c>
      <c r="E118" s="389" t="s">
        <v>5913</v>
      </c>
      <c r="F118" s="351"/>
      <c r="G118" s="351"/>
    </row>
    <row r="119" ht="15.75" customHeight="1">
      <c r="A119" s="386"/>
      <c r="B119" s="388"/>
      <c r="C119" s="384" t="s">
        <v>6211</v>
      </c>
      <c r="D119" s="404"/>
      <c r="E119" s="404"/>
      <c r="F119" s="351"/>
      <c r="G119" s="351"/>
    </row>
    <row r="120" ht="15.75" customHeight="1">
      <c r="A120" s="386"/>
      <c r="B120" s="388"/>
      <c r="C120" s="388" t="s">
        <v>6212</v>
      </c>
      <c r="D120" s="389" t="s">
        <v>6213</v>
      </c>
      <c r="E120" s="389" t="s">
        <v>5913</v>
      </c>
      <c r="F120" s="351"/>
      <c r="G120" s="351"/>
    </row>
    <row r="121" ht="15.75" customHeight="1">
      <c r="A121" s="386"/>
      <c r="B121" s="388"/>
      <c r="C121" s="388" t="s">
        <v>6214</v>
      </c>
      <c r="D121" s="389" t="s">
        <v>6215</v>
      </c>
      <c r="E121" s="389" t="s">
        <v>5913</v>
      </c>
      <c r="F121" s="351"/>
      <c r="G121" s="351"/>
    </row>
    <row r="122" ht="15.75" customHeight="1">
      <c r="A122" s="386"/>
      <c r="B122" s="388"/>
      <c r="C122" s="388" t="s">
        <v>6216</v>
      </c>
      <c r="D122" s="389" t="s">
        <v>6217</v>
      </c>
      <c r="E122" s="389"/>
      <c r="F122" s="351"/>
      <c r="G122" s="351"/>
    </row>
    <row r="123" ht="15.75" customHeight="1">
      <c r="A123" s="386"/>
      <c r="B123" s="388"/>
      <c r="C123" s="384" t="s">
        <v>6218</v>
      </c>
      <c r="D123" s="404"/>
      <c r="E123" s="404"/>
      <c r="F123" s="351"/>
      <c r="G123" s="351"/>
    </row>
    <row r="124" ht="15.75" customHeight="1">
      <c r="A124" s="386"/>
      <c r="B124" s="388"/>
      <c r="C124" s="388" t="s">
        <v>6219</v>
      </c>
      <c r="D124" s="389" t="s">
        <v>6220</v>
      </c>
      <c r="E124" s="389" t="s">
        <v>5913</v>
      </c>
      <c r="F124" s="351"/>
      <c r="G124" s="351"/>
    </row>
    <row r="125" ht="15.75" customHeight="1">
      <c r="A125" s="386"/>
      <c r="B125" s="388"/>
      <c r="C125" s="388" t="s">
        <v>6221</v>
      </c>
      <c r="D125" s="389" t="s">
        <v>6222</v>
      </c>
      <c r="E125" s="389" t="s">
        <v>5913</v>
      </c>
      <c r="F125" s="351"/>
      <c r="G125" s="351"/>
    </row>
    <row r="126" ht="15.75" customHeight="1">
      <c r="A126" s="386"/>
      <c r="B126" s="388"/>
      <c r="C126" s="384" t="s">
        <v>6223</v>
      </c>
      <c r="D126" s="404"/>
      <c r="E126" s="404"/>
      <c r="F126" s="351"/>
      <c r="G126" s="351"/>
    </row>
    <row r="127" ht="15.75" customHeight="1">
      <c r="A127" s="386"/>
      <c r="B127" s="387"/>
      <c r="C127" s="388" t="s">
        <v>6224</v>
      </c>
      <c r="D127" s="389" t="s">
        <v>6225</v>
      </c>
      <c r="E127" s="389"/>
      <c r="F127" s="351"/>
      <c r="G127" s="351"/>
    </row>
    <row r="128" ht="15.75" customHeight="1">
      <c r="A128" s="386"/>
      <c r="B128" s="387"/>
      <c r="C128" s="388" t="s">
        <v>6226</v>
      </c>
      <c r="D128" s="389" t="s">
        <v>6227</v>
      </c>
      <c r="E128" s="389" t="s">
        <v>5913</v>
      </c>
      <c r="F128" s="351"/>
      <c r="G128" s="351"/>
    </row>
    <row r="129" ht="15.75" customHeight="1">
      <c r="A129" s="386"/>
      <c r="B129" s="387"/>
      <c r="C129" s="388" t="s">
        <v>6228</v>
      </c>
      <c r="D129" s="389" t="s">
        <v>6229</v>
      </c>
      <c r="E129" s="389"/>
      <c r="F129" s="351"/>
      <c r="G129" s="351"/>
    </row>
    <row r="130" ht="15.75" customHeight="1">
      <c r="A130" s="386"/>
      <c r="B130" s="387"/>
      <c r="C130" s="388" t="s">
        <v>6230</v>
      </c>
      <c r="D130" s="389" t="s">
        <v>6231</v>
      </c>
      <c r="E130" s="389"/>
      <c r="F130" s="351"/>
      <c r="G130" s="351"/>
    </row>
    <row r="131" ht="15.75" customHeight="1">
      <c r="A131" s="386"/>
      <c r="B131" s="387"/>
      <c r="C131" s="388" t="s">
        <v>6232</v>
      </c>
      <c r="D131" s="389" t="s">
        <v>6233</v>
      </c>
      <c r="E131" s="389"/>
      <c r="F131" s="351"/>
      <c r="G131" s="351"/>
    </row>
    <row r="132" ht="15.75" customHeight="1">
      <c r="A132" s="386"/>
      <c r="B132" s="387"/>
      <c r="C132" s="388" t="s">
        <v>6234</v>
      </c>
      <c r="D132" s="389" t="s">
        <v>6235</v>
      </c>
      <c r="E132" s="389" t="s">
        <v>5913</v>
      </c>
      <c r="F132" s="351"/>
      <c r="G132" s="351"/>
    </row>
    <row r="133" ht="15.75" customHeight="1">
      <c r="A133" s="386"/>
      <c r="B133" s="387"/>
      <c r="C133" s="388" t="s">
        <v>6236</v>
      </c>
      <c r="D133" s="389" t="s">
        <v>6237</v>
      </c>
      <c r="E133" s="389"/>
      <c r="F133" s="351"/>
      <c r="G133" s="351"/>
    </row>
    <row r="134" ht="15.75" customHeight="1">
      <c r="A134" s="386"/>
      <c r="B134" s="387"/>
      <c r="C134" s="388" t="s">
        <v>6238</v>
      </c>
      <c r="D134" s="389" t="s">
        <v>6239</v>
      </c>
      <c r="E134" s="389"/>
      <c r="F134" s="351"/>
      <c r="G134" s="351"/>
    </row>
    <row r="135" ht="15.75" customHeight="1">
      <c r="A135" s="386"/>
      <c r="B135" s="387"/>
      <c r="C135" s="388" t="s">
        <v>6240</v>
      </c>
      <c r="D135" s="389" t="s">
        <v>6241</v>
      </c>
      <c r="E135" s="389"/>
      <c r="F135" s="351"/>
      <c r="G135" s="351"/>
    </row>
    <row r="136" ht="15.75" customHeight="1">
      <c r="A136" s="386"/>
      <c r="B136" s="387"/>
      <c r="C136" s="388" t="s">
        <v>6242</v>
      </c>
      <c r="D136" s="389" t="s">
        <v>6243</v>
      </c>
      <c r="E136" s="389"/>
      <c r="F136" s="351"/>
      <c r="G136" s="351"/>
    </row>
    <row r="137" ht="15.75" customHeight="1">
      <c r="A137" s="386"/>
      <c r="B137" s="387"/>
      <c r="C137" s="388" t="s">
        <v>6244</v>
      </c>
      <c r="D137" s="389" t="s">
        <v>6245</v>
      </c>
      <c r="E137" s="389" t="s">
        <v>5913</v>
      </c>
      <c r="F137" s="351"/>
      <c r="G137" s="351"/>
    </row>
    <row r="138" ht="15.75" customHeight="1">
      <c r="A138" s="386"/>
      <c r="B138" s="387"/>
      <c r="C138" s="406" t="s">
        <v>5925</v>
      </c>
      <c r="D138" s="404"/>
      <c r="E138" s="404"/>
      <c r="F138" s="351"/>
      <c r="G138" s="351"/>
    </row>
    <row r="139" ht="15.75" customHeight="1">
      <c r="A139" s="386"/>
      <c r="B139" s="387"/>
      <c r="C139" s="387" t="s">
        <v>5923</v>
      </c>
      <c r="D139" s="391" t="s">
        <v>5926</v>
      </c>
      <c r="E139" s="391"/>
      <c r="F139" s="351"/>
      <c r="G139" s="351"/>
    </row>
    <row r="140" ht="15.75" customHeight="1">
      <c r="A140" s="386"/>
      <c r="B140" s="387"/>
      <c r="C140" s="387" t="s">
        <v>5927</v>
      </c>
      <c r="D140" s="391" t="s">
        <v>5928</v>
      </c>
      <c r="E140" s="391"/>
      <c r="F140" s="351"/>
      <c r="G140" s="351"/>
    </row>
    <row r="141" ht="15.75" customHeight="1">
      <c r="A141" s="386"/>
      <c r="B141" s="387"/>
      <c r="C141" s="388" t="s">
        <v>5929</v>
      </c>
      <c r="D141" s="389" t="s">
        <v>5930</v>
      </c>
      <c r="E141" s="389" t="s">
        <v>5931</v>
      </c>
      <c r="F141" s="351"/>
      <c r="G141" s="351"/>
    </row>
    <row r="142" ht="15.75" customHeight="1">
      <c r="A142" s="386"/>
      <c r="B142" s="387"/>
      <c r="C142" s="387" t="s">
        <v>5932</v>
      </c>
      <c r="D142" s="391" t="s">
        <v>5933</v>
      </c>
      <c r="E142" s="391"/>
      <c r="F142" s="351"/>
      <c r="G142" s="351"/>
    </row>
    <row r="143" ht="15.75" customHeight="1">
      <c r="A143" s="386"/>
      <c r="B143" s="387"/>
      <c r="C143" s="388" t="s">
        <v>5934</v>
      </c>
      <c r="D143" s="389" t="s">
        <v>5935</v>
      </c>
      <c r="E143" s="389"/>
      <c r="F143" s="351"/>
      <c r="G143" s="351"/>
    </row>
    <row r="144" ht="15.75" customHeight="1">
      <c r="A144" s="386"/>
      <c r="B144" s="387"/>
      <c r="C144" s="387" t="s">
        <v>5936</v>
      </c>
      <c r="D144" s="391" t="s">
        <v>5937</v>
      </c>
      <c r="E144" s="391" t="s">
        <v>5913</v>
      </c>
      <c r="F144" s="356"/>
      <c r="G144" s="356"/>
    </row>
    <row r="145" ht="15.75" customHeight="1">
      <c r="A145" s="386"/>
      <c r="B145" s="387"/>
      <c r="C145" s="387" t="s">
        <v>5938</v>
      </c>
      <c r="D145" s="391" t="s">
        <v>5939</v>
      </c>
      <c r="E145" s="391" t="s">
        <v>5913</v>
      </c>
      <c r="F145" s="356"/>
      <c r="G145" s="356"/>
    </row>
    <row r="146" ht="15.75" customHeight="1">
      <c r="A146" s="386"/>
      <c r="B146" s="384" t="s">
        <v>6246</v>
      </c>
      <c r="C146" s="383" t="s">
        <v>6246</v>
      </c>
      <c r="D146" s="385"/>
      <c r="E146" s="385"/>
      <c r="F146" s="351"/>
      <c r="G146" s="351"/>
    </row>
    <row r="147" ht="15.75" customHeight="1">
      <c r="A147" s="386"/>
      <c r="B147" s="387"/>
      <c r="C147" s="387" t="s">
        <v>6247</v>
      </c>
      <c r="D147" s="391" t="s">
        <v>6248</v>
      </c>
      <c r="E147" s="391"/>
      <c r="F147" s="351"/>
      <c r="G147" s="351"/>
    </row>
    <row r="148" ht="15.75" customHeight="1">
      <c r="A148" s="386"/>
      <c r="B148" s="399"/>
      <c r="C148" s="387" t="s">
        <v>6249</v>
      </c>
      <c r="D148" s="391" t="s">
        <v>6250</v>
      </c>
      <c r="E148" s="392" t="s">
        <v>367</v>
      </c>
      <c r="F148" s="351"/>
      <c r="G148" s="351"/>
    </row>
    <row r="149" ht="15.75" customHeight="1">
      <c r="A149" s="386"/>
      <c r="B149" s="387"/>
      <c r="C149" s="387" t="s">
        <v>6251</v>
      </c>
      <c r="D149" s="391" t="s">
        <v>6252</v>
      </c>
      <c r="E149" s="391"/>
      <c r="F149" s="351"/>
      <c r="G149" s="351"/>
    </row>
    <row r="150" ht="15.75" customHeight="1">
      <c r="A150" s="386"/>
      <c r="B150" s="387"/>
      <c r="C150" s="387" t="s">
        <v>6253</v>
      </c>
      <c r="D150" s="391" t="s">
        <v>6254</v>
      </c>
      <c r="E150" s="391" t="s">
        <v>5913</v>
      </c>
      <c r="F150" s="351"/>
      <c r="G150" s="351"/>
    </row>
    <row r="151" ht="15.75" customHeight="1">
      <c r="A151" s="386"/>
      <c r="B151" s="387"/>
      <c r="C151" s="387" t="s">
        <v>6255</v>
      </c>
      <c r="D151" s="391" t="s">
        <v>6256</v>
      </c>
      <c r="E151" s="392" t="s">
        <v>5913</v>
      </c>
      <c r="F151" s="351"/>
      <c r="G151" s="351"/>
    </row>
    <row r="152" ht="15.75" customHeight="1">
      <c r="A152" s="386"/>
      <c r="B152" s="387"/>
      <c r="C152" s="387" t="s">
        <v>6257</v>
      </c>
      <c r="D152" s="391" t="s">
        <v>6258</v>
      </c>
      <c r="E152" s="392" t="s">
        <v>5913</v>
      </c>
      <c r="F152" s="351"/>
      <c r="G152" s="351"/>
    </row>
    <row r="153" ht="15.75" customHeight="1">
      <c r="A153" s="386"/>
      <c r="B153" s="387"/>
      <c r="C153" s="387" t="s">
        <v>6259</v>
      </c>
      <c r="D153" s="391" t="s">
        <v>6260</v>
      </c>
      <c r="E153" s="391" t="s">
        <v>5913</v>
      </c>
      <c r="F153" s="351"/>
      <c r="G153" s="351"/>
    </row>
    <row r="154" ht="15.75" customHeight="1">
      <c r="A154" s="386"/>
      <c r="B154" s="387"/>
      <c r="C154" s="387" t="s">
        <v>6261</v>
      </c>
      <c r="D154" s="391" t="s">
        <v>6262</v>
      </c>
      <c r="E154" s="391" t="s">
        <v>5913</v>
      </c>
      <c r="F154" s="351"/>
      <c r="G154" s="351"/>
    </row>
    <row r="155" ht="15.75" customHeight="1">
      <c r="A155" s="386"/>
      <c r="B155" s="383" t="s">
        <v>3875</v>
      </c>
      <c r="C155" s="383" t="s">
        <v>3876</v>
      </c>
      <c r="D155" s="385"/>
      <c r="E155" s="385"/>
      <c r="F155" s="351"/>
      <c r="G155" s="351"/>
    </row>
    <row r="156" ht="15.75" customHeight="1">
      <c r="A156" s="386"/>
      <c r="B156" s="387"/>
      <c r="C156" s="387" t="s">
        <v>6263</v>
      </c>
      <c r="D156" s="391" t="s">
        <v>6264</v>
      </c>
      <c r="E156" s="391"/>
      <c r="F156" s="351"/>
      <c r="G156" s="351"/>
    </row>
    <row r="157" ht="15.75" customHeight="1">
      <c r="A157" s="386"/>
      <c r="B157" s="387"/>
      <c r="C157" s="387" t="s">
        <v>6265</v>
      </c>
      <c r="D157" s="391" t="s">
        <v>6266</v>
      </c>
      <c r="E157" s="391"/>
      <c r="F157" s="351"/>
      <c r="G157" s="351"/>
    </row>
    <row r="158" ht="15.75" customHeight="1">
      <c r="A158" s="386"/>
      <c r="B158" s="387"/>
      <c r="C158" s="387" t="s">
        <v>6267</v>
      </c>
      <c r="D158" s="391" t="s">
        <v>6268</v>
      </c>
      <c r="E158" s="391"/>
      <c r="F158" s="351"/>
      <c r="G158" s="351"/>
    </row>
    <row r="159" ht="15.75" customHeight="1">
      <c r="A159" s="393"/>
      <c r="B159" s="393"/>
      <c r="C159" s="393" t="s">
        <v>6269</v>
      </c>
      <c r="D159" s="394" t="s">
        <v>6270</v>
      </c>
      <c r="E159" s="394"/>
      <c r="F159" s="351"/>
      <c r="G159" s="351"/>
    </row>
    <row r="160" ht="15.75" customHeight="1">
      <c r="A160" s="349"/>
      <c r="B160" s="349"/>
      <c r="C160" s="349"/>
      <c r="D160" s="350"/>
      <c r="E160" s="350"/>
      <c r="F160" s="351"/>
      <c r="G160" s="351"/>
    </row>
    <row r="161" ht="15.75" customHeight="1">
      <c r="A161" s="353" t="s">
        <v>5903</v>
      </c>
      <c r="B161" s="353" t="s">
        <v>5904</v>
      </c>
      <c r="C161" s="353" t="s">
        <v>5905</v>
      </c>
      <c r="D161" s="354" t="s">
        <v>5906</v>
      </c>
      <c r="E161" s="355"/>
      <c r="F161" s="351"/>
      <c r="G161" s="351"/>
    </row>
    <row r="162" ht="15.75" customHeight="1">
      <c r="A162" s="381"/>
      <c r="B162" s="381"/>
      <c r="C162" s="381"/>
      <c r="D162" s="358" t="s">
        <v>5907</v>
      </c>
      <c r="E162" s="359" t="s">
        <v>5905</v>
      </c>
      <c r="F162" s="351"/>
      <c r="G162" s="351"/>
    </row>
    <row r="163" ht="15.75" customHeight="1">
      <c r="A163" s="382" t="s">
        <v>5941</v>
      </c>
      <c r="B163" s="383" t="s">
        <v>3152</v>
      </c>
      <c r="C163" s="396" t="s">
        <v>3508</v>
      </c>
      <c r="D163" s="385"/>
      <c r="E163" s="385"/>
      <c r="F163" s="351"/>
      <c r="G163" s="351"/>
    </row>
    <row r="164" ht="15.75" customHeight="1">
      <c r="A164" s="407"/>
      <c r="B164" s="408"/>
      <c r="C164" s="408" t="s">
        <v>5940</v>
      </c>
      <c r="D164" s="405" t="s">
        <v>5942</v>
      </c>
      <c r="E164" s="405" t="s">
        <v>5913</v>
      </c>
      <c r="F164" s="351"/>
      <c r="G164" s="351"/>
    </row>
    <row r="165" ht="15.75" customHeight="1">
      <c r="A165" s="386"/>
      <c r="B165" s="387"/>
      <c r="C165" s="387" t="s">
        <v>5943</v>
      </c>
      <c r="D165" s="391" t="s">
        <v>5944</v>
      </c>
      <c r="E165" s="409" t="s">
        <v>367</v>
      </c>
      <c r="F165" s="349"/>
      <c r="G165" s="349"/>
    </row>
    <row r="166" ht="15.75" customHeight="1">
      <c r="A166" s="386"/>
      <c r="B166" s="387"/>
      <c r="C166" s="387" t="s">
        <v>5945</v>
      </c>
      <c r="D166" s="391" t="s">
        <v>5946</v>
      </c>
      <c r="E166" s="409" t="s">
        <v>5913</v>
      </c>
      <c r="F166" s="349"/>
      <c r="G166" s="349"/>
    </row>
    <row r="167" ht="15.75" customHeight="1">
      <c r="A167" s="386"/>
      <c r="B167" s="387"/>
      <c r="C167" s="388" t="s">
        <v>5947</v>
      </c>
      <c r="D167" s="389" t="s">
        <v>5948</v>
      </c>
      <c r="E167" s="389"/>
      <c r="F167" s="351"/>
      <c r="G167" s="351"/>
    </row>
    <row r="168" ht="15.75" customHeight="1">
      <c r="A168" s="386"/>
      <c r="B168" s="387"/>
      <c r="C168" s="388" t="s">
        <v>5949</v>
      </c>
      <c r="D168" s="389" t="s">
        <v>5950</v>
      </c>
      <c r="E168" s="389" t="s">
        <v>5913</v>
      </c>
      <c r="F168" s="351"/>
      <c r="G168" s="351"/>
    </row>
    <row r="169" ht="15.75" customHeight="1">
      <c r="A169" s="386"/>
      <c r="B169" s="387"/>
      <c r="C169" s="388" t="s">
        <v>5951</v>
      </c>
      <c r="D169" s="389" t="s">
        <v>5952</v>
      </c>
      <c r="E169" s="389" t="s">
        <v>5913</v>
      </c>
      <c r="F169" s="351"/>
      <c r="G169" s="351"/>
    </row>
    <row r="170" ht="15.75" customHeight="1">
      <c r="A170" s="386"/>
      <c r="B170" s="387"/>
      <c r="C170" s="388" t="s">
        <v>5953</v>
      </c>
      <c r="D170" s="389" t="s">
        <v>5954</v>
      </c>
      <c r="E170" s="409" t="s">
        <v>367</v>
      </c>
      <c r="F170" s="351"/>
      <c r="G170" s="351"/>
    </row>
    <row r="171" ht="15.75" customHeight="1">
      <c r="A171" s="386"/>
      <c r="B171" s="387"/>
      <c r="C171" s="388" t="s">
        <v>5955</v>
      </c>
      <c r="D171" s="389" t="s">
        <v>5956</v>
      </c>
      <c r="E171" s="409"/>
      <c r="F171" s="351"/>
      <c r="G171" s="351"/>
    </row>
    <row r="172" ht="15.75" customHeight="1">
      <c r="A172" s="386"/>
      <c r="B172" s="387"/>
      <c r="C172" s="387" t="s">
        <v>5957</v>
      </c>
      <c r="D172" s="391" t="s">
        <v>5958</v>
      </c>
      <c r="E172" s="391" t="s">
        <v>5913</v>
      </c>
      <c r="F172" s="351"/>
      <c r="G172" s="351"/>
    </row>
    <row r="173" ht="15.75" customHeight="1">
      <c r="A173" s="386"/>
      <c r="B173" s="387"/>
      <c r="C173" s="387" t="s">
        <v>1635</v>
      </c>
      <c r="D173" s="391" t="s">
        <v>5959</v>
      </c>
      <c r="E173" s="391" t="s">
        <v>5913</v>
      </c>
      <c r="F173" s="351"/>
      <c r="G173" s="351"/>
    </row>
    <row r="174" ht="15.75" customHeight="1">
      <c r="A174" s="386"/>
      <c r="B174" s="387"/>
      <c r="C174" s="387" t="s">
        <v>5960</v>
      </c>
      <c r="D174" s="391" t="s">
        <v>5961</v>
      </c>
      <c r="E174" s="391" t="s">
        <v>5913</v>
      </c>
      <c r="F174" s="351"/>
      <c r="G174" s="351"/>
    </row>
    <row r="175" ht="15.75" customHeight="1">
      <c r="A175" s="386"/>
      <c r="B175" s="383" t="s">
        <v>5963</v>
      </c>
      <c r="C175" s="396" t="s">
        <v>5964</v>
      </c>
      <c r="D175" s="385"/>
      <c r="E175" s="385"/>
      <c r="F175" s="351"/>
      <c r="G175" s="351"/>
    </row>
    <row r="176" ht="15.75" customHeight="1">
      <c r="A176" s="386"/>
      <c r="B176" s="387"/>
      <c r="C176" s="387" t="s">
        <v>5962</v>
      </c>
      <c r="D176" s="391" t="s">
        <v>5965</v>
      </c>
      <c r="E176" s="391" t="s">
        <v>5913</v>
      </c>
      <c r="F176" s="351"/>
      <c r="G176" s="351"/>
    </row>
    <row r="177" ht="15.75" customHeight="1">
      <c r="A177" s="386"/>
      <c r="B177" s="387"/>
      <c r="C177" s="387" t="s">
        <v>5966</v>
      </c>
      <c r="D177" s="391" t="s">
        <v>5967</v>
      </c>
      <c r="E177" s="391"/>
      <c r="F177" s="351"/>
      <c r="G177" s="351"/>
    </row>
    <row r="178" ht="15.75" customHeight="1">
      <c r="A178" s="386"/>
      <c r="B178" s="387"/>
      <c r="C178" s="387" t="s">
        <v>5968</v>
      </c>
      <c r="D178" s="391" t="s">
        <v>5969</v>
      </c>
      <c r="E178" s="391" t="s">
        <v>5913</v>
      </c>
      <c r="F178" s="351"/>
      <c r="G178" s="351"/>
    </row>
    <row r="179" ht="15.75" customHeight="1">
      <c r="A179" s="386"/>
      <c r="B179" s="387"/>
      <c r="C179" s="396" t="s">
        <v>3746</v>
      </c>
      <c r="D179" s="385"/>
      <c r="E179" s="385"/>
      <c r="F179" s="351"/>
      <c r="G179" s="351"/>
    </row>
    <row r="180" ht="15.75" customHeight="1">
      <c r="A180" s="386"/>
      <c r="B180" s="387"/>
      <c r="C180" s="387" t="s">
        <v>5970</v>
      </c>
      <c r="D180" s="391" t="s">
        <v>5971</v>
      </c>
      <c r="E180" s="391" t="s">
        <v>5913</v>
      </c>
      <c r="F180" s="351"/>
      <c r="G180" s="351"/>
    </row>
    <row r="181" ht="15.75" customHeight="1">
      <c r="A181" s="386"/>
      <c r="B181" s="387"/>
      <c r="C181" s="387" t="s">
        <v>5972</v>
      </c>
      <c r="D181" s="391" t="s">
        <v>5973</v>
      </c>
      <c r="E181" s="391"/>
      <c r="F181" s="351"/>
      <c r="G181" s="351"/>
    </row>
    <row r="182" ht="15.75" customHeight="1">
      <c r="A182" s="386"/>
      <c r="B182" s="387"/>
      <c r="C182" s="387" t="s">
        <v>2098</v>
      </c>
      <c r="D182" s="391" t="s">
        <v>5974</v>
      </c>
      <c r="E182" s="391" t="s">
        <v>5913</v>
      </c>
      <c r="F182" s="351"/>
      <c r="G182" s="351"/>
    </row>
    <row r="183" ht="15.75" customHeight="1">
      <c r="A183" s="386"/>
      <c r="B183" s="387"/>
      <c r="C183" s="387" t="s">
        <v>5975</v>
      </c>
      <c r="D183" s="391" t="s">
        <v>5976</v>
      </c>
      <c r="E183" s="391" t="s">
        <v>5913</v>
      </c>
      <c r="F183" s="351"/>
      <c r="G183" s="351"/>
    </row>
    <row r="184" ht="15.75" customHeight="1">
      <c r="A184" s="386"/>
      <c r="B184" s="387"/>
      <c r="C184" s="387" t="s">
        <v>5977</v>
      </c>
      <c r="D184" s="391" t="s">
        <v>5978</v>
      </c>
      <c r="E184" s="391" t="s">
        <v>5913</v>
      </c>
      <c r="F184" s="351"/>
      <c r="G184" s="351"/>
    </row>
    <row r="185" ht="15.75" customHeight="1">
      <c r="A185" s="386"/>
      <c r="B185" s="387"/>
      <c r="C185" s="387" t="s">
        <v>5979</v>
      </c>
      <c r="D185" s="391" t="s">
        <v>5980</v>
      </c>
      <c r="E185" s="391"/>
      <c r="F185" s="351"/>
      <c r="G185" s="351"/>
    </row>
    <row r="186" ht="15.75" customHeight="1">
      <c r="A186" s="386"/>
      <c r="B186" s="387"/>
      <c r="C186" s="396" t="s">
        <v>5982</v>
      </c>
      <c r="D186" s="385"/>
      <c r="E186" s="385"/>
      <c r="F186" s="351"/>
      <c r="G186" s="351"/>
    </row>
    <row r="187" ht="15.75" customHeight="1">
      <c r="A187" s="386"/>
      <c r="B187" s="387"/>
      <c r="C187" s="387" t="s">
        <v>5981</v>
      </c>
      <c r="D187" s="391" t="s">
        <v>5983</v>
      </c>
      <c r="E187" s="391" t="s">
        <v>5913</v>
      </c>
      <c r="F187" s="351"/>
      <c r="G187" s="351"/>
    </row>
    <row r="188" ht="15.75" customHeight="1">
      <c r="A188" s="386"/>
      <c r="B188" s="387"/>
      <c r="C188" s="387" t="s">
        <v>5984</v>
      </c>
      <c r="D188" s="391" t="s">
        <v>5985</v>
      </c>
      <c r="E188" s="391"/>
      <c r="F188" s="351"/>
      <c r="G188" s="351"/>
    </row>
    <row r="189" ht="15.75" customHeight="1">
      <c r="A189" s="386"/>
      <c r="B189" s="387"/>
      <c r="C189" s="387" t="s">
        <v>5986</v>
      </c>
      <c r="D189" s="391" t="s">
        <v>5987</v>
      </c>
      <c r="E189" s="391" t="s">
        <v>5913</v>
      </c>
      <c r="F189" s="351"/>
      <c r="G189" s="351"/>
    </row>
    <row r="190" ht="15.75" customHeight="1">
      <c r="A190" s="386"/>
      <c r="B190" s="387"/>
      <c r="C190" s="387" t="s">
        <v>5988</v>
      </c>
      <c r="D190" s="391" t="s">
        <v>5989</v>
      </c>
      <c r="E190" s="391"/>
      <c r="F190" s="351"/>
      <c r="G190" s="351"/>
    </row>
    <row r="191" ht="15.75" customHeight="1">
      <c r="A191" s="386"/>
      <c r="B191" s="383" t="s">
        <v>3765</v>
      </c>
      <c r="C191" s="396" t="s">
        <v>3766</v>
      </c>
      <c r="D191" s="385"/>
      <c r="E191" s="385"/>
      <c r="F191" s="351"/>
      <c r="G191" s="351"/>
    </row>
    <row r="192" ht="15.75" customHeight="1">
      <c r="A192" s="386"/>
      <c r="B192" s="387"/>
      <c r="C192" s="387" t="s">
        <v>5990</v>
      </c>
      <c r="D192" s="391" t="s">
        <v>5991</v>
      </c>
      <c r="E192" s="391"/>
      <c r="F192" s="351"/>
      <c r="G192" s="351"/>
    </row>
    <row r="193" ht="15.75" customHeight="1">
      <c r="A193" s="386"/>
      <c r="B193" s="384" t="s">
        <v>6271</v>
      </c>
      <c r="C193" s="384" t="s">
        <v>6272</v>
      </c>
      <c r="D193" s="385"/>
      <c r="E193" s="385"/>
      <c r="F193" s="351"/>
      <c r="G193" s="351"/>
    </row>
    <row r="194" ht="15.75" customHeight="1">
      <c r="A194" s="386"/>
      <c r="B194" s="387"/>
      <c r="C194" s="387" t="s">
        <v>6273</v>
      </c>
      <c r="D194" s="391" t="s">
        <v>6274</v>
      </c>
      <c r="E194" s="391" t="s">
        <v>5913</v>
      </c>
      <c r="F194" s="351"/>
      <c r="G194" s="351"/>
    </row>
    <row r="195" ht="15.75" customHeight="1">
      <c r="A195" s="386"/>
      <c r="B195" s="387"/>
      <c r="C195" s="383" t="s">
        <v>6275</v>
      </c>
      <c r="D195" s="385"/>
      <c r="E195" s="385"/>
      <c r="F195" s="351"/>
      <c r="G195" s="351"/>
    </row>
    <row r="196" ht="15.75" customHeight="1">
      <c r="A196" s="386"/>
      <c r="B196" s="387"/>
      <c r="C196" s="387" t="s">
        <v>6276</v>
      </c>
      <c r="D196" s="391" t="s">
        <v>6277</v>
      </c>
      <c r="E196" s="391"/>
      <c r="F196" s="351"/>
      <c r="G196" s="351"/>
    </row>
    <row r="197" ht="15.75" customHeight="1">
      <c r="A197" s="386"/>
      <c r="B197" s="383" t="s">
        <v>3919</v>
      </c>
      <c r="C197" s="396" t="s">
        <v>3783</v>
      </c>
      <c r="D197" s="385"/>
      <c r="E197" s="385"/>
      <c r="F197" s="351"/>
      <c r="G197" s="351"/>
    </row>
    <row r="198" ht="15.75" customHeight="1">
      <c r="A198" s="386"/>
      <c r="B198" s="387"/>
      <c r="C198" s="387" t="s">
        <v>5992</v>
      </c>
      <c r="D198" s="391" t="s">
        <v>5993</v>
      </c>
      <c r="E198" s="405" t="s">
        <v>5913</v>
      </c>
      <c r="F198" s="351"/>
      <c r="G198" s="351"/>
    </row>
    <row r="199" ht="15.75" customHeight="1">
      <c r="A199" s="386"/>
      <c r="B199" s="408"/>
      <c r="C199" s="408" t="s">
        <v>5994</v>
      </c>
      <c r="D199" s="405" t="s">
        <v>5995</v>
      </c>
      <c r="E199" s="405" t="s">
        <v>5913</v>
      </c>
      <c r="F199" s="351"/>
      <c r="G199" s="351"/>
    </row>
    <row r="200" ht="15.75" customHeight="1">
      <c r="A200" s="386"/>
      <c r="B200" s="408"/>
      <c r="C200" s="408" t="s">
        <v>5996</v>
      </c>
      <c r="D200" s="405" t="s">
        <v>5997</v>
      </c>
      <c r="E200" s="410" t="s">
        <v>5998</v>
      </c>
      <c r="F200" s="351"/>
      <c r="G200" s="351"/>
    </row>
    <row r="201" ht="15.75" customHeight="1">
      <c r="A201" s="386"/>
      <c r="B201" s="408"/>
      <c r="C201" s="408" t="s">
        <v>5999</v>
      </c>
      <c r="D201" s="405" t="s">
        <v>6000</v>
      </c>
      <c r="E201" s="405" t="s">
        <v>5913</v>
      </c>
      <c r="F201" s="351"/>
      <c r="G201" s="351"/>
    </row>
    <row r="202" ht="15.75" customHeight="1">
      <c r="A202" s="393"/>
      <c r="B202" s="393"/>
      <c r="C202" s="393" t="s">
        <v>6001</v>
      </c>
      <c r="D202" s="394" t="s">
        <v>6002</v>
      </c>
      <c r="E202" s="394" t="s">
        <v>5913</v>
      </c>
      <c r="F202" s="351"/>
      <c r="G202" s="351"/>
    </row>
    <row r="203" ht="15.75" customHeight="1">
      <c r="A203" s="349"/>
      <c r="B203" s="349"/>
      <c r="C203" s="349"/>
      <c r="D203" s="350"/>
      <c r="E203" s="350"/>
      <c r="F203" s="351"/>
      <c r="G203" s="351"/>
    </row>
    <row r="204" ht="15.75" customHeight="1">
      <c r="A204" s="353" t="s">
        <v>5903</v>
      </c>
      <c r="B204" s="353" t="s">
        <v>5904</v>
      </c>
      <c r="C204" s="353" t="s">
        <v>5905</v>
      </c>
      <c r="D204" s="354" t="s">
        <v>5906</v>
      </c>
      <c r="E204" s="355"/>
      <c r="F204" s="351"/>
      <c r="G204" s="351"/>
    </row>
    <row r="205" ht="15.75" customHeight="1">
      <c r="A205" s="381"/>
      <c r="B205" s="381"/>
      <c r="C205" s="381"/>
      <c r="D205" s="358" t="s">
        <v>5907</v>
      </c>
      <c r="E205" s="359" t="s">
        <v>5905</v>
      </c>
      <c r="F205" s="351"/>
      <c r="G205" s="351"/>
    </row>
    <row r="206" ht="15.75" customHeight="1">
      <c r="A206" s="382" t="s">
        <v>6004</v>
      </c>
      <c r="B206" s="384" t="s">
        <v>6278</v>
      </c>
      <c r="C206" s="384" t="s">
        <v>6279</v>
      </c>
      <c r="D206" s="411"/>
      <c r="E206" s="411"/>
      <c r="F206" s="351"/>
      <c r="G206" s="351"/>
    </row>
    <row r="207" ht="15.75" customHeight="1">
      <c r="A207" s="386"/>
      <c r="B207" s="388"/>
      <c r="C207" s="388" t="s">
        <v>6280</v>
      </c>
      <c r="D207" s="389" t="s">
        <v>6281</v>
      </c>
      <c r="E207" s="389" t="s">
        <v>5913</v>
      </c>
      <c r="F207" s="351"/>
      <c r="G207" s="351"/>
    </row>
    <row r="208" ht="15.75" customHeight="1">
      <c r="A208" s="386"/>
      <c r="B208" s="388"/>
      <c r="C208" s="388" t="s">
        <v>6282</v>
      </c>
      <c r="D208" s="389" t="s">
        <v>6283</v>
      </c>
      <c r="E208" s="389"/>
      <c r="F208" s="351"/>
      <c r="G208" s="351"/>
    </row>
    <row r="209" ht="15.75" customHeight="1">
      <c r="A209" s="386"/>
      <c r="B209" s="388"/>
      <c r="C209" s="388" t="s">
        <v>6284</v>
      </c>
      <c r="D209" s="389" t="s">
        <v>6285</v>
      </c>
      <c r="E209" s="389" t="s">
        <v>5913</v>
      </c>
      <c r="F209" s="351"/>
      <c r="G209" s="351"/>
    </row>
    <row r="210" ht="15.75" customHeight="1">
      <c r="A210" s="386"/>
      <c r="B210" s="388"/>
      <c r="C210" s="388" t="s">
        <v>6286</v>
      </c>
      <c r="D210" s="389" t="s">
        <v>6287</v>
      </c>
      <c r="E210" s="389" t="s">
        <v>5913</v>
      </c>
      <c r="F210" s="351"/>
      <c r="G210" s="351"/>
    </row>
    <row r="211" ht="15.75" customHeight="1">
      <c r="A211" s="386"/>
      <c r="B211" s="388"/>
      <c r="C211" s="388" t="s">
        <v>6288</v>
      </c>
      <c r="D211" s="389" t="s">
        <v>6289</v>
      </c>
      <c r="E211" s="389" t="s">
        <v>5913</v>
      </c>
      <c r="F211" s="351"/>
      <c r="G211" s="351"/>
    </row>
    <row r="212" ht="15.75" customHeight="1">
      <c r="A212" s="386"/>
      <c r="B212" s="388"/>
      <c r="C212" s="388" t="s">
        <v>6290</v>
      </c>
      <c r="D212" s="389" t="s">
        <v>6290</v>
      </c>
      <c r="E212" s="389" t="s">
        <v>5913</v>
      </c>
      <c r="F212" s="351"/>
      <c r="G212" s="351"/>
    </row>
    <row r="213" ht="15.75" customHeight="1">
      <c r="A213" s="386"/>
      <c r="B213" s="388"/>
      <c r="C213" s="388" t="s">
        <v>5655</v>
      </c>
      <c r="D213" s="389" t="s">
        <v>6291</v>
      </c>
      <c r="E213" s="389" t="s">
        <v>5913</v>
      </c>
      <c r="F213" s="351"/>
      <c r="G213" s="351"/>
    </row>
    <row r="214" ht="15.75" customHeight="1">
      <c r="A214" s="386"/>
      <c r="B214" s="388"/>
      <c r="C214" s="388" t="s">
        <v>6292</v>
      </c>
      <c r="D214" s="389" t="s">
        <v>6293</v>
      </c>
      <c r="E214" s="389" t="s">
        <v>5913</v>
      </c>
      <c r="F214" s="351"/>
      <c r="G214" s="351"/>
    </row>
    <row r="215" ht="15.75" customHeight="1">
      <c r="A215" s="386"/>
      <c r="B215" s="388"/>
      <c r="C215" s="388" t="s">
        <v>6294</v>
      </c>
      <c r="D215" s="389" t="s">
        <v>6295</v>
      </c>
      <c r="E215" s="389" t="s">
        <v>5913</v>
      </c>
      <c r="F215" s="351"/>
      <c r="G215" s="351"/>
    </row>
    <row r="216" ht="15.75" customHeight="1">
      <c r="A216" s="386"/>
      <c r="B216" s="388"/>
      <c r="C216" s="388" t="s">
        <v>6296</v>
      </c>
      <c r="D216" s="389" t="s">
        <v>6297</v>
      </c>
      <c r="E216" s="389" t="s">
        <v>5913</v>
      </c>
      <c r="F216" s="351"/>
      <c r="G216" s="351"/>
    </row>
    <row r="217" ht="15.75" customHeight="1">
      <c r="A217" s="386"/>
      <c r="B217" s="388"/>
      <c r="C217" s="388" t="s">
        <v>6298</v>
      </c>
      <c r="D217" s="389" t="s">
        <v>6299</v>
      </c>
      <c r="E217" s="409" t="s">
        <v>367</v>
      </c>
      <c r="F217" s="351"/>
      <c r="G217" s="351"/>
    </row>
    <row r="218" ht="15.75" customHeight="1">
      <c r="A218" s="386"/>
      <c r="B218" s="388"/>
      <c r="C218" s="388" t="s">
        <v>6300</v>
      </c>
      <c r="D218" s="389" t="s">
        <v>5417</v>
      </c>
      <c r="E218" s="389" t="s">
        <v>5913</v>
      </c>
      <c r="F218" s="351"/>
      <c r="G218" s="351"/>
    </row>
    <row r="219" ht="15.75" customHeight="1">
      <c r="A219" s="386"/>
      <c r="B219" s="388"/>
      <c r="C219" s="388" t="s">
        <v>6301</v>
      </c>
      <c r="D219" s="389" t="s">
        <v>6302</v>
      </c>
      <c r="E219" s="389"/>
      <c r="F219" s="351"/>
      <c r="G219" s="351"/>
    </row>
    <row r="220" ht="15.75" customHeight="1">
      <c r="A220" s="386"/>
      <c r="B220" s="388"/>
      <c r="C220" s="388" t="s">
        <v>6303</v>
      </c>
      <c r="D220" s="389" t="s">
        <v>6304</v>
      </c>
      <c r="E220" s="389"/>
      <c r="F220" s="351"/>
      <c r="G220" s="351"/>
    </row>
    <row r="221" ht="15.75" customHeight="1">
      <c r="A221" s="386"/>
      <c r="B221" s="388"/>
      <c r="C221" s="388" t="s">
        <v>6305</v>
      </c>
      <c r="D221" s="389" t="s">
        <v>6306</v>
      </c>
      <c r="E221" s="389" t="s">
        <v>5913</v>
      </c>
      <c r="F221" s="351"/>
      <c r="G221" s="351"/>
    </row>
    <row r="222" ht="15.75" customHeight="1">
      <c r="A222" s="386"/>
      <c r="B222" s="388"/>
      <c r="C222" s="388" t="s">
        <v>6307</v>
      </c>
      <c r="D222" s="389" t="s">
        <v>6308</v>
      </c>
      <c r="E222" s="389" t="s">
        <v>5913</v>
      </c>
      <c r="F222" s="351"/>
      <c r="G222" s="351"/>
    </row>
    <row r="223" ht="15.75" customHeight="1">
      <c r="A223" s="386"/>
      <c r="B223" s="388"/>
      <c r="C223" s="388" t="s">
        <v>6309</v>
      </c>
      <c r="D223" s="389" t="s">
        <v>6310</v>
      </c>
      <c r="E223" s="389" t="s">
        <v>5913</v>
      </c>
      <c r="F223" s="351"/>
      <c r="G223" s="351"/>
    </row>
    <row r="224" ht="15.75" customHeight="1">
      <c r="A224" s="386"/>
      <c r="B224" s="388"/>
      <c r="C224" s="388" t="s">
        <v>6311</v>
      </c>
      <c r="D224" s="389" t="s">
        <v>6312</v>
      </c>
      <c r="E224" s="389" t="s">
        <v>5913</v>
      </c>
      <c r="F224" s="351"/>
      <c r="G224" s="351"/>
    </row>
    <row r="225" ht="15.75" customHeight="1">
      <c r="A225" s="386"/>
      <c r="B225" s="388"/>
      <c r="C225" s="388" t="s">
        <v>6313</v>
      </c>
      <c r="D225" s="389" t="s">
        <v>6314</v>
      </c>
      <c r="E225" s="389" t="s">
        <v>5913</v>
      </c>
      <c r="F225" s="351"/>
      <c r="G225" s="351"/>
    </row>
    <row r="226" ht="15.75" customHeight="1">
      <c r="A226" s="386"/>
      <c r="B226" s="388"/>
      <c r="C226" s="388" t="s">
        <v>6315</v>
      </c>
      <c r="D226" s="389" t="s">
        <v>6316</v>
      </c>
      <c r="E226" s="389" t="s">
        <v>5913</v>
      </c>
      <c r="F226" s="351"/>
      <c r="G226" s="351"/>
    </row>
    <row r="227" ht="15.75" customHeight="1">
      <c r="A227" s="386"/>
      <c r="B227" s="388"/>
      <c r="C227" s="388" t="s">
        <v>6317</v>
      </c>
      <c r="D227" s="389" t="s">
        <v>6318</v>
      </c>
      <c r="E227" s="389" t="s">
        <v>5913</v>
      </c>
      <c r="F227" s="351"/>
      <c r="G227" s="351"/>
    </row>
    <row r="228" ht="15.75" customHeight="1">
      <c r="A228" s="386"/>
      <c r="B228" s="388"/>
      <c r="C228" s="388" t="s">
        <v>6319</v>
      </c>
      <c r="D228" s="389" t="s">
        <v>6320</v>
      </c>
      <c r="E228" s="389" t="s">
        <v>5913</v>
      </c>
      <c r="F228" s="351"/>
      <c r="G228" s="351"/>
    </row>
    <row r="229" ht="15.75" customHeight="1">
      <c r="A229" s="386"/>
      <c r="B229" s="388"/>
      <c r="C229" s="388" t="s">
        <v>6321</v>
      </c>
      <c r="D229" s="389" t="s">
        <v>6322</v>
      </c>
      <c r="E229" s="389" t="s">
        <v>5913</v>
      </c>
      <c r="F229" s="351"/>
      <c r="G229" s="351"/>
    </row>
    <row r="230" ht="15.75" customHeight="1">
      <c r="A230" s="386"/>
      <c r="B230" s="388"/>
      <c r="C230" s="388" t="s">
        <v>6323</v>
      </c>
      <c r="D230" s="389" t="s">
        <v>6324</v>
      </c>
      <c r="E230" s="389" t="s">
        <v>5913</v>
      </c>
      <c r="F230" s="351"/>
      <c r="G230" s="351"/>
    </row>
    <row r="231" ht="15.75" customHeight="1">
      <c r="A231" s="386"/>
      <c r="B231" s="388"/>
      <c r="C231" s="388" t="s">
        <v>6325</v>
      </c>
      <c r="D231" s="389" t="s">
        <v>6326</v>
      </c>
      <c r="E231" s="389"/>
      <c r="F231" s="351"/>
      <c r="G231" s="351"/>
    </row>
    <row r="232" ht="15.75" customHeight="1">
      <c r="A232" s="386"/>
      <c r="B232" s="388"/>
      <c r="C232" s="388" t="s">
        <v>6327</v>
      </c>
      <c r="D232" s="389" t="s">
        <v>6328</v>
      </c>
      <c r="E232" s="389" t="s">
        <v>5913</v>
      </c>
      <c r="F232" s="351"/>
      <c r="G232" s="351"/>
    </row>
    <row r="233" ht="15.75" customHeight="1">
      <c r="A233" s="386"/>
      <c r="B233" s="388"/>
      <c r="C233" s="388" t="s">
        <v>6329</v>
      </c>
      <c r="D233" s="389" t="s">
        <v>6330</v>
      </c>
      <c r="E233" s="389" t="s">
        <v>5913</v>
      </c>
      <c r="F233" s="351"/>
      <c r="G233" s="351"/>
    </row>
    <row r="234" ht="15.75" customHeight="1">
      <c r="A234" s="386"/>
      <c r="B234" s="388"/>
      <c r="C234" s="388" t="s">
        <v>6331</v>
      </c>
      <c r="D234" s="389" t="s">
        <v>6332</v>
      </c>
      <c r="E234" s="389" t="s">
        <v>5913</v>
      </c>
      <c r="F234" s="351"/>
      <c r="G234" s="351"/>
    </row>
    <row r="235" ht="15.75" customHeight="1">
      <c r="A235" s="400"/>
      <c r="B235" s="383" t="s">
        <v>6333</v>
      </c>
      <c r="C235" s="383" t="s">
        <v>6334</v>
      </c>
      <c r="D235" s="385"/>
      <c r="E235" s="385"/>
      <c r="F235" s="351"/>
      <c r="G235" s="351"/>
    </row>
    <row r="236" ht="15.75" customHeight="1">
      <c r="A236" s="386"/>
      <c r="B236" s="387"/>
      <c r="C236" s="387" t="s">
        <v>6335</v>
      </c>
      <c r="D236" s="391" t="s">
        <v>6336</v>
      </c>
      <c r="E236" s="391" t="s">
        <v>6075</v>
      </c>
      <c r="F236" s="351"/>
      <c r="G236" s="351"/>
    </row>
    <row r="237" ht="15.75" customHeight="1">
      <c r="A237" s="386"/>
      <c r="B237" s="387"/>
      <c r="C237" s="387" t="s">
        <v>6337</v>
      </c>
      <c r="D237" s="391" t="s">
        <v>6338</v>
      </c>
      <c r="E237" s="391"/>
      <c r="F237" s="351"/>
      <c r="G237" s="351"/>
    </row>
    <row r="238" ht="15.75" customHeight="1">
      <c r="A238" s="386"/>
      <c r="B238" s="387"/>
      <c r="C238" s="387" t="s">
        <v>6339</v>
      </c>
      <c r="D238" s="391" t="s">
        <v>6340</v>
      </c>
      <c r="E238" s="391"/>
      <c r="F238" s="351"/>
      <c r="G238" s="351"/>
    </row>
    <row r="239" ht="15.75" customHeight="1">
      <c r="A239" s="386"/>
      <c r="B239" s="387"/>
      <c r="C239" s="387" t="s">
        <v>6341</v>
      </c>
      <c r="D239" s="391" t="s">
        <v>6342</v>
      </c>
      <c r="E239" s="391"/>
      <c r="F239" s="351"/>
      <c r="G239" s="351"/>
    </row>
    <row r="240" ht="15.75" customHeight="1">
      <c r="A240" s="386"/>
      <c r="B240" s="387"/>
      <c r="C240" s="387" t="s">
        <v>6343</v>
      </c>
      <c r="D240" s="391" t="s">
        <v>6344</v>
      </c>
      <c r="E240" s="391"/>
      <c r="F240" s="351"/>
      <c r="G240" s="351"/>
    </row>
    <row r="241" ht="15.75" customHeight="1">
      <c r="A241" s="386"/>
      <c r="B241" s="387"/>
      <c r="C241" s="387" t="s">
        <v>6345</v>
      </c>
      <c r="D241" s="391" t="s">
        <v>6346</v>
      </c>
      <c r="E241" s="391"/>
      <c r="F241" s="351"/>
      <c r="G241" s="351"/>
    </row>
    <row r="242" ht="15.75" customHeight="1">
      <c r="A242" s="386"/>
      <c r="B242" s="387"/>
      <c r="C242" s="387" t="s">
        <v>6347</v>
      </c>
      <c r="D242" s="391" t="s">
        <v>6348</v>
      </c>
      <c r="E242" s="391"/>
      <c r="F242" s="351"/>
      <c r="G242" s="351"/>
    </row>
    <row r="243" ht="15.75" customHeight="1">
      <c r="A243" s="386"/>
      <c r="B243" s="387"/>
      <c r="C243" s="387" t="s">
        <v>6349</v>
      </c>
      <c r="D243" s="391" t="s">
        <v>6350</v>
      </c>
      <c r="E243" s="391" t="s">
        <v>5913</v>
      </c>
      <c r="F243" s="351"/>
      <c r="G243" s="351"/>
    </row>
    <row r="244" ht="15.75" customHeight="1">
      <c r="A244" s="386"/>
      <c r="B244" s="387"/>
      <c r="C244" s="387" t="s">
        <v>6351</v>
      </c>
      <c r="D244" s="391" t="s">
        <v>6351</v>
      </c>
      <c r="E244" s="391"/>
      <c r="F244" s="351"/>
      <c r="G244" s="351"/>
    </row>
    <row r="245" ht="15.75" customHeight="1">
      <c r="A245" s="386"/>
      <c r="B245" s="387"/>
      <c r="C245" s="387" t="s">
        <v>6352</v>
      </c>
      <c r="D245" s="391" t="s">
        <v>6353</v>
      </c>
      <c r="E245" s="391"/>
      <c r="F245" s="351"/>
      <c r="G245" s="351"/>
    </row>
    <row r="246" ht="15.75" customHeight="1">
      <c r="A246" s="386"/>
      <c r="B246" s="387"/>
      <c r="C246" s="383" t="s">
        <v>6354</v>
      </c>
      <c r="D246" s="385"/>
      <c r="E246" s="385"/>
      <c r="F246" s="351"/>
      <c r="G246" s="351"/>
    </row>
    <row r="247" ht="15.75" customHeight="1">
      <c r="A247" s="386"/>
      <c r="B247" s="387"/>
      <c r="C247" s="387" t="s">
        <v>6355</v>
      </c>
      <c r="D247" s="391" t="s">
        <v>6356</v>
      </c>
      <c r="E247" s="392" t="s">
        <v>6035</v>
      </c>
      <c r="F247" s="351"/>
      <c r="G247" s="351"/>
    </row>
    <row r="248" ht="15.75" customHeight="1">
      <c r="A248" s="386"/>
      <c r="B248" s="387"/>
      <c r="C248" s="383" t="s">
        <v>6357</v>
      </c>
      <c r="D248" s="385"/>
      <c r="E248" s="385"/>
      <c r="F248" s="351"/>
      <c r="G248" s="351"/>
    </row>
    <row r="249" ht="15.75" customHeight="1">
      <c r="A249" s="386"/>
      <c r="B249" s="387"/>
      <c r="C249" s="387" t="s">
        <v>6358</v>
      </c>
      <c r="D249" s="391" t="s">
        <v>6359</v>
      </c>
      <c r="E249" s="391" t="s">
        <v>6075</v>
      </c>
      <c r="F249" s="351"/>
      <c r="G249" s="351"/>
    </row>
    <row r="250" ht="15.75" customHeight="1">
      <c r="A250" s="386"/>
      <c r="B250" s="387"/>
      <c r="C250" s="387" t="s">
        <v>6360</v>
      </c>
      <c r="D250" s="391" t="s">
        <v>6361</v>
      </c>
      <c r="E250" s="391"/>
      <c r="F250" s="351"/>
      <c r="G250" s="351"/>
    </row>
    <row r="251" ht="15.75" customHeight="1">
      <c r="A251" s="386"/>
      <c r="B251" s="387"/>
      <c r="C251" s="387" t="s">
        <v>6362</v>
      </c>
      <c r="D251" s="391" t="s">
        <v>6363</v>
      </c>
      <c r="E251" s="391" t="s">
        <v>5913</v>
      </c>
      <c r="F251" s="351"/>
      <c r="G251" s="351"/>
    </row>
    <row r="252" ht="15.75" customHeight="1">
      <c r="A252" s="386"/>
      <c r="B252" s="387"/>
      <c r="C252" s="387" t="s">
        <v>6364</v>
      </c>
      <c r="D252" s="391" t="s">
        <v>6365</v>
      </c>
      <c r="E252" s="391" t="s">
        <v>5913</v>
      </c>
      <c r="F252" s="351"/>
      <c r="G252" s="351"/>
    </row>
    <row r="253" ht="15.75" customHeight="1">
      <c r="A253" s="386"/>
      <c r="B253" s="387"/>
      <c r="C253" s="383" t="s">
        <v>6366</v>
      </c>
      <c r="D253" s="385"/>
      <c r="E253" s="385"/>
      <c r="F253" s="351"/>
      <c r="G253" s="351"/>
    </row>
    <row r="254" ht="15.75" customHeight="1">
      <c r="A254" s="386"/>
      <c r="B254" s="387"/>
      <c r="C254" s="387" t="s">
        <v>6367</v>
      </c>
      <c r="D254" s="391" t="s">
        <v>6368</v>
      </c>
      <c r="E254" s="391"/>
      <c r="F254" s="351"/>
      <c r="G254" s="351"/>
    </row>
    <row r="255" ht="15.75" customHeight="1">
      <c r="A255" s="386"/>
      <c r="B255" s="387"/>
      <c r="C255" s="387" t="s">
        <v>6369</v>
      </c>
      <c r="D255" s="391" t="s">
        <v>6370</v>
      </c>
      <c r="E255" s="391" t="s">
        <v>5913</v>
      </c>
      <c r="F255" s="351"/>
      <c r="G255" s="351"/>
    </row>
    <row r="256" ht="15.75" customHeight="1">
      <c r="A256" s="386"/>
      <c r="B256" s="387"/>
      <c r="C256" s="387" t="s">
        <v>6371</v>
      </c>
      <c r="D256" s="391" t="s">
        <v>6372</v>
      </c>
      <c r="E256" s="391" t="s">
        <v>5913</v>
      </c>
      <c r="F256" s="351"/>
      <c r="G256" s="351"/>
    </row>
    <row r="257" ht="15.75" customHeight="1">
      <c r="A257" s="412"/>
      <c r="B257" s="383" t="s">
        <v>6373</v>
      </c>
      <c r="C257" s="383" t="s">
        <v>3793</v>
      </c>
      <c r="D257" s="385"/>
      <c r="E257" s="385"/>
      <c r="F257" s="351"/>
      <c r="G257" s="351"/>
    </row>
    <row r="258" ht="15.75" customHeight="1">
      <c r="A258" s="386"/>
      <c r="B258" s="387"/>
      <c r="C258" s="387" t="s">
        <v>6374</v>
      </c>
      <c r="D258" s="391" t="s">
        <v>6375</v>
      </c>
      <c r="E258" s="391"/>
      <c r="F258" s="351"/>
      <c r="G258" s="351"/>
    </row>
    <row r="259" ht="15.75" customHeight="1">
      <c r="A259" s="386"/>
      <c r="B259" s="387"/>
      <c r="C259" s="383" t="s">
        <v>6376</v>
      </c>
      <c r="D259" s="385"/>
      <c r="E259" s="385"/>
      <c r="F259" s="351"/>
      <c r="G259" s="351"/>
    </row>
    <row r="260" ht="15.75" customHeight="1">
      <c r="A260" s="407"/>
      <c r="B260" s="408"/>
      <c r="C260" s="387" t="s">
        <v>6377</v>
      </c>
      <c r="D260" s="391" t="s">
        <v>6378</v>
      </c>
      <c r="E260" s="391" t="s">
        <v>5913</v>
      </c>
      <c r="F260" s="351"/>
      <c r="G260" s="351"/>
    </row>
    <row r="261" ht="15.75" customHeight="1">
      <c r="A261" s="386"/>
      <c r="B261" s="387"/>
      <c r="C261" s="387" t="s">
        <v>6379</v>
      </c>
      <c r="D261" s="391" t="s">
        <v>6380</v>
      </c>
      <c r="E261" s="391" t="s">
        <v>5913</v>
      </c>
      <c r="F261" s="351"/>
      <c r="G261" s="351"/>
    </row>
    <row r="262" ht="15.75" customHeight="1">
      <c r="A262" s="386"/>
      <c r="B262" s="387"/>
      <c r="C262" s="387" t="s">
        <v>6381</v>
      </c>
      <c r="D262" s="391" t="s">
        <v>6382</v>
      </c>
      <c r="E262" s="391" t="s">
        <v>5913</v>
      </c>
      <c r="F262" s="356"/>
      <c r="G262" s="356"/>
    </row>
    <row r="263" ht="15.75" customHeight="1">
      <c r="A263" s="386"/>
      <c r="B263" s="387"/>
      <c r="C263" s="383" t="s">
        <v>6383</v>
      </c>
      <c r="D263" s="385"/>
      <c r="E263" s="385"/>
      <c r="F263" s="351"/>
      <c r="G263" s="351"/>
    </row>
    <row r="264" ht="15.75" customHeight="1">
      <c r="A264" s="386"/>
      <c r="B264" s="387"/>
      <c r="C264" s="387" t="s">
        <v>6384</v>
      </c>
      <c r="D264" s="391" t="s">
        <v>6385</v>
      </c>
      <c r="E264" s="391"/>
      <c r="F264" s="351"/>
      <c r="G264" s="351"/>
    </row>
    <row r="265" ht="15.75" customHeight="1">
      <c r="A265" s="386"/>
      <c r="B265" s="383" t="s">
        <v>6386</v>
      </c>
      <c r="C265" s="383" t="s">
        <v>6386</v>
      </c>
      <c r="D265" s="385"/>
      <c r="E265" s="385"/>
      <c r="F265" s="351"/>
      <c r="G265" s="351"/>
    </row>
    <row r="266" ht="15.75" customHeight="1">
      <c r="A266" s="386"/>
      <c r="B266" s="387"/>
      <c r="C266" s="388" t="s">
        <v>6387</v>
      </c>
      <c r="D266" s="389" t="s">
        <v>6388</v>
      </c>
      <c r="E266" s="389" t="s">
        <v>5913</v>
      </c>
      <c r="F266" s="351"/>
      <c r="G266" s="351"/>
    </row>
    <row r="267" ht="15.75" customHeight="1">
      <c r="A267" s="386"/>
      <c r="B267" s="387"/>
      <c r="C267" s="388" t="s">
        <v>6389</v>
      </c>
      <c r="D267" s="389" t="s">
        <v>6390</v>
      </c>
      <c r="E267" s="389" t="s">
        <v>5913</v>
      </c>
      <c r="F267" s="351"/>
      <c r="G267" s="351"/>
    </row>
    <row r="268" ht="15.75" customHeight="1">
      <c r="A268" s="386"/>
      <c r="B268" s="387"/>
      <c r="C268" s="388" t="s">
        <v>6391</v>
      </c>
      <c r="D268" s="389" t="s">
        <v>6392</v>
      </c>
      <c r="E268" s="389"/>
      <c r="F268" s="351"/>
      <c r="G268" s="351"/>
    </row>
    <row r="269" ht="15.75" customHeight="1">
      <c r="A269" s="412"/>
      <c r="B269" s="383" t="s">
        <v>3925</v>
      </c>
      <c r="C269" s="383" t="s">
        <v>6393</v>
      </c>
      <c r="D269" s="385"/>
      <c r="E269" s="385"/>
      <c r="F269" s="351"/>
      <c r="G269" s="351"/>
    </row>
    <row r="270" ht="15.75" customHeight="1">
      <c r="A270" s="386"/>
      <c r="B270" s="387"/>
      <c r="C270" s="387" t="s">
        <v>6394</v>
      </c>
      <c r="D270" s="391" t="s">
        <v>6395</v>
      </c>
      <c r="E270" s="391"/>
      <c r="F270" s="351"/>
      <c r="G270" s="351"/>
    </row>
    <row r="271" ht="15.75" customHeight="1">
      <c r="A271" s="386"/>
      <c r="B271" s="387"/>
      <c r="C271" s="396" t="s">
        <v>3926</v>
      </c>
      <c r="D271" s="385"/>
      <c r="E271" s="385"/>
      <c r="F271" s="351"/>
      <c r="G271" s="351"/>
    </row>
    <row r="272" ht="15.75" customHeight="1">
      <c r="A272" s="386"/>
      <c r="B272" s="387"/>
      <c r="C272" s="387" t="s">
        <v>6003</v>
      </c>
      <c r="D272" s="391" t="s">
        <v>6005</v>
      </c>
      <c r="E272" s="391" t="s">
        <v>5913</v>
      </c>
      <c r="F272" s="351"/>
      <c r="G272" s="351"/>
    </row>
    <row r="273" ht="15.75" customHeight="1">
      <c r="A273" s="393"/>
      <c r="B273" s="393"/>
      <c r="C273" s="393" t="s">
        <v>6006</v>
      </c>
      <c r="D273" s="394" t="s">
        <v>6007</v>
      </c>
      <c r="E273" s="394"/>
      <c r="F273" s="351"/>
      <c r="G273" s="351"/>
    </row>
    <row r="274" ht="15.75" customHeight="1">
      <c r="A274" s="349"/>
      <c r="B274" s="349"/>
      <c r="C274" s="349"/>
      <c r="D274" s="350"/>
      <c r="E274" s="350"/>
      <c r="F274" s="351"/>
      <c r="G274" s="351"/>
    </row>
    <row r="275" ht="15.75" customHeight="1">
      <c r="A275" s="353" t="s">
        <v>5903</v>
      </c>
      <c r="B275" s="353" t="s">
        <v>5904</v>
      </c>
      <c r="C275" s="353" t="s">
        <v>5905</v>
      </c>
      <c r="D275" s="354" t="s">
        <v>5906</v>
      </c>
      <c r="E275" s="355"/>
      <c r="F275" s="351"/>
      <c r="G275" s="351"/>
    </row>
    <row r="276" ht="15.75" customHeight="1">
      <c r="A276" s="381"/>
      <c r="B276" s="381"/>
      <c r="C276" s="381"/>
      <c r="D276" s="358" t="s">
        <v>5907</v>
      </c>
      <c r="E276" s="359" t="s">
        <v>5905</v>
      </c>
      <c r="F276" s="351"/>
      <c r="G276" s="351"/>
    </row>
    <row r="277" ht="15.75" customHeight="1">
      <c r="A277" s="382" t="s">
        <v>6004</v>
      </c>
      <c r="B277" s="383" t="s">
        <v>6396</v>
      </c>
      <c r="C277" s="383" t="s">
        <v>6397</v>
      </c>
      <c r="D277" s="385"/>
      <c r="E277" s="385"/>
      <c r="F277" s="351"/>
      <c r="G277" s="351"/>
    </row>
    <row r="278" ht="15.75" customHeight="1">
      <c r="A278" s="386"/>
      <c r="B278" s="387"/>
      <c r="C278" s="387" t="s">
        <v>6398</v>
      </c>
      <c r="D278" s="391" t="s">
        <v>6399</v>
      </c>
      <c r="E278" s="391"/>
      <c r="F278" s="351"/>
      <c r="G278" s="351"/>
    </row>
    <row r="279" ht="15.75" customHeight="1">
      <c r="A279" s="386"/>
      <c r="B279" s="387"/>
      <c r="C279" s="383" t="s">
        <v>6400</v>
      </c>
      <c r="D279" s="385"/>
      <c r="E279" s="385"/>
      <c r="F279" s="351"/>
      <c r="G279" s="351"/>
    </row>
    <row r="280" ht="15.75" customHeight="1">
      <c r="A280" s="386"/>
      <c r="B280" s="387"/>
      <c r="C280" s="387" t="s">
        <v>6401</v>
      </c>
      <c r="D280" s="391" t="s">
        <v>6402</v>
      </c>
      <c r="E280" s="391"/>
      <c r="F280" s="351"/>
      <c r="G280" s="351"/>
    </row>
    <row r="281" ht="15.75" customHeight="1">
      <c r="A281" s="386"/>
      <c r="B281" s="387"/>
      <c r="C281" s="383" t="s">
        <v>6403</v>
      </c>
      <c r="D281" s="385"/>
      <c r="E281" s="385"/>
      <c r="F281" s="351"/>
      <c r="G281" s="351"/>
    </row>
    <row r="282" ht="15.75" customHeight="1">
      <c r="A282" s="386"/>
      <c r="B282" s="387"/>
      <c r="C282" s="387" t="s">
        <v>6404</v>
      </c>
      <c r="D282" s="391" t="s">
        <v>6405</v>
      </c>
      <c r="E282" s="391"/>
      <c r="F282" s="351"/>
      <c r="G282" s="351"/>
    </row>
    <row r="283" ht="15.75" customHeight="1">
      <c r="A283" s="386"/>
      <c r="B283" s="387"/>
      <c r="C283" s="387" t="s">
        <v>6406</v>
      </c>
      <c r="D283" s="391" t="s">
        <v>6407</v>
      </c>
      <c r="E283" s="391" t="s">
        <v>5913</v>
      </c>
      <c r="F283" s="351"/>
      <c r="G283" s="351"/>
    </row>
    <row r="284" ht="15.75" customHeight="1">
      <c r="A284" s="386"/>
      <c r="B284" s="387"/>
      <c r="C284" s="383" t="s">
        <v>6408</v>
      </c>
      <c r="D284" s="385"/>
      <c r="E284" s="385"/>
      <c r="F284" s="351"/>
      <c r="G284" s="351"/>
    </row>
    <row r="285" ht="15.75" customHeight="1">
      <c r="A285" s="386"/>
      <c r="B285" s="387"/>
      <c r="C285" s="387" t="s">
        <v>6409</v>
      </c>
      <c r="D285" s="391" t="s">
        <v>6410</v>
      </c>
      <c r="E285" s="391" t="s">
        <v>5913</v>
      </c>
      <c r="F285" s="351"/>
      <c r="G285" s="351"/>
    </row>
    <row r="286" ht="15.75" customHeight="1">
      <c r="A286" s="386"/>
      <c r="B286" s="387"/>
      <c r="C286" s="383" t="s">
        <v>6411</v>
      </c>
      <c r="D286" s="385"/>
      <c r="E286" s="385"/>
      <c r="F286" s="351"/>
      <c r="G286" s="351"/>
    </row>
    <row r="287" ht="15.75" customHeight="1">
      <c r="A287" s="386"/>
      <c r="B287" s="387"/>
      <c r="C287" s="387" t="s">
        <v>6412</v>
      </c>
      <c r="D287" s="391" t="s">
        <v>6413</v>
      </c>
      <c r="E287" s="392" t="s">
        <v>5913</v>
      </c>
      <c r="F287" s="351"/>
      <c r="G287" s="351"/>
    </row>
    <row r="288" ht="15.75" customHeight="1">
      <c r="A288" s="386"/>
      <c r="B288" s="383" t="s">
        <v>6414</v>
      </c>
      <c r="C288" s="383" t="s">
        <v>6415</v>
      </c>
      <c r="D288" s="385"/>
      <c r="E288" s="385"/>
      <c r="F288" s="351"/>
      <c r="G288" s="351"/>
    </row>
    <row r="289" ht="15.75" customHeight="1">
      <c r="A289" s="386"/>
      <c r="B289" s="413"/>
      <c r="C289" s="387" t="s">
        <v>6416</v>
      </c>
      <c r="D289" s="391" t="s">
        <v>6417</v>
      </c>
      <c r="E289" s="391" t="s">
        <v>5913</v>
      </c>
      <c r="F289" s="349"/>
      <c r="G289" s="349"/>
    </row>
    <row r="290" ht="15.75" customHeight="1">
      <c r="A290" s="386"/>
      <c r="B290" s="387"/>
      <c r="C290" s="387" t="s">
        <v>6418</v>
      </c>
      <c r="D290" s="391" t="s">
        <v>6419</v>
      </c>
      <c r="E290" s="409" t="s">
        <v>367</v>
      </c>
      <c r="F290" s="351"/>
      <c r="G290" s="351"/>
    </row>
    <row r="291" ht="15.75" customHeight="1">
      <c r="A291" s="386"/>
      <c r="B291" s="387"/>
      <c r="C291" s="387" t="s">
        <v>6420</v>
      </c>
      <c r="D291" s="391" t="s">
        <v>6421</v>
      </c>
      <c r="E291" s="391" t="s">
        <v>5913</v>
      </c>
      <c r="F291" s="351"/>
      <c r="G291" s="351"/>
    </row>
    <row r="292" ht="15.75" customHeight="1">
      <c r="A292" s="386"/>
      <c r="B292" s="387"/>
      <c r="C292" s="387" t="s">
        <v>6422</v>
      </c>
      <c r="D292" s="391" t="s">
        <v>6423</v>
      </c>
      <c r="E292" s="391" t="s">
        <v>5913</v>
      </c>
      <c r="F292" s="351"/>
      <c r="G292" s="351"/>
    </row>
    <row r="293" ht="15.75" customHeight="1">
      <c r="A293" s="386"/>
      <c r="B293" s="387"/>
      <c r="C293" s="387" t="s">
        <v>6424</v>
      </c>
      <c r="D293" s="391" t="s">
        <v>6425</v>
      </c>
      <c r="E293" s="391" t="s">
        <v>5913</v>
      </c>
      <c r="F293" s="351"/>
      <c r="G293" s="351"/>
    </row>
    <row r="294" ht="15.75" customHeight="1">
      <c r="A294" s="386"/>
      <c r="B294" s="387"/>
      <c r="C294" s="387" t="s">
        <v>6426</v>
      </c>
      <c r="D294" s="391" t="s">
        <v>6427</v>
      </c>
      <c r="E294" s="391" t="s">
        <v>5913</v>
      </c>
      <c r="F294" s="351"/>
      <c r="G294" s="351"/>
    </row>
    <row r="295" ht="15.75" customHeight="1">
      <c r="A295" s="386"/>
      <c r="B295" s="387"/>
      <c r="C295" s="383" t="s">
        <v>6428</v>
      </c>
      <c r="D295" s="385"/>
      <c r="E295" s="385"/>
      <c r="F295" s="351"/>
      <c r="G295" s="351"/>
    </row>
    <row r="296" ht="15.75" customHeight="1">
      <c r="A296" s="386"/>
      <c r="B296" s="387"/>
      <c r="C296" s="387" t="s">
        <v>6429</v>
      </c>
      <c r="D296" s="391" t="s">
        <v>6430</v>
      </c>
      <c r="E296" s="391" t="s">
        <v>5913</v>
      </c>
      <c r="F296" s="351"/>
      <c r="G296" s="351"/>
    </row>
    <row r="297" ht="15.75" customHeight="1">
      <c r="A297" s="386"/>
      <c r="B297" s="387"/>
      <c r="C297" s="387" t="s">
        <v>6431</v>
      </c>
      <c r="D297" s="391" t="s">
        <v>6432</v>
      </c>
      <c r="E297" s="409" t="s">
        <v>367</v>
      </c>
      <c r="F297" s="351"/>
      <c r="G297" s="351"/>
    </row>
    <row r="298" ht="15.75" customHeight="1">
      <c r="A298" s="386"/>
      <c r="B298" s="387"/>
      <c r="C298" s="387" t="s">
        <v>6433</v>
      </c>
      <c r="D298" s="391" t="s">
        <v>6434</v>
      </c>
      <c r="E298" s="391" t="s">
        <v>5913</v>
      </c>
      <c r="F298" s="351"/>
      <c r="G298" s="351"/>
    </row>
    <row r="299" ht="15.75" customHeight="1">
      <c r="A299" s="386"/>
      <c r="B299" s="387"/>
      <c r="C299" s="387" t="s">
        <v>6435</v>
      </c>
      <c r="D299" s="391" t="s">
        <v>6436</v>
      </c>
      <c r="E299" s="391" t="s">
        <v>5913</v>
      </c>
      <c r="F299" s="351"/>
      <c r="G299" s="351"/>
    </row>
    <row r="300" ht="15.75" customHeight="1">
      <c r="A300" s="386"/>
      <c r="B300" s="387"/>
      <c r="C300" s="383" t="s">
        <v>6437</v>
      </c>
      <c r="D300" s="385"/>
      <c r="E300" s="385"/>
      <c r="F300" s="351"/>
      <c r="G300" s="351"/>
    </row>
    <row r="301" ht="15.75" customHeight="1">
      <c r="A301" s="386"/>
      <c r="B301" s="387"/>
      <c r="C301" s="387" t="s">
        <v>6438</v>
      </c>
      <c r="D301" s="414" t="s">
        <v>6439</v>
      </c>
      <c r="E301" s="414" t="s">
        <v>5913</v>
      </c>
      <c r="F301" s="351"/>
      <c r="G301" s="351"/>
    </row>
    <row r="302" ht="15.75" customHeight="1">
      <c r="A302" s="386"/>
      <c r="B302" s="384" t="s">
        <v>3754</v>
      </c>
      <c r="C302" s="383" t="s">
        <v>6333</v>
      </c>
      <c r="D302" s="385"/>
      <c r="E302" s="385"/>
      <c r="F302" s="351"/>
      <c r="G302" s="351"/>
    </row>
    <row r="303" ht="15.75" customHeight="1">
      <c r="A303" s="386"/>
      <c r="B303" s="387"/>
      <c r="C303" s="387" t="s">
        <v>6440</v>
      </c>
      <c r="D303" s="391" t="s">
        <v>6441</v>
      </c>
      <c r="E303" s="391" t="s">
        <v>5913</v>
      </c>
      <c r="F303" s="351"/>
      <c r="G303" s="351"/>
    </row>
    <row r="304" ht="15.75" customHeight="1">
      <c r="A304" s="386"/>
      <c r="B304" s="387"/>
      <c r="C304" s="387" t="s">
        <v>6442</v>
      </c>
      <c r="D304" s="391" t="s">
        <v>6443</v>
      </c>
      <c r="E304" s="391" t="s">
        <v>5913</v>
      </c>
      <c r="F304" s="351"/>
      <c r="G304" s="351"/>
    </row>
    <row r="305" ht="15.75" customHeight="1">
      <c r="A305" s="386"/>
      <c r="B305" s="387"/>
      <c r="C305" s="387" t="s">
        <v>6444</v>
      </c>
      <c r="D305" s="391" t="s">
        <v>6445</v>
      </c>
      <c r="E305" s="391"/>
      <c r="F305" s="351"/>
      <c r="G305" s="351"/>
    </row>
    <row r="306" ht="15.75" customHeight="1">
      <c r="A306" s="386"/>
      <c r="B306" s="387"/>
      <c r="C306" s="387" t="s">
        <v>6446</v>
      </c>
      <c r="D306" s="391" t="s">
        <v>6447</v>
      </c>
      <c r="E306" s="391" t="s">
        <v>5913</v>
      </c>
      <c r="F306" s="351"/>
      <c r="G306" s="351"/>
    </row>
    <row r="307" ht="15.75" customHeight="1">
      <c r="A307" s="386"/>
      <c r="B307" s="387"/>
      <c r="C307" s="387" t="s">
        <v>6448</v>
      </c>
      <c r="D307" s="391" t="s">
        <v>6449</v>
      </c>
      <c r="E307" s="391" t="s">
        <v>5913</v>
      </c>
      <c r="F307" s="351"/>
      <c r="G307" s="351"/>
    </row>
    <row r="308" ht="15.75" customHeight="1">
      <c r="A308" s="386"/>
      <c r="B308" s="387"/>
      <c r="C308" s="387" t="s">
        <v>6450</v>
      </c>
      <c r="D308" s="391" t="s">
        <v>6451</v>
      </c>
      <c r="E308" s="391" t="s">
        <v>5913</v>
      </c>
      <c r="F308" s="351"/>
      <c r="G308" s="351"/>
    </row>
    <row r="309" ht="15.75" customHeight="1">
      <c r="A309" s="386"/>
      <c r="B309" s="387"/>
      <c r="C309" s="387" t="s">
        <v>6452</v>
      </c>
      <c r="D309" s="391" t="s">
        <v>6453</v>
      </c>
      <c r="E309" s="391" t="s">
        <v>5913</v>
      </c>
      <c r="F309" s="351"/>
      <c r="G309" s="351"/>
    </row>
    <row r="310" ht="15.75" customHeight="1">
      <c r="A310" s="386"/>
      <c r="B310" s="387"/>
      <c r="C310" s="387" t="s">
        <v>6454</v>
      </c>
      <c r="D310" s="391" t="s">
        <v>6455</v>
      </c>
      <c r="E310" s="391" t="s">
        <v>5913</v>
      </c>
      <c r="F310" s="351"/>
      <c r="G310" s="351"/>
    </row>
    <row r="311" ht="15.75" customHeight="1">
      <c r="A311" s="386"/>
      <c r="B311" s="387"/>
      <c r="C311" s="383" t="s">
        <v>3793</v>
      </c>
      <c r="D311" s="385"/>
      <c r="E311" s="385"/>
      <c r="F311" s="351"/>
      <c r="G311" s="351"/>
    </row>
    <row r="312" ht="15.75" customHeight="1">
      <c r="A312" s="386"/>
      <c r="B312" s="387"/>
      <c r="C312" s="387" t="s">
        <v>6456</v>
      </c>
      <c r="D312" s="391" t="s">
        <v>6457</v>
      </c>
      <c r="E312" s="391" t="s">
        <v>5913</v>
      </c>
      <c r="F312" s="351"/>
      <c r="G312" s="351"/>
    </row>
    <row r="313" ht="15.75" customHeight="1">
      <c r="A313" s="386"/>
      <c r="B313" s="387"/>
      <c r="C313" s="387" t="s">
        <v>6458</v>
      </c>
      <c r="D313" s="391" t="s">
        <v>6459</v>
      </c>
      <c r="E313" s="391" t="s">
        <v>5913</v>
      </c>
      <c r="F313" s="351"/>
      <c r="G313" s="351"/>
    </row>
    <row r="314" ht="15.75" customHeight="1">
      <c r="A314" s="386"/>
      <c r="B314" s="387"/>
      <c r="C314" s="387" t="s">
        <v>6460</v>
      </c>
      <c r="D314" s="391" t="s">
        <v>6461</v>
      </c>
      <c r="E314" s="391" t="s">
        <v>5913</v>
      </c>
      <c r="F314" s="351"/>
      <c r="G314" s="351"/>
    </row>
    <row r="315" ht="15.75" customHeight="1">
      <c r="A315" s="386"/>
      <c r="B315" s="387"/>
      <c r="C315" s="396" t="s">
        <v>3937</v>
      </c>
      <c r="D315" s="385"/>
      <c r="E315" s="385"/>
      <c r="F315" s="351"/>
      <c r="G315" s="351"/>
    </row>
    <row r="316" ht="15.75" customHeight="1">
      <c r="A316" s="386"/>
      <c r="B316" s="387"/>
      <c r="C316" s="387" t="s">
        <v>6008</v>
      </c>
      <c r="D316" s="391" t="s">
        <v>6009</v>
      </c>
      <c r="E316" s="391" t="s">
        <v>5913</v>
      </c>
      <c r="F316" s="351"/>
      <c r="G316" s="351"/>
    </row>
    <row r="317" ht="15.75" customHeight="1">
      <c r="A317" s="386"/>
      <c r="B317" s="387"/>
      <c r="C317" s="388" t="s">
        <v>6010</v>
      </c>
      <c r="D317" s="389" t="s">
        <v>6011</v>
      </c>
      <c r="E317" s="409" t="s">
        <v>5913</v>
      </c>
      <c r="F317" s="349"/>
      <c r="G317" s="349"/>
    </row>
    <row r="318" ht="15.75" customHeight="1">
      <c r="A318" s="386"/>
      <c r="B318" s="387"/>
      <c r="C318" s="388" t="s">
        <v>6012</v>
      </c>
      <c r="D318" s="389" t="s">
        <v>6013</v>
      </c>
      <c r="E318" s="409" t="s">
        <v>5913</v>
      </c>
      <c r="F318" s="349"/>
      <c r="G318" s="349"/>
    </row>
    <row r="319" ht="15.75" customHeight="1">
      <c r="A319" s="386"/>
      <c r="B319" s="387"/>
      <c r="C319" s="388" t="s">
        <v>6014</v>
      </c>
      <c r="D319" s="389" t="s">
        <v>6015</v>
      </c>
      <c r="E319" s="409"/>
      <c r="F319" s="349"/>
      <c r="G319" s="349"/>
    </row>
    <row r="320" ht="15.75" customHeight="1">
      <c r="A320" s="386"/>
      <c r="B320" s="387"/>
      <c r="C320" s="387" t="s">
        <v>6016</v>
      </c>
      <c r="D320" s="391" t="s">
        <v>6016</v>
      </c>
      <c r="E320" s="391" t="s">
        <v>5913</v>
      </c>
      <c r="F320" s="356"/>
      <c r="G320" s="356"/>
    </row>
    <row r="321" ht="15.75" customHeight="1">
      <c r="A321" s="393"/>
      <c r="B321" s="393"/>
      <c r="C321" s="393" t="s">
        <v>6017</v>
      </c>
      <c r="D321" s="394" t="s">
        <v>6018</v>
      </c>
      <c r="E321" s="394" t="s">
        <v>5913</v>
      </c>
      <c r="F321" s="356"/>
      <c r="G321" s="356"/>
    </row>
    <row r="322" ht="15.75" customHeight="1">
      <c r="A322" s="349"/>
      <c r="B322" s="349"/>
      <c r="C322" s="349"/>
      <c r="D322" s="350"/>
      <c r="E322" s="350"/>
      <c r="F322" s="351"/>
      <c r="G322" s="351"/>
    </row>
    <row r="323" ht="15.75" customHeight="1">
      <c r="A323" s="353" t="s">
        <v>5903</v>
      </c>
      <c r="B323" s="353" t="s">
        <v>5904</v>
      </c>
      <c r="C323" s="353" t="s">
        <v>5905</v>
      </c>
      <c r="D323" s="354" t="s">
        <v>5906</v>
      </c>
      <c r="E323" s="355"/>
      <c r="F323" s="351"/>
      <c r="G323" s="351"/>
    </row>
    <row r="324" ht="15.75" customHeight="1">
      <c r="A324" s="381"/>
      <c r="B324" s="381"/>
      <c r="C324" s="381"/>
      <c r="D324" s="358" t="s">
        <v>5907</v>
      </c>
      <c r="E324" s="359" t="s">
        <v>5905</v>
      </c>
      <c r="F324" s="351"/>
      <c r="G324" s="351"/>
    </row>
    <row r="325" ht="15.75" customHeight="1">
      <c r="A325" s="415" t="s">
        <v>6462</v>
      </c>
      <c r="B325" s="384" t="s">
        <v>3815</v>
      </c>
      <c r="C325" s="384" t="s">
        <v>3815</v>
      </c>
      <c r="D325" s="404"/>
      <c r="E325" s="404"/>
      <c r="F325" s="351"/>
      <c r="G325" s="351"/>
    </row>
    <row r="326" ht="15.75" customHeight="1">
      <c r="A326" s="401"/>
      <c r="B326" s="388"/>
      <c r="C326" s="388" t="s">
        <v>6463</v>
      </c>
      <c r="D326" s="391" t="s">
        <v>6464</v>
      </c>
      <c r="E326" s="392" t="s">
        <v>367</v>
      </c>
      <c r="F326" s="351"/>
      <c r="G326" s="351"/>
    </row>
    <row r="327" ht="15.75" customHeight="1">
      <c r="A327" s="401"/>
      <c r="B327" s="388"/>
      <c r="C327" s="388" t="s">
        <v>6465</v>
      </c>
      <c r="D327" s="391" t="s">
        <v>6466</v>
      </c>
      <c r="E327" s="392" t="s">
        <v>367</v>
      </c>
      <c r="F327" s="351"/>
      <c r="G327" s="351"/>
    </row>
    <row r="328" ht="15.75" customHeight="1">
      <c r="A328" s="401"/>
      <c r="B328" s="388"/>
      <c r="C328" s="388" t="s">
        <v>6467</v>
      </c>
      <c r="D328" s="391" t="s">
        <v>6468</v>
      </c>
      <c r="E328" s="392" t="s">
        <v>5913</v>
      </c>
      <c r="F328" s="351"/>
      <c r="G328" s="351"/>
    </row>
    <row r="329" ht="15.75" customHeight="1">
      <c r="A329" s="401"/>
      <c r="B329" s="383" t="s">
        <v>6469</v>
      </c>
      <c r="C329" s="383" t="s">
        <v>6469</v>
      </c>
      <c r="D329" s="404"/>
      <c r="E329" s="404"/>
      <c r="F329" s="351"/>
      <c r="G329" s="351"/>
    </row>
    <row r="330" ht="15.75" customHeight="1">
      <c r="A330" s="401"/>
      <c r="B330" s="388"/>
      <c r="C330" s="388" t="s">
        <v>6470</v>
      </c>
      <c r="D330" s="391" t="s">
        <v>6471</v>
      </c>
      <c r="E330" s="391" t="s">
        <v>5913</v>
      </c>
      <c r="F330" s="351"/>
      <c r="G330" s="351"/>
    </row>
    <row r="331" ht="15.75" customHeight="1">
      <c r="A331" s="401"/>
      <c r="B331" s="388"/>
      <c r="C331" s="388" t="s">
        <v>6472</v>
      </c>
      <c r="D331" s="391" t="s">
        <v>6472</v>
      </c>
      <c r="E331" s="391" t="s">
        <v>5913</v>
      </c>
      <c r="F331" s="351"/>
      <c r="G331" s="351"/>
    </row>
    <row r="332" ht="15.75" customHeight="1">
      <c r="A332" s="401"/>
      <c r="B332" s="388"/>
      <c r="C332" s="388" t="s">
        <v>6473</v>
      </c>
      <c r="D332" s="391" t="s">
        <v>6474</v>
      </c>
      <c r="E332" s="391" t="s">
        <v>5913</v>
      </c>
      <c r="F332" s="351"/>
      <c r="G332" s="351"/>
    </row>
    <row r="333" ht="15.75" customHeight="1">
      <c r="A333" s="401"/>
      <c r="B333" s="388"/>
      <c r="C333" s="388" t="s">
        <v>6475</v>
      </c>
      <c r="D333" s="391" t="s">
        <v>6476</v>
      </c>
      <c r="E333" s="391" t="s">
        <v>5913</v>
      </c>
      <c r="F333" s="351"/>
      <c r="G333" s="351"/>
    </row>
    <row r="334" ht="15.75" customHeight="1">
      <c r="A334" s="401"/>
      <c r="B334" s="388"/>
      <c r="C334" s="388" t="s">
        <v>6477</v>
      </c>
      <c r="D334" s="391" t="s">
        <v>6478</v>
      </c>
      <c r="E334" s="391" t="s">
        <v>5913</v>
      </c>
      <c r="F334" s="351"/>
      <c r="G334" s="351"/>
    </row>
    <row r="335" ht="15.75" customHeight="1">
      <c r="A335" s="401"/>
      <c r="B335" s="388"/>
      <c r="C335" s="388" t="s">
        <v>6479</v>
      </c>
      <c r="D335" s="391" t="s">
        <v>6480</v>
      </c>
      <c r="E335" s="391" t="s">
        <v>5913</v>
      </c>
      <c r="F335" s="351"/>
      <c r="G335" s="351"/>
    </row>
    <row r="336" ht="15.75" customHeight="1">
      <c r="A336" s="401"/>
      <c r="B336" s="388"/>
      <c r="C336" s="388" t="s">
        <v>6481</v>
      </c>
      <c r="D336" s="391" t="s">
        <v>6482</v>
      </c>
      <c r="E336" s="391" t="s">
        <v>5913</v>
      </c>
      <c r="F336" s="351"/>
      <c r="G336" s="351"/>
    </row>
    <row r="337" ht="15.75" customHeight="1">
      <c r="A337" s="401"/>
      <c r="B337" s="388"/>
      <c r="C337" s="388" t="s">
        <v>6483</v>
      </c>
      <c r="D337" s="391" t="s">
        <v>6484</v>
      </c>
      <c r="E337" s="391" t="s">
        <v>5913</v>
      </c>
      <c r="F337" s="351"/>
      <c r="G337" s="351"/>
    </row>
    <row r="338" ht="15.75" customHeight="1">
      <c r="A338" s="401"/>
      <c r="B338" s="388"/>
      <c r="C338" s="388" t="s">
        <v>6485</v>
      </c>
      <c r="D338" s="391" t="s">
        <v>6486</v>
      </c>
      <c r="E338" s="391" t="s">
        <v>5913</v>
      </c>
      <c r="F338" s="351"/>
      <c r="G338" s="351"/>
    </row>
    <row r="339" ht="15.75" customHeight="1">
      <c r="A339" s="401"/>
      <c r="B339" s="388"/>
      <c r="C339" s="388" t="s">
        <v>6487</v>
      </c>
      <c r="D339" s="391" t="s">
        <v>6488</v>
      </c>
      <c r="E339" s="391" t="s">
        <v>5913</v>
      </c>
      <c r="F339" s="351"/>
      <c r="G339" s="351"/>
    </row>
    <row r="340" ht="15.75" customHeight="1">
      <c r="A340" s="401"/>
      <c r="B340" s="384" t="s">
        <v>6489</v>
      </c>
      <c r="C340" s="384" t="s">
        <v>6489</v>
      </c>
      <c r="D340" s="404"/>
      <c r="E340" s="404"/>
      <c r="F340" s="351"/>
      <c r="G340" s="351"/>
    </row>
    <row r="341" ht="15.75" customHeight="1">
      <c r="A341" s="401"/>
      <c r="B341" s="388"/>
      <c r="C341" s="388" t="s">
        <v>6490</v>
      </c>
      <c r="D341" s="389" t="s">
        <v>6491</v>
      </c>
      <c r="E341" s="389"/>
      <c r="F341" s="351"/>
      <c r="G341" s="351"/>
    </row>
    <row r="342" ht="15.75" customHeight="1">
      <c r="A342" s="401"/>
      <c r="B342" s="388"/>
      <c r="C342" s="388" t="s">
        <v>6492</v>
      </c>
      <c r="D342" s="389" t="s">
        <v>6493</v>
      </c>
      <c r="E342" s="392" t="s">
        <v>367</v>
      </c>
      <c r="F342" s="351"/>
      <c r="G342" s="351"/>
    </row>
    <row r="343" ht="15.75" customHeight="1">
      <c r="A343" s="401"/>
      <c r="B343" s="384" t="s">
        <v>3919</v>
      </c>
      <c r="C343" s="384" t="s">
        <v>3815</v>
      </c>
      <c r="D343" s="404"/>
      <c r="E343" s="404"/>
      <c r="F343" s="351"/>
      <c r="G343" s="351"/>
    </row>
    <row r="344" ht="15.75" customHeight="1">
      <c r="A344" s="401"/>
      <c r="B344" s="387"/>
      <c r="C344" s="387" t="s">
        <v>6494</v>
      </c>
      <c r="D344" s="391" t="s">
        <v>6494</v>
      </c>
      <c r="E344" s="391" t="s">
        <v>5913</v>
      </c>
      <c r="F344" s="351"/>
      <c r="G344" s="351"/>
    </row>
    <row r="345" ht="15.75" customHeight="1">
      <c r="A345" s="386"/>
      <c r="B345" s="387"/>
      <c r="C345" s="387" t="s">
        <v>6495</v>
      </c>
      <c r="D345" s="391" t="s">
        <v>6496</v>
      </c>
      <c r="E345" s="391" t="s">
        <v>5913</v>
      </c>
      <c r="F345" s="351"/>
      <c r="G345" s="351"/>
    </row>
    <row r="346" ht="15.75" customHeight="1">
      <c r="A346" s="386"/>
      <c r="B346" s="387"/>
      <c r="C346" s="387" t="s">
        <v>6497</v>
      </c>
      <c r="D346" s="391" t="s">
        <v>6498</v>
      </c>
      <c r="E346" s="391" t="s">
        <v>5913</v>
      </c>
      <c r="F346" s="351"/>
      <c r="G346" s="351"/>
    </row>
    <row r="347" ht="15.75" customHeight="1">
      <c r="A347" s="386"/>
      <c r="B347" s="387"/>
      <c r="C347" s="387" t="s">
        <v>6499</v>
      </c>
      <c r="D347" s="391" t="s">
        <v>6500</v>
      </c>
      <c r="E347" s="391" t="s">
        <v>5913</v>
      </c>
      <c r="F347" s="351"/>
      <c r="G347" s="351"/>
    </row>
    <row r="348" ht="15.75" customHeight="1">
      <c r="A348" s="386"/>
      <c r="B348" s="387"/>
      <c r="C348" s="387" t="s">
        <v>6501</v>
      </c>
      <c r="D348" s="391" t="s">
        <v>6502</v>
      </c>
      <c r="E348" s="391" t="s">
        <v>5913</v>
      </c>
      <c r="F348" s="351"/>
      <c r="G348" s="351"/>
    </row>
    <row r="349" ht="15.75" customHeight="1">
      <c r="A349" s="386"/>
      <c r="B349" s="386"/>
      <c r="C349" s="386" t="s">
        <v>6503</v>
      </c>
      <c r="D349" s="414" t="s">
        <v>6504</v>
      </c>
      <c r="E349" s="414" t="s">
        <v>5913</v>
      </c>
      <c r="F349" s="356"/>
      <c r="G349" s="356"/>
    </row>
    <row r="350" ht="15.75" customHeight="1">
      <c r="A350" s="386"/>
      <c r="B350" s="387"/>
      <c r="C350" s="387" t="s">
        <v>6505</v>
      </c>
      <c r="D350" s="391" t="s">
        <v>6506</v>
      </c>
      <c r="E350" s="391" t="s">
        <v>5913</v>
      </c>
      <c r="F350" s="356"/>
      <c r="G350" s="356"/>
    </row>
    <row r="351" ht="15.75" customHeight="1">
      <c r="A351" s="416"/>
      <c r="B351" s="416"/>
      <c r="C351" s="416" t="s">
        <v>6507</v>
      </c>
      <c r="D351" s="394" t="s">
        <v>6508</v>
      </c>
      <c r="E351" s="417" t="s">
        <v>5913</v>
      </c>
      <c r="F351" s="351"/>
      <c r="G351" s="351"/>
    </row>
    <row r="352" ht="15.75" customHeight="1">
      <c r="A352" s="349"/>
      <c r="B352" s="349"/>
      <c r="C352" s="349"/>
      <c r="D352" s="350"/>
      <c r="E352" s="350"/>
      <c r="F352" s="351"/>
      <c r="G352" s="351"/>
    </row>
    <row r="353" ht="15.75" customHeight="1">
      <c r="A353" s="353" t="s">
        <v>5903</v>
      </c>
      <c r="B353" s="353" t="s">
        <v>5904</v>
      </c>
      <c r="C353" s="353" t="s">
        <v>5905</v>
      </c>
      <c r="D353" s="354" t="s">
        <v>5906</v>
      </c>
      <c r="E353" s="355"/>
      <c r="F353" s="351"/>
      <c r="G353" s="351"/>
    </row>
    <row r="354" ht="15.75" customHeight="1">
      <c r="A354" s="381"/>
      <c r="B354" s="381"/>
      <c r="C354" s="381"/>
      <c r="D354" s="358" t="s">
        <v>5907</v>
      </c>
      <c r="E354" s="359" t="s">
        <v>5905</v>
      </c>
      <c r="F354" s="351"/>
      <c r="G354" s="351"/>
    </row>
    <row r="355" ht="15.75" customHeight="1">
      <c r="A355" s="382" t="s">
        <v>6509</v>
      </c>
      <c r="B355" s="383" t="s">
        <v>6510</v>
      </c>
      <c r="C355" s="383" t="s">
        <v>6510</v>
      </c>
      <c r="D355" s="385"/>
      <c r="E355" s="385"/>
      <c r="F355" s="351"/>
      <c r="G355" s="351"/>
    </row>
    <row r="356" ht="15.75" customHeight="1">
      <c r="A356" s="386"/>
      <c r="B356" s="387"/>
      <c r="C356" s="387" t="s">
        <v>6511</v>
      </c>
      <c r="D356" s="391" t="s">
        <v>6512</v>
      </c>
      <c r="E356" s="391" t="s">
        <v>5913</v>
      </c>
      <c r="F356" s="351"/>
      <c r="G356" s="351"/>
    </row>
    <row r="357" ht="15.75" customHeight="1">
      <c r="A357" s="386"/>
      <c r="B357" s="387"/>
      <c r="C357" s="387" t="s">
        <v>6513</v>
      </c>
      <c r="D357" s="391" t="s">
        <v>6514</v>
      </c>
      <c r="E357" s="391" t="s">
        <v>5913</v>
      </c>
      <c r="F357" s="351"/>
      <c r="G357" s="351"/>
    </row>
    <row r="358" ht="15.75" customHeight="1">
      <c r="A358" s="386"/>
      <c r="B358" s="387"/>
      <c r="C358" s="387" t="s">
        <v>6515</v>
      </c>
      <c r="D358" s="391" t="s">
        <v>6516</v>
      </c>
      <c r="E358" s="391" t="s">
        <v>5913</v>
      </c>
      <c r="F358" s="351"/>
      <c r="G358" s="351"/>
    </row>
    <row r="359" ht="15.75" customHeight="1">
      <c r="A359" s="386"/>
      <c r="B359" s="383" t="s">
        <v>6517</v>
      </c>
      <c r="C359" s="383" t="s">
        <v>6517</v>
      </c>
      <c r="D359" s="385"/>
      <c r="E359" s="385"/>
      <c r="F359" s="351"/>
      <c r="G359" s="351"/>
    </row>
    <row r="360" ht="15.75" customHeight="1">
      <c r="A360" s="386"/>
      <c r="B360" s="387"/>
      <c r="C360" s="387" t="s">
        <v>6518</v>
      </c>
      <c r="D360" s="391" t="s">
        <v>6519</v>
      </c>
      <c r="E360" s="391" t="s">
        <v>5913</v>
      </c>
      <c r="F360" s="351"/>
      <c r="G360" s="351"/>
    </row>
    <row r="361" ht="15.75" customHeight="1">
      <c r="A361" s="386"/>
      <c r="B361" s="387"/>
      <c r="C361" s="408" t="s">
        <v>6520</v>
      </c>
      <c r="D361" s="418" t="s">
        <v>6521</v>
      </c>
      <c r="E361" s="407" t="s">
        <v>367</v>
      </c>
      <c r="F361" s="349"/>
      <c r="G361" s="349"/>
    </row>
    <row r="362" ht="15.75" customHeight="1">
      <c r="A362" s="386"/>
      <c r="B362" s="387"/>
      <c r="C362" s="408" t="s">
        <v>6522</v>
      </c>
      <c r="D362" s="405" t="s">
        <v>6523</v>
      </c>
      <c r="E362" s="391" t="s">
        <v>5913</v>
      </c>
      <c r="F362" s="349"/>
      <c r="G362" s="349"/>
    </row>
    <row r="363" ht="15.75" customHeight="1">
      <c r="A363" s="386"/>
      <c r="B363" s="387"/>
      <c r="C363" s="408" t="s">
        <v>6524</v>
      </c>
      <c r="D363" s="405" t="s">
        <v>6525</v>
      </c>
      <c r="E363" s="391" t="s">
        <v>5913</v>
      </c>
      <c r="F363" s="349"/>
      <c r="G363" s="349"/>
    </row>
    <row r="364" ht="15.75" customHeight="1">
      <c r="A364" s="386"/>
      <c r="B364" s="387"/>
      <c r="C364" s="408" t="s">
        <v>6526</v>
      </c>
      <c r="D364" s="405" t="s">
        <v>6527</v>
      </c>
      <c r="E364" s="391" t="s">
        <v>5913</v>
      </c>
      <c r="F364" s="349"/>
      <c r="G364" s="349"/>
    </row>
    <row r="365" ht="15.75" customHeight="1">
      <c r="A365" s="386"/>
      <c r="B365" s="387"/>
      <c r="C365" s="387" t="s">
        <v>6528</v>
      </c>
      <c r="D365" s="391" t="s">
        <v>6528</v>
      </c>
      <c r="E365" s="391" t="s">
        <v>5913</v>
      </c>
      <c r="F365" s="351"/>
      <c r="G365" s="351"/>
    </row>
    <row r="366" ht="15.75" customHeight="1">
      <c r="A366" s="386"/>
      <c r="B366" s="387"/>
      <c r="C366" s="387" t="s">
        <v>6529</v>
      </c>
      <c r="D366" s="391" t="s">
        <v>6530</v>
      </c>
      <c r="E366" s="391" t="s">
        <v>5913</v>
      </c>
      <c r="F366" s="351"/>
      <c r="G366" s="351"/>
    </row>
    <row r="367" ht="15.75" customHeight="1">
      <c r="A367" s="386"/>
      <c r="B367" s="387"/>
      <c r="C367" s="387" t="s">
        <v>6531</v>
      </c>
      <c r="D367" s="391" t="s">
        <v>6532</v>
      </c>
      <c r="E367" s="391" t="s">
        <v>5913</v>
      </c>
      <c r="F367" s="351"/>
      <c r="G367" s="351"/>
    </row>
    <row r="368" ht="15.75" customHeight="1">
      <c r="A368" s="386"/>
      <c r="B368" s="387"/>
      <c r="C368" s="387" t="s">
        <v>6533</v>
      </c>
      <c r="D368" s="391" t="s">
        <v>6534</v>
      </c>
      <c r="E368" s="391" t="s">
        <v>5913</v>
      </c>
      <c r="F368" s="351"/>
      <c r="G368" s="351"/>
    </row>
    <row r="369" ht="15.75" customHeight="1">
      <c r="A369" s="386"/>
      <c r="B369" s="387"/>
      <c r="C369" s="387" t="s">
        <v>6535</v>
      </c>
      <c r="D369" s="391" t="s">
        <v>6536</v>
      </c>
      <c r="E369" s="392" t="s">
        <v>367</v>
      </c>
      <c r="F369" s="351"/>
      <c r="G369" s="351"/>
    </row>
    <row r="370" ht="15.75" customHeight="1">
      <c r="A370" s="386"/>
      <c r="B370" s="387"/>
      <c r="C370" s="387" t="s">
        <v>6537</v>
      </c>
      <c r="D370" s="391" t="s">
        <v>6538</v>
      </c>
      <c r="E370" s="391" t="s">
        <v>5913</v>
      </c>
      <c r="F370" s="351"/>
      <c r="G370" s="351"/>
    </row>
    <row r="371" ht="15.75" customHeight="1">
      <c r="A371" s="386"/>
      <c r="B371" s="387"/>
      <c r="C371" s="387" t="s">
        <v>6539</v>
      </c>
      <c r="D371" s="391" t="s">
        <v>6540</v>
      </c>
      <c r="E371" s="391" t="s">
        <v>5913</v>
      </c>
      <c r="F371" s="356"/>
      <c r="G371" s="356"/>
    </row>
    <row r="372" ht="15.75" customHeight="1">
      <c r="A372" s="393"/>
      <c r="B372" s="393"/>
      <c r="C372" s="393" t="s">
        <v>6541</v>
      </c>
      <c r="D372" s="394" t="s">
        <v>6542</v>
      </c>
      <c r="E372" s="394" t="s">
        <v>5913</v>
      </c>
      <c r="F372" s="356"/>
      <c r="G372" s="356"/>
    </row>
    <row r="373" ht="15.75" customHeight="1">
      <c r="A373" s="349"/>
      <c r="B373" s="349"/>
      <c r="C373" s="349"/>
      <c r="D373" s="350"/>
      <c r="E373" s="350"/>
      <c r="F373" s="351"/>
      <c r="G373" s="351"/>
    </row>
    <row r="374" ht="15.75" customHeight="1">
      <c r="A374" s="353" t="s">
        <v>5903</v>
      </c>
      <c r="B374" s="353" t="s">
        <v>5904</v>
      </c>
      <c r="C374" s="353" t="s">
        <v>5905</v>
      </c>
      <c r="D374" s="354" t="s">
        <v>5906</v>
      </c>
      <c r="E374" s="355"/>
      <c r="F374" s="351"/>
      <c r="G374" s="351"/>
    </row>
    <row r="375" ht="15.75" customHeight="1">
      <c r="A375" s="381"/>
      <c r="B375" s="381"/>
      <c r="C375" s="381"/>
      <c r="D375" s="358" t="s">
        <v>5907</v>
      </c>
      <c r="E375" s="359" t="s">
        <v>5905</v>
      </c>
      <c r="F375" s="351"/>
      <c r="G375" s="351"/>
    </row>
    <row r="376" ht="15.75" customHeight="1">
      <c r="A376" s="382" t="s">
        <v>6543</v>
      </c>
      <c r="B376" s="383" t="s">
        <v>6544</v>
      </c>
      <c r="C376" s="383" t="s">
        <v>6544</v>
      </c>
      <c r="D376" s="385"/>
      <c r="E376" s="385"/>
      <c r="F376" s="351"/>
      <c r="G376" s="351"/>
    </row>
    <row r="377" ht="15.75" customHeight="1">
      <c r="A377" s="386"/>
      <c r="B377" s="387"/>
      <c r="C377" s="387" t="s">
        <v>6545</v>
      </c>
      <c r="D377" s="391" t="s">
        <v>6546</v>
      </c>
      <c r="E377" s="391"/>
      <c r="F377" s="351"/>
      <c r="G377" s="351"/>
    </row>
    <row r="378" ht="15.75" customHeight="1">
      <c r="A378" s="386"/>
      <c r="B378" s="387"/>
      <c r="C378" s="387" t="s">
        <v>6547</v>
      </c>
      <c r="D378" s="391" t="s">
        <v>6548</v>
      </c>
      <c r="E378" s="391" t="s">
        <v>5913</v>
      </c>
      <c r="F378" s="351"/>
      <c r="G378" s="351"/>
    </row>
    <row r="379" ht="15.75" customHeight="1">
      <c r="A379" s="386"/>
      <c r="B379" s="387"/>
      <c r="C379" s="387" t="s">
        <v>6549</v>
      </c>
      <c r="D379" s="391" t="s">
        <v>6550</v>
      </c>
      <c r="E379" s="391" t="s">
        <v>5913</v>
      </c>
      <c r="F379" s="351"/>
      <c r="G379" s="351"/>
    </row>
    <row r="380" ht="15.75" customHeight="1">
      <c r="A380" s="386"/>
      <c r="B380" s="387"/>
      <c r="C380" s="387" t="s">
        <v>6551</v>
      </c>
      <c r="D380" s="391" t="s">
        <v>6552</v>
      </c>
      <c r="E380" s="392" t="s">
        <v>6075</v>
      </c>
      <c r="F380" s="356"/>
      <c r="G380" s="356"/>
    </row>
    <row r="381" ht="15.75" customHeight="1">
      <c r="A381" s="386"/>
      <c r="B381" s="387"/>
      <c r="C381" s="388" t="s">
        <v>6553</v>
      </c>
      <c r="D381" s="389" t="s">
        <v>6554</v>
      </c>
      <c r="E381" s="389"/>
      <c r="F381" s="351"/>
      <c r="G381" s="351"/>
    </row>
    <row r="382" ht="15.75" customHeight="1">
      <c r="A382" s="386"/>
      <c r="B382" s="387"/>
      <c r="C382" s="387" t="s">
        <v>6555</v>
      </c>
      <c r="D382" s="391" t="s">
        <v>6556</v>
      </c>
      <c r="E382" s="391"/>
      <c r="F382" s="351"/>
      <c r="G382" s="351"/>
    </row>
    <row r="383" ht="15.75" customHeight="1">
      <c r="A383" s="386"/>
      <c r="B383" s="387"/>
      <c r="C383" s="387" t="s">
        <v>5023</v>
      </c>
      <c r="D383" s="391" t="s">
        <v>6557</v>
      </c>
      <c r="E383" s="391" t="s">
        <v>5913</v>
      </c>
      <c r="F383" s="351"/>
      <c r="G383" s="351"/>
    </row>
    <row r="384" ht="15.75" customHeight="1">
      <c r="A384" s="386"/>
      <c r="B384" s="387"/>
      <c r="C384" s="387" t="s">
        <v>6558</v>
      </c>
      <c r="D384" s="391" t="s">
        <v>6559</v>
      </c>
      <c r="E384" s="391" t="s">
        <v>5913</v>
      </c>
      <c r="F384" s="351"/>
      <c r="G384" s="351"/>
    </row>
    <row r="385" ht="15.75" customHeight="1">
      <c r="A385" s="386"/>
      <c r="B385" s="419" t="s">
        <v>6560</v>
      </c>
      <c r="C385" s="383" t="s">
        <v>6561</v>
      </c>
      <c r="D385" s="385"/>
      <c r="E385" s="385"/>
      <c r="F385" s="351"/>
      <c r="G385" s="351"/>
    </row>
    <row r="386" ht="15.75" customHeight="1">
      <c r="A386" s="393"/>
      <c r="B386" s="420"/>
      <c r="C386" s="421" t="s">
        <v>6562</v>
      </c>
      <c r="D386" s="422" t="s">
        <v>6563</v>
      </c>
      <c r="E386" s="423" t="s">
        <v>5913</v>
      </c>
      <c r="F386" s="349"/>
      <c r="G386" s="349"/>
    </row>
    <row r="387" ht="15.75" customHeight="1">
      <c r="A387" s="349"/>
      <c r="B387" s="349"/>
      <c r="C387" s="349"/>
      <c r="D387" s="350"/>
      <c r="E387" s="350"/>
      <c r="F387" s="351"/>
      <c r="G387" s="351"/>
    </row>
    <row r="388" ht="15.75" customHeight="1">
      <c r="A388" s="353" t="s">
        <v>5903</v>
      </c>
      <c r="B388" s="353" t="s">
        <v>5904</v>
      </c>
      <c r="C388" s="353" t="s">
        <v>5905</v>
      </c>
      <c r="D388" s="354" t="s">
        <v>5906</v>
      </c>
      <c r="E388" s="355"/>
      <c r="F388" s="351"/>
      <c r="G388" s="351"/>
    </row>
    <row r="389" ht="15.75" customHeight="1">
      <c r="A389" s="381"/>
      <c r="B389" s="381"/>
      <c r="C389" s="381"/>
      <c r="D389" s="358" t="s">
        <v>5907</v>
      </c>
      <c r="E389" s="359" t="s">
        <v>5905</v>
      </c>
      <c r="F389" s="351"/>
      <c r="G389" s="351"/>
    </row>
    <row r="390" ht="15.75" customHeight="1">
      <c r="A390" s="382" t="s">
        <v>6020</v>
      </c>
      <c r="B390" s="383" t="s">
        <v>4983</v>
      </c>
      <c r="C390" s="383" t="s">
        <v>4983</v>
      </c>
      <c r="D390" s="385"/>
      <c r="E390" s="385"/>
      <c r="F390" s="351"/>
      <c r="G390" s="351"/>
    </row>
    <row r="391" ht="15.75" customHeight="1">
      <c r="A391" s="386"/>
      <c r="B391" s="387"/>
      <c r="C391" s="387" t="s">
        <v>6564</v>
      </c>
      <c r="D391" s="391" t="s">
        <v>6565</v>
      </c>
      <c r="E391" s="391" t="s">
        <v>5913</v>
      </c>
      <c r="F391" s="351"/>
      <c r="G391" s="351"/>
    </row>
    <row r="392" ht="15.75" customHeight="1">
      <c r="A392" s="386"/>
      <c r="B392" s="387"/>
      <c r="C392" s="387" t="s">
        <v>6566</v>
      </c>
      <c r="D392" s="391" t="s">
        <v>6567</v>
      </c>
      <c r="E392" s="391"/>
      <c r="F392" s="351"/>
      <c r="G392" s="351"/>
    </row>
    <row r="393" ht="15.75" customHeight="1">
      <c r="A393" s="386"/>
      <c r="B393" s="387"/>
      <c r="C393" s="387" t="s">
        <v>6568</v>
      </c>
      <c r="D393" s="391" t="s">
        <v>6569</v>
      </c>
      <c r="E393" s="391"/>
      <c r="F393" s="351"/>
      <c r="G393" s="351"/>
    </row>
    <row r="394" ht="15.75" customHeight="1">
      <c r="A394" s="386"/>
      <c r="B394" s="387"/>
      <c r="C394" s="387" t="s">
        <v>6570</v>
      </c>
      <c r="D394" s="391" t="s">
        <v>6571</v>
      </c>
      <c r="E394" s="391"/>
      <c r="F394" s="351"/>
      <c r="G394" s="351"/>
    </row>
    <row r="395" ht="15.75" customHeight="1">
      <c r="A395" s="386"/>
      <c r="B395" s="386"/>
      <c r="C395" s="386" t="s">
        <v>6572</v>
      </c>
      <c r="D395" s="414" t="s">
        <v>6573</v>
      </c>
      <c r="E395" s="414" t="s">
        <v>6035</v>
      </c>
      <c r="F395" s="351"/>
      <c r="G395" s="351"/>
    </row>
    <row r="396" ht="15.75" customHeight="1">
      <c r="A396" s="386"/>
      <c r="B396" s="387"/>
      <c r="C396" s="387" t="s">
        <v>6574</v>
      </c>
      <c r="D396" s="391" t="s">
        <v>6575</v>
      </c>
      <c r="E396" s="391"/>
      <c r="F396" s="351"/>
      <c r="G396" s="351"/>
    </row>
    <row r="397" ht="15.75" customHeight="1">
      <c r="A397" s="386"/>
      <c r="B397" s="387"/>
      <c r="C397" s="387" t="s">
        <v>6576</v>
      </c>
      <c r="D397" s="391" t="s">
        <v>6577</v>
      </c>
      <c r="E397" s="391" t="s">
        <v>5913</v>
      </c>
      <c r="F397" s="351"/>
      <c r="G397" s="351"/>
    </row>
    <row r="398" ht="15.75" customHeight="1">
      <c r="A398" s="386"/>
      <c r="B398" s="386"/>
      <c r="C398" s="386" t="s">
        <v>6578</v>
      </c>
      <c r="D398" s="414" t="s">
        <v>6579</v>
      </c>
      <c r="E398" s="386"/>
      <c r="F398" s="351"/>
      <c r="G398" s="351"/>
    </row>
    <row r="399" ht="15.75" customHeight="1">
      <c r="A399" s="386"/>
      <c r="B399" s="387"/>
      <c r="C399" s="387" t="s">
        <v>6580</v>
      </c>
      <c r="D399" s="391" t="s">
        <v>6581</v>
      </c>
      <c r="E399" s="391"/>
      <c r="F399" s="351"/>
      <c r="G399" s="351"/>
    </row>
    <row r="400" ht="15.75" customHeight="1">
      <c r="A400" s="386"/>
      <c r="B400" s="387"/>
      <c r="C400" s="387" t="s">
        <v>6582</v>
      </c>
      <c r="D400" s="391" t="s">
        <v>6583</v>
      </c>
      <c r="E400" s="391"/>
      <c r="F400" s="351"/>
      <c r="G400" s="351"/>
    </row>
    <row r="401" ht="15.75" customHeight="1">
      <c r="A401" s="386"/>
      <c r="B401" s="387"/>
      <c r="C401" s="387" t="s">
        <v>6584</v>
      </c>
      <c r="D401" s="391" t="s">
        <v>6585</v>
      </c>
      <c r="E401" s="391" t="s">
        <v>6035</v>
      </c>
      <c r="F401" s="351"/>
      <c r="G401" s="351"/>
    </row>
    <row r="402" ht="15.75" customHeight="1">
      <c r="A402" s="386"/>
      <c r="B402" s="387"/>
      <c r="C402" s="387" t="s">
        <v>6586</v>
      </c>
      <c r="D402" s="391" t="s">
        <v>6587</v>
      </c>
      <c r="E402" s="391"/>
      <c r="F402" s="351"/>
      <c r="G402" s="351"/>
    </row>
    <row r="403" ht="15.75" customHeight="1">
      <c r="A403" s="386"/>
      <c r="B403" s="387"/>
      <c r="C403" s="387" t="s">
        <v>6588</v>
      </c>
      <c r="D403" s="391" t="s">
        <v>6589</v>
      </c>
      <c r="E403" s="391" t="s">
        <v>6075</v>
      </c>
      <c r="F403" s="351"/>
      <c r="G403" s="351"/>
    </row>
    <row r="404" ht="15.75" customHeight="1">
      <c r="A404" s="386"/>
      <c r="B404" s="387"/>
      <c r="C404" s="387" t="s">
        <v>6590</v>
      </c>
      <c r="D404" s="391" t="s">
        <v>6591</v>
      </c>
      <c r="E404" s="391"/>
      <c r="F404" s="351"/>
      <c r="G404" s="351"/>
    </row>
    <row r="405" ht="15.75" customHeight="1">
      <c r="A405" s="386"/>
      <c r="B405" s="387"/>
      <c r="C405" s="387" t="s">
        <v>6592</v>
      </c>
      <c r="D405" s="391" t="s">
        <v>6593</v>
      </c>
      <c r="E405" s="391"/>
      <c r="F405" s="351"/>
      <c r="G405" s="351"/>
    </row>
    <row r="406" ht="15.75" customHeight="1">
      <c r="A406" s="386"/>
      <c r="B406" s="387"/>
      <c r="C406" s="387" t="s">
        <v>6594</v>
      </c>
      <c r="D406" s="391" t="s">
        <v>6595</v>
      </c>
      <c r="E406" s="391"/>
      <c r="F406" s="351"/>
      <c r="G406" s="351"/>
    </row>
    <row r="407" ht="15.75" customHeight="1">
      <c r="A407" s="386"/>
      <c r="B407" s="387"/>
      <c r="C407" s="387" t="s">
        <v>6596</v>
      </c>
      <c r="D407" s="391" t="s">
        <v>6597</v>
      </c>
      <c r="E407" s="391" t="s">
        <v>6035</v>
      </c>
      <c r="F407" s="351"/>
      <c r="G407" s="351"/>
    </row>
    <row r="408" ht="15.75" customHeight="1">
      <c r="A408" s="386"/>
      <c r="B408" s="387"/>
      <c r="C408" s="387" t="s">
        <v>6598</v>
      </c>
      <c r="D408" s="391" t="s">
        <v>6599</v>
      </c>
      <c r="E408" s="391"/>
      <c r="F408" s="351"/>
      <c r="G408" s="351"/>
    </row>
    <row r="409" ht="15.75" customHeight="1">
      <c r="A409" s="386"/>
      <c r="B409" s="387"/>
      <c r="C409" s="387" t="s">
        <v>6600</v>
      </c>
      <c r="D409" s="391" t="s">
        <v>6601</v>
      </c>
      <c r="E409" s="391" t="s">
        <v>5913</v>
      </c>
      <c r="F409" s="351"/>
      <c r="G409" s="351"/>
    </row>
    <row r="410" ht="15.75" customHeight="1">
      <c r="A410" s="386"/>
      <c r="B410" s="387"/>
      <c r="C410" s="387" t="s">
        <v>6602</v>
      </c>
      <c r="D410" s="391" t="s">
        <v>6603</v>
      </c>
      <c r="E410" s="391"/>
      <c r="F410" s="351"/>
      <c r="G410" s="351"/>
    </row>
    <row r="411" ht="15.75" customHeight="1">
      <c r="A411" s="386"/>
      <c r="B411" s="387"/>
      <c r="C411" s="387" t="s">
        <v>6604</v>
      </c>
      <c r="D411" s="391" t="s">
        <v>6605</v>
      </c>
      <c r="E411" s="391"/>
      <c r="F411" s="351"/>
      <c r="G411" s="351"/>
    </row>
    <row r="412" ht="15.75" customHeight="1">
      <c r="A412" s="386"/>
      <c r="B412" s="386"/>
      <c r="C412" s="386" t="s">
        <v>6606</v>
      </c>
      <c r="D412" s="414" t="s">
        <v>6607</v>
      </c>
      <c r="E412" s="386"/>
      <c r="F412" s="351"/>
      <c r="G412" s="351"/>
    </row>
    <row r="413" ht="15.75" customHeight="1">
      <c r="A413" s="386"/>
      <c r="B413" s="387"/>
      <c r="C413" s="387" t="s">
        <v>6608</v>
      </c>
      <c r="D413" s="391" t="s">
        <v>6609</v>
      </c>
      <c r="E413" s="391"/>
      <c r="F413" s="351"/>
      <c r="G413" s="351"/>
    </row>
    <row r="414" ht="15.75" customHeight="1">
      <c r="A414" s="386"/>
      <c r="B414" s="387"/>
      <c r="C414" s="387" t="s">
        <v>6610</v>
      </c>
      <c r="D414" s="391" t="s">
        <v>6611</v>
      </c>
      <c r="E414" s="391"/>
      <c r="F414" s="351"/>
      <c r="G414" s="351"/>
    </row>
    <row r="415" ht="15.75" customHeight="1">
      <c r="A415" s="386"/>
      <c r="B415" s="387"/>
      <c r="C415" s="387" t="s">
        <v>6612</v>
      </c>
      <c r="D415" s="391" t="s">
        <v>6613</v>
      </c>
      <c r="E415" s="391" t="s">
        <v>6075</v>
      </c>
      <c r="F415" s="351"/>
      <c r="G415" s="351"/>
    </row>
    <row r="416" ht="15.75" customHeight="1">
      <c r="A416" s="386"/>
      <c r="B416" s="387"/>
      <c r="C416" s="387" t="s">
        <v>6614</v>
      </c>
      <c r="D416" s="391" t="s">
        <v>6615</v>
      </c>
      <c r="E416" s="391"/>
      <c r="F416" s="351"/>
      <c r="G416" s="351"/>
    </row>
    <row r="417" ht="15.75" customHeight="1">
      <c r="A417" s="386"/>
      <c r="B417" s="387"/>
      <c r="C417" s="387" t="s">
        <v>6616</v>
      </c>
      <c r="D417" s="391" t="s">
        <v>6616</v>
      </c>
      <c r="E417" s="391"/>
      <c r="F417" s="351"/>
      <c r="G417" s="351"/>
    </row>
    <row r="418" ht="15.75" customHeight="1">
      <c r="A418" s="386"/>
      <c r="B418" s="387"/>
      <c r="C418" s="387" t="s">
        <v>6617</v>
      </c>
      <c r="D418" s="391" t="s">
        <v>6618</v>
      </c>
      <c r="E418" s="391" t="s">
        <v>6035</v>
      </c>
      <c r="F418" s="351"/>
      <c r="G418" s="351"/>
    </row>
    <row r="419" ht="15.75" customHeight="1">
      <c r="A419" s="386"/>
      <c r="B419" s="387"/>
      <c r="C419" s="387" t="s">
        <v>6619</v>
      </c>
      <c r="D419" s="391" t="s">
        <v>6620</v>
      </c>
      <c r="E419" s="391"/>
      <c r="F419" s="351"/>
      <c r="G419" s="351"/>
    </row>
    <row r="420" ht="15.75" customHeight="1">
      <c r="A420" s="386"/>
      <c r="B420" s="387"/>
      <c r="C420" s="387" t="s">
        <v>6621</v>
      </c>
      <c r="D420" s="391" t="s">
        <v>6622</v>
      </c>
      <c r="E420" s="391"/>
      <c r="F420" s="351"/>
      <c r="G420" s="351"/>
    </row>
    <row r="421" ht="15.75" customHeight="1">
      <c r="A421" s="386"/>
      <c r="B421" s="387"/>
      <c r="C421" s="387" t="s">
        <v>6623</v>
      </c>
      <c r="D421" s="391" t="s">
        <v>6624</v>
      </c>
      <c r="E421" s="391" t="s">
        <v>5913</v>
      </c>
      <c r="F421" s="351"/>
      <c r="G421" s="351"/>
    </row>
    <row r="422" ht="15.75" customHeight="1">
      <c r="A422" s="386"/>
      <c r="B422" s="387"/>
      <c r="C422" s="387" t="s">
        <v>6625</v>
      </c>
      <c r="D422" s="391" t="s">
        <v>6626</v>
      </c>
      <c r="E422" s="391" t="s">
        <v>5913</v>
      </c>
      <c r="F422" s="351"/>
      <c r="G422" s="351"/>
    </row>
    <row r="423" ht="15.75" customHeight="1">
      <c r="A423" s="386"/>
      <c r="B423" s="387"/>
      <c r="C423" s="387" t="s">
        <v>6627</v>
      </c>
      <c r="D423" s="391" t="s">
        <v>6628</v>
      </c>
      <c r="E423" s="391"/>
      <c r="F423" s="351"/>
      <c r="G423" s="351"/>
    </row>
    <row r="424" ht="15.75" customHeight="1">
      <c r="A424" s="386"/>
      <c r="B424" s="387"/>
      <c r="C424" s="387" t="s">
        <v>6629</v>
      </c>
      <c r="D424" s="391" t="s">
        <v>6630</v>
      </c>
      <c r="E424" s="391" t="s">
        <v>5931</v>
      </c>
      <c r="F424" s="351"/>
      <c r="G424" s="351"/>
    </row>
    <row r="425" ht="15.75" customHeight="1">
      <c r="A425" s="386"/>
      <c r="B425" s="387"/>
      <c r="C425" s="387" t="s">
        <v>6631</v>
      </c>
      <c r="D425" s="391" t="s">
        <v>6632</v>
      </c>
      <c r="E425" s="391" t="s">
        <v>5913</v>
      </c>
      <c r="F425" s="351"/>
      <c r="G425" s="351"/>
    </row>
    <row r="426" ht="15.75" customHeight="1">
      <c r="A426" s="386"/>
      <c r="B426" s="387"/>
      <c r="C426" s="387" t="s">
        <v>6633</v>
      </c>
      <c r="D426" s="391" t="s">
        <v>6634</v>
      </c>
      <c r="E426" s="391"/>
      <c r="F426" s="351"/>
      <c r="G426" s="351"/>
    </row>
    <row r="427" ht="15.75" customHeight="1">
      <c r="A427" s="386"/>
      <c r="B427" s="387"/>
      <c r="C427" s="387" t="s">
        <v>6635</v>
      </c>
      <c r="D427" s="391" t="s">
        <v>6636</v>
      </c>
      <c r="E427" s="391"/>
      <c r="F427" s="351"/>
      <c r="G427" s="351"/>
    </row>
    <row r="428" ht="15.75" customHeight="1">
      <c r="A428" s="386"/>
      <c r="B428" s="387"/>
      <c r="C428" s="387" t="s">
        <v>6637</v>
      </c>
      <c r="D428" s="391" t="s">
        <v>6638</v>
      </c>
      <c r="E428" s="391"/>
      <c r="F428" s="351"/>
      <c r="G428" s="351"/>
    </row>
    <row r="429" ht="15.75" customHeight="1">
      <c r="A429" s="386"/>
      <c r="B429" s="387"/>
      <c r="C429" s="387" t="s">
        <v>6639</v>
      </c>
      <c r="D429" s="391" t="s">
        <v>6640</v>
      </c>
      <c r="E429" s="391"/>
      <c r="F429" s="351"/>
      <c r="G429" s="351"/>
    </row>
    <row r="430" ht="15.75" customHeight="1">
      <c r="A430" s="386"/>
      <c r="B430" s="387"/>
      <c r="C430" s="387" t="s">
        <v>6641</v>
      </c>
      <c r="D430" s="391" t="s">
        <v>6642</v>
      </c>
      <c r="E430" s="391" t="s">
        <v>5913</v>
      </c>
      <c r="F430" s="351"/>
      <c r="G430" s="351"/>
    </row>
    <row r="431" ht="15.75" customHeight="1">
      <c r="A431" s="386"/>
      <c r="B431" s="387"/>
      <c r="C431" s="387" t="s">
        <v>6643</v>
      </c>
      <c r="D431" s="391" t="s">
        <v>6644</v>
      </c>
      <c r="E431" s="391" t="s">
        <v>5913</v>
      </c>
      <c r="F431" s="351"/>
      <c r="G431" s="351"/>
    </row>
    <row r="432" ht="15.75" customHeight="1">
      <c r="A432" s="386"/>
      <c r="B432" s="387"/>
      <c r="C432" s="387" t="s">
        <v>6645</v>
      </c>
      <c r="D432" s="391" t="s">
        <v>6646</v>
      </c>
      <c r="E432" s="391" t="s">
        <v>5913</v>
      </c>
      <c r="F432" s="351"/>
      <c r="G432" s="351"/>
    </row>
    <row r="433" ht="15.75" customHeight="1">
      <c r="A433" s="386"/>
      <c r="B433" s="387"/>
      <c r="C433" s="387" t="s">
        <v>6647</v>
      </c>
      <c r="D433" s="391" t="s">
        <v>6648</v>
      </c>
      <c r="E433" s="391"/>
      <c r="F433" s="351"/>
      <c r="G433" s="351"/>
    </row>
    <row r="434" ht="15.75" customHeight="1">
      <c r="A434" s="386"/>
      <c r="B434" s="387"/>
      <c r="C434" s="387" t="s">
        <v>6649</v>
      </c>
      <c r="D434" s="391" t="s">
        <v>6650</v>
      </c>
      <c r="E434" s="391" t="s">
        <v>5931</v>
      </c>
      <c r="F434" s="351"/>
      <c r="G434" s="351"/>
    </row>
    <row r="435" ht="15.75" customHeight="1">
      <c r="A435" s="386"/>
      <c r="B435" s="387"/>
      <c r="C435" s="387" t="s">
        <v>6651</v>
      </c>
      <c r="D435" s="391" t="s">
        <v>6652</v>
      </c>
      <c r="E435" s="391"/>
      <c r="F435" s="351"/>
      <c r="G435" s="351"/>
    </row>
    <row r="436" ht="15.75" customHeight="1">
      <c r="A436" s="386"/>
      <c r="B436" s="387"/>
      <c r="C436" s="387" t="s">
        <v>6653</v>
      </c>
      <c r="D436" s="391" t="s">
        <v>6654</v>
      </c>
      <c r="E436" s="391" t="s">
        <v>6035</v>
      </c>
      <c r="F436" s="351"/>
      <c r="G436" s="351"/>
    </row>
    <row r="437" ht="15.75" customHeight="1">
      <c r="A437" s="386"/>
      <c r="B437" s="387"/>
      <c r="C437" s="387" t="s">
        <v>6655</v>
      </c>
      <c r="D437" s="391" t="s">
        <v>6656</v>
      </c>
      <c r="E437" s="392" t="s">
        <v>6191</v>
      </c>
      <c r="F437" s="351"/>
      <c r="G437" s="351"/>
    </row>
    <row r="438" ht="15.75" customHeight="1">
      <c r="A438" s="386"/>
      <c r="B438" s="387"/>
      <c r="C438" s="387" t="s">
        <v>6657</v>
      </c>
      <c r="D438" s="391" t="s">
        <v>6658</v>
      </c>
      <c r="E438" s="392"/>
      <c r="F438" s="351"/>
      <c r="G438" s="351"/>
    </row>
    <row r="439" ht="15.75" customHeight="1">
      <c r="A439" s="386"/>
      <c r="B439" s="387"/>
      <c r="C439" s="387" t="s">
        <v>6659</v>
      </c>
      <c r="D439" s="391" t="s">
        <v>6660</v>
      </c>
      <c r="E439" s="391"/>
      <c r="F439" s="351"/>
      <c r="G439" s="351"/>
    </row>
    <row r="440" ht="15.75" customHeight="1">
      <c r="A440" s="386"/>
      <c r="B440" s="387"/>
      <c r="C440" s="387" t="s">
        <v>6661</v>
      </c>
      <c r="D440" s="391" t="s">
        <v>6662</v>
      </c>
      <c r="E440" s="391" t="s">
        <v>6035</v>
      </c>
      <c r="F440" s="351"/>
      <c r="G440" s="351"/>
    </row>
    <row r="441" ht="15.75" customHeight="1">
      <c r="A441" s="386"/>
      <c r="B441" s="387"/>
      <c r="C441" s="387" t="s">
        <v>6663</v>
      </c>
      <c r="D441" s="391" t="s">
        <v>6664</v>
      </c>
      <c r="E441" s="391"/>
      <c r="F441" s="351"/>
      <c r="G441" s="351"/>
    </row>
    <row r="442" ht="15.75" customHeight="1">
      <c r="A442" s="386"/>
      <c r="B442" s="387"/>
      <c r="C442" s="387" t="s">
        <v>6665</v>
      </c>
      <c r="D442" s="391" t="s">
        <v>6666</v>
      </c>
      <c r="E442" s="391"/>
      <c r="F442" s="351"/>
      <c r="G442" s="351"/>
    </row>
    <row r="443" ht="15.75" customHeight="1">
      <c r="A443" s="386"/>
      <c r="B443" s="387"/>
      <c r="C443" s="387" t="s">
        <v>6667</v>
      </c>
      <c r="D443" s="391" t="s">
        <v>6668</v>
      </c>
      <c r="E443" s="391" t="s">
        <v>6075</v>
      </c>
      <c r="F443" s="351"/>
      <c r="G443" s="351"/>
    </row>
    <row r="444" ht="15.75" customHeight="1">
      <c r="A444" s="386"/>
      <c r="B444" s="387"/>
      <c r="C444" s="387" t="s">
        <v>6669</v>
      </c>
      <c r="D444" s="391" t="s">
        <v>6670</v>
      </c>
      <c r="E444" s="391"/>
      <c r="F444" s="351"/>
      <c r="G444" s="351"/>
    </row>
    <row r="445" ht="15.75" customHeight="1">
      <c r="A445" s="386"/>
      <c r="B445" s="383" t="s">
        <v>6021</v>
      </c>
      <c r="C445" s="383" t="s">
        <v>6021</v>
      </c>
      <c r="D445" s="385"/>
      <c r="E445" s="385"/>
      <c r="F445" s="351"/>
      <c r="G445" s="351"/>
    </row>
    <row r="446" ht="15.75" customHeight="1">
      <c r="A446" s="386"/>
      <c r="B446" s="387"/>
      <c r="C446" s="387" t="s">
        <v>6019</v>
      </c>
      <c r="D446" s="391" t="s">
        <v>6022</v>
      </c>
      <c r="E446" s="391" t="s">
        <v>5913</v>
      </c>
      <c r="F446" s="351"/>
      <c r="G446" s="351"/>
    </row>
    <row r="447" ht="15.75" customHeight="1">
      <c r="A447" s="386"/>
      <c r="B447" s="387"/>
      <c r="C447" s="387" t="s">
        <v>6023</v>
      </c>
      <c r="D447" s="391" t="s">
        <v>6024</v>
      </c>
      <c r="E447" s="391"/>
      <c r="F447" s="351"/>
      <c r="G447" s="351"/>
    </row>
    <row r="448" ht="15.75" customHeight="1">
      <c r="A448" s="386"/>
      <c r="B448" s="387"/>
      <c r="C448" s="387" t="s">
        <v>6025</v>
      </c>
      <c r="D448" s="391" t="s">
        <v>6026</v>
      </c>
      <c r="E448" s="391" t="s">
        <v>5913</v>
      </c>
      <c r="F448" s="351"/>
      <c r="G448" s="351"/>
    </row>
    <row r="449" ht="15.75" customHeight="1">
      <c r="A449" s="386"/>
      <c r="B449" s="400"/>
      <c r="C449" s="386" t="s">
        <v>6027</v>
      </c>
      <c r="D449" s="391" t="s">
        <v>6028</v>
      </c>
      <c r="E449" s="392" t="s">
        <v>367</v>
      </c>
      <c r="F449" s="351"/>
      <c r="G449" s="351"/>
    </row>
    <row r="450" ht="15.75" customHeight="1">
      <c r="A450" s="386"/>
      <c r="B450" s="387"/>
      <c r="C450" s="387" t="s">
        <v>6029</v>
      </c>
      <c r="D450" s="391" t="s">
        <v>6030</v>
      </c>
      <c r="E450" s="391" t="s">
        <v>5913</v>
      </c>
      <c r="F450" s="351"/>
      <c r="G450" s="351"/>
    </row>
    <row r="451" ht="15.75" customHeight="1">
      <c r="A451" s="386"/>
      <c r="B451" s="387"/>
      <c r="C451" s="387" t="s">
        <v>6031</v>
      </c>
      <c r="D451" s="391" t="s">
        <v>6032</v>
      </c>
      <c r="E451" s="391" t="s">
        <v>5913</v>
      </c>
      <c r="F451" s="351"/>
      <c r="G451" s="351"/>
    </row>
    <row r="452" ht="15.75" customHeight="1">
      <c r="A452" s="386"/>
      <c r="B452" s="387"/>
      <c r="C452" s="387" t="s">
        <v>6033</v>
      </c>
      <c r="D452" s="391" t="s">
        <v>6034</v>
      </c>
      <c r="E452" s="391" t="s">
        <v>6035</v>
      </c>
      <c r="F452" s="351"/>
      <c r="G452" s="351"/>
    </row>
    <row r="453" ht="15.75" customHeight="1">
      <c r="A453" s="386"/>
      <c r="B453" s="387"/>
      <c r="C453" s="387" t="s">
        <v>6036</v>
      </c>
      <c r="D453" s="391" t="s">
        <v>6037</v>
      </c>
      <c r="E453" s="391"/>
      <c r="F453" s="351"/>
      <c r="G453" s="351"/>
    </row>
    <row r="454" ht="15.75" customHeight="1">
      <c r="A454" s="386"/>
      <c r="B454" s="383" t="s">
        <v>6671</v>
      </c>
      <c r="C454" s="383" t="s">
        <v>6671</v>
      </c>
      <c r="D454" s="385"/>
      <c r="E454" s="385"/>
      <c r="F454" s="351"/>
      <c r="G454" s="351"/>
    </row>
    <row r="455" ht="15.75" customHeight="1">
      <c r="A455" s="386"/>
      <c r="B455" s="387"/>
      <c r="C455" s="387" t="s">
        <v>5133</v>
      </c>
      <c r="D455" s="391" t="s">
        <v>6672</v>
      </c>
      <c r="E455" s="391"/>
      <c r="F455" s="356"/>
      <c r="G455" s="356"/>
    </row>
    <row r="456" ht="15.75" customHeight="1">
      <c r="A456" s="386"/>
      <c r="B456" s="387"/>
      <c r="C456" s="387" t="s">
        <v>6673</v>
      </c>
      <c r="D456" s="391" t="s">
        <v>6674</v>
      </c>
      <c r="E456" s="391"/>
      <c r="F456" s="356"/>
      <c r="G456" s="356"/>
    </row>
    <row r="457" ht="15.75" customHeight="1">
      <c r="A457" s="393"/>
      <c r="B457" s="393"/>
      <c r="C457" s="393" t="s">
        <v>6675</v>
      </c>
      <c r="D457" s="394" t="s">
        <v>6676</v>
      </c>
      <c r="E457" s="394"/>
      <c r="F457" s="356"/>
      <c r="G457" s="356"/>
    </row>
    <row r="458" ht="15.75" customHeight="1">
      <c r="A458" s="349"/>
      <c r="B458" s="349"/>
      <c r="C458" s="349"/>
      <c r="D458" s="350"/>
      <c r="E458" s="350"/>
      <c r="F458" s="351"/>
      <c r="G458" s="351"/>
    </row>
    <row r="459" ht="15.75" customHeight="1">
      <c r="A459" s="353" t="s">
        <v>5903</v>
      </c>
      <c r="B459" s="353" t="s">
        <v>5904</v>
      </c>
      <c r="C459" s="353" t="s">
        <v>5905</v>
      </c>
      <c r="D459" s="354" t="s">
        <v>5906</v>
      </c>
      <c r="E459" s="355"/>
      <c r="F459" s="351"/>
      <c r="G459" s="351"/>
    </row>
    <row r="460" ht="15.75" customHeight="1">
      <c r="A460" s="381"/>
      <c r="B460" s="381"/>
      <c r="C460" s="381"/>
      <c r="D460" s="358" t="s">
        <v>5907</v>
      </c>
      <c r="E460" s="359" t="s">
        <v>5905</v>
      </c>
      <c r="F460" s="351"/>
      <c r="G460" s="351"/>
    </row>
    <row r="461" ht="15.75" customHeight="1">
      <c r="A461" s="382" t="s">
        <v>6677</v>
      </c>
      <c r="B461" s="383" t="s">
        <v>6678</v>
      </c>
      <c r="C461" s="383" t="s">
        <v>6679</v>
      </c>
      <c r="D461" s="385"/>
      <c r="E461" s="385"/>
      <c r="F461" s="351"/>
      <c r="G461" s="351"/>
    </row>
    <row r="462" ht="15.75" customHeight="1">
      <c r="A462" s="386"/>
      <c r="B462" s="387"/>
      <c r="C462" s="387" t="s">
        <v>6680</v>
      </c>
      <c r="D462" s="391" t="s">
        <v>6681</v>
      </c>
      <c r="E462" s="391" t="s">
        <v>6035</v>
      </c>
      <c r="F462" s="351"/>
      <c r="G462" s="351"/>
    </row>
    <row r="463" ht="15.75" customHeight="1">
      <c r="A463" s="386"/>
      <c r="B463" s="387"/>
      <c r="C463" s="387" t="s">
        <v>6682</v>
      </c>
      <c r="D463" s="391" t="s">
        <v>6683</v>
      </c>
      <c r="E463" s="391"/>
      <c r="F463" s="351"/>
      <c r="G463" s="351"/>
    </row>
    <row r="464" ht="15.75" customHeight="1">
      <c r="A464" s="386"/>
      <c r="B464" s="387"/>
      <c r="C464" s="387" t="s">
        <v>6684</v>
      </c>
      <c r="D464" s="391" t="s">
        <v>6685</v>
      </c>
      <c r="E464" s="391"/>
      <c r="F464" s="351"/>
      <c r="G464" s="351"/>
    </row>
    <row r="465" ht="15.75" customHeight="1">
      <c r="A465" s="386"/>
      <c r="B465" s="387"/>
      <c r="C465" s="387" t="s">
        <v>6686</v>
      </c>
      <c r="D465" s="391" t="s">
        <v>6687</v>
      </c>
      <c r="E465" s="391"/>
      <c r="F465" s="351"/>
      <c r="G465" s="351"/>
    </row>
    <row r="466" ht="15.75" customHeight="1">
      <c r="A466" s="386"/>
      <c r="B466" s="387"/>
      <c r="C466" s="387" t="s">
        <v>6688</v>
      </c>
      <c r="D466" s="391" t="s">
        <v>6689</v>
      </c>
      <c r="E466" s="391" t="s">
        <v>6075</v>
      </c>
      <c r="F466" s="351"/>
      <c r="G466" s="351"/>
    </row>
    <row r="467" ht="15.75" customHeight="1">
      <c r="A467" s="386"/>
      <c r="B467" s="387"/>
      <c r="C467" s="387" t="s">
        <v>6690</v>
      </c>
      <c r="D467" s="391" t="s">
        <v>6691</v>
      </c>
      <c r="E467" s="391" t="s">
        <v>6075</v>
      </c>
      <c r="F467" s="351"/>
      <c r="G467" s="351"/>
    </row>
    <row r="468" ht="15.75" customHeight="1">
      <c r="A468" s="386"/>
      <c r="B468" s="387"/>
      <c r="C468" s="387" t="s">
        <v>6692</v>
      </c>
      <c r="D468" s="391" t="s">
        <v>6693</v>
      </c>
      <c r="E468" s="391"/>
      <c r="F468" s="351"/>
      <c r="G468" s="351"/>
    </row>
    <row r="469" ht="15.75" customHeight="1">
      <c r="A469" s="386"/>
      <c r="B469" s="387"/>
      <c r="C469" s="387" t="s">
        <v>6694</v>
      </c>
      <c r="D469" s="391" t="s">
        <v>6695</v>
      </c>
      <c r="E469" s="391"/>
      <c r="F469" s="351"/>
      <c r="G469" s="351"/>
    </row>
    <row r="470" ht="15.75" customHeight="1">
      <c r="A470" s="386"/>
      <c r="B470" s="387"/>
      <c r="C470" s="387" t="s">
        <v>6696</v>
      </c>
      <c r="D470" s="391" t="s">
        <v>6697</v>
      </c>
      <c r="E470" s="391"/>
      <c r="F470" s="351"/>
      <c r="G470" s="351"/>
    </row>
    <row r="471" ht="15.75" customHeight="1">
      <c r="A471" s="386"/>
      <c r="B471" s="387"/>
      <c r="C471" s="387" t="s">
        <v>6698</v>
      </c>
      <c r="D471" s="391" t="s">
        <v>6699</v>
      </c>
      <c r="E471" s="391" t="s">
        <v>6075</v>
      </c>
      <c r="F471" s="351"/>
      <c r="G471" s="351"/>
    </row>
    <row r="472" ht="15.75" customHeight="1">
      <c r="A472" s="386"/>
      <c r="B472" s="387"/>
      <c r="C472" s="387" t="s">
        <v>6700</v>
      </c>
      <c r="D472" s="391" t="s">
        <v>6701</v>
      </c>
      <c r="E472" s="391" t="s">
        <v>6035</v>
      </c>
      <c r="F472" s="351"/>
      <c r="G472" s="351"/>
    </row>
    <row r="473" ht="15.75" customHeight="1">
      <c r="A473" s="386"/>
      <c r="B473" s="387"/>
      <c r="C473" s="387" t="s">
        <v>6702</v>
      </c>
      <c r="D473" s="391" t="s">
        <v>6703</v>
      </c>
      <c r="E473" s="391" t="s">
        <v>6075</v>
      </c>
      <c r="F473" s="351"/>
      <c r="G473" s="351"/>
    </row>
    <row r="474" ht="15.75" customHeight="1">
      <c r="A474" s="386"/>
      <c r="B474" s="387"/>
      <c r="C474" s="387" t="s">
        <v>6704</v>
      </c>
      <c r="D474" s="391" t="s">
        <v>6705</v>
      </c>
      <c r="E474" s="391" t="s">
        <v>5913</v>
      </c>
      <c r="F474" s="351"/>
      <c r="G474" s="351"/>
    </row>
    <row r="475" ht="15.75" customHeight="1">
      <c r="A475" s="386"/>
      <c r="B475" s="387"/>
      <c r="C475" s="387" t="s">
        <v>6706</v>
      </c>
      <c r="D475" s="391" t="s">
        <v>6707</v>
      </c>
      <c r="E475" s="391"/>
      <c r="F475" s="351"/>
      <c r="G475" s="351"/>
    </row>
    <row r="476" ht="15.75" customHeight="1">
      <c r="A476" s="386"/>
      <c r="B476" s="386"/>
      <c r="C476" s="386" t="s">
        <v>6708</v>
      </c>
      <c r="D476" s="414" t="s">
        <v>6709</v>
      </c>
      <c r="E476" s="414" t="s">
        <v>6035</v>
      </c>
      <c r="F476" s="351"/>
      <c r="G476" s="351"/>
    </row>
    <row r="477" ht="15.75" customHeight="1">
      <c r="A477" s="386"/>
      <c r="B477" s="387"/>
      <c r="C477" s="387" t="s">
        <v>6710</v>
      </c>
      <c r="D477" s="391" t="s">
        <v>6711</v>
      </c>
      <c r="E477" s="392" t="s">
        <v>6712</v>
      </c>
      <c r="F477" s="351"/>
      <c r="G477" s="351"/>
    </row>
    <row r="478" ht="15.75" customHeight="1">
      <c r="A478" s="386"/>
      <c r="B478" s="387"/>
      <c r="C478" s="387" t="s">
        <v>6713</v>
      </c>
      <c r="D478" s="391" t="s">
        <v>6714</v>
      </c>
      <c r="E478" s="391" t="s">
        <v>6075</v>
      </c>
      <c r="F478" s="351"/>
      <c r="G478" s="351"/>
    </row>
    <row r="479" ht="15.75" customHeight="1">
      <c r="A479" s="386"/>
      <c r="B479" s="387"/>
      <c r="C479" s="387" t="s">
        <v>6715</v>
      </c>
      <c r="D479" s="391" t="s">
        <v>6716</v>
      </c>
      <c r="E479" s="391" t="s">
        <v>6075</v>
      </c>
      <c r="F479" s="351"/>
      <c r="G479" s="351"/>
    </row>
    <row r="480" ht="15.75" customHeight="1">
      <c r="A480" s="386"/>
      <c r="B480" s="387"/>
      <c r="C480" s="387" t="s">
        <v>6717</v>
      </c>
      <c r="D480" s="391" t="s">
        <v>6718</v>
      </c>
      <c r="E480" s="391"/>
      <c r="F480" s="351"/>
      <c r="G480" s="351"/>
    </row>
    <row r="481" ht="15.75" customHeight="1">
      <c r="A481" s="386"/>
      <c r="B481" s="387"/>
      <c r="C481" s="387" t="s">
        <v>6719</v>
      </c>
      <c r="D481" s="391" t="s">
        <v>6720</v>
      </c>
      <c r="E481" s="391"/>
      <c r="F481" s="351"/>
      <c r="G481" s="351"/>
    </row>
    <row r="482" ht="15.75" customHeight="1">
      <c r="A482" s="386"/>
      <c r="B482" s="387"/>
      <c r="C482" s="387" t="s">
        <v>6721</v>
      </c>
      <c r="D482" s="391" t="s">
        <v>6721</v>
      </c>
      <c r="E482" s="391" t="s">
        <v>6035</v>
      </c>
      <c r="F482" s="351"/>
      <c r="G482" s="351"/>
    </row>
    <row r="483" ht="15.75" customHeight="1">
      <c r="A483" s="386"/>
      <c r="B483" s="387"/>
      <c r="C483" s="387" t="s">
        <v>6722</v>
      </c>
      <c r="D483" s="391" t="s">
        <v>6723</v>
      </c>
      <c r="E483" s="391"/>
      <c r="F483" s="351"/>
      <c r="G483" s="351"/>
    </row>
    <row r="484" ht="15.75" customHeight="1">
      <c r="A484" s="386"/>
      <c r="B484" s="387"/>
      <c r="C484" s="383" t="s">
        <v>6724</v>
      </c>
      <c r="D484" s="385"/>
      <c r="E484" s="385"/>
      <c r="F484" s="351"/>
      <c r="G484" s="351"/>
    </row>
    <row r="485" ht="15.75" customHeight="1">
      <c r="A485" s="386"/>
      <c r="B485" s="387"/>
      <c r="C485" s="387" t="s">
        <v>6725</v>
      </c>
      <c r="D485" s="391" t="s">
        <v>6726</v>
      </c>
      <c r="E485" s="391"/>
      <c r="F485" s="351"/>
      <c r="G485" s="351"/>
    </row>
    <row r="486" ht="15.75" customHeight="1">
      <c r="A486" s="386"/>
      <c r="B486" s="387"/>
      <c r="C486" s="387" t="s">
        <v>6727</v>
      </c>
      <c r="D486" s="391" t="s">
        <v>6728</v>
      </c>
      <c r="E486" s="391"/>
      <c r="F486" s="351"/>
      <c r="G486" s="351"/>
    </row>
    <row r="487" ht="15.75" customHeight="1">
      <c r="A487" s="386"/>
      <c r="B487" s="387"/>
      <c r="C487" s="387" t="s">
        <v>6729</v>
      </c>
      <c r="D487" s="391" t="s">
        <v>6730</v>
      </c>
      <c r="E487" s="391"/>
      <c r="F487" s="351"/>
      <c r="G487" s="351"/>
    </row>
    <row r="488" ht="15.75" customHeight="1">
      <c r="A488" s="386"/>
      <c r="B488" s="387"/>
      <c r="C488" s="383" t="s">
        <v>6731</v>
      </c>
      <c r="D488" s="385"/>
      <c r="E488" s="385"/>
      <c r="F488" s="351"/>
      <c r="G488" s="351"/>
    </row>
    <row r="489" ht="15.75" customHeight="1">
      <c r="A489" s="386"/>
      <c r="B489" s="387"/>
      <c r="C489" s="387" t="s">
        <v>6732</v>
      </c>
      <c r="D489" s="391" t="s">
        <v>6733</v>
      </c>
      <c r="E489" s="391"/>
      <c r="F489" s="351"/>
      <c r="G489" s="351"/>
    </row>
    <row r="490" ht="15.75" customHeight="1">
      <c r="A490" s="386"/>
      <c r="B490" s="387"/>
      <c r="C490" s="387" t="s">
        <v>6734</v>
      </c>
      <c r="D490" s="391" t="s">
        <v>6735</v>
      </c>
      <c r="E490" s="391"/>
      <c r="F490" s="351"/>
      <c r="G490" s="351"/>
    </row>
    <row r="491" ht="15.75" customHeight="1">
      <c r="A491" s="386"/>
      <c r="B491" s="383" t="s">
        <v>6736</v>
      </c>
      <c r="C491" s="383" t="s">
        <v>6736</v>
      </c>
      <c r="D491" s="385"/>
      <c r="E491" s="385"/>
      <c r="F491" s="351"/>
      <c r="G491" s="351"/>
    </row>
    <row r="492" ht="15.75" customHeight="1">
      <c r="A492" s="386"/>
      <c r="B492" s="387"/>
      <c r="C492" s="387" t="s">
        <v>6737</v>
      </c>
      <c r="D492" s="391" t="s">
        <v>6738</v>
      </c>
      <c r="E492" s="391"/>
      <c r="F492" s="351"/>
      <c r="G492" s="351"/>
    </row>
    <row r="493" ht="15.75" customHeight="1">
      <c r="A493" s="386"/>
      <c r="B493" s="387"/>
      <c r="C493" s="387" t="s">
        <v>6739</v>
      </c>
      <c r="D493" s="391" t="s">
        <v>6740</v>
      </c>
      <c r="E493" s="391"/>
      <c r="F493" s="351"/>
      <c r="G493" s="351"/>
    </row>
    <row r="494" ht="15.75" customHeight="1">
      <c r="A494" s="386"/>
      <c r="B494" s="387"/>
      <c r="C494" s="387" t="s">
        <v>6741</v>
      </c>
      <c r="D494" s="391" t="s">
        <v>6742</v>
      </c>
      <c r="E494" s="391"/>
      <c r="F494" s="351"/>
      <c r="G494" s="351"/>
    </row>
    <row r="495" ht="15.75" customHeight="1">
      <c r="A495" s="386"/>
      <c r="B495" s="383" t="s">
        <v>6743</v>
      </c>
      <c r="C495" s="383" t="s">
        <v>6744</v>
      </c>
      <c r="D495" s="385"/>
      <c r="E495" s="385"/>
      <c r="F495" s="351"/>
      <c r="G495" s="351"/>
    </row>
    <row r="496" ht="15.75" customHeight="1">
      <c r="A496" s="386"/>
      <c r="B496" s="387"/>
      <c r="C496" s="387" t="s">
        <v>6745</v>
      </c>
      <c r="D496" s="391" t="s">
        <v>6746</v>
      </c>
      <c r="E496" s="391"/>
      <c r="F496" s="351"/>
      <c r="G496" s="351"/>
    </row>
    <row r="497" ht="15.75" customHeight="1">
      <c r="A497" s="386"/>
      <c r="B497" s="387"/>
      <c r="C497" s="388" t="s">
        <v>6747</v>
      </c>
      <c r="D497" s="389" t="s">
        <v>6748</v>
      </c>
      <c r="E497" s="389"/>
      <c r="F497" s="351"/>
      <c r="G497" s="351"/>
    </row>
    <row r="498" ht="15.75" customHeight="1">
      <c r="A498" s="386"/>
      <c r="B498" s="387"/>
      <c r="C498" s="388" t="s">
        <v>6749</v>
      </c>
      <c r="D498" s="389" t="s">
        <v>6750</v>
      </c>
      <c r="E498" s="389"/>
      <c r="F498" s="351"/>
      <c r="G498" s="351"/>
    </row>
    <row r="499" ht="15.75" customHeight="1">
      <c r="A499" s="386"/>
      <c r="B499" s="387"/>
      <c r="C499" s="387" t="s">
        <v>6751</v>
      </c>
      <c r="D499" s="391" t="s">
        <v>6752</v>
      </c>
      <c r="E499" s="392" t="s">
        <v>5998</v>
      </c>
      <c r="F499" s="351"/>
      <c r="G499" s="351"/>
    </row>
    <row r="500" ht="15.75" customHeight="1">
      <c r="A500" s="386"/>
      <c r="B500" s="386"/>
      <c r="C500" s="386" t="s">
        <v>6753</v>
      </c>
      <c r="D500" s="414" t="s">
        <v>6753</v>
      </c>
      <c r="E500" s="424" t="s">
        <v>5998</v>
      </c>
      <c r="F500" s="351"/>
      <c r="G500" s="351"/>
    </row>
    <row r="501" ht="15.75" customHeight="1">
      <c r="A501" s="386"/>
      <c r="B501" s="387"/>
      <c r="C501" s="383" t="s">
        <v>6743</v>
      </c>
      <c r="D501" s="385"/>
      <c r="E501" s="385"/>
      <c r="F501" s="351"/>
      <c r="G501" s="351"/>
    </row>
    <row r="502" ht="15.75" customHeight="1">
      <c r="A502" s="386"/>
      <c r="B502" s="387"/>
      <c r="C502" s="387" t="s">
        <v>5078</v>
      </c>
      <c r="D502" s="391" t="s">
        <v>6754</v>
      </c>
      <c r="E502" s="391" t="s">
        <v>5913</v>
      </c>
      <c r="F502" s="351"/>
      <c r="G502" s="351"/>
    </row>
    <row r="503" ht="15.75" customHeight="1">
      <c r="A503" s="386"/>
      <c r="B503" s="387"/>
      <c r="C503" s="387" t="s">
        <v>6755</v>
      </c>
      <c r="D503" s="391" t="s">
        <v>6756</v>
      </c>
      <c r="E503" s="391" t="s">
        <v>5913</v>
      </c>
      <c r="F503" s="351"/>
      <c r="G503" s="351"/>
    </row>
    <row r="504" ht="15.75" customHeight="1">
      <c r="A504" s="386"/>
      <c r="B504" s="387"/>
      <c r="C504" s="388" t="s">
        <v>6757</v>
      </c>
      <c r="D504" s="389" t="s">
        <v>6758</v>
      </c>
      <c r="E504" s="389" t="s">
        <v>5913</v>
      </c>
      <c r="F504" s="351"/>
      <c r="G504" s="351"/>
    </row>
    <row r="505" ht="15.75" customHeight="1">
      <c r="A505" s="386"/>
      <c r="B505" s="387"/>
      <c r="C505" s="387" t="s">
        <v>6759</v>
      </c>
      <c r="D505" s="391" t="s">
        <v>6760</v>
      </c>
      <c r="E505" s="391" t="s">
        <v>5913</v>
      </c>
      <c r="F505" s="351"/>
      <c r="G505" s="351"/>
    </row>
    <row r="506" ht="15.75" customHeight="1">
      <c r="A506" s="386"/>
      <c r="B506" s="387"/>
      <c r="C506" s="387" t="s">
        <v>6761</v>
      </c>
      <c r="D506" s="391" t="s">
        <v>6762</v>
      </c>
      <c r="E506" s="392" t="s">
        <v>6712</v>
      </c>
      <c r="F506" s="351"/>
      <c r="G506" s="351"/>
    </row>
    <row r="507" ht="15.75" customHeight="1">
      <c r="A507" s="386"/>
      <c r="B507" s="387"/>
      <c r="C507" s="387" t="s">
        <v>6763</v>
      </c>
      <c r="D507" s="391" t="s">
        <v>6764</v>
      </c>
      <c r="E507" s="392" t="s">
        <v>6712</v>
      </c>
      <c r="F507" s="351"/>
      <c r="G507" s="351"/>
    </row>
    <row r="508" ht="15.75" customHeight="1">
      <c r="A508" s="386"/>
      <c r="B508" s="387"/>
      <c r="C508" s="387" t="s">
        <v>6765</v>
      </c>
      <c r="D508" s="391" t="s">
        <v>6766</v>
      </c>
      <c r="E508" s="392" t="s">
        <v>6712</v>
      </c>
      <c r="F508" s="351"/>
      <c r="G508" s="351"/>
    </row>
    <row r="509" ht="15.75" customHeight="1">
      <c r="A509" s="386"/>
      <c r="B509" s="383" t="s">
        <v>6767</v>
      </c>
      <c r="C509" s="383" t="s">
        <v>6768</v>
      </c>
      <c r="D509" s="385"/>
      <c r="E509" s="385"/>
      <c r="F509" s="351"/>
      <c r="G509" s="351"/>
    </row>
    <row r="510" ht="15.75" customHeight="1">
      <c r="A510" s="386"/>
      <c r="B510" s="387"/>
      <c r="C510" s="387" t="s">
        <v>6769</v>
      </c>
      <c r="D510" s="391" t="s">
        <v>6770</v>
      </c>
      <c r="E510" s="391"/>
      <c r="F510" s="351"/>
      <c r="G510" s="351"/>
    </row>
    <row r="511" ht="15.75" customHeight="1">
      <c r="A511" s="407"/>
      <c r="B511" s="425"/>
      <c r="C511" s="408" t="s">
        <v>6771</v>
      </c>
      <c r="D511" s="418" t="s">
        <v>6772</v>
      </c>
      <c r="E511" s="418" t="s">
        <v>5913</v>
      </c>
      <c r="F511" s="351"/>
      <c r="G511" s="351"/>
    </row>
    <row r="512" ht="15.75" customHeight="1">
      <c r="A512" s="407"/>
      <c r="B512" s="425"/>
      <c r="C512" s="408" t="s">
        <v>6773</v>
      </c>
      <c r="D512" s="405" t="s">
        <v>6774</v>
      </c>
      <c r="E512" s="405" t="s">
        <v>5913</v>
      </c>
      <c r="F512" s="351"/>
      <c r="G512" s="351"/>
    </row>
    <row r="513" ht="15.75" customHeight="1">
      <c r="A513" s="386"/>
      <c r="B513" s="387"/>
      <c r="C513" s="387" t="s">
        <v>6775</v>
      </c>
      <c r="D513" s="391" t="s">
        <v>6776</v>
      </c>
      <c r="E513" s="391" t="s">
        <v>5913</v>
      </c>
      <c r="F513" s="356"/>
      <c r="G513" s="356"/>
    </row>
    <row r="514" ht="15.75" customHeight="1">
      <c r="A514" s="386"/>
      <c r="B514" s="387"/>
      <c r="C514" s="383" t="s">
        <v>6777</v>
      </c>
      <c r="D514" s="385"/>
      <c r="E514" s="385"/>
      <c r="F514" s="351"/>
      <c r="G514" s="351"/>
    </row>
    <row r="515" ht="15.75" customHeight="1">
      <c r="A515" s="407"/>
      <c r="B515" s="425"/>
      <c r="C515" s="408" t="s">
        <v>6778</v>
      </c>
      <c r="D515" s="418" t="s">
        <v>6779</v>
      </c>
      <c r="E515" s="418" t="s">
        <v>5913</v>
      </c>
      <c r="F515" s="351"/>
      <c r="G515" s="351"/>
    </row>
    <row r="516" ht="15.75" customHeight="1">
      <c r="A516" s="386"/>
      <c r="B516" s="387"/>
      <c r="C516" s="383" t="s">
        <v>6780</v>
      </c>
      <c r="D516" s="385"/>
      <c r="E516" s="385"/>
      <c r="F516" s="351"/>
      <c r="G516" s="351"/>
    </row>
    <row r="517" ht="15.75" customHeight="1">
      <c r="A517" s="386"/>
      <c r="B517" s="387"/>
      <c r="C517" s="387" t="s">
        <v>6781</v>
      </c>
      <c r="D517" s="391" t="s">
        <v>6782</v>
      </c>
      <c r="E517" s="391"/>
      <c r="F517" s="351"/>
      <c r="G517" s="351"/>
    </row>
    <row r="518" ht="15.75" customHeight="1">
      <c r="A518" s="393"/>
      <c r="B518" s="393"/>
      <c r="C518" s="393" t="s">
        <v>6783</v>
      </c>
      <c r="D518" s="394" t="s">
        <v>6784</v>
      </c>
      <c r="E518" s="394" t="s">
        <v>5913</v>
      </c>
      <c r="F518" s="351"/>
      <c r="G518" s="351"/>
    </row>
    <row r="519" ht="15.75" customHeight="1">
      <c r="A519" s="349"/>
      <c r="B519" s="349"/>
      <c r="C519" s="349"/>
      <c r="D519" s="350"/>
      <c r="E519" s="350"/>
      <c r="F519" s="351"/>
      <c r="G519" s="351"/>
    </row>
    <row r="520" ht="15.75" customHeight="1">
      <c r="A520" s="353" t="s">
        <v>5903</v>
      </c>
      <c r="B520" s="353" t="s">
        <v>5904</v>
      </c>
      <c r="C520" s="353" t="s">
        <v>5905</v>
      </c>
      <c r="D520" s="354" t="s">
        <v>5906</v>
      </c>
      <c r="E520" s="355"/>
      <c r="F520" s="351"/>
      <c r="G520" s="351"/>
    </row>
    <row r="521" ht="15.75" customHeight="1">
      <c r="A521" s="381"/>
      <c r="B521" s="381"/>
      <c r="C521" s="381"/>
      <c r="D521" s="358" t="s">
        <v>5907</v>
      </c>
      <c r="E521" s="359" t="s">
        <v>5905</v>
      </c>
      <c r="F521" s="351"/>
      <c r="G521" s="351"/>
    </row>
    <row r="522" ht="15.75" customHeight="1">
      <c r="A522" s="382" t="s">
        <v>6677</v>
      </c>
      <c r="B522" s="383" t="s">
        <v>6785</v>
      </c>
      <c r="C522" s="383" t="s">
        <v>6785</v>
      </c>
      <c r="D522" s="385"/>
      <c r="E522" s="385"/>
      <c r="F522" s="351"/>
      <c r="G522" s="351"/>
    </row>
    <row r="523" ht="15.75" customHeight="1">
      <c r="A523" s="386"/>
      <c r="B523" s="387"/>
      <c r="C523" s="387" t="s">
        <v>6786</v>
      </c>
      <c r="D523" s="391" t="s">
        <v>6787</v>
      </c>
      <c r="E523" s="391" t="s">
        <v>5913</v>
      </c>
      <c r="F523" s="351"/>
      <c r="G523" s="351"/>
    </row>
    <row r="524" ht="15.75" customHeight="1">
      <c r="A524" s="386"/>
      <c r="B524" s="387"/>
      <c r="C524" s="387" t="s">
        <v>6788</v>
      </c>
      <c r="D524" s="391" t="s">
        <v>6789</v>
      </c>
      <c r="E524" s="391"/>
      <c r="F524" s="351"/>
      <c r="G524" s="351"/>
    </row>
    <row r="525" ht="15.75" customHeight="1">
      <c r="A525" s="386"/>
      <c r="B525" s="387"/>
      <c r="C525" s="387" t="s">
        <v>6790</v>
      </c>
      <c r="D525" s="391" t="s">
        <v>6791</v>
      </c>
      <c r="E525" s="391"/>
      <c r="F525" s="351"/>
      <c r="G525" s="351"/>
    </row>
    <row r="526" ht="15.75" customHeight="1">
      <c r="A526" s="386"/>
      <c r="B526" s="387"/>
      <c r="C526" s="387" t="s">
        <v>6792</v>
      </c>
      <c r="D526" s="391" t="s">
        <v>6793</v>
      </c>
      <c r="E526" s="391"/>
      <c r="F526" s="351"/>
      <c r="G526" s="351"/>
    </row>
    <row r="527" ht="15.75" customHeight="1">
      <c r="A527" s="386"/>
      <c r="B527" s="387"/>
      <c r="C527" s="387" t="s">
        <v>6794</v>
      </c>
      <c r="D527" s="391" t="s">
        <v>6795</v>
      </c>
      <c r="E527" s="391" t="s">
        <v>5913</v>
      </c>
      <c r="F527" s="351"/>
      <c r="G527" s="351"/>
    </row>
    <row r="528" ht="15.75" customHeight="1">
      <c r="A528" s="386"/>
      <c r="B528" s="387"/>
      <c r="C528" s="387" t="s">
        <v>6796</v>
      </c>
      <c r="D528" s="391" t="s">
        <v>6797</v>
      </c>
      <c r="E528" s="391" t="s">
        <v>6075</v>
      </c>
      <c r="F528" s="351"/>
      <c r="G528" s="351"/>
    </row>
    <row r="529" ht="15.75" customHeight="1">
      <c r="A529" s="386"/>
      <c r="B529" s="387"/>
      <c r="C529" s="387" t="s">
        <v>6798</v>
      </c>
      <c r="D529" s="391" t="s">
        <v>6799</v>
      </c>
      <c r="E529" s="391" t="s">
        <v>5913</v>
      </c>
      <c r="F529" s="351"/>
      <c r="G529" s="351"/>
    </row>
    <row r="530" ht="15.75" customHeight="1">
      <c r="A530" s="386"/>
      <c r="B530" s="387"/>
      <c r="C530" s="387" t="s">
        <v>6800</v>
      </c>
      <c r="D530" s="391" t="s">
        <v>6801</v>
      </c>
      <c r="E530" s="391"/>
      <c r="F530" s="351"/>
      <c r="G530" s="351"/>
    </row>
    <row r="531" ht="15.75" customHeight="1">
      <c r="A531" s="386"/>
      <c r="B531" s="387"/>
      <c r="C531" s="387" t="s">
        <v>6802</v>
      </c>
      <c r="D531" s="391" t="s">
        <v>6803</v>
      </c>
      <c r="E531" s="391" t="s">
        <v>6035</v>
      </c>
      <c r="F531" s="351"/>
      <c r="G531" s="351"/>
    </row>
    <row r="532" ht="15.75" customHeight="1">
      <c r="A532" s="386"/>
      <c r="B532" s="387"/>
      <c r="C532" s="388" t="s">
        <v>6804</v>
      </c>
      <c r="D532" s="389" t="s">
        <v>6805</v>
      </c>
      <c r="E532" s="389"/>
      <c r="F532" s="351"/>
      <c r="G532" s="351"/>
    </row>
    <row r="533" ht="15.75" customHeight="1">
      <c r="A533" s="386"/>
      <c r="B533" s="387"/>
      <c r="C533" s="387" t="s">
        <v>6806</v>
      </c>
      <c r="D533" s="391" t="s">
        <v>6807</v>
      </c>
      <c r="E533" s="391" t="s">
        <v>5913</v>
      </c>
      <c r="F533" s="351"/>
      <c r="G533" s="351"/>
    </row>
    <row r="534" ht="15.75" customHeight="1">
      <c r="A534" s="386"/>
      <c r="B534" s="388"/>
      <c r="C534" s="388" t="s">
        <v>6808</v>
      </c>
      <c r="D534" s="389" t="s">
        <v>6809</v>
      </c>
      <c r="E534" s="389" t="s">
        <v>5913</v>
      </c>
      <c r="F534" s="351"/>
      <c r="G534" s="351"/>
    </row>
    <row r="535" ht="15.75" customHeight="1">
      <c r="A535" s="386"/>
      <c r="B535" s="387"/>
      <c r="C535" s="384" t="s">
        <v>6810</v>
      </c>
      <c r="D535" s="404"/>
      <c r="E535" s="404"/>
      <c r="F535" s="351"/>
      <c r="G535" s="351"/>
    </row>
    <row r="536" ht="15.75" customHeight="1">
      <c r="A536" s="386"/>
      <c r="B536" s="387"/>
      <c r="C536" s="388" t="s">
        <v>6811</v>
      </c>
      <c r="D536" s="389" t="s">
        <v>6812</v>
      </c>
      <c r="E536" s="389" t="s">
        <v>5913</v>
      </c>
      <c r="F536" s="351"/>
      <c r="G536" s="351"/>
    </row>
    <row r="537" ht="15.75" customHeight="1">
      <c r="A537" s="386"/>
      <c r="B537" s="387"/>
      <c r="C537" s="388" t="s">
        <v>6813</v>
      </c>
      <c r="D537" s="389" t="s">
        <v>6814</v>
      </c>
      <c r="E537" s="389" t="s">
        <v>5913</v>
      </c>
      <c r="F537" s="351"/>
      <c r="G537" s="351"/>
    </row>
    <row r="538" ht="15.75" customHeight="1">
      <c r="A538" s="386"/>
      <c r="B538" s="383" t="s">
        <v>6815</v>
      </c>
      <c r="C538" s="383" t="s">
        <v>6815</v>
      </c>
      <c r="D538" s="385"/>
      <c r="E538" s="385"/>
      <c r="F538" s="351"/>
      <c r="G538" s="351"/>
    </row>
    <row r="539" ht="15.75" customHeight="1">
      <c r="A539" s="386"/>
      <c r="B539" s="387"/>
      <c r="C539" s="387" t="s">
        <v>6816</v>
      </c>
      <c r="D539" s="391" t="s">
        <v>6817</v>
      </c>
      <c r="E539" s="391" t="s">
        <v>6075</v>
      </c>
      <c r="F539" s="351"/>
      <c r="G539" s="351"/>
    </row>
    <row r="540" ht="15.75" customHeight="1">
      <c r="A540" s="386"/>
      <c r="B540" s="387"/>
      <c r="C540" s="387" t="s">
        <v>6818</v>
      </c>
      <c r="D540" s="391" t="s">
        <v>6819</v>
      </c>
      <c r="E540" s="391"/>
      <c r="F540" s="351"/>
      <c r="G540" s="351"/>
    </row>
    <row r="541" ht="15.75" customHeight="1">
      <c r="A541" s="386"/>
      <c r="B541" s="387"/>
      <c r="C541" s="388" t="s">
        <v>6820</v>
      </c>
      <c r="D541" s="389" t="s">
        <v>6821</v>
      </c>
      <c r="E541" s="389" t="s">
        <v>5913</v>
      </c>
      <c r="F541" s="351"/>
      <c r="G541" s="351"/>
    </row>
    <row r="542" ht="15.75" customHeight="1">
      <c r="A542" s="386"/>
      <c r="B542" s="383" t="s">
        <v>6822</v>
      </c>
      <c r="C542" s="383" t="s">
        <v>6822</v>
      </c>
      <c r="D542" s="385"/>
      <c r="E542" s="385"/>
      <c r="F542" s="356"/>
      <c r="G542" s="349"/>
    </row>
    <row r="543" ht="15.75" customHeight="1">
      <c r="A543" s="386"/>
      <c r="B543" s="386"/>
      <c r="C543" s="386" t="s">
        <v>6823</v>
      </c>
      <c r="D543" s="414" t="s">
        <v>6824</v>
      </c>
      <c r="E543" s="386" t="s">
        <v>5931</v>
      </c>
      <c r="F543" s="356"/>
      <c r="G543" s="349"/>
    </row>
    <row r="544" ht="15.75" customHeight="1">
      <c r="A544" s="386"/>
      <c r="B544" s="386"/>
      <c r="C544" s="386" t="s">
        <v>6825</v>
      </c>
      <c r="D544" s="414" t="s">
        <v>6826</v>
      </c>
      <c r="E544" s="386" t="s">
        <v>5931</v>
      </c>
      <c r="F544" s="356"/>
      <c r="G544" s="351"/>
    </row>
    <row r="545" ht="15.75" customHeight="1">
      <c r="A545" s="393"/>
      <c r="B545" s="397"/>
      <c r="C545" s="397" t="s">
        <v>6827</v>
      </c>
      <c r="D545" s="398" t="s">
        <v>6828</v>
      </c>
      <c r="E545" s="398" t="s">
        <v>5931</v>
      </c>
      <c r="F545" s="356"/>
      <c r="G545" s="356"/>
    </row>
    <row r="546" ht="15.75" customHeight="1">
      <c r="A546" s="349"/>
      <c r="B546" s="349"/>
      <c r="C546" s="349"/>
      <c r="D546" s="350"/>
      <c r="E546" s="350"/>
      <c r="F546" s="356"/>
      <c r="G546" s="356"/>
    </row>
    <row r="547" ht="15.75" customHeight="1">
      <c r="A547" s="353" t="s">
        <v>5903</v>
      </c>
      <c r="B547" s="353" t="s">
        <v>5904</v>
      </c>
      <c r="C547" s="353" t="s">
        <v>5905</v>
      </c>
      <c r="D547" s="354" t="s">
        <v>5906</v>
      </c>
      <c r="E547" s="355"/>
      <c r="F547" s="356"/>
      <c r="G547" s="356"/>
    </row>
    <row r="548" ht="15.75" customHeight="1">
      <c r="A548" s="381"/>
      <c r="B548" s="381"/>
      <c r="C548" s="381"/>
      <c r="D548" s="358" t="s">
        <v>5907</v>
      </c>
      <c r="E548" s="359" t="s">
        <v>5905</v>
      </c>
      <c r="F548" s="356"/>
      <c r="G548" s="356"/>
    </row>
    <row r="549" ht="15.75" customHeight="1">
      <c r="A549" s="382" t="s">
        <v>6829</v>
      </c>
      <c r="B549" s="383" t="s">
        <v>6829</v>
      </c>
      <c r="C549" s="383" t="s">
        <v>6829</v>
      </c>
      <c r="D549" s="385"/>
      <c r="E549" s="385"/>
      <c r="F549" s="356"/>
      <c r="G549" s="356"/>
    </row>
    <row r="550" ht="15.75" customHeight="1">
      <c r="A550" s="386"/>
      <c r="B550" s="387"/>
      <c r="C550" s="388" t="s">
        <v>6830</v>
      </c>
      <c r="D550" s="389" t="s">
        <v>6831</v>
      </c>
      <c r="E550" s="389"/>
      <c r="F550" s="351"/>
      <c r="G550" s="351"/>
    </row>
    <row r="551" ht="15.75" customHeight="1">
      <c r="A551" s="386"/>
      <c r="B551" s="387"/>
      <c r="C551" s="388" t="s">
        <v>6832</v>
      </c>
      <c r="D551" s="389" t="s">
        <v>6833</v>
      </c>
      <c r="E551" s="389"/>
      <c r="F551" s="351"/>
      <c r="G551" s="351"/>
    </row>
    <row r="552" ht="15.75" customHeight="1">
      <c r="A552" s="386"/>
      <c r="B552" s="387"/>
      <c r="C552" s="388" t="s">
        <v>6834</v>
      </c>
      <c r="D552" s="389" t="s">
        <v>6835</v>
      </c>
      <c r="E552" s="389"/>
      <c r="F552" s="351"/>
      <c r="G552" s="351"/>
    </row>
    <row r="553" ht="15.75" customHeight="1">
      <c r="A553" s="386"/>
      <c r="B553" s="387"/>
      <c r="C553" s="387" t="s">
        <v>6836</v>
      </c>
      <c r="D553" s="391" t="s">
        <v>6837</v>
      </c>
      <c r="E553" s="391"/>
      <c r="F553" s="351"/>
      <c r="G553" s="351"/>
    </row>
    <row r="554" ht="15.75" customHeight="1">
      <c r="A554" s="386"/>
      <c r="B554" s="387"/>
      <c r="C554" s="387" t="s">
        <v>6838</v>
      </c>
      <c r="D554" s="391" t="s">
        <v>6839</v>
      </c>
      <c r="E554" s="391"/>
      <c r="F554" s="351"/>
      <c r="G554" s="351"/>
    </row>
    <row r="555" ht="15.75" customHeight="1">
      <c r="A555" s="386"/>
      <c r="B555" s="387"/>
      <c r="C555" s="387" t="s">
        <v>6840</v>
      </c>
      <c r="D555" s="391" t="s">
        <v>6841</v>
      </c>
      <c r="E555" s="391"/>
      <c r="F555" s="351"/>
      <c r="G555" s="351"/>
    </row>
    <row r="556" ht="15.75" customHeight="1">
      <c r="A556" s="386"/>
      <c r="B556" s="387"/>
      <c r="C556" s="388" t="s">
        <v>6842</v>
      </c>
      <c r="D556" s="389" t="s">
        <v>6843</v>
      </c>
      <c r="E556" s="389"/>
      <c r="F556" s="351"/>
      <c r="G556" s="351"/>
    </row>
    <row r="557" ht="15.75" customHeight="1">
      <c r="A557" s="386"/>
      <c r="B557" s="387"/>
      <c r="C557" s="387" t="s">
        <v>6844</v>
      </c>
      <c r="D557" s="391" t="s">
        <v>6845</v>
      </c>
      <c r="E557" s="391"/>
      <c r="F557" s="351"/>
      <c r="G557" s="351"/>
    </row>
    <row r="558" ht="15.75" customHeight="1">
      <c r="A558" s="386"/>
      <c r="B558" s="387"/>
      <c r="C558" s="387" t="s">
        <v>6846</v>
      </c>
      <c r="D558" s="391" t="s">
        <v>6847</v>
      </c>
      <c r="E558" s="391"/>
      <c r="F558" s="351"/>
      <c r="G558" s="351"/>
    </row>
    <row r="559" ht="15.75" customHeight="1">
      <c r="A559" s="386"/>
      <c r="B559" s="387"/>
      <c r="C559" s="387" t="s">
        <v>6848</v>
      </c>
      <c r="D559" s="391" t="s">
        <v>6849</v>
      </c>
      <c r="E559" s="391"/>
      <c r="F559" s="351"/>
      <c r="G559" s="351"/>
    </row>
    <row r="560" ht="15.75" customHeight="1">
      <c r="A560" s="386"/>
      <c r="B560" s="387"/>
      <c r="C560" s="387" t="s">
        <v>6850</v>
      </c>
      <c r="D560" s="391" t="s">
        <v>6851</v>
      </c>
      <c r="E560" s="391"/>
      <c r="F560" s="356"/>
      <c r="G560" s="351"/>
    </row>
    <row r="561" ht="15.75" customHeight="1">
      <c r="A561" s="386"/>
      <c r="B561" s="387"/>
      <c r="C561" s="387" t="s">
        <v>6852</v>
      </c>
      <c r="D561" s="391" t="s">
        <v>6853</v>
      </c>
      <c r="E561" s="391"/>
      <c r="F561" s="356"/>
      <c r="G561" s="351"/>
    </row>
    <row r="562" ht="15.75" customHeight="1">
      <c r="A562" s="393"/>
      <c r="B562" s="393"/>
      <c r="C562" s="393" t="s">
        <v>6854</v>
      </c>
      <c r="D562" s="394" t="s">
        <v>6855</v>
      </c>
      <c r="E562" s="394"/>
      <c r="F562" s="351"/>
      <c r="G562" s="351"/>
    </row>
    <row r="563" ht="15.75" customHeight="1">
      <c r="A563" s="426"/>
      <c r="B563" s="426"/>
      <c r="C563" s="356"/>
      <c r="D563" s="427"/>
      <c r="E563" s="428"/>
      <c r="F563" s="356"/>
      <c r="G563" s="356"/>
    </row>
    <row r="564" ht="15.75" customHeight="1">
      <c r="A564" s="429" t="s">
        <v>6856</v>
      </c>
      <c r="B564" s="430"/>
      <c r="C564" s="431"/>
      <c r="D564" s="432"/>
      <c r="E564" s="433"/>
      <c r="F564" s="356"/>
      <c r="G564" s="356"/>
    </row>
    <row r="565" ht="15.75" customHeight="1">
      <c r="A565" s="434" t="s">
        <v>6857</v>
      </c>
      <c r="B565" s="426"/>
      <c r="C565" s="356"/>
      <c r="D565" s="427"/>
      <c r="E565" s="435"/>
      <c r="F565" s="356"/>
      <c r="G565" s="356"/>
    </row>
    <row r="566" ht="15.75" customHeight="1">
      <c r="A566" s="434" t="s">
        <v>6858</v>
      </c>
      <c r="B566" s="426"/>
      <c r="C566" s="356"/>
      <c r="D566" s="427"/>
      <c r="E566" s="435"/>
      <c r="F566" s="356"/>
      <c r="G566" s="356"/>
    </row>
    <row r="567" ht="15.75" customHeight="1">
      <c r="A567" s="436" t="s">
        <v>6859</v>
      </c>
      <c r="C567" s="356"/>
      <c r="D567" s="427"/>
      <c r="E567" s="435"/>
      <c r="F567" s="356"/>
      <c r="G567" s="356"/>
    </row>
    <row r="568" ht="15.75" customHeight="1">
      <c r="A568" s="436" t="s">
        <v>6860</v>
      </c>
      <c r="C568" s="356"/>
      <c r="D568" s="427"/>
      <c r="E568" s="435"/>
      <c r="F568" s="356"/>
      <c r="G568" s="356"/>
    </row>
    <row r="569" ht="15.75" customHeight="1">
      <c r="A569" s="436" t="s">
        <v>6861</v>
      </c>
      <c r="B569" s="426"/>
      <c r="C569" s="356"/>
      <c r="D569" s="427"/>
      <c r="E569" s="435"/>
      <c r="F569" s="356"/>
      <c r="G569" s="356"/>
    </row>
    <row r="570" ht="15.75" customHeight="1">
      <c r="A570" s="436" t="s">
        <v>6862</v>
      </c>
      <c r="B570" s="426"/>
      <c r="C570" s="356"/>
      <c r="D570" s="427"/>
      <c r="E570" s="435"/>
      <c r="F570" s="356"/>
      <c r="G570" s="356"/>
    </row>
    <row r="571" ht="15.75" customHeight="1">
      <c r="A571" s="436" t="s">
        <v>6863</v>
      </c>
      <c r="B571" s="426"/>
      <c r="C571" s="356"/>
      <c r="D571" s="427"/>
      <c r="E571" s="435"/>
      <c r="F571" s="356"/>
      <c r="G571" s="356"/>
    </row>
    <row r="572" ht="15.75" customHeight="1">
      <c r="A572" s="437" t="s">
        <v>6864</v>
      </c>
      <c r="B572" s="438"/>
      <c r="C572" s="439"/>
      <c r="D572" s="440"/>
      <c r="E572" s="441"/>
      <c r="F572" s="356"/>
      <c r="G572" s="356"/>
    </row>
    <row r="573" ht="15.75" customHeight="1">
      <c r="A573" s="426"/>
      <c r="B573" s="426"/>
      <c r="C573" s="426"/>
      <c r="D573" s="428"/>
      <c r="E573" s="428"/>
      <c r="F573" s="356"/>
      <c r="G573" s="356"/>
    </row>
    <row r="574" ht="15.75" customHeight="1">
      <c r="A574" s="429" t="s">
        <v>6865</v>
      </c>
      <c r="B574" s="430"/>
      <c r="C574" s="430"/>
      <c r="D574" s="442"/>
      <c r="E574" s="433"/>
      <c r="F574" s="356"/>
      <c r="G574" s="356"/>
    </row>
    <row r="575" ht="15.75" customHeight="1">
      <c r="A575" s="434" t="s">
        <v>6866</v>
      </c>
      <c r="C575" s="426"/>
      <c r="D575" s="428"/>
      <c r="E575" s="435"/>
      <c r="F575" s="356"/>
      <c r="G575" s="356"/>
    </row>
    <row r="576" ht="15.75" customHeight="1">
      <c r="A576" s="434" t="s">
        <v>6867</v>
      </c>
      <c r="D576" s="428"/>
      <c r="E576" s="435"/>
      <c r="F576" s="356"/>
      <c r="G576" s="356"/>
    </row>
    <row r="577" ht="15.75" customHeight="1">
      <c r="A577" s="434" t="s">
        <v>6868</v>
      </c>
      <c r="B577" s="426"/>
      <c r="C577" s="426"/>
      <c r="D577" s="428"/>
      <c r="E577" s="435"/>
      <c r="F577" s="351"/>
      <c r="G577" s="356"/>
    </row>
    <row r="578" ht="15.75" customHeight="1">
      <c r="A578" s="434" t="s">
        <v>6869</v>
      </c>
      <c r="D578" s="428"/>
      <c r="E578" s="435"/>
      <c r="F578" s="351"/>
      <c r="G578" s="356"/>
    </row>
    <row r="579" ht="15.75" customHeight="1">
      <c r="A579" s="434" t="s">
        <v>6870</v>
      </c>
      <c r="C579" s="426"/>
      <c r="D579" s="428"/>
      <c r="E579" s="435"/>
      <c r="F579" s="351"/>
      <c r="G579" s="356"/>
    </row>
    <row r="580" ht="15.75" customHeight="1">
      <c r="A580" s="443" t="s">
        <v>6871</v>
      </c>
      <c r="B580" s="438"/>
      <c r="C580" s="438"/>
      <c r="D580" s="444"/>
      <c r="E580" s="441"/>
      <c r="F580" s="351"/>
      <c r="G580" s="351"/>
    </row>
    <row r="581" ht="15.75" customHeight="1">
      <c r="A581" s="351"/>
      <c r="B581" s="351"/>
      <c r="C581" s="351"/>
      <c r="D581" s="380"/>
      <c r="E581" s="380"/>
      <c r="F581" s="351"/>
      <c r="G581" s="351"/>
    </row>
    <row r="582" ht="15.75" customHeight="1">
      <c r="A582" s="356"/>
      <c r="B582" s="356"/>
      <c r="C582" s="356"/>
      <c r="D582" s="356"/>
      <c r="E582" s="356"/>
      <c r="F582" s="351"/>
      <c r="G582" s="351"/>
    </row>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9">
    <mergeCell ref="A323:A324"/>
    <mergeCell ref="B323:B324"/>
    <mergeCell ref="C323:C324"/>
    <mergeCell ref="D323:E323"/>
    <mergeCell ref="B353:B354"/>
    <mergeCell ref="C353:C354"/>
    <mergeCell ref="D353:E353"/>
    <mergeCell ref="A353:A354"/>
    <mergeCell ref="A374:A375"/>
    <mergeCell ref="B374:B375"/>
    <mergeCell ref="C374:C375"/>
    <mergeCell ref="D374:E374"/>
    <mergeCell ref="A388:A389"/>
    <mergeCell ref="B388:B389"/>
    <mergeCell ref="A459:A460"/>
    <mergeCell ref="B459:B460"/>
    <mergeCell ref="C459:C460"/>
    <mergeCell ref="D459:E459"/>
    <mergeCell ref="B520:B521"/>
    <mergeCell ref="C520:C521"/>
    <mergeCell ref="D520:E520"/>
    <mergeCell ref="A520:A521"/>
    <mergeCell ref="A547:A548"/>
    <mergeCell ref="B547:B548"/>
    <mergeCell ref="C547:C548"/>
    <mergeCell ref="D547:E547"/>
    <mergeCell ref="A567:B567"/>
    <mergeCell ref="A568:B568"/>
    <mergeCell ref="C26:C27"/>
    <mergeCell ref="D26:E26"/>
    <mergeCell ref="A2:E4"/>
    <mergeCell ref="A8:A9"/>
    <mergeCell ref="B8:B9"/>
    <mergeCell ref="C8:C9"/>
    <mergeCell ref="D8:E8"/>
    <mergeCell ref="A26:A27"/>
    <mergeCell ref="B26:B27"/>
    <mergeCell ref="A71:A72"/>
    <mergeCell ref="B71:B72"/>
    <mergeCell ref="C71:C72"/>
    <mergeCell ref="D71:E71"/>
    <mergeCell ref="B161:B162"/>
    <mergeCell ref="C161:C162"/>
    <mergeCell ref="D161:E161"/>
    <mergeCell ref="C275:C276"/>
    <mergeCell ref="D275:E275"/>
    <mergeCell ref="A161:A162"/>
    <mergeCell ref="A204:A205"/>
    <mergeCell ref="B204:B205"/>
    <mergeCell ref="C204:C205"/>
    <mergeCell ref="D204:E204"/>
    <mergeCell ref="A275:A276"/>
    <mergeCell ref="B275:B276"/>
    <mergeCell ref="C388:C389"/>
    <mergeCell ref="D388:E388"/>
    <mergeCell ref="A575:B575"/>
    <mergeCell ref="A576:C576"/>
    <mergeCell ref="A578:C578"/>
    <mergeCell ref="A579:B579"/>
  </mergeCells>
  <hyperlinks>
    <hyperlink r:id="rId1" ref="C1"/>
  </hyperlinks>
  <drawing r:id="rId2"/>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445" t="s">
        <v>6872</v>
      </c>
    </row>
    <row r="2" ht="15.75" customHeight="1">
      <c r="A2" s="445" t="s">
        <v>6873</v>
      </c>
    </row>
    <row r="3" ht="15.75" customHeight="1">
      <c r="A3" s="445" t="s">
        <v>6874</v>
      </c>
    </row>
    <row r="4" ht="15.75" customHeight="1">
      <c r="A4" s="445" t="s">
        <v>6875</v>
      </c>
    </row>
    <row r="5" ht="15.75" customHeight="1">
      <c r="A5" s="445" t="s">
        <v>6876</v>
      </c>
    </row>
    <row r="6" ht="15.75" customHeight="1">
      <c r="A6" s="445" t="s">
        <v>6877</v>
      </c>
    </row>
    <row r="7" ht="15.75" customHeight="1">
      <c r="A7" s="445" t="s">
        <v>6878</v>
      </c>
    </row>
    <row r="8" ht="15.75" customHeight="1">
      <c r="A8" s="445" t="s">
        <v>6879</v>
      </c>
    </row>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ref="A2"/>
    <hyperlink r:id="rId3" ref="A3"/>
    <hyperlink r:id="rId4" ref="A4"/>
    <hyperlink r:id="rId5" ref="A5"/>
    <hyperlink r:id="rId6" ref="A6"/>
    <hyperlink r:id="rId7" ref="A7"/>
    <hyperlink r:id="rId8" ref="A8"/>
  </hyperlinks>
  <drawing r:id="rId9"/>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6.88"/>
    <col customWidth="1" min="3" max="3" width="17.25"/>
    <col customWidth="1" min="5" max="5" width="19.75"/>
  </cols>
  <sheetData>
    <row r="2">
      <c r="A2" s="446"/>
      <c r="B2" s="446" t="s">
        <v>3428</v>
      </c>
      <c r="C2" s="112" t="s">
        <v>6880</v>
      </c>
      <c r="D2" s="112" t="s">
        <v>6881</v>
      </c>
      <c r="E2" s="112" t="s">
        <v>6882</v>
      </c>
    </row>
    <row r="3">
      <c r="A3" s="447"/>
      <c r="B3" s="447" t="s">
        <v>6883</v>
      </c>
      <c r="C3" s="107">
        <f>COUNTIF('Ações'!BK:BK, "*AC*")</f>
        <v>9</v>
      </c>
      <c r="D3" s="107">
        <f>COUNTIF('Categorias empresas'!K:K, "Acre")</f>
        <v>0</v>
      </c>
      <c r="E3" s="107">
        <f t="shared" ref="E3:E12" si="1">D3</f>
        <v>0</v>
      </c>
    </row>
    <row r="4">
      <c r="A4" s="447"/>
      <c r="B4" s="447" t="s">
        <v>6884</v>
      </c>
      <c r="C4" s="107">
        <f>COUNTIF('Ações'!BK:BK, "*AL*")</f>
        <v>20</v>
      </c>
      <c r="D4" s="107">
        <f>COUNTIF('Categorias empresas'!K:K, "Alagoas")</f>
        <v>0</v>
      </c>
      <c r="E4" s="107">
        <f t="shared" si="1"/>
        <v>0</v>
      </c>
    </row>
    <row r="5">
      <c r="A5" s="447"/>
      <c r="B5" s="447" t="s">
        <v>6885</v>
      </c>
      <c r="C5" s="107">
        <f>COUNTIF('Ações'!BK:BK, "*AP*")</f>
        <v>8</v>
      </c>
      <c r="D5" s="107">
        <f>COUNTIF('Categorias empresas'!K:K, "Amapá")</f>
        <v>0</v>
      </c>
      <c r="E5" s="107">
        <f t="shared" si="1"/>
        <v>0</v>
      </c>
    </row>
    <row r="6">
      <c r="A6" s="447"/>
      <c r="B6" s="447" t="s">
        <v>3932</v>
      </c>
      <c r="C6" s="107">
        <f>COUNTIF('Ações'!BK:BK, "*AM*")</f>
        <v>17</v>
      </c>
      <c r="D6" s="107">
        <f>COUNTIF('Categorias empresas'!K:K, "Amazonas")</f>
        <v>1</v>
      </c>
      <c r="E6" s="107">
        <f t="shared" si="1"/>
        <v>1</v>
      </c>
    </row>
    <row r="7">
      <c r="A7" s="447"/>
      <c r="B7" s="447" t="s">
        <v>6886</v>
      </c>
      <c r="C7" s="107">
        <f>COUNTIF('Ações'!BK:BK, "*BA*")</f>
        <v>53</v>
      </c>
      <c r="D7" s="107">
        <f>COUNTIF('Categorias empresas'!K:K, "Bahia")</f>
        <v>0</v>
      </c>
      <c r="E7" s="107">
        <f t="shared" si="1"/>
        <v>0</v>
      </c>
    </row>
    <row r="8">
      <c r="A8" s="447"/>
      <c r="B8" s="447" t="s">
        <v>3818</v>
      </c>
      <c r="C8" s="107">
        <f>COUNTIF('Ações'!BK:BK, "*CE*")</f>
        <v>40</v>
      </c>
      <c r="D8" s="107">
        <f>COUNTIF('Categorias empresas'!K:K, "Ceará")</f>
        <v>6</v>
      </c>
      <c r="E8" s="107">
        <f t="shared" si="1"/>
        <v>6</v>
      </c>
    </row>
    <row r="9">
      <c r="A9" s="447"/>
      <c r="B9" s="447" t="s">
        <v>3739</v>
      </c>
      <c r="C9" s="107">
        <f>COUNTIF('Ações'!BK:BK, "*DF*")</f>
        <v>10</v>
      </c>
      <c r="D9" s="107">
        <f>COUNTIF('Categorias empresas'!K:K, "Distrito Federal")</f>
        <v>2</v>
      </c>
      <c r="E9" s="107">
        <f t="shared" si="1"/>
        <v>2</v>
      </c>
    </row>
    <row r="10">
      <c r="A10" s="447"/>
      <c r="B10" s="447" t="s">
        <v>6887</v>
      </c>
      <c r="C10" s="107">
        <f>COUNTIF('Ações'!BK:BK, "*ES*")</f>
        <v>12</v>
      </c>
      <c r="D10" s="107">
        <f>COUNTIF('Categorias empresas'!K:K, "Espírito Santo")</f>
        <v>0</v>
      </c>
      <c r="E10" s="107">
        <f t="shared" si="1"/>
        <v>0</v>
      </c>
    </row>
    <row r="11">
      <c r="A11" s="447"/>
      <c r="B11" s="447" t="s">
        <v>3614</v>
      </c>
      <c r="C11" s="107">
        <f>COUNTIF('Ações'!BK:BK, "*GO*")</f>
        <v>73</v>
      </c>
      <c r="D11" s="107">
        <f>COUNTIF('Categorias empresas'!K:K, "Goiás")</f>
        <v>4</v>
      </c>
      <c r="E11" s="107">
        <f t="shared" si="1"/>
        <v>4</v>
      </c>
    </row>
    <row r="12">
      <c r="A12" s="447"/>
      <c r="B12" s="447" t="s">
        <v>6888</v>
      </c>
      <c r="C12" s="107">
        <f>COUNTIF('Ações'!BK:BK, "*MA*")</f>
        <v>26</v>
      </c>
      <c r="D12" s="107">
        <f>COUNTIF('Categorias empresas'!K:K, "Maranhão")</f>
        <v>0</v>
      </c>
      <c r="E12" s="107">
        <f t="shared" si="1"/>
        <v>0</v>
      </c>
    </row>
    <row r="13">
      <c r="A13" s="447"/>
      <c r="B13" s="447" t="s">
        <v>6889</v>
      </c>
      <c r="C13" s="107">
        <f>COUNTIF('Ações'!BK:BK, "*MT*")</f>
        <v>60</v>
      </c>
      <c r="D13" s="113">
        <f>COUNTIF('Categorias empresas'!K:K, "Mato Grosso")</f>
        <v>0</v>
      </c>
      <c r="E13" s="112">
        <v>2.0</v>
      </c>
    </row>
    <row r="14">
      <c r="A14" s="447"/>
      <c r="B14" s="447" t="s">
        <v>3714</v>
      </c>
      <c r="C14" s="107">
        <f>COUNTIF('Ações'!BK:BK, "*MS*")</f>
        <v>36</v>
      </c>
      <c r="D14" s="107">
        <f>COUNTIF('Categorias empresas'!K:K, "Mato Grosso do Sul")</f>
        <v>1</v>
      </c>
      <c r="E14" s="107">
        <f>D14</f>
        <v>1</v>
      </c>
    </row>
    <row r="15">
      <c r="A15" s="447"/>
      <c r="B15" s="447" t="s">
        <v>6890</v>
      </c>
      <c r="C15" s="107">
        <f>COUNTIF('Ações'!BK:BK, "*MG*")</f>
        <v>88</v>
      </c>
      <c r="D15" s="113">
        <f>COUNTIF('Categorias empresas'!K:K, "Minas Gerais")</f>
        <v>0</v>
      </c>
      <c r="E15" s="112">
        <v>6.0</v>
      </c>
    </row>
    <row r="16">
      <c r="A16" s="447"/>
      <c r="B16" s="447" t="s">
        <v>3897</v>
      </c>
      <c r="C16" s="107">
        <f>COUNTIF('Ações'!BK:BK, "*PA*")</f>
        <v>39</v>
      </c>
      <c r="D16" s="107">
        <f>COUNTIF('Categorias empresas'!K:K, "Pará")</f>
        <v>1</v>
      </c>
      <c r="E16" s="107">
        <f t="shared" ref="E16:E25" si="2">D16</f>
        <v>1</v>
      </c>
    </row>
    <row r="17">
      <c r="A17" s="447"/>
      <c r="B17" s="447" t="s">
        <v>6891</v>
      </c>
      <c r="C17" s="107">
        <f>COUNTIF('Ações'!BK:BK, "*PB*")</f>
        <v>12</v>
      </c>
      <c r="D17" s="107">
        <f>COUNTIF('Categorias empresas'!K:K, "Paraíba")</f>
        <v>0</v>
      </c>
      <c r="E17" s="107">
        <f t="shared" si="2"/>
        <v>0</v>
      </c>
    </row>
    <row r="18">
      <c r="A18" s="447"/>
      <c r="B18" s="447" t="s">
        <v>3605</v>
      </c>
      <c r="C18" s="107">
        <f>COUNTIF('Ações'!BK:BK, "*PR*")</f>
        <v>126</v>
      </c>
      <c r="D18" s="107">
        <f>COUNTIF('Categorias empresas'!K:K, "Paraná")</f>
        <v>20</v>
      </c>
      <c r="E18" s="107">
        <f t="shared" si="2"/>
        <v>20</v>
      </c>
    </row>
    <row r="19">
      <c r="A19" s="447"/>
      <c r="B19" s="447" t="s">
        <v>6892</v>
      </c>
      <c r="C19" s="107">
        <f>COUNTIF('Ações'!BK:BK, "*PE*")</f>
        <v>36</v>
      </c>
      <c r="D19" s="107">
        <f>COUNTIF('Categorias empresas'!K:K, "Pernambuco")</f>
        <v>0</v>
      </c>
      <c r="E19" s="107">
        <f t="shared" si="2"/>
        <v>0</v>
      </c>
    </row>
    <row r="20">
      <c r="A20" s="447"/>
      <c r="B20" s="447" t="s">
        <v>6893</v>
      </c>
      <c r="C20" s="107">
        <f>COUNTIF('Ações'!BK:BK, "*PI*")</f>
        <v>14</v>
      </c>
      <c r="D20" s="107">
        <f>COUNTIF('Categorias empresas'!K:K, "Piauí")</f>
        <v>0</v>
      </c>
      <c r="E20" s="107">
        <f t="shared" si="2"/>
        <v>0</v>
      </c>
    </row>
    <row r="21">
      <c r="A21" s="447"/>
      <c r="B21" s="447" t="s">
        <v>3893</v>
      </c>
      <c r="C21" s="107">
        <f>COUNTIF('Ações'!BK:BK, "*RJ*")</f>
        <v>52</v>
      </c>
      <c r="D21" s="107">
        <f>COUNTIF('Categorias empresas'!K:K, "Rio de Janeiro")</f>
        <v>2</v>
      </c>
      <c r="E21" s="107">
        <f t="shared" si="2"/>
        <v>2</v>
      </c>
    </row>
    <row r="22">
      <c r="A22" s="447"/>
      <c r="B22" s="447" t="s">
        <v>6894</v>
      </c>
      <c r="C22" s="107">
        <f>COUNTIF('Ações'!BK:BK, "*RN*")</f>
        <v>14</v>
      </c>
      <c r="D22" s="107">
        <f>COUNTIF('Categorias empresas'!K:K, "Rio Grande do Norte")</f>
        <v>0</v>
      </c>
      <c r="E22" s="107">
        <f t="shared" si="2"/>
        <v>0</v>
      </c>
    </row>
    <row r="23">
      <c r="A23" s="447"/>
      <c r="B23" s="447" t="s">
        <v>3509</v>
      </c>
      <c r="C23" s="107">
        <f>COUNTIF('Ações'!BK:BK, "*RS*")</f>
        <v>58</v>
      </c>
      <c r="D23" s="107">
        <f>COUNTIF('Categorias empresas'!K:K, "Rio Grande do Sul")</f>
        <v>8</v>
      </c>
      <c r="E23" s="107">
        <f t="shared" si="2"/>
        <v>8</v>
      </c>
    </row>
    <row r="24">
      <c r="A24" s="447"/>
      <c r="B24" s="447" t="s">
        <v>6895</v>
      </c>
      <c r="C24" s="107">
        <f>COUNTIF('Ações'!BK:BK, "*RO*")</f>
        <v>24</v>
      </c>
      <c r="D24" s="107">
        <f>COUNTIF('Categorias empresas'!K:K, "Rondônia")</f>
        <v>0</v>
      </c>
      <c r="E24" s="107">
        <f t="shared" si="2"/>
        <v>0</v>
      </c>
    </row>
    <row r="25">
      <c r="A25" s="447"/>
      <c r="B25" s="447" t="s">
        <v>6896</v>
      </c>
      <c r="C25" s="107">
        <f>COUNTIF('Ações'!BK:BK, "*RR*")</f>
        <v>3</v>
      </c>
      <c r="D25" s="107">
        <f>COUNTIF('Categorias empresas'!K:K, "Roraima")</f>
        <v>0</v>
      </c>
      <c r="E25" s="107">
        <f t="shared" si="2"/>
        <v>0</v>
      </c>
    </row>
    <row r="26">
      <c r="A26" s="447"/>
      <c r="B26" s="447" t="s">
        <v>3544</v>
      </c>
      <c r="C26" s="107">
        <f>COUNTIF('Ações'!BK:BK, "*SC*")</f>
        <v>42</v>
      </c>
      <c r="D26" s="113">
        <f>COUNTIF('Categorias empresas'!K:K, "Santa Catarina")</f>
        <v>6</v>
      </c>
      <c r="E26" s="112">
        <v>7.0</v>
      </c>
    </row>
    <row r="27">
      <c r="A27" s="447"/>
      <c r="B27" s="447" t="s">
        <v>3520</v>
      </c>
      <c r="C27" s="107">
        <f>COUNTIF('Ações'!BK:BK, "*SP*")</f>
        <v>147</v>
      </c>
      <c r="D27" s="107">
        <f>COUNTIF('Categorias empresas'!K:K, "São Paulo")</f>
        <v>37</v>
      </c>
      <c r="E27" s="107">
        <f t="shared" ref="E27:E29" si="3">D27</f>
        <v>37</v>
      </c>
    </row>
    <row r="28">
      <c r="A28" s="447"/>
      <c r="B28" s="447" t="s">
        <v>3839</v>
      </c>
      <c r="C28" s="107">
        <f>COUNTIF('Ações'!BK:BK, "*SE*")</f>
        <v>11</v>
      </c>
      <c r="D28" s="107">
        <f>COUNTIF('Categorias empresas'!K:K, "Sergipe")</f>
        <v>1</v>
      </c>
      <c r="E28" s="107">
        <f t="shared" si="3"/>
        <v>1</v>
      </c>
    </row>
    <row r="29">
      <c r="A29" s="447"/>
      <c r="B29" s="447" t="s">
        <v>6897</v>
      </c>
      <c r="C29" s="107">
        <f>COUNTIF('Ações'!BK:BK, "*TO*")</f>
        <v>32</v>
      </c>
      <c r="D29" s="107">
        <f>COUNTIF('Categorias empresas'!K:K, "Tocantins")</f>
        <v>0</v>
      </c>
      <c r="E29" s="107">
        <f t="shared" si="3"/>
        <v>0</v>
      </c>
    </row>
    <row r="30">
      <c r="D30" s="107">
        <f t="shared" ref="D30:E30" si="4">SUM(D3:D29)</f>
        <v>89</v>
      </c>
      <c r="E30" s="107">
        <f t="shared" si="4"/>
        <v>98</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88"/>
    <col customWidth="1" min="2" max="2" width="20.38"/>
    <col customWidth="1" min="3" max="3" width="10.88"/>
    <col customWidth="1" min="4" max="4" width="12.63"/>
    <col customWidth="1" min="5" max="5" width="20.13"/>
    <col customWidth="1" min="6" max="6" width="12.63"/>
    <col customWidth="1" min="9" max="9" width="21.88"/>
    <col customWidth="1" min="17" max="17" width="25.0"/>
    <col customWidth="1" min="22" max="22" width="14.0"/>
    <col customWidth="1" min="27" max="28" width="18.88"/>
    <col customWidth="1" min="29" max="29" width="29.88"/>
    <col customWidth="1" min="30" max="30" width="21.13"/>
    <col customWidth="1" min="31" max="31" width="19.13"/>
    <col customWidth="1" min="33" max="34" width="15.5"/>
    <col customWidth="1" min="35" max="35" width="16.5"/>
  </cols>
  <sheetData>
    <row r="1" ht="67.5" customHeight="1">
      <c r="A1" s="448" t="s">
        <v>6898</v>
      </c>
      <c r="B1" s="449" t="s">
        <v>6899</v>
      </c>
      <c r="C1" s="448" t="s">
        <v>6900</v>
      </c>
      <c r="D1" s="449" t="s">
        <v>4942</v>
      </c>
      <c r="E1" s="450" t="s">
        <v>6901</v>
      </c>
      <c r="F1" s="449" t="s">
        <v>6902</v>
      </c>
      <c r="G1" s="449" t="s">
        <v>6903</v>
      </c>
      <c r="H1" s="449" t="s">
        <v>6904</v>
      </c>
      <c r="I1" s="450" t="s">
        <v>3384</v>
      </c>
      <c r="J1" s="450" t="s">
        <v>6905</v>
      </c>
      <c r="K1" s="449" t="s">
        <v>6906</v>
      </c>
      <c r="L1" s="449" t="s">
        <v>3389</v>
      </c>
      <c r="M1" s="449" t="s">
        <v>3390</v>
      </c>
      <c r="N1" s="449" t="s">
        <v>3391</v>
      </c>
      <c r="O1" s="449" t="s">
        <v>3392</v>
      </c>
      <c r="P1" s="449" t="s">
        <v>6907</v>
      </c>
      <c r="Q1" s="449" t="s">
        <v>6908</v>
      </c>
      <c r="R1" s="450" t="s">
        <v>6909</v>
      </c>
      <c r="S1" s="450" t="s">
        <v>6910</v>
      </c>
      <c r="T1" s="450" t="s">
        <v>6911</v>
      </c>
      <c r="U1" s="451" t="s">
        <v>4791</v>
      </c>
      <c r="V1" s="452" t="s">
        <v>4792</v>
      </c>
      <c r="W1" s="452" t="s">
        <v>6912</v>
      </c>
      <c r="X1" s="452" t="s">
        <v>4794</v>
      </c>
      <c r="Y1" s="452" t="s">
        <v>6913</v>
      </c>
      <c r="Z1" s="452" t="s">
        <v>6914</v>
      </c>
      <c r="AA1" s="450" t="s">
        <v>4800</v>
      </c>
      <c r="AB1" s="450" t="s">
        <v>6915</v>
      </c>
      <c r="AC1" s="99" t="s">
        <v>6916</v>
      </c>
      <c r="AD1" s="450" t="s">
        <v>6917</v>
      </c>
      <c r="AE1" s="450" t="s">
        <v>6918</v>
      </c>
      <c r="AF1" s="449" t="s">
        <v>6919</v>
      </c>
      <c r="AG1" s="450" t="s">
        <v>3401</v>
      </c>
      <c r="AH1" s="450" t="s">
        <v>3400</v>
      </c>
      <c r="AI1" s="450" t="s">
        <v>6920</v>
      </c>
      <c r="AJ1" s="449" t="s">
        <v>6921</v>
      </c>
      <c r="AK1" s="453" t="s">
        <v>3344</v>
      </c>
      <c r="AL1" s="449" t="s">
        <v>3412</v>
      </c>
      <c r="AM1" s="449" t="s">
        <v>6922</v>
      </c>
      <c r="AN1" s="449" t="s">
        <v>3411</v>
      </c>
      <c r="AO1" s="449" t="s">
        <v>6923</v>
      </c>
      <c r="AP1" s="449" t="s">
        <v>3410</v>
      </c>
      <c r="AQ1" s="449" t="s">
        <v>3176</v>
      </c>
      <c r="AR1" s="449" t="s">
        <v>6924</v>
      </c>
      <c r="AS1" s="449" t="s">
        <v>3420</v>
      </c>
      <c r="AT1" s="449" t="s">
        <v>6925</v>
      </c>
      <c r="AU1" s="449" t="s">
        <v>3448</v>
      </c>
      <c r="AV1" s="449" t="s">
        <v>3449</v>
      </c>
      <c r="AW1" s="449" t="s">
        <v>3450</v>
      </c>
      <c r="AX1" s="449" t="s">
        <v>3451</v>
      </c>
      <c r="AY1" s="449" t="s">
        <v>3452</v>
      </c>
      <c r="AZ1" s="449" t="s">
        <v>6926</v>
      </c>
      <c r="BA1" s="449" t="s">
        <v>6927</v>
      </c>
      <c r="BB1" s="449" t="s">
        <v>6928</v>
      </c>
      <c r="BC1" s="449" t="s">
        <v>6929</v>
      </c>
      <c r="BD1" s="449" t="s">
        <v>6930</v>
      </c>
      <c r="BE1" s="449" t="s">
        <v>6931</v>
      </c>
      <c r="BF1" s="449" t="s">
        <v>6932</v>
      </c>
      <c r="BG1" s="454">
        <v>45394.0</v>
      </c>
      <c r="BH1" s="454">
        <v>45424.0</v>
      </c>
      <c r="BI1" s="449" t="s">
        <v>6933</v>
      </c>
      <c r="BJ1" s="452" t="s">
        <v>3398</v>
      </c>
      <c r="BK1" s="449" t="s">
        <v>6934</v>
      </c>
      <c r="BL1" s="449" t="s">
        <v>6935</v>
      </c>
      <c r="BM1" s="455" t="s">
        <v>6936</v>
      </c>
      <c r="BN1" s="455" t="s">
        <v>6937</v>
      </c>
      <c r="BO1" s="455" t="s">
        <v>6937</v>
      </c>
      <c r="BP1" s="455" t="s">
        <v>6937</v>
      </c>
      <c r="BQ1" s="456"/>
      <c r="BR1" s="456"/>
    </row>
    <row r="2" ht="15.75" customHeight="1">
      <c r="A2" s="457"/>
      <c r="B2" s="458" t="s">
        <v>6938</v>
      </c>
      <c r="C2" s="457">
        <v>5.0</v>
      </c>
      <c r="D2" s="458" t="s">
        <v>6938</v>
      </c>
      <c r="E2" s="99" t="s">
        <v>90</v>
      </c>
      <c r="F2" s="458" t="s">
        <v>6939</v>
      </c>
      <c r="G2" s="99" t="s">
        <v>3348</v>
      </c>
      <c r="H2" s="99" t="s">
        <v>95</v>
      </c>
      <c r="I2" s="99" t="s">
        <v>1135</v>
      </c>
      <c r="J2" s="99" t="s">
        <v>93</v>
      </c>
      <c r="K2" s="457">
        <v>2015.0</v>
      </c>
      <c r="L2" s="99" t="s">
        <v>93</v>
      </c>
      <c r="M2" s="99" t="s">
        <v>93</v>
      </c>
      <c r="N2" s="99" t="s">
        <v>93</v>
      </c>
      <c r="O2" s="99" t="s">
        <v>93</v>
      </c>
      <c r="P2" s="99" t="s">
        <v>95</v>
      </c>
      <c r="Q2" s="99" t="s">
        <v>114</v>
      </c>
      <c r="R2" s="197" t="s">
        <v>6940</v>
      </c>
      <c r="S2" s="197"/>
      <c r="T2" s="197"/>
      <c r="U2" s="99" t="s">
        <v>92</v>
      </c>
      <c r="V2" s="99" t="s">
        <v>92</v>
      </c>
      <c r="W2" s="99" t="s">
        <v>92</v>
      </c>
      <c r="X2" s="99" t="s">
        <v>92</v>
      </c>
      <c r="Y2" s="99" t="s">
        <v>93</v>
      </c>
      <c r="Z2" s="99" t="s">
        <v>92</v>
      </c>
      <c r="AA2" s="197" t="s">
        <v>92</v>
      </c>
      <c r="AB2" s="197" t="s">
        <v>95</v>
      </c>
      <c r="AC2" s="197"/>
      <c r="AD2" s="197"/>
      <c r="AE2" s="197" t="s">
        <v>92</v>
      </c>
      <c r="AF2" s="458" t="s">
        <v>6938</v>
      </c>
      <c r="AG2" s="197" t="s">
        <v>6941</v>
      </c>
      <c r="AH2" s="197"/>
      <c r="AI2" s="459" t="s">
        <v>93</v>
      </c>
      <c r="AJ2" s="458" t="s">
        <v>6923</v>
      </c>
      <c r="AK2" s="99" t="s">
        <v>92</v>
      </c>
      <c r="AL2" s="99" t="s">
        <v>92</v>
      </c>
      <c r="AM2" s="99" t="s">
        <v>92</v>
      </c>
      <c r="AN2" s="99" t="s">
        <v>92</v>
      </c>
      <c r="AO2" s="99" t="s">
        <v>93</v>
      </c>
      <c r="AP2" s="99" t="s">
        <v>92</v>
      </c>
      <c r="AQ2" s="99" t="s">
        <v>92</v>
      </c>
      <c r="AR2" s="99" t="s">
        <v>6942</v>
      </c>
      <c r="AS2" s="458" t="s">
        <v>3520</v>
      </c>
      <c r="AT2" s="458" t="s">
        <v>3451</v>
      </c>
      <c r="AU2" s="99" t="s">
        <v>92</v>
      </c>
      <c r="AV2" s="99" t="s">
        <v>92</v>
      </c>
      <c r="AW2" s="99" t="s">
        <v>92</v>
      </c>
      <c r="AX2" s="99" t="s">
        <v>93</v>
      </c>
      <c r="AY2" s="99" t="s">
        <v>92</v>
      </c>
      <c r="AZ2" s="460" t="s">
        <v>92</v>
      </c>
      <c r="BA2" s="460"/>
      <c r="BB2" s="460" t="s">
        <v>93</v>
      </c>
      <c r="BC2" s="460" t="s">
        <v>92</v>
      </c>
      <c r="BD2" s="460" t="s">
        <v>92</v>
      </c>
      <c r="BE2" s="460"/>
      <c r="BF2" s="460" t="s">
        <v>93</v>
      </c>
      <c r="BG2" s="460"/>
      <c r="BH2" s="460"/>
      <c r="BI2" s="460"/>
      <c r="BJ2" s="460" t="s">
        <v>92</v>
      </c>
      <c r="BK2" s="460" t="s">
        <v>93</v>
      </c>
      <c r="BL2" s="460"/>
      <c r="BM2" s="461" t="s">
        <v>6943</v>
      </c>
      <c r="BN2" s="461" t="s">
        <v>6944</v>
      </c>
      <c r="BO2" s="462"/>
      <c r="BP2" s="462"/>
      <c r="BQ2" s="463"/>
      <c r="BR2" s="463"/>
    </row>
    <row r="3" ht="15.75" customHeight="1">
      <c r="A3" s="457"/>
      <c r="B3" s="458" t="s">
        <v>6945</v>
      </c>
      <c r="C3" s="457">
        <v>6.0</v>
      </c>
      <c r="D3" s="458" t="s">
        <v>6946</v>
      </c>
      <c r="E3" s="99" t="s">
        <v>709</v>
      </c>
      <c r="F3" s="458" t="s">
        <v>6947</v>
      </c>
      <c r="G3" s="99" t="s">
        <v>3346</v>
      </c>
      <c r="H3" s="99" t="s">
        <v>3348</v>
      </c>
      <c r="I3" s="99" t="s">
        <v>1135</v>
      </c>
      <c r="J3" s="99" t="s">
        <v>93</v>
      </c>
      <c r="K3" s="457">
        <v>2021.0</v>
      </c>
      <c r="L3" s="99" t="s">
        <v>92</v>
      </c>
      <c r="M3" s="99" t="s">
        <v>93</v>
      </c>
      <c r="N3" s="99" t="s">
        <v>93</v>
      </c>
      <c r="O3" s="99" t="s">
        <v>93</v>
      </c>
      <c r="P3" s="99" t="s">
        <v>95</v>
      </c>
      <c r="Q3" s="99" t="s">
        <v>114</v>
      </c>
      <c r="R3" s="197" t="s">
        <v>5902</v>
      </c>
      <c r="S3" s="197"/>
      <c r="T3" s="197"/>
      <c r="U3" s="99" t="s">
        <v>92</v>
      </c>
      <c r="V3" s="99" t="s">
        <v>92</v>
      </c>
      <c r="W3" s="99" t="s">
        <v>92</v>
      </c>
      <c r="X3" s="99" t="s">
        <v>92</v>
      </c>
      <c r="Y3" s="99" t="s">
        <v>93</v>
      </c>
      <c r="Z3" s="99" t="s">
        <v>92</v>
      </c>
      <c r="AA3" s="197" t="s">
        <v>92</v>
      </c>
      <c r="AB3" s="197" t="s">
        <v>95</v>
      </c>
      <c r="AC3" s="197"/>
      <c r="AD3" s="197"/>
      <c r="AE3" s="197" t="s">
        <v>92</v>
      </c>
      <c r="AF3" s="464" t="s">
        <v>6948</v>
      </c>
      <c r="AG3" s="197" t="s">
        <v>6941</v>
      </c>
      <c r="AH3" s="197"/>
      <c r="AI3" s="459" t="s">
        <v>93</v>
      </c>
      <c r="AJ3" s="463" t="s">
        <v>3410</v>
      </c>
      <c r="AK3" s="99" t="s">
        <v>92</v>
      </c>
      <c r="AL3" s="99" t="s">
        <v>92</v>
      </c>
      <c r="AM3" s="99" t="s">
        <v>92</v>
      </c>
      <c r="AN3" s="99" t="s">
        <v>92</v>
      </c>
      <c r="AO3" s="99" t="s">
        <v>92</v>
      </c>
      <c r="AP3" s="99" t="s">
        <v>93</v>
      </c>
      <c r="AQ3" s="99" t="s">
        <v>92</v>
      </c>
      <c r="AR3" s="99" t="s">
        <v>6949</v>
      </c>
      <c r="AS3" s="458" t="s">
        <v>95</v>
      </c>
      <c r="AT3" s="458" t="s">
        <v>95</v>
      </c>
      <c r="AU3" s="99" t="s">
        <v>93</v>
      </c>
      <c r="AV3" s="99" t="s">
        <v>93</v>
      </c>
      <c r="AW3" s="99" t="s">
        <v>93</v>
      </c>
      <c r="AX3" s="99" t="s">
        <v>93</v>
      </c>
      <c r="AY3" s="99" t="s">
        <v>93</v>
      </c>
      <c r="AZ3" s="460" t="s">
        <v>93</v>
      </c>
      <c r="BA3" s="460"/>
      <c r="BB3" s="460" t="s">
        <v>92</v>
      </c>
      <c r="BC3" s="460" t="s">
        <v>92</v>
      </c>
      <c r="BD3" s="460" t="s">
        <v>92</v>
      </c>
      <c r="BE3" s="460"/>
      <c r="BF3" s="460" t="s">
        <v>93</v>
      </c>
      <c r="BG3" s="460"/>
      <c r="BH3" s="460"/>
      <c r="BI3" s="460"/>
      <c r="BJ3" s="460" t="s">
        <v>92</v>
      </c>
      <c r="BK3" s="460" t="s">
        <v>93</v>
      </c>
      <c r="BL3" s="460"/>
      <c r="BM3" s="461" t="s">
        <v>6950</v>
      </c>
      <c r="BN3" s="461" t="s">
        <v>6951</v>
      </c>
      <c r="BO3" s="461" t="s">
        <v>4546</v>
      </c>
      <c r="BP3" s="461" t="s">
        <v>6952</v>
      </c>
      <c r="BQ3" s="463"/>
      <c r="BR3" s="463"/>
    </row>
    <row r="4" ht="15.75" customHeight="1">
      <c r="A4" s="457"/>
      <c r="B4" s="458" t="s">
        <v>6953</v>
      </c>
      <c r="C4" s="457">
        <v>8.0</v>
      </c>
      <c r="D4" s="458" t="s">
        <v>6954</v>
      </c>
      <c r="E4" s="99" t="s">
        <v>90</v>
      </c>
      <c r="F4" s="458" t="s">
        <v>6955</v>
      </c>
      <c r="G4" s="99" t="s">
        <v>3344</v>
      </c>
      <c r="H4" s="99" t="s">
        <v>95</v>
      </c>
      <c r="I4" s="99" t="s">
        <v>3202</v>
      </c>
      <c r="J4" s="99" t="s">
        <v>93</v>
      </c>
      <c r="K4" s="457">
        <v>2021.0</v>
      </c>
      <c r="L4" s="99" t="s">
        <v>92</v>
      </c>
      <c r="M4" s="99" t="s">
        <v>93</v>
      </c>
      <c r="N4" s="99" t="s">
        <v>93</v>
      </c>
      <c r="O4" s="99" t="s">
        <v>92</v>
      </c>
      <c r="P4" s="99">
        <v>2022.0</v>
      </c>
      <c r="Q4" s="99" t="s">
        <v>96</v>
      </c>
      <c r="R4" s="197" t="s">
        <v>5902</v>
      </c>
      <c r="S4" s="197"/>
      <c r="T4" s="197"/>
      <c r="U4" s="99" t="s">
        <v>92</v>
      </c>
      <c r="V4" s="99" t="s">
        <v>92</v>
      </c>
      <c r="W4" s="99" t="s">
        <v>92</v>
      </c>
      <c r="X4" s="99" t="s">
        <v>92</v>
      </c>
      <c r="Y4" s="99" t="s">
        <v>92</v>
      </c>
      <c r="Z4" s="99" t="s">
        <v>92</v>
      </c>
      <c r="AA4" s="197" t="s">
        <v>92</v>
      </c>
      <c r="AB4" s="197" t="s">
        <v>95</v>
      </c>
      <c r="AC4" s="197"/>
      <c r="AD4" s="197"/>
      <c r="AE4" s="197" t="s">
        <v>92</v>
      </c>
      <c r="AF4" s="463" t="s">
        <v>6956</v>
      </c>
      <c r="AG4" s="197" t="s">
        <v>6941</v>
      </c>
      <c r="AH4" s="197"/>
      <c r="AI4" s="459" t="s">
        <v>92</v>
      </c>
      <c r="AJ4" s="458" t="s">
        <v>6957</v>
      </c>
      <c r="AK4" s="99" t="s">
        <v>93</v>
      </c>
      <c r="AL4" s="99" t="s">
        <v>92</v>
      </c>
      <c r="AM4" s="99" t="s">
        <v>92</v>
      </c>
      <c r="AN4" s="99" t="s">
        <v>92</v>
      </c>
      <c r="AO4" s="99" t="s">
        <v>92</v>
      </c>
      <c r="AP4" s="99" t="s">
        <v>93</v>
      </c>
      <c r="AQ4" s="99" t="s">
        <v>92</v>
      </c>
      <c r="AR4" s="99" t="s">
        <v>6942</v>
      </c>
      <c r="AS4" s="458" t="s">
        <v>6889</v>
      </c>
      <c r="AT4" s="458" t="s">
        <v>3448</v>
      </c>
      <c r="AU4" s="99" t="s">
        <v>93</v>
      </c>
      <c r="AV4" s="99" t="s">
        <v>92</v>
      </c>
      <c r="AW4" s="99" t="s">
        <v>92</v>
      </c>
      <c r="AX4" s="99" t="s">
        <v>92</v>
      </c>
      <c r="AY4" s="99" t="s">
        <v>92</v>
      </c>
      <c r="AZ4" s="460" t="s">
        <v>93</v>
      </c>
      <c r="BA4" s="460"/>
      <c r="BB4" s="460" t="s">
        <v>93</v>
      </c>
      <c r="BC4" s="460" t="s">
        <v>93</v>
      </c>
      <c r="BD4" s="460" t="s">
        <v>92</v>
      </c>
      <c r="BE4" s="460"/>
      <c r="BF4" s="460" t="s">
        <v>92</v>
      </c>
      <c r="BG4" s="460"/>
      <c r="BH4" s="460"/>
      <c r="BI4" s="460"/>
      <c r="BJ4" s="460" t="s">
        <v>92</v>
      </c>
      <c r="BK4" s="460" t="s">
        <v>92</v>
      </c>
      <c r="BL4" s="460"/>
      <c r="BM4" s="461" t="s">
        <v>6958</v>
      </c>
      <c r="BN4" s="461" t="s">
        <v>6959</v>
      </c>
      <c r="BO4" s="462"/>
      <c r="BP4" s="462"/>
      <c r="BQ4" s="463"/>
      <c r="BR4" s="463"/>
    </row>
    <row r="5" ht="15.75" customHeight="1">
      <c r="A5" s="457"/>
      <c r="B5" s="458" t="s">
        <v>6960</v>
      </c>
      <c r="C5" s="457">
        <v>20.0</v>
      </c>
      <c r="D5" s="463" t="s">
        <v>6961</v>
      </c>
      <c r="E5" s="99" t="s">
        <v>90</v>
      </c>
      <c r="F5" s="458" t="s">
        <v>6962</v>
      </c>
      <c r="G5" s="99" t="s">
        <v>3348</v>
      </c>
      <c r="H5" s="99" t="s">
        <v>95</v>
      </c>
      <c r="I5" s="99" t="s">
        <v>1135</v>
      </c>
      <c r="J5" s="99" t="s">
        <v>93</v>
      </c>
      <c r="K5" s="457">
        <v>2021.0</v>
      </c>
      <c r="L5" s="99" t="s">
        <v>92</v>
      </c>
      <c r="M5" s="99" t="s">
        <v>93</v>
      </c>
      <c r="N5" s="99" t="s">
        <v>93</v>
      </c>
      <c r="O5" s="99" t="s">
        <v>93</v>
      </c>
      <c r="P5" s="99" t="s">
        <v>95</v>
      </c>
      <c r="Q5" s="99" t="s">
        <v>114</v>
      </c>
      <c r="R5" s="197" t="s">
        <v>5902</v>
      </c>
      <c r="S5" s="197"/>
      <c r="T5" s="197"/>
      <c r="U5" s="99"/>
      <c r="V5" s="99"/>
      <c r="W5" s="99"/>
      <c r="X5" s="99"/>
      <c r="Y5" s="99"/>
      <c r="Z5" s="99"/>
      <c r="AA5" s="197"/>
      <c r="AB5" s="197"/>
      <c r="AC5" s="197"/>
      <c r="AD5" s="197"/>
      <c r="AE5" s="197" t="s">
        <v>93</v>
      </c>
      <c r="AF5" s="458" t="s">
        <v>6963</v>
      </c>
      <c r="AG5" s="197" t="s">
        <v>6941</v>
      </c>
      <c r="AH5" s="197"/>
      <c r="AI5" s="459" t="s">
        <v>93</v>
      </c>
      <c r="AJ5" s="458" t="s">
        <v>6923</v>
      </c>
      <c r="AK5" s="99" t="s">
        <v>92</v>
      </c>
      <c r="AL5" s="99" t="s">
        <v>92</v>
      </c>
      <c r="AM5" s="99" t="s">
        <v>92</v>
      </c>
      <c r="AN5" s="99" t="s">
        <v>92</v>
      </c>
      <c r="AO5" s="99" t="s">
        <v>93</v>
      </c>
      <c r="AP5" s="99" t="s">
        <v>92</v>
      </c>
      <c r="AQ5" s="99" t="s">
        <v>92</v>
      </c>
      <c r="AR5" s="99" t="s">
        <v>6942</v>
      </c>
      <c r="AS5" s="458" t="s">
        <v>6964</v>
      </c>
      <c r="AT5" s="458" t="s">
        <v>6965</v>
      </c>
      <c r="AU5" s="99" t="s">
        <v>93</v>
      </c>
      <c r="AV5" s="99" t="s">
        <v>92</v>
      </c>
      <c r="AW5" s="99" t="s">
        <v>92</v>
      </c>
      <c r="AX5" s="99" t="s">
        <v>93</v>
      </c>
      <c r="AY5" s="99" t="s">
        <v>92</v>
      </c>
      <c r="AZ5" s="460" t="s">
        <v>92</v>
      </c>
      <c r="BA5" s="460"/>
      <c r="BB5" s="460" t="s">
        <v>92</v>
      </c>
      <c r="BC5" s="460" t="s">
        <v>92</v>
      </c>
      <c r="BD5" s="460" t="s">
        <v>92</v>
      </c>
      <c r="BE5" s="460"/>
      <c r="BF5" s="460" t="s">
        <v>93</v>
      </c>
      <c r="BG5" s="460"/>
      <c r="BH5" s="460"/>
      <c r="BI5" s="460"/>
      <c r="BJ5" s="460" t="s">
        <v>92</v>
      </c>
      <c r="BK5" s="460" t="s">
        <v>93</v>
      </c>
      <c r="BL5" s="460"/>
      <c r="BM5" s="461" t="s">
        <v>6966</v>
      </c>
      <c r="BN5" s="461" t="s">
        <v>6967</v>
      </c>
      <c r="BO5" s="461" t="s">
        <v>6968</v>
      </c>
      <c r="BP5" s="462"/>
      <c r="BQ5" s="463"/>
      <c r="BR5" s="463"/>
    </row>
    <row r="6" ht="15.75" customHeight="1">
      <c r="A6" s="457"/>
      <c r="B6" s="463" t="s">
        <v>6969</v>
      </c>
      <c r="C6" s="457">
        <v>21.0</v>
      </c>
      <c r="D6" s="458" t="s">
        <v>6970</v>
      </c>
      <c r="E6" s="99" t="s">
        <v>189</v>
      </c>
      <c r="F6" s="458" t="s">
        <v>6971</v>
      </c>
      <c r="G6" s="99" t="s">
        <v>3346</v>
      </c>
      <c r="H6" s="99" t="s">
        <v>3348</v>
      </c>
      <c r="I6" s="99" t="s">
        <v>94</v>
      </c>
      <c r="J6" s="99" t="s">
        <v>92</v>
      </c>
      <c r="K6" s="457">
        <v>2021.0</v>
      </c>
      <c r="L6" s="99" t="s">
        <v>92</v>
      </c>
      <c r="M6" s="99" t="s">
        <v>93</v>
      </c>
      <c r="N6" s="99" t="s">
        <v>93</v>
      </c>
      <c r="O6" s="99" t="s">
        <v>92</v>
      </c>
      <c r="P6" s="99">
        <v>2022.0</v>
      </c>
      <c r="Q6" s="99" t="s">
        <v>96</v>
      </c>
      <c r="R6" s="197" t="s">
        <v>5902</v>
      </c>
      <c r="S6" s="197"/>
      <c r="T6" s="197"/>
      <c r="U6" s="99" t="s">
        <v>93</v>
      </c>
      <c r="V6" s="99" t="s">
        <v>92</v>
      </c>
      <c r="W6" s="99" t="s">
        <v>92</v>
      </c>
      <c r="X6" s="99" t="s">
        <v>92</v>
      </c>
      <c r="Y6" s="99" t="s">
        <v>93</v>
      </c>
      <c r="Z6" s="99" t="s">
        <v>92</v>
      </c>
      <c r="AA6" s="197" t="s">
        <v>93</v>
      </c>
      <c r="AB6" s="197"/>
      <c r="AC6" s="197"/>
      <c r="AD6" s="197"/>
      <c r="AE6" s="197" t="s">
        <v>92</v>
      </c>
      <c r="AF6" s="463" t="s">
        <v>1746</v>
      </c>
      <c r="AG6" s="197" t="s">
        <v>6941</v>
      </c>
      <c r="AH6" s="197"/>
      <c r="AI6" s="459" t="s">
        <v>93</v>
      </c>
      <c r="AJ6" s="463" t="s">
        <v>3410</v>
      </c>
      <c r="AK6" s="99" t="s">
        <v>92</v>
      </c>
      <c r="AL6" s="99" t="s">
        <v>92</v>
      </c>
      <c r="AM6" s="99" t="s">
        <v>92</v>
      </c>
      <c r="AN6" s="99" t="s">
        <v>92</v>
      </c>
      <c r="AO6" s="99" t="s">
        <v>92</v>
      </c>
      <c r="AP6" s="99" t="s">
        <v>93</v>
      </c>
      <c r="AQ6" s="99" t="s">
        <v>92</v>
      </c>
      <c r="AR6" s="99" t="s">
        <v>6972</v>
      </c>
      <c r="AS6" s="458" t="s">
        <v>6973</v>
      </c>
      <c r="AT6" s="458" t="s">
        <v>6974</v>
      </c>
      <c r="AU6" s="99" t="s">
        <v>92</v>
      </c>
      <c r="AV6" s="99" t="s">
        <v>92</v>
      </c>
      <c r="AW6" s="99" t="s">
        <v>92</v>
      </c>
      <c r="AX6" s="99" t="s">
        <v>93</v>
      </c>
      <c r="AY6" s="99" t="s">
        <v>93</v>
      </c>
      <c r="AZ6" s="460" t="s">
        <v>93</v>
      </c>
      <c r="BA6" s="460"/>
      <c r="BB6" s="460" t="s">
        <v>92</v>
      </c>
      <c r="BC6" s="460" t="s">
        <v>92</v>
      </c>
      <c r="BD6" s="460" t="s">
        <v>92</v>
      </c>
      <c r="BE6" s="460"/>
      <c r="BF6" s="460" t="s">
        <v>93</v>
      </c>
      <c r="BG6" s="460"/>
      <c r="BH6" s="460"/>
      <c r="BI6" s="460"/>
      <c r="BJ6" s="460" t="s">
        <v>92</v>
      </c>
      <c r="BK6" s="460" t="s">
        <v>92</v>
      </c>
      <c r="BL6" s="460"/>
      <c r="BM6" s="461" t="s">
        <v>6975</v>
      </c>
      <c r="BN6" s="461" t="s">
        <v>6976</v>
      </c>
      <c r="BO6" s="461" t="s">
        <v>6977</v>
      </c>
      <c r="BP6" s="461" t="s">
        <v>6978</v>
      </c>
      <c r="BQ6" s="463"/>
      <c r="BR6" s="463"/>
    </row>
    <row r="7" ht="15.75" customHeight="1">
      <c r="A7" s="457"/>
      <c r="B7" s="463" t="s">
        <v>6969</v>
      </c>
      <c r="C7" s="457">
        <v>22.0</v>
      </c>
      <c r="D7" s="458" t="s">
        <v>6979</v>
      </c>
      <c r="E7" s="99" t="s">
        <v>110</v>
      </c>
      <c r="F7" s="458" t="s">
        <v>6980</v>
      </c>
      <c r="G7" s="99" t="s">
        <v>3346</v>
      </c>
      <c r="H7" s="99" t="s">
        <v>95</v>
      </c>
      <c r="I7" s="99" t="s">
        <v>94</v>
      </c>
      <c r="J7" s="99" t="s">
        <v>92</v>
      </c>
      <c r="K7" s="457">
        <v>2020.0</v>
      </c>
      <c r="L7" s="99" t="s">
        <v>93</v>
      </c>
      <c r="M7" s="99" t="s">
        <v>93</v>
      </c>
      <c r="N7" s="99" t="s">
        <v>93</v>
      </c>
      <c r="O7" s="99" t="s">
        <v>92</v>
      </c>
      <c r="P7" s="99" t="s">
        <v>105</v>
      </c>
      <c r="Q7" s="99" t="s">
        <v>105</v>
      </c>
      <c r="R7" s="197" t="s">
        <v>5902</v>
      </c>
      <c r="S7" s="197"/>
      <c r="T7" s="197"/>
      <c r="U7" s="99" t="s">
        <v>93</v>
      </c>
      <c r="V7" s="99" t="s">
        <v>92</v>
      </c>
      <c r="W7" s="99" t="s">
        <v>92</v>
      </c>
      <c r="X7" s="99" t="s">
        <v>92</v>
      </c>
      <c r="Y7" s="99" t="s">
        <v>93</v>
      </c>
      <c r="Z7" s="99" t="s">
        <v>92</v>
      </c>
      <c r="AA7" s="197" t="s">
        <v>93</v>
      </c>
      <c r="AB7" s="197"/>
      <c r="AC7" s="197"/>
      <c r="AD7" s="197"/>
      <c r="AE7" s="197" t="s">
        <v>92</v>
      </c>
      <c r="AF7" s="458" t="s">
        <v>6981</v>
      </c>
      <c r="AG7" s="197" t="s">
        <v>6982</v>
      </c>
      <c r="AH7" s="197"/>
      <c r="AI7" s="459" t="s">
        <v>93</v>
      </c>
      <c r="AJ7" s="463" t="s">
        <v>3410</v>
      </c>
      <c r="AK7" s="99" t="s">
        <v>92</v>
      </c>
      <c r="AL7" s="99" t="s">
        <v>92</v>
      </c>
      <c r="AM7" s="99" t="s">
        <v>92</v>
      </c>
      <c r="AN7" s="99" t="s">
        <v>92</v>
      </c>
      <c r="AO7" s="99" t="s">
        <v>92</v>
      </c>
      <c r="AP7" s="99" t="s">
        <v>93</v>
      </c>
      <c r="AQ7" s="99" t="s">
        <v>92</v>
      </c>
      <c r="AR7" s="99" t="s">
        <v>6942</v>
      </c>
      <c r="AS7" s="458" t="s">
        <v>3520</v>
      </c>
      <c r="AT7" s="458" t="s">
        <v>3451</v>
      </c>
      <c r="AU7" s="99" t="s">
        <v>92</v>
      </c>
      <c r="AV7" s="99" t="s">
        <v>92</v>
      </c>
      <c r="AW7" s="99" t="s">
        <v>92</v>
      </c>
      <c r="AX7" s="99" t="s">
        <v>93</v>
      </c>
      <c r="AY7" s="99" t="s">
        <v>92</v>
      </c>
      <c r="AZ7" s="460" t="s">
        <v>93</v>
      </c>
      <c r="BA7" s="460"/>
      <c r="BB7" s="460" t="s">
        <v>92</v>
      </c>
      <c r="BC7" s="460" t="s">
        <v>92</v>
      </c>
      <c r="BD7" s="460" t="s">
        <v>92</v>
      </c>
      <c r="BE7" s="460"/>
      <c r="BF7" s="460" t="s">
        <v>92</v>
      </c>
      <c r="BG7" s="460"/>
      <c r="BH7" s="460"/>
      <c r="BI7" s="460"/>
      <c r="BJ7" s="460" t="s">
        <v>93</v>
      </c>
      <c r="BK7" s="460" t="s">
        <v>93</v>
      </c>
      <c r="BL7" s="460"/>
      <c r="BM7" s="461" t="s">
        <v>6983</v>
      </c>
      <c r="BN7" s="461" t="s">
        <v>6984</v>
      </c>
      <c r="BO7" s="461" t="s">
        <v>6985</v>
      </c>
      <c r="BP7" s="465"/>
      <c r="BQ7" s="463"/>
      <c r="BR7" s="463"/>
    </row>
    <row r="8" ht="15.75" customHeight="1">
      <c r="A8" s="457"/>
      <c r="B8" s="458" t="s">
        <v>6986</v>
      </c>
      <c r="C8" s="457">
        <v>23.0</v>
      </c>
      <c r="D8" s="463" t="s">
        <v>6987</v>
      </c>
      <c r="E8" s="99" t="s">
        <v>90</v>
      </c>
      <c r="F8" s="458" t="s">
        <v>6988</v>
      </c>
      <c r="G8" s="99" t="s">
        <v>3346</v>
      </c>
      <c r="H8" s="99" t="s">
        <v>95</v>
      </c>
      <c r="I8" s="99" t="s">
        <v>94</v>
      </c>
      <c r="J8" s="99" t="s">
        <v>92</v>
      </c>
      <c r="K8" s="457">
        <v>2021.0</v>
      </c>
      <c r="L8" s="99" t="s">
        <v>92</v>
      </c>
      <c r="M8" s="99" t="s">
        <v>93</v>
      </c>
      <c r="N8" s="99" t="s">
        <v>92</v>
      </c>
      <c r="O8" s="99" t="s">
        <v>92</v>
      </c>
      <c r="P8" s="99">
        <v>2021.0</v>
      </c>
      <c r="Q8" s="99" t="s">
        <v>96</v>
      </c>
      <c r="R8" s="197" t="s">
        <v>5902</v>
      </c>
      <c r="S8" s="197"/>
      <c r="T8" s="197"/>
      <c r="U8" s="99" t="s">
        <v>92</v>
      </c>
      <c r="V8" s="99" t="s">
        <v>92</v>
      </c>
      <c r="W8" s="99" t="s">
        <v>92</v>
      </c>
      <c r="X8" s="99" t="s">
        <v>92</v>
      </c>
      <c r="Y8" s="99" t="s">
        <v>92</v>
      </c>
      <c r="Z8" s="99" t="s">
        <v>92</v>
      </c>
      <c r="AA8" s="197" t="s">
        <v>92</v>
      </c>
      <c r="AB8" s="197" t="s">
        <v>95</v>
      </c>
      <c r="AC8" s="197"/>
      <c r="AD8" s="197"/>
      <c r="AE8" s="197" t="s">
        <v>92</v>
      </c>
      <c r="AF8" s="458" t="s">
        <v>6989</v>
      </c>
      <c r="AG8" s="197" t="s">
        <v>6990</v>
      </c>
      <c r="AH8" s="197"/>
      <c r="AI8" s="459" t="s">
        <v>93</v>
      </c>
      <c r="AJ8" s="463" t="s">
        <v>3410</v>
      </c>
      <c r="AK8" s="99" t="s">
        <v>92</v>
      </c>
      <c r="AL8" s="99" t="s">
        <v>92</v>
      </c>
      <c r="AM8" s="99" t="s">
        <v>92</v>
      </c>
      <c r="AN8" s="99" t="s">
        <v>92</v>
      </c>
      <c r="AO8" s="99" t="s">
        <v>92</v>
      </c>
      <c r="AP8" s="99" t="s">
        <v>93</v>
      </c>
      <c r="AQ8" s="99" t="s">
        <v>92</v>
      </c>
      <c r="AR8" s="99" t="s">
        <v>6942</v>
      </c>
      <c r="AS8" s="458" t="s">
        <v>6886</v>
      </c>
      <c r="AT8" s="458" t="s">
        <v>3449</v>
      </c>
      <c r="AU8" s="99" t="s">
        <v>92</v>
      </c>
      <c r="AV8" s="99" t="s">
        <v>93</v>
      </c>
      <c r="AW8" s="99" t="s">
        <v>92</v>
      </c>
      <c r="AX8" s="99" t="s">
        <v>92</v>
      </c>
      <c r="AY8" s="99" t="s">
        <v>92</v>
      </c>
      <c r="AZ8" s="460" t="s">
        <v>93</v>
      </c>
      <c r="BA8" s="460"/>
      <c r="BB8" s="460" t="s">
        <v>92</v>
      </c>
      <c r="BC8" s="460" t="s">
        <v>92</v>
      </c>
      <c r="BD8" s="460" t="s">
        <v>92</v>
      </c>
      <c r="BE8" s="460"/>
      <c r="BF8" s="460" t="s">
        <v>92</v>
      </c>
      <c r="BG8" s="460"/>
      <c r="BH8" s="460"/>
      <c r="BI8" s="460"/>
      <c r="BJ8" s="460" t="s">
        <v>92</v>
      </c>
      <c r="BK8" s="460" t="s">
        <v>92</v>
      </c>
      <c r="BL8" s="460"/>
      <c r="BM8" s="461" t="s">
        <v>6991</v>
      </c>
      <c r="BN8" s="461" t="s">
        <v>6992</v>
      </c>
      <c r="BO8" s="461" t="s">
        <v>6993</v>
      </c>
      <c r="BP8" s="462"/>
      <c r="BQ8" s="463"/>
      <c r="BR8" s="463"/>
    </row>
    <row r="9" ht="15.75" customHeight="1">
      <c r="A9" s="457"/>
      <c r="B9" s="458" t="s">
        <v>6994</v>
      </c>
      <c r="C9" s="457">
        <v>35.0</v>
      </c>
      <c r="D9" s="463" t="s">
        <v>3301</v>
      </c>
      <c r="E9" s="99" t="s">
        <v>189</v>
      </c>
      <c r="F9" s="458" t="s">
        <v>6995</v>
      </c>
      <c r="G9" s="99" t="s">
        <v>3346</v>
      </c>
      <c r="H9" s="99" t="s">
        <v>95</v>
      </c>
      <c r="I9" s="99" t="s">
        <v>94</v>
      </c>
      <c r="J9" s="99" t="s">
        <v>92</v>
      </c>
      <c r="K9" s="457">
        <v>1993.0</v>
      </c>
      <c r="L9" s="99" t="s">
        <v>93</v>
      </c>
      <c r="M9" s="99" t="s">
        <v>93</v>
      </c>
      <c r="N9" s="99" t="s">
        <v>93</v>
      </c>
      <c r="O9" s="99" t="s">
        <v>93</v>
      </c>
      <c r="P9" s="99" t="s">
        <v>95</v>
      </c>
      <c r="Q9" s="99" t="s">
        <v>114</v>
      </c>
      <c r="R9" s="197" t="s">
        <v>5902</v>
      </c>
      <c r="S9" s="197"/>
      <c r="T9" s="197"/>
      <c r="U9" s="99"/>
      <c r="V9" s="99"/>
      <c r="W9" s="99"/>
      <c r="X9" s="99"/>
      <c r="Y9" s="99"/>
      <c r="Z9" s="99"/>
      <c r="AA9" s="197"/>
      <c r="AB9" s="197"/>
      <c r="AC9" s="197"/>
      <c r="AD9" s="197"/>
      <c r="AE9" s="197" t="s">
        <v>93</v>
      </c>
      <c r="AF9" s="458" t="s">
        <v>1850</v>
      </c>
      <c r="AG9" s="197" t="s">
        <v>6990</v>
      </c>
      <c r="AH9" s="197"/>
      <c r="AI9" s="459" t="s">
        <v>93</v>
      </c>
      <c r="AJ9" s="463" t="s">
        <v>3410</v>
      </c>
      <c r="AK9" s="99" t="s">
        <v>92</v>
      </c>
      <c r="AL9" s="99" t="s">
        <v>92</v>
      </c>
      <c r="AM9" s="99" t="s">
        <v>92</v>
      </c>
      <c r="AN9" s="99" t="s">
        <v>92</v>
      </c>
      <c r="AO9" s="99" t="s">
        <v>92</v>
      </c>
      <c r="AP9" s="99" t="s">
        <v>93</v>
      </c>
      <c r="AQ9" s="99" t="s">
        <v>92</v>
      </c>
      <c r="AR9" s="99" t="s">
        <v>6949</v>
      </c>
      <c r="AS9" s="458" t="s">
        <v>95</v>
      </c>
      <c r="AT9" s="458" t="s">
        <v>95</v>
      </c>
      <c r="AU9" s="99" t="s">
        <v>93</v>
      </c>
      <c r="AV9" s="99" t="s">
        <v>93</v>
      </c>
      <c r="AW9" s="99" t="s">
        <v>93</v>
      </c>
      <c r="AX9" s="99" t="s">
        <v>93</v>
      </c>
      <c r="AY9" s="99" t="s">
        <v>93</v>
      </c>
      <c r="AZ9" s="460" t="s">
        <v>93</v>
      </c>
      <c r="BA9" s="460"/>
      <c r="BB9" s="460" t="s">
        <v>92</v>
      </c>
      <c r="BC9" s="460" t="s">
        <v>92</v>
      </c>
      <c r="BD9" s="460" t="s">
        <v>92</v>
      </c>
      <c r="BE9" s="460"/>
      <c r="BF9" s="460" t="s">
        <v>92</v>
      </c>
      <c r="BG9" s="460"/>
      <c r="BH9" s="460"/>
      <c r="BI9" s="460"/>
      <c r="BJ9" s="460" t="s">
        <v>92</v>
      </c>
      <c r="BK9" s="460" t="s">
        <v>93</v>
      </c>
      <c r="BL9" s="460"/>
      <c r="BM9" s="461" t="s">
        <v>6996</v>
      </c>
      <c r="BN9" s="462"/>
      <c r="BO9" s="462"/>
      <c r="BP9" s="462"/>
      <c r="BQ9" s="463"/>
      <c r="BR9" s="463"/>
    </row>
    <row r="10" ht="15.75" customHeight="1">
      <c r="A10" s="457"/>
      <c r="B10" s="458" t="s">
        <v>6997</v>
      </c>
      <c r="C10" s="457">
        <v>37.0</v>
      </c>
      <c r="D10" s="458" t="s">
        <v>6998</v>
      </c>
      <c r="E10" s="99" t="s">
        <v>110</v>
      </c>
      <c r="F10" s="458" t="s">
        <v>6999</v>
      </c>
      <c r="G10" s="99" t="s">
        <v>3346</v>
      </c>
      <c r="H10" s="99" t="s">
        <v>3348</v>
      </c>
      <c r="I10" s="99" t="s">
        <v>1135</v>
      </c>
      <c r="J10" s="99" t="s">
        <v>92</v>
      </c>
      <c r="K10" s="457">
        <v>1994.0</v>
      </c>
      <c r="L10" s="99" t="s">
        <v>93</v>
      </c>
      <c r="M10" s="99" t="s">
        <v>93</v>
      </c>
      <c r="N10" s="99" t="s">
        <v>93</v>
      </c>
      <c r="O10" s="99" t="s">
        <v>93</v>
      </c>
      <c r="P10" s="99" t="s">
        <v>95</v>
      </c>
      <c r="Q10" s="99" t="s">
        <v>114</v>
      </c>
      <c r="R10" s="197" t="s">
        <v>5902</v>
      </c>
      <c r="S10" s="197"/>
      <c r="T10" s="197"/>
      <c r="U10" s="99"/>
      <c r="V10" s="99"/>
      <c r="W10" s="99"/>
      <c r="X10" s="99"/>
      <c r="Y10" s="99"/>
      <c r="Z10" s="99"/>
      <c r="AA10" s="197"/>
      <c r="AB10" s="197"/>
      <c r="AC10" s="197"/>
      <c r="AD10" s="197"/>
      <c r="AE10" s="197" t="s">
        <v>92</v>
      </c>
      <c r="AF10" s="458" t="s">
        <v>1496</v>
      </c>
      <c r="AG10" s="197" t="s">
        <v>5902</v>
      </c>
      <c r="AH10" s="197"/>
      <c r="AI10" s="459" t="s">
        <v>92</v>
      </c>
      <c r="AJ10" s="458" t="s">
        <v>7000</v>
      </c>
      <c r="AK10" s="99" t="s">
        <v>92</v>
      </c>
      <c r="AL10" s="99" t="s">
        <v>93</v>
      </c>
      <c r="AM10" s="99" t="s">
        <v>93</v>
      </c>
      <c r="AN10" s="99" t="s">
        <v>92</v>
      </c>
      <c r="AO10" s="99" t="s">
        <v>92</v>
      </c>
      <c r="AP10" s="99" t="s">
        <v>93</v>
      </c>
      <c r="AQ10" s="99" t="s">
        <v>92</v>
      </c>
      <c r="AR10" s="99" t="s">
        <v>6949</v>
      </c>
      <c r="AS10" s="458" t="s">
        <v>95</v>
      </c>
      <c r="AT10" s="458" t="s">
        <v>95</v>
      </c>
      <c r="AU10" s="99" t="s">
        <v>93</v>
      </c>
      <c r="AV10" s="99" t="s">
        <v>93</v>
      </c>
      <c r="AW10" s="99" t="s">
        <v>93</v>
      </c>
      <c r="AX10" s="99" t="s">
        <v>93</v>
      </c>
      <c r="AY10" s="99" t="s">
        <v>93</v>
      </c>
      <c r="AZ10" s="460" t="s">
        <v>93</v>
      </c>
      <c r="BA10" s="460"/>
      <c r="BB10" s="460" t="s">
        <v>92</v>
      </c>
      <c r="BC10" s="460" t="s">
        <v>92</v>
      </c>
      <c r="BD10" s="460" t="s">
        <v>92</v>
      </c>
      <c r="BE10" s="460"/>
      <c r="BF10" s="460" t="s">
        <v>93</v>
      </c>
      <c r="BG10" s="460"/>
      <c r="BH10" s="460"/>
      <c r="BI10" s="460"/>
      <c r="BJ10" s="460" t="s">
        <v>92</v>
      </c>
      <c r="BK10" s="460" t="s">
        <v>93</v>
      </c>
      <c r="BL10" s="460"/>
      <c r="BM10" s="461" t="s">
        <v>7001</v>
      </c>
      <c r="BN10" s="462"/>
      <c r="BO10" s="462"/>
      <c r="BP10" s="462"/>
      <c r="BQ10" s="463"/>
      <c r="BR10" s="463"/>
    </row>
    <row r="11" ht="15.75" customHeight="1">
      <c r="A11" s="457"/>
      <c r="B11" s="458" t="s">
        <v>7002</v>
      </c>
      <c r="C11" s="457">
        <v>39.0</v>
      </c>
      <c r="D11" s="463" t="s">
        <v>7003</v>
      </c>
      <c r="E11" s="99" t="s">
        <v>90</v>
      </c>
      <c r="F11" s="458" t="s">
        <v>7004</v>
      </c>
      <c r="G11" s="99" t="s">
        <v>3348</v>
      </c>
      <c r="H11" s="99" t="s">
        <v>3346</v>
      </c>
      <c r="I11" s="99" t="s">
        <v>1135</v>
      </c>
      <c r="J11" s="99" t="s">
        <v>92</v>
      </c>
      <c r="K11" s="457">
        <v>1998.0</v>
      </c>
      <c r="L11" s="99" t="s">
        <v>93</v>
      </c>
      <c r="M11" s="99" t="s">
        <v>93</v>
      </c>
      <c r="N11" s="99" t="s">
        <v>93</v>
      </c>
      <c r="O11" s="99" t="s">
        <v>93</v>
      </c>
      <c r="P11" s="99" t="s">
        <v>95</v>
      </c>
      <c r="Q11" s="99" t="s">
        <v>114</v>
      </c>
      <c r="R11" s="197" t="s">
        <v>5902</v>
      </c>
      <c r="S11" s="197"/>
      <c r="T11" s="197"/>
      <c r="U11" s="99"/>
      <c r="V11" s="99"/>
      <c r="W11" s="99"/>
      <c r="X11" s="99"/>
      <c r="Y11" s="99"/>
      <c r="Z11" s="99"/>
      <c r="AA11" s="197"/>
      <c r="AB11" s="197"/>
      <c r="AC11" s="197"/>
      <c r="AD11" s="197"/>
      <c r="AE11" s="197" t="s">
        <v>93</v>
      </c>
      <c r="AF11" s="458" t="s">
        <v>7005</v>
      </c>
      <c r="AG11" s="197" t="s">
        <v>6990</v>
      </c>
      <c r="AH11" s="197"/>
      <c r="AI11" s="459" t="s">
        <v>93</v>
      </c>
      <c r="AJ11" s="458" t="s">
        <v>7000</v>
      </c>
      <c r="AK11" s="99" t="s">
        <v>92</v>
      </c>
      <c r="AL11" s="99" t="s">
        <v>93</v>
      </c>
      <c r="AM11" s="99" t="s">
        <v>93</v>
      </c>
      <c r="AN11" s="99" t="s">
        <v>92</v>
      </c>
      <c r="AO11" s="99" t="s">
        <v>92</v>
      </c>
      <c r="AP11" s="99" t="s">
        <v>93</v>
      </c>
      <c r="AQ11" s="99" t="s">
        <v>92</v>
      </c>
      <c r="AR11" s="99" t="s">
        <v>6942</v>
      </c>
      <c r="AS11" s="458" t="s">
        <v>3520</v>
      </c>
      <c r="AT11" s="458" t="s">
        <v>3451</v>
      </c>
      <c r="AU11" s="99" t="s">
        <v>92</v>
      </c>
      <c r="AV11" s="99" t="s">
        <v>92</v>
      </c>
      <c r="AW11" s="99" t="s">
        <v>92</v>
      </c>
      <c r="AX11" s="99" t="s">
        <v>93</v>
      </c>
      <c r="AY11" s="99" t="s">
        <v>92</v>
      </c>
      <c r="AZ11" s="460" t="s">
        <v>93</v>
      </c>
      <c r="BA11" s="460"/>
      <c r="BB11" s="460" t="s">
        <v>92</v>
      </c>
      <c r="BC11" s="460" t="s">
        <v>92</v>
      </c>
      <c r="BD11" s="460" t="s">
        <v>92</v>
      </c>
      <c r="BE11" s="460"/>
      <c r="BF11" s="460" t="s">
        <v>93</v>
      </c>
      <c r="BG11" s="460"/>
      <c r="BH11" s="460"/>
      <c r="BI11" s="460"/>
      <c r="BJ11" s="460" t="s">
        <v>92</v>
      </c>
      <c r="BK11" s="460" t="s">
        <v>93</v>
      </c>
      <c r="BL11" s="460"/>
      <c r="BM11" s="461" t="s">
        <v>7006</v>
      </c>
      <c r="BN11" s="462"/>
      <c r="BO11" s="462"/>
      <c r="BP11" s="462"/>
      <c r="BQ11" s="463"/>
      <c r="BR11" s="463"/>
    </row>
    <row r="12" ht="15.75" customHeight="1">
      <c r="A12" s="457"/>
      <c r="B12" s="458" t="s">
        <v>7007</v>
      </c>
      <c r="C12" s="457">
        <v>41.0</v>
      </c>
      <c r="D12" s="458" t="s">
        <v>7008</v>
      </c>
      <c r="E12" s="99" t="s">
        <v>189</v>
      </c>
      <c r="F12" s="458" t="s">
        <v>7009</v>
      </c>
      <c r="G12" s="99" t="s">
        <v>3348</v>
      </c>
      <c r="H12" s="99" t="s">
        <v>3346</v>
      </c>
      <c r="I12" s="99" t="s">
        <v>1135</v>
      </c>
      <c r="J12" s="99" t="s">
        <v>93</v>
      </c>
      <c r="K12" s="457">
        <v>2018.0</v>
      </c>
      <c r="L12" s="99" t="s">
        <v>92</v>
      </c>
      <c r="M12" s="99" t="s">
        <v>93</v>
      </c>
      <c r="N12" s="99" t="s">
        <v>93</v>
      </c>
      <c r="O12" s="99" t="s">
        <v>93</v>
      </c>
      <c r="P12" s="99" t="s">
        <v>95</v>
      </c>
      <c r="Q12" s="99" t="s">
        <v>114</v>
      </c>
      <c r="R12" s="197" t="s">
        <v>5902</v>
      </c>
      <c r="S12" s="197"/>
      <c r="T12" s="197"/>
      <c r="U12" s="99" t="s">
        <v>92</v>
      </c>
      <c r="V12" s="99" t="s">
        <v>92</v>
      </c>
      <c r="W12" s="99" t="s">
        <v>92</v>
      </c>
      <c r="X12" s="99" t="s">
        <v>92</v>
      </c>
      <c r="Y12" s="99" t="s">
        <v>93</v>
      </c>
      <c r="Z12" s="99" t="s">
        <v>92</v>
      </c>
      <c r="AA12" s="197" t="s">
        <v>92</v>
      </c>
      <c r="AB12" s="197" t="s">
        <v>95</v>
      </c>
      <c r="AC12" s="197"/>
      <c r="AD12" s="197"/>
      <c r="AE12" s="197" t="s">
        <v>92</v>
      </c>
      <c r="AF12" s="458" t="s">
        <v>7010</v>
      </c>
      <c r="AG12" s="197" t="s">
        <v>6990</v>
      </c>
      <c r="AH12" s="197"/>
      <c r="AI12" s="459" t="s">
        <v>93</v>
      </c>
      <c r="AJ12" s="458" t="s">
        <v>7011</v>
      </c>
      <c r="AK12" s="99" t="s">
        <v>92</v>
      </c>
      <c r="AL12" s="99" t="s">
        <v>92</v>
      </c>
      <c r="AM12" s="99" t="s">
        <v>93</v>
      </c>
      <c r="AN12" s="99" t="s">
        <v>92</v>
      </c>
      <c r="AO12" s="99" t="s">
        <v>92</v>
      </c>
      <c r="AP12" s="99" t="s">
        <v>93</v>
      </c>
      <c r="AQ12" s="99" t="s">
        <v>92</v>
      </c>
      <c r="AR12" s="99" t="s">
        <v>6949</v>
      </c>
      <c r="AS12" s="458" t="s">
        <v>95</v>
      </c>
      <c r="AT12" s="458" t="s">
        <v>95</v>
      </c>
      <c r="AU12" s="99" t="s">
        <v>93</v>
      </c>
      <c r="AV12" s="99" t="s">
        <v>93</v>
      </c>
      <c r="AW12" s="99" t="s">
        <v>93</v>
      </c>
      <c r="AX12" s="99" t="s">
        <v>93</v>
      </c>
      <c r="AY12" s="99" t="s">
        <v>93</v>
      </c>
      <c r="AZ12" s="460" t="s">
        <v>93</v>
      </c>
      <c r="BA12" s="460"/>
      <c r="BB12" s="460" t="s">
        <v>92</v>
      </c>
      <c r="BC12" s="460" t="s">
        <v>92</v>
      </c>
      <c r="BD12" s="460" t="s">
        <v>92</v>
      </c>
      <c r="BE12" s="460"/>
      <c r="BF12" s="460" t="s">
        <v>93</v>
      </c>
      <c r="BG12" s="460"/>
      <c r="BH12" s="460"/>
      <c r="BI12" s="460"/>
      <c r="BJ12" s="460" t="s">
        <v>92</v>
      </c>
      <c r="BK12" s="460" t="s">
        <v>93</v>
      </c>
      <c r="BL12" s="460"/>
      <c r="BM12" s="461" t="s">
        <v>7012</v>
      </c>
      <c r="BN12" s="461" t="s">
        <v>7013</v>
      </c>
      <c r="BO12" s="461" t="s">
        <v>7014</v>
      </c>
      <c r="BP12" s="461" t="s">
        <v>7015</v>
      </c>
      <c r="BQ12" s="466" t="s">
        <v>7016</v>
      </c>
      <c r="BR12" s="463"/>
    </row>
    <row r="13" ht="15.75" customHeight="1">
      <c r="A13" s="457"/>
      <c r="B13" s="458" t="s">
        <v>7017</v>
      </c>
      <c r="C13" s="457">
        <v>45.0</v>
      </c>
      <c r="D13" s="458" t="s">
        <v>7018</v>
      </c>
      <c r="E13" s="99" t="s">
        <v>189</v>
      </c>
      <c r="F13" s="458" t="s">
        <v>7019</v>
      </c>
      <c r="G13" s="99" t="s">
        <v>3346</v>
      </c>
      <c r="H13" s="99" t="s">
        <v>95</v>
      </c>
      <c r="I13" s="99" t="s">
        <v>94</v>
      </c>
      <c r="J13" s="99" t="s">
        <v>92</v>
      </c>
      <c r="K13" s="457">
        <v>2021.0</v>
      </c>
      <c r="L13" s="99" t="s">
        <v>92</v>
      </c>
      <c r="M13" s="99" t="s">
        <v>93</v>
      </c>
      <c r="N13" s="99" t="s">
        <v>92</v>
      </c>
      <c r="O13" s="99" t="s">
        <v>92</v>
      </c>
      <c r="P13" s="99">
        <v>2021.0</v>
      </c>
      <c r="Q13" s="99" t="s">
        <v>96</v>
      </c>
      <c r="R13" s="197" t="s">
        <v>5902</v>
      </c>
      <c r="S13" s="197"/>
      <c r="T13" s="197"/>
      <c r="U13" s="99" t="s">
        <v>92</v>
      </c>
      <c r="V13" s="99" t="s">
        <v>92</v>
      </c>
      <c r="W13" s="99" t="s">
        <v>92</v>
      </c>
      <c r="X13" s="99" t="s">
        <v>92</v>
      </c>
      <c r="Y13" s="99" t="s">
        <v>93</v>
      </c>
      <c r="Z13" s="99" t="s">
        <v>92</v>
      </c>
      <c r="AA13" s="197" t="s">
        <v>93</v>
      </c>
      <c r="AB13" s="197"/>
      <c r="AC13" s="197"/>
      <c r="AD13" s="197"/>
      <c r="AE13" s="197" t="s">
        <v>92</v>
      </c>
      <c r="AF13" s="458" t="s">
        <v>7020</v>
      </c>
      <c r="AG13" s="197" t="s">
        <v>6990</v>
      </c>
      <c r="AH13" s="197"/>
      <c r="AI13" s="459" t="s">
        <v>92</v>
      </c>
      <c r="AJ13" s="463" t="s">
        <v>3410</v>
      </c>
      <c r="AK13" s="99" t="s">
        <v>92</v>
      </c>
      <c r="AL13" s="99" t="s">
        <v>92</v>
      </c>
      <c r="AM13" s="99" t="s">
        <v>92</v>
      </c>
      <c r="AN13" s="99" t="s">
        <v>92</v>
      </c>
      <c r="AO13" s="99" t="s">
        <v>92</v>
      </c>
      <c r="AP13" s="99" t="s">
        <v>93</v>
      </c>
      <c r="AQ13" s="99" t="s">
        <v>92</v>
      </c>
      <c r="AR13" s="99" t="s">
        <v>6942</v>
      </c>
      <c r="AS13" s="458" t="s">
        <v>3520</v>
      </c>
      <c r="AT13" s="458" t="s">
        <v>3451</v>
      </c>
      <c r="AU13" s="99" t="s">
        <v>92</v>
      </c>
      <c r="AV13" s="99" t="s">
        <v>92</v>
      </c>
      <c r="AW13" s="99" t="s">
        <v>92</v>
      </c>
      <c r="AX13" s="99" t="s">
        <v>93</v>
      </c>
      <c r="AY13" s="99" t="s">
        <v>92</v>
      </c>
      <c r="AZ13" s="460" t="s">
        <v>93</v>
      </c>
      <c r="BA13" s="460"/>
      <c r="BB13" s="460" t="s">
        <v>92</v>
      </c>
      <c r="BC13" s="460" t="s">
        <v>92</v>
      </c>
      <c r="BD13" s="460" t="s">
        <v>92</v>
      </c>
      <c r="BE13" s="460"/>
      <c r="BF13" s="460" t="s">
        <v>92</v>
      </c>
      <c r="BG13" s="460"/>
      <c r="BH13" s="460"/>
      <c r="BI13" s="460"/>
      <c r="BJ13" s="460" t="s">
        <v>93</v>
      </c>
      <c r="BK13" s="460" t="s">
        <v>92</v>
      </c>
      <c r="BL13" s="460"/>
      <c r="BM13" s="461" t="s">
        <v>7021</v>
      </c>
      <c r="BN13" s="462"/>
      <c r="BO13" s="462"/>
      <c r="BP13" s="462"/>
      <c r="BQ13" s="463"/>
      <c r="BR13" s="463"/>
    </row>
    <row r="14" ht="15.75" customHeight="1">
      <c r="A14" s="457"/>
      <c r="B14" s="458" t="s">
        <v>7022</v>
      </c>
      <c r="C14" s="457">
        <v>55.0</v>
      </c>
      <c r="D14" s="463" t="s">
        <v>7023</v>
      </c>
      <c r="E14" s="99" t="s">
        <v>90</v>
      </c>
      <c r="F14" s="458" t="s">
        <v>7024</v>
      </c>
      <c r="G14" s="99" t="s">
        <v>3346</v>
      </c>
      <c r="H14" s="99" t="s">
        <v>95</v>
      </c>
      <c r="I14" s="99" t="s">
        <v>287</v>
      </c>
      <c r="J14" s="99" t="s">
        <v>92</v>
      </c>
      <c r="K14" s="457">
        <v>2021.0</v>
      </c>
      <c r="L14" s="99" t="s">
        <v>92</v>
      </c>
      <c r="M14" s="99" t="s">
        <v>93</v>
      </c>
      <c r="N14" s="99" t="s">
        <v>93</v>
      </c>
      <c r="O14" s="99" t="s">
        <v>93</v>
      </c>
      <c r="P14" s="99" t="s">
        <v>95</v>
      </c>
      <c r="Q14" s="99" t="s">
        <v>114</v>
      </c>
      <c r="R14" s="197" t="s">
        <v>5902</v>
      </c>
      <c r="S14" s="197"/>
      <c r="T14" s="197"/>
      <c r="U14" s="99" t="s">
        <v>92</v>
      </c>
      <c r="V14" s="99" t="s">
        <v>92</v>
      </c>
      <c r="W14" s="99" t="s">
        <v>92</v>
      </c>
      <c r="X14" s="99" t="s">
        <v>92</v>
      </c>
      <c r="Y14" s="99" t="s">
        <v>93</v>
      </c>
      <c r="Z14" s="99" t="s">
        <v>92</v>
      </c>
      <c r="AA14" s="197" t="s">
        <v>92</v>
      </c>
      <c r="AB14" s="197" t="s">
        <v>95</v>
      </c>
      <c r="AC14" s="197"/>
      <c r="AD14" s="197"/>
      <c r="AE14" s="197" t="s">
        <v>92</v>
      </c>
      <c r="AF14" s="464" t="s">
        <v>7025</v>
      </c>
      <c r="AG14" s="197" t="s">
        <v>6941</v>
      </c>
      <c r="AH14" s="197"/>
      <c r="AI14" s="459" t="s">
        <v>92</v>
      </c>
      <c r="AJ14" s="458" t="s">
        <v>6957</v>
      </c>
      <c r="AK14" s="99" t="s">
        <v>93</v>
      </c>
      <c r="AL14" s="99" t="s">
        <v>92</v>
      </c>
      <c r="AM14" s="99" t="s">
        <v>92</v>
      </c>
      <c r="AN14" s="99" t="s">
        <v>92</v>
      </c>
      <c r="AO14" s="99" t="s">
        <v>92</v>
      </c>
      <c r="AP14" s="99" t="s">
        <v>93</v>
      </c>
      <c r="AQ14" s="99" t="s">
        <v>92</v>
      </c>
      <c r="AR14" s="99" t="s">
        <v>6942</v>
      </c>
      <c r="AS14" s="458" t="s">
        <v>7026</v>
      </c>
      <c r="AT14" s="458" t="s">
        <v>3451</v>
      </c>
      <c r="AU14" s="99" t="s">
        <v>92</v>
      </c>
      <c r="AV14" s="99" t="s">
        <v>92</v>
      </c>
      <c r="AW14" s="99" t="s">
        <v>92</v>
      </c>
      <c r="AX14" s="99" t="s">
        <v>93</v>
      </c>
      <c r="AY14" s="99" t="s">
        <v>92</v>
      </c>
      <c r="AZ14" s="460" t="s">
        <v>93</v>
      </c>
      <c r="BA14" s="460"/>
      <c r="BB14" s="460" t="s">
        <v>92</v>
      </c>
      <c r="BC14" s="460" t="s">
        <v>92</v>
      </c>
      <c r="BD14" s="460" t="s">
        <v>92</v>
      </c>
      <c r="BE14" s="460"/>
      <c r="BF14" s="460" t="s">
        <v>92</v>
      </c>
      <c r="BG14" s="460"/>
      <c r="BH14" s="460"/>
      <c r="BI14" s="460"/>
      <c r="BJ14" s="460" t="s">
        <v>92</v>
      </c>
      <c r="BK14" s="460" t="s">
        <v>93</v>
      </c>
      <c r="BL14" s="460"/>
      <c r="BM14" s="461" t="s">
        <v>7027</v>
      </c>
      <c r="BN14" s="461" t="s">
        <v>7028</v>
      </c>
      <c r="BO14" s="461" t="s">
        <v>7029</v>
      </c>
      <c r="BP14" s="462"/>
      <c r="BQ14" s="463"/>
      <c r="BR14" s="463"/>
    </row>
    <row r="15" ht="15.75" customHeight="1">
      <c r="A15" s="457"/>
      <c r="B15" s="458" t="s">
        <v>7030</v>
      </c>
      <c r="C15" s="457">
        <v>58.0</v>
      </c>
      <c r="D15" s="458" t="s">
        <v>7031</v>
      </c>
      <c r="E15" s="99" t="s">
        <v>90</v>
      </c>
      <c r="F15" s="458" t="s">
        <v>7032</v>
      </c>
      <c r="G15" s="99" t="s">
        <v>3346</v>
      </c>
      <c r="H15" s="99" t="s">
        <v>95</v>
      </c>
      <c r="I15" s="99" t="s">
        <v>1135</v>
      </c>
      <c r="J15" s="99" t="s">
        <v>92</v>
      </c>
      <c r="K15" s="457">
        <v>2021.0</v>
      </c>
      <c r="L15" s="99" t="s">
        <v>92</v>
      </c>
      <c r="M15" s="99" t="s">
        <v>93</v>
      </c>
      <c r="N15" s="99" t="s">
        <v>92</v>
      </c>
      <c r="O15" s="99" t="s">
        <v>92</v>
      </c>
      <c r="P15" s="99">
        <v>2021.0</v>
      </c>
      <c r="Q15" s="99" t="s">
        <v>96</v>
      </c>
      <c r="R15" s="197" t="s">
        <v>5902</v>
      </c>
      <c r="S15" s="197"/>
      <c r="T15" s="197"/>
      <c r="U15" s="99" t="s">
        <v>92</v>
      </c>
      <c r="V15" s="99" t="s">
        <v>92</v>
      </c>
      <c r="W15" s="99" t="s">
        <v>92</v>
      </c>
      <c r="X15" s="99" t="s">
        <v>92</v>
      </c>
      <c r="Y15" s="99" t="s">
        <v>92</v>
      </c>
      <c r="Z15" s="99" t="s">
        <v>92</v>
      </c>
      <c r="AA15" s="197" t="s">
        <v>92</v>
      </c>
      <c r="AB15" s="197" t="s">
        <v>95</v>
      </c>
      <c r="AC15" s="197"/>
      <c r="AD15" s="197"/>
      <c r="AE15" s="197" t="s">
        <v>92</v>
      </c>
      <c r="AF15" s="463" t="s">
        <v>2572</v>
      </c>
      <c r="AG15" s="197" t="s">
        <v>6990</v>
      </c>
      <c r="AH15" s="197"/>
      <c r="AI15" s="459" t="s">
        <v>93</v>
      </c>
      <c r="AJ15" s="463" t="s">
        <v>7011</v>
      </c>
      <c r="AK15" s="99" t="s">
        <v>92</v>
      </c>
      <c r="AL15" s="99" t="s">
        <v>92</v>
      </c>
      <c r="AM15" s="99" t="s">
        <v>93</v>
      </c>
      <c r="AN15" s="99" t="s">
        <v>92</v>
      </c>
      <c r="AO15" s="99" t="s">
        <v>92</v>
      </c>
      <c r="AP15" s="99" t="s">
        <v>93</v>
      </c>
      <c r="AQ15" s="99" t="s">
        <v>92</v>
      </c>
      <c r="AR15" s="99" t="s">
        <v>6942</v>
      </c>
      <c r="AS15" s="458" t="s">
        <v>7033</v>
      </c>
      <c r="AT15" s="458" t="s">
        <v>7034</v>
      </c>
      <c r="AU15" s="99" t="s">
        <v>92</v>
      </c>
      <c r="AV15" s="99" t="s">
        <v>93</v>
      </c>
      <c r="AW15" s="99" t="s">
        <v>93</v>
      </c>
      <c r="AX15" s="99" t="s">
        <v>92</v>
      </c>
      <c r="AY15" s="99" t="s">
        <v>92</v>
      </c>
      <c r="AZ15" s="460" t="s">
        <v>93</v>
      </c>
      <c r="BA15" s="460"/>
      <c r="BB15" s="460" t="s">
        <v>92</v>
      </c>
      <c r="BC15" s="460" t="s">
        <v>92</v>
      </c>
      <c r="BD15" s="460" t="s">
        <v>92</v>
      </c>
      <c r="BE15" s="460"/>
      <c r="BF15" s="460" t="s">
        <v>92</v>
      </c>
      <c r="BG15" s="460"/>
      <c r="BH15" s="460"/>
      <c r="BI15" s="460"/>
      <c r="BJ15" s="460" t="s">
        <v>93</v>
      </c>
      <c r="BK15" s="460" t="s">
        <v>92</v>
      </c>
      <c r="BL15" s="460"/>
      <c r="BM15" s="461" t="s">
        <v>7035</v>
      </c>
      <c r="BN15" s="462"/>
      <c r="BO15" s="462"/>
      <c r="BP15" s="462"/>
      <c r="BQ15" s="463"/>
      <c r="BR15" s="463"/>
    </row>
    <row r="16" ht="15.75" customHeight="1">
      <c r="A16" s="457"/>
      <c r="B16" s="463" t="s">
        <v>2098</v>
      </c>
      <c r="C16" s="457">
        <v>65.0</v>
      </c>
      <c r="D16" s="458" t="s">
        <v>7036</v>
      </c>
      <c r="E16" s="99" t="s">
        <v>110</v>
      </c>
      <c r="F16" s="458" t="s">
        <v>7037</v>
      </c>
      <c r="G16" s="99" t="s">
        <v>3346</v>
      </c>
      <c r="H16" s="99" t="s">
        <v>95</v>
      </c>
      <c r="I16" s="99" t="s">
        <v>94</v>
      </c>
      <c r="J16" s="99" t="s">
        <v>92</v>
      </c>
      <c r="K16" s="457" t="s">
        <v>105</v>
      </c>
      <c r="L16" s="99" t="s">
        <v>93</v>
      </c>
      <c r="M16" s="99" t="s">
        <v>93</v>
      </c>
      <c r="N16" s="99" t="s">
        <v>92</v>
      </c>
      <c r="O16" s="99" t="s">
        <v>92</v>
      </c>
      <c r="P16" s="99" t="s">
        <v>105</v>
      </c>
      <c r="Q16" s="99" t="s">
        <v>105</v>
      </c>
      <c r="R16" s="197" t="s">
        <v>5902</v>
      </c>
      <c r="S16" s="197"/>
      <c r="T16" s="197"/>
      <c r="U16" s="99" t="s">
        <v>93</v>
      </c>
      <c r="V16" s="99" t="s">
        <v>92</v>
      </c>
      <c r="W16" s="99" t="s">
        <v>92</v>
      </c>
      <c r="X16" s="99" t="s">
        <v>92</v>
      </c>
      <c r="Y16" s="99" t="s">
        <v>93</v>
      </c>
      <c r="Z16" s="99" t="s">
        <v>92</v>
      </c>
      <c r="AA16" s="197" t="s">
        <v>93</v>
      </c>
      <c r="AB16" s="197"/>
      <c r="AC16" s="197"/>
      <c r="AD16" s="197"/>
      <c r="AE16" s="197" t="s">
        <v>92</v>
      </c>
      <c r="AF16" s="458" t="s">
        <v>7038</v>
      </c>
      <c r="AG16" s="197" t="s">
        <v>6990</v>
      </c>
      <c r="AH16" s="197"/>
      <c r="AI16" s="459" t="s">
        <v>92</v>
      </c>
      <c r="AJ16" s="463" t="s">
        <v>3410</v>
      </c>
      <c r="AK16" s="99" t="s">
        <v>92</v>
      </c>
      <c r="AL16" s="99" t="s">
        <v>92</v>
      </c>
      <c r="AM16" s="99" t="s">
        <v>92</v>
      </c>
      <c r="AN16" s="99" t="s">
        <v>92</v>
      </c>
      <c r="AO16" s="99" t="s">
        <v>92</v>
      </c>
      <c r="AP16" s="99" t="s">
        <v>93</v>
      </c>
      <c r="AQ16" s="99" t="s">
        <v>92</v>
      </c>
      <c r="AR16" s="99" t="s">
        <v>6949</v>
      </c>
      <c r="AS16" s="458" t="s">
        <v>95</v>
      </c>
      <c r="AT16" s="458" t="s">
        <v>95</v>
      </c>
      <c r="AU16" s="99" t="s">
        <v>93</v>
      </c>
      <c r="AV16" s="99" t="s">
        <v>93</v>
      </c>
      <c r="AW16" s="99" t="s">
        <v>93</v>
      </c>
      <c r="AX16" s="99" t="s">
        <v>93</v>
      </c>
      <c r="AY16" s="99" t="s">
        <v>93</v>
      </c>
      <c r="AZ16" s="460" t="s">
        <v>93</v>
      </c>
      <c r="BA16" s="460"/>
      <c r="BB16" s="460" t="s">
        <v>92</v>
      </c>
      <c r="BC16" s="460" t="s">
        <v>92</v>
      </c>
      <c r="BD16" s="460" t="s">
        <v>92</v>
      </c>
      <c r="BE16" s="460"/>
      <c r="BF16" s="460" t="s">
        <v>92</v>
      </c>
      <c r="BG16" s="460"/>
      <c r="BH16" s="460"/>
      <c r="BI16" s="460"/>
      <c r="BJ16" s="460" t="s">
        <v>93</v>
      </c>
      <c r="BK16" s="460" t="s">
        <v>105</v>
      </c>
      <c r="BL16" s="460"/>
      <c r="BM16" s="461" t="s">
        <v>7039</v>
      </c>
      <c r="BN16" s="461" t="s">
        <v>7040</v>
      </c>
      <c r="BO16" s="462"/>
      <c r="BP16" s="462"/>
      <c r="BQ16" s="463"/>
      <c r="BR16" s="463"/>
    </row>
    <row r="17" ht="15.75" customHeight="1">
      <c r="A17" s="457"/>
      <c r="B17" s="458" t="s">
        <v>7041</v>
      </c>
      <c r="C17" s="457">
        <v>68.0</v>
      </c>
      <c r="D17" s="463" t="s">
        <v>7042</v>
      </c>
      <c r="E17" s="99" t="s">
        <v>189</v>
      </c>
      <c r="F17" s="458" t="s">
        <v>7043</v>
      </c>
      <c r="G17" s="99" t="s">
        <v>3346</v>
      </c>
      <c r="H17" s="99" t="s">
        <v>95</v>
      </c>
      <c r="I17" s="99" t="s">
        <v>94</v>
      </c>
      <c r="J17" s="99" t="s">
        <v>92</v>
      </c>
      <c r="K17" s="457">
        <v>2020.0</v>
      </c>
      <c r="L17" s="99" t="s">
        <v>93</v>
      </c>
      <c r="M17" s="99" t="s">
        <v>92</v>
      </c>
      <c r="N17" s="99" t="s">
        <v>92</v>
      </c>
      <c r="O17" s="99" t="s">
        <v>92</v>
      </c>
      <c r="P17" s="99">
        <v>2020.0</v>
      </c>
      <c r="Q17" s="99" t="s">
        <v>96</v>
      </c>
      <c r="R17" s="197" t="s">
        <v>5902</v>
      </c>
      <c r="S17" s="197"/>
      <c r="T17" s="197"/>
      <c r="U17" s="99" t="s">
        <v>93</v>
      </c>
      <c r="V17" s="99" t="s">
        <v>92</v>
      </c>
      <c r="W17" s="99" t="s">
        <v>92</v>
      </c>
      <c r="X17" s="99" t="s">
        <v>92</v>
      </c>
      <c r="Y17" s="99" t="s">
        <v>93</v>
      </c>
      <c r="Z17" s="99" t="s">
        <v>92</v>
      </c>
      <c r="AA17" s="197" t="s">
        <v>92</v>
      </c>
      <c r="AB17" s="197" t="s">
        <v>95</v>
      </c>
      <c r="AC17" s="197"/>
      <c r="AD17" s="197"/>
      <c r="AE17" s="197" t="s">
        <v>93</v>
      </c>
      <c r="AF17" s="463" t="s">
        <v>1864</v>
      </c>
      <c r="AG17" s="197" t="s">
        <v>6990</v>
      </c>
      <c r="AH17" s="197"/>
      <c r="AI17" s="459" t="s">
        <v>92</v>
      </c>
      <c r="AJ17" s="463" t="s">
        <v>3410</v>
      </c>
      <c r="AK17" s="99" t="s">
        <v>92</v>
      </c>
      <c r="AL17" s="99" t="s">
        <v>92</v>
      </c>
      <c r="AM17" s="99" t="s">
        <v>92</v>
      </c>
      <c r="AN17" s="99" t="s">
        <v>92</v>
      </c>
      <c r="AO17" s="99" t="s">
        <v>92</v>
      </c>
      <c r="AP17" s="99" t="s">
        <v>93</v>
      </c>
      <c r="AQ17" s="99" t="s">
        <v>92</v>
      </c>
      <c r="AR17" s="99" t="s">
        <v>6942</v>
      </c>
      <c r="AS17" s="458" t="s">
        <v>7044</v>
      </c>
      <c r="AT17" s="458" t="s">
        <v>7045</v>
      </c>
      <c r="AU17" s="99" t="s">
        <v>92</v>
      </c>
      <c r="AV17" s="99" t="s">
        <v>93</v>
      </c>
      <c r="AW17" s="99" t="s">
        <v>93</v>
      </c>
      <c r="AX17" s="99" t="s">
        <v>93</v>
      </c>
      <c r="AY17" s="99" t="s">
        <v>92</v>
      </c>
      <c r="AZ17" s="460" t="s">
        <v>93</v>
      </c>
      <c r="BA17" s="460"/>
      <c r="BB17" s="460" t="s">
        <v>92</v>
      </c>
      <c r="BC17" s="460" t="s">
        <v>92</v>
      </c>
      <c r="BD17" s="460" t="s">
        <v>92</v>
      </c>
      <c r="BE17" s="460"/>
      <c r="BF17" s="460" t="s">
        <v>92</v>
      </c>
      <c r="BG17" s="460"/>
      <c r="BH17" s="460"/>
      <c r="BI17" s="460"/>
      <c r="BJ17" s="460" t="s">
        <v>93</v>
      </c>
      <c r="BK17" s="460" t="s">
        <v>92</v>
      </c>
      <c r="BL17" s="460"/>
      <c r="BM17" s="461" t="s">
        <v>7046</v>
      </c>
      <c r="BN17" s="462"/>
      <c r="BO17" s="462"/>
      <c r="BP17" s="462"/>
      <c r="BQ17" s="463"/>
      <c r="BR17" s="463"/>
    </row>
    <row r="18" ht="15.75" customHeight="1">
      <c r="A18" s="457"/>
      <c r="B18" s="458" t="s">
        <v>2729</v>
      </c>
      <c r="C18" s="457">
        <v>69.0</v>
      </c>
      <c r="D18" s="458" t="s">
        <v>7047</v>
      </c>
      <c r="E18" s="99" t="s">
        <v>189</v>
      </c>
      <c r="F18" s="458" t="s">
        <v>7048</v>
      </c>
      <c r="G18" s="99" t="s">
        <v>3346</v>
      </c>
      <c r="H18" s="99" t="s">
        <v>95</v>
      </c>
      <c r="I18" s="99" t="s">
        <v>94</v>
      </c>
      <c r="J18" s="99" t="s">
        <v>92</v>
      </c>
      <c r="K18" s="457">
        <v>2020.0</v>
      </c>
      <c r="L18" s="99" t="s">
        <v>93</v>
      </c>
      <c r="M18" s="99" t="s">
        <v>92</v>
      </c>
      <c r="N18" s="99" t="s">
        <v>92</v>
      </c>
      <c r="O18" s="99" t="s">
        <v>92</v>
      </c>
      <c r="P18" s="99">
        <v>2020.0</v>
      </c>
      <c r="Q18" s="99" t="s">
        <v>96</v>
      </c>
      <c r="R18" s="197" t="s">
        <v>5902</v>
      </c>
      <c r="S18" s="197"/>
      <c r="T18" s="197"/>
      <c r="U18" s="99" t="s">
        <v>92</v>
      </c>
      <c r="V18" s="99" t="s">
        <v>92</v>
      </c>
      <c r="W18" s="99" t="s">
        <v>92</v>
      </c>
      <c r="X18" s="99" t="s">
        <v>92</v>
      </c>
      <c r="Y18" s="99" t="s">
        <v>93</v>
      </c>
      <c r="Z18" s="99" t="s">
        <v>92</v>
      </c>
      <c r="AA18" s="197" t="s">
        <v>93</v>
      </c>
      <c r="AB18" s="197"/>
      <c r="AC18" s="197"/>
      <c r="AD18" s="197"/>
      <c r="AE18" s="197" t="s">
        <v>93</v>
      </c>
      <c r="AF18" s="458" t="s">
        <v>7049</v>
      </c>
      <c r="AG18" s="197" t="s">
        <v>6990</v>
      </c>
      <c r="AH18" s="197"/>
      <c r="AI18" s="459" t="s">
        <v>92</v>
      </c>
      <c r="AJ18" s="463" t="s">
        <v>3410</v>
      </c>
      <c r="AK18" s="99" t="s">
        <v>92</v>
      </c>
      <c r="AL18" s="99" t="s">
        <v>92</v>
      </c>
      <c r="AM18" s="99" t="s">
        <v>92</v>
      </c>
      <c r="AN18" s="99" t="s">
        <v>92</v>
      </c>
      <c r="AO18" s="99" t="s">
        <v>92</v>
      </c>
      <c r="AP18" s="99" t="s">
        <v>93</v>
      </c>
      <c r="AQ18" s="99" t="s">
        <v>92</v>
      </c>
      <c r="AR18" s="99" t="s">
        <v>6949</v>
      </c>
      <c r="AS18" s="458" t="s">
        <v>95</v>
      </c>
      <c r="AT18" s="458" t="s">
        <v>95</v>
      </c>
      <c r="AU18" s="99" t="s">
        <v>93</v>
      </c>
      <c r="AV18" s="99" t="s">
        <v>93</v>
      </c>
      <c r="AW18" s="99" t="s">
        <v>93</v>
      </c>
      <c r="AX18" s="99" t="s">
        <v>93</v>
      </c>
      <c r="AY18" s="99" t="s">
        <v>93</v>
      </c>
      <c r="AZ18" s="460" t="s">
        <v>93</v>
      </c>
      <c r="BA18" s="460"/>
      <c r="BB18" s="460" t="s">
        <v>92</v>
      </c>
      <c r="BC18" s="460" t="s">
        <v>92</v>
      </c>
      <c r="BD18" s="460" t="s">
        <v>92</v>
      </c>
      <c r="BE18" s="460"/>
      <c r="BF18" s="460" t="s">
        <v>92</v>
      </c>
      <c r="BG18" s="460"/>
      <c r="BH18" s="460"/>
      <c r="BI18" s="460"/>
      <c r="BJ18" s="460" t="s">
        <v>93</v>
      </c>
      <c r="BK18" s="460" t="s">
        <v>92</v>
      </c>
      <c r="BL18" s="460"/>
      <c r="BM18" s="461" t="s">
        <v>7050</v>
      </c>
      <c r="BN18" s="461" t="s">
        <v>7051</v>
      </c>
      <c r="BO18" s="461" t="s">
        <v>7052</v>
      </c>
      <c r="BP18" s="462"/>
      <c r="BQ18" s="463"/>
      <c r="BR18" s="463"/>
    </row>
    <row r="19" ht="15.75" customHeight="1">
      <c r="A19" s="457"/>
      <c r="B19" s="458" t="s">
        <v>2729</v>
      </c>
      <c r="C19" s="457">
        <v>70.0</v>
      </c>
      <c r="D19" s="458" t="s">
        <v>7053</v>
      </c>
      <c r="E19" s="99" t="s">
        <v>90</v>
      </c>
      <c r="F19" s="458" t="s">
        <v>7054</v>
      </c>
      <c r="G19" s="99" t="s">
        <v>3346</v>
      </c>
      <c r="H19" s="99" t="s">
        <v>95</v>
      </c>
      <c r="I19" s="99" t="s">
        <v>94</v>
      </c>
      <c r="J19" s="99" t="s">
        <v>92</v>
      </c>
      <c r="K19" s="457" t="s">
        <v>105</v>
      </c>
      <c r="L19" s="99" t="s">
        <v>93</v>
      </c>
      <c r="M19" s="99" t="s">
        <v>92</v>
      </c>
      <c r="N19" s="99" t="s">
        <v>92</v>
      </c>
      <c r="O19" s="99" t="s">
        <v>92</v>
      </c>
      <c r="P19" s="99" t="s">
        <v>95</v>
      </c>
      <c r="Q19" s="99" t="s">
        <v>114</v>
      </c>
      <c r="R19" s="197" t="s">
        <v>5902</v>
      </c>
      <c r="S19" s="197"/>
      <c r="T19" s="197"/>
      <c r="U19" s="99" t="s">
        <v>92</v>
      </c>
      <c r="V19" s="99" t="s">
        <v>92</v>
      </c>
      <c r="W19" s="99" t="s">
        <v>92</v>
      </c>
      <c r="X19" s="99" t="s">
        <v>92</v>
      </c>
      <c r="Y19" s="99" t="s">
        <v>93</v>
      </c>
      <c r="Z19" s="99" t="s">
        <v>92</v>
      </c>
      <c r="AA19" s="197" t="s">
        <v>93</v>
      </c>
      <c r="AB19" s="197"/>
      <c r="AC19" s="197"/>
      <c r="AD19" s="197"/>
      <c r="AE19" s="197" t="s">
        <v>92</v>
      </c>
      <c r="AF19" s="458" t="s">
        <v>7053</v>
      </c>
      <c r="AG19" s="197" t="s">
        <v>6990</v>
      </c>
      <c r="AH19" s="197"/>
      <c r="AI19" s="459" t="s">
        <v>93</v>
      </c>
      <c r="AJ19" s="463" t="s">
        <v>3410</v>
      </c>
      <c r="AK19" s="99" t="s">
        <v>92</v>
      </c>
      <c r="AL19" s="99" t="s">
        <v>92</v>
      </c>
      <c r="AM19" s="99" t="s">
        <v>92</v>
      </c>
      <c r="AN19" s="99" t="s">
        <v>92</v>
      </c>
      <c r="AO19" s="99" t="s">
        <v>92</v>
      </c>
      <c r="AP19" s="99" t="s">
        <v>93</v>
      </c>
      <c r="AQ19" s="99" t="s">
        <v>92</v>
      </c>
      <c r="AR19" s="99" t="s">
        <v>6942</v>
      </c>
      <c r="AS19" s="458" t="s">
        <v>3520</v>
      </c>
      <c r="AT19" s="458" t="s">
        <v>3451</v>
      </c>
      <c r="AU19" s="99" t="s">
        <v>92</v>
      </c>
      <c r="AV19" s="99" t="s">
        <v>92</v>
      </c>
      <c r="AW19" s="99" t="s">
        <v>92</v>
      </c>
      <c r="AX19" s="99" t="s">
        <v>93</v>
      </c>
      <c r="AY19" s="99" t="s">
        <v>92</v>
      </c>
      <c r="AZ19" s="460" t="s">
        <v>93</v>
      </c>
      <c r="BA19" s="460"/>
      <c r="BB19" s="460" t="s">
        <v>92</v>
      </c>
      <c r="BC19" s="460" t="s">
        <v>92</v>
      </c>
      <c r="BD19" s="460" t="s">
        <v>92</v>
      </c>
      <c r="BE19" s="460"/>
      <c r="BF19" s="460" t="s">
        <v>92</v>
      </c>
      <c r="BG19" s="460"/>
      <c r="BH19" s="460"/>
      <c r="BI19" s="460"/>
      <c r="BJ19" s="460" t="s">
        <v>92</v>
      </c>
      <c r="BK19" s="460" t="s">
        <v>93</v>
      </c>
      <c r="BL19" s="460"/>
      <c r="BM19" s="461" t="s">
        <v>7055</v>
      </c>
      <c r="BN19" s="461" t="s">
        <v>7052</v>
      </c>
      <c r="BO19" s="465"/>
      <c r="BP19" s="462"/>
      <c r="BQ19" s="463"/>
      <c r="BR19" s="463"/>
    </row>
    <row r="20" ht="15.75" customHeight="1">
      <c r="A20" s="457"/>
      <c r="B20" s="458" t="s">
        <v>2729</v>
      </c>
      <c r="C20" s="457">
        <v>71.0</v>
      </c>
      <c r="D20" s="458" t="s">
        <v>2804</v>
      </c>
      <c r="E20" s="99" t="s">
        <v>110</v>
      </c>
      <c r="F20" s="458" t="s">
        <v>7056</v>
      </c>
      <c r="G20" s="99" t="s">
        <v>3346</v>
      </c>
      <c r="H20" s="99" t="s">
        <v>3348</v>
      </c>
      <c r="I20" s="99" t="s">
        <v>94</v>
      </c>
      <c r="J20" s="99" t="s">
        <v>92</v>
      </c>
      <c r="K20" s="457" t="s">
        <v>105</v>
      </c>
      <c r="L20" s="99" t="s">
        <v>93</v>
      </c>
      <c r="M20" s="99" t="s">
        <v>93</v>
      </c>
      <c r="N20" s="99" t="s">
        <v>93</v>
      </c>
      <c r="O20" s="99" t="s">
        <v>93</v>
      </c>
      <c r="P20" s="99" t="s">
        <v>95</v>
      </c>
      <c r="Q20" s="99" t="s">
        <v>114</v>
      </c>
      <c r="R20" s="197" t="s">
        <v>5902</v>
      </c>
      <c r="S20" s="197"/>
      <c r="T20" s="197"/>
      <c r="U20" s="99" t="s">
        <v>92</v>
      </c>
      <c r="V20" s="99" t="s">
        <v>92</v>
      </c>
      <c r="W20" s="99" t="s">
        <v>92</v>
      </c>
      <c r="X20" s="99" t="s">
        <v>92</v>
      </c>
      <c r="Y20" s="99" t="s">
        <v>93</v>
      </c>
      <c r="Z20" s="99" t="s">
        <v>92</v>
      </c>
      <c r="AA20" s="197" t="s">
        <v>93</v>
      </c>
      <c r="AB20" s="197"/>
      <c r="AC20" s="197"/>
      <c r="AD20" s="197"/>
      <c r="AE20" s="197" t="s">
        <v>92</v>
      </c>
      <c r="AF20" s="458" t="s">
        <v>7057</v>
      </c>
      <c r="AG20" s="197" t="s">
        <v>6990</v>
      </c>
      <c r="AH20" s="197"/>
      <c r="AI20" s="459" t="s">
        <v>93</v>
      </c>
      <c r="AJ20" s="458" t="s">
        <v>7058</v>
      </c>
      <c r="AK20" s="99" t="s">
        <v>92</v>
      </c>
      <c r="AL20" s="99" t="s">
        <v>93</v>
      </c>
      <c r="AM20" s="99" t="s">
        <v>92</v>
      </c>
      <c r="AN20" s="99" t="s">
        <v>92</v>
      </c>
      <c r="AO20" s="99" t="s">
        <v>92</v>
      </c>
      <c r="AP20" s="99" t="s">
        <v>93</v>
      </c>
      <c r="AQ20" s="99" t="s">
        <v>92</v>
      </c>
      <c r="AR20" s="99" t="s">
        <v>6949</v>
      </c>
      <c r="AS20" s="458" t="s">
        <v>95</v>
      </c>
      <c r="AT20" s="458" t="s">
        <v>95</v>
      </c>
      <c r="AU20" s="99" t="s">
        <v>93</v>
      </c>
      <c r="AV20" s="99" t="s">
        <v>93</v>
      </c>
      <c r="AW20" s="99" t="s">
        <v>93</v>
      </c>
      <c r="AX20" s="99" t="s">
        <v>93</v>
      </c>
      <c r="AY20" s="99" t="s">
        <v>93</v>
      </c>
      <c r="AZ20" s="460" t="s">
        <v>93</v>
      </c>
      <c r="BA20" s="460"/>
      <c r="BB20" s="460" t="s">
        <v>92</v>
      </c>
      <c r="BC20" s="460" t="s">
        <v>92</v>
      </c>
      <c r="BD20" s="460" t="s">
        <v>92</v>
      </c>
      <c r="BE20" s="460"/>
      <c r="BF20" s="460" t="s">
        <v>93</v>
      </c>
      <c r="BG20" s="460"/>
      <c r="BH20" s="460"/>
      <c r="BI20" s="460"/>
      <c r="BJ20" s="460" t="s">
        <v>92</v>
      </c>
      <c r="BK20" s="460" t="s">
        <v>93</v>
      </c>
      <c r="BL20" s="460"/>
      <c r="BM20" s="461" t="s">
        <v>7051</v>
      </c>
      <c r="BN20" s="461" t="s">
        <v>7059</v>
      </c>
      <c r="BO20" s="461" t="s">
        <v>7060</v>
      </c>
      <c r="BP20" s="462"/>
      <c r="BQ20" s="463"/>
      <c r="BR20" s="463"/>
    </row>
    <row r="21" ht="15.75" customHeight="1">
      <c r="A21" s="457"/>
      <c r="B21" s="463" t="s">
        <v>7061</v>
      </c>
      <c r="C21" s="457">
        <v>74.0</v>
      </c>
      <c r="D21" s="458" t="s">
        <v>7062</v>
      </c>
      <c r="E21" s="99" t="s">
        <v>90</v>
      </c>
      <c r="F21" s="458" t="s">
        <v>7063</v>
      </c>
      <c r="G21" s="99" t="s">
        <v>3346</v>
      </c>
      <c r="H21" s="99" t="s">
        <v>95</v>
      </c>
      <c r="I21" s="99" t="s">
        <v>1135</v>
      </c>
      <c r="J21" s="99" t="s">
        <v>92</v>
      </c>
      <c r="K21" s="457">
        <v>2021.0</v>
      </c>
      <c r="L21" s="99" t="s">
        <v>92</v>
      </c>
      <c r="M21" s="99" t="s">
        <v>93</v>
      </c>
      <c r="N21" s="99" t="s">
        <v>92</v>
      </c>
      <c r="O21" s="99" t="s">
        <v>92</v>
      </c>
      <c r="P21" s="99">
        <v>2021.0</v>
      </c>
      <c r="Q21" s="99" t="s">
        <v>96</v>
      </c>
      <c r="R21" s="197" t="s">
        <v>5902</v>
      </c>
      <c r="S21" s="197"/>
      <c r="T21" s="197"/>
      <c r="U21" s="99" t="s">
        <v>92</v>
      </c>
      <c r="V21" s="99" t="s">
        <v>92</v>
      </c>
      <c r="W21" s="99" t="s">
        <v>92</v>
      </c>
      <c r="X21" s="99" t="s">
        <v>92</v>
      </c>
      <c r="Y21" s="99" t="s">
        <v>92</v>
      </c>
      <c r="Z21" s="99" t="s">
        <v>92</v>
      </c>
      <c r="AA21" s="197" t="s">
        <v>92</v>
      </c>
      <c r="AB21" s="197" t="s">
        <v>95</v>
      </c>
      <c r="AC21" s="197"/>
      <c r="AD21" s="197"/>
      <c r="AE21" s="197" t="s">
        <v>92</v>
      </c>
      <c r="AF21" s="463" t="s">
        <v>7064</v>
      </c>
      <c r="AG21" s="197" t="s">
        <v>6990</v>
      </c>
      <c r="AH21" s="197"/>
      <c r="AI21" s="459" t="s">
        <v>92</v>
      </c>
      <c r="AJ21" s="463" t="s">
        <v>7011</v>
      </c>
      <c r="AK21" s="99" t="s">
        <v>92</v>
      </c>
      <c r="AL21" s="99" t="s">
        <v>92</v>
      </c>
      <c r="AM21" s="99" t="s">
        <v>93</v>
      </c>
      <c r="AN21" s="99" t="s">
        <v>92</v>
      </c>
      <c r="AO21" s="99" t="s">
        <v>92</v>
      </c>
      <c r="AP21" s="99" t="s">
        <v>93</v>
      </c>
      <c r="AQ21" s="99" t="s">
        <v>92</v>
      </c>
      <c r="AR21" s="99" t="s">
        <v>6942</v>
      </c>
      <c r="AS21" s="458" t="s">
        <v>6964</v>
      </c>
      <c r="AT21" s="458" t="s">
        <v>6965</v>
      </c>
      <c r="AU21" s="99" t="s">
        <v>93</v>
      </c>
      <c r="AV21" s="99" t="s">
        <v>92</v>
      </c>
      <c r="AW21" s="99" t="s">
        <v>92</v>
      </c>
      <c r="AX21" s="99" t="s">
        <v>93</v>
      </c>
      <c r="AY21" s="99" t="s">
        <v>92</v>
      </c>
      <c r="AZ21" s="460" t="s">
        <v>93</v>
      </c>
      <c r="BA21" s="460"/>
      <c r="BB21" s="460" t="s">
        <v>92</v>
      </c>
      <c r="BC21" s="460" t="s">
        <v>92</v>
      </c>
      <c r="BD21" s="460" t="s">
        <v>92</v>
      </c>
      <c r="BE21" s="460"/>
      <c r="BF21" s="460" t="s">
        <v>92</v>
      </c>
      <c r="BG21" s="460"/>
      <c r="BH21" s="460"/>
      <c r="BI21" s="460"/>
      <c r="BJ21" s="460" t="s">
        <v>93</v>
      </c>
      <c r="BK21" s="460" t="s">
        <v>92</v>
      </c>
      <c r="BL21" s="460"/>
      <c r="BM21" s="461" t="s">
        <v>7035</v>
      </c>
      <c r="BN21" s="461" t="s">
        <v>7065</v>
      </c>
      <c r="BO21" s="462"/>
      <c r="BP21" s="462"/>
      <c r="BQ21" s="463"/>
      <c r="BR21" s="463"/>
    </row>
    <row r="22" ht="15.75" customHeight="1">
      <c r="A22" s="457"/>
      <c r="B22" s="463" t="s">
        <v>7061</v>
      </c>
      <c r="C22" s="457">
        <v>75.0</v>
      </c>
      <c r="D22" s="458" t="s">
        <v>7066</v>
      </c>
      <c r="E22" s="99" t="s">
        <v>90</v>
      </c>
      <c r="F22" s="458" t="s">
        <v>7067</v>
      </c>
      <c r="G22" s="99" t="s">
        <v>3346</v>
      </c>
      <c r="H22" s="99" t="s">
        <v>95</v>
      </c>
      <c r="I22" s="99" t="s">
        <v>1135</v>
      </c>
      <c r="J22" s="99" t="s">
        <v>92</v>
      </c>
      <c r="K22" s="457">
        <v>2021.0</v>
      </c>
      <c r="L22" s="99" t="s">
        <v>92</v>
      </c>
      <c r="M22" s="99" t="s">
        <v>93</v>
      </c>
      <c r="N22" s="99" t="s">
        <v>92</v>
      </c>
      <c r="O22" s="99" t="s">
        <v>92</v>
      </c>
      <c r="P22" s="99">
        <v>2021.0</v>
      </c>
      <c r="Q22" s="99" t="s">
        <v>96</v>
      </c>
      <c r="R22" s="197" t="s">
        <v>5902</v>
      </c>
      <c r="S22" s="197"/>
      <c r="T22" s="197"/>
      <c r="U22" s="99" t="s">
        <v>92</v>
      </c>
      <c r="V22" s="99" t="s">
        <v>92</v>
      </c>
      <c r="W22" s="99" t="s">
        <v>92</v>
      </c>
      <c r="X22" s="99" t="s">
        <v>92</v>
      </c>
      <c r="Y22" s="99" t="s">
        <v>92</v>
      </c>
      <c r="Z22" s="99" t="s">
        <v>92</v>
      </c>
      <c r="AA22" s="197" t="s">
        <v>92</v>
      </c>
      <c r="AB22" s="197" t="s">
        <v>95</v>
      </c>
      <c r="AC22" s="197"/>
      <c r="AD22" s="197"/>
      <c r="AE22" s="197" t="s">
        <v>92</v>
      </c>
      <c r="AF22" s="463" t="s">
        <v>1204</v>
      </c>
      <c r="AG22" s="197" t="s">
        <v>6990</v>
      </c>
      <c r="AH22" s="197"/>
      <c r="AI22" s="459" t="s">
        <v>93</v>
      </c>
      <c r="AJ22" s="463" t="s">
        <v>7011</v>
      </c>
      <c r="AK22" s="99" t="s">
        <v>92</v>
      </c>
      <c r="AL22" s="99" t="s">
        <v>92</v>
      </c>
      <c r="AM22" s="99" t="s">
        <v>93</v>
      </c>
      <c r="AN22" s="99" t="s">
        <v>92</v>
      </c>
      <c r="AO22" s="99" t="s">
        <v>92</v>
      </c>
      <c r="AP22" s="99" t="s">
        <v>93</v>
      </c>
      <c r="AQ22" s="99" t="s">
        <v>92</v>
      </c>
      <c r="AR22" s="99" t="s">
        <v>6942</v>
      </c>
      <c r="AS22" s="458" t="s">
        <v>3520</v>
      </c>
      <c r="AT22" s="458" t="s">
        <v>3451</v>
      </c>
      <c r="AU22" s="99" t="s">
        <v>92</v>
      </c>
      <c r="AV22" s="99" t="s">
        <v>92</v>
      </c>
      <c r="AW22" s="99" t="s">
        <v>92</v>
      </c>
      <c r="AX22" s="99" t="s">
        <v>93</v>
      </c>
      <c r="AY22" s="99" t="s">
        <v>92</v>
      </c>
      <c r="AZ22" s="460" t="s">
        <v>93</v>
      </c>
      <c r="BA22" s="460"/>
      <c r="BB22" s="460" t="s">
        <v>92</v>
      </c>
      <c r="BC22" s="460" t="s">
        <v>92</v>
      </c>
      <c r="BD22" s="460" t="s">
        <v>92</v>
      </c>
      <c r="BE22" s="460"/>
      <c r="BF22" s="460" t="s">
        <v>92</v>
      </c>
      <c r="BG22" s="460"/>
      <c r="BH22" s="460"/>
      <c r="BI22" s="460"/>
      <c r="BJ22" s="460" t="s">
        <v>93</v>
      </c>
      <c r="BK22" s="460" t="s">
        <v>92</v>
      </c>
      <c r="BL22" s="460"/>
      <c r="BM22" s="461" t="s">
        <v>7035</v>
      </c>
      <c r="BN22" s="462"/>
      <c r="BO22" s="462"/>
      <c r="BP22" s="462"/>
      <c r="BQ22" s="463"/>
      <c r="BR22" s="463"/>
    </row>
    <row r="23" ht="15.75" customHeight="1">
      <c r="A23" s="457"/>
      <c r="B23" s="463" t="s">
        <v>7068</v>
      </c>
      <c r="C23" s="457">
        <v>76.0</v>
      </c>
      <c r="D23" s="458" t="s">
        <v>7069</v>
      </c>
      <c r="E23" s="99" t="s">
        <v>189</v>
      </c>
      <c r="F23" s="458" t="s">
        <v>7070</v>
      </c>
      <c r="G23" s="99" t="s">
        <v>3346</v>
      </c>
      <c r="H23" s="99" t="s">
        <v>95</v>
      </c>
      <c r="I23" s="99" t="s">
        <v>94</v>
      </c>
      <c r="J23" s="99" t="s">
        <v>92</v>
      </c>
      <c r="K23" s="457">
        <v>2021.0</v>
      </c>
      <c r="L23" s="99" t="s">
        <v>92</v>
      </c>
      <c r="M23" s="99" t="s">
        <v>93</v>
      </c>
      <c r="N23" s="99" t="s">
        <v>92</v>
      </c>
      <c r="O23" s="99" t="s">
        <v>92</v>
      </c>
      <c r="P23" s="99">
        <v>2021.0</v>
      </c>
      <c r="Q23" s="99" t="s">
        <v>96</v>
      </c>
      <c r="R23" s="197" t="s">
        <v>5902</v>
      </c>
      <c r="S23" s="197"/>
      <c r="T23" s="197"/>
      <c r="U23" s="99" t="s">
        <v>92</v>
      </c>
      <c r="V23" s="99" t="s">
        <v>92</v>
      </c>
      <c r="W23" s="99" t="s">
        <v>92</v>
      </c>
      <c r="X23" s="99" t="s">
        <v>92</v>
      </c>
      <c r="Y23" s="99" t="s">
        <v>93</v>
      </c>
      <c r="Z23" s="99" t="s">
        <v>92</v>
      </c>
      <c r="AA23" s="197" t="s">
        <v>92</v>
      </c>
      <c r="AB23" s="197" t="s">
        <v>95</v>
      </c>
      <c r="AC23" s="197"/>
      <c r="AD23" s="197"/>
      <c r="AE23" s="197" t="s">
        <v>92</v>
      </c>
      <c r="AF23" s="464" t="s">
        <v>7071</v>
      </c>
      <c r="AG23" s="197" t="s">
        <v>6990</v>
      </c>
      <c r="AH23" s="197"/>
      <c r="AI23" s="459" t="s">
        <v>92</v>
      </c>
      <c r="AJ23" s="463" t="s">
        <v>3410</v>
      </c>
      <c r="AK23" s="99" t="s">
        <v>92</v>
      </c>
      <c r="AL23" s="99" t="s">
        <v>92</v>
      </c>
      <c r="AM23" s="99" t="s">
        <v>92</v>
      </c>
      <c r="AN23" s="99" t="s">
        <v>92</v>
      </c>
      <c r="AO23" s="99" t="s">
        <v>92</v>
      </c>
      <c r="AP23" s="99" t="s">
        <v>93</v>
      </c>
      <c r="AQ23" s="99" t="s">
        <v>92</v>
      </c>
      <c r="AR23" s="99" t="s">
        <v>6942</v>
      </c>
      <c r="AS23" s="458" t="s">
        <v>7072</v>
      </c>
      <c r="AT23" s="458" t="s">
        <v>7073</v>
      </c>
      <c r="AU23" s="99" t="s">
        <v>92</v>
      </c>
      <c r="AV23" s="99" t="s">
        <v>93</v>
      </c>
      <c r="AW23" s="99" t="s">
        <v>92</v>
      </c>
      <c r="AX23" s="99" t="s">
        <v>93</v>
      </c>
      <c r="AY23" s="99" t="s">
        <v>92</v>
      </c>
      <c r="AZ23" s="460" t="s">
        <v>93</v>
      </c>
      <c r="BA23" s="460"/>
      <c r="BB23" s="460" t="s">
        <v>92</v>
      </c>
      <c r="BC23" s="460" t="s">
        <v>92</v>
      </c>
      <c r="BD23" s="460" t="s">
        <v>92</v>
      </c>
      <c r="BE23" s="460"/>
      <c r="BF23" s="460" t="s">
        <v>92</v>
      </c>
      <c r="BG23" s="460"/>
      <c r="BH23" s="460"/>
      <c r="BI23" s="460"/>
      <c r="BJ23" s="460" t="s">
        <v>93</v>
      </c>
      <c r="BK23" s="460" t="s">
        <v>92</v>
      </c>
      <c r="BL23" s="460"/>
      <c r="BM23" s="461" t="s">
        <v>7074</v>
      </c>
      <c r="BN23" s="462"/>
      <c r="BO23" s="462"/>
      <c r="BP23" s="462"/>
      <c r="BQ23" s="463"/>
      <c r="BR23" s="463"/>
    </row>
    <row r="24" ht="15.75" customHeight="1">
      <c r="A24" s="457"/>
      <c r="B24" s="458" t="s">
        <v>7068</v>
      </c>
      <c r="C24" s="457">
        <v>77.0</v>
      </c>
      <c r="D24" s="458" t="s">
        <v>7075</v>
      </c>
      <c r="E24" s="99" t="s">
        <v>90</v>
      </c>
      <c r="F24" s="458" t="s">
        <v>7076</v>
      </c>
      <c r="G24" s="99" t="s">
        <v>3346</v>
      </c>
      <c r="H24" s="99" t="s">
        <v>3348</v>
      </c>
      <c r="I24" s="99" t="s">
        <v>94</v>
      </c>
      <c r="J24" s="99" t="s">
        <v>92</v>
      </c>
      <c r="K24" s="457">
        <v>2023.0</v>
      </c>
      <c r="L24" s="99" t="s">
        <v>92</v>
      </c>
      <c r="M24" s="99" t="s">
        <v>92</v>
      </c>
      <c r="N24" s="99" t="s">
        <v>92</v>
      </c>
      <c r="O24" s="99" t="s">
        <v>93</v>
      </c>
      <c r="P24" s="99" t="s">
        <v>95</v>
      </c>
      <c r="Q24" s="99" t="s">
        <v>114</v>
      </c>
      <c r="R24" s="197" t="s">
        <v>5902</v>
      </c>
      <c r="S24" s="197"/>
      <c r="T24" s="197"/>
      <c r="U24" s="99" t="s">
        <v>92</v>
      </c>
      <c r="V24" s="99" t="s">
        <v>92</v>
      </c>
      <c r="W24" s="99" t="s">
        <v>92</v>
      </c>
      <c r="X24" s="99" t="s">
        <v>92</v>
      </c>
      <c r="Y24" s="99" t="s">
        <v>93</v>
      </c>
      <c r="Z24" s="99" t="s">
        <v>92</v>
      </c>
      <c r="AA24" s="197" t="s">
        <v>92</v>
      </c>
      <c r="AB24" s="197" t="s">
        <v>95</v>
      </c>
      <c r="AC24" s="197"/>
      <c r="AD24" s="197"/>
      <c r="AE24" s="197" t="s">
        <v>92</v>
      </c>
      <c r="AF24" s="464" t="s">
        <v>7077</v>
      </c>
      <c r="AG24" s="197" t="s">
        <v>6982</v>
      </c>
      <c r="AH24" s="197"/>
      <c r="AI24" s="459" t="s">
        <v>92</v>
      </c>
      <c r="AJ24" s="463" t="s">
        <v>3410</v>
      </c>
      <c r="AK24" s="99" t="s">
        <v>92</v>
      </c>
      <c r="AL24" s="99" t="s">
        <v>92</v>
      </c>
      <c r="AM24" s="99" t="s">
        <v>92</v>
      </c>
      <c r="AN24" s="99" t="s">
        <v>92</v>
      </c>
      <c r="AO24" s="99" t="s">
        <v>92</v>
      </c>
      <c r="AP24" s="99" t="s">
        <v>93</v>
      </c>
      <c r="AQ24" s="99" t="s">
        <v>92</v>
      </c>
      <c r="AR24" s="99" t="s">
        <v>6942</v>
      </c>
      <c r="AS24" s="458" t="s">
        <v>3520</v>
      </c>
      <c r="AT24" s="458" t="s">
        <v>3451</v>
      </c>
      <c r="AU24" s="99" t="s">
        <v>92</v>
      </c>
      <c r="AV24" s="99" t="s">
        <v>92</v>
      </c>
      <c r="AW24" s="99" t="s">
        <v>92</v>
      </c>
      <c r="AX24" s="99" t="s">
        <v>93</v>
      </c>
      <c r="AY24" s="99" t="s">
        <v>92</v>
      </c>
      <c r="AZ24" s="460" t="s">
        <v>93</v>
      </c>
      <c r="BA24" s="460"/>
      <c r="BB24" s="460" t="s">
        <v>92</v>
      </c>
      <c r="BC24" s="460" t="s">
        <v>92</v>
      </c>
      <c r="BD24" s="460" t="s">
        <v>92</v>
      </c>
      <c r="BE24" s="460"/>
      <c r="BF24" s="460" t="s">
        <v>92</v>
      </c>
      <c r="BG24" s="460"/>
      <c r="BH24" s="460"/>
      <c r="BI24" s="460"/>
      <c r="BJ24" s="460" t="s">
        <v>92</v>
      </c>
      <c r="BK24" s="460" t="s">
        <v>92</v>
      </c>
      <c r="BL24" s="460"/>
      <c r="BM24" s="461" t="s">
        <v>7078</v>
      </c>
      <c r="BN24" s="462"/>
      <c r="BO24" s="462"/>
      <c r="BP24" s="462"/>
      <c r="BQ24" s="463"/>
      <c r="BR24" s="463"/>
    </row>
    <row r="25" ht="15.75" customHeight="1">
      <c r="A25" s="457"/>
      <c r="B25" s="458" t="s">
        <v>7068</v>
      </c>
      <c r="C25" s="457">
        <v>78.0</v>
      </c>
      <c r="D25" s="458" t="s">
        <v>7079</v>
      </c>
      <c r="E25" s="99" t="s">
        <v>189</v>
      </c>
      <c r="F25" s="458" t="s">
        <v>7080</v>
      </c>
      <c r="G25" s="99" t="s">
        <v>3346</v>
      </c>
      <c r="H25" s="99" t="s">
        <v>95</v>
      </c>
      <c r="I25" s="99" t="s">
        <v>94</v>
      </c>
      <c r="J25" s="99" t="s">
        <v>92</v>
      </c>
      <c r="K25" s="457">
        <v>2022.0</v>
      </c>
      <c r="L25" s="99" t="s">
        <v>92</v>
      </c>
      <c r="M25" s="99" t="s">
        <v>92</v>
      </c>
      <c r="N25" s="99" t="s">
        <v>93</v>
      </c>
      <c r="O25" s="99" t="s">
        <v>92</v>
      </c>
      <c r="P25" s="99">
        <v>2022.0</v>
      </c>
      <c r="Q25" s="99" t="s">
        <v>96</v>
      </c>
      <c r="R25" s="197" t="s">
        <v>5902</v>
      </c>
      <c r="S25" s="197"/>
      <c r="T25" s="197"/>
      <c r="U25" s="99" t="s">
        <v>92</v>
      </c>
      <c r="V25" s="99" t="s">
        <v>92</v>
      </c>
      <c r="W25" s="99" t="s">
        <v>92</v>
      </c>
      <c r="X25" s="99" t="s">
        <v>92</v>
      </c>
      <c r="Y25" s="99" t="s">
        <v>93</v>
      </c>
      <c r="Z25" s="99" t="s">
        <v>92</v>
      </c>
      <c r="AA25" s="197" t="s">
        <v>92</v>
      </c>
      <c r="AB25" s="197" t="s">
        <v>95</v>
      </c>
      <c r="AC25" s="197"/>
      <c r="AD25" s="197"/>
      <c r="AE25" s="197" t="s">
        <v>92</v>
      </c>
      <c r="AF25" s="464" t="s">
        <v>7081</v>
      </c>
      <c r="AG25" s="197" t="s">
        <v>6990</v>
      </c>
      <c r="AH25" s="197"/>
      <c r="AI25" s="459" t="s">
        <v>92</v>
      </c>
      <c r="AJ25" s="463" t="s">
        <v>3410</v>
      </c>
      <c r="AK25" s="99" t="s">
        <v>92</v>
      </c>
      <c r="AL25" s="99" t="s">
        <v>92</v>
      </c>
      <c r="AM25" s="99" t="s">
        <v>92</v>
      </c>
      <c r="AN25" s="99" t="s">
        <v>92</v>
      </c>
      <c r="AO25" s="99" t="s">
        <v>92</v>
      </c>
      <c r="AP25" s="99" t="s">
        <v>93</v>
      </c>
      <c r="AQ25" s="99" t="s">
        <v>92</v>
      </c>
      <c r="AR25" s="99" t="s">
        <v>6942</v>
      </c>
      <c r="AS25" s="458" t="s">
        <v>6886</v>
      </c>
      <c r="AT25" s="458" t="s">
        <v>3449</v>
      </c>
      <c r="AU25" s="99" t="s">
        <v>92</v>
      </c>
      <c r="AV25" s="99" t="s">
        <v>93</v>
      </c>
      <c r="AW25" s="99" t="s">
        <v>92</v>
      </c>
      <c r="AX25" s="99" t="s">
        <v>92</v>
      </c>
      <c r="AY25" s="99" t="s">
        <v>92</v>
      </c>
      <c r="AZ25" s="460" t="s">
        <v>93</v>
      </c>
      <c r="BA25" s="460"/>
      <c r="BB25" s="460" t="s">
        <v>92</v>
      </c>
      <c r="BC25" s="460" t="s">
        <v>92</v>
      </c>
      <c r="BD25" s="460" t="s">
        <v>92</v>
      </c>
      <c r="BE25" s="460"/>
      <c r="BF25" s="460" t="s">
        <v>92</v>
      </c>
      <c r="BG25" s="460"/>
      <c r="BH25" s="460"/>
      <c r="BI25" s="460"/>
      <c r="BJ25" s="460" t="s">
        <v>93</v>
      </c>
      <c r="BK25" s="460" t="s">
        <v>92</v>
      </c>
      <c r="BL25" s="460"/>
      <c r="BM25" s="461" t="s">
        <v>7082</v>
      </c>
      <c r="BN25" s="462"/>
      <c r="BO25" s="462"/>
      <c r="BP25" s="462"/>
      <c r="BQ25" s="463"/>
      <c r="BR25" s="463"/>
    </row>
    <row r="26" ht="15.75" customHeight="1">
      <c r="A26" s="457"/>
      <c r="B26" s="458" t="s">
        <v>7068</v>
      </c>
      <c r="C26" s="457">
        <v>79.0</v>
      </c>
      <c r="D26" s="458" t="s">
        <v>7083</v>
      </c>
      <c r="E26" s="99" t="s">
        <v>189</v>
      </c>
      <c r="F26" s="458" t="s">
        <v>7084</v>
      </c>
      <c r="G26" s="99" t="s">
        <v>3346</v>
      </c>
      <c r="H26" s="99" t="s">
        <v>95</v>
      </c>
      <c r="I26" s="99" t="s">
        <v>94</v>
      </c>
      <c r="J26" s="99" t="s">
        <v>92</v>
      </c>
      <c r="K26" s="457">
        <v>2023.0</v>
      </c>
      <c r="L26" s="99" t="s">
        <v>92</v>
      </c>
      <c r="M26" s="99" t="s">
        <v>92</v>
      </c>
      <c r="N26" s="99" t="s">
        <v>92</v>
      </c>
      <c r="O26" s="99" t="s">
        <v>93</v>
      </c>
      <c r="P26" s="99">
        <v>2023.0</v>
      </c>
      <c r="Q26" s="99" t="s">
        <v>96</v>
      </c>
      <c r="R26" s="197" t="s">
        <v>5902</v>
      </c>
      <c r="S26" s="197"/>
      <c r="T26" s="197"/>
      <c r="U26" s="99" t="s">
        <v>92</v>
      </c>
      <c r="V26" s="99" t="s">
        <v>92</v>
      </c>
      <c r="W26" s="99" t="s">
        <v>92</v>
      </c>
      <c r="X26" s="99" t="s">
        <v>92</v>
      </c>
      <c r="Y26" s="99" t="s">
        <v>93</v>
      </c>
      <c r="Z26" s="99" t="s">
        <v>92</v>
      </c>
      <c r="AA26" s="197" t="s">
        <v>92</v>
      </c>
      <c r="AB26" s="197" t="s">
        <v>95</v>
      </c>
      <c r="AC26" s="197"/>
      <c r="AD26" s="197"/>
      <c r="AE26" s="197" t="s">
        <v>92</v>
      </c>
      <c r="AF26" s="464" t="s">
        <v>7085</v>
      </c>
      <c r="AG26" s="197" t="s">
        <v>6990</v>
      </c>
      <c r="AH26" s="197"/>
      <c r="AI26" s="459" t="s">
        <v>92</v>
      </c>
      <c r="AJ26" s="463" t="s">
        <v>3410</v>
      </c>
      <c r="AK26" s="99" t="s">
        <v>92</v>
      </c>
      <c r="AL26" s="99" t="s">
        <v>92</v>
      </c>
      <c r="AM26" s="99" t="s">
        <v>92</v>
      </c>
      <c r="AN26" s="99" t="s">
        <v>92</v>
      </c>
      <c r="AO26" s="99" t="s">
        <v>92</v>
      </c>
      <c r="AP26" s="99" t="s">
        <v>93</v>
      </c>
      <c r="AQ26" s="99" t="s">
        <v>92</v>
      </c>
      <c r="AR26" s="99" t="s">
        <v>6942</v>
      </c>
      <c r="AS26" s="458" t="s">
        <v>3520</v>
      </c>
      <c r="AT26" s="458" t="s">
        <v>3451</v>
      </c>
      <c r="AU26" s="99" t="s">
        <v>92</v>
      </c>
      <c r="AV26" s="99" t="s">
        <v>92</v>
      </c>
      <c r="AW26" s="99" t="s">
        <v>92</v>
      </c>
      <c r="AX26" s="99" t="s">
        <v>93</v>
      </c>
      <c r="AY26" s="99" t="s">
        <v>92</v>
      </c>
      <c r="AZ26" s="460" t="s">
        <v>93</v>
      </c>
      <c r="BA26" s="460"/>
      <c r="BB26" s="460" t="s">
        <v>92</v>
      </c>
      <c r="BC26" s="460" t="s">
        <v>92</v>
      </c>
      <c r="BD26" s="460" t="s">
        <v>92</v>
      </c>
      <c r="BE26" s="460"/>
      <c r="BF26" s="460" t="s">
        <v>92</v>
      </c>
      <c r="BG26" s="460"/>
      <c r="BH26" s="460"/>
      <c r="BI26" s="460"/>
      <c r="BJ26" s="460" t="s">
        <v>93</v>
      </c>
      <c r="BK26" s="460" t="s">
        <v>92</v>
      </c>
      <c r="BL26" s="460"/>
      <c r="BM26" s="461" t="s">
        <v>7086</v>
      </c>
      <c r="BN26" s="462"/>
      <c r="BO26" s="462"/>
      <c r="BP26" s="462"/>
      <c r="BQ26" s="463"/>
      <c r="BR26" s="463"/>
    </row>
    <row r="27" ht="15.75" customHeight="1">
      <c r="A27" s="457"/>
      <c r="B27" s="458" t="s">
        <v>4962</v>
      </c>
      <c r="C27" s="457">
        <v>118.0</v>
      </c>
      <c r="D27" s="458" t="s">
        <v>7087</v>
      </c>
      <c r="E27" s="99" t="s">
        <v>189</v>
      </c>
      <c r="F27" s="458" t="s">
        <v>7088</v>
      </c>
      <c r="G27" s="99" t="s">
        <v>3346</v>
      </c>
      <c r="H27" s="99" t="s">
        <v>95</v>
      </c>
      <c r="I27" s="99" t="s">
        <v>94</v>
      </c>
      <c r="J27" s="99" t="s">
        <v>92</v>
      </c>
      <c r="K27" s="457">
        <v>2021.0</v>
      </c>
      <c r="L27" s="99" t="s">
        <v>92</v>
      </c>
      <c r="M27" s="99" t="s">
        <v>93</v>
      </c>
      <c r="N27" s="99" t="s">
        <v>92</v>
      </c>
      <c r="O27" s="99" t="s">
        <v>92</v>
      </c>
      <c r="P27" s="99">
        <v>2021.0</v>
      </c>
      <c r="Q27" s="99" t="s">
        <v>96</v>
      </c>
      <c r="R27" s="197" t="s">
        <v>5902</v>
      </c>
      <c r="S27" s="197"/>
      <c r="T27" s="197"/>
      <c r="U27" s="99" t="s">
        <v>92</v>
      </c>
      <c r="V27" s="99" t="s">
        <v>92</v>
      </c>
      <c r="W27" s="99" t="s">
        <v>92</v>
      </c>
      <c r="X27" s="99" t="s">
        <v>92</v>
      </c>
      <c r="Y27" s="99" t="s">
        <v>92</v>
      </c>
      <c r="Z27" s="99" t="s">
        <v>92</v>
      </c>
      <c r="AA27" s="197" t="s">
        <v>93</v>
      </c>
      <c r="AB27" s="197"/>
      <c r="AC27" s="197"/>
      <c r="AD27" s="197"/>
      <c r="AE27" s="197" t="s">
        <v>92</v>
      </c>
      <c r="AF27" s="458" t="s">
        <v>7089</v>
      </c>
      <c r="AG27" s="197" t="s">
        <v>6990</v>
      </c>
      <c r="AH27" s="197"/>
      <c r="AI27" s="459" t="s">
        <v>92</v>
      </c>
      <c r="AJ27" s="463" t="s">
        <v>3410</v>
      </c>
      <c r="AK27" s="99" t="s">
        <v>92</v>
      </c>
      <c r="AL27" s="99" t="s">
        <v>92</v>
      </c>
      <c r="AM27" s="99" t="s">
        <v>92</v>
      </c>
      <c r="AN27" s="99" t="s">
        <v>92</v>
      </c>
      <c r="AO27" s="99" t="s">
        <v>92</v>
      </c>
      <c r="AP27" s="99" t="s">
        <v>93</v>
      </c>
      <c r="AQ27" s="99" t="s">
        <v>92</v>
      </c>
      <c r="AR27" s="99" t="s">
        <v>6942</v>
      </c>
      <c r="AS27" s="458" t="s">
        <v>7090</v>
      </c>
      <c r="AT27" s="458" t="s">
        <v>7091</v>
      </c>
      <c r="AU27" s="99" t="s">
        <v>93</v>
      </c>
      <c r="AV27" s="99" t="s">
        <v>93</v>
      </c>
      <c r="AW27" s="99" t="s">
        <v>93</v>
      </c>
      <c r="AX27" s="99" t="s">
        <v>93</v>
      </c>
      <c r="AY27" s="99" t="s">
        <v>92</v>
      </c>
      <c r="AZ27" s="460" t="s">
        <v>93</v>
      </c>
      <c r="BA27" s="460"/>
      <c r="BB27" s="460" t="s">
        <v>92</v>
      </c>
      <c r="BC27" s="460" t="s">
        <v>92</v>
      </c>
      <c r="BD27" s="460" t="s">
        <v>92</v>
      </c>
      <c r="BE27" s="460"/>
      <c r="BF27" s="460" t="s">
        <v>92</v>
      </c>
      <c r="BG27" s="460"/>
      <c r="BH27" s="460"/>
      <c r="BI27" s="460"/>
      <c r="BJ27" s="460" t="s">
        <v>93</v>
      </c>
      <c r="BK27" s="460" t="s">
        <v>92</v>
      </c>
      <c r="BL27" s="460"/>
      <c r="BM27" s="461" t="s">
        <v>7092</v>
      </c>
      <c r="BN27" s="462"/>
      <c r="BO27" s="462"/>
      <c r="BP27" s="462"/>
      <c r="BQ27" s="463"/>
      <c r="BR27" s="463"/>
    </row>
    <row r="28" ht="15.75" customHeight="1">
      <c r="A28" s="457"/>
      <c r="B28" s="458" t="s">
        <v>7061</v>
      </c>
      <c r="C28" s="457">
        <v>121.0</v>
      </c>
      <c r="D28" s="458" t="s">
        <v>7093</v>
      </c>
      <c r="E28" s="99" t="s">
        <v>90</v>
      </c>
      <c r="F28" s="458" t="s">
        <v>7094</v>
      </c>
      <c r="G28" s="99" t="s">
        <v>3346</v>
      </c>
      <c r="H28" s="99" t="s">
        <v>95</v>
      </c>
      <c r="I28" s="99" t="s">
        <v>1135</v>
      </c>
      <c r="J28" s="99" t="s">
        <v>92</v>
      </c>
      <c r="K28" s="457">
        <v>2022.0</v>
      </c>
      <c r="L28" s="99" t="s">
        <v>92</v>
      </c>
      <c r="M28" s="99" t="s">
        <v>92</v>
      </c>
      <c r="N28" s="99" t="s">
        <v>93</v>
      </c>
      <c r="O28" s="99" t="s">
        <v>92</v>
      </c>
      <c r="P28" s="99">
        <v>2022.0</v>
      </c>
      <c r="Q28" s="99" t="s">
        <v>96</v>
      </c>
      <c r="R28" s="197" t="s">
        <v>5902</v>
      </c>
      <c r="S28" s="197"/>
      <c r="T28" s="197"/>
      <c r="U28" s="99" t="s">
        <v>92</v>
      </c>
      <c r="V28" s="99" t="s">
        <v>92</v>
      </c>
      <c r="W28" s="99" t="s">
        <v>92</v>
      </c>
      <c r="X28" s="99" t="s">
        <v>92</v>
      </c>
      <c r="Y28" s="99" t="s">
        <v>92</v>
      </c>
      <c r="Z28" s="99" t="s">
        <v>92</v>
      </c>
      <c r="AA28" s="197" t="s">
        <v>92</v>
      </c>
      <c r="AB28" s="197" t="s">
        <v>95</v>
      </c>
      <c r="AC28" s="197"/>
      <c r="AD28" s="197"/>
      <c r="AE28" s="197" t="s">
        <v>92</v>
      </c>
      <c r="AF28" s="458" t="s">
        <v>7095</v>
      </c>
      <c r="AG28" s="197" t="s">
        <v>6990</v>
      </c>
      <c r="AH28" s="197"/>
      <c r="AI28" s="459" t="s">
        <v>92</v>
      </c>
      <c r="AJ28" s="463" t="s">
        <v>7011</v>
      </c>
      <c r="AK28" s="99" t="s">
        <v>92</v>
      </c>
      <c r="AL28" s="99" t="s">
        <v>92</v>
      </c>
      <c r="AM28" s="99" t="s">
        <v>93</v>
      </c>
      <c r="AN28" s="99" t="s">
        <v>92</v>
      </c>
      <c r="AO28" s="99" t="s">
        <v>92</v>
      </c>
      <c r="AP28" s="99" t="s">
        <v>93</v>
      </c>
      <c r="AQ28" s="99" t="s">
        <v>92</v>
      </c>
      <c r="AR28" s="99" t="s">
        <v>6942</v>
      </c>
      <c r="AS28" s="458" t="s">
        <v>6892</v>
      </c>
      <c r="AT28" s="458" t="s">
        <v>3449</v>
      </c>
      <c r="AU28" s="99" t="s">
        <v>92</v>
      </c>
      <c r="AV28" s="99" t="s">
        <v>93</v>
      </c>
      <c r="AW28" s="99" t="s">
        <v>92</v>
      </c>
      <c r="AX28" s="99" t="s">
        <v>92</v>
      </c>
      <c r="AY28" s="99" t="s">
        <v>92</v>
      </c>
      <c r="AZ28" s="460" t="s">
        <v>93</v>
      </c>
      <c r="BA28" s="460"/>
      <c r="BB28" s="460" t="s">
        <v>92</v>
      </c>
      <c r="BC28" s="460" t="s">
        <v>92</v>
      </c>
      <c r="BD28" s="460" t="s">
        <v>92</v>
      </c>
      <c r="BE28" s="460"/>
      <c r="BF28" s="460" t="s">
        <v>92</v>
      </c>
      <c r="BG28" s="460"/>
      <c r="BH28" s="460"/>
      <c r="BI28" s="460"/>
      <c r="BJ28" s="460" t="s">
        <v>93</v>
      </c>
      <c r="BK28" s="460" t="s">
        <v>92</v>
      </c>
      <c r="BL28" s="460"/>
      <c r="BM28" s="461" t="s">
        <v>7096</v>
      </c>
      <c r="BN28" s="461" t="s">
        <v>7097</v>
      </c>
      <c r="BO28" s="461" t="s">
        <v>7098</v>
      </c>
      <c r="BP28" s="462"/>
      <c r="BQ28" s="463"/>
      <c r="BR28" s="463"/>
    </row>
    <row r="29" ht="15.75" customHeight="1">
      <c r="A29" s="457"/>
      <c r="B29" s="458" t="s">
        <v>7061</v>
      </c>
      <c r="C29" s="457">
        <v>122.0</v>
      </c>
      <c r="D29" s="458" t="s">
        <v>7099</v>
      </c>
      <c r="E29" s="99" t="s">
        <v>90</v>
      </c>
      <c r="F29" s="458" t="s">
        <v>7100</v>
      </c>
      <c r="G29" s="99" t="s">
        <v>3346</v>
      </c>
      <c r="H29" s="99" t="s">
        <v>95</v>
      </c>
      <c r="I29" s="99" t="s">
        <v>1135</v>
      </c>
      <c r="J29" s="99" t="s">
        <v>92</v>
      </c>
      <c r="K29" s="457">
        <v>2023.0</v>
      </c>
      <c r="L29" s="99" t="s">
        <v>92</v>
      </c>
      <c r="M29" s="99" t="s">
        <v>92</v>
      </c>
      <c r="N29" s="99" t="s">
        <v>92</v>
      </c>
      <c r="O29" s="99" t="s">
        <v>93</v>
      </c>
      <c r="P29" s="99">
        <v>2023.0</v>
      </c>
      <c r="Q29" s="99" t="s">
        <v>96</v>
      </c>
      <c r="R29" s="197" t="s">
        <v>5902</v>
      </c>
      <c r="S29" s="197"/>
      <c r="T29" s="197"/>
      <c r="U29" s="99" t="s">
        <v>92</v>
      </c>
      <c r="V29" s="99" t="s">
        <v>92</v>
      </c>
      <c r="W29" s="99" t="s">
        <v>92</v>
      </c>
      <c r="X29" s="99" t="s">
        <v>92</v>
      </c>
      <c r="Y29" s="99" t="s">
        <v>92</v>
      </c>
      <c r="Z29" s="99" t="s">
        <v>92</v>
      </c>
      <c r="AA29" s="197" t="s">
        <v>92</v>
      </c>
      <c r="AB29" s="197" t="s">
        <v>95</v>
      </c>
      <c r="AC29" s="197"/>
      <c r="AD29" s="197"/>
      <c r="AE29" s="197" t="s">
        <v>92</v>
      </c>
      <c r="AF29" s="458" t="s">
        <v>7101</v>
      </c>
      <c r="AG29" s="197" t="s">
        <v>6990</v>
      </c>
      <c r="AH29" s="197"/>
      <c r="AI29" s="459" t="s">
        <v>92</v>
      </c>
      <c r="AJ29" s="463" t="s">
        <v>7011</v>
      </c>
      <c r="AK29" s="99" t="s">
        <v>92</v>
      </c>
      <c r="AL29" s="99" t="s">
        <v>92</v>
      </c>
      <c r="AM29" s="99" t="s">
        <v>93</v>
      </c>
      <c r="AN29" s="99" t="s">
        <v>92</v>
      </c>
      <c r="AO29" s="99" t="s">
        <v>92</v>
      </c>
      <c r="AP29" s="99" t="s">
        <v>93</v>
      </c>
      <c r="AQ29" s="99" t="s">
        <v>92</v>
      </c>
      <c r="AR29" s="99" t="s">
        <v>6942</v>
      </c>
      <c r="AS29" s="458" t="s">
        <v>3520</v>
      </c>
      <c r="AT29" s="458" t="s">
        <v>3451</v>
      </c>
      <c r="AU29" s="99" t="s">
        <v>92</v>
      </c>
      <c r="AV29" s="99" t="s">
        <v>92</v>
      </c>
      <c r="AW29" s="99" t="s">
        <v>92</v>
      </c>
      <c r="AX29" s="99" t="s">
        <v>93</v>
      </c>
      <c r="AY29" s="99" t="s">
        <v>92</v>
      </c>
      <c r="AZ29" s="460" t="s">
        <v>93</v>
      </c>
      <c r="BA29" s="460"/>
      <c r="BB29" s="460" t="s">
        <v>92</v>
      </c>
      <c r="BC29" s="460" t="s">
        <v>92</v>
      </c>
      <c r="BD29" s="460" t="s">
        <v>92</v>
      </c>
      <c r="BE29" s="460"/>
      <c r="BF29" s="460" t="s">
        <v>92</v>
      </c>
      <c r="BG29" s="460"/>
      <c r="BH29" s="460"/>
      <c r="BI29" s="460"/>
      <c r="BJ29" s="460" t="s">
        <v>93</v>
      </c>
      <c r="BK29" s="460" t="s">
        <v>92</v>
      </c>
      <c r="BL29" s="460"/>
      <c r="BM29" s="461" t="s">
        <v>7102</v>
      </c>
      <c r="BN29" s="465"/>
      <c r="BO29" s="465"/>
      <c r="BP29" s="462"/>
      <c r="BQ29" s="463"/>
      <c r="BR29" s="463"/>
    </row>
    <row r="30" ht="15.75" customHeight="1">
      <c r="A30" s="457"/>
      <c r="B30" s="458" t="s">
        <v>7103</v>
      </c>
      <c r="C30" s="457">
        <v>124.0</v>
      </c>
      <c r="D30" s="458" t="s">
        <v>7104</v>
      </c>
      <c r="E30" s="99" t="s">
        <v>110</v>
      </c>
      <c r="F30" s="458" t="s">
        <v>7105</v>
      </c>
      <c r="G30" s="99" t="s">
        <v>3345</v>
      </c>
      <c r="H30" s="99" t="s">
        <v>95</v>
      </c>
      <c r="I30" s="99" t="s">
        <v>3202</v>
      </c>
      <c r="J30" s="99" t="s">
        <v>93</v>
      </c>
      <c r="K30" s="457" t="s">
        <v>105</v>
      </c>
      <c r="L30" s="99" t="s">
        <v>93</v>
      </c>
      <c r="M30" s="99" t="s">
        <v>93</v>
      </c>
      <c r="N30" s="99" t="s">
        <v>93</v>
      </c>
      <c r="O30" s="99" t="s">
        <v>93</v>
      </c>
      <c r="P30" s="99" t="s">
        <v>95</v>
      </c>
      <c r="Q30" s="99" t="s">
        <v>114</v>
      </c>
      <c r="R30" s="197" t="s">
        <v>5902</v>
      </c>
      <c r="S30" s="197"/>
      <c r="T30" s="197"/>
      <c r="U30" s="99" t="s">
        <v>93</v>
      </c>
      <c r="V30" s="99" t="s">
        <v>92</v>
      </c>
      <c r="W30" s="99" t="s">
        <v>92</v>
      </c>
      <c r="X30" s="99" t="s">
        <v>92</v>
      </c>
      <c r="Y30" s="99" t="s">
        <v>93</v>
      </c>
      <c r="Z30" s="99" t="s">
        <v>92</v>
      </c>
      <c r="AA30" s="197" t="s">
        <v>93</v>
      </c>
      <c r="AB30" s="197"/>
      <c r="AC30" s="197"/>
      <c r="AD30" s="197"/>
      <c r="AE30" s="197" t="s">
        <v>92</v>
      </c>
      <c r="AF30" s="458" t="s">
        <v>7103</v>
      </c>
      <c r="AG30" s="197" t="s">
        <v>5902</v>
      </c>
      <c r="AH30" s="197"/>
      <c r="AI30" s="459" t="s">
        <v>93</v>
      </c>
      <c r="AJ30" s="458" t="s">
        <v>7106</v>
      </c>
      <c r="AK30" s="99" t="s">
        <v>92</v>
      </c>
      <c r="AL30" s="99" t="s">
        <v>92</v>
      </c>
      <c r="AM30" s="99" t="s">
        <v>92</v>
      </c>
      <c r="AN30" s="99" t="s">
        <v>92</v>
      </c>
      <c r="AO30" s="99" t="s">
        <v>92</v>
      </c>
      <c r="AP30" s="99" t="s">
        <v>93</v>
      </c>
      <c r="AQ30" s="99" t="s">
        <v>92</v>
      </c>
      <c r="AR30" s="99" t="s">
        <v>6949</v>
      </c>
      <c r="AS30" s="458" t="s">
        <v>95</v>
      </c>
      <c r="AT30" s="458" t="s">
        <v>95</v>
      </c>
      <c r="AU30" s="99" t="s">
        <v>93</v>
      </c>
      <c r="AV30" s="99" t="s">
        <v>93</v>
      </c>
      <c r="AW30" s="99" t="s">
        <v>93</v>
      </c>
      <c r="AX30" s="99" t="s">
        <v>93</v>
      </c>
      <c r="AY30" s="99" t="s">
        <v>93</v>
      </c>
      <c r="AZ30" s="460" t="s">
        <v>92</v>
      </c>
      <c r="BA30" s="460"/>
      <c r="BB30" s="460" t="s">
        <v>92</v>
      </c>
      <c r="BC30" s="460" t="s">
        <v>92</v>
      </c>
      <c r="BD30" s="460" t="s">
        <v>92</v>
      </c>
      <c r="BE30" s="460"/>
      <c r="BF30" s="460" t="s">
        <v>92</v>
      </c>
      <c r="BG30" s="460"/>
      <c r="BH30" s="460"/>
      <c r="BI30" s="460"/>
      <c r="BJ30" s="460" t="s">
        <v>92</v>
      </c>
      <c r="BK30" s="460" t="s">
        <v>93</v>
      </c>
      <c r="BL30" s="460"/>
      <c r="BM30" s="461" t="s">
        <v>7107</v>
      </c>
      <c r="BN30" s="461" t="s">
        <v>7108</v>
      </c>
      <c r="BO30" s="465"/>
      <c r="BP30" s="462"/>
      <c r="BQ30" s="463"/>
      <c r="BR30" s="463"/>
    </row>
    <row r="31" ht="15.75" customHeight="1">
      <c r="A31" s="457"/>
      <c r="B31" s="99" t="s">
        <v>519</v>
      </c>
      <c r="C31" s="457">
        <v>128.0</v>
      </c>
      <c r="D31" s="458" t="s">
        <v>7109</v>
      </c>
      <c r="E31" s="99" t="s">
        <v>6941</v>
      </c>
      <c r="F31" s="458" t="s">
        <v>7110</v>
      </c>
      <c r="G31" s="99" t="s">
        <v>3345</v>
      </c>
      <c r="H31" s="99" t="s">
        <v>3344</v>
      </c>
      <c r="I31" s="99" t="s">
        <v>287</v>
      </c>
      <c r="J31" s="99" t="s">
        <v>93</v>
      </c>
      <c r="K31" s="457">
        <v>2021.0</v>
      </c>
      <c r="L31" s="99" t="s">
        <v>92</v>
      </c>
      <c r="M31" s="99" t="s">
        <v>93</v>
      </c>
      <c r="N31" s="99" t="s">
        <v>92</v>
      </c>
      <c r="O31" s="99" t="s">
        <v>92</v>
      </c>
      <c r="P31" s="99" t="s">
        <v>95</v>
      </c>
      <c r="Q31" s="99" t="s">
        <v>114</v>
      </c>
      <c r="R31" s="197" t="s">
        <v>5902</v>
      </c>
      <c r="S31" s="197" t="s">
        <v>93</v>
      </c>
      <c r="T31" s="197" t="s">
        <v>93</v>
      </c>
      <c r="U31" s="99" t="s">
        <v>93</v>
      </c>
      <c r="V31" s="99" t="s">
        <v>93</v>
      </c>
      <c r="W31" s="99" t="s">
        <v>93</v>
      </c>
      <c r="X31" s="99" t="s">
        <v>93</v>
      </c>
      <c r="Y31" s="99" t="s">
        <v>92</v>
      </c>
      <c r="Z31" s="99" t="s">
        <v>92</v>
      </c>
      <c r="AA31" s="197" t="s">
        <v>93</v>
      </c>
      <c r="AB31" s="197" t="s">
        <v>3569</v>
      </c>
      <c r="AC31" s="197"/>
      <c r="AD31" s="197"/>
      <c r="AE31" s="197" t="s">
        <v>93</v>
      </c>
      <c r="AF31" s="458" t="s">
        <v>7109</v>
      </c>
      <c r="AG31" s="197" t="s">
        <v>6941</v>
      </c>
      <c r="AH31" s="197"/>
      <c r="AI31" s="459" t="s">
        <v>93</v>
      </c>
      <c r="AJ31" s="458" t="s">
        <v>7111</v>
      </c>
      <c r="AK31" s="99" t="s">
        <v>93</v>
      </c>
      <c r="AL31" s="99" t="s">
        <v>92</v>
      </c>
      <c r="AM31" s="99" t="s">
        <v>92</v>
      </c>
      <c r="AN31" s="99" t="s">
        <v>92</v>
      </c>
      <c r="AO31" s="99" t="s">
        <v>92</v>
      </c>
      <c r="AP31" s="99" t="s">
        <v>93</v>
      </c>
      <c r="AQ31" s="99" t="s">
        <v>92</v>
      </c>
      <c r="AR31" s="99" t="s">
        <v>6942</v>
      </c>
      <c r="AS31" s="458" t="s">
        <v>6884</v>
      </c>
      <c r="AT31" s="458" t="s">
        <v>3449</v>
      </c>
      <c r="AU31" s="99" t="s">
        <v>92</v>
      </c>
      <c r="AV31" s="99" t="s">
        <v>93</v>
      </c>
      <c r="AW31" s="99" t="s">
        <v>92</v>
      </c>
      <c r="AX31" s="99" t="s">
        <v>92</v>
      </c>
      <c r="AY31" s="99" t="s">
        <v>92</v>
      </c>
      <c r="AZ31" s="460" t="s">
        <v>92</v>
      </c>
      <c r="BA31" s="460" t="s">
        <v>93</v>
      </c>
      <c r="BB31" s="460" t="s">
        <v>93</v>
      </c>
      <c r="BC31" s="460" t="s">
        <v>93</v>
      </c>
      <c r="BD31" s="460" t="s">
        <v>92</v>
      </c>
      <c r="BE31" s="460" t="s">
        <v>92</v>
      </c>
      <c r="BF31" s="460" t="s">
        <v>92</v>
      </c>
      <c r="BG31" s="460"/>
      <c r="BH31" s="460"/>
      <c r="BI31" s="460" t="s">
        <v>92</v>
      </c>
      <c r="BJ31" s="460" t="s">
        <v>92</v>
      </c>
      <c r="BK31" s="460" t="s">
        <v>93</v>
      </c>
      <c r="BL31" s="460"/>
      <c r="BM31" s="461" t="s">
        <v>7112</v>
      </c>
      <c r="BN31" s="461" t="s">
        <v>7113</v>
      </c>
      <c r="BO31" s="462"/>
      <c r="BP31" s="462"/>
      <c r="BQ31" s="463"/>
      <c r="BR31" s="463"/>
    </row>
    <row r="32" ht="15.75" customHeight="1">
      <c r="A32" s="457"/>
      <c r="B32" s="458" t="s">
        <v>7114</v>
      </c>
      <c r="C32" s="457">
        <v>199.0</v>
      </c>
      <c r="D32" s="458" t="s">
        <v>7115</v>
      </c>
      <c r="E32" s="99" t="s">
        <v>189</v>
      </c>
      <c r="F32" s="458" t="s">
        <v>7116</v>
      </c>
      <c r="G32" s="99" t="s">
        <v>3346</v>
      </c>
      <c r="H32" s="99" t="s">
        <v>95</v>
      </c>
      <c r="I32" s="99" t="s">
        <v>94</v>
      </c>
      <c r="J32" s="99" t="s">
        <v>92</v>
      </c>
      <c r="K32" s="457">
        <v>2020.0</v>
      </c>
      <c r="L32" s="99" t="s">
        <v>93</v>
      </c>
      <c r="M32" s="99" t="s">
        <v>92</v>
      </c>
      <c r="N32" s="99" t="s">
        <v>92</v>
      </c>
      <c r="O32" s="99" t="s">
        <v>92</v>
      </c>
      <c r="P32" s="99">
        <v>2020.0</v>
      </c>
      <c r="Q32" s="99" t="s">
        <v>96</v>
      </c>
      <c r="R32" s="197" t="s">
        <v>5902</v>
      </c>
      <c r="S32" s="197"/>
      <c r="T32" s="197"/>
      <c r="U32" s="99" t="s">
        <v>92</v>
      </c>
      <c r="V32" s="99" t="s">
        <v>92</v>
      </c>
      <c r="W32" s="99" t="s">
        <v>92</v>
      </c>
      <c r="X32" s="99" t="s">
        <v>92</v>
      </c>
      <c r="Y32" s="99" t="s">
        <v>92</v>
      </c>
      <c r="Z32" s="99" t="s">
        <v>92</v>
      </c>
      <c r="AA32" s="197" t="s">
        <v>93</v>
      </c>
      <c r="AB32" s="197"/>
      <c r="AC32" s="197"/>
      <c r="AD32" s="197"/>
      <c r="AE32" s="197" t="s">
        <v>93</v>
      </c>
      <c r="AF32" s="458" t="s">
        <v>7114</v>
      </c>
      <c r="AG32" s="197" t="s">
        <v>6982</v>
      </c>
      <c r="AH32" s="197"/>
      <c r="AI32" s="459" t="s">
        <v>92</v>
      </c>
      <c r="AJ32" s="458" t="s">
        <v>3410</v>
      </c>
      <c r="AK32" s="99" t="s">
        <v>92</v>
      </c>
      <c r="AL32" s="99" t="s">
        <v>92</v>
      </c>
      <c r="AM32" s="99" t="s">
        <v>92</v>
      </c>
      <c r="AN32" s="99" t="s">
        <v>92</v>
      </c>
      <c r="AO32" s="99" t="s">
        <v>92</v>
      </c>
      <c r="AP32" s="99" t="s">
        <v>93</v>
      </c>
      <c r="AQ32" s="99" t="s">
        <v>92</v>
      </c>
      <c r="AR32" s="99" t="s">
        <v>6942</v>
      </c>
      <c r="AS32" s="458" t="s">
        <v>6885</v>
      </c>
      <c r="AT32" s="458" t="s">
        <v>3450</v>
      </c>
      <c r="AU32" s="99" t="s">
        <v>92</v>
      </c>
      <c r="AV32" s="99" t="s">
        <v>92</v>
      </c>
      <c r="AW32" s="99" t="s">
        <v>93</v>
      </c>
      <c r="AX32" s="99" t="s">
        <v>92</v>
      </c>
      <c r="AY32" s="99" t="s">
        <v>92</v>
      </c>
      <c r="AZ32" s="460" t="s">
        <v>93</v>
      </c>
      <c r="BA32" s="460"/>
      <c r="BB32" s="460" t="s">
        <v>92</v>
      </c>
      <c r="BC32" s="460" t="s">
        <v>92</v>
      </c>
      <c r="BD32" s="460" t="s">
        <v>92</v>
      </c>
      <c r="BE32" s="460"/>
      <c r="BF32" s="460" t="s">
        <v>92</v>
      </c>
      <c r="BG32" s="460"/>
      <c r="BH32" s="460"/>
      <c r="BI32" s="460"/>
      <c r="BJ32" s="460" t="s">
        <v>93</v>
      </c>
      <c r="BK32" s="460" t="s">
        <v>92</v>
      </c>
      <c r="BL32" s="460"/>
      <c r="BM32" s="461" t="s">
        <v>7117</v>
      </c>
      <c r="BN32" s="461" t="s">
        <v>7118</v>
      </c>
      <c r="BO32" s="462"/>
      <c r="BP32" s="462"/>
      <c r="BQ32" s="463"/>
      <c r="BR32" s="463"/>
    </row>
    <row r="33" ht="15.75" customHeight="1">
      <c r="A33" s="457"/>
      <c r="B33" s="458" t="s">
        <v>378</v>
      </c>
      <c r="C33" s="457">
        <v>203.0</v>
      </c>
      <c r="D33" s="458" t="s">
        <v>7119</v>
      </c>
      <c r="E33" s="99" t="s">
        <v>189</v>
      </c>
      <c r="F33" s="458" t="s">
        <v>7120</v>
      </c>
      <c r="G33" s="99" t="s">
        <v>3346</v>
      </c>
      <c r="H33" s="99" t="s">
        <v>3345</v>
      </c>
      <c r="I33" s="99" t="s">
        <v>94</v>
      </c>
      <c r="J33" s="99" t="s">
        <v>92</v>
      </c>
      <c r="K33" s="457">
        <v>2022.0</v>
      </c>
      <c r="L33" s="99" t="s">
        <v>92</v>
      </c>
      <c r="M33" s="99" t="s">
        <v>92</v>
      </c>
      <c r="N33" s="99" t="s">
        <v>93</v>
      </c>
      <c r="O33" s="99" t="s">
        <v>92</v>
      </c>
      <c r="P33" s="99">
        <v>2022.0</v>
      </c>
      <c r="Q33" s="99" t="s">
        <v>96</v>
      </c>
      <c r="R33" s="197" t="s">
        <v>5902</v>
      </c>
      <c r="S33" s="197"/>
      <c r="T33" s="197"/>
      <c r="U33" s="99" t="s">
        <v>93</v>
      </c>
      <c r="V33" s="99" t="s">
        <v>92</v>
      </c>
      <c r="W33" s="99" t="s">
        <v>92</v>
      </c>
      <c r="X33" s="99" t="s">
        <v>93</v>
      </c>
      <c r="Y33" s="99" t="s">
        <v>93</v>
      </c>
      <c r="Z33" s="99" t="s">
        <v>92</v>
      </c>
      <c r="AA33" s="197" t="s">
        <v>93</v>
      </c>
      <c r="AB33" s="197"/>
      <c r="AC33" s="197"/>
      <c r="AD33" s="197"/>
      <c r="AE33" s="197" t="s">
        <v>92</v>
      </c>
      <c r="AF33" s="458" t="s">
        <v>392</v>
      </c>
      <c r="AG33" s="197" t="s">
        <v>6982</v>
      </c>
      <c r="AH33" s="197"/>
      <c r="AI33" s="459" t="s">
        <v>92</v>
      </c>
      <c r="AJ33" s="458" t="s">
        <v>3410</v>
      </c>
      <c r="AK33" s="99" t="s">
        <v>92</v>
      </c>
      <c r="AL33" s="99" t="s">
        <v>92</v>
      </c>
      <c r="AM33" s="99" t="s">
        <v>92</v>
      </c>
      <c r="AN33" s="99" t="s">
        <v>92</v>
      </c>
      <c r="AO33" s="99" t="s">
        <v>92</v>
      </c>
      <c r="AP33" s="99" t="s">
        <v>93</v>
      </c>
      <c r="AQ33" s="99" t="s">
        <v>92</v>
      </c>
      <c r="AR33" s="99" t="s">
        <v>6942</v>
      </c>
      <c r="AS33" s="458" t="s">
        <v>7121</v>
      </c>
      <c r="AT33" s="458" t="s">
        <v>7122</v>
      </c>
      <c r="AU33" s="99" t="s">
        <v>93</v>
      </c>
      <c r="AV33" s="99" t="s">
        <v>93</v>
      </c>
      <c r="AW33" s="99" t="s">
        <v>92</v>
      </c>
      <c r="AX33" s="99" t="s">
        <v>93</v>
      </c>
      <c r="AY33" s="99" t="s">
        <v>93</v>
      </c>
      <c r="AZ33" s="460" t="s">
        <v>93</v>
      </c>
      <c r="BA33" s="460"/>
      <c r="BB33" s="460" t="s">
        <v>92</v>
      </c>
      <c r="BC33" s="460" t="s">
        <v>92</v>
      </c>
      <c r="BD33" s="460" t="s">
        <v>92</v>
      </c>
      <c r="BE33" s="460"/>
      <c r="BF33" s="460" t="s">
        <v>92</v>
      </c>
      <c r="BG33" s="460"/>
      <c r="BH33" s="460"/>
      <c r="BI33" s="460"/>
      <c r="BJ33" s="460" t="s">
        <v>92</v>
      </c>
      <c r="BK33" s="460" t="s">
        <v>92</v>
      </c>
      <c r="BL33" s="460"/>
      <c r="BM33" s="461" t="s">
        <v>7123</v>
      </c>
      <c r="BN33" s="461" t="s">
        <v>7124</v>
      </c>
      <c r="BO33" s="462"/>
      <c r="BP33" s="462"/>
      <c r="BQ33" s="463"/>
      <c r="BR33" s="463"/>
    </row>
    <row r="34" ht="15.75" customHeight="1">
      <c r="A34" s="457"/>
      <c r="B34" s="458" t="s">
        <v>378</v>
      </c>
      <c r="C34" s="457">
        <v>204.0</v>
      </c>
      <c r="D34" s="464" t="s">
        <v>7125</v>
      </c>
      <c r="E34" s="99" t="s">
        <v>110</v>
      </c>
      <c r="F34" s="458" t="s">
        <v>7126</v>
      </c>
      <c r="G34" s="99" t="s">
        <v>3346</v>
      </c>
      <c r="H34" s="99" t="s">
        <v>3345</v>
      </c>
      <c r="I34" s="99" t="s">
        <v>3202</v>
      </c>
      <c r="J34" s="99" t="s">
        <v>92</v>
      </c>
      <c r="K34" s="457">
        <v>2023.0</v>
      </c>
      <c r="L34" s="99" t="s">
        <v>92</v>
      </c>
      <c r="M34" s="99" t="s">
        <v>92</v>
      </c>
      <c r="N34" s="99" t="s">
        <v>92</v>
      </c>
      <c r="O34" s="99" t="s">
        <v>93</v>
      </c>
      <c r="P34" s="99" t="s">
        <v>95</v>
      </c>
      <c r="Q34" s="99" t="s">
        <v>114</v>
      </c>
      <c r="R34" s="197" t="s">
        <v>5902</v>
      </c>
      <c r="S34" s="197"/>
      <c r="T34" s="197"/>
      <c r="U34" s="99" t="s">
        <v>93</v>
      </c>
      <c r="V34" s="99" t="s">
        <v>92</v>
      </c>
      <c r="W34" s="99" t="s">
        <v>92</v>
      </c>
      <c r="X34" s="99" t="s">
        <v>93</v>
      </c>
      <c r="Y34" s="99" t="s">
        <v>93</v>
      </c>
      <c r="Z34" s="99" t="s">
        <v>92</v>
      </c>
      <c r="AA34" s="197" t="s">
        <v>93</v>
      </c>
      <c r="AB34" s="197"/>
      <c r="AC34" s="197"/>
      <c r="AD34" s="197"/>
      <c r="AE34" s="197" t="s">
        <v>92</v>
      </c>
      <c r="AF34" s="458" t="s">
        <v>392</v>
      </c>
      <c r="AG34" s="197" t="s">
        <v>6982</v>
      </c>
      <c r="AH34" s="197"/>
      <c r="AI34" s="459" t="s">
        <v>92</v>
      </c>
      <c r="AJ34" s="458" t="s">
        <v>7127</v>
      </c>
      <c r="AK34" s="99" t="s">
        <v>92</v>
      </c>
      <c r="AL34" s="99" t="s">
        <v>92</v>
      </c>
      <c r="AM34" s="99" t="s">
        <v>92</v>
      </c>
      <c r="AN34" s="99" t="s">
        <v>92</v>
      </c>
      <c r="AO34" s="99" t="s">
        <v>92</v>
      </c>
      <c r="AP34" s="99" t="s">
        <v>92</v>
      </c>
      <c r="AQ34" s="99" t="s">
        <v>93</v>
      </c>
      <c r="AR34" s="99" t="s">
        <v>6942</v>
      </c>
      <c r="AS34" s="458" t="s">
        <v>7121</v>
      </c>
      <c r="AT34" s="458" t="s">
        <v>7122</v>
      </c>
      <c r="AU34" s="99" t="s">
        <v>93</v>
      </c>
      <c r="AV34" s="99" t="s">
        <v>93</v>
      </c>
      <c r="AW34" s="99" t="s">
        <v>92</v>
      </c>
      <c r="AX34" s="99" t="s">
        <v>93</v>
      </c>
      <c r="AY34" s="99" t="s">
        <v>93</v>
      </c>
      <c r="AZ34" s="460" t="s">
        <v>92</v>
      </c>
      <c r="BA34" s="460"/>
      <c r="BB34" s="460" t="s">
        <v>92</v>
      </c>
      <c r="BC34" s="460" t="s">
        <v>92</v>
      </c>
      <c r="BD34" s="460" t="s">
        <v>92</v>
      </c>
      <c r="BE34" s="460"/>
      <c r="BF34" s="460" t="s">
        <v>92</v>
      </c>
      <c r="BG34" s="460"/>
      <c r="BH34" s="460"/>
      <c r="BI34" s="460"/>
      <c r="BJ34" s="460" t="s">
        <v>92</v>
      </c>
      <c r="BK34" s="460" t="s">
        <v>92</v>
      </c>
      <c r="BL34" s="460"/>
      <c r="BM34" s="461" t="s">
        <v>7128</v>
      </c>
      <c r="BN34" s="461" t="s">
        <v>7129</v>
      </c>
      <c r="BO34" s="462"/>
      <c r="BP34" s="462"/>
      <c r="BQ34" s="463"/>
      <c r="BR34" s="463"/>
    </row>
    <row r="35" ht="15.75" customHeight="1">
      <c r="A35" s="457"/>
      <c r="B35" s="458" t="s">
        <v>7130</v>
      </c>
      <c r="C35" s="457">
        <v>210.0</v>
      </c>
      <c r="D35" s="458" t="s">
        <v>7131</v>
      </c>
      <c r="E35" s="99" t="s">
        <v>189</v>
      </c>
      <c r="F35" s="458" t="s">
        <v>7132</v>
      </c>
      <c r="G35" s="99" t="s">
        <v>3346</v>
      </c>
      <c r="H35" s="99" t="s">
        <v>95</v>
      </c>
      <c r="I35" s="99" t="s">
        <v>94</v>
      </c>
      <c r="J35" s="99" t="s">
        <v>92</v>
      </c>
      <c r="K35" s="457">
        <v>2020.0</v>
      </c>
      <c r="L35" s="99" t="s">
        <v>93</v>
      </c>
      <c r="M35" s="99" t="s">
        <v>92</v>
      </c>
      <c r="N35" s="99" t="s">
        <v>92</v>
      </c>
      <c r="O35" s="99" t="s">
        <v>92</v>
      </c>
      <c r="P35" s="99">
        <v>2020.0</v>
      </c>
      <c r="Q35" s="99" t="s">
        <v>96</v>
      </c>
      <c r="R35" s="197" t="s">
        <v>5902</v>
      </c>
      <c r="S35" s="197"/>
      <c r="T35" s="197"/>
      <c r="U35" s="99" t="s">
        <v>92</v>
      </c>
      <c r="V35" s="99" t="s">
        <v>92</v>
      </c>
      <c r="W35" s="99" t="s">
        <v>92</v>
      </c>
      <c r="X35" s="99" t="s">
        <v>92</v>
      </c>
      <c r="Y35" s="99" t="s">
        <v>92</v>
      </c>
      <c r="Z35" s="99" t="s">
        <v>92</v>
      </c>
      <c r="AA35" s="197" t="s">
        <v>93</v>
      </c>
      <c r="AB35" s="197"/>
      <c r="AC35" s="197"/>
      <c r="AD35" s="197"/>
      <c r="AE35" s="197" t="s">
        <v>92</v>
      </c>
      <c r="AF35" s="458" t="s">
        <v>7133</v>
      </c>
      <c r="AG35" s="197" t="s">
        <v>6990</v>
      </c>
      <c r="AH35" s="197"/>
      <c r="AI35" s="459" t="s">
        <v>92</v>
      </c>
      <c r="AJ35" s="458" t="s">
        <v>3410</v>
      </c>
      <c r="AK35" s="99" t="s">
        <v>92</v>
      </c>
      <c r="AL35" s="99" t="s">
        <v>92</v>
      </c>
      <c r="AM35" s="99" t="s">
        <v>92</v>
      </c>
      <c r="AN35" s="99" t="s">
        <v>92</v>
      </c>
      <c r="AO35" s="99" t="s">
        <v>92</v>
      </c>
      <c r="AP35" s="99" t="s">
        <v>93</v>
      </c>
      <c r="AQ35" s="99" t="s">
        <v>92</v>
      </c>
      <c r="AR35" s="99" t="s">
        <v>6949</v>
      </c>
      <c r="AS35" s="458" t="s">
        <v>95</v>
      </c>
      <c r="AT35" s="458" t="s">
        <v>95</v>
      </c>
      <c r="AU35" s="99" t="s">
        <v>93</v>
      </c>
      <c r="AV35" s="99" t="s">
        <v>93</v>
      </c>
      <c r="AW35" s="99" t="s">
        <v>93</v>
      </c>
      <c r="AX35" s="99" t="s">
        <v>93</v>
      </c>
      <c r="AY35" s="99" t="s">
        <v>93</v>
      </c>
      <c r="AZ35" s="460" t="s">
        <v>93</v>
      </c>
      <c r="BA35" s="460"/>
      <c r="BB35" s="460" t="s">
        <v>92</v>
      </c>
      <c r="BC35" s="460" t="s">
        <v>92</v>
      </c>
      <c r="BD35" s="460" t="s">
        <v>92</v>
      </c>
      <c r="BE35" s="460"/>
      <c r="BF35" s="460" t="s">
        <v>92</v>
      </c>
      <c r="BG35" s="460"/>
      <c r="BH35" s="460"/>
      <c r="BI35" s="460"/>
      <c r="BJ35" s="460" t="s">
        <v>93</v>
      </c>
      <c r="BK35" s="460" t="s">
        <v>92</v>
      </c>
      <c r="BL35" s="460"/>
      <c r="BM35" s="461" t="s">
        <v>7134</v>
      </c>
      <c r="BN35" s="461" t="s">
        <v>7135</v>
      </c>
      <c r="BO35" s="462"/>
      <c r="BP35" s="462"/>
      <c r="BQ35" s="463"/>
      <c r="BR35" s="463"/>
    </row>
    <row r="36" ht="15.75" customHeight="1">
      <c r="A36" s="457"/>
      <c r="B36" s="458" t="s">
        <v>7136</v>
      </c>
      <c r="C36" s="457">
        <v>211.0</v>
      </c>
      <c r="D36" s="458" t="s">
        <v>7137</v>
      </c>
      <c r="E36" s="99" t="s">
        <v>189</v>
      </c>
      <c r="F36" s="458" t="s">
        <v>7138</v>
      </c>
      <c r="G36" s="99" t="s">
        <v>3346</v>
      </c>
      <c r="H36" s="99" t="s">
        <v>95</v>
      </c>
      <c r="I36" s="99" t="s">
        <v>94</v>
      </c>
      <c r="J36" s="99" t="s">
        <v>92</v>
      </c>
      <c r="K36" s="457">
        <v>2020.0</v>
      </c>
      <c r="L36" s="99" t="s">
        <v>93</v>
      </c>
      <c r="M36" s="99" t="s">
        <v>92</v>
      </c>
      <c r="N36" s="99" t="s">
        <v>92</v>
      </c>
      <c r="O36" s="99" t="s">
        <v>92</v>
      </c>
      <c r="P36" s="99">
        <v>2020.0</v>
      </c>
      <c r="Q36" s="99" t="s">
        <v>96</v>
      </c>
      <c r="R36" s="197" t="s">
        <v>5902</v>
      </c>
      <c r="S36" s="197"/>
      <c r="T36" s="197"/>
      <c r="U36" s="99"/>
      <c r="V36" s="99"/>
      <c r="W36" s="99"/>
      <c r="X36" s="99"/>
      <c r="Y36" s="99"/>
      <c r="Z36" s="99"/>
      <c r="AA36" s="197"/>
      <c r="AB36" s="197"/>
      <c r="AC36" s="197"/>
      <c r="AD36" s="197"/>
      <c r="AE36" s="197" t="s">
        <v>92</v>
      </c>
      <c r="AF36" s="458" t="s">
        <v>7139</v>
      </c>
      <c r="AG36" s="197" t="s">
        <v>6990</v>
      </c>
      <c r="AH36" s="197"/>
      <c r="AI36" s="459" t="s">
        <v>92</v>
      </c>
      <c r="AJ36" s="458" t="s">
        <v>3410</v>
      </c>
      <c r="AK36" s="99" t="s">
        <v>92</v>
      </c>
      <c r="AL36" s="99" t="s">
        <v>92</v>
      </c>
      <c r="AM36" s="99" t="s">
        <v>92</v>
      </c>
      <c r="AN36" s="99" t="s">
        <v>92</v>
      </c>
      <c r="AO36" s="99" t="s">
        <v>92</v>
      </c>
      <c r="AP36" s="99" t="s">
        <v>93</v>
      </c>
      <c r="AQ36" s="99" t="s">
        <v>92</v>
      </c>
      <c r="AR36" s="99" t="s">
        <v>6942</v>
      </c>
      <c r="AS36" s="458" t="s">
        <v>7140</v>
      </c>
      <c r="AT36" s="458" t="s">
        <v>7141</v>
      </c>
      <c r="AU36" s="99" t="s">
        <v>93</v>
      </c>
      <c r="AV36" s="99" t="s">
        <v>93</v>
      </c>
      <c r="AW36" s="99" t="s">
        <v>92</v>
      </c>
      <c r="AX36" s="99" t="s">
        <v>93</v>
      </c>
      <c r="AY36" s="99" t="s">
        <v>92</v>
      </c>
      <c r="AZ36" s="460" t="s">
        <v>93</v>
      </c>
      <c r="BA36" s="460"/>
      <c r="BB36" s="460" t="s">
        <v>92</v>
      </c>
      <c r="BC36" s="460" t="s">
        <v>92</v>
      </c>
      <c r="BD36" s="460" t="s">
        <v>92</v>
      </c>
      <c r="BE36" s="460"/>
      <c r="BF36" s="460" t="s">
        <v>92</v>
      </c>
      <c r="BG36" s="460"/>
      <c r="BH36" s="460"/>
      <c r="BI36" s="460"/>
      <c r="BJ36" s="460" t="s">
        <v>93</v>
      </c>
      <c r="BK36" s="460" t="s">
        <v>92</v>
      </c>
      <c r="BL36" s="460"/>
      <c r="BM36" s="461" t="s">
        <v>7142</v>
      </c>
      <c r="BN36" s="461" t="s">
        <v>7143</v>
      </c>
      <c r="BO36" s="462"/>
      <c r="BP36" s="462"/>
      <c r="BQ36" s="463"/>
      <c r="BR36" s="463"/>
    </row>
    <row r="37" ht="15.75" customHeight="1">
      <c r="A37" s="457"/>
      <c r="B37" s="458" t="s">
        <v>4961</v>
      </c>
      <c r="C37" s="457">
        <v>214.0</v>
      </c>
      <c r="D37" s="458" t="s">
        <v>7144</v>
      </c>
      <c r="E37" s="99" t="s">
        <v>110</v>
      </c>
      <c r="F37" s="458" t="s">
        <v>7145</v>
      </c>
      <c r="G37" s="99" t="s">
        <v>3346</v>
      </c>
      <c r="H37" s="99" t="s">
        <v>3345</v>
      </c>
      <c r="I37" s="99" t="s">
        <v>94</v>
      </c>
      <c r="J37" s="99" t="s">
        <v>92</v>
      </c>
      <c r="K37" s="457">
        <v>2018.0</v>
      </c>
      <c r="L37" s="99" t="s">
        <v>93</v>
      </c>
      <c r="M37" s="99" t="s">
        <v>93</v>
      </c>
      <c r="N37" s="99" t="s">
        <v>93</v>
      </c>
      <c r="O37" s="99" t="s">
        <v>93</v>
      </c>
      <c r="P37" s="99" t="s">
        <v>95</v>
      </c>
      <c r="Q37" s="99" t="s">
        <v>114</v>
      </c>
      <c r="R37" s="197" t="s">
        <v>5902</v>
      </c>
      <c r="S37" s="197"/>
      <c r="T37" s="197"/>
      <c r="U37" s="99" t="s">
        <v>93</v>
      </c>
      <c r="V37" s="99" t="s">
        <v>92</v>
      </c>
      <c r="W37" s="99" t="s">
        <v>92</v>
      </c>
      <c r="X37" s="99" t="s">
        <v>92</v>
      </c>
      <c r="Y37" s="99" t="s">
        <v>93</v>
      </c>
      <c r="Z37" s="99" t="s">
        <v>92</v>
      </c>
      <c r="AA37" s="197" t="s">
        <v>93</v>
      </c>
      <c r="AB37" s="197"/>
      <c r="AC37" s="197"/>
      <c r="AD37" s="197"/>
      <c r="AE37" s="197" t="s">
        <v>92</v>
      </c>
      <c r="AF37" s="458" t="s">
        <v>7146</v>
      </c>
      <c r="AG37" s="197" t="s">
        <v>6982</v>
      </c>
      <c r="AH37" s="197"/>
      <c r="AI37" s="459" t="s">
        <v>92</v>
      </c>
      <c r="AJ37" s="458" t="s">
        <v>3410</v>
      </c>
      <c r="AK37" s="99" t="s">
        <v>92</v>
      </c>
      <c r="AL37" s="99" t="s">
        <v>92</v>
      </c>
      <c r="AM37" s="99" t="s">
        <v>92</v>
      </c>
      <c r="AN37" s="99" t="s">
        <v>92</v>
      </c>
      <c r="AO37" s="99" t="s">
        <v>92</v>
      </c>
      <c r="AP37" s="99" t="s">
        <v>93</v>
      </c>
      <c r="AQ37" s="99" t="s">
        <v>92</v>
      </c>
      <c r="AR37" s="99" t="s">
        <v>6942</v>
      </c>
      <c r="AS37" s="458" t="s">
        <v>7147</v>
      </c>
      <c r="AT37" s="458" t="s">
        <v>6965</v>
      </c>
      <c r="AU37" s="99" t="s">
        <v>93</v>
      </c>
      <c r="AV37" s="99" t="s">
        <v>92</v>
      </c>
      <c r="AW37" s="99" t="s">
        <v>92</v>
      </c>
      <c r="AX37" s="99" t="s">
        <v>93</v>
      </c>
      <c r="AY37" s="99" t="s">
        <v>92</v>
      </c>
      <c r="AZ37" s="460" t="s">
        <v>93</v>
      </c>
      <c r="BA37" s="460"/>
      <c r="BB37" s="460" t="s">
        <v>92</v>
      </c>
      <c r="BC37" s="460" t="s">
        <v>92</v>
      </c>
      <c r="BD37" s="460" t="s">
        <v>92</v>
      </c>
      <c r="BE37" s="460"/>
      <c r="BF37" s="460" t="s">
        <v>92</v>
      </c>
      <c r="BG37" s="460"/>
      <c r="BH37" s="460"/>
      <c r="BI37" s="460"/>
      <c r="BJ37" s="460" t="s">
        <v>92</v>
      </c>
      <c r="BK37" s="460" t="s">
        <v>93</v>
      </c>
      <c r="BL37" s="460"/>
      <c r="BM37" s="461" t="s">
        <v>7148</v>
      </c>
      <c r="BN37" s="461" t="s">
        <v>7149</v>
      </c>
      <c r="BO37" s="461" t="s">
        <v>7150</v>
      </c>
      <c r="BP37" s="462"/>
      <c r="BQ37" s="463"/>
      <c r="BR37" s="463"/>
    </row>
    <row r="38" ht="15.75" customHeight="1">
      <c r="A38" s="457"/>
      <c r="B38" s="458" t="s">
        <v>4961</v>
      </c>
      <c r="C38" s="457">
        <v>215.0</v>
      </c>
      <c r="D38" s="458" t="s">
        <v>7151</v>
      </c>
      <c r="E38" s="99" t="s">
        <v>110</v>
      </c>
      <c r="F38" s="458" t="s">
        <v>7152</v>
      </c>
      <c r="G38" s="99" t="s">
        <v>3346</v>
      </c>
      <c r="H38" s="99" t="s">
        <v>3345</v>
      </c>
      <c r="I38" s="99" t="s">
        <v>287</v>
      </c>
      <c r="J38" s="99" t="s">
        <v>92</v>
      </c>
      <c r="K38" s="457">
        <v>2018.0</v>
      </c>
      <c r="L38" s="99" t="s">
        <v>93</v>
      </c>
      <c r="M38" s="99" t="s">
        <v>93</v>
      </c>
      <c r="N38" s="99" t="s">
        <v>93</v>
      </c>
      <c r="O38" s="99" t="s">
        <v>93</v>
      </c>
      <c r="P38" s="99" t="s">
        <v>95</v>
      </c>
      <c r="Q38" s="99" t="s">
        <v>114</v>
      </c>
      <c r="R38" s="197" t="s">
        <v>5902</v>
      </c>
      <c r="S38" s="197"/>
      <c r="T38" s="197"/>
      <c r="U38" s="99" t="s">
        <v>93</v>
      </c>
      <c r="V38" s="99" t="s">
        <v>92</v>
      </c>
      <c r="W38" s="99" t="s">
        <v>92</v>
      </c>
      <c r="X38" s="99" t="s">
        <v>92</v>
      </c>
      <c r="Y38" s="99" t="s">
        <v>93</v>
      </c>
      <c r="Z38" s="99" t="s">
        <v>92</v>
      </c>
      <c r="AA38" s="197" t="s">
        <v>93</v>
      </c>
      <c r="AB38" s="197"/>
      <c r="AC38" s="197"/>
      <c r="AD38" s="197"/>
      <c r="AE38" s="197" t="s">
        <v>92</v>
      </c>
      <c r="AF38" s="458" t="s">
        <v>7146</v>
      </c>
      <c r="AG38" s="197" t="s">
        <v>6982</v>
      </c>
      <c r="AH38" s="197"/>
      <c r="AI38" s="459" t="s">
        <v>92</v>
      </c>
      <c r="AJ38" s="458" t="s">
        <v>3410</v>
      </c>
      <c r="AK38" s="99" t="s">
        <v>93</v>
      </c>
      <c r="AL38" s="99" t="s">
        <v>92</v>
      </c>
      <c r="AM38" s="99" t="s">
        <v>92</v>
      </c>
      <c r="AN38" s="99" t="s">
        <v>92</v>
      </c>
      <c r="AO38" s="99" t="s">
        <v>92</v>
      </c>
      <c r="AP38" s="99" t="s">
        <v>93</v>
      </c>
      <c r="AQ38" s="99" t="s">
        <v>92</v>
      </c>
      <c r="AR38" s="99" t="s">
        <v>6942</v>
      </c>
      <c r="AS38" s="458" t="s">
        <v>3520</v>
      </c>
      <c r="AT38" s="458" t="s">
        <v>3451</v>
      </c>
      <c r="AU38" s="99" t="s">
        <v>92</v>
      </c>
      <c r="AV38" s="99" t="s">
        <v>92</v>
      </c>
      <c r="AW38" s="99" t="s">
        <v>92</v>
      </c>
      <c r="AX38" s="99" t="s">
        <v>93</v>
      </c>
      <c r="AY38" s="99" t="s">
        <v>92</v>
      </c>
      <c r="AZ38" s="460" t="s">
        <v>93</v>
      </c>
      <c r="BA38" s="460"/>
      <c r="BB38" s="460" t="s">
        <v>92</v>
      </c>
      <c r="BC38" s="460" t="s">
        <v>92</v>
      </c>
      <c r="BD38" s="460" t="s">
        <v>92</v>
      </c>
      <c r="BE38" s="460"/>
      <c r="BF38" s="460" t="s">
        <v>92</v>
      </c>
      <c r="BG38" s="460"/>
      <c r="BH38" s="460"/>
      <c r="BI38" s="460"/>
      <c r="BJ38" s="460" t="s">
        <v>92</v>
      </c>
      <c r="BK38" s="460" t="s">
        <v>93</v>
      </c>
      <c r="BL38" s="460"/>
      <c r="BM38" s="461" t="s">
        <v>7153</v>
      </c>
      <c r="BN38" s="461" t="s">
        <v>7149</v>
      </c>
      <c r="BO38" s="461" t="s">
        <v>7150</v>
      </c>
      <c r="BP38" s="462"/>
      <c r="BQ38" s="463"/>
      <c r="BR38" s="463"/>
    </row>
    <row r="39" ht="15.75" customHeight="1">
      <c r="A39" s="457"/>
      <c r="B39" s="458" t="s">
        <v>7061</v>
      </c>
      <c r="C39" s="457">
        <v>216.0</v>
      </c>
      <c r="D39" s="458" t="s">
        <v>7154</v>
      </c>
      <c r="E39" s="99" t="s">
        <v>110</v>
      </c>
      <c r="F39" s="458" t="s">
        <v>7155</v>
      </c>
      <c r="G39" s="99" t="s">
        <v>3346</v>
      </c>
      <c r="H39" s="99" t="s">
        <v>95</v>
      </c>
      <c r="I39" s="99" t="s">
        <v>1135</v>
      </c>
      <c r="J39" s="99" t="s">
        <v>92</v>
      </c>
      <c r="K39" s="457">
        <v>2020.0</v>
      </c>
      <c r="L39" s="99" t="s">
        <v>93</v>
      </c>
      <c r="M39" s="99" t="s">
        <v>93</v>
      </c>
      <c r="N39" s="99" t="s">
        <v>93</v>
      </c>
      <c r="O39" s="99" t="s">
        <v>93</v>
      </c>
      <c r="P39" s="99" t="s">
        <v>95</v>
      </c>
      <c r="Q39" s="99" t="s">
        <v>114</v>
      </c>
      <c r="R39" s="197" t="s">
        <v>5902</v>
      </c>
      <c r="S39" s="197"/>
      <c r="T39" s="197"/>
      <c r="U39" s="99" t="s">
        <v>92</v>
      </c>
      <c r="V39" s="99" t="s">
        <v>92</v>
      </c>
      <c r="W39" s="99" t="s">
        <v>92</v>
      </c>
      <c r="X39" s="99" t="s">
        <v>92</v>
      </c>
      <c r="Y39" s="99" t="s">
        <v>92</v>
      </c>
      <c r="Z39" s="99" t="s">
        <v>92</v>
      </c>
      <c r="AA39" s="197" t="s">
        <v>92</v>
      </c>
      <c r="AB39" s="197" t="s">
        <v>95</v>
      </c>
      <c r="AC39" s="197"/>
      <c r="AD39" s="197"/>
      <c r="AE39" s="197" t="s">
        <v>92</v>
      </c>
      <c r="AF39" s="458" t="s">
        <v>7061</v>
      </c>
      <c r="AG39" s="197" t="s">
        <v>5902</v>
      </c>
      <c r="AH39" s="197"/>
      <c r="AI39" s="459" t="s">
        <v>92</v>
      </c>
      <c r="AJ39" s="463" t="s">
        <v>7011</v>
      </c>
      <c r="AK39" s="99" t="s">
        <v>92</v>
      </c>
      <c r="AL39" s="99" t="s">
        <v>92</v>
      </c>
      <c r="AM39" s="99" t="s">
        <v>93</v>
      </c>
      <c r="AN39" s="99" t="s">
        <v>92</v>
      </c>
      <c r="AO39" s="99" t="s">
        <v>92</v>
      </c>
      <c r="AP39" s="99" t="s">
        <v>93</v>
      </c>
      <c r="AQ39" s="99" t="s">
        <v>92</v>
      </c>
      <c r="AR39" s="99" t="s">
        <v>6949</v>
      </c>
      <c r="AS39" s="458" t="s">
        <v>95</v>
      </c>
      <c r="AT39" s="458" t="s">
        <v>95</v>
      </c>
      <c r="AU39" s="99" t="s">
        <v>93</v>
      </c>
      <c r="AV39" s="99" t="s">
        <v>93</v>
      </c>
      <c r="AW39" s="99" t="s">
        <v>93</v>
      </c>
      <c r="AX39" s="99" t="s">
        <v>93</v>
      </c>
      <c r="AY39" s="99" t="s">
        <v>93</v>
      </c>
      <c r="AZ39" s="460" t="s">
        <v>93</v>
      </c>
      <c r="BA39" s="460"/>
      <c r="BB39" s="460" t="s">
        <v>92</v>
      </c>
      <c r="BC39" s="460" t="s">
        <v>92</v>
      </c>
      <c r="BD39" s="460" t="s">
        <v>92</v>
      </c>
      <c r="BE39" s="460"/>
      <c r="BF39" s="460" t="s">
        <v>92</v>
      </c>
      <c r="BG39" s="460"/>
      <c r="BH39" s="460"/>
      <c r="BI39" s="460"/>
      <c r="BJ39" s="460" t="s">
        <v>92</v>
      </c>
      <c r="BK39" s="460" t="s">
        <v>93</v>
      </c>
      <c r="BL39" s="460"/>
      <c r="BM39" s="461" t="s">
        <v>7065</v>
      </c>
      <c r="BN39" s="467" t="s">
        <v>7156</v>
      </c>
      <c r="BO39" s="465"/>
      <c r="BP39" s="462"/>
      <c r="BQ39" s="463"/>
      <c r="BR39" s="463"/>
    </row>
    <row r="40" ht="15.75" customHeight="1">
      <c r="A40" s="457"/>
      <c r="B40" s="458" t="s">
        <v>7157</v>
      </c>
      <c r="C40" s="457">
        <v>222.0</v>
      </c>
      <c r="D40" s="458" t="s">
        <v>7158</v>
      </c>
      <c r="E40" s="99" t="s">
        <v>90</v>
      </c>
      <c r="F40" s="458" t="s">
        <v>7159</v>
      </c>
      <c r="G40" s="99"/>
      <c r="H40" s="99"/>
      <c r="I40" s="99"/>
      <c r="J40" s="99"/>
      <c r="K40" s="457">
        <v>2020.0</v>
      </c>
      <c r="L40" s="99" t="s">
        <v>93</v>
      </c>
      <c r="M40" s="99" t="s">
        <v>93</v>
      </c>
      <c r="N40" s="99" t="s">
        <v>93</v>
      </c>
      <c r="O40" s="99" t="s">
        <v>93</v>
      </c>
      <c r="P40" s="99" t="s">
        <v>95</v>
      </c>
      <c r="Q40" s="99" t="s">
        <v>114</v>
      </c>
      <c r="R40" s="197" t="s">
        <v>6940</v>
      </c>
      <c r="S40" s="197"/>
      <c r="T40" s="197"/>
      <c r="U40" s="99"/>
      <c r="V40" s="99"/>
      <c r="W40" s="99"/>
      <c r="X40" s="99"/>
      <c r="Y40" s="99"/>
      <c r="Z40" s="99"/>
      <c r="AA40" s="197"/>
      <c r="AB40" s="197"/>
      <c r="AC40" s="197"/>
      <c r="AD40" s="197"/>
      <c r="AE40" s="197" t="s">
        <v>92</v>
      </c>
      <c r="AF40" s="458" t="s">
        <v>7158</v>
      </c>
      <c r="AG40" s="197" t="s">
        <v>6941</v>
      </c>
      <c r="AH40" s="197"/>
      <c r="AI40" s="459"/>
      <c r="AJ40" s="458" t="s">
        <v>7160</v>
      </c>
      <c r="AK40" s="99"/>
      <c r="AL40" s="99"/>
      <c r="AM40" s="99"/>
      <c r="AN40" s="99"/>
      <c r="AO40" s="99"/>
      <c r="AP40" s="99"/>
      <c r="AQ40" s="99"/>
      <c r="AR40" s="99" t="s">
        <v>6942</v>
      </c>
      <c r="AS40" s="458" t="s">
        <v>3520</v>
      </c>
      <c r="AT40" s="458" t="s">
        <v>3451</v>
      </c>
      <c r="AU40" s="99"/>
      <c r="AV40" s="99"/>
      <c r="AW40" s="99"/>
      <c r="AX40" s="99"/>
      <c r="AY40" s="99"/>
      <c r="AZ40" s="460" t="s">
        <v>92</v>
      </c>
      <c r="BA40" s="460"/>
      <c r="BB40" s="460" t="s">
        <v>92</v>
      </c>
      <c r="BC40" s="460" t="s">
        <v>92</v>
      </c>
      <c r="BD40" s="460" t="s">
        <v>92</v>
      </c>
      <c r="BE40" s="460"/>
      <c r="BF40" s="460" t="s">
        <v>93</v>
      </c>
      <c r="BG40" s="460"/>
      <c r="BH40" s="460"/>
      <c r="BI40" s="460"/>
      <c r="BJ40" s="460"/>
      <c r="BK40" s="460"/>
      <c r="BL40" s="460"/>
      <c r="BM40" s="461" t="s">
        <v>7161</v>
      </c>
      <c r="BN40" s="461" t="s">
        <v>7162</v>
      </c>
      <c r="BO40" s="461" t="s">
        <v>7163</v>
      </c>
      <c r="BP40" s="462"/>
      <c r="BQ40" s="463"/>
      <c r="BR40" s="463"/>
    </row>
    <row r="41" ht="15.75" customHeight="1">
      <c r="A41" s="457"/>
      <c r="B41" s="458" t="s">
        <v>7164</v>
      </c>
      <c r="C41" s="457">
        <v>223.0</v>
      </c>
      <c r="D41" s="458" t="s">
        <v>7164</v>
      </c>
      <c r="E41" s="99" t="s">
        <v>90</v>
      </c>
      <c r="F41" s="458" t="s">
        <v>7165</v>
      </c>
      <c r="G41" s="99"/>
      <c r="H41" s="99"/>
      <c r="I41" s="99"/>
      <c r="J41" s="99"/>
      <c r="K41" s="457">
        <v>2020.0</v>
      </c>
      <c r="L41" s="99" t="s">
        <v>93</v>
      </c>
      <c r="M41" s="99" t="s">
        <v>93</v>
      </c>
      <c r="N41" s="99" t="s">
        <v>93</v>
      </c>
      <c r="O41" s="99" t="s">
        <v>93</v>
      </c>
      <c r="P41" s="99" t="s">
        <v>95</v>
      </c>
      <c r="Q41" s="99" t="s">
        <v>114</v>
      </c>
      <c r="R41" s="197" t="s">
        <v>6940</v>
      </c>
      <c r="S41" s="197"/>
      <c r="T41" s="197"/>
      <c r="U41" s="99"/>
      <c r="V41" s="99"/>
      <c r="W41" s="99"/>
      <c r="X41" s="99"/>
      <c r="Y41" s="99"/>
      <c r="Z41" s="99"/>
      <c r="AA41" s="197"/>
      <c r="AB41" s="197"/>
      <c r="AC41" s="197"/>
      <c r="AD41" s="197"/>
      <c r="AE41" s="197" t="s">
        <v>92</v>
      </c>
      <c r="AF41" s="458" t="s">
        <v>7164</v>
      </c>
      <c r="AG41" s="197" t="s">
        <v>6941</v>
      </c>
      <c r="AH41" s="197"/>
      <c r="AI41" s="459"/>
      <c r="AJ41" s="458" t="s">
        <v>7160</v>
      </c>
      <c r="AK41" s="99"/>
      <c r="AL41" s="99"/>
      <c r="AM41" s="99"/>
      <c r="AN41" s="99"/>
      <c r="AO41" s="99"/>
      <c r="AP41" s="99"/>
      <c r="AQ41" s="99"/>
      <c r="AR41" s="99" t="s">
        <v>6942</v>
      </c>
      <c r="AS41" s="458" t="s">
        <v>3520</v>
      </c>
      <c r="AT41" s="458" t="s">
        <v>3451</v>
      </c>
      <c r="AU41" s="99"/>
      <c r="AV41" s="99"/>
      <c r="AW41" s="99"/>
      <c r="AX41" s="99"/>
      <c r="AY41" s="99"/>
      <c r="AZ41" s="460" t="s">
        <v>92</v>
      </c>
      <c r="BA41" s="460"/>
      <c r="BB41" s="460" t="s">
        <v>92</v>
      </c>
      <c r="BC41" s="460" t="s">
        <v>92</v>
      </c>
      <c r="BD41" s="460" t="s">
        <v>92</v>
      </c>
      <c r="BE41" s="460"/>
      <c r="BF41" s="460" t="s">
        <v>93</v>
      </c>
      <c r="BG41" s="460"/>
      <c r="BH41" s="460"/>
      <c r="BI41" s="460"/>
      <c r="BJ41" s="460"/>
      <c r="BK41" s="460"/>
      <c r="BL41" s="460"/>
      <c r="BM41" s="461" t="s">
        <v>7166</v>
      </c>
      <c r="BN41" s="461" t="s">
        <v>7167</v>
      </c>
      <c r="BO41" s="461" t="s">
        <v>7168</v>
      </c>
      <c r="BP41" s="462"/>
      <c r="BQ41" s="463"/>
      <c r="BR41" s="463"/>
    </row>
    <row r="42" ht="15.75" customHeight="1">
      <c r="A42" s="457"/>
      <c r="B42" s="458" t="s">
        <v>7103</v>
      </c>
      <c r="C42" s="457">
        <v>225.0</v>
      </c>
      <c r="D42" s="458" t="s">
        <v>7169</v>
      </c>
      <c r="E42" s="99" t="s">
        <v>110</v>
      </c>
      <c r="F42" s="458" t="s">
        <v>7170</v>
      </c>
      <c r="G42" s="99"/>
      <c r="H42" s="99"/>
      <c r="I42" s="99"/>
      <c r="J42" s="99"/>
      <c r="K42" s="457">
        <v>2022.0</v>
      </c>
      <c r="L42" s="99" t="s">
        <v>92</v>
      </c>
      <c r="M42" s="99" t="s">
        <v>92</v>
      </c>
      <c r="N42" s="99" t="s">
        <v>93</v>
      </c>
      <c r="O42" s="99" t="s">
        <v>93</v>
      </c>
      <c r="P42" s="99" t="s">
        <v>95</v>
      </c>
      <c r="Q42" s="99" t="s">
        <v>114</v>
      </c>
      <c r="R42" s="197" t="s">
        <v>5902</v>
      </c>
      <c r="S42" s="197"/>
      <c r="T42" s="197"/>
      <c r="U42" s="99"/>
      <c r="V42" s="99"/>
      <c r="W42" s="99"/>
      <c r="X42" s="99"/>
      <c r="Y42" s="99"/>
      <c r="Z42" s="99"/>
      <c r="AA42" s="197"/>
      <c r="AB42" s="197"/>
      <c r="AC42" s="197"/>
      <c r="AD42" s="197"/>
      <c r="AE42" s="197" t="s">
        <v>92</v>
      </c>
      <c r="AF42" s="458" t="s">
        <v>7103</v>
      </c>
      <c r="AG42" s="197" t="s">
        <v>5902</v>
      </c>
      <c r="AH42" s="197"/>
      <c r="AI42" s="459"/>
      <c r="AJ42" s="458" t="s">
        <v>7171</v>
      </c>
      <c r="AK42" s="99"/>
      <c r="AL42" s="99"/>
      <c r="AM42" s="99"/>
      <c r="AN42" s="99"/>
      <c r="AO42" s="99"/>
      <c r="AP42" s="99"/>
      <c r="AQ42" s="99"/>
      <c r="AR42" s="99" t="s">
        <v>6949</v>
      </c>
      <c r="AS42" s="458" t="s">
        <v>95</v>
      </c>
      <c r="AT42" s="458" t="s">
        <v>95</v>
      </c>
      <c r="AU42" s="99" t="s">
        <v>93</v>
      </c>
      <c r="AV42" s="99" t="s">
        <v>93</v>
      </c>
      <c r="AW42" s="99" t="s">
        <v>93</v>
      </c>
      <c r="AX42" s="99" t="s">
        <v>93</v>
      </c>
      <c r="AY42" s="99" t="s">
        <v>93</v>
      </c>
      <c r="AZ42" s="460" t="s">
        <v>92</v>
      </c>
      <c r="BA42" s="460"/>
      <c r="BB42" s="460" t="s">
        <v>92</v>
      </c>
      <c r="BC42" s="460" t="s">
        <v>92</v>
      </c>
      <c r="BD42" s="460" t="s">
        <v>92</v>
      </c>
      <c r="BE42" s="460"/>
      <c r="BF42" s="460" t="s">
        <v>93</v>
      </c>
      <c r="BG42" s="460"/>
      <c r="BH42" s="460"/>
      <c r="BI42" s="460"/>
      <c r="BJ42" s="460"/>
      <c r="BK42" s="460"/>
      <c r="BL42" s="460"/>
      <c r="BM42" s="461" t="s">
        <v>7172</v>
      </c>
      <c r="BN42" s="461" t="s">
        <v>7173</v>
      </c>
      <c r="BO42" s="462"/>
      <c r="BP42" s="462"/>
      <c r="BQ42" s="463"/>
      <c r="BR42" s="463"/>
    </row>
    <row r="43" ht="15.75" customHeight="1">
      <c r="A43" s="457"/>
      <c r="B43" s="458" t="s">
        <v>7174</v>
      </c>
      <c r="C43" s="457">
        <v>226.0</v>
      </c>
      <c r="D43" s="458" t="s">
        <v>7174</v>
      </c>
      <c r="E43" s="99" t="s">
        <v>90</v>
      </c>
      <c r="F43" s="458" t="s">
        <v>7175</v>
      </c>
      <c r="G43" s="99"/>
      <c r="H43" s="99"/>
      <c r="I43" s="99"/>
      <c r="J43" s="99"/>
      <c r="K43" s="457">
        <v>2018.0</v>
      </c>
      <c r="L43" s="99" t="s">
        <v>92</v>
      </c>
      <c r="M43" s="99" t="s">
        <v>92</v>
      </c>
      <c r="N43" s="99" t="s">
        <v>92</v>
      </c>
      <c r="O43" s="99" t="s">
        <v>92</v>
      </c>
      <c r="P43" s="99" t="s">
        <v>95</v>
      </c>
      <c r="Q43" s="99" t="s">
        <v>114</v>
      </c>
      <c r="R43" s="197" t="s">
        <v>6940</v>
      </c>
      <c r="S43" s="197"/>
      <c r="T43" s="197"/>
      <c r="U43" s="99"/>
      <c r="V43" s="99"/>
      <c r="W43" s="99"/>
      <c r="X43" s="99"/>
      <c r="Y43" s="99"/>
      <c r="Z43" s="99"/>
      <c r="AA43" s="197"/>
      <c r="AB43" s="197"/>
      <c r="AC43" s="197"/>
      <c r="AD43" s="197"/>
      <c r="AE43" s="197" t="s">
        <v>92</v>
      </c>
      <c r="AF43" s="458" t="s">
        <v>7174</v>
      </c>
      <c r="AG43" s="197" t="s">
        <v>6941</v>
      </c>
      <c r="AH43" s="197"/>
      <c r="AI43" s="459"/>
      <c r="AJ43" s="458" t="s">
        <v>7171</v>
      </c>
      <c r="AK43" s="99"/>
      <c r="AL43" s="99"/>
      <c r="AM43" s="99"/>
      <c r="AN43" s="99"/>
      <c r="AO43" s="99"/>
      <c r="AP43" s="99"/>
      <c r="AQ43" s="99"/>
      <c r="AR43" s="99" t="s">
        <v>105</v>
      </c>
      <c r="AS43" s="458" t="s">
        <v>105</v>
      </c>
      <c r="AT43" s="458" t="s">
        <v>105</v>
      </c>
      <c r="AU43" s="99"/>
      <c r="AV43" s="99"/>
      <c r="AW43" s="99"/>
      <c r="AX43" s="99"/>
      <c r="AY43" s="99"/>
      <c r="AZ43" s="460" t="s">
        <v>93</v>
      </c>
      <c r="BA43" s="460"/>
      <c r="BB43" s="460" t="s">
        <v>92</v>
      </c>
      <c r="BC43" s="460" t="s">
        <v>92</v>
      </c>
      <c r="BD43" s="460" t="s">
        <v>92</v>
      </c>
      <c r="BE43" s="460"/>
      <c r="BF43" s="460" t="s">
        <v>93</v>
      </c>
      <c r="BG43" s="460"/>
      <c r="BH43" s="460"/>
      <c r="BI43" s="460"/>
      <c r="BJ43" s="460"/>
      <c r="BK43" s="460"/>
      <c r="BL43" s="460"/>
      <c r="BM43" s="461" t="s">
        <v>7176</v>
      </c>
      <c r="BN43" s="461" t="s">
        <v>7177</v>
      </c>
      <c r="BO43" s="461" t="s">
        <v>7178</v>
      </c>
      <c r="BP43" s="461" t="s">
        <v>7179</v>
      </c>
      <c r="BQ43" s="463"/>
      <c r="BR43" s="463"/>
    </row>
    <row r="44" ht="15.75" customHeight="1">
      <c r="A44" s="457"/>
      <c r="B44" s="458" t="s">
        <v>7180</v>
      </c>
      <c r="C44" s="457">
        <v>227.0</v>
      </c>
      <c r="D44" s="458" t="s">
        <v>7180</v>
      </c>
      <c r="E44" s="99" t="s">
        <v>90</v>
      </c>
      <c r="F44" s="458" t="s">
        <v>7181</v>
      </c>
      <c r="G44" s="99"/>
      <c r="H44" s="99"/>
      <c r="I44" s="99"/>
      <c r="J44" s="99"/>
      <c r="K44" s="457">
        <v>2019.0</v>
      </c>
      <c r="L44" s="99" t="s">
        <v>92</v>
      </c>
      <c r="M44" s="99" t="s">
        <v>92</v>
      </c>
      <c r="N44" s="99" t="s">
        <v>92</v>
      </c>
      <c r="O44" s="99" t="s">
        <v>92</v>
      </c>
      <c r="P44" s="99" t="s">
        <v>95</v>
      </c>
      <c r="Q44" s="99" t="s">
        <v>114</v>
      </c>
      <c r="R44" s="197" t="s">
        <v>6940</v>
      </c>
      <c r="S44" s="197"/>
      <c r="T44" s="197"/>
      <c r="U44" s="99"/>
      <c r="V44" s="99"/>
      <c r="W44" s="99"/>
      <c r="X44" s="99"/>
      <c r="Y44" s="99"/>
      <c r="Z44" s="99"/>
      <c r="AA44" s="197"/>
      <c r="AB44" s="197"/>
      <c r="AC44" s="197"/>
      <c r="AD44" s="197"/>
      <c r="AE44" s="197" t="s">
        <v>92</v>
      </c>
      <c r="AF44" s="458" t="s">
        <v>7180</v>
      </c>
      <c r="AG44" s="197" t="s">
        <v>6941</v>
      </c>
      <c r="AH44" s="197"/>
      <c r="AI44" s="459"/>
      <c r="AJ44" s="458" t="s">
        <v>7182</v>
      </c>
      <c r="AK44" s="99"/>
      <c r="AL44" s="99"/>
      <c r="AM44" s="99"/>
      <c r="AN44" s="99"/>
      <c r="AO44" s="99"/>
      <c r="AP44" s="99"/>
      <c r="AQ44" s="99"/>
      <c r="AR44" s="99" t="s">
        <v>105</v>
      </c>
      <c r="AS44" s="458" t="s">
        <v>105</v>
      </c>
      <c r="AT44" s="458" t="s">
        <v>105</v>
      </c>
      <c r="AU44" s="99"/>
      <c r="AV44" s="99"/>
      <c r="AW44" s="99"/>
      <c r="AX44" s="99"/>
      <c r="AY44" s="99"/>
      <c r="AZ44" s="460" t="s">
        <v>92</v>
      </c>
      <c r="BA44" s="460"/>
      <c r="BB44" s="460" t="s">
        <v>92</v>
      </c>
      <c r="BC44" s="460" t="s">
        <v>92</v>
      </c>
      <c r="BD44" s="460" t="s">
        <v>92</v>
      </c>
      <c r="BE44" s="460"/>
      <c r="BF44" s="460" t="s">
        <v>93</v>
      </c>
      <c r="BG44" s="460"/>
      <c r="BH44" s="460"/>
      <c r="BI44" s="460"/>
      <c r="BJ44" s="460"/>
      <c r="BK44" s="460"/>
      <c r="BL44" s="460"/>
      <c r="BM44" s="461" t="s">
        <v>7183</v>
      </c>
      <c r="BN44" s="461" t="s">
        <v>7184</v>
      </c>
      <c r="BO44" s="461" t="s">
        <v>7185</v>
      </c>
      <c r="BP44" s="462"/>
      <c r="BQ44" s="463"/>
      <c r="BR44" s="463"/>
    </row>
    <row r="45" ht="15.75" customHeight="1">
      <c r="A45" s="457"/>
      <c r="B45" s="458" t="s">
        <v>7186</v>
      </c>
      <c r="C45" s="457">
        <v>228.0</v>
      </c>
      <c r="D45" s="458" t="s">
        <v>7186</v>
      </c>
      <c r="E45" s="99" t="s">
        <v>90</v>
      </c>
      <c r="F45" s="458" t="s">
        <v>7187</v>
      </c>
      <c r="G45" s="99"/>
      <c r="H45" s="99"/>
      <c r="I45" s="99"/>
      <c r="J45" s="99"/>
      <c r="K45" s="457">
        <v>2011.0</v>
      </c>
      <c r="L45" s="99" t="s">
        <v>92</v>
      </c>
      <c r="M45" s="99" t="s">
        <v>92</v>
      </c>
      <c r="N45" s="99" t="s">
        <v>92</v>
      </c>
      <c r="O45" s="99" t="s">
        <v>92</v>
      </c>
      <c r="P45" s="99" t="s">
        <v>95</v>
      </c>
      <c r="Q45" s="99" t="s">
        <v>114</v>
      </c>
      <c r="R45" s="197" t="s">
        <v>6940</v>
      </c>
      <c r="S45" s="197"/>
      <c r="T45" s="197"/>
      <c r="U45" s="99"/>
      <c r="V45" s="99"/>
      <c r="W45" s="99"/>
      <c r="X45" s="99"/>
      <c r="Y45" s="99"/>
      <c r="Z45" s="99"/>
      <c r="AA45" s="197"/>
      <c r="AB45" s="197"/>
      <c r="AC45" s="197"/>
      <c r="AD45" s="197"/>
      <c r="AE45" s="197" t="s">
        <v>92</v>
      </c>
      <c r="AF45" s="458" t="s">
        <v>7186</v>
      </c>
      <c r="AG45" s="197" t="s">
        <v>6941</v>
      </c>
      <c r="AH45" s="197"/>
      <c r="AI45" s="459"/>
      <c r="AJ45" s="458" t="s">
        <v>7106</v>
      </c>
      <c r="AK45" s="99"/>
      <c r="AL45" s="99"/>
      <c r="AM45" s="99"/>
      <c r="AN45" s="99"/>
      <c r="AO45" s="99"/>
      <c r="AP45" s="99"/>
      <c r="AQ45" s="99"/>
      <c r="AR45" s="99" t="s">
        <v>6942</v>
      </c>
      <c r="AS45" s="458" t="s">
        <v>7188</v>
      </c>
      <c r="AT45" s="458" t="s">
        <v>7189</v>
      </c>
      <c r="AU45" s="99"/>
      <c r="AV45" s="99"/>
      <c r="AW45" s="99"/>
      <c r="AX45" s="99"/>
      <c r="AY45" s="99"/>
      <c r="AZ45" s="460" t="s">
        <v>92</v>
      </c>
      <c r="BA45" s="460"/>
      <c r="BB45" s="460" t="s">
        <v>92</v>
      </c>
      <c r="BC45" s="460" t="s">
        <v>92</v>
      </c>
      <c r="BD45" s="460" t="s">
        <v>92</v>
      </c>
      <c r="BE45" s="460"/>
      <c r="BF45" s="460" t="s">
        <v>93</v>
      </c>
      <c r="BG45" s="460"/>
      <c r="BH45" s="460"/>
      <c r="BI45" s="460"/>
      <c r="BJ45" s="460"/>
      <c r="BK45" s="460"/>
      <c r="BL45" s="460"/>
      <c r="BM45" s="461" t="s">
        <v>7190</v>
      </c>
      <c r="BN45" s="461" t="s">
        <v>7191</v>
      </c>
      <c r="BO45" s="461" t="s">
        <v>7192</v>
      </c>
      <c r="BP45" s="461" t="s">
        <v>7193</v>
      </c>
      <c r="BQ45" s="463"/>
      <c r="BR45" s="463"/>
    </row>
    <row r="46" ht="15.75" customHeight="1">
      <c r="A46" s="457"/>
      <c r="B46" s="458" t="s">
        <v>7194</v>
      </c>
      <c r="C46" s="457">
        <v>229.0</v>
      </c>
      <c r="D46" s="458" t="s">
        <v>7194</v>
      </c>
      <c r="E46" s="99" t="s">
        <v>90</v>
      </c>
      <c r="F46" s="458" t="s">
        <v>7195</v>
      </c>
      <c r="G46" s="99"/>
      <c r="H46" s="99"/>
      <c r="I46" s="99"/>
      <c r="J46" s="99"/>
      <c r="K46" s="457">
        <v>2016.0</v>
      </c>
      <c r="L46" s="99" t="s">
        <v>92</v>
      </c>
      <c r="M46" s="99" t="s">
        <v>92</v>
      </c>
      <c r="N46" s="99" t="s">
        <v>92</v>
      </c>
      <c r="O46" s="99" t="s">
        <v>92</v>
      </c>
      <c r="P46" s="99" t="s">
        <v>105</v>
      </c>
      <c r="Q46" s="99" t="s">
        <v>105</v>
      </c>
      <c r="R46" s="197" t="s">
        <v>6940</v>
      </c>
      <c r="S46" s="197"/>
      <c r="T46" s="197"/>
      <c r="U46" s="99"/>
      <c r="V46" s="99"/>
      <c r="W46" s="99"/>
      <c r="X46" s="99"/>
      <c r="Y46" s="99"/>
      <c r="Z46" s="99"/>
      <c r="AA46" s="197"/>
      <c r="AB46" s="197"/>
      <c r="AC46" s="197"/>
      <c r="AD46" s="197"/>
      <c r="AE46" s="197" t="s">
        <v>92</v>
      </c>
      <c r="AF46" s="458" t="s">
        <v>7194</v>
      </c>
      <c r="AG46" s="197" t="s">
        <v>6941</v>
      </c>
      <c r="AH46" s="197"/>
      <c r="AI46" s="459"/>
      <c r="AJ46" s="458" t="s">
        <v>7160</v>
      </c>
      <c r="AK46" s="99"/>
      <c r="AL46" s="99"/>
      <c r="AM46" s="99"/>
      <c r="AN46" s="99"/>
      <c r="AO46" s="99"/>
      <c r="AP46" s="99"/>
      <c r="AQ46" s="99"/>
      <c r="AR46" s="99" t="s">
        <v>105</v>
      </c>
      <c r="AS46" s="458" t="s">
        <v>105</v>
      </c>
      <c r="AT46" s="458" t="s">
        <v>105</v>
      </c>
      <c r="AU46" s="99"/>
      <c r="AV46" s="99"/>
      <c r="AW46" s="99"/>
      <c r="AX46" s="99"/>
      <c r="AY46" s="99"/>
      <c r="AZ46" s="460" t="s">
        <v>92</v>
      </c>
      <c r="BA46" s="460"/>
      <c r="BB46" s="460" t="s">
        <v>92</v>
      </c>
      <c r="BC46" s="460" t="s">
        <v>92</v>
      </c>
      <c r="BD46" s="460" t="s">
        <v>92</v>
      </c>
      <c r="BE46" s="460"/>
      <c r="BF46" s="460" t="s">
        <v>93</v>
      </c>
      <c r="BG46" s="460"/>
      <c r="BH46" s="460"/>
      <c r="BI46" s="460"/>
      <c r="BJ46" s="460"/>
      <c r="BK46" s="460"/>
      <c r="BL46" s="460"/>
      <c r="BM46" s="461" t="s">
        <v>7196</v>
      </c>
      <c r="BN46" s="461" t="s">
        <v>7197</v>
      </c>
      <c r="BO46" s="461" t="s">
        <v>7198</v>
      </c>
      <c r="BP46" s="462"/>
      <c r="BQ46" s="463"/>
      <c r="BR46" s="463"/>
    </row>
    <row r="47" ht="15.75" customHeight="1">
      <c r="A47" s="457"/>
      <c r="B47" s="458" t="s">
        <v>7199</v>
      </c>
      <c r="C47" s="457">
        <v>230.0</v>
      </c>
      <c r="D47" s="458" t="s">
        <v>7200</v>
      </c>
      <c r="E47" s="99" t="s">
        <v>90</v>
      </c>
      <c r="F47" s="458" t="s">
        <v>7201</v>
      </c>
      <c r="G47" s="99"/>
      <c r="H47" s="99"/>
      <c r="I47" s="99"/>
      <c r="J47" s="99"/>
      <c r="K47" s="457">
        <v>2021.0</v>
      </c>
      <c r="L47" s="99" t="s">
        <v>92</v>
      </c>
      <c r="M47" s="99" t="s">
        <v>92</v>
      </c>
      <c r="N47" s="99" t="s">
        <v>93</v>
      </c>
      <c r="O47" s="99" t="s">
        <v>92</v>
      </c>
      <c r="P47" s="99" t="s">
        <v>95</v>
      </c>
      <c r="Q47" s="99" t="s">
        <v>114</v>
      </c>
      <c r="R47" s="197" t="s">
        <v>5902</v>
      </c>
      <c r="S47" s="197"/>
      <c r="T47" s="197"/>
      <c r="U47" s="99"/>
      <c r="V47" s="99"/>
      <c r="W47" s="99"/>
      <c r="X47" s="99"/>
      <c r="Y47" s="99"/>
      <c r="Z47" s="99"/>
      <c r="AA47" s="197"/>
      <c r="AB47" s="197"/>
      <c r="AC47" s="197"/>
      <c r="AD47" s="197"/>
      <c r="AE47" s="197" t="s">
        <v>92</v>
      </c>
      <c r="AF47" s="458" t="s">
        <v>7200</v>
      </c>
      <c r="AG47" s="197" t="s">
        <v>6941</v>
      </c>
      <c r="AH47" s="197"/>
      <c r="AI47" s="459"/>
      <c r="AJ47" s="458" t="s">
        <v>7160</v>
      </c>
      <c r="AK47" s="99"/>
      <c r="AL47" s="99"/>
      <c r="AM47" s="99"/>
      <c r="AN47" s="99"/>
      <c r="AO47" s="99"/>
      <c r="AP47" s="99"/>
      <c r="AQ47" s="99"/>
      <c r="AR47" s="99" t="s">
        <v>6942</v>
      </c>
      <c r="AS47" s="458" t="s">
        <v>7202</v>
      </c>
      <c r="AT47" s="458" t="s">
        <v>3451</v>
      </c>
      <c r="AU47" s="99"/>
      <c r="AV47" s="99"/>
      <c r="AW47" s="99"/>
      <c r="AX47" s="99"/>
      <c r="AY47" s="99"/>
      <c r="AZ47" s="460" t="s">
        <v>92</v>
      </c>
      <c r="BA47" s="460"/>
      <c r="BB47" s="460" t="s">
        <v>92</v>
      </c>
      <c r="BC47" s="460" t="s">
        <v>92</v>
      </c>
      <c r="BD47" s="460" t="s">
        <v>92</v>
      </c>
      <c r="BE47" s="460"/>
      <c r="BF47" s="460" t="s">
        <v>93</v>
      </c>
      <c r="BG47" s="460"/>
      <c r="BH47" s="460"/>
      <c r="BI47" s="460"/>
      <c r="BJ47" s="460"/>
      <c r="BK47" s="460"/>
      <c r="BL47" s="460"/>
      <c r="BM47" s="461" t="s">
        <v>7203</v>
      </c>
      <c r="BN47" s="461" t="s">
        <v>7204</v>
      </c>
      <c r="BO47" s="461" t="s">
        <v>7205</v>
      </c>
      <c r="BP47" s="461" t="s">
        <v>7206</v>
      </c>
      <c r="BQ47" s="466" t="s">
        <v>7207</v>
      </c>
      <c r="BR47" s="463"/>
    </row>
    <row r="48" ht="15.75" customHeight="1">
      <c r="A48" s="457"/>
      <c r="B48" s="458" t="s">
        <v>7208</v>
      </c>
      <c r="C48" s="457">
        <v>231.0</v>
      </c>
      <c r="D48" s="458" t="s">
        <v>7209</v>
      </c>
      <c r="E48" s="99" t="s">
        <v>90</v>
      </c>
      <c r="F48" s="458" t="s">
        <v>7210</v>
      </c>
      <c r="G48" s="99"/>
      <c r="H48" s="99"/>
      <c r="I48" s="99"/>
      <c r="J48" s="99"/>
      <c r="K48" s="457">
        <v>2020.0</v>
      </c>
      <c r="L48" s="99" t="s">
        <v>92</v>
      </c>
      <c r="M48" s="99" t="s">
        <v>92</v>
      </c>
      <c r="N48" s="99" t="s">
        <v>92</v>
      </c>
      <c r="O48" s="99" t="s">
        <v>92</v>
      </c>
      <c r="P48" s="99" t="s">
        <v>95</v>
      </c>
      <c r="Q48" s="99" t="s">
        <v>114</v>
      </c>
      <c r="R48" s="197" t="s">
        <v>6940</v>
      </c>
      <c r="S48" s="197"/>
      <c r="T48" s="197"/>
      <c r="U48" s="99"/>
      <c r="V48" s="99"/>
      <c r="W48" s="99"/>
      <c r="X48" s="99"/>
      <c r="Y48" s="99"/>
      <c r="Z48" s="99"/>
      <c r="AA48" s="197"/>
      <c r="AB48" s="197"/>
      <c r="AC48" s="197"/>
      <c r="AD48" s="197"/>
      <c r="AE48" s="197" t="s">
        <v>92</v>
      </c>
      <c r="AF48" s="458" t="s">
        <v>7208</v>
      </c>
      <c r="AG48" s="197" t="s">
        <v>6941</v>
      </c>
      <c r="AH48" s="197"/>
      <c r="AI48" s="459"/>
      <c r="AJ48" s="458" t="s">
        <v>6923</v>
      </c>
      <c r="AK48" s="99"/>
      <c r="AL48" s="99"/>
      <c r="AM48" s="99"/>
      <c r="AN48" s="99"/>
      <c r="AO48" s="99"/>
      <c r="AP48" s="99"/>
      <c r="AQ48" s="99"/>
      <c r="AR48" s="99" t="s">
        <v>105</v>
      </c>
      <c r="AS48" s="458" t="s">
        <v>105</v>
      </c>
      <c r="AT48" s="458" t="s">
        <v>105</v>
      </c>
      <c r="AU48" s="99"/>
      <c r="AV48" s="99"/>
      <c r="AW48" s="99"/>
      <c r="AX48" s="99"/>
      <c r="AY48" s="99"/>
      <c r="AZ48" s="460" t="s">
        <v>92</v>
      </c>
      <c r="BA48" s="460"/>
      <c r="BB48" s="460" t="s">
        <v>92</v>
      </c>
      <c r="BC48" s="460" t="s">
        <v>92</v>
      </c>
      <c r="BD48" s="460" t="s">
        <v>92</v>
      </c>
      <c r="BE48" s="460"/>
      <c r="BF48" s="460" t="s">
        <v>93</v>
      </c>
      <c r="BG48" s="460"/>
      <c r="BH48" s="460"/>
      <c r="BI48" s="460"/>
      <c r="BJ48" s="460"/>
      <c r="BK48" s="460"/>
      <c r="BL48" s="460"/>
      <c r="BM48" s="461" t="s">
        <v>7211</v>
      </c>
      <c r="BN48" s="461" t="s">
        <v>7212</v>
      </c>
      <c r="BO48" s="461" t="s">
        <v>7213</v>
      </c>
      <c r="BP48" s="461" t="s">
        <v>7214</v>
      </c>
      <c r="BQ48" s="463"/>
      <c r="BR48" s="463"/>
    </row>
    <row r="49" ht="15.75" customHeight="1">
      <c r="A49" s="457"/>
      <c r="B49" s="458" t="s">
        <v>7215</v>
      </c>
      <c r="C49" s="457">
        <v>232.0</v>
      </c>
      <c r="D49" s="458" t="s">
        <v>2678</v>
      </c>
      <c r="E49" s="99" t="s">
        <v>90</v>
      </c>
      <c r="F49" s="458" t="s">
        <v>7216</v>
      </c>
      <c r="G49" s="99"/>
      <c r="H49" s="99"/>
      <c r="I49" s="99"/>
      <c r="J49" s="99"/>
      <c r="K49" s="457">
        <v>2017.0</v>
      </c>
      <c r="L49" s="99" t="s">
        <v>92</v>
      </c>
      <c r="M49" s="99" t="s">
        <v>92</v>
      </c>
      <c r="N49" s="99" t="s">
        <v>93</v>
      </c>
      <c r="O49" s="99" t="s">
        <v>92</v>
      </c>
      <c r="P49" s="99" t="s">
        <v>95</v>
      </c>
      <c r="Q49" s="99" t="s">
        <v>114</v>
      </c>
      <c r="R49" s="197" t="s">
        <v>5902</v>
      </c>
      <c r="S49" s="197"/>
      <c r="T49" s="197"/>
      <c r="U49" s="99"/>
      <c r="V49" s="99"/>
      <c r="W49" s="99"/>
      <c r="X49" s="99"/>
      <c r="Y49" s="99"/>
      <c r="Z49" s="99"/>
      <c r="AA49" s="197"/>
      <c r="AB49" s="197"/>
      <c r="AC49" s="197"/>
      <c r="AD49" s="197"/>
      <c r="AE49" s="197" t="s">
        <v>92</v>
      </c>
      <c r="AF49" s="458" t="s">
        <v>2678</v>
      </c>
      <c r="AG49" s="197" t="s">
        <v>6941</v>
      </c>
      <c r="AH49" s="197"/>
      <c r="AI49" s="459"/>
      <c r="AJ49" s="458" t="s">
        <v>7217</v>
      </c>
      <c r="AK49" s="99"/>
      <c r="AL49" s="99"/>
      <c r="AM49" s="99"/>
      <c r="AN49" s="99"/>
      <c r="AO49" s="99"/>
      <c r="AP49" s="99"/>
      <c r="AQ49" s="99"/>
      <c r="AR49" s="99" t="s">
        <v>6942</v>
      </c>
      <c r="AS49" s="458" t="s">
        <v>7218</v>
      </c>
      <c r="AT49" s="458" t="s">
        <v>7073</v>
      </c>
      <c r="AU49" s="99"/>
      <c r="AV49" s="99"/>
      <c r="AW49" s="99"/>
      <c r="AX49" s="99"/>
      <c r="AY49" s="99"/>
      <c r="AZ49" s="460" t="s">
        <v>92</v>
      </c>
      <c r="BA49" s="460"/>
      <c r="BB49" s="460" t="s">
        <v>93</v>
      </c>
      <c r="BC49" s="460" t="s">
        <v>92</v>
      </c>
      <c r="BD49" s="460" t="s">
        <v>92</v>
      </c>
      <c r="BE49" s="460"/>
      <c r="BF49" s="460" t="s">
        <v>93</v>
      </c>
      <c r="BG49" s="460"/>
      <c r="BH49" s="460"/>
      <c r="BI49" s="460"/>
      <c r="BJ49" s="460"/>
      <c r="BK49" s="460"/>
      <c r="BL49" s="460"/>
      <c r="BM49" s="461" t="s">
        <v>7219</v>
      </c>
      <c r="BN49" s="461" t="s">
        <v>7220</v>
      </c>
      <c r="BO49" s="461" t="s">
        <v>7221</v>
      </c>
      <c r="BP49" s="461" t="s">
        <v>7222</v>
      </c>
      <c r="BQ49" s="463"/>
      <c r="BR49" s="463"/>
    </row>
    <row r="50" ht="15.75" customHeight="1">
      <c r="A50" s="457"/>
      <c r="B50" s="458" t="s">
        <v>7223</v>
      </c>
      <c r="C50" s="457">
        <v>233.0</v>
      </c>
      <c r="D50" s="458" t="s">
        <v>7223</v>
      </c>
      <c r="E50" s="99" t="s">
        <v>90</v>
      </c>
      <c r="F50" s="458" t="s">
        <v>7224</v>
      </c>
      <c r="G50" s="99"/>
      <c r="H50" s="99"/>
      <c r="I50" s="99"/>
      <c r="J50" s="99"/>
      <c r="K50" s="457">
        <v>2019.0</v>
      </c>
      <c r="L50" s="99" t="s">
        <v>92</v>
      </c>
      <c r="M50" s="99" t="s">
        <v>92</v>
      </c>
      <c r="N50" s="99" t="s">
        <v>92</v>
      </c>
      <c r="O50" s="99" t="s">
        <v>92</v>
      </c>
      <c r="P50" s="99" t="s">
        <v>95</v>
      </c>
      <c r="Q50" s="99" t="s">
        <v>114</v>
      </c>
      <c r="R50" s="197" t="s">
        <v>6940</v>
      </c>
      <c r="S50" s="197"/>
      <c r="T50" s="197"/>
      <c r="U50" s="99"/>
      <c r="V50" s="99"/>
      <c r="W50" s="99"/>
      <c r="X50" s="99"/>
      <c r="Y50" s="99"/>
      <c r="Z50" s="99"/>
      <c r="AA50" s="197"/>
      <c r="AB50" s="197"/>
      <c r="AC50" s="197"/>
      <c r="AD50" s="197"/>
      <c r="AE50" s="197" t="s">
        <v>92</v>
      </c>
      <c r="AF50" s="458" t="s">
        <v>7223</v>
      </c>
      <c r="AG50" s="197" t="s">
        <v>6941</v>
      </c>
      <c r="AH50" s="197"/>
      <c r="AI50" s="459"/>
      <c r="AJ50" s="458" t="s">
        <v>7160</v>
      </c>
      <c r="AK50" s="99"/>
      <c r="AL50" s="99"/>
      <c r="AM50" s="99"/>
      <c r="AN50" s="99"/>
      <c r="AO50" s="99"/>
      <c r="AP50" s="99"/>
      <c r="AQ50" s="99"/>
      <c r="AR50" s="99" t="s">
        <v>6949</v>
      </c>
      <c r="AS50" s="458" t="s">
        <v>95</v>
      </c>
      <c r="AT50" s="458" t="s">
        <v>95</v>
      </c>
      <c r="AU50" s="99" t="s">
        <v>93</v>
      </c>
      <c r="AV50" s="99" t="s">
        <v>93</v>
      </c>
      <c r="AW50" s="99" t="s">
        <v>93</v>
      </c>
      <c r="AX50" s="99" t="s">
        <v>93</v>
      </c>
      <c r="AY50" s="99" t="s">
        <v>93</v>
      </c>
      <c r="AZ50" s="460" t="s">
        <v>92</v>
      </c>
      <c r="BA50" s="460"/>
      <c r="BB50" s="460" t="s">
        <v>92</v>
      </c>
      <c r="BC50" s="460" t="s">
        <v>92</v>
      </c>
      <c r="BD50" s="460" t="s">
        <v>92</v>
      </c>
      <c r="BE50" s="460"/>
      <c r="BF50" s="460" t="s">
        <v>93</v>
      </c>
      <c r="BG50" s="460"/>
      <c r="BH50" s="460"/>
      <c r="BI50" s="460"/>
      <c r="BJ50" s="460"/>
      <c r="BK50" s="460"/>
      <c r="BL50" s="460"/>
      <c r="BM50" s="461" t="s">
        <v>7225</v>
      </c>
      <c r="BN50" s="461" t="s">
        <v>7226</v>
      </c>
      <c r="BO50" s="461" t="s">
        <v>7227</v>
      </c>
      <c r="BP50" s="461" t="s">
        <v>7228</v>
      </c>
      <c r="BQ50" s="463"/>
      <c r="BR50" s="463"/>
    </row>
    <row r="51" ht="15.75" customHeight="1">
      <c r="A51" s="457"/>
      <c r="B51" s="458" t="s">
        <v>7229</v>
      </c>
      <c r="C51" s="457">
        <v>234.0</v>
      </c>
      <c r="D51" s="458" t="s">
        <v>7230</v>
      </c>
      <c r="E51" s="99" t="s">
        <v>90</v>
      </c>
      <c r="F51" s="458" t="s">
        <v>7231</v>
      </c>
      <c r="G51" s="99"/>
      <c r="H51" s="99"/>
      <c r="I51" s="99"/>
      <c r="J51" s="99"/>
      <c r="K51" s="457">
        <v>2021.0</v>
      </c>
      <c r="L51" s="99" t="s">
        <v>92</v>
      </c>
      <c r="M51" s="99" t="s">
        <v>92</v>
      </c>
      <c r="N51" s="99" t="s">
        <v>92</v>
      </c>
      <c r="O51" s="99" t="s">
        <v>92</v>
      </c>
      <c r="P51" s="99" t="s">
        <v>95</v>
      </c>
      <c r="Q51" s="99" t="s">
        <v>114</v>
      </c>
      <c r="R51" s="197" t="s">
        <v>6940</v>
      </c>
      <c r="S51" s="197"/>
      <c r="T51" s="197"/>
      <c r="U51" s="99"/>
      <c r="V51" s="99"/>
      <c r="W51" s="99"/>
      <c r="X51" s="99"/>
      <c r="Y51" s="99"/>
      <c r="Z51" s="99"/>
      <c r="AA51" s="197"/>
      <c r="AB51" s="197"/>
      <c r="AC51" s="197"/>
      <c r="AD51" s="197"/>
      <c r="AE51" s="197" t="s">
        <v>92</v>
      </c>
      <c r="AF51" s="458" t="s">
        <v>7229</v>
      </c>
      <c r="AG51" s="197" t="s">
        <v>6941</v>
      </c>
      <c r="AH51" s="197"/>
      <c r="AI51" s="459"/>
      <c r="AJ51" s="458" t="s">
        <v>7160</v>
      </c>
      <c r="AK51" s="99"/>
      <c r="AL51" s="99"/>
      <c r="AM51" s="99"/>
      <c r="AN51" s="99"/>
      <c r="AO51" s="99"/>
      <c r="AP51" s="99"/>
      <c r="AQ51" s="99"/>
      <c r="AR51" s="99" t="s">
        <v>6949</v>
      </c>
      <c r="AS51" s="458" t="s">
        <v>95</v>
      </c>
      <c r="AT51" s="458" t="s">
        <v>95</v>
      </c>
      <c r="AU51" s="99" t="s">
        <v>93</v>
      </c>
      <c r="AV51" s="99" t="s">
        <v>93</v>
      </c>
      <c r="AW51" s="99" t="s">
        <v>93</v>
      </c>
      <c r="AX51" s="99" t="s">
        <v>93</v>
      </c>
      <c r="AY51" s="99" t="s">
        <v>93</v>
      </c>
      <c r="AZ51" s="460" t="s">
        <v>92</v>
      </c>
      <c r="BA51" s="460"/>
      <c r="BB51" s="460" t="s">
        <v>92</v>
      </c>
      <c r="BC51" s="460" t="s">
        <v>92</v>
      </c>
      <c r="BD51" s="460" t="s">
        <v>92</v>
      </c>
      <c r="BE51" s="460"/>
      <c r="BF51" s="460" t="s">
        <v>93</v>
      </c>
      <c r="BG51" s="460"/>
      <c r="BH51" s="460"/>
      <c r="BI51" s="460"/>
      <c r="BJ51" s="460"/>
      <c r="BK51" s="460"/>
      <c r="BL51" s="460"/>
      <c r="BM51" s="461" t="s">
        <v>7232</v>
      </c>
      <c r="BN51" s="461" t="s">
        <v>7233</v>
      </c>
      <c r="BO51" s="461" t="s">
        <v>7234</v>
      </c>
      <c r="BP51" s="462"/>
      <c r="BQ51" s="463"/>
      <c r="BR51" s="463"/>
    </row>
    <row r="52" ht="15.75" customHeight="1">
      <c r="A52" s="457"/>
      <c r="B52" s="458" t="s">
        <v>7235</v>
      </c>
      <c r="C52" s="457">
        <v>235.0</v>
      </c>
      <c r="D52" s="458" t="s">
        <v>7235</v>
      </c>
      <c r="E52" s="99" t="s">
        <v>90</v>
      </c>
      <c r="F52" s="458" t="s">
        <v>7236</v>
      </c>
      <c r="G52" s="99"/>
      <c r="H52" s="99"/>
      <c r="I52" s="99"/>
      <c r="J52" s="99"/>
      <c r="K52" s="457">
        <v>2019.0</v>
      </c>
      <c r="L52" s="99" t="s">
        <v>92</v>
      </c>
      <c r="M52" s="99" t="s">
        <v>92</v>
      </c>
      <c r="N52" s="99" t="s">
        <v>92</v>
      </c>
      <c r="O52" s="99" t="s">
        <v>92</v>
      </c>
      <c r="P52" s="99" t="s">
        <v>95</v>
      </c>
      <c r="Q52" s="99" t="s">
        <v>114</v>
      </c>
      <c r="R52" s="197" t="s">
        <v>6940</v>
      </c>
      <c r="S52" s="197"/>
      <c r="T52" s="197"/>
      <c r="U52" s="99"/>
      <c r="V52" s="99"/>
      <c r="W52" s="99"/>
      <c r="X52" s="99"/>
      <c r="Y52" s="99"/>
      <c r="Z52" s="99"/>
      <c r="AA52" s="197"/>
      <c r="AB52" s="197"/>
      <c r="AC52" s="197"/>
      <c r="AD52" s="197"/>
      <c r="AE52" s="197" t="s">
        <v>92</v>
      </c>
      <c r="AF52" s="458" t="s">
        <v>7235</v>
      </c>
      <c r="AG52" s="197" t="s">
        <v>6941</v>
      </c>
      <c r="AH52" s="197"/>
      <c r="AI52" s="459"/>
      <c r="AJ52" s="458" t="s">
        <v>7160</v>
      </c>
      <c r="AK52" s="99"/>
      <c r="AL52" s="99"/>
      <c r="AM52" s="99"/>
      <c r="AN52" s="99"/>
      <c r="AO52" s="99"/>
      <c r="AP52" s="99"/>
      <c r="AQ52" s="99"/>
      <c r="AR52" s="99" t="s">
        <v>6942</v>
      </c>
      <c r="AS52" s="458" t="s">
        <v>3739</v>
      </c>
      <c r="AT52" s="458" t="s">
        <v>3448</v>
      </c>
      <c r="AU52" s="99" t="s">
        <v>93</v>
      </c>
      <c r="AV52" s="99" t="s">
        <v>92</v>
      </c>
      <c r="AW52" s="99" t="s">
        <v>92</v>
      </c>
      <c r="AX52" s="99" t="s">
        <v>92</v>
      </c>
      <c r="AY52" s="99" t="s">
        <v>92</v>
      </c>
      <c r="AZ52" s="460" t="s">
        <v>92</v>
      </c>
      <c r="BA52" s="460"/>
      <c r="BB52" s="460" t="s">
        <v>92</v>
      </c>
      <c r="BC52" s="460" t="s">
        <v>92</v>
      </c>
      <c r="BD52" s="460" t="s">
        <v>92</v>
      </c>
      <c r="BE52" s="460"/>
      <c r="BF52" s="460" t="s">
        <v>93</v>
      </c>
      <c r="BG52" s="460"/>
      <c r="BH52" s="460"/>
      <c r="BI52" s="460"/>
      <c r="BJ52" s="460"/>
      <c r="BK52" s="460"/>
      <c r="BL52" s="460"/>
      <c r="BM52" s="461" t="s">
        <v>7237</v>
      </c>
      <c r="BN52" s="461" t="s">
        <v>7238</v>
      </c>
      <c r="BO52" s="461" t="s">
        <v>7239</v>
      </c>
      <c r="BP52" s="461" t="s">
        <v>7240</v>
      </c>
      <c r="BQ52" s="466" t="s">
        <v>7241</v>
      </c>
      <c r="BR52" s="463"/>
    </row>
    <row r="53" ht="15.75" customHeight="1">
      <c r="A53" s="457"/>
      <c r="B53" s="458" t="s">
        <v>7242</v>
      </c>
      <c r="C53" s="457">
        <v>236.0</v>
      </c>
      <c r="D53" s="458" t="s">
        <v>7243</v>
      </c>
      <c r="E53" s="99" t="s">
        <v>90</v>
      </c>
      <c r="F53" s="458" t="s">
        <v>7244</v>
      </c>
      <c r="G53" s="99"/>
      <c r="H53" s="99"/>
      <c r="I53" s="99"/>
      <c r="J53" s="99"/>
      <c r="K53" s="457">
        <v>2020.0</v>
      </c>
      <c r="L53" s="99" t="s">
        <v>92</v>
      </c>
      <c r="M53" s="99" t="s">
        <v>93</v>
      </c>
      <c r="N53" s="99" t="s">
        <v>93</v>
      </c>
      <c r="O53" s="99" t="s">
        <v>92</v>
      </c>
      <c r="P53" s="99" t="s">
        <v>95</v>
      </c>
      <c r="Q53" s="99" t="s">
        <v>114</v>
      </c>
      <c r="R53" s="197" t="s">
        <v>5902</v>
      </c>
      <c r="S53" s="197"/>
      <c r="T53" s="197"/>
      <c r="U53" s="99"/>
      <c r="V53" s="99"/>
      <c r="W53" s="99"/>
      <c r="X53" s="99"/>
      <c r="Y53" s="99"/>
      <c r="Z53" s="99"/>
      <c r="AA53" s="197"/>
      <c r="AB53" s="197"/>
      <c r="AC53" s="197"/>
      <c r="AD53" s="197"/>
      <c r="AE53" s="197" t="s">
        <v>92</v>
      </c>
      <c r="AF53" s="458" t="s">
        <v>7243</v>
      </c>
      <c r="AG53" s="197" t="s">
        <v>6941</v>
      </c>
      <c r="AH53" s="197"/>
      <c r="AI53" s="459"/>
      <c r="AJ53" s="458" t="s">
        <v>7160</v>
      </c>
      <c r="AK53" s="99"/>
      <c r="AL53" s="99"/>
      <c r="AM53" s="99"/>
      <c r="AN53" s="99"/>
      <c r="AO53" s="99"/>
      <c r="AP53" s="99"/>
      <c r="AQ53" s="99"/>
      <c r="AR53" s="99" t="s">
        <v>6942</v>
      </c>
      <c r="AS53" s="458" t="s">
        <v>3520</v>
      </c>
      <c r="AT53" s="458" t="s">
        <v>3451</v>
      </c>
      <c r="AU53" s="99"/>
      <c r="AV53" s="99"/>
      <c r="AW53" s="99"/>
      <c r="AX53" s="99"/>
      <c r="AY53" s="99"/>
      <c r="AZ53" s="460" t="s">
        <v>92</v>
      </c>
      <c r="BA53" s="460"/>
      <c r="BB53" s="460" t="s">
        <v>92</v>
      </c>
      <c r="BC53" s="460" t="s">
        <v>92</v>
      </c>
      <c r="BD53" s="460" t="s">
        <v>92</v>
      </c>
      <c r="BE53" s="460"/>
      <c r="BF53" s="460" t="s">
        <v>93</v>
      </c>
      <c r="BG53" s="460"/>
      <c r="BH53" s="460"/>
      <c r="BI53" s="460"/>
      <c r="BJ53" s="460"/>
      <c r="BK53" s="460"/>
      <c r="BL53" s="460"/>
      <c r="BM53" s="461" t="s">
        <v>7245</v>
      </c>
      <c r="BN53" s="461" t="s">
        <v>7246</v>
      </c>
      <c r="BO53" s="461" t="s">
        <v>7247</v>
      </c>
      <c r="BP53" s="461" t="s">
        <v>7248</v>
      </c>
      <c r="BQ53" s="466" t="s">
        <v>7249</v>
      </c>
      <c r="BR53" s="463"/>
    </row>
    <row r="54" ht="15.75" customHeight="1">
      <c r="A54" s="457"/>
      <c r="B54" s="458" t="s">
        <v>7250</v>
      </c>
      <c r="C54" s="457">
        <v>251.0</v>
      </c>
      <c r="D54" s="458" t="s">
        <v>7251</v>
      </c>
      <c r="E54" s="99" t="s">
        <v>110</v>
      </c>
      <c r="F54" s="458" t="s">
        <v>7252</v>
      </c>
      <c r="G54" s="99"/>
      <c r="H54" s="99"/>
      <c r="I54" s="99"/>
      <c r="J54" s="99"/>
      <c r="K54" s="457">
        <v>2019.0</v>
      </c>
      <c r="L54" s="99" t="s">
        <v>93</v>
      </c>
      <c r="M54" s="99" t="s">
        <v>93</v>
      </c>
      <c r="N54" s="99" t="s">
        <v>93</v>
      </c>
      <c r="O54" s="99" t="s">
        <v>93</v>
      </c>
      <c r="P54" s="99" t="s">
        <v>95</v>
      </c>
      <c r="Q54" s="99" t="s">
        <v>114</v>
      </c>
      <c r="R54" s="197" t="s">
        <v>5902</v>
      </c>
      <c r="S54" s="197"/>
      <c r="T54" s="197"/>
      <c r="U54" s="99"/>
      <c r="V54" s="99"/>
      <c r="W54" s="99"/>
      <c r="X54" s="99"/>
      <c r="Y54" s="99"/>
      <c r="Z54" s="99"/>
      <c r="AA54" s="197"/>
      <c r="AB54" s="197"/>
      <c r="AC54" s="197"/>
      <c r="AD54" s="197"/>
      <c r="AE54" s="197" t="s">
        <v>92</v>
      </c>
      <c r="AF54" s="458" t="s">
        <v>7253</v>
      </c>
      <c r="AG54" s="197" t="s">
        <v>6990</v>
      </c>
      <c r="AH54" s="197"/>
      <c r="AI54" s="459"/>
      <c r="AJ54" s="458" t="s">
        <v>7254</v>
      </c>
      <c r="AK54" s="99"/>
      <c r="AL54" s="99"/>
      <c r="AM54" s="99"/>
      <c r="AN54" s="99"/>
      <c r="AO54" s="99"/>
      <c r="AP54" s="99"/>
      <c r="AQ54" s="99"/>
      <c r="AR54" s="99" t="s">
        <v>6942</v>
      </c>
      <c r="AS54" s="458" t="s">
        <v>6890</v>
      </c>
      <c r="AT54" s="458" t="s">
        <v>3451</v>
      </c>
      <c r="AU54" s="99"/>
      <c r="AV54" s="99"/>
      <c r="AW54" s="99"/>
      <c r="AX54" s="99"/>
      <c r="AY54" s="99"/>
      <c r="AZ54" s="460" t="s">
        <v>92</v>
      </c>
      <c r="BA54" s="460"/>
      <c r="BB54" s="460" t="s">
        <v>93</v>
      </c>
      <c r="BC54" s="460" t="s">
        <v>93</v>
      </c>
      <c r="BD54" s="460" t="s">
        <v>92</v>
      </c>
      <c r="BE54" s="460"/>
      <c r="BF54" s="460" t="s">
        <v>92</v>
      </c>
      <c r="BG54" s="460"/>
      <c r="BH54" s="460"/>
      <c r="BI54" s="460"/>
      <c r="BJ54" s="460"/>
      <c r="BK54" s="459"/>
      <c r="BL54" s="459"/>
      <c r="BM54" s="468" t="s">
        <v>7255</v>
      </c>
      <c r="BN54" s="468" t="s">
        <v>7256</v>
      </c>
      <c r="BO54" s="468" t="s">
        <v>7257</v>
      </c>
      <c r="BP54" s="468" t="s">
        <v>7258</v>
      </c>
      <c r="BQ54" s="463"/>
      <c r="BR54" s="463"/>
    </row>
    <row r="55" ht="15.75" customHeight="1">
      <c r="A55" s="197"/>
      <c r="B55" s="99" t="s">
        <v>7259</v>
      </c>
      <c r="C55" s="197">
        <v>7.0</v>
      </c>
      <c r="D55" s="99" t="s">
        <v>7260</v>
      </c>
      <c r="E55" s="99" t="s">
        <v>110</v>
      </c>
      <c r="F55" s="99" t="s">
        <v>7261</v>
      </c>
      <c r="G55" s="99" t="s">
        <v>3348</v>
      </c>
      <c r="H55" s="99" t="s">
        <v>3347</v>
      </c>
      <c r="I55" s="99"/>
      <c r="J55" s="99"/>
      <c r="K55" s="197">
        <v>2021.0</v>
      </c>
      <c r="L55" s="99" t="s">
        <v>92</v>
      </c>
      <c r="M55" s="99" t="s">
        <v>93</v>
      </c>
      <c r="N55" s="99" t="s">
        <v>93</v>
      </c>
      <c r="O55" s="99" t="s">
        <v>92</v>
      </c>
      <c r="P55" s="99">
        <v>2022.0</v>
      </c>
      <c r="Q55" s="99" t="s">
        <v>96</v>
      </c>
      <c r="R55" s="197" t="s">
        <v>7262</v>
      </c>
      <c r="S55" s="197"/>
      <c r="T55" s="197"/>
      <c r="U55" s="99"/>
      <c r="V55" s="99"/>
      <c r="W55" s="99"/>
      <c r="X55" s="99"/>
      <c r="Y55" s="99"/>
      <c r="Z55" s="99"/>
      <c r="AA55" s="197"/>
      <c r="AB55" s="197"/>
      <c r="AC55" s="197"/>
      <c r="AD55" s="197"/>
      <c r="AE55" s="197" t="s">
        <v>93</v>
      </c>
      <c r="AF55" s="469" t="s">
        <v>7259</v>
      </c>
      <c r="AG55" s="197" t="s">
        <v>6982</v>
      </c>
      <c r="AH55" s="197"/>
      <c r="AI55" s="459"/>
      <c r="AJ55" s="99" t="s">
        <v>7127</v>
      </c>
      <c r="AK55" s="99"/>
      <c r="AL55" s="99"/>
      <c r="AM55" s="99"/>
      <c r="AN55" s="99"/>
      <c r="AO55" s="99"/>
      <c r="AP55" s="99"/>
      <c r="AQ55" s="99"/>
      <c r="AR55" s="99" t="s">
        <v>6942</v>
      </c>
      <c r="AS55" s="99" t="s">
        <v>7263</v>
      </c>
      <c r="AT55" s="99" t="s">
        <v>6965</v>
      </c>
      <c r="AU55" s="99" t="s">
        <v>93</v>
      </c>
      <c r="AV55" s="99" t="s">
        <v>92</v>
      </c>
      <c r="AW55" s="99" t="s">
        <v>92</v>
      </c>
      <c r="AX55" s="99" t="s">
        <v>93</v>
      </c>
      <c r="AY55" s="99" t="s">
        <v>92</v>
      </c>
      <c r="AZ55" s="460" t="s">
        <v>92</v>
      </c>
      <c r="BA55" s="460"/>
      <c r="BB55" s="460" t="s">
        <v>92</v>
      </c>
      <c r="BC55" s="460" t="s">
        <v>92</v>
      </c>
      <c r="BD55" s="460" t="s">
        <v>92</v>
      </c>
      <c r="BE55" s="460"/>
      <c r="BF55" s="460" t="s">
        <v>92</v>
      </c>
      <c r="BG55" s="460"/>
      <c r="BH55" s="460"/>
      <c r="BI55" s="460"/>
      <c r="BJ55" s="460"/>
      <c r="BK55" s="460" t="s">
        <v>93</v>
      </c>
      <c r="BL55" s="460"/>
      <c r="BM55" s="213" t="s">
        <v>7264</v>
      </c>
      <c r="BN55" s="213" t="s">
        <v>7265</v>
      </c>
      <c r="BO55" s="470"/>
      <c r="BP55" s="470"/>
      <c r="BQ55" s="99"/>
      <c r="BR55" s="99"/>
    </row>
    <row r="56" ht="15.75" customHeight="1">
      <c r="A56" s="197"/>
      <c r="B56" s="471" t="s">
        <v>7266</v>
      </c>
      <c r="C56" s="197">
        <v>49.0</v>
      </c>
      <c r="D56" s="99" t="s">
        <v>7267</v>
      </c>
      <c r="E56" s="99" t="s">
        <v>90</v>
      </c>
      <c r="F56" s="99" t="s">
        <v>7268</v>
      </c>
      <c r="G56" s="99"/>
      <c r="H56" s="99"/>
      <c r="I56" s="99"/>
      <c r="J56" s="99"/>
      <c r="K56" s="197">
        <v>2004.0</v>
      </c>
      <c r="L56" s="99" t="s">
        <v>93</v>
      </c>
      <c r="M56" s="99" t="s">
        <v>93</v>
      </c>
      <c r="N56" s="99" t="s">
        <v>93</v>
      </c>
      <c r="O56" s="99" t="s">
        <v>93</v>
      </c>
      <c r="P56" s="99" t="s">
        <v>95</v>
      </c>
      <c r="Q56" s="99" t="s">
        <v>114</v>
      </c>
      <c r="R56" s="197" t="s">
        <v>5902</v>
      </c>
      <c r="S56" s="197"/>
      <c r="T56" s="197"/>
      <c r="U56" s="99"/>
      <c r="V56" s="197"/>
      <c r="W56" s="99"/>
      <c r="X56" s="99"/>
      <c r="Y56" s="99"/>
      <c r="Z56" s="99"/>
      <c r="AA56" s="197"/>
      <c r="AB56" s="197"/>
      <c r="AC56" s="197"/>
      <c r="AD56" s="197"/>
      <c r="AE56" s="197" t="s">
        <v>93</v>
      </c>
      <c r="AF56" s="99" t="s">
        <v>7269</v>
      </c>
      <c r="AG56" s="197" t="s">
        <v>6990</v>
      </c>
      <c r="AH56" s="197"/>
      <c r="AI56" s="459"/>
      <c r="AJ56" s="99" t="s">
        <v>7270</v>
      </c>
      <c r="AK56" s="99"/>
      <c r="AL56" s="99"/>
      <c r="AM56" s="99"/>
      <c r="AN56" s="99"/>
      <c r="AO56" s="99"/>
      <c r="AP56" s="99"/>
      <c r="AQ56" s="99"/>
      <c r="AR56" s="99" t="s">
        <v>6942</v>
      </c>
      <c r="AS56" s="99" t="s">
        <v>7026</v>
      </c>
      <c r="AT56" s="99" t="s">
        <v>3451</v>
      </c>
      <c r="AU56" s="99" t="s">
        <v>92</v>
      </c>
      <c r="AV56" s="99" t="s">
        <v>92</v>
      </c>
      <c r="AW56" s="99" t="s">
        <v>92</v>
      </c>
      <c r="AX56" s="99" t="s">
        <v>93</v>
      </c>
      <c r="AY56" s="99" t="s">
        <v>92</v>
      </c>
      <c r="AZ56" s="460" t="s">
        <v>93</v>
      </c>
      <c r="BA56" s="460"/>
      <c r="BB56" s="460" t="s">
        <v>93</v>
      </c>
      <c r="BC56" s="460" t="s">
        <v>93</v>
      </c>
      <c r="BD56" s="460" t="s">
        <v>92</v>
      </c>
      <c r="BE56" s="460"/>
      <c r="BF56" s="460" t="s">
        <v>92</v>
      </c>
      <c r="BG56" s="460"/>
      <c r="BH56" s="460"/>
      <c r="BI56" s="460"/>
      <c r="BJ56" s="460"/>
      <c r="BK56" s="460" t="s">
        <v>93</v>
      </c>
      <c r="BL56" s="460"/>
      <c r="BM56" s="213" t="s">
        <v>7271</v>
      </c>
      <c r="BN56" s="213" t="s">
        <v>7272</v>
      </c>
      <c r="BO56" s="470"/>
      <c r="BP56" s="470"/>
      <c r="BQ56" s="99"/>
      <c r="BR56" s="99"/>
    </row>
    <row r="57" ht="15.75" customHeight="1">
      <c r="A57" s="197"/>
      <c r="B57" s="99" t="s">
        <v>7273</v>
      </c>
      <c r="C57" s="197">
        <v>10.0</v>
      </c>
      <c r="D57" s="99" t="s">
        <v>7274</v>
      </c>
      <c r="E57" s="99" t="s">
        <v>90</v>
      </c>
      <c r="F57" s="99" t="s">
        <v>7275</v>
      </c>
      <c r="G57" s="99"/>
      <c r="H57" s="99"/>
      <c r="I57" s="99"/>
      <c r="J57" s="99"/>
      <c r="K57" s="197">
        <v>2020.0</v>
      </c>
      <c r="L57" s="99" t="s">
        <v>93</v>
      </c>
      <c r="M57" s="99" t="s">
        <v>93</v>
      </c>
      <c r="N57" s="99" t="s">
        <v>93</v>
      </c>
      <c r="O57" s="99" t="s">
        <v>93</v>
      </c>
      <c r="P57" s="99" t="s">
        <v>95</v>
      </c>
      <c r="Q57" s="99" t="s">
        <v>114</v>
      </c>
      <c r="R57" s="197" t="s">
        <v>5902</v>
      </c>
      <c r="S57" s="197"/>
      <c r="T57" s="197"/>
      <c r="U57" s="99"/>
      <c r="V57" s="99"/>
      <c r="W57" s="99"/>
      <c r="X57" s="99"/>
      <c r="Y57" s="99"/>
      <c r="Z57" s="99"/>
      <c r="AA57" s="197"/>
      <c r="AB57" s="197"/>
      <c r="AC57" s="197"/>
      <c r="AD57" s="197"/>
      <c r="AE57" s="197" t="s">
        <v>93</v>
      </c>
      <c r="AF57" s="99" t="s">
        <v>7274</v>
      </c>
      <c r="AG57" s="197" t="s">
        <v>6990</v>
      </c>
      <c r="AH57" s="197"/>
      <c r="AI57" s="459"/>
      <c r="AJ57" s="99" t="s">
        <v>7160</v>
      </c>
      <c r="AK57" s="99"/>
      <c r="AL57" s="99"/>
      <c r="AM57" s="99"/>
      <c r="AN57" s="99"/>
      <c r="AO57" s="99"/>
      <c r="AP57" s="99"/>
      <c r="AQ57" s="99"/>
      <c r="AR57" s="99" t="s">
        <v>6972</v>
      </c>
      <c r="AS57" s="99" t="s">
        <v>7276</v>
      </c>
      <c r="AT57" s="99" t="s">
        <v>7277</v>
      </c>
      <c r="AU57" s="99" t="s">
        <v>92</v>
      </c>
      <c r="AV57" s="99" t="s">
        <v>93</v>
      </c>
      <c r="AW57" s="99" t="s">
        <v>92</v>
      </c>
      <c r="AX57" s="99" t="s">
        <v>93</v>
      </c>
      <c r="AY57" s="99" t="s">
        <v>93</v>
      </c>
      <c r="AZ57" s="460" t="s">
        <v>93</v>
      </c>
      <c r="BA57" s="460"/>
      <c r="BB57" s="460" t="s">
        <v>93</v>
      </c>
      <c r="BC57" s="460" t="s">
        <v>92</v>
      </c>
      <c r="BD57" s="460" t="s">
        <v>92</v>
      </c>
      <c r="BE57" s="460"/>
      <c r="BF57" s="460" t="s">
        <v>92</v>
      </c>
      <c r="BG57" s="460"/>
      <c r="BH57" s="460"/>
      <c r="BI57" s="460"/>
      <c r="BJ57" s="460"/>
      <c r="BK57" s="460" t="s">
        <v>93</v>
      </c>
      <c r="BL57" s="460"/>
      <c r="BM57" s="213" t="s">
        <v>7278</v>
      </c>
      <c r="BN57" s="213" t="s">
        <v>7279</v>
      </c>
      <c r="BO57" s="470"/>
      <c r="BP57" s="470"/>
      <c r="BQ57" s="99"/>
      <c r="BR57" s="99"/>
    </row>
    <row r="58" ht="15.75" customHeight="1">
      <c r="A58" s="197"/>
      <c r="B58" s="471" t="s">
        <v>7280</v>
      </c>
      <c r="C58" s="197">
        <v>50.0</v>
      </c>
      <c r="D58" s="99" t="s">
        <v>7281</v>
      </c>
      <c r="E58" s="99" t="s">
        <v>90</v>
      </c>
      <c r="F58" s="99" t="s">
        <v>7282</v>
      </c>
      <c r="G58" s="99"/>
      <c r="H58" s="99"/>
      <c r="I58" s="99"/>
      <c r="J58" s="99"/>
      <c r="K58" s="197" t="s">
        <v>105</v>
      </c>
      <c r="L58" s="99" t="s">
        <v>93</v>
      </c>
      <c r="M58" s="99" t="s">
        <v>93</v>
      </c>
      <c r="N58" s="99" t="s">
        <v>93</v>
      </c>
      <c r="O58" s="99" t="s">
        <v>93</v>
      </c>
      <c r="P58" s="99" t="s">
        <v>95</v>
      </c>
      <c r="Q58" s="99" t="s">
        <v>114</v>
      </c>
      <c r="R58" s="197" t="s">
        <v>5902</v>
      </c>
      <c r="S58" s="197"/>
      <c r="T58" s="197"/>
      <c r="U58" s="99"/>
      <c r="V58" s="197"/>
      <c r="W58" s="99"/>
      <c r="X58" s="99"/>
      <c r="Y58" s="99"/>
      <c r="Z58" s="99"/>
      <c r="AA58" s="197"/>
      <c r="AB58" s="197"/>
      <c r="AC58" s="197"/>
      <c r="AD58" s="197"/>
      <c r="AE58" s="197" t="s">
        <v>93</v>
      </c>
      <c r="AF58" s="99" t="s">
        <v>7269</v>
      </c>
      <c r="AG58" s="197" t="s">
        <v>6990</v>
      </c>
      <c r="AH58" s="197"/>
      <c r="AI58" s="459"/>
      <c r="AJ58" s="99" t="s">
        <v>7283</v>
      </c>
      <c r="AK58" s="99"/>
      <c r="AL58" s="99"/>
      <c r="AM58" s="99"/>
      <c r="AN58" s="99"/>
      <c r="AO58" s="99"/>
      <c r="AP58" s="99"/>
      <c r="AQ58" s="99"/>
      <c r="AR58" s="99" t="s">
        <v>6942</v>
      </c>
      <c r="AS58" s="99" t="s">
        <v>7026</v>
      </c>
      <c r="AT58" s="99" t="s">
        <v>3451</v>
      </c>
      <c r="AU58" s="99" t="s">
        <v>92</v>
      </c>
      <c r="AV58" s="99" t="s">
        <v>92</v>
      </c>
      <c r="AW58" s="99" t="s">
        <v>92</v>
      </c>
      <c r="AX58" s="99" t="s">
        <v>93</v>
      </c>
      <c r="AY58" s="99" t="s">
        <v>92</v>
      </c>
      <c r="AZ58" s="460" t="s">
        <v>93</v>
      </c>
      <c r="BA58" s="460"/>
      <c r="BB58" s="460" t="s">
        <v>92</v>
      </c>
      <c r="BC58" s="460" t="s">
        <v>93</v>
      </c>
      <c r="BD58" s="460" t="s">
        <v>92</v>
      </c>
      <c r="BE58" s="460"/>
      <c r="BF58" s="460" t="s">
        <v>92</v>
      </c>
      <c r="BG58" s="460"/>
      <c r="BH58" s="460"/>
      <c r="BI58" s="460"/>
      <c r="BJ58" s="460"/>
      <c r="BK58" s="460" t="s">
        <v>93</v>
      </c>
      <c r="BL58" s="460"/>
      <c r="BM58" s="213" t="s">
        <v>7271</v>
      </c>
      <c r="BN58" s="213" t="s">
        <v>7284</v>
      </c>
      <c r="BO58" s="470"/>
      <c r="BP58" s="470"/>
      <c r="BQ58" s="99"/>
      <c r="BR58" s="99"/>
    </row>
    <row r="59" ht="15.75" customHeight="1">
      <c r="A59" s="197"/>
      <c r="B59" s="99" t="s">
        <v>7285</v>
      </c>
      <c r="C59" s="197">
        <v>12.0</v>
      </c>
      <c r="D59" s="99" t="s">
        <v>7286</v>
      </c>
      <c r="E59" s="99" t="s">
        <v>90</v>
      </c>
      <c r="F59" s="99" t="s">
        <v>7287</v>
      </c>
      <c r="G59" s="99"/>
      <c r="H59" s="99"/>
      <c r="I59" s="99"/>
      <c r="J59" s="99"/>
      <c r="K59" s="197">
        <v>2020.0</v>
      </c>
      <c r="L59" s="99" t="s">
        <v>93</v>
      </c>
      <c r="M59" s="99" t="s">
        <v>92</v>
      </c>
      <c r="N59" s="99" t="s">
        <v>92</v>
      </c>
      <c r="O59" s="99" t="s">
        <v>92</v>
      </c>
      <c r="P59" s="99">
        <v>2021.0</v>
      </c>
      <c r="Q59" s="99" t="s">
        <v>96</v>
      </c>
      <c r="R59" s="197" t="s">
        <v>7262</v>
      </c>
      <c r="S59" s="197"/>
      <c r="T59" s="197"/>
      <c r="U59" s="99"/>
      <c r="V59" s="99"/>
      <c r="W59" s="99"/>
      <c r="X59" s="99"/>
      <c r="Y59" s="99"/>
      <c r="Z59" s="99"/>
      <c r="AA59" s="197"/>
      <c r="AB59" s="197"/>
      <c r="AC59" s="197"/>
      <c r="AD59" s="197"/>
      <c r="AE59" s="197" t="s">
        <v>93</v>
      </c>
      <c r="AF59" s="99" t="s">
        <v>7288</v>
      </c>
      <c r="AG59" s="197" t="s">
        <v>6990</v>
      </c>
      <c r="AH59" s="197"/>
      <c r="AI59" s="459"/>
      <c r="AJ59" s="99" t="s">
        <v>7160</v>
      </c>
      <c r="AK59" s="99"/>
      <c r="AL59" s="99"/>
      <c r="AM59" s="99"/>
      <c r="AN59" s="99"/>
      <c r="AO59" s="99"/>
      <c r="AP59" s="99"/>
      <c r="AQ59" s="99"/>
      <c r="AR59" s="99" t="s">
        <v>6942</v>
      </c>
      <c r="AS59" s="99" t="s">
        <v>7289</v>
      </c>
      <c r="AT59" s="99" t="s">
        <v>7290</v>
      </c>
      <c r="AU59" s="99" t="s">
        <v>92</v>
      </c>
      <c r="AV59" s="99" t="s">
        <v>93</v>
      </c>
      <c r="AW59" s="99" t="s">
        <v>92</v>
      </c>
      <c r="AX59" s="99" t="s">
        <v>93</v>
      </c>
      <c r="AY59" s="99" t="s">
        <v>93</v>
      </c>
      <c r="AZ59" s="460" t="s">
        <v>93</v>
      </c>
      <c r="BA59" s="460"/>
      <c r="BB59" s="460" t="s">
        <v>93</v>
      </c>
      <c r="BC59" s="460" t="s">
        <v>92</v>
      </c>
      <c r="BD59" s="460" t="s">
        <v>92</v>
      </c>
      <c r="BE59" s="460"/>
      <c r="BF59" s="460" t="s">
        <v>92</v>
      </c>
      <c r="BG59" s="460"/>
      <c r="BH59" s="460"/>
      <c r="BI59" s="460"/>
      <c r="BJ59" s="460"/>
      <c r="BK59" s="459"/>
      <c r="BL59" s="459"/>
      <c r="BM59" s="213" t="s">
        <v>7291</v>
      </c>
      <c r="BN59" s="472" t="s">
        <v>7292</v>
      </c>
      <c r="BO59" s="472" t="s">
        <v>7293</v>
      </c>
      <c r="BP59" s="472" t="s">
        <v>7294</v>
      </c>
      <c r="BQ59" s="456"/>
      <c r="BR59" s="456"/>
    </row>
    <row r="60" ht="15.75" customHeight="1">
      <c r="A60" s="197"/>
      <c r="B60" s="99" t="s">
        <v>7295</v>
      </c>
      <c r="C60" s="197">
        <v>16.0</v>
      </c>
      <c r="D60" s="99" t="s">
        <v>7296</v>
      </c>
      <c r="E60" s="99" t="s">
        <v>90</v>
      </c>
      <c r="F60" s="99" t="s">
        <v>7297</v>
      </c>
      <c r="G60" s="99"/>
      <c r="H60" s="99"/>
      <c r="I60" s="99"/>
      <c r="J60" s="99"/>
      <c r="K60" s="197">
        <v>2011.0</v>
      </c>
      <c r="L60" s="99" t="s">
        <v>92</v>
      </c>
      <c r="M60" s="99" t="s">
        <v>93</v>
      </c>
      <c r="N60" s="99" t="s">
        <v>92</v>
      </c>
      <c r="O60" s="99" t="s">
        <v>92</v>
      </c>
      <c r="P60" s="99" t="s">
        <v>95</v>
      </c>
      <c r="Q60" s="99" t="s">
        <v>114</v>
      </c>
      <c r="R60" s="197" t="s">
        <v>7262</v>
      </c>
      <c r="S60" s="197"/>
      <c r="T60" s="197"/>
      <c r="U60" s="99"/>
      <c r="V60" s="99"/>
      <c r="W60" s="99"/>
      <c r="X60" s="99"/>
      <c r="Y60" s="99"/>
      <c r="Z60" s="99"/>
      <c r="AA60" s="197"/>
      <c r="AB60" s="197"/>
      <c r="AC60" s="197"/>
      <c r="AD60" s="197"/>
      <c r="AE60" s="197" t="s">
        <v>93</v>
      </c>
      <c r="AF60" s="99" t="s">
        <v>7298</v>
      </c>
      <c r="AG60" s="197" t="s">
        <v>6990</v>
      </c>
      <c r="AH60" s="197"/>
      <c r="AI60" s="459"/>
      <c r="AJ60" s="99" t="s">
        <v>7254</v>
      </c>
      <c r="AK60" s="99"/>
      <c r="AL60" s="99"/>
      <c r="AM60" s="99"/>
      <c r="AN60" s="99"/>
      <c r="AO60" s="99"/>
      <c r="AP60" s="99"/>
      <c r="AQ60" s="99"/>
      <c r="AR60" s="99" t="s">
        <v>6942</v>
      </c>
      <c r="AS60" s="99" t="s">
        <v>3605</v>
      </c>
      <c r="AT60" s="99" t="s">
        <v>3452</v>
      </c>
      <c r="AU60" s="99" t="s">
        <v>92</v>
      </c>
      <c r="AV60" s="99" t="s">
        <v>92</v>
      </c>
      <c r="AW60" s="99" t="s">
        <v>92</v>
      </c>
      <c r="AX60" s="99" t="s">
        <v>92</v>
      </c>
      <c r="AY60" s="99" t="s">
        <v>93</v>
      </c>
      <c r="AZ60" s="460" t="s">
        <v>92</v>
      </c>
      <c r="BA60" s="460"/>
      <c r="BB60" s="460" t="s">
        <v>93</v>
      </c>
      <c r="BC60" s="460" t="s">
        <v>93</v>
      </c>
      <c r="BD60" s="460" t="s">
        <v>93</v>
      </c>
      <c r="BE60" s="460"/>
      <c r="BF60" s="460" t="s">
        <v>92</v>
      </c>
      <c r="BG60" s="460"/>
      <c r="BH60" s="460"/>
      <c r="BI60" s="460"/>
      <c r="BJ60" s="460"/>
      <c r="BK60" s="460" t="s">
        <v>93</v>
      </c>
      <c r="BL60" s="460"/>
      <c r="BM60" s="213" t="s">
        <v>7299</v>
      </c>
      <c r="BN60" s="470"/>
      <c r="BO60" s="470"/>
      <c r="BP60" s="470"/>
      <c r="BQ60" s="99"/>
      <c r="BR60" s="99"/>
    </row>
    <row r="61" ht="15.75" customHeight="1">
      <c r="A61" s="197"/>
      <c r="B61" s="99" t="s">
        <v>7300</v>
      </c>
      <c r="C61" s="197">
        <v>19.0</v>
      </c>
      <c r="D61" s="99" t="s">
        <v>2530</v>
      </c>
      <c r="E61" s="99" t="s">
        <v>6941</v>
      </c>
      <c r="F61" s="99" t="s">
        <v>7301</v>
      </c>
      <c r="G61" s="99"/>
      <c r="H61" s="99"/>
      <c r="I61" s="99"/>
      <c r="J61" s="99"/>
      <c r="K61" s="197">
        <v>2016.0</v>
      </c>
      <c r="L61" s="99" t="s">
        <v>92</v>
      </c>
      <c r="M61" s="99" t="s">
        <v>92</v>
      </c>
      <c r="N61" s="99" t="s">
        <v>93</v>
      </c>
      <c r="O61" s="99" t="s">
        <v>92</v>
      </c>
      <c r="P61" s="99" t="s">
        <v>95</v>
      </c>
      <c r="Q61" s="99" t="s">
        <v>114</v>
      </c>
      <c r="R61" s="197" t="s">
        <v>7262</v>
      </c>
      <c r="S61" s="197"/>
      <c r="T61" s="197"/>
      <c r="U61" s="99"/>
      <c r="V61" s="197"/>
      <c r="W61" s="99"/>
      <c r="X61" s="99"/>
      <c r="Y61" s="99"/>
      <c r="Z61" s="99"/>
      <c r="AA61" s="197"/>
      <c r="AB61" s="197"/>
      <c r="AC61" s="197"/>
      <c r="AD61" s="197"/>
      <c r="AE61" s="197" t="s">
        <v>93</v>
      </c>
      <c r="AF61" s="99" t="s">
        <v>2530</v>
      </c>
      <c r="AG61" s="197" t="s">
        <v>6941</v>
      </c>
      <c r="AH61" s="197"/>
      <c r="AI61" s="459"/>
      <c r="AJ61" s="99" t="s">
        <v>7182</v>
      </c>
      <c r="AK61" s="99"/>
      <c r="AL61" s="99"/>
      <c r="AM61" s="99"/>
      <c r="AN61" s="99"/>
      <c r="AO61" s="99"/>
      <c r="AP61" s="99"/>
      <c r="AQ61" s="99"/>
      <c r="AR61" s="99" t="s">
        <v>6949</v>
      </c>
      <c r="AS61" s="99" t="s">
        <v>95</v>
      </c>
      <c r="AT61" s="99" t="s">
        <v>95</v>
      </c>
      <c r="AU61" s="99" t="s">
        <v>93</v>
      </c>
      <c r="AV61" s="99" t="s">
        <v>93</v>
      </c>
      <c r="AW61" s="99" t="s">
        <v>93</v>
      </c>
      <c r="AX61" s="99" t="s">
        <v>93</v>
      </c>
      <c r="AY61" s="99" t="s">
        <v>93</v>
      </c>
      <c r="AZ61" s="460" t="s">
        <v>93</v>
      </c>
      <c r="BA61" s="460"/>
      <c r="BB61" s="460" t="s">
        <v>92</v>
      </c>
      <c r="BC61" s="460" t="s">
        <v>92</v>
      </c>
      <c r="BD61" s="460" t="s">
        <v>92</v>
      </c>
      <c r="BE61" s="460"/>
      <c r="BF61" s="460" t="s">
        <v>93</v>
      </c>
      <c r="BG61" s="460"/>
      <c r="BH61" s="460"/>
      <c r="BI61" s="460"/>
      <c r="BJ61" s="460"/>
      <c r="BK61" s="460" t="s">
        <v>93</v>
      </c>
      <c r="BL61" s="460"/>
      <c r="BM61" s="213" t="s">
        <v>7302</v>
      </c>
      <c r="BN61" s="213" t="s">
        <v>7303</v>
      </c>
      <c r="BO61" s="470"/>
      <c r="BP61" s="470"/>
      <c r="BQ61" s="99"/>
      <c r="BR61" s="99"/>
    </row>
    <row r="62" ht="15.75" customHeight="1">
      <c r="A62" s="197"/>
      <c r="B62" s="99" t="s">
        <v>7304</v>
      </c>
      <c r="C62" s="197">
        <v>24.0</v>
      </c>
      <c r="D62" s="99" t="s">
        <v>7305</v>
      </c>
      <c r="E62" s="99" t="s">
        <v>90</v>
      </c>
      <c r="F62" s="99" t="s">
        <v>7306</v>
      </c>
      <c r="G62" s="99"/>
      <c r="H62" s="99"/>
      <c r="I62" s="99"/>
      <c r="J62" s="99"/>
      <c r="K62" s="197">
        <v>2021.0</v>
      </c>
      <c r="L62" s="99" t="s">
        <v>92</v>
      </c>
      <c r="M62" s="99" t="s">
        <v>93</v>
      </c>
      <c r="N62" s="99" t="s">
        <v>93</v>
      </c>
      <c r="O62" s="99" t="s">
        <v>93</v>
      </c>
      <c r="P62" s="99" t="s">
        <v>95</v>
      </c>
      <c r="Q62" s="99" t="s">
        <v>114</v>
      </c>
      <c r="R62" s="197" t="s">
        <v>5902</v>
      </c>
      <c r="S62" s="197"/>
      <c r="T62" s="197"/>
      <c r="U62" s="99"/>
      <c r="V62" s="197"/>
      <c r="W62" s="99"/>
      <c r="X62" s="99"/>
      <c r="Y62" s="99"/>
      <c r="Z62" s="99"/>
      <c r="AA62" s="197"/>
      <c r="AB62" s="197"/>
      <c r="AC62" s="197"/>
      <c r="AD62" s="197"/>
      <c r="AE62" s="197" t="s">
        <v>93</v>
      </c>
      <c r="AF62" s="99" t="s">
        <v>7307</v>
      </c>
      <c r="AG62" s="197" t="s">
        <v>6990</v>
      </c>
      <c r="AH62" s="197"/>
      <c r="AI62" s="459"/>
      <c r="AJ62" s="99" t="s">
        <v>7106</v>
      </c>
      <c r="AK62" s="99"/>
      <c r="AL62" s="99"/>
      <c r="AM62" s="99"/>
      <c r="AN62" s="99"/>
      <c r="AO62" s="99"/>
      <c r="AP62" s="99"/>
      <c r="AQ62" s="99"/>
      <c r="AR62" s="99" t="s">
        <v>6942</v>
      </c>
      <c r="AS62" s="99" t="s">
        <v>7308</v>
      </c>
      <c r="AT62" s="99" t="s">
        <v>7309</v>
      </c>
      <c r="AU62" s="99" t="s">
        <v>92</v>
      </c>
      <c r="AV62" s="99" t="s">
        <v>92</v>
      </c>
      <c r="AW62" s="99" t="s">
        <v>92</v>
      </c>
      <c r="AX62" s="99" t="s">
        <v>93</v>
      </c>
      <c r="AY62" s="99" t="s">
        <v>93</v>
      </c>
      <c r="AZ62" s="460" t="s">
        <v>93</v>
      </c>
      <c r="BA62" s="460"/>
      <c r="BB62" s="460" t="s">
        <v>92</v>
      </c>
      <c r="BC62" s="460" t="s">
        <v>92</v>
      </c>
      <c r="BD62" s="460" t="s">
        <v>92</v>
      </c>
      <c r="BE62" s="460"/>
      <c r="BF62" s="460" t="s">
        <v>93</v>
      </c>
      <c r="BG62" s="460"/>
      <c r="BH62" s="460"/>
      <c r="BI62" s="460"/>
      <c r="BJ62" s="460"/>
      <c r="BK62" s="460" t="s">
        <v>93</v>
      </c>
      <c r="BL62" s="460"/>
      <c r="BM62" s="213" t="s">
        <v>7310</v>
      </c>
      <c r="BN62" s="213" t="s">
        <v>7311</v>
      </c>
      <c r="BO62" s="470"/>
      <c r="BP62" s="470"/>
      <c r="BQ62" s="99"/>
      <c r="BR62" s="99"/>
    </row>
    <row r="63" ht="15.75" customHeight="1">
      <c r="A63" s="197"/>
      <c r="B63" s="99" t="s">
        <v>7312</v>
      </c>
      <c r="C63" s="197">
        <v>28.0</v>
      </c>
      <c r="D63" s="99" t="s">
        <v>7313</v>
      </c>
      <c r="E63" s="99" t="s">
        <v>90</v>
      </c>
      <c r="F63" s="99" t="s">
        <v>7314</v>
      </c>
      <c r="G63" s="99"/>
      <c r="H63" s="99"/>
      <c r="I63" s="99"/>
      <c r="J63" s="99"/>
      <c r="K63" s="197">
        <v>2022.0</v>
      </c>
      <c r="L63" s="99" t="s">
        <v>92</v>
      </c>
      <c r="M63" s="99" t="s">
        <v>92</v>
      </c>
      <c r="N63" s="99" t="s">
        <v>93</v>
      </c>
      <c r="O63" s="99" t="s">
        <v>92</v>
      </c>
      <c r="P63" s="99">
        <v>2022.0</v>
      </c>
      <c r="Q63" s="99" t="s">
        <v>96</v>
      </c>
      <c r="R63" s="197" t="s">
        <v>7262</v>
      </c>
      <c r="S63" s="197"/>
      <c r="T63" s="197"/>
      <c r="U63" s="99"/>
      <c r="V63" s="197"/>
      <c r="W63" s="99"/>
      <c r="X63" s="99"/>
      <c r="Y63" s="99"/>
      <c r="Z63" s="99"/>
      <c r="AA63" s="197"/>
      <c r="AB63" s="197"/>
      <c r="AC63" s="197"/>
      <c r="AD63" s="197"/>
      <c r="AE63" s="197" t="s">
        <v>93</v>
      </c>
      <c r="AF63" s="99" t="s">
        <v>7315</v>
      </c>
      <c r="AG63" s="197" t="s">
        <v>6941</v>
      </c>
      <c r="AH63" s="197"/>
      <c r="AI63" s="459"/>
      <c r="AJ63" s="99" t="s">
        <v>7106</v>
      </c>
      <c r="AK63" s="99"/>
      <c r="AL63" s="99"/>
      <c r="AM63" s="99"/>
      <c r="AN63" s="99"/>
      <c r="AO63" s="99"/>
      <c r="AP63" s="99"/>
      <c r="AQ63" s="99"/>
      <c r="AR63" s="99" t="s">
        <v>6942</v>
      </c>
      <c r="AS63" s="99" t="s">
        <v>6889</v>
      </c>
      <c r="AT63" s="99" t="s">
        <v>3448</v>
      </c>
      <c r="AU63" s="99" t="s">
        <v>93</v>
      </c>
      <c r="AV63" s="99" t="s">
        <v>92</v>
      </c>
      <c r="AW63" s="99" t="s">
        <v>92</v>
      </c>
      <c r="AX63" s="99" t="s">
        <v>92</v>
      </c>
      <c r="AY63" s="99" t="s">
        <v>92</v>
      </c>
      <c r="AZ63" s="460" t="s">
        <v>92</v>
      </c>
      <c r="BA63" s="460"/>
      <c r="BB63" s="460" t="s">
        <v>92</v>
      </c>
      <c r="BC63" s="460" t="s">
        <v>92</v>
      </c>
      <c r="BD63" s="460" t="s">
        <v>92</v>
      </c>
      <c r="BE63" s="460"/>
      <c r="BF63" s="460" t="s">
        <v>93</v>
      </c>
      <c r="BG63" s="460"/>
      <c r="BH63" s="460"/>
      <c r="BI63" s="460"/>
      <c r="BJ63" s="460"/>
      <c r="BK63" s="460" t="s">
        <v>92</v>
      </c>
      <c r="BL63" s="460"/>
      <c r="BM63" s="473" t="s">
        <v>7265</v>
      </c>
      <c r="BN63" s="470"/>
      <c r="BO63" s="470"/>
      <c r="BP63" s="474"/>
      <c r="BQ63" s="475"/>
      <c r="BR63" s="475"/>
    </row>
    <row r="64" ht="15.75" customHeight="1">
      <c r="A64" s="197"/>
      <c r="B64" s="99" t="s">
        <v>7312</v>
      </c>
      <c r="C64" s="197">
        <v>29.0</v>
      </c>
      <c r="D64" s="99" t="s">
        <v>7316</v>
      </c>
      <c r="E64" s="99" t="s">
        <v>90</v>
      </c>
      <c r="F64" s="99" t="s">
        <v>7317</v>
      </c>
      <c r="G64" s="99"/>
      <c r="H64" s="99"/>
      <c r="I64" s="99"/>
      <c r="J64" s="99"/>
      <c r="K64" s="197">
        <v>2022.0</v>
      </c>
      <c r="L64" s="99" t="s">
        <v>92</v>
      </c>
      <c r="M64" s="99" t="s">
        <v>92</v>
      </c>
      <c r="N64" s="99" t="s">
        <v>93</v>
      </c>
      <c r="O64" s="99" t="s">
        <v>92</v>
      </c>
      <c r="P64" s="99" t="s">
        <v>95</v>
      </c>
      <c r="Q64" s="99" t="s">
        <v>114</v>
      </c>
      <c r="R64" s="197" t="s">
        <v>7262</v>
      </c>
      <c r="S64" s="197"/>
      <c r="T64" s="197"/>
      <c r="U64" s="99"/>
      <c r="V64" s="197"/>
      <c r="W64" s="99"/>
      <c r="X64" s="99"/>
      <c r="Y64" s="99"/>
      <c r="Z64" s="99"/>
      <c r="AA64" s="197"/>
      <c r="AB64" s="197"/>
      <c r="AC64" s="197"/>
      <c r="AD64" s="197"/>
      <c r="AE64" s="197" t="s">
        <v>92</v>
      </c>
      <c r="AF64" s="475" t="s">
        <v>7318</v>
      </c>
      <c r="AG64" s="197" t="s">
        <v>6941</v>
      </c>
      <c r="AH64" s="197"/>
      <c r="AI64" s="459"/>
      <c r="AJ64" s="99" t="s">
        <v>7106</v>
      </c>
      <c r="AK64" s="99"/>
      <c r="AL64" s="99"/>
      <c r="AM64" s="99"/>
      <c r="AN64" s="99"/>
      <c r="AO64" s="99"/>
      <c r="AP64" s="99"/>
      <c r="AQ64" s="99"/>
      <c r="AR64" s="99" t="s">
        <v>6949</v>
      </c>
      <c r="AS64" s="99" t="s">
        <v>95</v>
      </c>
      <c r="AT64" s="99" t="s">
        <v>95</v>
      </c>
      <c r="AU64" s="99" t="s">
        <v>93</v>
      </c>
      <c r="AV64" s="99" t="s">
        <v>93</v>
      </c>
      <c r="AW64" s="99" t="s">
        <v>93</v>
      </c>
      <c r="AX64" s="99" t="s">
        <v>93</v>
      </c>
      <c r="AY64" s="99" t="s">
        <v>93</v>
      </c>
      <c r="AZ64" s="460" t="s">
        <v>92</v>
      </c>
      <c r="BA64" s="460"/>
      <c r="BB64" s="460" t="s">
        <v>92</v>
      </c>
      <c r="BC64" s="460" t="s">
        <v>92</v>
      </c>
      <c r="BD64" s="460" t="s">
        <v>92</v>
      </c>
      <c r="BE64" s="460"/>
      <c r="BF64" s="460" t="s">
        <v>93</v>
      </c>
      <c r="BG64" s="460"/>
      <c r="BH64" s="460"/>
      <c r="BI64" s="460"/>
      <c r="BJ64" s="460"/>
      <c r="BK64" s="460" t="s">
        <v>92</v>
      </c>
      <c r="BL64" s="460"/>
      <c r="BM64" s="473" t="s">
        <v>7319</v>
      </c>
      <c r="BN64" s="213" t="s">
        <v>7265</v>
      </c>
      <c r="BO64" s="470"/>
      <c r="BP64" s="474"/>
      <c r="BQ64" s="475"/>
      <c r="BR64" s="475"/>
    </row>
    <row r="65" ht="15.75" customHeight="1">
      <c r="A65" s="197"/>
      <c r="B65" s="99" t="s">
        <v>7312</v>
      </c>
      <c r="C65" s="197">
        <v>30.0</v>
      </c>
      <c r="D65" s="99" t="s">
        <v>7320</v>
      </c>
      <c r="E65" s="99" t="s">
        <v>189</v>
      </c>
      <c r="F65" s="99" t="s">
        <v>7321</v>
      </c>
      <c r="G65" s="99" t="s">
        <v>3346</v>
      </c>
      <c r="H65" s="99"/>
      <c r="I65" s="99"/>
      <c r="J65" s="99"/>
      <c r="K65" s="197">
        <v>2020.0</v>
      </c>
      <c r="L65" s="99" t="s">
        <v>92</v>
      </c>
      <c r="M65" s="99" t="s">
        <v>92</v>
      </c>
      <c r="N65" s="99" t="s">
        <v>93</v>
      </c>
      <c r="O65" s="99" t="s">
        <v>92</v>
      </c>
      <c r="P65" s="99" t="s">
        <v>95</v>
      </c>
      <c r="Q65" s="99" t="s">
        <v>114</v>
      </c>
      <c r="R65" s="197" t="s">
        <v>7262</v>
      </c>
      <c r="S65" s="197"/>
      <c r="T65" s="197"/>
      <c r="U65" s="99"/>
      <c r="V65" s="197"/>
      <c r="W65" s="99"/>
      <c r="X65" s="99"/>
      <c r="Y65" s="99"/>
      <c r="Z65" s="99"/>
      <c r="AA65" s="197"/>
      <c r="AB65" s="197"/>
      <c r="AC65" s="197"/>
      <c r="AD65" s="197"/>
      <c r="AE65" s="197" t="s">
        <v>93</v>
      </c>
      <c r="AF65" s="99" t="s">
        <v>7322</v>
      </c>
      <c r="AG65" s="197" t="s">
        <v>6941</v>
      </c>
      <c r="AH65" s="197"/>
      <c r="AI65" s="459"/>
      <c r="AJ65" s="99" t="s">
        <v>7160</v>
      </c>
      <c r="AK65" s="99"/>
      <c r="AL65" s="99"/>
      <c r="AM65" s="99"/>
      <c r="AN65" s="99"/>
      <c r="AO65" s="99"/>
      <c r="AP65" s="99"/>
      <c r="AQ65" s="99"/>
      <c r="AR65" s="99" t="s">
        <v>6942</v>
      </c>
      <c r="AS65" s="99" t="s">
        <v>7323</v>
      </c>
      <c r="AT65" s="99" t="s">
        <v>3451</v>
      </c>
      <c r="AU65" s="99" t="s">
        <v>92</v>
      </c>
      <c r="AV65" s="99" t="s">
        <v>92</v>
      </c>
      <c r="AW65" s="99" t="s">
        <v>92</v>
      </c>
      <c r="AX65" s="99" t="s">
        <v>93</v>
      </c>
      <c r="AY65" s="99" t="s">
        <v>92</v>
      </c>
      <c r="AZ65" s="460" t="s">
        <v>93</v>
      </c>
      <c r="BA65" s="460"/>
      <c r="BB65" s="460" t="s">
        <v>92</v>
      </c>
      <c r="BC65" s="460" t="s">
        <v>92</v>
      </c>
      <c r="BD65" s="460" t="s">
        <v>92</v>
      </c>
      <c r="BE65" s="460"/>
      <c r="BF65" s="460" t="s">
        <v>93</v>
      </c>
      <c r="BG65" s="460"/>
      <c r="BH65" s="460"/>
      <c r="BI65" s="460"/>
      <c r="BJ65" s="460"/>
      <c r="BK65" s="460" t="s">
        <v>93</v>
      </c>
      <c r="BL65" s="460"/>
      <c r="BM65" s="473" t="s">
        <v>7324</v>
      </c>
      <c r="BN65" s="213" t="s">
        <v>7265</v>
      </c>
      <c r="BO65" s="470"/>
      <c r="BP65" s="470"/>
      <c r="BQ65" s="99"/>
      <c r="BR65" s="99"/>
    </row>
    <row r="66" ht="15.75" customHeight="1">
      <c r="A66" s="197"/>
      <c r="B66" s="99" t="s">
        <v>7325</v>
      </c>
      <c r="C66" s="197">
        <v>31.0</v>
      </c>
      <c r="D66" s="99" t="s">
        <v>7326</v>
      </c>
      <c r="E66" s="99" t="s">
        <v>90</v>
      </c>
      <c r="F66" s="99" t="s">
        <v>7327</v>
      </c>
      <c r="G66" s="99"/>
      <c r="H66" s="99"/>
      <c r="I66" s="99"/>
      <c r="J66" s="99"/>
      <c r="K66" s="197">
        <v>2019.0</v>
      </c>
      <c r="L66" s="99" t="s">
        <v>92</v>
      </c>
      <c r="M66" s="99" t="s">
        <v>92</v>
      </c>
      <c r="N66" s="99" t="s">
        <v>93</v>
      </c>
      <c r="O66" s="99" t="s">
        <v>92</v>
      </c>
      <c r="P66" s="99" t="s">
        <v>95</v>
      </c>
      <c r="Q66" s="99" t="s">
        <v>114</v>
      </c>
      <c r="R66" s="197" t="s">
        <v>7262</v>
      </c>
      <c r="S66" s="197"/>
      <c r="T66" s="197"/>
      <c r="U66" s="99"/>
      <c r="V66" s="197"/>
      <c r="W66" s="99"/>
      <c r="X66" s="99"/>
      <c r="Y66" s="99"/>
      <c r="Z66" s="99"/>
      <c r="AA66" s="197"/>
      <c r="AB66" s="197"/>
      <c r="AC66" s="197"/>
      <c r="AD66" s="197"/>
      <c r="AE66" s="197" t="s">
        <v>93</v>
      </c>
      <c r="AF66" s="99" t="s">
        <v>7326</v>
      </c>
      <c r="AG66" s="197" t="s">
        <v>6941</v>
      </c>
      <c r="AH66" s="197"/>
      <c r="AI66" s="459"/>
      <c r="AJ66" s="99" t="s">
        <v>7171</v>
      </c>
      <c r="AK66" s="99"/>
      <c r="AL66" s="99"/>
      <c r="AM66" s="99"/>
      <c r="AN66" s="99"/>
      <c r="AO66" s="99"/>
      <c r="AP66" s="99"/>
      <c r="AQ66" s="99"/>
      <c r="AR66" s="99" t="s">
        <v>6942</v>
      </c>
      <c r="AS66" s="99" t="s">
        <v>3520</v>
      </c>
      <c r="AT66" s="99" t="s">
        <v>3451</v>
      </c>
      <c r="AU66" s="99" t="s">
        <v>92</v>
      </c>
      <c r="AV66" s="99" t="s">
        <v>92</v>
      </c>
      <c r="AW66" s="99" t="s">
        <v>92</v>
      </c>
      <c r="AX66" s="99" t="s">
        <v>93</v>
      </c>
      <c r="AY66" s="99" t="s">
        <v>92</v>
      </c>
      <c r="AZ66" s="460" t="s">
        <v>93</v>
      </c>
      <c r="BA66" s="460"/>
      <c r="BB66" s="460" t="s">
        <v>92</v>
      </c>
      <c r="BC66" s="460" t="s">
        <v>92</v>
      </c>
      <c r="BD66" s="460" t="s">
        <v>92</v>
      </c>
      <c r="BE66" s="460"/>
      <c r="BF66" s="460" t="s">
        <v>93</v>
      </c>
      <c r="BG66" s="460"/>
      <c r="BH66" s="460"/>
      <c r="BI66" s="460"/>
      <c r="BJ66" s="460"/>
      <c r="BK66" s="460" t="s">
        <v>93</v>
      </c>
      <c r="BL66" s="460"/>
      <c r="BM66" s="213" t="s">
        <v>7328</v>
      </c>
      <c r="BN66" s="472" t="s">
        <v>7329</v>
      </c>
      <c r="BO66" s="476"/>
      <c r="BP66" s="476"/>
      <c r="BQ66" s="456"/>
      <c r="BR66" s="456"/>
    </row>
    <row r="67" ht="15.75" customHeight="1">
      <c r="A67" s="197"/>
      <c r="B67" s="99" t="s">
        <v>7312</v>
      </c>
      <c r="C67" s="197">
        <v>32.0</v>
      </c>
      <c r="D67" s="99" t="s">
        <v>7330</v>
      </c>
      <c r="E67" s="99" t="s">
        <v>90</v>
      </c>
      <c r="F67" s="99" t="s">
        <v>7331</v>
      </c>
      <c r="G67" s="99"/>
      <c r="H67" s="99"/>
      <c r="I67" s="99"/>
      <c r="J67" s="99"/>
      <c r="K67" s="197">
        <v>2020.0</v>
      </c>
      <c r="L67" s="99" t="s">
        <v>92</v>
      </c>
      <c r="M67" s="99" t="s">
        <v>92</v>
      </c>
      <c r="N67" s="99" t="s">
        <v>93</v>
      </c>
      <c r="O67" s="99" t="s">
        <v>92</v>
      </c>
      <c r="P67" s="99" t="s">
        <v>95</v>
      </c>
      <c r="Q67" s="99" t="s">
        <v>114</v>
      </c>
      <c r="R67" s="197" t="s">
        <v>7262</v>
      </c>
      <c r="S67" s="197"/>
      <c r="T67" s="197"/>
      <c r="U67" s="99"/>
      <c r="V67" s="197"/>
      <c r="W67" s="99"/>
      <c r="X67" s="99"/>
      <c r="Y67" s="99"/>
      <c r="Z67" s="99"/>
      <c r="AA67" s="197"/>
      <c r="AB67" s="197"/>
      <c r="AC67" s="197"/>
      <c r="AD67" s="197"/>
      <c r="AE67" s="197" t="s">
        <v>92</v>
      </c>
      <c r="AF67" s="99" t="s">
        <v>7332</v>
      </c>
      <c r="AG67" s="197" t="s">
        <v>6941</v>
      </c>
      <c r="AH67" s="197"/>
      <c r="AI67" s="459"/>
      <c r="AJ67" s="99" t="s">
        <v>7160</v>
      </c>
      <c r="AK67" s="99"/>
      <c r="AL67" s="99"/>
      <c r="AM67" s="99"/>
      <c r="AN67" s="99"/>
      <c r="AO67" s="99"/>
      <c r="AP67" s="99"/>
      <c r="AQ67" s="99"/>
      <c r="AR67" s="99" t="s">
        <v>6949</v>
      </c>
      <c r="AS67" s="99" t="s">
        <v>95</v>
      </c>
      <c r="AT67" s="99" t="s">
        <v>95</v>
      </c>
      <c r="AU67" s="99" t="s">
        <v>93</v>
      </c>
      <c r="AV67" s="99" t="s">
        <v>93</v>
      </c>
      <c r="AW67" s="99" t="s">
        <v>93</v>
      </c>
      <c r="AX67" s="99" t="s">
        <v>93</v>
      </c>
      <c r="AY67" s="99" t="s">
        <v>93</v>
      </c>
      <c r="AZ67" s="460" t="s">
        <v>92</v>
      </c>
      <c r="BA67" s="460"/>
      <c r="BB67" s="460" t="s">
        <v>92</v>
      </c>
      <c r="BC67" s="460" t="s">
        <v>92</v>
      </c>
      <c r="BD67" s="460" t="s">
        <v>92</v>
      </c>
      <c r="BE67" s="460"/>
      <c r="BF67" s="460" t="s">
        <v>93</v>
      </c>
      <c r="BG67" s="460"/>
      <c r="BH67" s="460"/>
      <c r="BI67" s="460"/>
      <c r="BJ67" s="460"/>
      <c r="BK67" s="460" t="s">
        <v>93</v>
      </c>
      <c r="BL67" s="460"/>
      <c r="BM67" s="213" t="s">
        <v>7333</v>
      </c>
      <c r="BN67" s="213" t="s">
        <v>7265</v>
      </c>
      <c r="BO67" s="470"/>
      <c r="BP67" s="470"/>
      <c r="BQ67" s="99"/>
      <c r="BR67" s="99"/>
    </row>
    <row r="68" ht="15.75" customHeight="1">
      <c r="A68" s="197"/>
      <c r="B68" s="99" t="s">
        <v>7334</v>
      </c>
      <c r="C68" s="197">
        <v>34.0</v>
      </c>
      <c r="D68" s="99" t="s">
        <v>7335</v>
      </c>
      <c r="E68" s="99" t="s">
        <v>90</v>
      </c>
      <c r="F68" s="99" t="s">
        <v>7336</v>
      </c>
      <c r="G68" s="99"/>
      <c r="H68" s="99"/>
      <c r="I68" s="99"/>
      <c r="J68" s="99"/>
      <c r="K68" s="197">
        <v>2016.0</v>
      </c>
      <c r="L68" s="99" t="s">
        <v>93</v>
      </c>
      <c r="M68" s="99" t="s">
        <v>93</v>
      </c>
      <c r="N68" s="99" t="s">
        <v>93</v>
      </c>
      <c r="O68" s="99" t="s">
        <v>93</v>
      </c>
      <c r="P68" s="99" t="s">
        <v>95</v>
      </c>
      <c r="Q68" s="99" t="s">
        <v>114</v>
      </c>
      <c r="R68" s="197" t="s">
        <v>5902</v>
      </c>
      <c r="S68" s="197"/>
      <c r="T68" s="197"/>
      <c r="U68" s="99"/>
      <c r="V68" s="197"/>
      <c r="W68" s="99"/>
      <c r="X68" s="99"/>
      <c r="Y68" s="99"/>
      <c r="Z68" s="99"/>
      <c r="AA68" s="197"/>
      <c r="AB68" s="197"/>
      <c r="AC68" s="197"/>
      <c r="AD68" s="197"/>
      <c r="AE68" s="197" t="s">
        <v>93</v>
      </c>
      <c r="AF68" s="99" t="s">
        <v>1204</v>
      </c>
      <c r="AG68" s="197" t="s">
        <v>6990</v>
      </c>
      <c r="AH68" s="197"/>
      <c r="AI68" s="459"/>
      <c r="AJ68" s="99" t="s">
        <v>7106</v>
      </c>
      <c r="AK68" s="99"/>
      <c r="AL68" s="99"/>
      <c r="AM68" s="99"/>
      <c r="AN68" s="99"/>
      <c r="AO68" s="99"/>
      <c r="AP68" s="99"/>
      <c r="AQ68" s="99"/>
      <c r="AR68" s="99" t="s">
        <v>6942</v>
      </c>
      <c r="AS68" s="99" t="s">
        <v>3893</v>
      </c>
      <c r="AT68" s="99" t="s">
        <v>3451</v>
      </c>
      <c r="AU68" s="99" t="s">
        <v>92</v>
      </c>
      <c r="AV68" s="99" t="s">
        <v>92</v>
      </c>
      <c r="AW68" s="99" t="s">
        <v>92</v>
      </c>
      <c r="AX68" s="99" t="s">
        <v>93</v>
      </c>
      <c r="AY68" s="99" t="s">
        <v>92</v>
      </c>
      <c r="AZ68" s="460" t="s">
        <v>93</v>
      </c>
      <c r="BA68" s="460"/>
      <c r="BB68" s="460" t="s">
        <v>92</v>
      </c>
      <c r="BC68" s="460" t="s">
        <v>92</v>
      </c>
      <c r="BD68" s="460" t="s">
        <v>92</v>
      </c>
      <c r="BE68" s="460"/>
      <c r="BF68" s="460" t="s">
        <v>92</v>
      </c>
      <c r="BG68" s="460"/>
      <c r="BH68" s="460"/>
      <c r="BI68" s="460"/>
      <c r="BJ68" s="460"/>
      <c r="BK68" s="460" t="s">
        <v>93</v>
      </c>
      <c r="BL68" s="460"/>
      <c r="BM68" s="213" t="s">
        <v>7337</v>
      </c>
      <c r="BN68" s="213" t="s">
        <v>7338</v>
      </c>
      <c r="BO68" s="470"/>
      <c r="BP68" s="470"/>
      <c r="BQ68" s="99"/>
      <c r="BR68" s="99"/>
    </row>
    <row r="69" ht="15.75" customHeight="1">
      <c r="A69" s="197"/>
      <c r="B69" s="99" t="s">
        <v>7339</v>
      </c>
      <c r="C69" s="197">
        <v>36.0</v>
      </c>
      <c r="D69" s="99" t="s">
        <v>7340</v>
      </c>
      <c r="E69" s="99" t="s">
        <v>90</v>
      </c>
      <c r="F69" s="99" t="s">
        <v>7341</v>
      </c>
      <c r="G69" s="99"/>
      <c r="H69" s="99"/>
      <c r="I69" s="99"/>
      <c r="J69" s="99"/>
      <c r="K69" s="197">
        <v>2023.0</v>
      </c>
      <c r="L69" s="99" t="s">
        <v>92</v>
      </c>
      <c r="M69" s="99" t="s">
        <v>92</v>
      </c>
      <c r="N69" s="99" t="s">
        <v>92</v>
      </c>
      <c r="O69" s="99" t="s">
        <v>93</v>
      </c>
      <c r="P69" s="99" t="s">
        <v>95</v>
      </c>
      <c r="Q69" s="99" t="s">
        <v>114</v>
      </c>
      <c r="R69" s="197" t="s">
        <v>5902</v>
      </c>
      <c r="S69" s="197"/>
      <c r="T69" s="197"/>
      <c r="U69" s="99"/>
      <c r="V69" s="197"/>
      <c r="W69" s="99"/>
      <c r="X69" s="99"/>
      <c r="Y69" s="99"/>
      <c r="Z69" s="99"/>
      <c r="AA69" s="197"/>
      <c r="AB69" s="197"/>
      <c r="AC69" s="197"/>
      <c r="AD69" s="197"/>
      <c r="AE69" s="197" t="s">
        <v>93</v>
      </c>
      <c r="AF69" s="99" t="s">
        <v>1850</v>
      </c>
      <c r="AG69" s="197" t="s">
        <v>6990</v>
      </c>
      <c r="AH69" s="197"/>
      <c r="AI69" s="459"/>
      <c r="AJ69" s="99" t="s">
        <v>7283</v>
      </c>
      <c r="AK69" s="99"/>
      <c r="AL69" s="99"/>
      <c r="AM69" s="99"/>
      <c r="AN69" s="99"/>
      <c r="AO69" s="99"/>
      <c r="AP69" s="99"/>
      <c r="AQ69" s="99"/>
      <c r="AR69" s="99" t="s">
        <v>6942</v>
      </c>
      <c r="AS69" s="99" t="s">
        <v>3893</v>
      </c>
      <c r="AT69" s="99" t="s">
        <v>3451</v>
      </c>
      <c r="AU69" s="99" t="s">
        <v>92</v>
      </c>
      <c r="AV69" s="99" t="s">
        <v>92</v>
      </c>
      <c r="AW69" s="99" t="s">
        <v>92</v>
      </c>
      <c r="AX69" s="99" t="s">
        <v>93</v>
      </c>
      <c r="AY69" s="99" t="s">
        <v>92</v>
      </c>
      <c r="AZ69" s="460" t="s">
        <v>92</v>
      </c>
      <c r="BA69" s="460"/>
      <c r="BB69" s="460" t="s">
        <v>92</v>
      </c>
      <c r="BC69" s="460" t="s">
        <v>92</v>
      </c>
      <c r="BD69" s="460" t="s">
        <v>92</v>
      </c>
      <c r="BE69" s="460"/>
      <c r="BF69" s="460" t="s">
        <v>92</v>
      </c>
      <c r="BG69" s="460"/>
      <c r="BH69" s="460"/>
      <c r="BI69" s="460"/>
      <c r="BJ69" s="460"/>
      <c r="BK69" s="460" t="s">
        <v>92</v>
      </c>
      <c r="BL69" s="460"/>
      <c r="BM69" s="213" t="s">
        <v>7342</v>
      </c>
      <c r="BN69" s="213" t="s">
        <v>7343</v>
      </c>
      <c r="BO69" s="470"/>
      <c r="BP69" s="470"/>
      <c r="BQ69" s="99"/>
      <c r="BR69" s="99"/>
    </row>
    <row r="70" ht="15.75" customHeight="1">
      <c r="A70" s="197"/>
      <c r="B70" s="99" t="s">
        <v>7344</v>
      </c>
      <c r="C70" s="197">
        <v>38.0</v>
      </c>
      <c r="D70" s="99" t="s">
        <v>7345</v>
      </c>
      <c r="E70" s="99" t="s">
        <v>189</v>
      </c>
      <c r="F70" s="99" t="s">
        <v>7346</v>
      </c>
      <c r="G70" s="99" t="s">
        <v>3346</v>
      </c>
      <c r="H70" s="99"/>
      <c r="I70" s="99"/>
      <c r="J70" s="99"/>
      <c r="K70" s="197">
        <v>2020.0</v>
      </c>
      <c r="L70" s="99" t="s">
        <v>93</v>
      </c>
      <c r="M70" s="99" t="s">
        <v>93</v>
      </c>
      <c r="N70" s="99" t="s">
        <v>92</v>
      </c>
      <c r="O70" s="99" t="s">
        <v>92</v>
      </c>
      <c r="P70" s="99">
        <v>2021.0</v>
      </c>
      <c r="Q70" s="99" t="s">
        <v>96</v>
      </c>
      <c r="R70" s="197" t="s">
        <v>5902</v>
      </c>
      <c r="S70" s="197"/>
      <c r="T70" s="197"/>
      <c r="U70" s="99"/>
      <c r="V70" s="197"/>
      <c r="W70" s="99"/>
      <c r="X70" s="99"/>
      <c r="Y70" s="99"/>
      <c r="Z70" s="99"/>
      <c r="AA70" s="197"/>
      <c r="AB70" s="197"/>
      <c r="AC70" s="197"/>
      <c r="AD70" s="197"/>
      <c r="AE70" s="197" t="s">
        <v>93</v>
      </c>
      <c r="AF70" s="99" t="s">
        <v>7347</v>
      </c>
      <c r="AG70" s="197" t="s">
        <v>6990</v>
      </c>
      <c r="AH70" s="197"/>
      <c r="AI70" s="459"/>
      <c r="AJ70" s="99" t="s">
        <v>7348</v>
      </c>
      <c r="AK70" s="99"/>
      <c r="AL70" s="99"/>
      <c r="AM70" s="99"/>
      <c r="AN70" s="99"/>
      <c r="AO70" s="99"/>
      <c r="AP70" s="99"/>
      <c r="AQ70" s="99"/>
      <c r="AR70" s="99" t="s">
        <v>6972</v>
      </c>
      <c r="AS70" s="99" t="s">
        <v>7349</v>
      </c>
      <c r="AT70" s="99" t="s">
        <v>7073</v>
      </c>
      <c r="AU70" s="99"/>
      <c r="AV70" s="99"/>
      <c r="AW70" s="99"/>
      <c r="AX70" s="99"/>
      <c r="AY70" s="99"/>
      <c r="AZ70" s="460" t="s">
        <v>93</v>
      </c>
      <c r="BA70" s="460"/>
      <c r="BB70" s="460" t="s">
        <v>92</v>
      </c>
      <c r="BC70" s="460" t="s">
        <v>92</v>
      </c>
      <c r="BD70" s="460" t="s">
        <v>92</v>
      </c>
      <c r="BE70" s="460"/>
      <c r="BF70" s="460" t="s">
        <v>92</v>
      </c>
      <c r="BG70" s="460"/>
      <c r="BH70" s="460"/>
      <c r="BI70" s="460"/>
      <c r="BJ70" s="460"/>
      <c r="BK70" s="460" t="s">
        <v>92</v>
      </c>
      <c r="BL70" s="460"/>
      <c r="BM70" s="213" t="s">
        <v>7350</v>
      </c>
      <c r="BN70" s="213" t="s">
        <v>7351</v>
      </c>
      <c r="BO70" s="213" t="s">
        <v>7352</v>
      </c>
      <c r="BP70" s="213" t="s">
        <v>7353</v>
      </c>
      <c r="BQ70" s="99"/>
      <c r="BR70" s="99"/>
    </row>
    <row r="71" ht="15.75" customHeight="1">
      <c r="A71" s="197"/>
      <c r="B71" s="477" t="s">
        <v>7354</v>
      </c>
      <c r="C71" s="197">
        <v>40.0</v>
      </c>
      <c r="D71" s="99" t="s">
        <v>7355</v>
      </c>
      <c r="E71" s="99" t="s">
        <v>90</v>
      </c>
      <c r="F71" s="99" t="s">
        <v>7356</v>
      </c>
      <c r="G71" s="99"/>
      <c r="H71" s="99"/>
      <c r="I71" s="99"/>
      <c r="J71" s="99"/>
      <c r="K71" s="197">
        <v>2021.0</v>
      </c>
      <c r="L71" s="99" t="s">
        <v>92</v>
      </c>
      <c r="M71" s="99" t="s">
        <v>93</v>
      </c>
      <c r="N71" s="99" t="s">
        <v>93</v>
      </c>
      <c r="O71" s="99" t="s">
        <v>93</v>
      </c>
      <c r="P71" s="99" t="s">
        <v>95</v>
      </c>
      <c r="Q71" s="99" t="s">
        <v>114</v>
      </c>
      <c r="R71" s="197" t="s">
        <v>5902</v>
      </c>
      <c r="S71" s="197"/>
      <c r="T71" s="197"/>
      <c r="U71" s="99"/>
      <c r="V71" s="197"/>
      <c r="W71" s="99"/>
      <c r="X71" s="99"/>
      <c r="Y71" s="99"/>
      <c r="Z71" s="99"/>
      <c r="AA71" s="197"/>
      <c r="AB71" s="197"/>
      <c r="AC71" s="197"/>
      <c r="AD71" s="197"/>
      <c r="AE71" s="197" t="s">
        <v>93</v>
      </c>
      <c r="AF71" s="99" t="s">
        <v>7357</v>
      </c>
      <c r="AG71" s="197" t="s">
        <v>6990</v>
      </c>
      <c r="AH71" s="197"/>
      <c r="AI71" s="459"/>
      <c r="AJ71" s="99" t="s">
        <v>7106</v>
      </c>
      <c r="AK71" s="99"/>
      <c r="AL71" s="99"/>
      <c r="AM71" s="99"/>
      <c r="AN71" s="99"/>
      <c r="AO71" s="99"/>
      <c r="AP71" s="99"/>
      <c r="AQ71" s="99"/>
      <c r="AR71" s="99" t="s">
        <v>6942</v>
      </c>
      <c r="AS71" s="99" t="s">
        <v>7026</v>
      </c>
      <c r="AT71" s="99" t="s">
        <v>3451</v>
      </c>
      <c r="AU71" s="99" t="s">
        <v>92</v>
      </c>
      <c r="AV71" s="99" t="s">
        <v>92</v>
      </c>
      <c r="AW71" s="99" t="s">
        <v>92</v>
      </c>
      <c r="AX71" s="99" t="s">
        <v>93</v>
      </c>
      <c r="AY71" s="99" t="s">
        <v>92</v>
      </c>
      <c r="AZ71" s="460" t="s">
        <v>92</v>
      </c>
      <c r="BA71" s="460"/>
      <c r="BB71" s="460" t="s">
        <v>92</v>
      </c>
      <c r="BC71" s="460" t="s">
        <v>92</v>
      </c>
      <c r="BD71" s="460" t="s">
        <v>92</v>
      </c>
      <c r="BE71" s="460"/>
      <c r="BF71" s="460" t="s">
        <v>93</v>
      </c>
      <c r="BG71" s="460"/>
      <c r="BH71" s="460"/>
      <c r="BI71" s="460"/>
      <c r="BJ71" s="460"/>
      <c r="BK71" s="460" t="s">
        <v>93</v>
      </c>
      <c r="BL71" s="460"/>
      <c r="BM71" s="213" t="s">
        <v>7358</v>
      </c>
      <c r="BN71" s="470"/>
      <c r="BO71" s="470"/>
      <c r="BP71" s="470"/>
      <c r="BQ71" s="99"/>
      <c r="BR71" s="99"/>
    </row>
    <row r="72" ht="15.75" customHeight="1">
      <c r="A72" s="197"/>
      <c r="B72" s="99" t="s">
        <v>7359</v>
      </c>
      <c r="C72" s="197">
        <v>42.0</v>
      </c>
      <c r="D72" s="99" t="s">
        <v>7360</v>
      </c>
      <c r="E72" s="99" t="s">
        <v>90</v>
      </c>
      <c r="F72" s="99" t="s">
        <v>7361</v>
      </c>
      <c r="G72" s="99"/>
      <c r="H72" s="99"/>
      <c r="I72" s="99"/>
      <c r="J72" s="99"/>
      <c r="K72" s="197">
        <v>1984.0</v>
      </c>
      <c r="L72" s="99" t="s">
        <v>93</v>
      </c>
      <c r="M72" s="99" t="s">
        <v>93</v>
      </c>
      <c r="N72" s="99" t="s">
        <v>93</v>
      </c>
      <c r="O72" s="99" t="s">
        <v>93</v>
      </c>
      <c r="P72" s="99" t="s">
        <v>95</v>
      </c>
      <c r="Q72" s="99" t="s">
        <v>114</v>
      </c>
      <c r="R72" s="197" t="s">
        <v>5902</v>
      </c>
      <c r="S72" s="197"/>
      <c r="T72" s="197"/>
      <c r="U72" s="99"/>
      <c r="V72" s="197"/>
      <c r="W72" s="99"/>
      <c r="X72" s="99"/>
      <c r="Y72" s="99"/>
      <c r="Z72" s="99"/>
      <c r="AA72" s="197"/>
      <c r="AB72" s="197"/>
      <c r="AC72" s="197"/>
      <c r="AD72" s="197"/>
      <c r="AE72" s="197" t="s">
        <v>92</v>
      </c>
      <c r="AF72" s="99" t="s">
        <v>7360</v>
      </c>
      <c r="AG72" s="197" t="s">
        <v>6990</v>
      </c>
      <c r="AH72" s="197"/>
      <c r="AI72" s="459"/>
      <c r="AJ72" s="99" t="s">
        <v>7106</v>
      </c>
      <c r="AK72" s="99"/>
      <c r="AL72" s="99"/>
      <c r="AM72" s="99"/>
      <c r="AN72" s="99"/>
      <c r="AO72" s="99"/>
      <c r="AP72" s="99"/>
      <c r="AQ72" s="99"/>
      <c r="AR72" s="99" t="s">
        <v>6942</v>
      </c>
      <c r="AS72" s="99" t="s">
        <v>3520</v>
      </c>
      <c r="AT72" s="99" t="s">
        <v>3451</v>
      </c>
      <c r="AU72" s="99" t="s">
        <v>92</v>
      </c>
      <c r="AV72" s="99" t="s">
        <v>92</v>
      </c>
      <c r="AW72" s="99" t="s">
        <v>92</v>
      </c>
      <c r="AX72" s="99" t="s">
        <v>93</v>
      </c>
      <c r="AY72" s="99" t="s">
        <v>92</v>
      </c>
      <c r="AZ72" s="460" t="s">
        <v>93</v>
      </c>
      <c r="BA72" s="460"/>
      <c r="BB72" s="460" t="s">
        <v>92</v>
      </c>
      <c r="BC72" s="460" t="s">
        <v>92</v>
      </c>
      <c r="BD72" s="460" t="s">
        <v>92</v>
      </c>
      <c r="BE72" s="460"/>
      <c r="BF72" s="460" t="s">
        <v>93</v>
      </c>
      <c r="BG72" s="460"/>
      <c r="BH72" s="460"/>
      <c r="BI72" s="460"/>
      <c r="BJ72" s="460"/>
      <c r="BK72" s="460" t="s">
        <v>93</v>
      </c>
      <c r="BL72" s="460"/>
      <c r="BM72" s="213" t="s">
        <v>7362</v>
      </c>
      <c r="BN72" s="213" t="s">
        <v>7363</v>
      </c>
      <c r="BO72" s="213" t="s">
        <v>7364</v>
      </c>
      <c r="BP72" s="470"/>
      <c r="BQ72" s="99"/>
      <c r="BR72" s="99"/>
    </row>
    <row r="73" ht="15.75" customHeight="1">
      <c r="A73" s="197"/>
      <c r="B73" s="99" t="s">
        <v>7365</v>
      </c>
      <c r="C73" s="197">
        <v>44.0</v>
      </c>
      <c r="D73" s="99" t="s">
        <v>7366</v>
      </c>
      <c r="E73" s="99" t="s">
        <v>110</v>
      </c>
      <c r="F73" s="99" t="s">
        <v>7367</v>
      </c>
      <c r="G73" s="99"/>
      <c r="H73" s="99"/>
      <c r="I73" s="99"/>
      <c r="J73" s="99"/>
      <c r="K73" s="197" t="s">
        <v>105</v>
      </c>
      <c r="L73" s="99" t="s">
        <v>92</v>
      </c>
      <c r="M73" s="99" t="s">
        <v>92</v>
      </c>
      <c r="N73" s="99" t="s">
        <v>93</v>
      </c>
      <c r="O73" s="99" t="s">
        <v>92</v>
      </c>
      <c r="P73" s="99" t="s">
        <v>105</v>
      </c>
      <c r="Q73" s="99" t="s">
        <v>105</v>
      </c>
      <c r="R73" s="197" t="s">
        <v>7262</v>
      </c>
      <c r="S73" s="197"/>
      <c r="T73" s="197"/>
      <c r="U73" s="99"/>
      <c r="V73" s="197"/>
      <c r="W73" s="99"/>
      <c r="X73" s="99"/>
      <c r="Y73" s="99"/>
      <c r="Z73" s="99"/>
      <c r="AA73" s="197"/>
      <c r="AB73" s="197"/>
      <c r="AC73" s="197"/>
      <c r="AD73" s="197"/>
      <c r="AE73" s="197" t="s">
        <v>93</v>
      </c>
      <c r="AF73" s="99" t="s">
        <v>7365</v>
      </c>
      <c r="AG73" s="197" t="s">
        <v>6982</v>
      </c>
      <c r="AH73" s="197"/>
      <c r="AI73" s="459"/>
      <c r="AJ73" s="99" t="s">
        <v>7127</v>
      </c>
      <c r="AK73" s="99"/>
      <c r="AL73" s="99"/>
      <c r="AM73" s="99"/>
      <c r="AN73" s="99"/>
      <c r="AO73" s="99"/>
      <c r="AP73" s="99"/>
      <c r="AQ73" s="99"/>
      <c r="AR73" s="99" t="s">
        <v>6949</v>
      </c>
      <c r="AS73" s="99" t="s">
        <v>95</v>
      </c>
      <c r="AT73" s="99" t="s">
        <v>95</v>
      </c>
      <c r="AU73" s="99" t="s">
        <v>93</v>
      </c>
      <c r="AV73" s="99" t="s">
        <v>93</v>
      </c>
      <c r="AW73" s="99" t="s">
        <v>93</v>
      </c>
      <c r="AX73" s="99" t="s">
        <v>93</v>
      </c>
      <c r="AY73" s="99" t="s">
        <v>93</v>
      </c>
      <c r="AZ73" s="460" t="s">
        <v>92</v>
      </c>
      <c r="BA73" s="460"/>
      <c r="BB73" s="460" t="s">
        <v>92</v>
      </c>
      <c r="BC73" s="460" t="s">
        <v>92</v>
      </c>
      <c r="BD73" s="460" t="s">
        <v>92</v>
      </c>
      <c r="BE73" s="460"/>
      <c r="BF73" s="460" t="s">
        <v>92</v>
      </c>
      <c r="BG73" s="460"/>
      <c r="BH73" s="460"/>
      <c r="BI73" s="460"/>
      <c r="BJ73" s="460"/>
      <c r="BK73" s="460" t="s">
        <v>93</v>
      </c>
      <c r="BL73" s="460"/>
      <c r="BM73" s="213" t="s">
        <v>7368</v>
      </c>
      <c r="BN73" s="476"/>
      <c r="BO73" s="476"/>
      <c r="BP73" s="476"/>
      <c r="BQ73" s="456"/>
      <c r="BR73" s="456"/>
    </row>
    <row r="74" ht="15.75" customHeight="1">
      <c r="A74" s="197"/>
      <c r="B74" s="99" t="s">
        <v>7369</v>
      </c>
      <c r="C74" s="197">
        <v>46.0</v>
      </c>
      <c r="D74" s="99" t="s">
        <v>7018</v>
      </c>
      <c r="E74" s="99" t="s">
        <v>189</v>
      </c>
      <c r="F74" s="99" t="s">
        <v>7370</v>
      </c>
      <c r="G74" s="99" t="s">
        <v>3346</v>
      </c>
      <c r="H74" s="99"/>
      <c r="I74" s="99"/>
      <c r="J74" s="99"/>
      <c r="K74" s="197">
        <v>2022.0</v>
      </c>
      <c r="L74" s="99" t="s">
        <v>92</v>
      </c>
      <c r="M74" s="99" t="s">
        <v>92</v>
      </c>
      <c r="N74" s="99" t="s">
        <v>93</v>
      </c>
      <c r="O74" s="99" t="s">
        <v>92</v>
      </c>
      <c r="P74" s="99">
        <v>2022.0</v>
      </c>
      <c r="Q74" s="99" t="s">
        <v>96</v>
      </c>
      <c r="R74" s="197" t="s">
        <v>5902</v>
      </c>
      <c r="S74" s="197"/>
      <c r="T74" s="197"/>
      <c r="U74" s="99"/>
      <c r="V74" s="197"/>
      <c r="W74" s="99"/>
      <c r="X74" s="99"/>
      <c r="Y74" s="99"/>
      <c r="Z74" s="99"/>
      <c r="AA74" s="197"/>
      <c r="AB74" s="197"/>
      <c r="AC74" s="197"/>
      <c r="AD74" s="197"/>
      <c r="AE74" s="197" t="s">
        <v>93</v>
      </c>
      <c r="AF74" s="99" t="s">
        <v>7081</v>
      </c>
      <c r="AG74" s="197" t="s">
        <v>6990</v>
      </c>
      <c r="AH74" s="197"/>
      <c r="AI74" s="459"/>
      <c r="AJ74" s="99" t="s">
        <v>7106</v>
      </c>
      <c r="AK74" s="99"/>
      <c r="AL74" s="99"/>
      <c r="AM74" s="99"/>
      <c r="AN74" s="99"/>
      <c r="AO74" s="99"/>
      <c r="AP74" s="99"/>
      <c r="AQ74" s="99"/>
      <c r="AR74" s="99" t="s">
        <v>6942</v>
      </c>
      <c r="AS74" s="99" t="s">
        <v>6892</v>
      </c>
      <c r="AT74" s="99" t="s">
        <v>3449</v>
      </c>
      <c r="AU74" s="99" t="s">
        <v>92</v>
      </c>
      <c r="AV74" s="99" t="s">
        <v>93</v>
      </c>
      <c r="AW74" s="99" t="s">
        <v>92</v>
      </c>
      <c r="AX74" s="99" t="s">
        <v>92</v>
      </c>
      <c r="AY74" s="99" t="s">
        <v>92</v>
      </c>
      <c r="AZ74" s="460" t="s">
        <v>93</v>
      </c>
      <c r="BA74" s="460"/>
      <c r="BB74" s="460" t="s">
        <v>92</v>
      </c>
      <c r="BC74" s="460" t="s">
        <v>92</v>
      </c>
      <c r="BD74" s="460" t="s">
        <v>92</v>
      </c>
      <c r="BE74" s="460"/>
      <c r="BF74" s="460" t="s">
        <v>92</v>
      </c>
      <c r="BG74" s="460"/>
      <c r="BH74" s="460"/>
      <c r="BI74" s="460"/>
      <c r="BJ74" s="460"/>
      <c r="BK74" s="460" t="s">
        <v>92</v>
      </c>
      <c r="BL74" s="460"/>
      <c r="BM74" s="213" t="s">
        <v>7371</v>
      </c>
      <c r="BN74" s="476"/>
      <c r="BO74" s="476"/>
      <c r="BP74" s="476"/>
      <c r="BQ74" s="456"/>
      <c r="BR74" s="456"/>
    </row>
    <row r="75" ht="15.75" customHeight="1">
      <c r="A75" s="197"/>
      <c r="B75" s="99" t="s">
        <v>7372</v>
      </c>
      <c r="C75" s="197">
        <v>47.0</v>
      </c>
      <c r="D75" s="99" t="s">
        <v>7373</v>
      </c>
      <c r="E75" s="99" t="s">
        <v>110</v>
      </c>
      <c r="F75" s="99" t="s">
        <v>7374</v>
      </c>
      <c r="G75" s="99"/>
      <c r="H75" s="99"/>
      <c r="I75" s="99"/>
      <c r="J75" s="99"/>
      <c r="K75" s="197">
        <v>2020.0</v>
      </c>
      <c r="L75" s="99" t="s">
        <v>93</v>
      </c>
      <c r="M75" s="99" t="s">
        <v>93</v>
      </c>
      <c r="N75" s="99" t="s">
        <v>92</v>
      </c>
      <c r="O75" s="99" t="s">
        <v>92</v>
      </c>
      <c r="P75" s="99" t="s">
        <v>105</v>
      </c>
      <c r="Q75" s="99" t="s">
        <v>105</v>
      </c>
      <c r="R75" s="197" t="s">
        <v>7262</v>
      </c>
      <c r="S75" s="197"/>
      <c r="T75" s="197"/>
      <c r="U75" s="99"/>
      <c r="V75" s="197"/>
      <c r="W75" s="99"/>
      <c r="X75" s="99"/>
      <c r="Y75" s="99"/>
      <c r="Z75" s="99"/>
      <c r="AA75" s="197"/>
      <c r="AB75" s="197"/>
      <c r="AC75" s="197"/>
      <c r="AD75" s="197"/>
      <c r="AE75" s="197" t="s">
        <v>93</v>
      </c>
      <c r="AF75" s="99" t="s">
        <v>7375</v>
      </c>
      <c r="AG75" s="197" t="s">
        <v>6982</v>
      </c>
      <c r="AH75" s="197"/>
      <c r="AI75" s="459"/>
      <c r="AJ75" s="99" t="s">
        <v>7106</v>
      </c>
      <c r="AK75" s="99"/>
      <c r="AL75" s="99"/>
      <c r="AM75" s="99"/>
      <c r="AN75" s="99"/>
      <c r="AO75" s="99"/>
      <c r="AP75" s="99"/>
      <c r="AQ75" s="99"/>
      <c r="AR75" s="99" t="s">
        <v>6942</v>
      </c>
      <c r="AS75" s="99" t="s">
        <v>7376</v>
      </c>
      <c r="AT75" s="99" t="s">
        <v>3449</v>
      </c>
      <c r="AU75" s="99" t="s">
        <v>92</v>
      </c>
      <c r="AV75" s="99" t="s">
        <v>93</v>
      </c>
      <c r="AW75" s="99" t="s">
        <v>92</v>
      </c>
      <c r="AX75" s="99" t="s">
        <v>92</v>
      </c>
      <c r="AY75" s="99" t="s">
        <v>92</v>
      </c>
      <c r="AZ75" s="460" t="s">
        <v>93</v>
      </c>
      <c r="BA75" s="460"/>
      <c r="BB75" s="460" t="s">
        <v>92</v>
      </c>
      <c r="BC75" s="460" t="s">
        <v>92</v>
      </c>
      <c r="BD75" s="460" t="s">
        <v>92</v>
      </c>
      <c r="BE75" s="460"/>
      <c r="BF75" s="460" t="s">
        <v>92</v>
      </c>
      <c r="BG75" s="460"/>
      <c r="BH75" s="460"/>
      <c r="BI75" s="460"/>
      <c r="BJ75" s="460"/>
      <c r="BK75" s="460" t="s">
        <v>93</v>
      </c>
      <c r="BL75" s="460"/>
      <c r="BM75" s="213" t="s">
        <v>7021</v>
      </c>
      <c r="BN75" s="472" t="s">
        <v>7377</v>
      </c>
      <c r="BO75" s="476"/>
      <c r="BP75" s="476"/>
      <c r="BQ75" s="456"/>
      <c r="BR75" s="456"/>
    </row>
    <row r="76" ht="15.75" customHeight="1">
      <c r="A76" s="197"/>
      <c r="B76" s="99" t="s">
        <v>7378</v>
      </c>
      <c r="C76" s="197">
        <v>48.0</v>
      </c>
      <c r="D76" s="475" t="s">
        <v>7379</v>
      </c>
      <c r="E76" s="99" t="s">
        <v>110</v>
      </c>
      <c r="F76" s="99" t="s">
        <v>7380</v>
      </c>
      <c r="G76" s="99"/>
      <c r="H76" s="99"/>
      <c r="I76" s="99"/>
      <c r="J76" s="99"/>
      <c r="K76" s="197">
        <v>2017.0</v>
      </c>
      <c r="L76" s="99" t="s">
        <v>93</v>
      </c>
      <c r="M76" s="99" t="s">
        <v>93</v>
      </c>
      <c r="N76" s="99" t="s">
        <v>93</v>
      </c>
      <c r="O76" s="99" t="s">
        <v>93</v>
      </c>
      <c r="P76" s="99" t="s">
        <v>95</v>
      </c>
      <c r="Q76" s="99" t="s">
        <v>114</v>
      </c>
      <c r="R76" s="197" t="s">
        <v>5902</v>
      </c>
      <c r="S76" s="197"/>
      <c r="T76" s="197"/>
      <c r="U76" s="99"/>
      <c r="V76" s="197"/>
      <c r="W76" s="99"/>
      <c r="X76" s="99"/>
      <c r="Y76" s="99"/>
      <c r="Z76" s="99"/>
      <c r="AA76" s="197"/>
      <c r="AB76" s="197"/>
      <c r="AC76" s="197"/>
      <c r="AD76" s="197"/>
      <c r="AE76" s="197" t="s">
        <v>93</v>
      </c>
      <c r="AF76" s="99" t="s">
        <v>7381</v>
      </c>
      <c r="AG76" s="197" t="s">
        <v>6990</v>
      </c>
      <c r="AH76" s="197"/>
      <c r="AI76" s="459"/>
      <c r="AJ76" s="99" t="s">
        <v>7217</v>
      </c>
      <c r="AK76" s="99"/>
      <c r="AL76" s="99"/>
      <c r="AM76" s="99"/>
      <c r="AN76" s="99"/>
      <c r="AO76" s="99"/>
      <c r="AP76" s="99"/>
      <c r="AQ76" s="99"/>
      <c r="AR76" s="99" t="s">
        <v>6942</v>
      </c>
      <c r="AS76" s="99" t="s">
        <v>7026</v>
      </c>
      <c r="AT76" s="99" t="s">
        <v>3451</v>
      </c>
      <c r="AU76" s="99" t="s">
        <v>92</v>
      </c>
      <c r="AV76" s="99" t="s">
        <v>92</v>
      </c>
      <c r="AW76" s="99" t="s">
        <v>92</v>
      </c>
      <c r="AX76" s="99" t="s">
        <v>93</v>
      </c>
      <c r="AY76" s="99" t="s">
        <v>92</v>
      </c>
      <c r="AZ76" s="460" t="s">
        <v>93</v>
      </c>
      <c r="BA76" s="460"/>
      <c r="BB76" s="460" t="s">
        <v>93</v>
      </c>
      <c r="BC76" s="460" t="s">
        <v>93</v>
      </c>
      <c r="BD76" s="460" t="s">
        <v>92</v>
      </c>
      <c r="BE76" s="460"/>
      <c r="BF76" s="460" t="s">
        <v>92</v>
      </c>
      <c r="BG76" s="460"/>
      <c r="BH76" s="460"/>
      <c r="BI76" s="460"/>
      <c r="BJ76" s="460"/>
      <c r="BK76" s="460" t="s">
        <v>93</v>
      </c>
      <c r="BL76" s="460"/>
      <c r="BM76" s="213" t="s">
        <v>7382</v>
      </c>
      <c r="BN76" s="474"/>
      <c r="BO76" s="474"/>
      <c r="BP76" s="474"/>
      <c r="BQ76" s="475"/>
      <c r="BR76" s="475"/>
    </row>
    <row r="77" ht="15.75" customHeight="1">
      <c r="A77" s="197"/>
      <c r="B77" s="99" t="s">
        <v>7383</v>
      </c>
      <c r="C77" s="197">
        <v>150.0</v>
      </c>
      <c r="D77" s="99" t="s">
        <v>7384</v>
      </c>
      <c r="E77" s="99" t="s">
        <v>90</v>
      </c>
      <c r="F77" s="99" t="s">
        <v>7385</v>
      </c>
      <c r="G77" s="99"/>
      <c r="H77" s="99"/>
      <c r="I77" s="99"/>
      <c r="J77" s="99"/>
      <c r="K77" s="197" t="s">
        <v>105</v>
      </c>
      <c r="L77" s="99" t="s">
        <v>92</v>
      </c>
      <c r="M77" s="99" t="s">
        <v>93</v>
      </c>
      <c r="N77" s="99" t="s">
        <v>92</v>
      </c>
      <c r="O77" s="99" t="s">
        <v>92</v>
      </c>
      <c r="P77" s="99">
        <v>2022.0</v>
      </c>
      <c r="Q77" s="99" t="s">
        <v>96</v>
      </c>
      <c r="R77" s="197" t="s">
        <v>7262</v>
      </c>
      <c r="S77" s="197"/>
      <c r="T77" s="197"/>
      <c r="U77" s="99"/>
      <c r="V77" s="197"/>
      <c r="W77" s="197"/>
      <c r="X77" s="197"/>
      <c r="Y77" s="99"/>
      <c r="Z77" s="99"/>
      <c r="AA77" s="197"/>
      <c r="AB77" s="197"/>
      <c r="AC77" s="197"/>
      <c r="AD77" s="197"/>
      <c r="AE77" s="197" t="s">
        <v>93</v>
      </c>
      <c r="AF77" s="99" t="s">
        <v>7386</v>
      </c>
      <c r="AG77" s="197" t="s">
        <v>6941</v>
      </c>
      <c r="AH77" s="197"/>
      <c r="AI77" s="459"/>
      <c r="AJ77" s="99" t="s">
        <v>7254</v>
      </c>
      <c r="AK77" s="99"/>
      <c r="AL77" s="99"/>
      <c r="AM77" s="99"/>
      <c r="AN77" s="99"/>
      <c r="AO77" s="99"/>
      <c r="AP77" s="99"/>
      <c r="AQ77" s="99"/>
      <c r="AR77" s="99" t="s">
        <v>6942</v>
      </c>
      <c r="AS77" s="99" t="s">
        <v>6886</v>
      </c>
      <c r="AT77" s="99" t="s">
        <v>3449</v>
      </c>
      <c r="AU77" s="99" t="s">
        <v>92</v>
      </c>
      <c r="AV77" s="99" t="s">
        <v>93</v>
      </c>
      <c r="AW77" s="99" t="s">
        <v>92</v>
      </c>
      <c r="AX77" s="99" t="s">
        <v>92</v>
      </c>
      <c r="AY77" s="99" t="s">
        <v>92</v>
      </c>
      <c r="AZ77" s="460" t="s">
        <v>92</v>
      </c>
      <c r="BA77" s="460"/>
      <c r="BB77" s="460" t="s">
        <v>93</v>
      </c>
      <c r="BC77" s="460" t="s">
        <v>93</v>
      </c>
      <c r="BD77" s="460" t="s">
        <v>92</v>
      </c>
      <c r="BE77" s="460"/>
      <c r="BF77" s="460" t="s">
        <v>92</v>
      </c>
      <c r="BG77" s="460"/>
      <c r="BH77" s="460"/>
      <c r="BI77" s="460"/>
      <c r="BJ77" s="460"/>
      <c r="BK77" s="460" t="s">
        <v>93</v>
      </c>
      <c r="BL77" s="460"/>
      <c r="BM77" s="213" t="s">
        <v>7272</v>
      </c>
      <c r="BN77" s="213" t="s">
        <v>7387</v>
      </c>
      <c r="BO77" s="470"/>
      <c r="BP77" s="470"/>
      <c r="BQ77" s="99"/>
      <c r="BR77" s="99"/>
    </row>
    <row r="78" ht="15.75" customHeight="1">
      <c r="A78" s="197"/>
      <c r="B78" s="477" t="s">
        <v>7388</v>
      </c>
      <c r="C78" s="197">
        <v>9.0</v>
      </c>
      <c r="D78" s="99" t="s">
        <v>7389</v>
      </c>
      <c r="E78" s="99" t="s">
        <v>90</v>
      </c>
      <c r="F78" s="99" t="s">
        <v>7390</v>
      </c>
      <c r="G78" s="99"/>
      <c r="H78" s="99"/>
      <c r="I78" s="99" t="s">
        <v>3202</v>
      </c>
      <c r="J78" s="99"/>
      <c r="K78" s="197">
        <v>2020.0</v>
      </c>
      <c r="L78" s="99" t="s">
        <v>93</v>
      </c>
      <c r="M78" s="99" t="s">
        <v>93</v>
      </c>
      <c r="N78" s="99" t="s">
        <v>93</v>
      </c>
      <c r="O78" s="99" t="s">
        <v>93</v>
      </c>
      <c r="P78" s="99" t="s">
        <v>95</v>
      </c>
      <c r="Q78" s="99" t="s">
        <v>114</v>
      </c>
      <c r="R78" s="197" t="s">
        <v>5902</v>
      </c>
      <c r="S78" s="197"/>
      <c r="T78" s="197"/>
      <c r="U78" s="99"/>
      <c r="V78" s="99"/>
      <c r="W78" s="99"/>
      <c r="X78" s="99"/>
      <c r="Y78" s="99"/>
      <c r="Z78" s="99"/>
      <c r="AA78" s="197"/>
      <c r="AB78" s="197"/>
      <c r="AC78" s="197"/>
      <c r="AD78" s="197"/>
      <c r="AE78" s="197" t="s">
        <v>93</v>
      </c>
      <c r="AF78" s="99" t="s">
        <v>7357</v>
      </c>
      <c r="AG78" s="197" t="s">
        <v>6990</v>
      </c>
      <c r="AH78" s="197"/>
      <c r="AI78" s="459"/>
      <c r="AJ78" s="99" t="s">
        <v>6923</v>
      </c>
      <c r="AK78" s="99"/>
      <c r="AL78" s="99"/>
      <c r="AM78" s="99"/>
      <c r="AN78" s="99"/>
      <c r="AO78" s="99"/>
      <c r="AP78" s="99"/>
      <c r="AQ78" s="99"/>
      <c r="AR78" s="99" t="s">
        <v>6942</v>
      </c>
      <c r="AS78" s="99" t="s">
        <v>7026</v>
      </c>
      <c r="AT78" s="99" t="s">
        <v>3451</v>
      </c>
      <c r="AU78" s="99" t="s">
        <v>92</v>
      </c>
      <c r="AV78" s="99" t="s">
        <v>92</v>
      </c>
      <c r="AW78" s="99" t="s">
        <v>92</v>
      </c>
      <c r="AX78" s="99" t="s">
        <v>93</v>
      </c>
      <c r="AY78" s="99" t="s">
        <v>92</v>
      </c>
      <c r="AZ78" s="460" t="s">
        <v>92</v>
      </c>
      <c r="BA78" s="460"/>
      <c r="BB78" s="460" t="s">
        <v>92</v>
      </c>
      <c r="BC78" s="460" t="s">
        <v>92</v>
      </c>
      <c r="BD78" s="460" t="s">
        <v>92</v>
      </c>
      <c r="BE78" s="460"/>
      <c r="BF78" s="460" t="s">
        <v>92</v>
      </c>
      <c r="BG78" s="460"/>
      <c r="BH78" s="460"/>
      <c r="BI78" s="460"/>
      <c r="BJ78" s="460"/>
      <c r="BK78" s="460" t="s">
        <v>93</v>
      </c>
      <c r="BL78" s="460"/>
      <c r="BM78" s="213" t="s">
        <v>7358</v>
      </c>
      <c r="BN78" s="213" t="s">
        <v>7391</v>
      </c>
      <c r="BO78" s="213" t="s">
        <v>7392</v>
      </c>
      <c r="BP78" s="213" t="s">
        <v>7393</v>
      </c>
      <c r="BQ78" s="99"/>
      <c r="BR78" s="99"/>
    </row>
    <row r="79" ht="15.75" customHeight="1">
      <c r="A79" s="197"/>
      <c r="B79" s="99" t="s">
        <v>2420</v>
      </c>
      <c r="C79" s="197">
        <v>56.0</v>
      </c>
      <c r="D79" s="99" t="s">
        <v>7394</v>
      </c>
      <c r="E79" s="99" t="s">
        <v>189</v>
      </c>
      <c r="F79" s="99" t="s">
        <v>7395</v>
      </c>
      <c r="G79" s="99" t="s">
        <v>3346</v>
      </c>
      <c r="H79" s="99"/>
      <c r="I79" s="99"/>
      <c r="J79" s="99"/>
      <c r="K79" s="197">
        <v>2020.0</v>
      </c>
      <c r="L79" s="99" t="s">
        <v>93</v>
      </c>
      <c r="M79" s="99" t="s">
        <v>92</v>
      </c>
      <c r="N79" s="99" t="s">
        <v>92</v>
      </c>
      <c r="O79" s="99" t="s">
        <v>92</v>
      </c>
      <c r="P79" s="99">
        <v>2020.0</v>
      </c>
      <c r="Q79" s="99" t="s">
        <v>96</v>
      </c>
      <c r="R79" s="197" t="s">
        <v>5902</v>
      </c>
      <c r="S79" s="197"/>
      <c r="T79" s="197"/>
      <c r="U79" s="99"/>
      <c r="V79" s="197"/>
      <c r="W79" s="99"/>
      <c r="X79" s="99"/>
      <c r="Y79" s="99"/>
      <c r="Z79" s="99"/>
      <c r="AA79" s="197"/>
      <c r="AB79" s="197"/>
      <c r="AC79" s="197"/>
      <c r="AD79" s="197"/>
      <c r="AE79" s="197" t="s">
        <v>93</v>
      </c>
      <c r="AF79" s="99" t="s">
        <v>7396</v>
      </c>
      <c r="AG79" s="197" t="s">
        <v>6982</v>
      </c>
      <c r="AH79" s="197"/>
      <c r="AI79" s="459"/>
      <c r="AJ79" s="99" t="s">
        <v>7106</v>
      </c>
      <c r="AK79" s="99"/>
      <c r="AL79" s="99"/>
      <c r="AM79" s="99"/>
      <c r="AN79" s="99"/>
      <c r="AO79" s="99"/>
      <c r="AP79" s="99"/>
      <c r="AQ79" s="99"/>
      <c r="AR79" s="99" t="s">
        <v>6949</v>
      </c>
      <c r="AS79" s="99" t="s">
        <v>95</v>
      </c>
      <c r="AT79" s="99" t="s">
        <v>95</v>
      </c>
      <c r="AU79" s="99" t="s">
        <v>93</v>
      </c>
      <c r="AV79" s="99" t="s">
        <v>93</v>
      </c>
      <c r="AW79" s="99" t="s">
        <v>93</v>
      </c>
      <c r="AX79" s="99" t="s">
        <v>93</v>
      </c>
      <c r="AY79" s="99" t="s">
        <v>93</v>
      </c>
      <c r="AZ79" s="460" t="s">
        <v>93</v>
      </c>
      <c r="BA79" s="460"/>
      <c r="BB79" s="460" t="s">
        <v>92</v>
      </c>
      <c r="BC79" s="460" t="s">
        <v>92</v>
      </c>
      <c r="BD79" s="460" t="s">
        <v>92</v>
      </c>
      <c r="BE79" s="460"/>
      <c r="BF79" s="460" t="s">
        <v>92</v>
      </c>
      <c r="BG79" s="460"/>
      <c r="BH79" s="460"/>
      <c r="BI79" s="460"/>
      <c r="BJ79" s="460"/>
      <c r="BK79" s="460" t="s">
        <v>92</v>
      </c>
      <c r="BL79" s="460"/>
      <c r="BM79" s="213" t="s">
        <v>7397</v>
      </c>
      <c r="BN79" s="213" t="s">
        <v>7398</v>
      </c>
      <c r="BO79" s="213" t="s">
        <v>7399</v>
      </c>
      <c r="BP79" s="213" t="s">
        <v>7400</v>
      </c>
      <c r="BQ79" s="99"/>
      <c r="BR79" s="99"/>
    </row>
    <row r="80" ht="15.75" customHeight="1">
      <c r="A80" s="197"/>
      <c r="B80" s="478" t="s">
        <v>7401</v>
      </c>
      <c r="C80" s="197">
        <v>57.0</v>
      </c>
      <c r="D80" s="99" t="s">
        <v>7402</v>
      </c>
      <c r="E80" s="99" t="s">
        <v>110</v>
      </c>
      <c r="F80" s="99" t="s">
        <v>7403</v>
      </c>
      <c r="G80" s="99"/>
      <c r="H80" s="99"/>
      <c r="I80" s="99"/>
      <c r="J80" s="99"/>
      <c r="K80" s="197">
        <v>2020.0</v>
      </c>
      <c r="L80" s="99" t="s">
        <v>92</v>
      </c>
      <c r="M80" s="99" t="s">
        <v>93</v>
      </c>
      <c r="N80" s="99" t="s">
        <v>93</v>
      </c>
      <c r="O80" s="99" t="s">
        <v>93</v>
      </c>
      <c r="P80" s="99" t="s">
        <v>95</v>
      </c>
      <c r="Q80" s="99" t="s">
        <v>114</v>
      </c>
      <c r="R80" s="197" t="s">
        <v>7262</v>
      </c>
      <c r="S80" s="197"/>
      <c r="T80" s="197"/>
      <c r="U80" s="99"/>
      <c r="V80" s="197"/>
      <c r="W80" s="99"/>
      <c r="X80" s="99"/>
      <c r="Y80" s="99"/>
      <c r="Z80" s="99"/>
      <c r="AA80" s="197"/>
      <c r="AB80" s="197"/>
      <c r="AC80" s="197"/>
      <c r="AD80" s="197"/>
      <c r="AE80" s="197" t="s">
        <v>93</v>
      </c>
      <c r="AF80" s="99" t="s">
        <v>1204</v>
      </c>
      <c r="AG80" s="197" t="s">
        <v>6990</v>
      </c>
      <c r="AH80" s="197"/>
      <c r="AI80" s="459"/>
      <c r="AJ80" s="99" t="s">
        <v>7106</v>
      </c>
      <c r="AK80" s="99"/>
      <c r="AL80" s="99"/>
      <c r="AM80" s="99"/>
      <c r="AN80" s="99"/>
      <c r="AO80" s="99"/>
      <c r="AP80" s="99"/>
      <c r="AQ80" s="99"/>
      <c r="AR80" s="99" t="s">
        <v>6942</v>
      </c>
      <c r="AS80" s="99" t="s">
        <v>7404</v>
      </c>
      <c r="AT80" s="99" t="s">
        <v>6974</v>
      </c>
      <c r="AU80" s="99" t="s">
        <v>92</v>
      </c>
      <c r="AV80" s="99" t="s">
        <v>92</v>
      </c>
      <c r="AW80" s="99" t="s">
        <v>92</v>
      </c>
      <c r="AX80" s="99" t="s">
        <v>93</v>
      </c>
      <c r="AY80" s="99" t="s">
        <v>93</v>
      </c>
      <c r="AZ80" s="460" t="s">
        <v>93</v>
      </c>
      <c r="BA80" s="460"/>
      <c r="BB80" s="460" t="s">
        <v>92</v>
      </c>
      <c r="BC80" s="460" t="s">
        <v>92</v>
      </c>
      <c r="BD80" s="460" t="s">
        <v>92</v>
      </c>
      <c r="BE80" s="460"/>
      <c r="BF80" s="460" t="s">
        <v>92</v>
      </c>
      <c r="BG80" s="460"/>
      <c r="BH80" s="460"/>
      <c r="BI80" s="460"/>
      <c r="BJ80" s="460"/>
      <c r="BK80" s="460" t="s">
        <v>93</v>
      </c>
      <c r="BL80" s="460"/>
      <c r="BM80" s="213" t="s">
        <v>7405</v>
      </c>
      <c r="BN80" s="472" t="s">
        <v>7406</v>
      </c>
      <c r="BO80" s="476"/>
      <c r="BP80" s="476"/>
      <c r="BQ80" s="456"/>
      <c r="BR80" s="456"/>
    </row>
    <row r="81" ht="15.75" customHeight="1">
      <c r="A81" s="197"/>
      <c r="B81" s="99" t="s">
        <v>7407</v>
      </c>
      <c r="C81" s="197">
        <v>59.0</v>
      </c>
      <c r="D81" s="99" t="s">
        <v>7408</v>
      </c>
      <c r="E81" s="99" t="s">
        <v>189</v>
      </c>
      <c r="F81" s="99" t="s">
        <v>7409</v>
      </c>
      <c r="G81" s="99" t="s">
        <v>3346</v>
      </c>
      <c r="H81" s="99"/>
      <c r="I81" s="99"/>
      <c r="J81" s="99"/>
      <c r="K81" s="197">
        <v>2020.0</v>
      </c>
      <c r="L81" s="99" t="s">
        <v>93</v>
      </c>
      <c r="M81" s="99" t="s">
        <v>93</v>
      </c>
      <c r="N81" s="99" t="s">
        <v>93</v>
      </c>
      <c r="O81" s="99" t="s">
        <v>92</v>
      </c>
      <c r="P81" s="99">
        <v>2021.0</v>
      </c>
      <c r="Q81" s="99" t="s">
        <v>96</v>
      </c>
      <c r="R81" s="475" t="s">
        <v>7262</v>
      </c>
      <c r="S81" s="197"/>
      <c r="T81" s="197"/>
      <c r="U81" s="99"/>
      <c r="V81" s="475"/>
      <c r="W81" s="99"/>
      <c r="X81" s="99"/>
      <c r="Y81" s="99"/>
      <c r="Z81" s="99"/>
      <c r="AA81" s="197"/>
      <c r="AB81" s="197"/>
      <c r="AC81" s="197"/>
      <c r="AD81" s="197"/>
      <c r="AE81" s="197" t="s">
        <v>93</v>
      </c>
      <c r="AF81" s="99" t="s">
        <v>7410</v>
      </c>
      <c r="AG81" s="197" t="s">
        <v>6982</v>
      </c>
      <c r="AH81" s="197"/>
      <c r="AI81" s="459"/>
      <c r="AJ81" s="99" t="s">
        <v>7106</v>
      </c>
      <c r="AK81" s="99"/>
      <c r="AL81" s="99"/>
      <c r="AM81" s="99"/>
      <c r="AN81" s="99"/>
      <c r="AO81" s="99"/>
      <c r="AP81" s="99"/>
      <c r="AQ81" s="99"/>
      <c r="AR81" s="99" t="s">
        <v>6942</v>
      </c>
      <c r="AS81" s="99" t="s">
        <v>3520</v>
      </c>
      <c r="AT81" s="99" t="s">
        <v>3451</v>
      </c>
      <c r="AU81" s="99" t="s">
        <v>92</v>
      </c>
      <c r="AV81" s="99" t="s">
        <v>92</v>
      </c>
      <c r="AW81" s="99" t="s">
        <v>92</v>
      </c>
      <c r="AX81" s="99" t="s">
        <v>93</v>
      </c>
      <c r="AY81" s="99" t="s">
        <v>92</v>
      </c>
      <c r="AZ81" s="460" t="s">
        <v>93</v>
      </c>
      <c r="BA81" s="460"/>
      <c r="BB81" s="460" t="s">
        <v>92</v>
      </c>
      <c r="BC81" s="460" t="s">
        <v>92</v>
      </c>
      <c r="BD81" s="460" t="s">
        <v>92</v>
      </c>
      <c r="BE81" s="460"/>
      <c r="BF81" s="460" t="s">
        <v>92</v>
      </c>
      <c r="BG81" s="460"/>
      <c r="BH81" s="460"/>
      <c r="BI81" s="460"/>
      <c r="BJ81" s="460"/>
      <c r="BK81" s="460" t="s">
        <v>93</v>
      </c>
      <c r="BL81" s="460"/>
      <c r="BM81" s="213" t="s">
        <v>7411</v>
      </c>
      <c r="BN81" s="213" t="s">
        <v>7412</v>
      </c>
      <c r="BO81" s="213" t="s">
        <v>7413</v>
      </c>
      <c r="BP81" s="213" t="s">
        <v>7414</v>
      </c>
      <c r="BQ81" s="99"/>
      <c r="BR81" s="99"/>
    </row>
    <row r="82" ht="15.75" customHeight="1">
      <c r="A82" s="197"/>
      <c r="B82" s="99" t="s">
        <v>7415</v>
      </c>
      <c r="C82" s="197">
        <v>63.0</v>
      </c>
      <c r="D82" s="99" t="s">
        <v>7137</v>
      </c>
      <c r="E82" s="99" t="s">
        <v>189</v>
      </c>
      <c r="F82" s="99" t="s">
        <v>7416</v>
      </c>
      <c r="G82" s="99" t="s">
        <v>3346</v>
      </c>
      <c r="H82" s="99"/>
      <c r="I82" s="99"/>
      <c r="J82" s="99"/>
      <c r="K82" s="197">
        <v>2021.0</v>
      </c>
      <c r="L82" s="99" t="s">
        <v>92</v>
      </c>
      <c r="M82" s="99" t="s">
        <v>93</v>
      </c>
      <c r="N82" s="99" t="s">
        <v>92</v>
      </c>
      <c r="O82" s="99" t="s">
        <v>92</v>
      </c>
      <c r="P82" s="99">
        <v>2021.0</v>
      </c>
      <c r="Q82" s="99" t="s">
        <v>96</v>
      </c>
      <c r="R82" s="197" t="s">
        <v>7262</v>
      </c>
      <c r="S82" s="197"/>
      <c r="T82" s="197"/>
      <c r="U82" s="99"/>
      <c r="V82" s="197"/>
      <c r="W82" s="99"/>
      <c r="X82" s="99"/>
      <c r="Y82" s="99"/>
      <c r="Z82" s="99"/>
      <c r="AA82" s="197"/>
      <c r="AB82" s="197"/>
      <c r="AC82" s="197"/>
      <c r="AD82" s="197"/>
      <c r="AE82" s="197" t="s">
        <v>93</v>
      </c>
      <c r="AF82" s="99" t="s">
        <v>7417</v>
      </c>
      <c r="AG82" s="197" t="s">
        <v>6990</v>
      </c>
      <c r="AH82" s="197"/>
      <c r="AI82" s="459"/>
      <c r="AJ82" s="99" t="s">
        <v>7106</v>
      </c>
      <c r="AK82" s="99"/>
      <c r="AL82" s="99"/>
      <c r="AM82" s="99"/>
      <c r="AN82" s="99"/>
      <c r="AO82" s="99"/>
      <c r="AP82" s="99"/>
      <c r="AQ82" s="99"/>
      <c r="AR82" s="99" t="s">
        <v>6942</v>
      </c>
      <c r="AS82" s="99" t="s">
        <v>3520</v>
      </c>
      <c r="AT82" s="99" t="s">
        <v>3451</v>
      </c>
      <c r="AU82" s="99" t="s">
        <v>92</v>
      </c>
      <c r="AV82" s="99" t="s">
        <v>92</v>
      </c>
      <c r="AW82" s="99" t="s">
        <v>92</v>
      </c>
      <c r="AX82" s="99" t="s">
        <v>93</v>
      </c>
      <c r="AY82" s="99" t="s">
        <v>92</v>
      </c>
      <c r="AZ82" s="460" t="s">
        <v>93</v>
      </c>
      <c r="BA82" s="460"/>
      <c r="BB82" s="460" t="s">
        <v>92</v>
      </c>
      <c r="BC82" s="460" t="s">
        <v>92</v>
      </c>
      <c r="BD82" s="460" t="s">
        <v>92</v>
      </c>
      <c r="BE82" s="460"/>
      <c r="BF82" s="460" t="s">
        <v>92</v>
      </c>
      <c r="BG82" s="460"/>
      <c r="BH82" s="460"/>
      <c r="BI82" s="460"/>
      <c r="BJ82" s="460"/>
      <c r="BK82" s="460" t="s">
        <v>92</v>
      </c>
      <c r="BL82" s="460"/>
      <c r="BM82" s="213" t="s">
        <v>7418</v>
      </c>
      <c r="BN82" s="476"/>
      <c r="BO82" s="476"/>
      <c r="BP82" s="476"/>
      <c r="BQ82" s="456"/>
      <c r="BR82" s="456"/>
    </row>
    <row r="83" ht="15.75" customHeight="1">
      <c r="A83" s="197"/>
      <c r="B83" s="99" t="s">
        <v>7419</v>
      </c>
      <c r="C83" s="197">
        <v>64.0</v>
      </c>
      <c r="D83" s="99" t="s">
        <v>7420</v>
      </c>
      <c r="E83" s="99" t="s">
        <v>189</v>
      </c>
      <c r="F83" s="99" t="s">
        <v>7421</v>
      </c>
      <c r="G83" s="99" t="s">
        <v>3346</v>
      </c>
      <c r="H83" s="99"/>
      <c r="I83" s="99"/>
      <c r="J83" s="99"/>
      <c r="K83" s="197">
        <v>2020.0</v>
      </c>
      <c r="L83" s="99" t="s">
        <v>93</v>
      </c>
      <c r="M83" s="99" t="s">
        <v>93</v>
      </c>
      <c r="N83" s="99" t="s">
        <v>92</v>
      </c>
      <c r="O83" s="99" t="s">
        <v>92</v>
      </c>
      <c r="P83" s="99">
        <v>2021.0</v>
      </c>
      <c r="Q83" s="99" t="s">
        <v>96</v>
      </c>
      <c r="R83" s="197" t="s">
        <v>6990</v>
      </c>
      <c r="S83" s="197"/>
      <c r="T83" s="197"/>
      <c r="U83" s="99"/>
      <c r="V83" s="197"/>
      <c r="W83" s="99"/>
      <c r="X83" s="99"/>
      <c r="Y83" s="99"/>
      <c r="Z83" s="99"/>
      <c r="AA83" s="197"/>
      <c r="AB83" s="197"/>
      <c r="AC83" s="197"/>
      <c r="AD83" s="197"/>
      <c r="AE83" s="197" t="s">
        <v>93</v>
      </c>
      <c r="AF83" s="99" t="s">
        <v>7422</v>
      </c>
      <c r="AG83" s="197" t="s">
        <v>6990</v>
      </c>
      <c r="AH83" s="197"/>
      <c r="AI83" s="459"/>
      <c r="AJ83" s="99" t="s">
        <v>7106</v>
      </c>
      <c r="AK83" s="99"/>
      <c r="AL83" s="99"/>
      <c r="AM83" s="99"/>
      <c r="AN83" s="99"/>
      <c r="AO83" s="99"/>
      <c r="AP83" s="99"/>
      <c r="AQ83" s="99"/>
      <c r="AR83" s="99" t="s">
        <v>6942</v>
      </c>
      <c r="AS83" s="99" t="s">
        <v>7423</v>
      </c>
      <c r="AT83" s="99" t="s">
        <v>7424</v>
      </c>
      <c r="AU83" s="99" t="s">
        <v>93</v>
      </c>
      <c r="AV83" s="99" t="s">
        <v>93</v>
      </c>
      <c r="AW83" s="99" t="s">
        <v>93</v>
      </c>
      <c r="AX83" s="99" t="s">
        <v>93</v>
      </c>
      <c r="AY83" s="99" t="s">
        <v>92</v>
      </c>
      <c r="AZ83" s="460" t="s">
        <v>93</v>
      </c>
      <c r="BA83" s="460"/>
      <c r="BB83" s="460" t="s">
        <v>92</v>
      </c>
      <c r="BC83" s="460" t="s">
        <v>92</v>
      </c>
      <c r="BD83" s="460" t="s">
        <v>92</v>
      </c>
      <c r="BE83" s="460"/>
      <c r="BF83" s="460" t="s">
        <v>92</v>
      </c>
      <c r="BG83" s="460"/>
      <c r="BH83" s="460"/>
      <c r="BI83" s="460"/>
      <c r="BJ83" s="460"/>
      <c r="BK83" s="460" t="s">
        <v>93</v>
      </c>
      <c r="BL83" s="460"/>
      <c r="BM83" s="213" t="s">
        <v>7425</v>
      </c>
      <c r="BN83" s="213" t="s">
        <v>7426</v>
      </c>
      <c r="BO83" s="213" t="s">
        <v>7427</v>
      </c>
      <c r="BP83" s="470"/>
      <c r="BQ83" s="99"/>
      <c r="BR83" s="99"/>
    </row>
    <row r="84" ht="15.75" customHeight="1">
      <c r="A84" s="197"/>
      <c r="B84" s="479" t="s">
        <v>7428</v>
      </c>
      <c r="C84" s="197">
        <v>67.0</v>
      </c>
      <c r="D84" s="99" t="s">
        <v>7429</v>
      </c>
      <c r="E84" s="99" t="s">
        <v>189</v>
      </c>
      <c r="F84" s="99" t="s">
        <v>7430</v>
      </c>
      <c r="G84" s="99" t="s">
        <v>3346</v>
      </c>
      <c r="H84" s="99"/>
      <c r="I84" s="99"/>
      <c r="J84" s="99"/>
      <c r="K84" s="197">
        <v>2020.0</v>
      </c>
      <c r="L84" s="99" t="s">
        <v>93</v>
      </c>
      <c r="M84" s="99" t="s">
        <v>92</v>
      </c>
      <c r="N84" s="99" t="s">
        <v>92</v>
      </c>
      <c r="O84" s="99" t="s">
        <v>92</v>
      </c>
      <c r="P84" s="99">
        <v>2020.0</v>
      </c>
      <c r="Q84" s="99" t="s">
        <v>96</v>
      </c>
      <c r="R84" s="197" t="s">
        <v>5902</v>
      </c>
      <c r="S84" s="197"/>
      <c r="T84" s="197"/>
      <c r="U84" s="99"/>
      <c r="V84" s="197"/>
      <c r="W84" s="99"/>
      <c r="X84" s="99"/>
      <c r="Y84" s="99"/>
      <c r="Z84" s="99"/>
      <c r="AA84" s="197"/>
      <c r="AB84" s="197"/>
      <c r="AC84" s="197"/>
      <c r="AD84" s="197"/>
      <c r="AE84" s="197" t="s">
        <v>92</v>
      </c>
      <c r="AF84" s="99" t="s">
        <v>7431</v>
      </c>
      <c r="AG84" s="197" t="s">
        <v>6982</v>
      </c>
      <c r="AH84" s="197"/>
      <c r="AI84" s="459"/>
      <c r="AJ84" s="99" t="s">
        <v>7106</v>
      </c>
      <c r="AK84" s="99"/>
      <c r="AL84" s="99"/>
      <c r="AM84" s="99"/>
      <c r="AN84" s="99"/>
      <c r="AO84" s="99"/>
      <c r="AP84" s="99"/>
      <c r="AQ84" s="99"/>
      <c r="AR84" s="99" t="s">
        <v>6942</v>
      </c>
      <c r="AS84" s="99" t="s">
        <v>7432</v>
      </c>
      <c r="AT84" s="99" t="s">
        <v>7433</v>
      </c>
      <c r="AU84" s="99" t="s">
        <v>93</v>
      </c>
      <c r="AV84" s="99" t="s">
        <v>93</v>
      </c>
      <c r="AW84" s="99" t="s">
        <v>92</v>
      </c>
      <c r="AX84" s="99" t="s">
        <v>92</v>
      </c>
      <c r="AY84" s="99" t="s">
        <v>93</v>
      </c>
      <c r="AZ84" s="460" t="s">
        <v>93</v>
      </c>
      <c r="BA84" s="460"/>
      <c r="BB84" s="460" t="s">
        <v>92</v>
      </c>
      <c r="BC84" s="460" t="s">
        <v>92</v>
      </c>
      <c r="BD84" s="460" t="s">
        <v>92</v>
      </c>
      <c r="BE84" s="460"/>
      <c r="BF84" s="460" t="s">
        <v>92</v>
      </c>
      <c r="BG84" s="460"/>
      <c r="BH84" s="460"/>
      <c r="BI84" s="460"/>
      <c r="BJ84" s="460"/>
      <c r="BK84" s="460" t="s">
        <v>92</v>
      </c>
      <c r="BL84" s="460"/>
      <c r="BM84" s="213" t="s">
        <v>7434</v>
      </c>
      <c r="BN84" s="213" t="s">
        <v>7435</v>
      </c>
      <c r="BO84" s="470"/>
      <c r="BP84" s="470"/>
      <c r="BQ84" s="99"/>
      <c r="BR84" s="99"/>
    </row>
    <row r="85" ht="15.75" customHeight="1">
      <c r="A85" s="197"/>
      <c r="B85" s="99" t="s">
        <v>7436</v>
      </c>
      <c r="C85" s="197">
        <v>82.0</v>
      </c>
      <c r="D85" s="99" t="s">
        <v>7437</v>
      </c>
      <c r="E85" s="99" t="s">
        <v>90</v>
      </c>
      <c r="F85" s="99" t="s">
        <v>7438</v>
      </c>
      <c r="G85" s="99"/>
      <c r="H85" s="99"/>
      <c r="I85" s="99"/>
      <c r="J85" s="99"/>
      <c r="K85" s="197">
        <v>2017.0</v>
      </c>
      <c r="L85" s="99" t="s">
        <v>93</v>
      </c>
      <c r="M85" s="99" t="s">
        <v>92</v>
      </c>
      <c r="N85" s="99" t="s">
        <v>93</v>
      </c>
      <c r="O85" s="99" t="s">
        <v>93</v>
      </c>
      <c r="P85" s="99" t="s">
        <v>95</v>
      </c>
      <c r="Q85" s="99" t="s">
        <v>114</v>
      </c>
      <c r="R85" s="197" t="s">
        <v>7262</v>
      </c>
      <c r="S85" s="197"/>
      <c r="T85" s="197"/>
      <c r="U85" s="99"/>
      <c r="V85" s="197"/>
      <c r="W85" s="99"/>
      <c r="X85" s="99"/>
      <c r="Y85" s="99"/>
      <c r="Z85" s="99"/>
      <c r="AA85" s="197"/>
      <c r="AB85" s="197"/>
      <c r="AC85" s="197"/>
      <c r="AD85" s="197"/>
      <c r="AE85" s="197" t="s">
        <v>93</v>
      </c>
      <c r="AF85" s="99" t="s">
        <v>7439</v>
      </c>
      <c r="AG85" s="197" t="s">
        <v>6990</v>
      </c>
      <c r="AH85" s="197"/>
      <c r="AI85" s="459"/>
      <c r="AJ85" s="99" t="s">
        <v>7440</v>
      </c>
      <c r="AK85" s="99"/>
      <c r="AL85" s="99"/>
      <c r="AM85" s="99"/>
      <c r="AN85" s="99"/>
      <c r="AO85" s="99"/>
      <c r="AP85" s="99"/>
      <c r="AQ85" s="99"/>
      <c r="AR85" s="99" t="s">
        <v>6942</v>
      </c>
      <c r="AS85" s="99" t="s">
        <v>6886</v>
      </c>
      <c r="AT85" s="99" t="s">
        <v>3449</v>
      </c>
      <c r="AU85" s="99" t="s">
        <v>92</v>
      </c>
      <c r="AV85" s="99" t="s">
        <v>93</v>
      </c>
      <c r="AW85" s="99" t="s">
        <v>92</v>
      </c>
      <c r="AX85" s="99" t="s">
        <v>92</v>
      </c>
      <c r="AY85" s="99" t="s">
        <v>92</v>
      </c>
      <c r="AZ85" s="460" t="s">
        <v>92</v>
      </c>
      <c r="BA85" s="460"/>
      <c r="BB85" s="460" t="s">
        <v>93</v>
      </c>
      <c r="BC85" s="460" t="s">
        <v>93</v>
      </c>
      <c r="BD85" s="460" t="s">
        <v>92</v>
      </c>
      <c r="BE85" s="460"/>
      <c r="BF85" s="460" t="s">
        <v>92</v>
      </c>
      <c r="BG85" s="460"/>
      <c r="BH85" s="460"/>
      <c r="BI85" s="460"/>
      <c r="BJ85" s="460"/>
      <c r="BK85" s="460" t="s">
        <v>93</v>
      </c>
      <c r="BL85" s="460"/>
      <c r="BM85" s="213" t="s">
        <v>7441</v>
      </c>
      <c r="BN85" s="213" t="s">
        <v>7442</v>
      </c>
      <c r="BO85" s="213" t="s">
        <v>7443</v>
      </c>
      <c r="BP85" s="470"/>
      <c r="BQ85" s="99"/>
      <c r="BR85" s="99"/>
    </row>
    <row r="86" ht="15.75" customHeight="1">
      <c r="A86" s="197"/>
      <c r="B86" s="99" t="s">
        <v>7444</v>
      </c>
      <c r="C86" s="197">
        <v>91.0</v>
      </c>
      <c r="D86" s="480" t="s">
        <v>7445</v>
      </c>
      <c r="E86" s="99" t="s">
        <v>90</v>
      </c>
      <c r="F86" s="99" t="s">
        <v>7446</v>
      </c>
      <c r="G86" s="99"/>
      <c r="H86" s="99"/>
      <c r="I86" s="99"/>
      <c r="J86" s="99"/>
      <c r="K86" s="197">
        <v>2020.0</v>
      </c>
      <c r="L86" s="99" t="s">
        <v>93</v>
      </c>
      <c r="M86" s="99" t="s">
        <v>93</v>
      </c>
      <c r="N86" s="99" t="s">
        <v>92</v>
      </c>
      <c r="O86" s="99" t="s">
        <v>92</v>
      </c>
      <c r="P86" s="99">
        <v>2022.0</v>
      </c>
      <c r="Q86" s="99" t="s">
        <v>96</v>
      </c>
      <c r="R86" s="197" t="s">
        <v>7262</v>
      </c>
      <c r="S86" s="197"/>
      <c r="T86" s="197"/>
      <c r="U86" s="99"/>
      <c r="V86" s="197"/>
      <c r="W86" s="99"/>
      <c r="X86" s="99"/>
      <c r="Y86" s="99"/>
      <c r="Z86" s="99"/>
      <c r="AA86" s="197"/>
      <c r="AB86" s="197"/>
      <c r="AC86" s="197"/>
      <c r="AD86" s="197"/>
      <c r="AE86" s="197" t="s">
        <v>93</v>
      </c>
      <c r="AF86" s="99" t="s">
        <v>7447</v>
      </c>
      <c r="AG86" s="197" t="s">
        <v>7448</v>
      </c>
      <c r="AH86" s="197"/>
      <c r="AI86" s="459"/>
      <c r="AJ86" s="99" t="s">
        <v>7127</v>
      </c>
      <c r="AK86" s="99"/>
      <c r="AL86" s="99"/>
      <c r="AM86" s="99"/>
      <c r="AN86" s="99"/>
      <c r="AO86" s="99"/>
      <c r="AP86" s="99"/>
      <c r="AQ86" s="99"/>
      <c r="AR86" s="99" t="s">
        <v>6949</v>
      </c>
      <c r="AS86" s="99" t="s">
        <v>95</v>
      </c>
      <c r="AT86" s="99" t="s">
        <v>95</v>
      </c>
      <c r="AU86" s="99" t="s">
        <v>93</v>
      </c>
      <c r="AV86" s="99" t="s">
        <v>93</v>
      </c>
      <c r="AW86" s="99" t="s">
        <v>93</v>
      </c>
      <c r="AX86" s="99" t="s">
        <v>93</v>
      </c>
      <c r="AY86" s="99" t="s">
        <v>93</v>
      </c>
      <c r="AZ86" s="460" t="s">
        <v>92</v>
      </c>
      <c r="BA86" s="460"/>
      <c r="BB86" s="460" t="s">
        <v>92</v>
      </c>
      <c r="BC86" s="460" t="s">
        <v>92</v>
      </c>
      <c r="BD86" s="460" t="s">
        <v>92</v>
      </c>
      <c r="BE86" s="460"/>
      <c r="BF86" s="460" t="s">
        <v>92</v>
      </c>
      <c r="BG86" s="460"/>
      <c r="BH86" s="460"/>
      <c r="BI86" s="460"/>
      <c r="BJ86" s="460"/>
      <c r="BK86" s="460" t="s">
        <v>93</v>
      </c>
      <c r="BL86" s="460"/>
      <c r="BM86" s="213" t="s">
        <v>7441</v>
      </c>
      <c r="BN86" s="213" t="s">
        <v>7449</v>
      </c>
      <c r="BO86" s="213" t="s">
        <v>7450</v>
      </c>
      <c r="BP86" s="213" t="s">
        <v>7451</v>
      </c>
      <c r="BQ86" s="99"/>
      <c r="BR86" s="99"/>
    </row>
    <row r="87" ht="15.75" customHeight="1">
      <c r="A87" s="197"/>
      <c r="B87" s="99" t="s">
        <v>7452</v>
      </c>
      <c r="C87" s="197">
        <v>110.0</v>
      </c>
      <c r="D87" s="480" t="s">
        <v>7453</v>
      </c>
      <c r="E87" s="99" t="s">
        <v>110</v>
      </c>
      <c r="F87" s="99" t="s">
        <v>7454</v>
      </c>
      <c r="G87" s="99"/>
      <c r="H87" s="99"/>
      <c r="I87" s="99"/>
      <c r="J87" s="99"/>
      <c r="K87" s="197" t="s">
        <v>105</v>
      </c>
      <c r="L87" s="99" t="s">
        <v>92</v>
      </c>
      <c r="M87" s="99" t="s">
        <v>93</v>
      </c>
      <c r="N87" s="99" t="s">
        <v>92</v>
      </c>
      <c r="O87" s="99" t="s">
        <v>92</v>
      </c>
      <c r="P87" s="99" t="s">
        <v>95</v>
      </c>
      <c r="Q87" s="99" t="s">
        <v>114</v>
      </c>
      <c r="R87" s="197" t="s">
        <v>7262</v>
      </c>
      <c r="S87" s="197"/>
      <c r="T87" s="197"/>
      <c r="U87" s="99"/>
      <c r="V87" s="197"/>
      <c r="W87" s="197"/>
      <c r="X87" s="99"/>
      <c r="Y87" s="99"/>
      <c r="Z87" s="99"/>
      <c r="AA87" s="197"/>
      <c r="AB87" s="197"/>
      <c r="AC87" s="197"/>
      <c r="AD87" s="197"/>
      <c r="AE87" s="197" t="s">
        <v>92</v>
      </c>
      <c r="AF87" s="479" t="s">
        <v>7455</v>
      </c>
      <c r="AG87" s="197" t="s">
        <v>6990</v>
      </c>
      <c r="AH87" s="197"/>
      <c r="AI87" s="459"/>
      <c r="AJ87" s="99" t="s">
        <v>7254</v>
      </c>
      <c r="AK87" s="99"/>
      <c r="AL87" s="99"/>
      <c r="AM87" s="99"/>
      <c r="AN87" s="99"/>
      <c r="AO87" s="99"/>
      <c r="AP87" s="99"/>
      <c r="AQ87" s="99"/>
      <c r="AR87" s="99" t="s">
        <v>6942</v>
      </c>
      <c r="AS87" s="99" t="s">
        <v>7456</v>
      </c>
      <c r="AT87" s="479" t="s">
        <v>7457</v>
      </c>
      <c r="AU87" s="99" t="s">
        <v>92</v>
      </c>
      <c r="AV87" s="99" t="s">
        <v>93</v>
      </c>
      <c r="AW87" s="99" t="s">
        <v>93</v>
      </c>
      <c r="AX87" s="99" t="s">
        <v>93</v>
      </c>
      <c r="AY87" s="99" t="s">
        <v>93</v>
      </c>
      <c r="AZ87" s="460" t="s">
        <v>92</v>
      </c>
      <c r="BA87" s="460"/>
      <c r="BB87" s="460" t="s">
        <v>92</v>
      </c>
      <c r="BC87" s="460" t="s">
        <v>92</v>
      </c>
      <c r="BD87" s="460" t="s">
        <v>92</v>
      </c>
      <c r="BE87" s="460"/>
      <c r="BF87" s="460" t="s">
        <v>92</v>
      </c>
      <c r="BG87" s="460"/>
      <c r="BH87" s="460"/>
      <c r="BI87" s="460"/>
      <c r="BJ87" s="460"/>
      <c r="BK87" s="460" t="s">
        <v>93</v>
      </c>
      <c r="BL87" s="460"/>
      <c r="BM87" s="473" t="s">
        <v>7441</v>
      </c>
      <c r="BN87" s="473" t="s">
        <v>7458</v>
      </c>
      <c r="BO87" s="473" t="s">
        <v>7459</v>
      </c>
      <c r="BP87" s="213" t="s">
        <v>7460</v>
      </c>
      <c r="BQ87" s="99"/>
      <c r="BR87" s="99"/>
    </row>
    <row r="88" ht="15.75" customHeight="1">
      <c r="A88" s="197"/>
      <c r="B88" s="99" t="s">
        <v>7452</v>
      </c>
      <c r="C88" s="197">
        <v>116.0</v>
      </c>
      <c r="D88" s="480" t="s">
        <v>7461</v>
      </c>
      <c r="E88" s="99" t="s">
        <v>90</v>
      </c>
      <c r="F88" s="99" t="s">
        <v>7462</v>
      </c>
      <c r="G88" s="99"/>
      <c r="H88" s="99"/>
      <c r="I88" s="99"/>
      <c r="J88" s="99"/>
      <c r="K88" s="197">
        <v>2019.0</v>
      </c>
      <c r="L88" s="99" t="s">
        <v>92</v>
      </c>
      <c r="M88" s="99" t="s">
        <v>93</v>
      </c>
      <c r="N88" s="99" t="s">
        <v>92</v>
      </c>
      <c r="O88" s="99" t="s">
        <v>92</v>
      </c>
      <c r="P88" s="99" t="s">
        <v>95</v>
      </c>
      <c r="Q88" s="99" t="s">
        <v>114</v>
      </c>
      <c r="R88" s="197" t="s">
        <v>7262</v>
      </c>
      <c r="S88" s="197"/>
      <c r="T88" s="197"/>
      <c r="U88" s="99"/>
      <c r="V88" s="197"/>
      <c r="W88" s="197"/>
      <c r="X88" s="99"/>
      <c r="Y88" s="99"/>
      <c r="Z88" s="99"/>
      <c r="AA88" s="197"/>
      <c r="AB88" s="197"/>
      <c r="AC88" s="197"/>
      <c r="AD88" s="197"/>
      <c r="AE88" s="197" t="s">
        <v>92</v>
      </c>
      <c r="AF88" s="479" t="s">
        <v>7463</v>
      </c>
      <c r="AG88" s="197" t="s">
        <v>6990</v>
      </c>
      <c r="AH88" s="197"/>
      <c r="AI88" s="459"/>
      <c r="AJ88" s="99" t="s">
        <v>6923</v>
      </c>
      <c r="AK88" s="99"/>
      <c r="AL88" s="99"/>
      <c r="AM88" s="99"/>
      <c r="AN88" s="99"/>
      <c r="AO88" s="99"/>
      <c r="AP88" s="99"/>
      <c r="AQ88" s="99"/>
      <c r="AR88" s="99" t="s">
        <v>6942</v>
      </c>
      <c r="AS88" s="99" t="s">
        <v>3520</v>
      </c>
      <c r="AT88" s="479" t="s">
        <v>3451</v>
      </c>
      <c r="AU88" s="99" t="s">
        <v>92</v>
      </c>
      <c r="AV88" s="99" t="s">
        <v>92</v>
      </c>
      <c r="AW88" s="99" t="s">
        <v>92</v>
      </c>
      <c r="AX88" s="99" t="s">
        <v>93</v>
      </c>
      <c r="AY88" s="99" t="s">
        <v>92</v>
      </c>
      <c r="AZ88" s="460" t="s">
        <v>92</v>
      </c>
      <c r="BA88" s="460"/>
      <c r="BB88" s="460" t="s">
        <v>93</v>
      </c>
      <c r="BC88" s="460" t="s">
        <v>92</v>
      </c>
      <c r="BD88" s="460" t="s">
        <v>92</v>
      </c>
      <c r="BE88" s="460"/>
      <c r="BF88" s="460" t="s">
        <v>92</v>
      </c>
      <c r="BG88" s="460"/>
      <c r="BH88" s="460"/>
      <c r="BI88" s="460"/>
      <c r="BJ88" s="460"/>
      <c r="BK88" s="460" t="s">
        <v>93</v>
      </c>
      <c r="BL88" s="460"/>
      <c r="BM88" s="473" t="s">
        <v>7441</v>
      </c>
      <c r="BN88" s="473" t="s">
        <v>7464</v>
      </c>
      <c r="BO88" s="473" t="s">
        <v>7465</v>
      </c>
      <c r="BP88" s="470"/>
      <c r="BQ88" s="99"/>
      <c r="BR88" s="99"/>
    </row>
    <row r="89" ht="15.75" customHeight="1">
      <c r="A89" s="197"/>
      <c r="B89" s="99" t="s">
        <v>7466</v>
      </c>
      <c r="C89" s="197">
        <v>117.0</v>
      </c>
      <c r="D89" s="99" t="s">
        <v>7467</v>
      </c>
      <c r="E89" s="99" t="s">
        <v>90</v>
      </c>
      <c r="F89" s="99" t="s">
        <v>7468</v>
      </c>
      <c r="G89" s="99"/>
      <c r="H89" s="99"/>
      <c r="I89" s="99"/>
      <c r="J89" s="99"/>
      <c r="K89" s="197">
        <v>2017.0</v>
      </c>
      <c r="L89" s="99" t="s">
        <v>92</v>
      </c>
      <c r="M89" s="99" t="s">
        <v>92</v>
      </c>
      <c r="N89" s="99" t="s">
        <v>93</v>
      </c>
      <c r="O89" s="99" t="s">
        <v>92</v>
      </c>
      <c r="P89" s="99" t="s">
        <v>95</v>
      </c>
      <c r="Q89" s="99" t="s">
        <v>114</v>
      </c>
      <c r="R89" s="197" t="s">
        <v>7262</v>
      </c>
      <c r="S89" s="197"/>
      <c r="T89" s="197"/>
      <c r="U89" s="99"/>
      <c r="V89" s="197"/>
      <c r="W89" s="197"/>
      <c r="X89" s="99"/>
      <c r="Y89" s="99"/>
      <c r="Z89" s="99"/>
      <c r="AA89" s="197"/>
      <c r="AB89" s="197"/>
      <c r="AC89" s="197"/>
      <c r="AD89" s="197"/>
      <c r="AE89" s="197" t="s">
        <v>93</v>
      </c>
      <c r="AF89" s="99" t="s">
        <v>7467</v>
      </c>
      <c r="AG89" s="197" t="s">
        <v>6990</v>
      </c>
      <c r="AH89" s="197"/>
      <c r="AI89" s="459"/>
      <c r="AJ89" s="99" t="s">
        <v>7348</v>
      </c>
      <c r="AK89" s="99"/>
      <c r="AL89" s="99"/>
      <c r="AM89" s="99"/>
      <c r="AN89" s="99"/>
      <c r="AO89" s="99"/>
      <c r="AP89" s="99"/>
      <c r="AQ89" s="99"/>
      <c r="AR89" s="99" t="s">
        <v>6972</v>
      </c>
      <c r="AS89" s="99" t="s">
        <v>3509</v>
      </c>
      <c r="AT89" s="99" t="s">
        <v>3452</v>
      </c>
      <c r="AU89" s="99" t="s">
        <v>92</v>
      </c>
      <c r="AV89" s="99" t="s">
        <v>92</v>
      </c>
      <c r="AW89" s="99" t="s">
        <v>92</v>
      </c>
      <c r="AX89" s="99" t="s">
        <v>92</v>
      </c>
      <c r="AY89" s="99" t="s">
        <v>93</v>
      </c>
      <c r="AZ89" s="460" t="s">
        <v>93</v>
      </c>
      <c r="BA89" s="460"/>
      <c r="BB89" s="460" t="s">
        <v>92</v>
      </c>
      <c r="BC89" s="460" t="s">
        <v>92</v>
      </c>
      <c r="BD89" s="460" t="s">
        <v>92</v>
      </c>
      <c r="BE89" s="460"/>
      <c r="BF89" s="460" t="s">
        <v>93</v>
      </c>
      <c r="BG89" s="460"/>
      <c r="BH89" s="460"/>
      <c r="BI89" s="460"/>
      <c r="BJ89" s="460"/>
      <c r="BK89" s="460" t="s">
        <v>93</v>
      </c>
      <c r="BL89" s="460"/>
      <c r="BM89" s="472" t="s">
        <v>7469</v>
      </c>
      <c r="BN89" s="481" t="s">
        <v>7470</v>
      </c>
      <c r="BO89" s="476"/>
      <c r="BP89" s="476"/>
      <c r="BQ89" s="456"/>
      <c r="BR89" s="456"/>
    </row>
    <row r="90" ht="15.75" customHeight="1">
      <c r="A90" s="197"/>
      <c r="B90" s="99" t="s">
        <v>7471</v>
      </c>
      <c r="C90" s="197">
        <v>119.0</v>
      </c>
      <c r="D90" s="99" t="s">
        <v>7472</v>
      </c>
      <c r="E90" s="99" t="s">
        <v>709</v>
      </c>
      <c r="F90" s="99" t="s">
        <v>7473</v>
      </c>
      <c r="G90" s="99"/>
      <c r="H90" s="99"/>
      <c r="I90" s="99"/>
      <c r="J90" s="99"/>
      <c r="K90" s="197">
        <v>2020.0</v>
      </c>
      <c r="L90" s="99" t="s">
        <v>93</v>
      </c>
      <c r="M90" s="99" t="s">
        <v>93</v>
      </c>
      <c r="N90" s="99" t="s">
        <v>93</v>
      </c>
      <c r="O90" s="99" t="s">
        <v>92</v>
      </c>
      <c r="P90" s="99">
        <v>2022.0</v>
      </c>
      <c r="Q90" s="99" t="s">
        <v>96</v>
      </c>
      <c r="R90" s="197" t="s">
        <v>5902</v>
      </c>
      <c r="S90" s="197"/>
      <c r="T90" s="197"/>
      <c r="U90" s="99"/>
      <c r="V90" s="197"/>
      <c r="W90" s="197"/>
      <c r="X90" s="99"/>
      <c r="Y90" s="99"/>
      <c r="Z90" s="99"/>
      <c r="AA90" s="197"/>
      <c r="AB90" s="197"/>
      <c r="AC90" s="197"/>
      <c r="AD90" s="197"/>
      <c r="AE90" s="197" t="s">
        <v>93</v>
      </c>
      <c r="AF90" s="99" t="s">
        <v>7472</v>
      </c>
      <c r="AG90" s="197" t="s">
        <v>6990</v>
      </c>
      <c r="AH90" s="197"/>
      <c r="AI90" s="459"/>
      <c r="AJ90" s="99" t="s">
        <v>7106</v>
      </c>
      <c r="AK90" s="99"/>
      <c r="AL90" s="99"/>
      <c r="AM90" s="99"/>
      <c r="AN90" s="99"/>
      <c r="AO90" s="99"/>
      <c r="AP90" s="99"/>
      <c r="AQ90" s="99"/>
      <c r="AR90" s="99" t="s">
        <v>6942</v>
      </c>
      <c r="AS90" s="99" t="s">
        <v>3893</v>
      </c>
      <c r="AT90" s="99" t="s">
        <v>3451</v>
      </c>
      <c r="AU90" s="99" t="s">
        <v>92</v>
      </c>
      <c r="AV90" s="99" t="s">
        <v>92</v>
      </c>
      <c r="AW90" s="99" t="s">
        <v>92</v>
      </c>
      <c r="AX90" s="99" t="s">
        <v>93</v>
      </c>
      <c r="AY90" s="99" t="s">
        <v>92</v>
      </c>
      <c r="AZ90" s="460" t="s">
        <v>93</v>
      </c>
      <c r="BA90" s="460"/>
      <c r="BB90" s="460" t="s">
        <v>92</v>
      </c>
      <c r="BC90" s="460" t="s">
        <v>92</v>
      </c>
      <c r="BD90" s="460" t="s">
        <v>92</v>
      </c>
      <c r="BE90" s="460"/>
      <c r="BF90" s="460" t="s">
        <v>92</v>
      </c>
      <c r="BG90" s="460"/>
      <c r="BH90" s="460"/>
      <c r="BI90" s="460"/>
      <c r="BJ90" s="460"/>
      <c r="BK90" s="460" t="s">
        <v>93</v>
      </c>
      <c r="BL90" s="460"/>
      <c r="BM90" s="213" t="s">
        <v>7474</v>
      </c>
      <c r="BN90" s="213" t="s">
        <v>7475</v>
      </c>
      <c r="BO90" s="470"/>
      <c r="BP90" s="470"/>
      <c r="BQ90" s="99"/>
      <c r="BR90" s="99"/>
    </row>
    <row r="91" ht="15.75" customHeight="1">
      <c r="A91" s="197"/>
      <c r="B91" s="99" t="s">
        <v>7476</v>
      </c>
      <c r="C91" s="197">
        <v>120.0</v>
      </c>
      <c r="D91" s="99" t="s">
        <v>7477</v>
      </c>
      <c r="E91" s="99" t="s">
        <v>709</v>
      </c>
      <c r="F91" s="99" t="s">
        <v>7478</v>
      </c>
      <c r="G91" s="99"/>
      <c r="H91" s="99"/>
      <c r="I91" s="99"/>
      <c r="J91" s="99"/>
      <c r="K91" s="197">
        <v>2020.0</v>
      </c>
      <c r="L91" s="99" t="s">
        <v>93</v>
      </c>
      <c r="M91" s="99" t="s">
        <v>93</v>
      </c>
      <c r="N91" s="99" t="s">
        <v>93</v>
      </c>
      <c r="O91" s="99" t="s">
        <v>93</v>
      </c>
      <c r="P91" s="99" t="s">
        <v>95</v>
      </c>
      <c r="Q91" s="99" t="s">
        <v>114</v>
      </c>
      <c r="R91" s="197" t="s">
        <v>5902</v>
      </c>
      <c r="S91" s="197"/>
      <c r="T91" s="197"/>
      <c r="U91" s="99"/>
      <c r="V91" s="197"/>
      <c r="W91" s="197"/>
      <c r="X91" s="99"/>
      <c r="Y91" s="99"/>
      <c r="Z91" s="99"/>
      <c r="AA91" s="197"/>
      <c r="AB91" s="197"/>
      <c r="AC91" s="197"/>
      <c r="AD91" s="197"/>
      <c r="AE91" s="197" t="s">
        <v>93</v>
      </c>
      <c r="AF91" s="99" t="s">
        <v>7479</v>
      </c>
      <c r="AG91" s="197" t="s">
        <v>6990</v>
      </c>
      <c r="AH91" s="197"/>
      <c r="AI91" s="459"/>
      <c r="AJ91" s="99" t="s">
        <v>7106</v>
      </c>
      <c r="AK91" s="99"/>
      <c r="AL91" s="99"/>
      <c r="AM91" s="99"/>
      <c r="AN91" s="99"/>
      <c r="AO91" s="99"/>
      <c r="AP91" s="99"/>
      <c r="AQ91" s="99"/>
      <c r="AR91" s="99" t="s">
        <v>6942</v>
      </c>
      <c r="AS91" s="99" t="s">
        <v>3520</v>
      </c>
      <c r="AT91" s="99" t="s">
        <v>3451</v>
      </c>
      <c r="AU91" s="99" t="s">
        <v>92</v>
      </c>
      <c r="AV91" s="99" t="s">
        <v>92</v>
      </c>
      <c r="AW91" s="99" t="s">
        <v>92</v>
      </c>
      <c r="AX91" s="99" t="s">
        <v>93</v>
      </c>
      <c r="AY91" s="99" t="s">
        <v>92</v>
      </c>
      <c r="AZ91" s="460" t="s">
        <v>93</v>
      </c>
      <c r="BA91" s="460"/>
      <c r="BB91" s="460" t="s">
        <v>92</v>
      </c>
      <c r="BC91" s="460" t="s">
        <v>92</v>
      </c>
      <c r="BD91" s="460" t="s">
        <v>92</v>
      </c>
      <c r="BE91" s="460"/>
      <c r="BF91" s="460" t="s">
        <v>92</v>
      </c>
      <c r="BG91" s="460"/>
      <c r="BH91" s="460"/>
      <c r="BI91" s="460"/>
      <c r="BJ91" s="460"/>
      <c r="BK91" s="460" t="s">
        <v>93</v>
      </c>
      <c r="BL91" s="460"/>
      <c r="BM91" s="213" t="s">
        <v>7480</v>
      </c>
      <c r="BN91" s="213" t="s">
        <v>7481</v>
      </c>
      <c r="BO91" s="470"/>
      <c r="BP91" s="470"/>
      <c r="BQ91" s="99"/>
      <c r="BR91" s="99"/>
    </row>
    <row r="92" ht="15.75" customHeight="1">
      <c r="A92" s="197"/>
      <c r="B92" s="99" t="s">
        <v>7482</v>
      </c>
      <c r="C92" s="197">
        <v>123.0</v>
      </c>
      <c r="D92" s="99" t="s">
        <v>7483</v>
      </c>
      <c r="E92" s="99" t="s">
        <v>189</v>
      </c>
      <c r="F92" s="99" t="s">
        <v>7484</v>
      </c>
      <c r="G92" s="99" t="s">
        <v>3346</v>
      </c>
      <c r="H92" s="99"/>
      <c r="I92" s="99"/>
      <c r="J92" s="99"/>
      <c r="K92" s="197">
        <v>2009.0</v>
      </c>
      <c r="L92" s="99" t="s">
        <v>93</v>
      </c>
      <c r="M92" s="99" t="s">
        <v>93</v>
      </c>
      <c r="N92" s="99" t="s">
        <v>93</v>
      </c>
      <c r="O92" s="99" t="s">
        <v>93</v>
      </c>
      <c r="P92" s="99" t="s">
        <v>95</v>
      </c>
      <c r="Q92" s="99" t="s">
        <v>114</v>
      </c>
      <c r="R92" s="197" t="s">
        <v>7262</v>
      </c>
      <c r="S92" s="197"/>
      <c r="T92" s="197"/>
      <c r="U92" s="99"/>
      <c r="V92" s="197"/>
      <c r="W92" s="197"/>
      <c r="X92" s="99"/>
      <c r="Y92" s="99"/>
      <c r="Z92" s="99"/>
      <c r="AA92" s="197"/>
      <c r="AB92" s="197"/>
      <c r="AC92" s="197"/>
      <c r="AD92" s="197"/>
      <c r="AE92" s="197" t="s">
        <v>93</v>
      </c>
      <c r="AF92" s="99" t="s">
        <v>7485</v>
      </c>
      <c r="AG92" s="197" t="s">
        <v>6982</v>
      </c>
      <c r="AH92" s="197"/>
      <c r="AI92" s="459"/>
      <c r="AJ92" s="99" t="s">
        <v>7106</v>
      </c>
      <c r="AK92" s="99"/>
      <c r="AL92" s="99"/>
      <c r="AM92" s="99"/>
      <c r="AN92" s="99"/>
      <c r="AO92" s="99"/>
      <c r="AP92" s="99"/>
      <c r="AQ92" s="99"/>
      <c r="AR92" s="99" t="s">
        <v>6949</v>
      </c>
      <c r="AS92" s="99" t="s">
        <v>95</v>
      </c>
      <c r="AT92" s="99" t="s">
        <v>95</v>
      </c>
      <c r="AU92" s="99" t="s">
        <v>93</v>
      </c>
      <c r="AV92" s="99" t="s">
        <v>93</v>
      </c>
      <c r="AW92" s="99" t="s">
        <v>93</v>
      </c>
      <c r="AX92" s="99" t="s">
        <v>93</v>
      </c>
      <c r="AY92" s="99" t="s">
        <v>93</v>
      </c>
      <c r="AZ92" s="460" t="s">
        <v>93</v>
      </c>
      <c r="BA92" s="460"/>
      <c r="BB92" s="460" t="s">
        <v>92</v>
      </c>
      <c r="BC92" s="460" t="s">
        <v>92</v>
      </c>
      <c r="BD92" s="460" t="s">
        <v>92</v>
      </c>
      <c r="BE92" s="460"/>
      <c r="BF92" s="460" t="s">
        <v>92</v>
      </c>
      <c r="BG92" s="460"/>
      <c r="BH92" s="460"/>
      <c r="BI92" s="460"/>
      <c r="BJ92" s="460"/>
      <c r="BK92" s="460" t="s">
        <v>93</v>
      </c>
      <c r="BL92" s="460"/>
      <c r="BM92" s="213" t="s">
        <v>7486</v>
      </c>
      <c r="BN92" s="472" t="s">
        <v>7487</v>
      </c>
      <c r="BO92" s="472" t="s">
        <v>7488</v>
      </c>
      <c r="BP92" s="476"/>
      <c r="BQ92" s="456"/>
      <c r="BR92" s="456"/>
    </row>
    <row r="93" ht="15.75" customHeight="1">
      <c r="A93" s="197"/>
      <c r="B93" s="99" t="s">
        <v>7489</v>
      </c>
      <c r="C93" s="197">
        <v>125.0</v>
      </c>
      <c r="D93" s="99" t="s">
        <v>7490</v>
      </c>
      <c r="E93" s="99" t="s">
        <v>189</v>
      </c>
      <c r="F93" s="99" t="s">
        <v>7491</v>
      </c>
      <c r="G93" s="99" t="s">
        <v>3346</v>
      </c>
      <c r="H93" s="99"/>
      <c r="I93" s="99"/>
      <c r="J93" s="99"/>
      <c r="K93" s="197">
        <v>2021.0</v>
      </c>
      <c r="L93" s="99" t="s">
        <v>92</v>
      </c>
      <c r="M93" s="99" t="s">
        <v>93</v>
      </c>
      <c r="N93" s="99" t="s">
        <v>92</v>
      </c>
      <c r="O93" s="99" t="s">
        <v>92</v>
      </c>
      <c r="P93" s="99" t="s">
        <v>95</v>
      </c>
      <c r="Q93" s="99" t="s">
        <v>114</v>
      </c>
      <c r="R93" s="197" t="s">
        <v>7262</v>
      </c>
      <c r="S93" s="197"/>
      <c r="T93" s="197"/>
      <c r="U93" s="99"/>
      <c r="V93" s="197"/>
      <c r="W93" s="197"/>
      <c r="X93" s="99"/>
      <c r="Y93" s="99"/>
      <c r="Z93" s="99"/>
      <c r="AA93" s="197"/>
      <c r="AB93" s="197"/>
      <c r="AC93" s="197"/>
      <c r="AD93" s="197"/>
      <c r="AE93" s="197" t="s">
        <v>93</v>
      </c>
      <c r="AF93" s="99" t="s">
        <v>1850</v>
      </c>
      <c r="AG93" s="197" t="s">
        <v>6990</v>
      </c>
      <c r="AH93" s="197"/>
      <c r="AI93" s="459"/>
      <c r="AJ93" s="99" t="s">
        <v>7106</v>
      </c>
      <c r="AK93" s="99"/>
      <c r="AL93" s="99"/>
      <c r="AM93" s="99"/>
      <c r="AN93" s="99"/>
      <c r="AO93" s="99"/>
      <c r="AP93" s="99"/>
      <c r="AQ93" s="99"/>
      <c r="AR93" s="99" t="s">
        <v>6949</v>
      </c>
      <c r="AS93" s="99" t="s">
        <v>95</v>
      </c>
      <c r="AT93" s="99" t="s">
        <v>95</v>
      </c>
      <c r="AU93" s="99" t="s">
        <v>93</v>
      </c>
      <c r="AV93" s="99" t="s">
        <v>93</v>
      </c>
      <c r="AW93" s="99" t="s">
        <v>93</v>
      </c>
      <c r="AX93" s="99" t="s">
        <v>93</v>
      </c>
      <c r="AY93" s="99" t="s">
        <v>93</v>
      </c>
      <c r="AZ93" s="460" t="s">
        <v>93</v>
      </c>
      <c r="BA93" s="460"/>
      <c r="BB93" s="460" t="s">
        <v>92</v>
      </c>
      <c r="BC93" s="460" t="s">
        <v>92</v>
      </c>
      <c r="BD93" s="460" t="s">
        <v>92</v>
      </c>
      <c r="BE93" s="460"/>
      <c r="BF93" s="460" t="s">
        <v>92</v>
      </c>
      <c r="BG93" s="460"/>
      <c r="BH93" s="460"/>
      <c r="BI93" s="460"/>
      <c r="BJ93" s="460"/>
      <c r="BK93" s="460" t="s">
        <v>93</v>
      </c>
      <c r="BL93" s="460"/>
      <c r="BM93" s="213" t="s">
        <v>7492</v>
      </c>
      <c r="BN93" s="472" t="s">
        <v>7493</v>
      </c>
      <c r="BO93" s="472" t="s">
        <v>7494</v>
      </c>
      <c r="BP93" s="213" t="s">
        <v>7495</v>
      </c>
      <c r="BQ93" s="477" t="s">
        <v>7496</v>
      </c>
      <c r="BR93" s="99"/>
    </row>
    <row r="94" ht="15.75" customHeight="1">
      <c r="A94" s="197"/>
      <c r="B94" s="99" t="s">
        <v>7497</v>
      </c>
      <c r="C94" s="197">
        <v>126.0</v>
      </c>
      <c r="D94" s="99" t="s">
        <v>7498</v>
      </c>
      <c r="E94" s="99" t="s">
        <v>189</v>
      </c>
      <c r="F94" s="99" t="s">
        <v>7499</v>
      </c>
      <c r="G94" s="99" t="s">
        <v>3346</v>
      </c>
      <c r="H94" s="99"/>
      <c r="I94" s="99"/>
      <c r="J94" s="99"/>
      <c r="K94" s="197">
        <v>2020.0</v>
      </c>
      <c r="L94" s="99" t="s">
        <v>93</v>
      </c>
      <c r="M94" s="99" t="s">
        <v>92</v>
      </c>
      <c r="N94" s="99" t="s">
        <v>92</v>
      </c>
      <c r="O94" s="99" t="s">
        <v>92</v>
      </c>
      <c r="P94" s="99">
        <v>2020.0</v>
      </c>
      <c r="Q94" s="99" t="s">
        <v>96</v>
      </c>
      <c r="R94" s="197" t="s">
        <v>7262</v>
      </c>
      <c r="S94" s="197"/>
      <c r="T94" s="197"/>
      <c r="U94" s="99"/>
      <c r="V94" s="197"/>
      <c r="W94" s="197"/>
      <c r="X94" s="99"/>
      <c r="Y94" s="99"/>
      <c r="Z94" s="99"/>
      <c r="AA94" s="197"/>
      <c r="AB94" s="197"/>
      <c r="AC94" s="197"/>
      <c r="AD94" s="197"/>
      <c r="AE94" s="197" t="s">
        <v>93</v>
      </c>
      <c r="AF94" s="99" t="s">
        <v>7500</v>
      </c>
      <c r="AG94" s="197" t="s">
        <v>6990</v>
      </c>
      <c r="AH94" s="197"/>
      <c r="AI94" s="459"/>
      <c r="AJ94" s="99" t="s">
        <v>7106</v>
      </c>
      <c r="AK94" s="99"/>
      <c r="AL94" s="99"/>
      <c r="AM94" s="99"/>
      <c r="AN94" s="99"/>
      <c r="AO94" s="99"/>
      <c r="AP94" s="99"/>
      <c r="AQ94" s="99"/>
      <c r="AR94" s="99" t="s">
        <v>6942</v>
      </c>
      <c r="AS94" s="99" t="s">
        <v>7501</v>
      </c>
      <c r="AT94" s="99" t="s">
        <v>7502</v>
      </c>
      <c r="AU94" s="99" t="s">
        <v>93</v>
      </c>
      <c r="AV94" s="99" t="s">
        <v>93</v>
      </c>
      <c r="AW94" s="99" t="s">
        <v>92</v>
      </c>
      <c r="AX94" s="99" t="s">
        <v>93</v>
      </c>
      <c r="AY94" s="99" t="s">
        <v>92</v>
      </c>
      <c r="AZ94" s="460" t="s">
        <v>93</v>
      </c>
      <c r="BA94" s="460"/>
      <c r="BB94" s="460" t="s">
        <v>92</v>
      </c>
      <c r="BC94" s="460" t="s">
        <v>92</v>
      </c>
      <c r="BD94" s="460" t="s">
        <v>92</v>
      </c>
      <c r="BE94" s="460"/>
      <c r="BF94" s="460" t="s">
        <v>92</v>
      </c>
      <c r="BG94" s="460"/>
      <c r="BH94" s="460"/>
      <c r="BI94" s="460"/>
      <c r="BJ94" s="460"/>
      <c r="BK94" s="460" t="s">
        <v>92</v>
      </c>
      <c r="BL94" s="460"/>
      <c r="BM94" s="213" t="s">
        <v>7503</v>
      </c>
      <c r="BN94" s="213" t="s">
        <v>7504</v>
      </c>
      <c r="BO94" s="213" t="s">
        <v>7505</v>
      </c>
      <c r="BP94" s="213" t="s">
        <v>7506</v>
      </c>
      <c r="BQ94" s="99"/>
      <c r="BR94" s="99"/>
    </row>
    <row r="95" ht="15.75" customHeight="1">
      <c r="A95" s="197"/>
      <c r="B95" s="99" t="s">
        <v>7507</v>
      </c>
      <c r="C95" s="197">
        <v>127.0</v>
      </c>
      <c r="D95" s="99" t="s">
        <v>7508</v>
      </c>
      <c r="E95" s="99" t="s">
        <v>189</v>
      </c>
      <c r="F95" s="99" t="s">
        <v>7509</v>
      </c>
      <c r="G95" s="99" t="s">
        <v>3346</v>
      </c>
      <c r="H95" s="99"/>
      <c r="I95" s="99"/>
      <c r="J95" s="99"/>
      <c r="K95" s="197">
        <v>2022.0</v>
      </c>
      <c r="L95" s="99" t="s">
        <v>92</v>
      </c>
      <c r="M95" s="99" t="s">
        <v>92</v>
      </c>
      <c r="N95" s="99" t="s">
        <v>93</v>
      </c>
      <c r="O95" s="99" t="s">
        <v>93</v>
      </c>
      <c r="P95" s="99" t="s">
        <v>95</v>
      </c>
      <c r="Q95" s="99" t="s">
        <v>114</v>
      </c>
      <c r="R95" s="475" t="s">
        <v>7262</v>
      </c>
      <c r="S95" s="197"/>
      <c r="T95" s="197"/>
      <c r="U95" s="99"/>
      <c r="V95" s="475"/>
      <c r="W95" s="475"/>
      <c r="X95" s="99"/>
      <c r="Y95" s="99"/>
      <c r="Z95" s="99"/>
      <c r="AA95" s="197"/>
      <c r="AB95" s="197"/>
      <c r="AC95" s="197"/>
      <c r="AD95" s="197"/>
      <c r="AE95" s="197" t="s">
        <v>93</v>
      </c>
      <c r="AF95" s="99" t="s">
        <v>7510</v>
      </c>
      <c r="AG95" s="197" t="s">
        <v>6990</v>
      </c>
      <c r="AH95" s="197"/>
      <c r="AI95" s="459"/>
      <c r="AJ95" s="99" t="s">
        <v>7106</v>
      </c>
      <c r="AK95" s="99"/>
      <c r="AL95" s="99"/>
      <c r="AM95" s="99"/>
      <c r="AN95" s="99"/>
      <c r="AO95" s="99"/>
      <c r="AP95" s="99"/>
      <c r="AQ95" s="99"/>
      <c r="AR95" s="99" t="s">
        <v>6949</v>
      </c>
      <c r="AS95" s="99" t="s">
        <v>95</v>
      </c>
      <c r="AT95" s="99" t="s">
        <v>95</v>
      </c>
      <c r="AU95" s="99" t="s">
        <v>93</v>
      </c>
      <c r="AV95" s="99" t="s">
        <v>93</v>
      </c>
      <c r="AW95" s="99" t="s">
        <v>93</v>
      </c>
      <c r="AX95" s="99" t="s">
        <v>93</v>
      </c>
      <c r="AY95" s="99" t="s">
        <v>93</v>
      </c>
      <c r="AZ95" s="460" t="s">
        <v>93</v>
      </c>
      <c r="BA95" s="460"/>
      <c r="BB95" s="460" t="s">
        <v>92</v>
      </c>
      <c r="BC95" s="460" t="s">
        <v>92</v>
      </c>
      <c r="BD95" s="460" t="s">
        <v>92</v>
      </c>
      <c r="BE95" s="460"/>
      <c r="BF95" s="460" t="s">
        <v>92</v>
      </c>
      <c r="BG95" s="460"/>
      <c r="BH95" s="460"/>
      <c r="BI95" s="460"/>
      <c r="BJ95" s="460"/>
      <c r="BK95" s="460" t="s">
        <v>93</v>
      </c>
      <c r="BL95" s="460"/>
      <c r="BM95" s="213" t="s">
        <v>7511</v>
      </c>
      <c r="BN95" s="213" t="s">
        <v>7512</v>
      </c>
      <c r="BO95" s="213" t="s">
        <v>7513</v>
      </c>
      <c r="BP95" s="213" t="s">
        <v>7514</v>
      </c>
      <c r="BQ95" s="99"/>
      <c r="BR95" s="99"/>
    </row>
    <row r="96" ht="15.75" customHeight="1">
      <c r="A96" s="197"/>
      <c r="B96" s="99" t="s">
        <v>7515</v>
      </c>
      <c r="C96" s="197">
        <v>11.0</v>
      </c>
      <c r="D96" s="99" t="s">
        <v>7516</v>
      </c>
      <c r="E96" s="99" t="s">
        <v>90</v>
      </c>
      <c r="F96" s="99" t="s">
        <v>7517</v>
      </c>
      <c r="G96" s="99"/>
      <c r="H96" s="99"/>
      <c r="I96" s="99"/>
      <c r="J96" s="99"/>
      <c r="K96" s="197">
        <v>2001.0</v>
      </c>
      <c r="L96" s="99" t="s">
        <v>93</v>
      </c>
      <c r="M96" s="99" t="s">
        <v>93</v>
      </c>
      <c r="N96" s="99" t="s">
        <v>93</v>
      </c>
      <c r="O96" s="99" t="s">
        <v>93</v>
      </c>
      <c r="P96" s="99" t="s">
        <v>95</v>
      </c>
      <c r="Q96" s="99" t="s">
        <v>114</v>
      </c>
      <c r="R96" s="197" t="s">
        <v>5902</v>
      </c>
      <c r="S96" s="197"/>
      <c r="T96" s="197"/>
      <c r="U96" s="99"/>
      <c r="V96" s="99"/>
      <c r="W96" s="99"/>
      <c r="X96" s="99"/>
      <c r="Y96" s="99"/>
      <c r="Z96" s="99"/>
      <c r="AA96" s="197"/>
      <c r="AB96" s="197"/>
      <c r="AC96" s="197"/>
      <c r="AD96" s="197"/>
      <c r="AE96" s="197" t="s">
        <v>93</v>
      </c>
      <c r="AF96" s="99" t="s">
        <v>7357</v>
      </c>
      <c r="AG96" s="197" t="s">
        <v>6990</v>
      </c>
      <c r="AH96" s="197"/>
      <c r="AI96" s="459"/>
      <c r="AJ96" s="99" t="s">
        <v>7106</v>
      </c>
      <c r="AK96" s="99"/>
      <c r="AL96" s="99"/>
      <c r="AM96" s="99"/>
      <c r="AN96" s="99"/>
      <c r="AO96" s="99"/>
      <c r="AP96" s="99"/>
      <c r="AQ96" s="99"/>
      <c r="AR96" s="99" t="s">
        <v>6942</v>
      </c>
      <c r="AS96" s="99" t="s">
        <v>7026</v>
      </c>
      <c r="AT96" s="99" t="s">
        <v>3451</v>
      </c>
      <c r="AU96" s="99" t="s">
        <v>92</v>
      </c>
      <c r="AV96" s="99" t="s">
        <v>92</v>
      </c>
      <c r="AW96" s="99" t="s">
        <v>92</v>
      </c>
      <c r="AX96" s="99" t="s">
        <v>93</v>
      </c>
      <c r="AY96" s="99" t="s">
        <v>92</v>
      </c>
      <c r="AZ96" s="460" t="s">
        <v>93</v>
      </c>
      <c r="BA96" s="460"/>
      <c r="BB96" s="460" t="s">
        <v>92</v>
      </c>
      <c r="BC96" s="460" t="s">
        <v>92</v>
      </c>
      <c r="BD96" s="460" t="s">
        <v>92</v>
      </c>
      <c r="BE96" s="460"/>
      <c r="BF96" s="460" t="s">
        <v>93</v>
      </c>
      <c r="BG96" s="460"/>
      <c r="BH96" s="460"/>
      <c r="BI96" s="460"/>
      <c r="BJ96" s="460"/>
      <c r="BK96" s="460" t="s">
        <v>93</v>
      </c>
      <c r="BL96" s="460"/>
      <c r="BM96" s="213" t="s">
        <v>7358</v>
      </c>
      <c r="BN96" s="213" t="s">
        <v>7391</v>
      </c>
      <c r="BO96" s="213" t="s">
        <v>7392</v>
      </c>
      <c r="BP96" s="213" t="s">
        <v>7393</v>
      </c>
      <c r="BQ96" s="99"/>
      <c r="BR96" s="99"/>
    </row>
    <row r="97" ht="15.75" customHeight="1">
      <c r="A97" s="197"/>
      <c r="B97" s="99" t="s">
        <v>7518</v>
      </c>
      <c r="C97" s="197">
        <v>130.0</v>
      </c>
      <c r="D97" s="99" t="s">
        <v>7519</v>
      </c>
      <c r="E97" s="99" t="s">
        <v>90</v>
      </c>
      <c r="F97" s="99" t="s">
        <v>7520</v>
      </c>
      <c r="G97" s="99"/>
      <c r="H97" s="99"/>
      <c r="I97" s="99"/>
      <c r="J97" s="99"/>
      <c r="K97" s="197" t="s">
        <v>105</v>
      </c>
      <c r="L97" s="99" t="s">
        <v>93</v>
      </c>
      <c r="M97" s="99" t="s">
        <v>92</v>
      </c>
      <c r="N97" s="99" t="s">
        <v>92</v>
      </c>
      <c r="O97" s="99" t="s">
        <v>92</v>
      </c>
      <c r="P97" s="99" t="s">
        <v>105</v>
      </c>
      <c r="Q97" s="99" t="s">
        <v>105</v>
      </c>
      <c r="R97" s="197" t="s">
        <v>7262</v>
      </c>
      <c r="S97" s="197"/>
      <c r="T97" s="197"/>
      <c r="U97" s="99"/>
      <c r="V97" s="197"/>
      <c r="W97" s="197"/>
      <c r="X97" s="99"/>
      <c r="Y97" s="99"/>
      <c r="Z97" s="99"/>
      <c r="AA97" s="197"/>
      <c r="AB97" s="197"/>
      <c r="AC97" s="197"/>
      <c r="AD97" s="197"/>
      <c r="AE97" s="197" t="s">
        <v>93</v>
      </c>
      <c r="AF97" s="99" t="s">
        <v>7521</v>
      </c>
      <c r="AG97" s="197" t="s">
        <v>7448</v>
      </c>
      <c r="AH97" s="197"/>
      <c r="AI97" s="459"/>
      <c r="AJ97" s="99" t="s">
        <v>7254</v>
      </c>
      <c r="AK97" s="99"/>
      <c r="AL97" s="99"/>
      <c r="AM97" s="99"/>
      <c r="AN97" s="99"/>
      <c r="AO97" s="99"/>
      <c r="AP97" s="99"/>
      <c r="AQ97" s="99"/>
      <c r="AR97" s="99" t="s">
        <v>6942</v>
      </c>
      <c r="AS97" s="99" t="s">
        <v>6888</v>
      </c>
      <c r="AT97" s="99" t="s">
        <v>3449</v>
      </c>
      <c r="AU97" s="99" t="s">
        <v>92</v>
      </c>
      <c r="AV97" s="99" t="s">
        <v>93</v>
      </c>
      <c r="AW97" s="99" t="s">
        <v>92</v>
      </c>
      <c r="AX97" s="99" t="s">
        <v>92</v>
      </c>
      <c r="AY97" s="99" t="s">
        <v>92</v>
      </c>
      <c r="AZ97" s="460" t="s">
        <v>92</v>
      </c>
      <c r="BA97" s="460"/>
      <c r="BB97" s="460" t="s">
        <v>93</v>
      </c>
      <c r="BC97" s="460" t="s">
        <v>93</v>
      </c>
      <c r="BD97" s="460" t="s">
        <v>92</v>
      </c>
      <c r="BE97" s="460"/>
      <c r="BF97" s="460" t="s">
        <v>92</v>
      </c>
      <c r="BG97" s="460"/>
      <c r="BH97" s="460"/>
      <c r="BI97" s="460"/>
      <c r="BJ97" s="460"/>
      <c r="BK97" s="460" t="s">
        <v>93</v>
      </c>
      <c r="BL97" s="460"/>
      <c r="BM97" s="213" t="s">
        <v>7272</v>
      </c>
      <c r="BN97" s="213" t="s">
        <v>7522</v>
      </c>
      <c r="BO97" s="213" t="s">
        <v>7523</v>
      </c>
      <c r="BP97" s="470"/>
      <c r="BQ97" s="99"/>
      <c r="BR97" s="99"/>
    </row>
    <row r="98" ht="15.75" customHeight="1">
      <c r="A98" s="197"/>
      <c r="B98" s="99" t="s">
        <v>7524</v>
      </c>
      <c r="C98" s="197">
        <v>142.0</v>
      </c>
      <c r="D98" s="99" t="s">
        <v>7525</v>
      </c>
      <c r="E98" s="99" t="s">
        <v>90</v>
      </c>
      <c r="F98" s="99" t="s">
        <v>7526</v>
      </c>
      <c r="G98" s="99"/>
      <c r="H98" s="99"/>
      <c r="I98" s="99"/>
      <c r="J98" s="99"/>
      <c r="K98" s="197">
        <v>2018.0</v>
      </c>
      <c r="L98" s="99" t="s">
        <v>93</v>
      </c>
      <c r="M98" s="99" t="s">
        <v>92</v>
      </c>
      <c r="N98" s="99" t="s">
        <v>92</v>
      </c>
      <c r="O98" s="99" t="s">
        <v>92</v>
      </c>
      <c r="P98" s="99" t="s">
        <v>95</v>
      </c>
      <c r="Q98" s="99" t="s">
        <v>114</v>
      </c>
      <c r="R98" s="197" t="s">
        <v>7262</v>
      </c>
      <c r="S98" s="197"/>
      <c r="T98" s="197"/>
      <c r="U98" s="99"/>
      <c r="V98" s="197"/>
      <c r="W98" s="197"/>
      <c r="X98" s="197"/>
      <c r="Y98" s="99"/>
      <c r="Z98" s="99"/>
      <c r="AA98" s="197"/>
      <c r="AB98" s="197"/>
      <c r="AC98" s="197"/>
      <c r="AD98" s="197"/>
      <c r="AE98" s="197" t="s">
        <v>93</v>
      </c>
      <c r="AF98" s="99" t="s">
        <v>7527</v>
      </c>
      <c r="AG98" s="197" t="s">
        <v>6990</v>
      </c>
      <c r="AH98" s="197"/>
      <c r="AI98" s="459"/>
      <c r="AJ98" s="99" t="s">
        <v>7106</v>
      </c>
      <c r="AK98" s="99"/>
      <c r="AL98" s="99"/>
      <c r="AM98" s="99"/>
      <c r="AN98" s="99"/>
      <c r="AO98" s="99"/>
      <c r="AP98" s="99"/>
      <c r="AQ98" s="99"/>
      <c r="AR98" s="99" t="s">
        <v>6942</v>
      </c>
      <c r="AS98" s="99" t="s">
        <v>7528</v>
      </c>
      <c r="AT98" s="99" t="s">
        <v>7073</v>
      </c>
      <c r="AU98" s="99" t="s">
        <v>92</v>
      </c>
      <c r="AV98" s="99" t="s">
        <v>93</v>
      </c>
      <c r="AW98" s="99" t="s">
        <v>92</v>
      </c>
      <c r="AX98" s="99" t="s">
        <v>93</v>
      </c>
      <c r="AY98" s="99" t="s">
        <v>92</v>
      </c>
      <c r="AZ98" s="460" t="s">
        <v>92</v>
      </c>
      <c r="BA98" s="460"/>
      <c r="BB98" s="460" t="s">
        <v>93</v>
      </c>
      <c r="BC98" s="460" t="s">
        <v>93</v>
      </c>
      <c r="BD98" s="460" t="s">
        <v>92</v>
      </c>
      <c r="BE98" s="460"/>
      <c r="BF98" s="460" t="s">
        <v>92</v>
      </c>
      <c r="BG98" s="460"/>
      <c r="BH98" s="460"/>
      <c r="BI98" s="460"/>
      <c r="BJ98" s="460"/>
      <c r="BK98" s="460" t="s">
        <v>93</v>
      </c>
      <c r="BL98" s="460"/>
      <c r="BM98" s="213" t="s">
        <v>7272</v>
      </c>
      <c r="BN98" s="213" t="s">
        <v>7529</v>
      </c>
      <c r="BO98" s="213" t="s">
        <v>7530</v>
      </c>
      <c r="BP98" s="213" t="s">
        <v>7523</v>
      </c>
      <c r="BQ98" s="99"/>
      <c r="BR98" s="99"/>
    </row>
    <row r="99" ht="15.75" customHeight="1">
      <c r="A99" s="197"/>
      <c r="B99" s="99" t="s">
        <v>7531</v>
      </c>
      <c r="C99" s="197">
        <v>144.0</v>
      </c>
      <c r="D99" s="99" t="s">
        <v>7532</v>
      </c>
      <c r="E99" s="99" t="s">
        <v>90</v>
      </c>
      <c r="F99" s="99" t="s">
        <v>7533</v>
      </c>
      <c r="G99" s="99"/>
      <c r="H99" s="99"/>
      <c r="I99" s="99"/>
      <c r="J99" s="99"/>
      <c r="K99" s="197">
        <v>2015.0</v>
      </c>
      <c r="L99" s="99" t="s">
        <v>93</v>
      </c>
      <c r="M99" s="99" t="s">
        <v>93</v>
      </c>
      <c r="N99" s="99" t="s">
        <v>93</v>
      </c>
      <c r="O99" s="99" t="s">
        <v>92</v>
      </c>
      <c r="P99" s="99" t="s">
        <v>95</v>
      </c>
      <c r="Q99" s="99" t="s">
        <v>114</v>
      </c>
      <c r="R99" s="197" t="s">
        <v>7262</v>
      </c>
      <c r="S99" s="197"/>
      <c r="T99" s="197"/>
      <c r="U99" s="99"/>
      <c r="V99" s="197"/>
      <c r="W99" s="197"/>
      <c r="X99" s="197"/>
      <c r="Y99" s="99"/>
      <c r="Z99" s="99"/>
      <c r="AA99" s="197"/>
      <c r="AB99" s="197"/>
      <c r="AC99" s="197"/>
      <c r="AD99" s="197"/>
      <c r="AE99" s="197" t="s">
        <v>93</v>
      </c>
      <c r="AF99" s="99" t="s">
        <v>7534</v>
      </c>
      <c r="AG99" s="197" t="s">
        <v>6990</v>
      </c>
      <c r="AH99" s="197"/>
      <c r="AI99" s="459"/>
      <c r="AJ99" s="99" t="s">
        <v>7127</v>
      </c>
      <c r="AK99" s="99"/>
      <c r="AL99" s="99"/>
      <c r="AM99" s="99"/>
      <c r="AN99" s="99"/>
      <c r="AO99" s="99"/>
      <c r="AP99" s="99"/>
      <c r="AQ99" s="99"/>
      <c r="AR99" s="99" t="s">
        <v>6942</v>
      </c>
      <c r="AS99" s="99" t="s">
        <v>7535</v>
      </c>
      <c r="AT99" s="99" t="s">
        <v>7536</v>
      </c>
      <c r="AU99" s="99" t="s">
        <v>93</v>
      </c>
      <c r="AV99" s="99" t="s">
        <v>93</v>
      </c>
      <c r="AW99" s="99" t="s">
        <v>93</v>
      </c>
      <c r="AX99" s="99" t="s">
        <v>93</v>
      </c>
      <c r="AY99" s="99" t="s">
        <v>93</v>
      </c>
      <c r="AZ99" s="460" t="s">
        <v>92</v>
      </c>
      <c r="BA99" s="460"/>
      <c r="BB99" s="460" t="s">
        <v>92</v>
      </c>
      <c r="BC99" s="460" t="s">
        <v>92</v>
      </c>
      <c r="BD99" s="460" t="s">
        <v>92</v>
      </c>
      <c r="BE99" s="460"/>
      <c r="BF99" s="460" t="s">
        <v>92</v>
      </c>
      <c r="BG99" s="460"/>
      <c r="BH99" s="460"/>
      <c r="BI99" s="460"/>
      <c r="BJ99" s="460"/>
      <c r="BK99" s="460" t="s">
        <v>93</v>
      </c>
      <c r="BL99" s="460"/>
      <c r="BM99" s="213" t="s">
        <v>7272</v>
      </c>
      <c r="BN99" s="213" t="s">
        <v>7537</v>
      </c>
      <c r="BO99" s="213" t="s">
        <v>7538</v>
      </c>
      <c r="BP99" s="470"/>
      <c r="BQ99" s="99"/>
      <c r="BR99" s="99"/>
    </row>
    <row r="100" ht="15.75" customHeight="1">
      <c r="A100" s="197"/>
      <c r="B100" s="99" t="s">
        <v>7539</v>
      </c>
      <c r="C100" s="197">
        <v>146.0</v>
      </c>
      <c r="D100" s="99" t="s">
        <v>7540</v>
      </c>
      <c r="E100" s="99" t="s">
        <v>90</v>
      </c>
      <c r="F100" s="99" t="s">
        <v>7541</v>
      </c>
      <c r="G100" s="99"/>
      <c r="H100" s="99"/>
      <c r="I100" s="99"/>
      <c r="J100" s="99"/>
      <c r="K100" s="197" t="s">
        <v>105</v>
      </c>
      <c r="L100" s="99" t="s">
        <v>92</v>
      </c>
      <c r="M100" s="99" t="s">
        <v>93</v>
      </c>
      <c r="N100" s="99" t="s">
        <v>92</v>
      </c>
      <c r="O100" s="99" t="s">
        <v>92</v>
      </c>
      <c r="P100" s="99" t="s">
        <v>95</v>
      </c>
      <c r="Q100" s="99" t="s">
        <v>114</v>
      </c>
      <c r="R100" s="197" t="s">
        <v>7262</v>
      </c>
      <c r="S100" s="197"/>
      <c r="T100" s="197"/>
      <c r="U100" s="99"/>
      <c r="V100" s="197"/>
      <c r="W100" s="197"/>
      <c r="X100" s="197"/>
      <c r="Y100" s="99"/>
      <c r="Z100" s="99"/>
      <c r="AA100" s="197"/>
      <c r="AB100" s="197"/>
      <c r="AC100" s="197"/>
      <c r="AD100" s="197"/>
      <c r="AE100" s="197" t="s">
        <v>93</v>
      </c>
      <c r="AF100" s="99" t="s">
        <v>7542</v>
      </c>
      <c r="AG100" s="197" t="s">
        <v>6990</v>
      </c>
      <c r="AH100" s="197"/>
      <c r="AI100" s="459"/>
      <c r="AJ100" s="99" t="s">
        <v>7283</v>
      </c>
      <c r="AK100" s="99"/>
      <c r="AL100" s="99"/>
      <c r="AM100" s="99"/>
      <c r="AN100" s="99"/>
      <c r="AO100" s="99"/>
      <c r="AP100" s="99"/>
      <c r="AQ100" s="99"/>
      <c r="AR100" s="99" t="s">
        <v>6942</v>
      </c>
      <c r="AS100" s="99" t="s">
        <v>3614</v>
      </c>
      <c r="AT100" s="99" t="s">
        <v>3448</v>
      </c>
      <c r="AU100" s="99" t="s">
        <v>93</v>
      </c>
      <c r="AV100" s="99" t="s">
        <v>92</v>
      </c>
      <c r="AW100" s="99" t="s">
        <v>92</v>
      </c>
      <c r="AX100" s="99" t="s">
        <v>92</v>
      </c>
      <c r="AY100" s="99" t="s">
        <v>92</v>
      </c>
      <c r="AZ100" s="460" t="s">
        <v>93</v>
      </c>
      <c r="BA100" s="460"/>
      <c r="BB100" s="460" t="s">
        <v>92</v>
      </c>
      <c r="BC100" s="460" t="s">
        <v>92</v>
      </c>
      <c r="BD100" s="460" t="s">
        <v>92</v>
      </c>
      <c r="BE100" s="460"/>
      <c r="BF100" s="460" t="s">
        <v>93</v>
      </c>
      <c r="BG100" s="460"/>
      <c r="BH100" s="460"/>
      <c r="BI100" s="460"/>
      <c r="BJ100" s="460"/>
      <c r="BK100" s="460" t="s">
        <v>93</v>
      </c>
      <c r="BL100" s="460"/>
      <c r="BM100" s="213" t="s">
        <v>7272</v>
      </c>
      <c r="BN100" s="213" t="s">
        <v>7543</v>
      </c>
      <c r="BO100" s="470"/>
      <c r="BP100" s="470"/>
      <c r="BQ100" s="99"/>
      <c r="BR100" s="99"/>
    </row>
    <row r="101" ht="15.75" customHeight="1">
      <c r="A101" s="197"/>
      <c r="B101" s="99" t="s">
        <v>7544</v>
      </c>
      <c r="C101" s="197">
        <v>147.0</v>
      </c>
      <c r="D101" s="99" t="s">
        <v>7545</v>
      </c>
      <c r="E101" s="99" t="s">
        <v>90</v>
      </c>
      <c r="F101" s="99" t="s">
        <v>7546</v>
      </c>
      <c r="G101" s="99"/>
      <c r="H101" s="99"/>
      <c r="I101" s="99"/>
      <c r="J101" s="99"/>
      <c r="K101" s="197">
        <v>2021.0</v>
      </c>
      <c r="L101" s="99" t="s">
        <v>92</v>
      </c>
      <c r="M101" s="99" t="s">
        <v>93</v>
      </c>
      <c r="N101" s="99" t="s">
        <v>92</v>
      </c>
      <c r="O101" s="99" t="s">
        <v>92</v>
      </c>
      <c r="P101" s="99">
        <v>2023.0</v>
      </c>
      <c r="Q101" s="99" t="s">
        <v>96</v>
      </c>
      <c r="R101" s="197" t="s">
        <v>7262</v>
      </c>
      <c r="S101" s="197"/>
      <c r="T101" s="197"/>
      <c r="U101" s="99"/>
      <c r="V101" s="197"/>
      <c r="W101" s="197"/>
      <c r="X101" s="197"/>
      <c r="Y101" s="99"/>
      <c r="Z101" s="99"/>
      <c r="AA101" s="197"/>
      <c r="AB101" s="197"/>
      <c r="AC101" s="197"/>
      <c r="AD101" s="197"/>
      <c r="AE101" s="197" t="s">
        <v>93</v>
      </c>
      <c r="AF101" s="99" t="s">
        <v>7547</v>
      </c>
      <c r="AG101" s="197" t="s">
        <v>5902</v>
      </c>
      <c r="AH101" s="197"/>
      <c r="AI101" s="459"/>
      <c r="AJ101" s="99" t="s">
        <v>7254</v>
      </c>
      <c r="AK101" s="99"/>
      <c r="AL101" s="99"/>
      <c r="AM101" s="99"/>
      <c r="AN101" s="99"/>
      <c r="AO101" s="99"/>
      <c r="AP101" s="99"/>
      <c r="AQ101" s="99"/>
      <c r="AR101" s="99" t="s">
        <v>6942</v>
      </c>
      <c r="AS101" s="99" t="s">
        <v>3605</v>
      </c>
      <c r="AT101" s="99" t="s">
        <v>3452</v>
      </c>
      <c r="AU101" s="99" t="s">
        <v>92</v>
      </c>
      <c r="AV101" s="99" t="s">
        <v>92</v>
      </c>
      <c r="AW101" s="99" t="s">
        <v>92</v>
      </c>
      <c r="AX101" s="99" t="s">
        <v>92</v>
      </c>
      <c r="AY101" s="99" t="s">
        <v>93</v>
      </c>
      <c r="AZ101" s="460" t="s">
        <v>92</v>
      </c>
      <c r="BA101" s="460"/>
      <c r="BB101" s="460" t="s">
        <v>93</v>
      </c>
      <c r="BC101" s="460" t="s">
        <v>93</v>
      </c>
      <c r="BD101" s="460" t="s">
        <v>93</v>
      </c>
      <c r="BE101" s="460"/>
      <c r="BF101" s="460" t="s">
        <v>92</v>
      </c>
      <c r="BG101" s="460"/>
      <c r="BH101" s="460"/>
      <c r="BI101" s="460"/>
      <c r="BJ101" s="460"/>
      <c r="BK101" s="460" t="s">
        <v>93</v>
      </c>
      <c r="BL101" s="460"/>
      <c r="BM101" s="213" t="s">
        <v>7272</v>
      </c>
      <c r="BN101" s="213" t="s">
        <v>7548</v>
      </c>
      <c r="BO101" s="470"/>
      <c r="BP101" s="470"/>
      <c r="BQ101" s="99"/>
      <c r="BR101" s="99"/>
    </row>
    <row r="102" ht="15.75" customHeight="1">
      <c r="A102" s="197"/>
      <c r="B102" s="99" t="s">
        <v>7549</v>
      </c>
      <c r="C102" s="197">
        <v>152.0</v>
      </c>
      <c r="D102" s="99" t="s">
        <v>7550</v>
      </c>
      <c r="E102" s="99" t="s">
        <v>90</v>
      </c>
      <c r="F102" s="99" t="s">
        <v>7551</v>
      </c>
      <c r="G102" s="99"/>
      <c r="H102" s="99"/>
      <c r="I102" s="99"/>
      <c r="J102" s="99"/>
      <c r="K102" s="197">
        <v>2018.0</v>
      </c>
      <c r="L102" s="99" t="s">
        <v>92</v>
      </c>
      <c r="M102" s="99" t="s">
        <v>93</v>
      </c>
      <c r="N102" s="99" t="s">
        <v>92</v>
      </c>
      <c r="O102" s="99" t="s">
        <v>92</v>
      </c>
      <c r="P102" s="99" t="s">
        <v>105</v>
      </c>
      <c r="Q102" s="99" t="s">
        <v>105</v>
      </c>
      <c r="R102" s="197" t="s">
        <v>7262</v>
      </c>
      <c r="S102" s="197"/>
      <c r="T102" s="197"/>
      <c r="U102" s="99"/>
      <c r="V102" s="197"/>
      <c r="W102" s="197"/>
      <c r="X102" s="197"/>
      <c r="Y102" s="99"/>
      <c r="Z102" s="99"/>
      <c r="AA102" s="197"/>
      <c r="AB102" s="197"/>
      <c r="AC102" s="197"/>
      <c r="AD102" s="197"/>
      <c r="AE102" s="197" t="s">
        <v>93</v>
      </c>
      <c r="AF102" s="99" t="s">
        <v>7552</v>
      </c>
      <c r="AG102" s="197" t="s">
        <v>6990</v>
      </c>
      <c r="AH102" s="197"/>
      <c r="AI102" s="459"/>
      <c r="AJ102" s="99" t="s">
        <v>7217</v>
      </c>
      <c r="AK102" s="99"/>
      <c r="AL102" s="99"/>
      <c r="AM102" s="99"/>
      <c r="AN102" s="99"/>
      <c r="AO102" s="99"/>
      <c r="AP102" s="99"/>
      <c r="AQ102" s="99"/>
      <c r="AR102" s="99" t="s">
        <v>6942</v>
      </c>
      <c r="AS102" s="99" t="s">
        <v>6890</v>
      </c>
      <c r="AT102" s="99" t="s">
        <v>3451</v>
      </c>
      <c r="AU102" s="99" t="s">
        <v>92</v>
      </c>
      <c r="AV102" s="99" t="s">
        <v>92</v>
      </c>
      <c r="AW102" s="99" t="s">
        <v>92</v>
      </c>
      <c r="AX102" s="99" t="s">
        <v>93</v>
      </c>
      <c r="AY102" s="99" t="s">
        <v>92</v>
      </c>
      <c r="AZ102" s="460" t="s">
        <v>92</v>
      </c>
      <c r="BA102" s="460"/>
      <c r="BB102" s="460" t="s">
        <v>93</v>
      </c>
      <c r="BC102" s="460" t="s">
        <v>93</v>
      </c>
      <c r="BD102" s="460" t="s">
        <v>92</v>
      </c>
      <c r="BE102" s="460"/>
      <c r="BF102" s="460" t="s">
        <v>92</v>
      </c>
      <c r="BG102" s="460"/>
      <c r="BH102" s="460"/>
      <c r="BI102" s="460"/>
      <c r="BJ102" s="460"/>
      <c r="BK102" s="460" t="s">
        <v>93</v>
      </c>
      <c r="BL102" s="460"/>
      <c r="BM102" s="213" t="s">
        <v>7272</v>
      </c>
      <c r="BN102" s="213" t="s">
        <v>7553</v>
      </c>
      <c r="BO102" s="470"/>
      <c r="BP102" s="470"/>
      <c r="BQ102" s="99"/>
      <c r="BR102" s="99"/>
    </row>
    <row r="103" ht="15.75" customHeight="1">
      <c r="A103" s="197"/>
      <c r="B103" s="477" t="s">
        <v>7554</v>
      </c>
      <c r="C103" s="197">
        <v>161.0</v>
      </c>
      <c r="D103" s="99" t="s">
        <v>7555</v>
      </c>
      <c r="E103" s="99" t="s">
        <v>90</v>
      </c>
      <c r="F103" s="99" t="s">
        <v>7556</v>
      </c>
      <c r="G103" s="99"/>
      <c r="H103" s="99"/>
      <c r="I103" s="99"/>
      <c r="J103" s="99"/>
      <c r="K103" s="197" t="s">
        <v>105</v>
      </c>
      <c r="L103" s="99" t="s">
        <v>93</v>
      </c>
      <c r="M103" s="99" t="s">
        <v>93</v>
      </c>
      <c r="N103" s="99" t="s">
        <v>93</v>
      </c>
      <c r="O103" s="99" t="s">
        <v>93</v>
      </c>
      <c r="P103" s="99" t="s">
        <v>95</v>
      </c>
      <c r="Q103" s="99" t="s">
        <v>114</v>
      </c>
      <c r="R103" s="197" t="s">
        <v>5902</v>
      </c>
      <c r="S103" s="197"/>
      <c r="T103" s="197"/>
      <c r="U103" s="99"/>
      <c r="V103" s="197"/>
      <c r="W103" s="197"/>
      <c r="X103" s="197"/>
      <c r="Y103" s="99"/>
      <c r="Z103" s="99"/>
      <c r="AA103" s="197"/>
      <c r="AB103" s="197"/>
      <c r="AC103" s="197"/>
      <c r="AD103" s="197"/>
      <c r="AE103" s="197" t="s">
        <v>93</v>
      </c>
      <c r="AF103" s="99" t="s">
        <v>7357</v>
      </c>
      <c r="AG103" s="197" t="s">
        <v>6990</v>
      </c>
      <c r="AH103" s="197"/>
      <c r="AI103" s="459"/>
      <c r="AJ103" s="99" t="s">
        <v>7106</v>
      </c>
      <c r="AK103" s="99"/>
      <c r="AL103" s="99"/>
      <c r="AM103" s="99"/>
      <c r="AN103" s="99"/>
      <c r="AO103" s="99"/>
      <c r="AP103" s="99"/>
      <c r="AQ103" s="99"/>
      <c r="AR103" s="99" t="s">
        <v>6942</v>
      </c>
      <c r="AS103" s="99" t="s">
        <v>3520</v>
      </c>
      <c r="AT103" s="99" t="s">
        <v>3451</v>
      </c>
      <c r="AU103" s="99" t="s">
        <v>92</v>
      </c>
      <c r="AV103" s="99" t="s">
        <v>92</v>
      </c>
      <c r="AW103" s="99" t="s">
        <v>92</v>
      </c>
      <c r="AX103" s="99" t="s">
        <v>93</v>
      </c>
      <c r="AY103" s="99" t="s">
        <v>92</v>
      </c>
      <c r="AZ103" s="460" t="s">
        <v>92</v>
      </c>
      <c r="BA103" s="460"/>
      <c r="BB103" s="460" t="s">
        <v>92</v>
      </c>
      <c r="BC103" s="460" t="s">
        <v>92</v>
      </c>
      <c r="BD103" s="460" t="s">
        <v>92</v>
      </c>
      <c r="BE103" s="460"/>
      <c r="BF103" s="460" t="s">
        <v>92</v>
      </c>
      <c r="BG103" s="460"/>
      <c r="BH103" s="460"/>
      <c r="BI103" s="460"/>
      <c r="BJ103" s="460"/>
      <c r="BK103" s="460" t="s">
        <v>93</v>
      </c>
      <c r="BL103" s="460"/>
      <c r="BM103" s="213" t="s">
        <v>7272</v>
      </c>
      <c r="BN103" s="213" t="s">
        <v>7557</v>
      </c>
      <c r="BO103" s="213" t="s">
        <v>7391</v>
      </c>
      <c r="BP103" s="213" t="s">
        <v>7392</v>
      </c>
      <c r="BQ103" s="477" t="s">
        <v>7393</v>
      </c>
      <c r="BR103" s="99"/>
    </row>
    <row r="104" ht="15.75" customHeight="1">
      <c r="A104" s="197"/>
      <c r="B104" s="99" t="s">
        <v>7558</v>
      </c>
      <c r="C104" s="197">
        <v>165.0</v>
      </c>
      <c r="D104" s="99" t="s">
        <v>7559</v>
      </c>
      <c r="E104" s="99" t="s">
        <v>90</v>
      </c>
      <c r="F104" s="99" t="s">
        <v>7560</v>
      </c>
      <c r="G104" s="99"/>
      <c r="H104" s="99"/>
      <c r="I104" s="99"/>
      <c r="J104" s="99"/>
      <c r="K104" s="197">
        <v>2023.0</v>
      </c>
      <c r="L104" s="99" t="s">
        <v>92</v>
      </c>
      <c r="M104" s="99" t="s">
        <v>92</v>
      </c>
      <c r="N104" s="99" t="s">
        <v>92</v>
      </c>
      <c r="O104" s="99" t="s">
        <v>93</v>
      </c>
      <c r="P104" s="99" t="s">
        <v>95</v>
      </c>
      <c r="Q104" s="99" t="s">
        <v>114</v>
      </c>
      <c r="R104" s="197" t="s">
        <v>7262</v>
      </c>
      <c r="S104" s="197"/>
      <c r="T104" s="197"/>
      <c r="U104" s="99"/>
      <c r="V104" s="197"/>
      <c r="W104" s="197"/>
      <c r="X104" s="197"/>
      <c r="Y104" s="99"/>
      <c r="Z104" s="99"/>
      <c r="AA104" s="197"/>
      <c r="AB104" s="197"/>
      <c r="AC104" s="197"/>
      <c r="AD104" s="197"/>
      <c r="AE104" s="197" t="s">
        <v>93</v>
      </c>
      <c r="AF104" s="99" t="s">
        <v>7561</v>
      </c>
      <c r="AG104" s="197" t="s">
        <v>95</v>
      </c>
      <c r="AH104" s="197"/>
      <c r="AI104" s="459"/>
      <c r="AJ104" s="99" t="s">
        <v>7254</v>
      </c>
      <c r="AK104" s="99"/>
      <c r="AL104" s="99"/>
      <c r="AM104" s="99"/>
      <c r="AN104" s="99"/>
      <c r="AO104" s="99"/>
      <c r="AP104" s="99"/>
      <c r="AQ104" s="99"/>
      <c r="AR104" s="99" t="s">
        <v>6942</v>
      </c>
      <c r="AS104" s="99" t="s">
        <v>7562</v>
      </c>
      <c r="AT104" s="99" t="s">
        <v>7563</v>
      </c>
      <c r="AU104" s="99" t="s">
        <v>93</v>
      </c>
      <c r="AV104" s="99" t="s">
        <v>92</v>
      </c>
      <c r="AW104" s="99" t="s">
        <v>92</v>
      </c>
      <c r="AX104" s="99" t="s">
        <v>93</v>
      </c>
      <c r="AY104" s="99" t="s">
        <v>93</v>
      </c>
      <c r="AZ104" s="460" t="s">
        <v>92</v>
      </c>
      <c r="BA104" s="460"/>
      <c r="BB104" s="460" t="s">
        <v>93</v>
      </c>
      <c r="BC104" s="460" t="s">
        <v>93</v>
      </c>
      <c r="BD104" s="460" t="s">
        <v>92</v>
      </c>
      <c r="BE104" s="460"/>
      <c r="BF104" s="460" t="s">
        <v>92</v>
      </c>
      <c r="BG104" s="460"/>
      <c r="BH104" s="460"/>
      <c r="BI104" s="460"/>
      <c r="BJ104" s="460"/>
      <c r="BK104" s="460" t="s">
        <v>93</v>
      </c>
      <c r="BL104" s="460"/>
      <c r="BM104" s="213" t="s">
        <v>7564</v>
      </c>
      <c r="BN104" s="213" t="s">
        <v>7565</v>
      </c>
      <c r="BO104" s="213" t="s">
        <v>7566</v>
      </c>
      <c r="BP104" s="213" t="s">
        <v>7567</v>
      </c>
      <c r="BQ104" s="99"/>
      <c r="BR104" s="99"/>
    </row>
    <row r="105" ht="15.75" customHeight="1">
      <c r="A105" s="197"/>
      <c r="B105" s="479" t="s">
        <v>7568</v>
      </c>
      <c r="C105" s="197">
        <v>167.0</v>
      </c>
      <c r="D105" s="99" t="s">
        <v>7569</v>
      </c>
      <c r="E105" s="99" t="s">
        <v>90</v>
      </c>
      <c r="F105" s="99" t="s">
        <v>7570</v>
      </c>
      <c r="G105" s="99"/>
      <c r="H105" s="99"/>
      <c r="I105" s="99"/>
      <c r="J105" s="99"/>
      <c r="K105" s="197">
        <v>2019.0</v>
      </c>
      <c r="L105" s="99" t="s">
        <v>92</v>
      </c>
      <c r="M105" s="99" t="s">
        <v>93</v>
      </c>
      <c r="N105" s="99" t="s">
        <v>92</v>
      </c>
      <c r="O105" s="99" t="s">
        <v>92</v>
      </c>
      <c r="P105" s="99" t="s">
        <v>95</v>
      </c>
      <c r="Q105" s="99" t="s">
        <v>114</v>
      </c>
      <c r="R105" s="197" t="s">
        <v>7262</v>
      </c>
      <c r="S105" s="197"/>
      <c r="T105" s="197"/>
      <c r="U105" s="99"/>
      <c r="V105" s="197"/>
      <c r="W105" s="197"/>
      <c r="X105" s="197"/>
      <c r="Y105" s="99"/>
      <c r="Z105" s="99"/>
      <c r="AA105" s="197"/>
      <c r="AB105" s="197"/>
      <c r="AC105" s="197"/>
      <c r="AD105" s="197"/>
      <c r="AE105" s="197" t="s">
        <v>93</v>
      </c>
      <c r="AF105" s="99" t="s">
        <v>7571</v>
      </c>
      <c r="AG105" s="197" t="s">
        <v>6990</v>
      </c>
      <c r="AH105" s="197"/>
      <c r="AI105" s="459"/>
      <c r="AJ105" s="99" t="s">
        <v>7283</v>
      </c>
      <c r="AK105" s="99"/>
      <c r="AL105" s="99"/>
      <c r="AM105" s="99"/>
      <c r="AN105" s="99"/>
      <c r="AO105" s="99"/>
      <c r="AP105" s="99"/>
      <c r="AQ105" s="99"/>
      <c r="AR105" s="99" t="s">
        <v>6942</v>
      </c>
      <c r="AS105" s="99" t="s">
        <v>3520</v>
      </c>
      <c r="AT105" s="99" t="s">
        <v>3451</v>
      </c>
      <c r="AU105" s="99" t="s">
        <v>92</v>
      </c>
      <c r="AV105" s="99" t="s">
        <v>92</v>
      </c>
      <c r="AW105" s="99" t="s">
        <v>92</v>
      </c>
      <c r="AX105" s="99" t="s">
        <v>93</v>
      </c>
      <c r="AY105" s="99" t="s">
        <v>92</v>
      </c>
      <c r="AZ105" s="460" t="s">
        <v>93</v>
      </c>
      <c r="BA105" s="460"/>
      <c r="BB105" s="460" t="s">
        <v>92</v>
      </c>
      <c r="BC105" s="460" t="s">
        <v>92</v>
      </c>
      <c r="BD105" s="460" t="s">
        <v>92</v>
      </c>
      <c r="BE105" s="460"/>
      <c r="BF105" s="460" t="s">
        <v>92</v>
      </c>
      <c r="BG105" s="460"/>
      <c r="BH105" s="460"/>
      <c r="BI105" s="460"/>
      <c r="BJ105" s="460"/>
      <c r="BK105" s="460" t="s">
        <v>93</v>
      </c>
      <c r="BL105" s="460"/>
      <c r="BM105" s="213" t="s">
        <v>7572</v>
      </c>
      <c r="BN105" s="213" t="s">
        <v>7573</v>
      </c>
      <c r="BO105" s="213" t="s">
        <v>7574</v>
      </c>
      <c r="BP105" s="470"/>
      <c r="BQ105" s="99"/>
      <c r="BR105" s="99"/>
    </row>
    <row r="106" ht="15.75" customHeight="1">
      <c r="A106" s="197"/>
      <c r="B106" s="99" t="s">
        <v>7575</v>
      </c>
      <c r="C106" s="197">
        <v>171.0</v>
      </c>
      <c r="D106" s="99" t="s">
        <v>7576</v>
      </c>
      <c r="E106" s="99" t="s">
        <v>90</v>
      </c>
      <c r="F106" s="99" t="s">
        <v>7577</v>
      </c>
      <c r="G106" s="99"/>
      <c r="H106" s="99"/>
      <c r="I106" s="99"/>
      <c r="J106" s="99"/>
      <c r="K106" s="197">
        <v>2007.0</v>
      </c>
      <c r="L106" s="99" t="s">
        <v>92</v>
      </c>
      <c r="M106" s="99" t="s">
        <v>92</v>
      </c>
      <c r="N106" s="99" t="s">
        <v>92</v>
      </c>
      <c r="O106" s="99" t="s">
        <v>93</v>
      </c>
      <c r="P106" s="99" t="s">
        <v>95</v>
      </c>
      <c r="Q106" s="99" t="s">
        <v>114</v>
      </c>
      <c r="R106" s="197" t="s">
        <v>7262</v>
      </c>
      <c r="S106" s="197"/>
      <c r="T106" s="197"/>
      <c r="U106" s="99"/>
      <c r="V106" s="197"/>
      <c r="W106" s="197"/>
      <c r="X106" s="197"/>
      <c r="Y106" s="99"/>
      <c r="Z106" s="99"/>
      <c r="AA106" s="197"/>
      <c r="AB106" s="197"/>
      <c r="AC106" s="197"/>
      <c r="AD106" s="197"/>
      <c r="AE106" s="197" t="s">
        <v>93</v>
      </c>
      <c r="AF106" s="99" t="s">
        <v>7578</v>
      </c>
      <c r="AG106" s="197" t="s">
        <v>6990</v>
      </c>
      <c r="AH106" s="197"/>
      <c r="AI106" s="459"/>
      <c r="AJ106" s="99" t="s">
        <v>7127</v>
      </c>
      <c r="AK106" s="99"/>
      <c r="AL106" s="99"/>
      <c r="AM106" s="99"/>
      <c r="AN106" s="99"/>
      <c r="AO106" s="99"/>
      <c r="AP106" s="99"/>
      <c r="AQ106" s="99"/>
      <c r="AR106" s="99" t="s">
        <v>6942</v>
      </c>
      <c r="AS106" s="99" t="s">
        <v>6886</v>
      </c>
      <c r="AT106" s="99" t="s">
        <v>3449</v>
      </c>
      <c r="AU106" s="99" t="s">
        <v>92</v>
      </c>
      <c r="AV106" s="99" t="s">
        <v>93</v>
      </c>
      <c r="AW106" s="99" t="s">
        <v>92</v>
      </c>
      <c r="AX106" s="99" t="s">
        <v>92</v>
      </c>
      <c r="AY106" s="99" t="s">
        <v>92</v>
      </c>
      <c r="AZ106" s="460" t="s">
        <v>92</v>
      </c>
      <c r="BA106" s="460"/>
      <c r="BB106" s="460" t="s">
        <v>92</v>
      </c>
      <c r="BC106" s="460" t="s">
        <v>92</v>
      </c>
      <c r="BD106" s="460" t="s">
        <v>92</v>
      </c>
      <c r="BE106" s="460"/>
      <c r="BF106" s="460" t="s">
        <v>92</v>
      </c>
      <c r="BG106" s="460"/>
      <c r="BH106" s="460"/>
      <c r="BI106" s="460"/>
      <c r="BJ106" s="460"/>
      <c r="BK106" s="460" t="s">
        <v>93</v>
      </c>
      <c r="BL106" s="460"/>
      <c r="BM106" s="213" t="s">
        <v>7579</v>
      </c>
      <c r="BN106" s="213" t="s">
        <v>7580</v>
      </c>
      <c r="BO106" s="470"/>
      <c r="BP106" s="470"/>
      <c r="BQ106" s="99"/>
      <c r="BR106" s="99"/>
    </row>
    <row r="107" ht="15.75" customHeight="1">
      <c r="A107" s="197"/>
      <c r="B107" s="99" t="s">
        <v>7581</v>
      </c>
      <c r="C107" s="197">
        <v>172.0</v>
      </c>
      <c r="D107" s="99" t="s">
        <v>7582</v>
      </c>
      <c r="E107" s="99" t="s">
        <v>90</v>
      </c>
      <c r="F107" s="99" t="s">
        <v>7583</v>
      </c>
      <c r="G107" s="99"/>
      <c r="H107" s="99"/>
      <c r="I107" s="99"/>
      <c r="J107" s="99"/>
      <c r="K107" s="197">
        <v>2005.0</v>
      </c>
      <c r="L107" s="99" t="s">
        <v>92</v>
      </c>
      <c r="M107" s="99" t="s">
        <v>92</v>
      </c>
      <c r="N107" s="99" t="s">
        <v>92</v>
      </c>
      <c r="O107" s="99" t="s">
        <v>93</v>
      </c>
      <c r="P107" s="99" t="s">
        <v>95</v>
      </c>
      <c r="Q107" s="99" t="s">
        <v>114</v>
      </c>
      <c r="R107" s="197" t="s">
        <v>7262</v>
      </c>
      <c r="S107" s="197"/>
      <c r="T107" s="197"/>
      <c r="U107" s="99"/>
      <c r="V107" s="197"/>
      <c r="W107" s="197"/>
      <c r="X107" s="197"/>
      <c r="Y107" s="99"/>
      <c r="Z107" s="99"/>
      <c r="AA107" s="197"/>
      <c r="AB107" s="197"/>
      <c r="AC107" s="197"/>
      <c r="AD107" s="197"/>
      <c r="AE107" s="197" t="s">
        <v>93</v>
      </c>
      <c r="AF107" s="99" t="s">
        <v>7584</v>
      </c>
      <c r="AG107" s="197" t="s">
        <v>6990</v>
      </c>
      <c r="AH107" s="197"/>
      <c r="AI107" s="459"/>
      <c r="AJ107" s="99" t="s">
        <v>7127</v>
      </c>
      <c r="AK107" s="99"/>
      <c r="AL107" s="99"/>
      <c r="AM107" s="99"/>
      <c r="AN107" s="99"/>
      <c r="AO107" s="99"/>
      <c r="AP107" s="99"/>
      <c r="AQ107" s="99"/>
      <c r="AR107" s="99" t="s">
        <v>6942</v>
      </c>
      <c r="AS107" s="99" t="s">
        <v>6886</v>
      </c>
      <c r="AT107" s="99" t="s">
        <v>3449</v>
      </c>
      <c r="AU107" s="99" t="s">
        <v>92</v>
      </c>
      <c r="AV107" s="99" t="s">
        <v>93</v>
      </c>
      <c r="AW107" s="99" t="s">
        <v>92</v>
      </c>
      <c r="AX107" s="99" t="s">
        <v>92</v>
      </c>
      <c r="AY107" s="99" t="s">
        <v>92</v>
      </c>
      <c r="AZ107" s="460" t="s">
        <v>92</v>
      </c>
      <c r="BA107" s="460"/>
      <c r="BB107" s="460" t="s">
        <v>93</v>
      </c>
      <c r="BC107" s="460" t="s">
        <v>92</v>
      </c>
      <c r="BD107" s="460" t="s">
        <v>92</v>
      </c>
      <c r="BE107" s="460"/>
      <c r="BF107" s="460" t="s">
        <v>92</v>
      </c>
      <c r="BG107" s="460"/>
      <c r="BH107" s="460"/>
      <c r="BI107" s="460"/>
      <c r="BJ107" s="460"/>
      <c r="BK107" s="460" t="s">
        <v>93</v>
      </c>
      <c r="BL107" s="460"/>
      <c r="BM107" s="213" t="s">
        <v>7579</v>
      </c>
      <c r="BN107" s="213" t="s">
        <v>7585</v>
      </c>
      <c r="BO107" s="470"/>
      <c r="BP107" s="470"/>
      <c r="BQ107" s="99"/>
      <c r="BR107" s="99"/>
    </row>
    <row r="108" ht="15.75" customHeight="1">
      <c r="A108" s="197"/>
      <c r="B108" s="99" t="s">
        <v>7586</v>
      </c>
      <c r="C108" s="197">
        <v>174.0</v>
      </c>
      <c r="D108" s="99" t="s">
        <v>7587</v>
      </c>
      <c r="E108" s="99" t="s">
        <v>90</v>
      </c>
      <c r="F108" s="99" t="s">
        <v>7588</v>
      </c>
      <c r="G108" s="99"/>
      <c r="H108" s="99"/>
      <c r="I108" s="99"/>
      <c r="J108" s="99"/>
      <c r="K108" s="197">
        <v>2022.0</v>
      </c>
      <c r="L108" s="99" t="s">
        <v>92</v>
      </c>
      <c r="M108" s="99" t="s">
        <v>92</v>
      </c>
      <c r="N108" s="99" t="s">
        <v>93</v>
      </c>
      <c r="O108" s="99" t="s">
        <v>92</v>
      </c>
      <c r="P108" s="99">
        <v>2022.0</v>
      </c>
      <c r="Q108" s="99" t="s">
        <v>96</v>
      </c>
      <c r="R108" s="197" t="s">
        <v>7262</v>
      </c>
      <c r="S108" s="197"/>
      <c r="T108" s="197"/>
      <c r="U108" s="99"/>
      <c r="V108" s="197"/>
      <c r="W108" s="197"/>
      <c r="X108" s="197"/>
      <c r="Y108" s="99"/>
      <c r="Z108" s="99"/>
      <c r="AA108" s="197"/>
      <c r="AB108" s="197"/>
      <c r="AC108" s="197"/>
      <c r="AD108" s="197"/>
      <c r="AE108" s="197" t="s">
        <v>93</v>
      </c>
      <c r="AF108" s="99" t="s">
        <v>7589</v>
      </c>
      <c r="AG108" s="197" t="s">
        <v>7448</v>
      </c>
      <c r="AH108" s="197"/>
      <c r="AI108" s="459"/>
      <c r="AJ108" s="99" t="s">
        <v>7106</v>
      </c>
      <c r="AK108" s="99"/>
      <c r="AL108" s="99"/>
      <c r="AM108" s="99"/>
      <c r="AN108" s="99"/>
      <c r="AO108" s="99"/>
      <c r="AP108" s="99"/>
      <c r="AQ108" s="99"/>
      <c r="AR108" s="99" t="s">
        <v>6942</v>
      </c>
      <c r="AS108" s="99" t="s">
        <v>3520</v>
      </c>
      <c r="AT108" s="99" t="s">
        <v>3451</v>
      </c>
      <c r="AU108" s="99" t="s">
        <v>92</v>
      </c>
      <c r="AV108" s="99" t="s">
        <v>92</v>
      </c>
      <c r="AW108" s="99" t="s">
        <v>92</v>
      </c>
      <c r="AX108" s="99" t="s">
        <v>93</v>
      </c>
      <c r="AY108" s="99" t="s">
        <v>92</v>
      </c>
      <c r="AZ108" s="460" t="s">
        <v>93</v>
      </c>
      <c r="BA108" s="460"/>
      <c r="BB108" s="460" t="s">
        <v>92</v>
      </c>
      <c r="BC108" s="460" t="s">
        <v>92</v>
      </c>
      <c r="BD108" s="460" t="s">
        <v>92</v>
      </c>
      <c r="BE108" s="460"/>
      <c r="BF108" s="460" t="s">
        <v>92</v>
      </c>
      <c r="BG108" s="460"/>
      <c r="BH108" s="460"/>
      <c r="BI108" s="460"/>
      <c r="BJ108" s="460"/>
      <c r="BK108" s="460" t="s">
        <v>92</v>
      </c>
      <c r="BL108" s="460"/>
      <c r="BM108" s="213" t="s">
        <v>7590</v>
      </c>
      <c r="BN108" s="213" t="s">
        <v>7591</v>
      </c>
      <c r="BO108" s="470"/>
      <c r="BP108" s="470"/>
      <c r="BQ108" s="99"/>
      <c r="BR108" s="99"/>
    </row>
    <row r="109" ht="15.75" customHeight="1">
      <c r="A109" s="197"/>
      <c r="B109" s="99" t="s">
        <v>7592</v>
      </c>
      <c r="C109" s="197">
        <v>178.0</v>
      </c>
      <c r="D109" s="99" t="s">
        <v>7593</v>
      </c>
      <c r="E109" s="99" t="s">
        <v>90</v>
      </c>
      <c r="F109" s="99" t="s">
        <v>7594</v>
      </c>
      <c r="G109" s="99"/>
      <c r="H109" s="99"/>
      <c r="I109" s="99"/>
      <c r="J109" s="99"/>
      <c r="K109" s="197">
        <v>2019.0</v>
      </c>
      <c r="L109" s="99" t="s">
        <v>93</v>
      </c>
      <c r="M109" s="99" t="s">
        <v>93</v>
      </c>
      <c r="N109" s="99" t="s">
        <v>93</v>
      </c>
      <c r="O109" s="99" t="s">
        <v>92</v>
      </c>
      <c r="P109" s="99">
        <v>2022.0</v>
      </c>
      <c r="Q109" s="99" t="s">
        <v>96</v>
      </c>
      <c r="R109" s="197" t="s">
        <v>7262</v>
      </c>
      <c r="S109" s="197"/>
      <c r="T109" s="197"/>
      <c r="U109" s="99"/>
      <c r="V109" s="197"/>
      <c r="W109" s="197"/>
      <c r="X109" s="197"/>
      <c r="Y109" s="99"/>
      <c r="Z109" s="99"/>
      <c r="AA109" s="197"/>
      <c r="AB109" s="197"/>
      <c r="AC109" s="197"/>
      <c r="AD109" s="197"/>
      <c r="AE109" s="197" t="s">
        <v>93</v>
      </c>
      <c r="AF109" s="99" t="s">
        <v>7595</v>
      </c>
      <c r="AG109" s="197" t="s">
        <v>7448</v>
      </c>
      <c r="AH109" s="197"/>
      <c r="AI109" s="459"/>
      <c r="AJ109" s="99" t="s">
        <v>7106</v>
      </c>
      <c r="AK109" s="99"/>
      <c r="AL109" s="99"/>
      <c r="AM109" s="99"/>
      <c r="AN109" s="99"/>
      <c r="AO109" s="99"/>
      <c r="AP109" s="99"/>
      <c r="AQ109" s="99"/>
      <c r="AR109" s="99" t="s">
        <v>6942</v>
      </c>
      <c r="AS109" s="99" t="s">
        <v>3520</v>
      </c>
      <c r="AT109" s="99" t="s">
        <v>3451</v>
      </c>
      <c r="AU109" s="99" t="s">
        <v>92</v>
      </c>
      <c r="AV109" s="99" t="s">
        <v>92</v>
      </c>
      <c r="AW109" s="99" t="s">
        <v>92</v>
      </c>
      <c r="AX109" s="99" t="s">
        <v>93</v>
      </c>
      <c r="AY109" s="99" t="s">
        <v>92</v>
      </c>
      <c r="AZ109" s="460" t="s">
        <v>93</v>
      </c>
      <c r="BA109" s="460"/>
      <c r="BB109" s="460" t="s">
        <v>92</v>
      </c>
      <c r="BC109" s="460" t="s">
        <v>92</v>
      </c>
      <c r="BD109" s="460" t="s">
        <v>92</v>
      </c>
      <c r="BE109" s="460"/>
      <c r="BF109" s="460" t="s">
        <v>92</v>
      </c>
      <c r="BG109" s="460"/>
      <c r="BH109" s="460"/>
      <c r="BI109" s="460"/>
      <c r="BJ109" s="460"/>
      <c r="BK109" s="460" t="s">
        <v>93</v>
      </c>
      <c r="BL109" s="460"/>
      <c r="BM109" s="213" t="s">
        <v>7596</v>
      </c>
      <c r="BN109" s="213" t="s">
        <v>7597</v>
      </c>
      <c r="BO109" s="213" t="s">
        <v>7598</v>
      </c>
      <c r="BP109" s="213" t="s">
        <v>7599</v>
      </c>
      <c r="BQ109" s="99"/>
      <c r="BR109" s="99"/>
    </row>
    <row r="110" ht="15.75" customHeight="1">
      <c r="A110" s="197"/>
      <c r="B110" s="99" t="s">
        <v>7600</v>
      </c>
      <c r="C110" s="197">
        <v>179.0</v>
      </c>
      <c r="D110" s="99" t="s">
        <v>7601</v>
      </c>
      <c r="E110" s="99" t="s">
        <v>189</v>
      </c>
      <c r="F110" s="99" t="s">
        <v>7602</v>
      </c>
      <c r="G110" s="99" t="s">
        <v>3346</v>
      </c>
      <c r="H110" s="99"/>
      <c r="I110" s="99"/>
      <c r="J110" s="99"/>
      <c r="K110" s="197">
        <v>2022.0</v>
      </c>
      <c r="L110" s="99" t="s">
        <v>92</v>
      </c>
      <c r="M110" s="99" t="s">
        <v>92</v>
      </c>
      <c r="N110" s="99" t="s">
        <v>93</v>
      </c>
      <c r="O110" s="99" t="s">
        <v>92</v>
      </c>
      <c r="P110" s="99">
        <v>2022.0</v>
      </c>
      <c r="Q110" s="99" t="s">
        <v>96</v>
      </c>
      <c r="R110" s="197" t="s">
        <v>7262</v>
      </c>
      <c r="S110" s="197"/>
      <c r="T110" s="197"/>
      <c r="U110" s="99"/>
      <c r="V110" s="197"/>
      <c r="W110" s="197"/>
      <c r="X110" s="197"/>
      <c r="Y110" s="99"/>
      <c r="Z110" s="99"/>
      <c r="AA110" s="197"/>
      <c r="AB110" s="197"/>
      <c r="AC110" s="197"/>
      <c r="AD110" s="197"/>
      <c r="AE110" s="197" t="s">
        <v>93</v>
      </c>
      <c r="AF110" s="99" t="s">
        <v>7603</v>
      </c>
      <c r="AG110" s="197" t="s">
        <v>6990</v>
      </c>
      <c r="AH110" s="197"/>
      <c r="AI110" s="459"/>
      <c r="AJ110" s="99" t="s">
        <v>7106</v>
      </c>
      <c r="AK110" s="99"/>
      <c r="AL110" s="99"/>
      <c r="AM110" s="99"/>
      <c r="AN110" s="99"/>
      <c r="AO110" s="99"/>
      <c r="AP110" s="99"/>
      <c r="AQ110" s="99"/>
      <c r="AR110" s="99" t="s">
        <v>6972</v>
      </c>
      <c r="AS110" s="99" t="s">
        <v>6886</v>
      </c>
      <c r="AT110" s="99" t="s">
        <v>3449</v>
      </c>
      <c r="AU110" s="99" t="s">
        <v>92</v>
      </c>
      <c r="AV110" s="99" t="s">
        <v>93</v>
      </c>
      <c r="AW110" s="99" t="s">
        <v>92</v>
      </c>
      <c r="AX110" s="99" t="s">
        <v>92</v>
      </c>
      <c r="AY110" s="99" t="s">
        <v>92</v>
      </c>
      <c r="AZ110" s="460" t="s">
        <v>93</v>
      </c>
      <c r="BA110" s="460"/>
      <c r="BB110" s="460" t="s">
        <v>92</v>
      </c>
      <c r="BC110" s="460" t="s">
        <v>92</v>
      </c>
      <c r="BD110" s="460" t="s">
        <v>92</v>
      </c>
      <c r="BE110" s="460"/>
      <c r="BF110" s="460" t="s">
        <v>92</v>
      </c>
      <c r="BG110" s="460"/>
      <c r="BH110" s="460"/>
      <c r="BI110" s="460"/>
      <c r="BJ110" s="460"/>
      <c r="BK110" s="460" t="s">
        <v>92</v>
      </c>
      <c r="BL110" s="460"/>
      <c r="BM110" s="213" t="s">
        <v>7596</v>
      </c>
      <c r="BN110" s="470"/>
      <c r="BO110" s="470"/>
      <c r="BP110" s="470"/>
      <c r="BQ110" s="99"/>
      <c r="BR110" s="99"/>
    </row>
    <row r="111" ht="15.75" customHeight="1">
      <c r="A111" s="197"/>
      <c r="B111" s="99" t="s">
        <v>7604</v>
      </c>
      <c r="C111" s="197">
        <v>180.0</v>
      </c>
      <c r="D111" s="99" t="s">
        <v>7605</v>
      </c>
      <c r="E111" s="99" t="s">
        <v>189</v>
      </c>
      <c r="F111" s="99" t="s">
        <v>7606</v>
      </c>
      <c r="G111" s="99" t="s">
        <v>3346</v>
      </c>
      <c r="H111" s="99"/>
      <c r="I111" s="99"/>
      <c r="J111" s="99"/>
      <c r="K111" s="197">
        <v>2022.0</v>
      </c>
      <c r="L111" s="99" t="s">
        <v>92</v>
      </c>
      <c r="M111" s="99" t="s">
        <v>92</v>
      </c>
      <c r="N111" s="99" t="s">
        <v>93</v>
      </c>
      <c r="O111" s="99" t="s">
        <v>92</v>
      </c>
      <c r="P111" s="99">
        <v>2022.0</v>
      </c>
      <c r="Q111" s="99" t="s">
        <v>96</v>
      </c>
      <c r="R111" s="197" t="s">
        <v>7262</v>
      </c>
      <c r="S111" s="197"/>
      <c r="T111" s="197"/>
      <c r="U111" s="99"/>
      <c r="V111" s="197"/>
      <c r="W111" s="197"/>
      <c r="X111" s="197"/>
      <c r="Y111" s="99"/>
      <c r="Z111" s="99"/>
      <c r="AA111" s="197"/>
      <c r="AB111" s="197"/>
      <c r="AC111" s="197"/>
      <c r="AD111" s="197"/>
      <c r="AE111" s="197" t="s">
        <v>93</v>
      </c>
      <c r="AF111" s="99" t="s">
        <v>7607</v>
      </c>
      <c r="AG111" s="197" t="s">
        <v>6990</v>
      </c>
      <c r="AH111" s="197"/>
      <c r="AI111" s="459"/>
      <c r="AJ111" s="99" t="s">
        <v>7106</v>
      </c>
      <c r="AK111" s="99"/>
      <c r="AL111" s="99"/>
      <c r="AM111" s="99"/>
      <c r="AN111" s="99"/>
      <c r="AO111" s="99"/>
      <c r="AP111" s="99"/>
      <c r="AQ111" s="99"/>
      <c r="AR111" s="99" t="s">
        <v>6972</v>
      </c>
      <c r="AS111" s="99" t="s">
        <v>3605</v>
      </c>
      <c r="AT111" s="99" t="s">
        <v>3452</v>
      </c>
      <c r="AU111" s="99" t="s">
        <v>92</v>
      </c>
      <c r="AV111" s="99" t="s">
        <v>92</v>
      </c>
      <c r="AW111" s="99" t="s">
        <v>92</v>
      </c>
      <c r="AX111" s="99" t="s">
        <v>92</v>
      </c>
      <c r="AY111" s="99" t="s">
        <v>93</v>
      </c>
      <c r="AZ111" s="460" t="s">
        <v>93</v>
      </c>
      <c r="BA111" s="460"/>
      <c r="BB111" s="460" t="s">
        <v>92</v>
      </c>
      <c r="BC111" s="460" t="s">
        <v>92</v>
      </c>
      <c r="BD111" s="460" t="s">
        <v>92</v>
      </c>
      <c r="BE111" s="460"/>
      <c r="BF111" s="460" t="s">
        <v>92</v>
      </c>
      <c r="BG111" s="460"/>
      <c r="BH111" s="460"/>
      <c r="BI111" s="460"/>
      <c r="BJ111" s="460"/>
      <c r="BK111" s="460" t="s">
        <v>92</v>
      </c>
      <c r="BL111" s="460"/>
      <c r="BM111" s="213" t="s">
        <v>7596</v>
      </c>
      <c r="BN111" s="470"/>
      <c r="BO111" s="470"/>
      <c r="BP111" s="470"/>
      <c r="BQ111" s="99"/>
      <c r="BR111" s="99"/>
    </row>
    <row r="112" ht="15.75" customHeight="1">
      <c r="A112" s="197"/>
      <c r="B112" s="99" t="s">
        <v>7608</v>
      </c>
      <c r="C112" s="197">
        <v>182.0</v>
      </c>
      <c r="D112" s="99" t="s">
        <v>7609</v>
      </c>
      <c r="E112" s="99" t="s">
        <v>189</v>
      </c>
      <c r="F112" s="99" t="s">
        <v>7610</v>
      </c>
      <c r="G112" s="99" t="s">
        <v>3346</v>
      </c>
      <c r="H112" s="99"/>
      <c r="I112" s="99"/>
      <c r="J112" s="99"/>
      <c r="K112" s="197">
        <v>2022.0</v>
      </c>
      <c r="L112" s="99" t="s">
        <v>92</v>
      </c>
      <c r="M112" s="99" t="s">
        <v>92</v>
      </c>
      <c r="N112" s="99" t="s">
        <v>93</v>
      </c>
      <c r="O112" s="99" t="s">
        <v>92</v>
      </c>
      <c r="P112" s="99">
        <v>2022.0</v>
      </c>
      <c r="Q112" s="99" t="s">
        <v>96</v>
      </c>
      <c r="R112" s="197" t="s">
        <v>7262</v>
      </c>
      <c r="S112" s="197"/>
      <c r="T112" s="197"/>
      <c r="U112" s="99"/>
      <c r="V112" s="197"/>
      <c r="W112" s="197"/>
      <c r="X112" s="197"/>
      <c r="Y112" s="99"/>
      <c r="Z112" s="99"/>
      <c r="AA112" s="197"/>
      <c r="AB112" s="197"/>
      <c r="AC112" s="197"/>
      <c r="AD112" s="197"/>
      <c r="AE112" s="197" t="s">
        <v>93</v>
      </c>
      <c r="AF112" s="99" t="s">
        <v>7611</v>
      </c>
      <c r="AG112" s="197" t="s">
        <v>6990</v>
      </c>
      <c r="AH112" s="197"/>
      <c r="AI112" s="459"/>
      <c r="AJ112" s="99" t="s">
        <v>7106</v>
      </c>
      <c r="AK112" s="99"/>
      <c r="AL112" s="99"/>
      <c r="AM112" s="99"/>
      <c r="AN112" s="99"/>
      <c r="AO112" s="99"/>
      <c r="AP112" s="99"/>
      <c r="AQ112" s="99"/>
      <c r="AR112" s="99" t="s">
        <v>6942</v>
      </c>
      <c r="AS112" s="99" t="s">
        <v>3818</v>
      </c>
      <c r="AT112" s="99" t="s">
        <v>3449</v>
      </c>
      <c r="AU112" s="99" t="s">
        <v>92</v>
      </c>
      <c r="AV112" s="99" t="s">
        <v>93</v>
      </c>
      <c r="AW112" s="99" t="s">
        <v>92</v>
      </c>
      <c r="AX112" s="99" t="s">
        <v>92</v>
      </c>
      <c r="AY112" s="99" t="s">
        <v>92</v>
      </c>
      <c r="AZ112" s="460" t="s">
        <v>93</v>
      </c>
      <c r="BA112" s="460"/>
      <c r="BB112" s="460" t="s">
        <v>92</v>
      </c>
      <c r="BC112" s="460" t="s">
        <v>92</v>
      </c>
      <c r="BD112" s="460" t="s">
        <v>92</v>
      </c>
      <c r="BE112" s="460"/>
      <c r="BF112" s="460" t="s">
        <v>92</v>
      </c>
      <c r="BG112" s="460"/>
      <c r="BH112" s="460"/>
      <c r="BI112" s="460"/>
      <c r="BJ112" s="460"/>
      <c r="BK112" s="460" t="s">
        <v>92</v>
      </c>
      <c r="BL112" s="460"/>
      <c r="BM112" s="213" t="s">
        <v>7596</v>
      </c>
      <c r="BN112" s="470"/>
      <c r="BO112" s="470"/>
      <c r="BP112" s="470"/>
      <c r="BQ112" s="99"/>
      <c r="BR112" s="99"/>
    </row>
    <row r="113" ht="15.75" customHeight="1">
      <c r="A113" s="197"/>
      <c r="B113" s="99" t="s">
        <v>7612</v>
      </c>
      <c r="C113" s="197">
        <v>184.0</v>
      </c>
      <c r="D113" s="459" t="s">
        <v>7613</v>
      </c>
      <c r="E113" s="99" t="s">
        <v>90</v>
      </c>
      <c r="F113" s="99" t="s">
        <v>7614</v>
      </c>
      <c r="G113" s="99"/>
      <c r="H113" s="99"/>
      <c r="I113" s="99"/>
      <c r="J113" s="99"/>
      <c r="K113" s="197">
        <v>2017.0</v>
      </c>
      <c r="L113" s="99" t="s">
        <v>93</v>
      </c>
      <c r="M113" s="99" t="s">
        <v>93</v>
      </c>
      <c r="N113" s="99" t="s">
        <v>93</v>
      </c>
      <c r="O113" s="99" t="s">
        <v>93</v>
      </c>
      <c r="P113" s="99" t="s">
        <v>95</v>
      </c>
      <c r="Q113" s="99" t="s">
        <v>114</v>
      </c>
      <c r="R113" s="197" t="s">
        <v>7262</v>
      </c>
      <c r="S113" s="197"/>
      <c r="T113" s="197"/>
      <c r="U113" s="99"/>
      <c r="V113" s="197"/>
      <c r="W113" s="197"/>
      <c r="X113" s="197"/>
      <c r="Y113" s="99"/>
      <c r="Z113" s="99"/>
      <c r="AA113" s="197"/>
      <c r="AB113" s="197"/>
      <c r="AC113" s="197"/>
      <c r="AD113" s="197"/>
      <c r="AE113" s="197" t="s">
        <v>93</v>
      </c>
      <c r="AF113" s="99" t="s">
        <v>7615</v>
      </c>
      <c r="AG113" s="197" t="s">
        <v>6982</v>
      </c>
      <c r="AH113" s="197"/>
      <c r="AI113" s="459"/>
      <c r="AJ113" s="99" t="s">
        <v>7127</v>
      </c>
      <c r="AK113" s="99"/>
      <c r="AL113" s="99"/>
      <c r="AM113" s="99"/>
      <c r="AN113" s="99"/>
      <c r="AO113" s="99"/>
      <c r="AP113" s="99"/>
      <c r="AQ113" s="99"/>
      <c r="AR113" s="99" t="s">
        <v>6942</v>
      </c>
      <c r="AS113" s="99" t="s">
        <v>7616</v>
      </c>
      <c r="AT113" s="99" t="s">
        <v>6974</v>
      </c>
      <c r="AU113" s="99" t="s">
        <v>92</v>
      </c>
      <c r="AV113" s="99" t="s">
        <v>92</v>
      </c>
      <c r="AW113" s="99" t="s">
        <v>92</v>
      </c>
      <c r="AX113" s="99" t="s">
        <v>93</v>
      </c>
      <c r="AY113" s="99" t="s">
        <v>93</v>
      </c>
      <c r="AZ113" s="460" t="s">
        <v>92</v>
      </c>
      <c r="BA113" s="460"/>
      <c r="BB113" s="460" t="s">
        <v>92</v>
      </c>
      <c r="BC113" s="460" t="s">
        <v>92</v>
      </c>
      <c r="BD113" s="460" t="s">
        <v>92</v>
      </c>
      <c r="BE113" s="460"/>
      <c r="BF113" s="460" t="s">
        <v>92</v>
      </c>
      <c r="BG113" s="460"/>
      <c r="BH113" s="460"/>
      <c r="BI113" s="460"/>
      <c r="BJ113" s="460"/>
      <c r="BK113" s="460" t="s">
        <v>93</v>
      </c>
      <c r="BL113" s="460"/>
      <c r="BM113" s="213" t="s">
        <v>7596</v>
      </c>
      <c r="BN113" s="213" t="s">
        <v>7617</v>
      </c>
      <c r="BO113" s="213" t="s">
        <v>7599</v>
      </c>
      <c r="BP113" s="470"/>
      <c r="BQ113" s="99"/>
      <c r="BR113" s="99"/>
    </row>
    <row r="114" ht="15.75" customHeight="1">
      <c r="A114" s="197"/>
      <c r="B114" s="99" t="s">
        <v>7618</v>
      </c>
      <c r="C114" s="197">
        <v>185.0</v>
      </c>
      <c r="D114" s="99" t="s">
        <v>7619</v>
      </c>
      <c r="E114" s="99" t="s">
        <v>90</v>
      </c>
      <c r="F114" s="479" t="s">
        <v>7620</v>
      </c>
      <c r="G114" s="99"/>
      <c r="H114" s="99"/>
      <c r="I114" s="99"/>
      <c r="J114" s="99"/>
      <c r="K114" s="197">
        <v>2020.0</v>
      </c>
      <c r="L114" s="99" t="s">
        <v>93</v>
      </c>
      <c r="M114" s="99" t="s">
        <v>93</v>
      </c>
      <c r="N114" s="99" t="s">
        <v>93</v>
      </c>
      <c r="O114" s="99" t="s">
        <v>93</v>
      </c>
      <c r="P114" s="99" t="s">
        <v>95</v>
      </c>
      <c r="Q114" s="99" t="s">
        <v>114</v>
      </c>
      <c r="R114" s="197" t="s">
        <v>7262</v>
      </c>
      <c r="S114" s="197"/>
      <c r="T114" s="197"/>
      <c r="U114" s="99"/>
      <c r="V114" s="197"/>
      <c r="W114" s="197"/>
      <c r="X114" s="197"/>
      <c r="Y114" s="99"/>
      <c r="Z114" s="99"/>
      <c r="AA114" s="197"/>
      <c r="AB114" s="197"/>
      <c r="AC114" s="197"/>
      <c r="AD114" s="197"/>
      <c r="AE114" s="197" t="s">
        <v>93</v>
      </c>
      <c r="AF114" s="99" t="s">
        <v>7621</v>
      </c>
      <c r="AG114" s="197" t="s">
        <v>6990</v>
      </c>
      <c r="AH114" s="197"/>
      <c r="AI114" s="459"/>
      <c r="AJ114" s="99" t="s">
        <v>7106</v>
      </c>
      <c r="AK114" s="99"/>
      <c r="AL114" s="99"/>
      <c r="AM114" s="99"/>
      <c r="AN114" s="99"/>
      <c r="AO114" s="99"/>
      <c r="AP114" s="99"/>
      <c r="AQ114" s="99"/>
      <c r="AR114" s="99" t="s">
        <v>6942</v>
      </c>
      <c r="AS114" s="99" t="s">
        <v>3520</v>
      </c>
      <c r="AT114" s="99" t="s">
        <v>3451</v>
      </c>
      <c r="AU114" s="99" t="s">
        <v>92</v>
      </c>
      <c r="AV114" s="99" t="s">
        <v>92</v>
      </c>
      <c r="AW114" s="99" t="s">
        <v>92</v>
      </c>
      <c r="AX114" s="99" t="s">
        <v>93</v>
      </c>
      <c r="AY114" s="99" t="s">
        <v>92</v>
      </c>
      <c r="AZ114" s="460" t="s">
        <v>93</v>
      </c>
      <c r="BA114" s="460"/>
      <c r="BB114" s="460" t="s">
        <v>93</v>
      </c>
      <c r="BC114" s="460" t="s">
        <v>92</v>
      </c>
      <c r="BD114" s="460" t="s">
        <v>92</v>
      </c>
      <c r="BE114" s="460"/>
      <c r="BF114" s="460" t="s">
        <v>92</v>
      </c>
      <c r="BG114" s="460"/>
      <c r="BH114" s="460"/>
      <c r="BI114" s="460"/>
      <c r="BJ114" s="460"/>
      <c r="BK114" s="460" t="s">
        <v>93</v>
      </c>
      <c r="BL114" s="460"/>
      <c r="BM114" s="213" t="s">
        <v>7596</v>
      </c>
      <c r="BN114" s="213" t="s">
        <v>7622</v>
      </c>
      <c r="BO114" s="213" t="s">
        <v>7623</v>
      </c>
      <c r="BP114" s="213" t="s">
        <v>7624</v>
      </c>
      <c r="BQ114" s="99"/>
      <c r="BR114" s="99"/>
    </row>
    <row r="115" ht="15.75" customHeight="1">
      <c r="A115" s="197"/>
      <c r="B115" s="99" t="s">
        <v>7625</v>
      </c>
      <c r="C115" s="197">
        <v>186.0</v>
      </c>
      <c r="D115" s="99" t="s">
        <v>7626</v>
      </c>
      <c r="E115" s="99" t="s">
        <v>90</v>
      </c>
      <c r="F115" s="99" t="s">
        <v>7627</v>
      </c>
      <c r="G115" s="99"/>
      <c r="H115" s="99"/>
      <c r="I115" s="99"/>
      <c r="J115" s="99"/>
      <c r="K115" s="197">
        <v>2017.0</v>
      </c>
      <c r="L115" s="99" t="s">
        <v>93</v>
      </c>
      <c r="M115" s="99" t="s">
        <v>93</v>
      </c>
      <c r="N115" s="99" t="s">
        <v>93</v>
      </c>
      <c r="O115" s="99" t="s">
        <v>93</v>
      </c>
      <c r="P115" s="99" t="s">
        <v>95</v>
      </c>
      <c r="Q115" s="99" t="s">
        <v>114</v>
      </c>
      <c r="R115" s="197" t="s">
        <v>7262</v>
      </c>
      <c r="S115" s="197"/>
      <c r="T115" s="197"/>
      <c r="U115" s="99"/>
      <c r="V115" s="197"/>
      <c r="W115" s="197"/>
      <c r="X115" s="197"/>
      <c r="Y115" s="99"/>
      <c r="Z115" s="99"/>
      <c r="AA115" s="197"/>
      <c r="AB115" s="197"/>
      <c r="AC115" s="197"/>
      <c r="AD115" s="197"/>
      <c r="AE115" s="197" t="s">
        <v>93</v>
      </c>
      <c r="AF115" s="99" t="s">
        <v>7628</v>
      </c>
      <c r="AG115" s="197" t="s">
        <v>6941</v>
      </c>
      <c r="AH115" s="197"/>
      <c r="AI115" s="459"/>
      <c r="AJ115" s="99" t="s">
        <v>7106</v>
      </c>
      <c r="AK115" s="99"/>
      <c r="AL115" s="99"/>
      <c r="AM115" s="99"/>
      <c r="AN115" s="99"/>
      <c r="AO115" s="99"/>
      <c r="AP115" s="99"/>
      <c r="AQ115" s="99"/>
      <c r="AR115" s="99" t="s">
        <v>6942</v>
      </c>
      <c r="AS115" s="99" t="s">
        <v>7629</v>
      </c>
      <c r="AT115" s="99" t="s">
        <v>3451</v>
      </c>
      <c r="AU115" s="99" t="s">
        <v>92</v>
      </c>
      <c r="AV115" s="99" t="s">
        <v>92</v>
      </c>
      <c r="AW115" s="99" t="s">
        <v>92</v>
      </c>
      <c r="AX115" s="99" t="s">
        <v>93</v>
      </c>
      <c r="AY115" s="99" t="s">
        <v>92</v>
      </c>
      <c r="AZ115" s="460" t="s">
        <v>93</v>
      </c>
      <c r="BA115" s="460"/>
      <c r="BB115" s="460" t="s">
        <v>93</v>
      </c>
      <c r="BC115" s="460" t="s">
        <v>92</v>
      </c>
      <c r="BD115" s="460" t="s">
        <v>92</v>
      </c>
      <c r="BE115" s="460"/>
      <c r="BF115" s="460" t="s">
        <v>92</v>
      </c>
      <c r="BG115" s="460"/>
      <c r="BH115" s="460"/>
      <c r="BI115" s="460"/>
      <c r="BJ115" s="460"/>
      <c r="BK115" s="460" t="s">
        <v>93</v>
      </c>
      <c r="BL115" s="460"/>
      <c r="BM115" s="213" t="s">
        <v>7630</v>
      </c>
      <c r="BN115" s="213" t="s">
        <v>7596</v>
      </c>
      <c r="BO115" s="470"/>
      <c r="BP115" s="470"/>
      <c r="BQ115" s="99"/>
      <c r="BR115" s="99"/>
    </row>
    <row r="116" ht="15.75" customHeight="1">
      <c r="A116" s="197"/>
      <c r="B116" s="99" t="s">
        <v>7631</v>
      </c>
      <c r="C116" s="197">
        <v>195.0</v>
      </c>
      <c r="D116" s="99" t="s">
        <v>7632</v>
      </c>
      <c r="E116" s="99" t="s">
        <v>189</v>
      </c>
      <c r="F116" s="99" t="s">
        <v>7633</v>
      </c>
      <c r="G116" s="99" t="s">
        <v>3346</v>
      </c>
      <c r="H116" s="99"/>
      <c r="I116" s="99"/>
      <c r="J116" s="99"/>
      <c r="K116" s="197">
        <v>2020.0</v>
      </c>
      <c r="L116" s="99" t="s">
        <v>93</v>
      </c>
      <c r="M116" s="99" t="s">
        <v>92</v>
      </c>
      <c r="N116" s="99" t="s">
        <v>92</v>
      </c>
      <c r="O116" s="99" t="s">
        <v>92</v>
      </c>
      <c r="P116" s="99">
        <v>2020.0</v>
      </c>
      <c r="Q116" s="99" t="s">
        <v>96</v>
      </c>
      <c r="R116" s="197" t="s">
        <v>7262</v>
      </c>
      <c r="S116" s="197"/>
      <c r="T116" s="197"/>
      <c r="U116" s="99"/>
      <c r="V116" s="197"/>
      <c r="W116" s="197"/>
      <c r="X116" s="197"/>
      <c r="Y116" s="197"/>
      <c r="Z116" s="99"/>
      <c r="AA116" s="197"/>
      <c r="AB116" s="197"/>
      <c r="AC116" s="197"/>
      <c r="AD116" s="197"/>
      <c r="AE116" s="197" t="s">
        <v>93</v>
      </c>
      <c r="AF116" s="99" t="s">
        <v>237</v>
      </c>
      <c r="AG116" s="197" t="s">
        <v>6982</v>
      </c>
      <c r="AH116" s="197"/>
      <c r="AI116" s="459"/>
      <c r="AJ116" s="99" t="s">
        <v>7106</v>
      </c>
      <c r="AK116" s="99"/>
      <c r="AL116" s="99"/>
      <c r="AM116" s="99"/>
      <c r="AN116" s="99"/>
      <c r="AO116" s="99"/>
      <c r="AP116" s="99"/>
      <c r="AQ116" s="99"/>
      <c r="AR116" s="99" t="s">
        <v>6972</v>
      </c>
      <c r="AS116" s="99" t="s">
        <v>7634</v>
      </c>
      <c r="AT116" s="99" t="s">
        <v>7635</v>
      </c>
      <c r="AU116" s="99" t="s">
        <v>93</v>
      </c>
      <c r="AV116" s="99" t="s">
        <v>92</v>
      </c>
      <c r="AW116" s="99" t="s">
        <v>93</v>
      </c>
      <c r="AX116" s="99" t="s">
        <v>92</v>
      </c>
      <c r="AY116" s="99" t="s">
        <v>92</v>
      </c>
      <c r="AZ116" s="460" t="s">
        <v>93</v>
      </c>
      <c r="BA116" s="460"/>
      <c r="BB116" s="460" t="s">
        <v>92</v>
      </c>
      <c r="BC116" s="460" t="s">
        <v>92</v>
      </c>
      <c r="BD116" s="460" t="s">
        <v>92</v>
      </c>
      <c r="BE116" s="460"/>
      <c r="BF116" s="460" t="s">
        <v>92</v>
      </c>
      <c r="BG116" s="460"/>
      <c r="BH116" s="460"/>
      <c r="BI116" s="460"/>
      <c r="BJ116" s="460"/>
      <c r="BK116" s="460" t="s">
        <v>92</v>
      </c>
      <c r="BL116" s="460"/>
      <c r="BM116" s="213" t="s">
        <v>7636</v>
      </c>
      <c r="BN116" s="213" t="s">
        <v>7637</v>
      </c>
      <c r="BO116" s="213" t="s">
        <v>7638</v>
      </c>
      <c r="BP116" s="213" t="s">
        <v>7639</v>
      </c>
      <c r="BQ116" s="475"/>
      <c r="BR116" s="475"/>
    </row>
    <row r="117" ht="15.75" customHeight="1">
      <c r="A117" s="197"/>
      <c r="B117" s="99" t="s">
        <v>7640</v>
      </c>
      <c r="C117" s="197">
        <v>198.0</v>
      </c>
      <c r="D117" s="99" t="s">
        <v>7641</v>
      </c>
      <c r="E117" s="99" t="s">
        <v>90</v>
      </c>
      <c r="F117" s="99" t="s">
        <v>7642</v>
      </c>
      <c r="G117" s="99"/>
      <c r="H117" s="99"/>
      <c r="I117" s="99"/>
      <c r="J117" s="99"/>
      <c r="K117" s="197" t="s">
        <v>105</v>
      </c>
      <c r="L117" s="99" t="s">
        <v>93</v>
      </c>
      <c r="M117" s="99" t="s">
        <v>93</v>
      </c>
      <c r="N117" s="99" t="s">
        <v>93</v>
      </c>
      <c r="O117" s="99" t="s">
        <v>93</v>
      </c>
      <c r="P117" s="99" t="s">
        <v>95</v>
      </c>
      <c r="Q117" s="99" t="s">
        <v>114</v>
      </c>
      <c r="R117" s="197" t="s">
        <v>7643</v>
      </c>
      <c r="S117" s="197"/>
      <c r="T117" s="197"/>
      <c r="U117" s="99"/>
      <c r="V117" s="197"/>
      <c r="W117" s="197"/>
      <c r="X117" s="197"/>
      <c r="Y117" s="197"/>
      <c r="Z117" s="99"/>
      <c r="AA117" s="197"/>
      <c r="AB117" s="197"/>
      <c r="AC117" s="197"/>
      <c r="AD117" s="197"/>
      <c r="AE117" s="197" t="s">
        <v>93</v>
      </c>
      <c r="AF117" s="99" t="s">
        <v>7644</v>
      </c>
      <c r="AG117" s="197" t="s">
        <v>6982</v>
      </c>
      <c r="AH117" s="197"/>
      <c r="AI117" s="459"/>
      <c r="AJ117" s="99" t="s">
        <v>7270</v>
      </c>
      <c r="AK117" s="99"/>
      <c r="AL117" s="99"/>
      <c r="AM117" s="99"/>
      <c r="AN117" s="99"/>
      <c r="AO117" s="99"/>
      <c r="AP117" s="99"/>
      <c r="AQ117" s="99"/>
      <c r="AR117" s="99" t="s">
        <v>6942</v>
      </c>
      <c r="AS117" s="99" t="s">
        <v>7645</v>
      </c>
      <c r="AT117" s="99" t="s">
        <v>3450</v>
      </c>
      <c r="AU117" s="99" t="s">
        <v>92</v>
      </c>
      <c r="AV117" s="99" t="s">
        <v>92</v>
      </c>
      <c r="AW117" s="99" t="s">
        <v>93</v>
      </c>
      <c r="AX117" s="99" t="s">
        <v>92</v>
      </c>
      <c r="AY117" s="99" t="s">
        <v>92</v>
      </c>
      <c r="AZ117" s="460" t="s">
        <v>92</v>
      </c>
      <c r="BA117" s="460"/>
      <c r="BB117" s="460" t="s">
        <v>93</v>
      </c>
      <c r="BC117" s="460" t="s">
        <v>93</v>
      </c>
      <c r="BD117" s="460" t="s">
        <v>93</v>
      </c>
      <c r="BE117" s="460"/>
      <c r="BF117" s="460" t="s">
        <v>92</v>
      </c>
      <c r="BG117" s="460"/>
      <c r="BH117" s="460"/>
      <c r="BI117" s="460"/>
      <c r="BJ117" s="460"/>
      <c r="BK117" s="460" t="s">
        <v>93</v>
      </c>
      <c r="BL117" s="460"/>
      <c r="BM117" s="213" t="s">
        <v>7646</v>
      </c>
      <c r="BN117" s="213" t="s">
        <v>7647</v>
      </c>
      <c r="BO117" s="213" t="s">
        <v>7648</v>
      </c>
      <c r="BP117" s="482"/>
      <c r="BQ117" s="459"/>
      <c r="BR117" s="475"/>
    </row>
    <row r="118" ht="15.75" customHeight="1">
      <c r="A118" s="197"/>
      <c r="B118" s="99" t="s">
        <v>7649</v>
      </c>
      <c r="C118" s="197">
        <v>205.0</v>
      </c>
      <c r="D118" s="99" t="s">
        <v>7650</v>
      </c>
      <c r="E118" s="99" t="s">
        <v>90</v>
      </c>
      <c r="F118" s="99" t="s">
        <v>7651</v>
      </c>
      <c r="G118" s="99"/>
      <c r="H118" s="99"/>
      <c r="I118" s="99"/>
      <c r="J118" s="99"/>
      <c r="K118" s="197" t="s">
        <v>105</v>
      </c>
      <c r="L118" s="99" t="s">
        <v>93</v>
      </c>
      <c r="M118" s="99" t="s">
        <v>93</v>
      </c>
      <c r="N118" s="99" t="s">
        <v>93</v>
      </c>
      <c r="O118" s="99" t="s">
        <v>93</v>
      </c>
      <c r="P118" s="99" t="s">
        <v>95</v>
      </c>
      <c r="Q118" s="99" t="s">
        <v>114</v>
      </c>
      <c r="R118" s="475" t="s">
        <v>7262</v>
      </c>
      <c r="S118" s="197"/>
      <c r="T118" s="197"/>
      <c r="U118" s="99"/>
      <c r="V118" s="475"/>
      <c r="W118" s="475"/>
      <c r="X118" s="475"/>
      <c r="Y118" s="475"/>
      <c r="Z118" s="99"/>
      <c r="AA118" s="475"/>
      <c r="AB118" s="475"/>
      <c r="AC118" s="475"/>
      <c r="AD118" s="197"/>
      <c r="AE118" s="197" t="s">
        <v>93</v>
      </c>
      <c r="AF118" s="99" t="s">
        <v>7649</v>
      </c>
      <c r="AG118" s="197" t="s">
        <v>6982</v>
      </c>
      <c r="AH118" s="197"/>
      <c r="AI118" s="459"/>
      <c r="AJ118" s="99" t="s">
        <v>7254</v>
      </c>
      <c r="AK118" s="99"/>
      <c r="AL118" s="99"/>
      <c r="AM118" s="99"/>
      <c r="AN118" s="99"/>
      <c r="AO118" s="99"/>
      <c r="AP118" s="99"/>
      <c r="AQ118" s="99"/>
      <c r="AR118" s="99" t="s">
        <v>6942</v>
      </c>
      <c r="AS118" s="99" t="s">
        <v>6888</v>
      </c>
      <c r="AT118" s="99" t="s">
        <v>3449</v>
      </c>
      <c r="AU118" s="99" t="s">
        <v>92</v>
      </c>
      <c r="AV118" s="99" t="s">
        <v>93</v>
      </c>
      <c r="AW118" s="99" t="s">
        <v>92</v>
      </c>
      <c r="AX118" s="99" t="s">
        <v>92</v>
      </c>
      <c r="AY118" s="99" t="s">
        <v>92</v>
      </c>
      <c r="AZ118" s="460" t="s">
        <v>92</v>
      </c>
      <c r="BA118" s="460"/>
      <c r="BB118" s="460" t="s">
        <v>92</v>
      </c>
      <c r="BC118" s="460" t="s">
        <v>92</v>
      </c>
      <c r="BD118" s="460" t="s">
        <v>92</v>
      </c>
      <c r="BE118" s="460"/>
      <c r="BF118" s="460" t="s">
        <v>92</v>
      </c>
      <c r="BG118" s="460"/>
      <c r="BH118" s="460"/>
      <c r="BI118" s="460"/>
      <c r="BJ118" s="460"/>
      <c r="BK118" s="460" t="s">
        <v>93</v>
      </c>
      <c r="BL118" s="460"/>
      <c r="BM118" s="213" t="s">
        <v>7652</v>
      </c>
      <c r="BN118" s="213" t="s">
        <v>7653</v>
      </c>
      <c r="BO118" s="213" t="s">
        <v>7654</v>
      </c>
      <c r="BP118" s="213" t="s">
        <v>7655</v>
      </c>
      <c r="BQ118" s="475"/>
      <c r="BR118" s="475"/>
    </row>
    <row r="119" ht="15.75" customHeight="1">
      <c r="A119" s="197"/>
      <c r="B119" s="99" t="s">
        <v>7656</v>
      </c>
      <c r="C119" s="197">
        <v>206.0</v>
      </c>
      <c r="D119" s="99" t="s">
        <v>7657</v>
      </c>
      <c r="E119" s="99" t="s">
        <v>110</v>
      </c>
      <c r="F119" s="99" t="s">
        <v>7658</v>
      </c>
      <c r="G119" s="99"/>
      <c r="H119" s="99"/>
      <c r="I119" s="99"/>
      <c r="J119" s="99"/>
      <c r="K119" s="197" t="s">
        <v>105</v>
      </c>
      <c r="L119" s="99" t="s">
        <v>93</v>
      </c>
      <c r="M119" s="99" t="s">
        <v>93</v>
      </c>
      <c r="N119" s="99" t="s">
        <v>93</v>
      </c>
      <c r="O119" s="99" t="s">
        <v>93</v>
      </c>
      <c r="P119" s="99" t="s">
        <v>95</v>
      </c>
      <c r="Q119" s="99" t="s">
        <v>114</v>
      </c>
      <c r="R119" s="197" t="s">
        <v>5902</v>
      </c>
      <c r="S119" s="197"/>
      <c r="T119" s="197"/>
      <c r="U119" s="99"/>
      <c r="V119" s="197"/>
      <c r="W119" s="197"/>
      <c r="X119" s="197"/>
      <c r="Y119" s="197"/>
      <c r="Z119" s="99"/>
      <c r="AA119" s="197"/>
      <c r="AB119" s="197"/>
      <c r="AC119" s="197"/>
      <c r="AD119" s="197"/>
      <c r="AE119" s="197" t="s">
        <v>93</v>
      </c>
      <c r="AF119" s="99" t="s">
        <v>7659</v>
      </c>
      <c r="AG119" s="197" t="s">
        <v>6990</v>
      </c>
      <c r="AH119" s="197"/>
      <c r="AI119" s="459"/>
      <c r="AJ119" s="99" t="s">
        <v>7254</v>
      </c>
      <c r="AK119" s="99"/>
      <c r="AL119" s="99"/>
      <c r="AM119" s="99"/>
      <c r="AN119" s="99"/>
      <c r="AO119" s="99"/>
      <c r="AP119" s="99"/>
      <c r="AQ119" s="99"/>
      <c r="AR119" s="99" t="s">
        <v>6942</v>
      </c>
      <c r="AS119" s="99" t="s">
        <v>6886</v>
      </c>
      <c r="AT119" s="99" t="s">
        <v>3449</v>
      </c>
      <c r="AU119" s="99" t="s">
        <v>92</v>
      </c>
      <c r="AV119" s="99" t="s">
        <v>93</v>
      </c>
      <c r="AW119" s="99" t="s">
        <v>92</v>
      </c>
      <c r="AX119" s="99" t="s">
        <v>92</v>
      </c>
      <c r="AY119" s="99" t="s">
        <v>92</v>
      </c>
      <c r="AZ119" s="460" t="s">
        <v>92</v>
      </c>
      <c r="BA119" s="460"/>
      <c r="BB119" s="460" t="s">
        <v>93</v>
      </c>
      <c r="BC119" s="460" t="s">
        <v>93</v>
      </c>
      <c r="BD119" s="460" t="s">
        <v>92</v>
      </c>
      <c r="BE119" s="460"/>
      <c r="BF119" s="460" t="s">
        <v>92</v>
      </c>
      <c r="BG119" s="460"/>
      <c r="BH119" s="460"/>
      <c r="BI119" s="460"/>
      <c r="BJ119" s="460"/>
      <c r="BK119" s="460" t="s">
        <v>93</v>
      </c>
      <c r="BL119" s="460"/>
      <c r="BM119" s="213" t="s">
        <v>7660</v>
      </c>
      <c r="BN119" s="213" t="s">
        <v>7661</v>
      </c>
      <c r="BO119" s="470"/>
      <c r="BP119" s="470"/>
      <c r="BQ119" s="99"/>
      <c r="BR119" s="475"/>
    </row>
    <row r="120" ht="15.75" customHeight="1">
      <c r="A120" s="197"/>
      <c r="B120" s="99" t="s">
        <v>7662</v>
      </c>
      <c r="C120" s="197">
        <v>207.0</v>
      </c>
      <c r="D120" s="99" t="s">
        <v>7663</v>
      </c>
      <c r="E120" s="99" t="s">
        <v>189</v>
      </c>
      <c r="F120" s="99" t="s">
        <v>7664</v>
      </c>
      <c r="G120" s="99" t="s">
        <v>3346</v>
      </c>
      <c r="H120" s="99"/>
      <c r="I120" s="99"/>
      <c r="J120" s="99"/>
      <c r="K120" s="197">
        <v>2021.0</v>
      </c>
      <c r="L120" s="99" t="s">
        <v>92</v>
      </c>
      <c r="M120" s="99" t="s">
        <v>93</v>
      </c>
      <c r="N120" s="99" t="s">
        <v>92</v>
      </c>
      <c r="O120" s="99" t="s">
        <v>92</v>
      </c>
      <c r="P120" s="99">
        <v>2021.0</v>
      </c>
      <c r="Q120" s="99" t="s">
        <v>96</v>
      </c>
      <c r="R120" s="197" t="s">
        <v>6990</v>
      </c>
      <c r="S120" s="197"/>
      <c r="T120" s="197"/>
      <c r="U120" s="99"/>
      <c r="V120" s="197"/>
      <c r="W120" s="197"/>
      <c r="X120" s="197"/>
      <c r="Y120" s="197"/>
      <c r="Z120" s="99"/>
      <c r="AA120" s="197"/>
      <c r="AB120" s="197"/>
      <c r="AC120" s="197"/>
      <c r="AD120" s="197"/>
      <c r="AE120" s="197" t="s">
        <v>93</v>
      </c>
      <c r="AF120" s="99" t="s">
        <v>7659</v>
      </c>
      <c r="AG120" s="197" t="s">
        <v>6990</v>
      </c>
      <c r="AH120" s="197"/>
      <c r="AI120" s="459"/>
      <c r="AJ120" s="99" t="s">
        <v>7106</v>
      </c>
      <c r="AK120" s="99"/>
      <c r="AL120" s="99"/>
      <c r="AM120" s="99"/>
      <c r="AN120" s="99"/>
      <c r="AO120" s="99"/>
      <c r="AP120" s="99"/>
      <c r="AQ120" s="99"/>
      <c r="AR120" s="99" t="s">
        <v>6942</v>
      </c>
      <c r="AS120" s="99" t="s">
        <v>6886</v>
      </c>
      <c r="AT120" s="99" t="s">
        <v>3449</v>
      </c>
      <c r="AU120" s="99" t="s">
        <v>92</v>
      </c>
      <c r="AV120" s="99" t="s">
        <v>93</v>
      </c>
      <c r="AW120" s="99" t="s">
        <v>92</v>
      </c>
      <c r="AX120" s="99" t="s">
        <v>92</v>
      </c>
      <c r="AY120" s="99" t="s">
        <v>92</v>
      </c>
      <c r="AZ120" s="460" t="s">
        <v>93</v>
      </c>
      <c r="BA120" s="460"/>
      <c r="BB120" s="460" t="s">
        <v>92</v>
      </c>
      <c r="BC120" s="460" t="s">
        <v>92</v>
      </c>
      <c r="BD120" s="460" t="s">
        <v>92</v>
      </c>
      <c r="BE120" s="460"/>
      <c r="BF120" s="460" t="s">
        <v>92</v>
      </c>
      <c r="BG120" s="460"/>
      <c r="BH120" s="460"/>
      <c r="BI120" s="460"/>
      <c r="BJ120" s="460"/>
      <c r="BK120" s="460" t="s">
        <v>92</v>
      </c>
      <c r="BL120" s="460"/>
      <c r="BM120" s="213" t="s">
        <v>7665</v>
      </c>
      <c r="BN120" s="213" t="s">
        <v>7666</v>
      </c>
      <c r="BO120" s="213" t="s">
        <v>7667</v>
      </c>
      <c r="BP120" s="470"/>
      <c r="BQ120" s="99"/>
      <c r="BR120" s="475"/>
    </row>
    <row r="121" ht="15.75" customHeight="1">
      <c r="A121" s="197"/>
      <c r="B121" s="99" t="s">
        <v>7668</v>
      </c>
      <c r="C121" s="197">
        <v>208.0</v>
      </c>
      <c r="D121" s="99" t="s">
        <v>7669</v>
      </c>
      <c r="E121" s="99" t="s">
        <v>90</v>
      </c>
      <c r="F121" s="99" t="s">
        <v>7670</v>
      </c>
      <c r="G121" s="99"/>
      <c r="H121" s="99"/>
      <c r="I121" s="99"/>
      <c r="J121" s="99"/>
      <c r="K121" s="197" t="s">
        <v>105</v>
      </c>
      <c r="L121" s="99" t="s">
        <v>93</v>
      </c>
      <c r="M121" s="99" t="s">
        <v>92</v>
      </c>
      <c r="N121" s="99" t="s">
        <v>92</v>
      </c>
      <c r="O121" s="99" t="s">
        <v>92</v>
      </c>
      <c r="P121" s="99" t="s">
        <v>105</v>
      </c>
      <c r="Q121" s="99" t="s">
        <v>105</v>
      </c>
      <c r="R121" s="197" t="s">
        <v>6990</v>
      </c>
      <c r="S121" s="197"/>
      <c r="T121" s="197"/>
      <c r="U121" s="99"/>
      <c r="V121" s="197"/>
      <c r="W121" s="197"/>
      <c r="X121" s="197"/>
      <c r="Y121" s="197"/>
      <c r="Z121" s="99"/>
      <c r="AA121" s="197"/>
      <c r="AB121" s="197"/>
      <c r="AC121" s="197"/>
      <c r="AD121" s="197"/>
      <c r="AE121" s="197" t="s">
        <v>92</v>
      </c>
      <c r="AF121" s="99" t="s">
        <v>7659</v>
      </c>
      <c r="AG121" s="197" t="s">
        <v>6990</v>
      </c>
      <c r="AH121" s="197"/>
      <c r="AI121" s="459"/>
      <c r="AJ121" s="99" t="s">
        <v>7106</v>
      </c>
      <c r="AK121" s="99"/>
      <c r="AL121" s="99"/>
      <c r="AM121" s="99"/>
      <c r="AN121" s="99"/>
      <c r="AO121" s="99"/>
      <c r="AP121" s="99"/>
      <c r="AQ121" s="99"/>
      <c r="AR121" s="99" t="s">
        <v>6942</v>
      </c>
      <c r="AS121" s="99" t="s">
        <v>6886</v>
      </c>
      <c r="AT121" s="99" t="s">
        <v>3449</v>
      </c>
      <c r="AU121" s="99" t="s">
        <v>92</v>
      </c>
      <c r="AV121" s="99" t="s">
        <v>93</v>
      </c>
      <c r="AW121" s="99" t="s">
        <v>92</v>
      </c>
      <c r="AX121" s="99" t="s">
        <v>92</v>
      </c>
      <c r="AY121" s="99" t="s">
        <v>92</v>
      </c>
      <c r="AZ121" s="460" t="s">
        <v>93</v>
      </c>
      <c r="BA121" s="460"/>
      <c r="BB121" s="460" t="s">
        <v>92</v>
      </c>
      <c r="BC121" s="460" t="s">
        <v>92</v>
      </c>
      <c r="BD121" s="460" t="s">
        <v>92</v>
      </c>
      <c r="BE121" s="460"/>
      <c r="BF121" s="460" t="s">
        <v>92</v>
      </c>
      <c r="BG121" s="460"/>
      <c r="BH121" s="460"/>
      <c r="BI121" s="460"/>
      <c r="BJ121" s="460"/>
      <c r="BK121" s="460" t="s">
        <v>93</v>
      </c>
      <c r="BL121" s="460"/>
      <c r="BM121" s="213" t="s">
        <v>7671</v>
      </c>
      <c r="BN121" s="470"/>
      <c r="BO121" s="470"/>
      <c r="BP121" s="470"/>
      <c r="BQ121" s="99"/>
      <c r="BR121" s="475"/>
    </row>
    <row r="122" ht="15.75" customHeight="1">
      <c r="A122" s="197"/>
      <c r="B122" s="99" t="s">
        <v>7672</v>
      </c>
      <c r="C122" s="197">
        <v>213.0</v>
      </c>
      <c r="D122" s="99" t="s">
        <v>7673</v>
      </c>
      <c r="E122" s="99" t="s">
        <v>110</v>
      </c>
      <c r="F122" s="99" t="s">
        <v>7674</v>
      </c>
      <c r="G122" s="99"/>
      <c r="H122" s="99"/>
      <c r="I122" s="99"/>
      <c r="J122" s="99"/>
      <c r="K122" s="197" t="s">
        <v>105</v>
      </c>
      <c r="L122" s="99" t="s">
        <v>93</v>
      </c>
      <c r="M122" s="99" t="s">
        <v>93</v>
      </c>
      <c r="N122" s="99" t="s">
        <v>93</v>
      </c>
      <c r="O122" s="99" t="s">
        <v>93</v>
      </c>
      <c r="P122" s="99" t="s">
        <v>95</v>
      </c>
      <c r="Q122" s="99" t="s">
        <v>114</v>
      </c>
      <c r="R122" s="197" t="s">
        <v>5902</v>
      </c>
      <c r="S122" s="197"/>
      <c r="T122" s="197"/>
      <c r="U122" s="99"/>
      <c r="V122" s="197"/>
      <c r="W122" s="197"/>
      <c r="X122" s="197"/>
      <c r="Y122" s="197"/>
      <c r="Z122" s="99"/>
      <c r="AA122" s="197"/>
      <c r="AB122" s="197"/>
      <c r="AC122" s="197"/>
      <c r="AD122" s="197"/>
      <c r="AE122" s="197" t="s">
        <v>93</v>
      </c>
      <c r="AF122" s="99" t="s">
        <v>7675</v>
      </c>
      <c r="AG122" s="197" t="s">
        <v>6990</v>
      </c>
      <c r="AH122" s="197"/>
      <c r="AI122" s="459"/>
      <c r="AJ122" s="99" t="s">
        <v>7106</v>
      </c>
      <c r="AK122" s="99"/>
      <c r="AL122" s="99"/>
      <c r="AM122" s="99"/>
      <c r="AN122" s="99"/>
      <c r="AO122" s="99"/>
      <c r="AP122" s="99"/>
      <c r="AQ122" s="99"/>
      <c r="AR122" s="99" t="s">
        <v>105</v>
      </c>
      <c r="AS122" s="99" t="s">
        <v>105</v>
      </c>
      <c r="AT122" s="99" t="s">
        <v>105</v>
      </c>
      <c r="AU122" s="99" t="s">
        <v>105</v>
      </c>
      <c r="AV122" s="99" t="s">
        <v>105</v>
      </c>
      <c r="AW122" s="99" t="s">
        <v>105</v>
      </c>
      <c r="AX122" s="99" t="s">
        <v>105</v>
      </c>
      <c r="AY122" s="99" t="s">
        <v>105</v>
      </c>
      <c r="AZ122" s="460" t="s">
        <v>93</v>
      </c>
      <c r="BA122" s="460"/>
      <c r="BB122" s="460" t="s">
        <v>92</v>
      </c>
      <c r="BC122" s="460" t="s">
        <v>92</v>
      </c>
      <c r="BD122" s="460" t="s">
        <v>92</v>
      </c>
      <c r="BE122" s="460"/>
      <c r="BF122" s="460" t="s">
        <v>92</v>
      </c>
      <c r="BG122" s="460"/>
      <c r="BH122" s="460"/>
      <c r="BI122" s="460"/>
      <c r="BJ122" s="460"/>
      <c r="BK122" s="460" t="s">
        <v>93</v>
      </c>
      <c r="BL122" s="460"/>
      <c r="BM122" s="213" t="s">
        <v>7676</v>
      </c>
      <c r="BN122" s="213" t="s">
        <v>7677</v>
      </c>
      <c r="BO122" s="213" t="s">
        <v>7678</v>
      </c>
      <c r="BP122" s="470"/>
      <c r="BQ122" s="99"/>
      <c r="BR122" s="475"/>
    </row>
    <row r="123" ht="15.75" customHeight="1">
      <c r="A123" s="197"/>
      <c r="B123" s="99" t="s">
        <v>7679</v>
      </c>
      <c r="C123" s="197">
        <v>221.0</v>
      </c>
      <c r="D123" s="99" t="s">
        <v>7680</v>
      </c>
      <c r="E123" s="99" t="s">
        <v>90</v>
      </c>
      <c r="F123" s="99" t="s">
        <v>7681</v>
      </c>
      <c r="G123" s="99"/>
      <c r="H123" s="99"/>
      <c r="I123" s="99"/>
      <c r="J123" s="99"/>
      <c r="K123" s="197">
        <v>2021.0</v>
      </c>
      <c r="L123" s="99" t="s">
        <v>92</v>
      </c>
      <c r="M123" s="99" t="s">
        <v>93</v>
      </c>
      <c r="N123" s="99" t="s">
        <v>93</v>
      </c>
      <c r="O123" s="99" t="s">
        <v>93</v>
      </c>
      <c r="P123" s="99" t="s">
        <v>95</v>
      </c>
      <c r="Q123" s="99" t="s">
        <v>114</v>
      </c>
      <c r="R123" s="197" t="s">
        <v>5902</v>
      </c>
      <c r="S123" s="197"/>
      <c r="T123" s="197"/>
      <c r="U123" s="99"/>
      <c r="V123" s="197"/>
      <c r="W123" s="197"/>
      <c r="X123" s="197"/>
      <c r="Y123" s="197"/>
      <c r="Z123" s="99"/>
      <c r="AA123" s="197"/>
      <c r="AB123" s="197"/>
      <c r="AC123" s="197"/>
      <c r="AD123" s="197"/>
      <c r="AE123" s="197" t="s">
        <v>92</v>
      </c>
      <c r="AF123" s="99" t="s">
        <v>7682</v>
      </c>
      <c r="AG123" s="197" t="s">
        <v>7448</v>
      </c>
      <c r="AH123" s="197"/>
      <c r="AI123" s="459"/>
      <c r="AJ123" s="99" t="s">
        <v>7160</v>
      </c>
      <c r="AK123" s="99"/>
      <c r="AL123" s="99"/>
      <c r="AM123" s="99"/>
      <c r="AN123" s="99"/>
      <c r="AO123" s="99"/>
      <c r="AP123" s="99"/>
      <c r="AQ123" s="99"/>
      <c r="AR123" s="99" t="s">
        <v>6942</v>
      </c>
      <c r="AS123" s="99" t="s">
        <v>3893</v>
      </c>
      <c r="AT123" s="99" t="s">
        <v>3451</v>
      </c>
      <c r="AU123" s="99" t="s">
        <v>92</v>
      </c>
      <c r="AV123" s="99" t="s">
        <v>92</v>
      </c>
      <c r="AW123" s="99" t="s">
        <v>92</v>
      </c>
      <c r="AX123" s="99" t="s">
        <v>93</v>
      </c>
      <c r="AY123" s="99" t="s">
        <v>92</v>
      </c>
      <c r="AZ123" s="460" t="s">
        <v>92</v>
      </c>
      <c r="BA123" s="460"/>
      <c r="BB123" s="460" t="s">
        <v>93</v>
      </c>
      <c r="BC123" s="460" t="s">
        <v>92</v>
      </c>
      <c r="BD123" s="460" t="s">
        <v>92</v>
      </c>
      <c r="BE123" s="460"/>
      <c r="BF123" s="460" t="s">
        <v>93</v>
      </c>
      <c r="BG123" s="460"/>
      <c r="BH123" s="460"/>
      <c r="BI123" s="460"/>
      <c r="BJ123" s="460"/>
      <c r="BK123" s="460" t="s">
        <v>93</v>
      </c>
      <c r="BL123" s="460"/>
      <c r="BM123" s="213" t="s">
        <v>7683</v>
      </c>
      <c r="BN123" s="213" t="s">
        <v>7684</v>
      </c>
      <c r="BO123" s="213" t="s">
        <v>7685</v>
      </c>
      <c r="BP123" s="470"/>
      <c r="BQ123" s="99"/>
      <c r="BR123" s="99"/>
    </row>
    <row r="124" ht="15.75" customHeight="1">
      <c r="A124" s="197"/>
      <c r="B124" s="99" t="s">
        <v>7686</v>
      </c>
      <c r="C124" s="197">
        <v>224.0</v>
      </c>
      <c r="D124" s="99" t="s">
        <v>7687</v>
      </c>
      <c r="E124" s="99" t="s">
        <v>90</v>
      </c>
      <c r="F124" s="99" t="s">
        <v>7688</v>
      </c>
      <c r="G124" s="99"/>
      <c r="H124" s="99"/>
      <c r="I124" s="99"/>
      <c r="J124" s="99"/>
      <c r="K124" s="197">
        <v>2021.0</v>
      </c>
      <c r="L124" s="99" t="s">
        <v>92</v>
      </c>
      <c r="M124" s="99" t="s">
        <v>92</v>
      </c>
      <c r="N124" s="99" t="s">
        <v>93</v>
      </c>
      <c r="O124" s="99" t="s">
        <v>93</v>
      </c>
      <c r="P124" s="99" t="s">
        <v>95</v>
      </c>
      <c r="Q124" s="99" t="s">
        <v>114</v>
      </c>
      <c r="R124" s="197" t="s">
        <v>6990</v>
      </c>
      <c r="S124" s="197"/>
      <c r="T124" s="197"/>
      <c r="U124" s="99"/>
      <c r="V124" s="197"/>
      <c r="W124" s="197"/>
      <c r="X124" s="197"/>
      <c r="Y124" s="197"/>
      <c r="Z124" s="99"/>
      <c r="AA124" s="197"/>
      <c r="AB124" s="197"/>
      <c r="AC124" s="197"/>
      <c r="AD124" s="197"/>
      <c r="AE124" s="197" t="s">
        <v>92</v>
      </c>
      <c r="AF124" s="99" t="s">
        <v>7686</v>
      </c>
      <c r="AG124" s="197" t="s">
        <v>6990</v>
      </c>
      <c r="AH124" s="197"/>
      <c r="AI124" s="459"/>
      <c r="AJ124" s="99" t="s">
        <v>7689</v>
      </c>
      <c r="AK124" s="99"/>
      <c r="AL124" s="99"/>
      <c r="AM124" s="99"/>
      <c r="AN124" s="99"/>
      <c r="AO124" s="99"/>
      <c r="AP124" s="99"/>
      <c r="AQ124" s="99"/>
      <c r="AR124" s="99" t="s">
        <v>6942</v>
      </c>
      <c r="AS124" s="99" t="s">
        <v>6886</v>
      </c>
      <c r="AT124" s="99" t="s">
        <v>3449</v>
      </c>
      <c r="AU124" s="99" t="s">
        <v>92</v>
      </c>
      <c r="AV124" s="99" t="s">
        <v>93</v>
      </c>
      <c r="AW124" s="99" t="s">
        <v>92</v>
      </c>
      <c r="AX124" s="99" t="s">
        <v>92</v>
      </c>
      <c r="AY124" s="99" t="s">
        <v>92</v>
      </c>
      <c r="AZ124" s="460" t="s">
        <v>92</v>
      </c>
      <c r="BA124" s="460"/>
      <c r="BB124" s="460" t="s">
        <v>93</v>
      </c>
      <c r="BC124" s="460" t="s">
        <v>92</v>
      </c>
      <c r="BD124" s="460" t="s">
        <v>92</v>
      </c>
      <c r="BE124" s="460"/>
      <c r="BF124" s="460" t="s">
        <v>93</v>
      </c>
      <c r="BG124" s="460"/>
      <c r="BH124" s="460"/>
      <c r="BI124" s="460"/>
      <c r="BJ124" s="460"/>
      <c r="BK124" s="460" t="s">
        <v>93</v>
      </c>
      <c r="BL124" s="460"/>
      <c r="BM124" s="213" t="s">
        <v>7690</v>
      </c>
      <c r="BN124" s="213" t="s">
        <v>7691</v>
      </c>
      <c r="BO124" s="213" t="s">
        <v>7692</v>
      </c>
      <c r="BP124" s="470"/>
      <c r="BQ124" s="99"/>
      <c r="BR124" s="99"/>
    </row>
    <row r="125" ht="15.75" customHeight="1">
      <c r="A125" s="197"/>
      <c r="B125" s="99" t="s">
        <v>7693</v>
      </c>
      <c r="C125" s="197">
        <v>237.0</v>
      </c>
      <c r="D125" s="99" t="s">
        <v>7694</v>
      </c>
      <c r="E125" s="99" t="s">
        <v>90</v>
      </c>
      <c r="F125" s="99" t="s">
        <v>7695</v>
      </c>
      <c r="G125" s="99"/>
      <c r="H125" s="99"/>
      <c r="I125" s="99"/>
      <c r="J125" s="99"/>
      <c r="K125" s="197">
        <v>2017.0</v>
      </c>
      <c r="L125" s="99" t="s">
        <v>92</v>
      </c>
      <c r="M125" s="99" t="s">
        <v>92</v>
      </c>
      <c r="N125" s="99" t="s">
        <v>92</v>
      </c>
      <c r="O125" s="99" t="s">
        <v>92</v>
      </c>
      <c r="P125" s="99" t="s">
        <v>95</v>
      </c>
      <c r="Q125" s="99" t="s">
        <v>114</v>
      </c>
      <c r="R125" s="197" t="s">
        <v>5902</v>
      </c>
      <c r="S125" s="197"/>
      <c r="T125" s="197"/>
      <c r="U125" s="99"/>
      <c r="V125" s="197"/>
      <c r="W125" s="197"/>
      <c r="X125" s="197"/>
      <c r="Y125" s="197"/>
      <c r="Z125" s="99"/>
      <c r="AA125" s="197"/>
      <c r="AB125" s="197"/>
      <c r="AC125" s="197"/>
      <c r="AD125" s="197"/>
      <c r="AE125" s="197" t="s">
        <v>93</v>
      </c>
      <c r="AF125" s="99" t="s">
        <v>7694</v>
      </c>
      <c r="AG125" s="197" t="s">
        <v>6941</v>
      </c>
      <c r="AH125" s="197"/>
      <c r="AI125" s="459"/>
      <c r="AJ125" s="99" t="s">
        <v>7160</v>
      </c>
      <c r="AK125" s="99"/>
      <c r="AL125" s="99"/>
      <c r="AM125" s="99"/>
      <c r="AN125" s="99"/>
      <c r="AO125" s="99"/>
      <c r="AP125" s="99"/>
      <c r="AQ125" s="99"/>
      <c r="AR125" s="99" t="s">
        <v>6949</v>
      </c>
      <c r="AS125" s="99" t="s">
        <v>95</v>
      </c>
      <c r="AT125" s="99" t="s">
        <v>95</v>
      </c>
      <c r="AU125" s="99" t="s">
        <v>93</v>
      </c>
      <c r="AV125" s="99" t="s">
        <v>93</v>
      </c>
      <c r="AW125" s="99" t="s">
        <v>93</v>
      </c>
      <c r="AX125" s="99" t="s">
        <v>93</v>
      </c>
      <c r="AY125" s="99" t="s">
        <v>93</v>
      </c>
      <c r="AZ125" s="460" t="s">
        <v>92</v>
      </c>
      <c r="BA125" s="460"/>
      <c r="BB125" s="460" t="s">
        <v>92</v>
      </c>
      <c r="BC125" s="460" t="s">
        <v>92</v>
      </c>
      <c r="BD125" s="460" t="s">
        <v>92</v>
      </c>
      <c r="BE125" s="460"/>
      <c r="BF125" s="460" t="s">
        <v>93</v>
      </c>
      <c r="BG125" s="460"/>
      <c r="BH125" s="460"/>
      <c r="BI125" s="460"/>
      <c r="BJ125" s="460"/>
      <c r="BK125" s="460" t="s">
        <v>93</v>
      </c>
      <c r="BL125" s="460"/>
      <c r="BM125" s="213" t="s">
        <v>7696</v>
      </c>
      <c r="BN125" s="213" t="s">
        <v>7697</v>
      </c>
      <c r="BO125" s="213" t="s">
        <v>7698</v>
      </c>
      <c r="BP125" s="213" t="s">
        <v>7699</v>
      </c>
      <c r="BQ125" s="477" t="s">
        <v>7700</v>
      </c>
      <c r="BR125" s="99"/>
    </row>
    <row r="126" ht="15.75" customHeight="1">
      <c r="A126" s="197"/>
      <c r="B126" s="99" t="s">
        <v>7701</v>
      </c>
      <c r="C126" s="197">
        <v>238.0</v>
      </c>
      <c r="D126" s="99" t="s">
        <v>7702</v>
      </c>
      <c r="E126" s="99" t="s">
        <v>90</v>
      </c>
      <c r="F126" s="99" t="s">
        <v>7703</v>
      </c>
      <c r="G126" s="99"/>
      <c r="H126" s="99"/>
      <c r="I126" s="99"/>
      <c r="J126" s="99"/>
      <c r="K126" s="197">
        <v>2021.0</v>
      </c>
      <c r="L126" s="99" t="s">
        <v>92</v>
      </c>
      <c r="M126" s="99" t="s">
        <v>92</v>
      </c>
      <c r="N126" s="99" t="s">
        <v>92</v>
      </c>
      <c r="O126" s="99" t="s">
        <v>93</v>
      </c>
      <c r="P126" s="99">
        <v>2023.0</v>
      </c>
      <c r="Q126" s="99" t="s">
        <v>96</v>
      </c>
      <c r="R126" s="197" t="s">
        <v>5902</v>
      </c>
      <c r="S126" s="197"/>
      <c r="T126" s="197"/>
      <c r="U126" s="99"/>
      <c r="V126" s="197"/>
      <c r="W126" s="197"/>
      <c r="X126" s="197"/>
      <c r="Y126" s="197"/>
      <c r="Z126" s="99"/>
      <c r="AA126" s="197"/>
      <c r="AB126" s="197"/>
      <c r="AC126" s="197"/>
      <c r="AD126" s="197"/>
      <c r="AE126" s="197" t="s">
        <v>93</v>
      </c>
      <c r="AF126" s="99" t="s">
        <v>7701</v>
      </c>
      <c r="AG126" s="197" t="s">
        <v>6982</v>
      </c>
      <c r="AH126" s="197"/>
      <c r="AI126" s="459"/>
      <c r="AJ126" s="99" t="s">
        <v>7106</v>
      </c>
      <c r="AK126" s="99"/>
      <c r="AL126" s="99"/>
      <c r="AM126" s="99"/>
      <c r="AN126" s="99"/>
      <c r="AO126" s="99"/>
      <c r="AP126" s="99"/>
      <c r="AQ126" s="99"/>
      <c r="AR126" s="99" t="s">
        <v>6942</v>
      </c>
      <c r="AS126" s="99" t="s">
        <v>3520</v>
      </c>
      <c r="AT126" s="99" t="s">
        <v>3451</v>
      </c>
      <c r="AU126" s="99" t="s">
        <v>92</v>
      </c>
      <c r="AV126" s="99" t="s">
        <v>92</v>
      </c>
      <c r="AW126" s="99" t="s">
        <v>92</v>
      </c>
      <c r="AX126" s="99" t="s">
        <v>93</v>
      </c>
      <c r="AY126" s="99" t="s">
        <v>92</v>
      </c>
      <c r="AZ126" s="460" t="s">
        <v>93</v>
      </c>
      <c r="BA126" s="460"/>
      <c r="BB126" s="460" t="s">
        <v>92</v>
      </c>
      <c r="BC126" s="460" t="s">
        <v>92</v>
      </c>
      <c r="BD126" s="460" t="s">
        <v>92</v>
      </c>
      <c r="BE126" s="460"/>
      <c r="BF126" s="460" t="s">
        <v>92</v>
      </c>
      <c r="BG126" s="460"/>
      <c r="BH126" s="460"/>
      <c r="BI126" s="460"/>
      <c r="BJ126" s="460"/>
      <c r="BK126" s="460" t="s">
        <v>92</v>
      </c>
      <c r="BL126" s="460"/>
      <c r="BM126" s="213" t="s">
        <v>7704</v>
      </c>
      <c r="BN126" s="213" t="s">
        <v>7705</v>
      </c>
      <c r="BO126" s="470"/>
      <c r="BP126" s="470"/>
      <c r="BQ126" s="99"/>
      <c r="BR126" s="99"/>
    </row>
    <row r="127" ht="15.75" customHeight="1">
      <c r="A127" s="197"/>
      <c r="B127" s="99" t="s">
        <v>7706</v>
      </c>
      <c r="C127" s="197">
        <v>239.0</v>
      </c>
      <c r="D127" s="99" t="s">
        <v>7707</v>
      </c>
      <c r="E127" s="99" t="s">
        <v>110</v>
      </c>
      <c r="F127" s="99" t="s">
        <v>7708</v>
      </c>
      <c r="G127" s="99"/>
      <c r="H127" s="99"/>
      <c r="I127" s="99"/>
      <c r="J127" s="99"/>
      <c r="K127" s="197">
        <v>2003.0</v>
      </c>
      <c r="L127" s="99" t="s">
        <v>93</v>
      </c>
      <c r="M127" s="99" t="s">
        <v>93</v>
      </c>
      <c r="N127" s="99" t="s">
        <v>93</v>
      </c>
      <c r="O127" s="99" t="s">
        <v>93</v>
      </c>
      <c r="P127" s="99" t="s">
        <v>95</v>
      </c>
      <c r="Q127" s="99" t="s">
        <v>114</v>
      </c>
      <c r="R127" s="475" t="s">
        <v>7262</v>
      </c>
      <c r="S127" s="197"/>
      <c r="T127" s="197"/>
      <c r="U127" s="99"/>
      <c r="V127" s="475"/>
      <c r="W127" s="475"/>
      <c r="X127" s="475"/>
      <c r="Y127" s="475"/>
      <c r="Z127" s="99"/>
      <c r="AA127" s="475"/>
      <c r="AB127" s="475"/>
      <c r="AC127" s="475"/>
      <c r="AD127" s="197"/>
      <c r="AE127" s="197" t="s">
        <v>93</v>
      </c>
      <c r="AF127" s="99" t="s">
        <v>7709</v>
      </c>
      <c r="AG127" s="197" t="s">
        <v>6990</v>
      </c>
      <c r="AH127" s="197"/>
      <c r="AI127" s="459"/>
      <c r="AJ127" s="99" t="s">
        <v>7127</v>
      </c>
      <c r="AK127" s="99"/>
      <c r="AL127" s="99"/>
      <c r="AM127" s="99"/>
      <c r="AN127" s="99"/>
      <c r="AO127" s="99"/>
      <c r="AP127" s="99"/>
      <c r="AQ127" s="99"/>
      <c r="AR127" s="99" t="s">
        <v>6942</v>
      </c>
      <c r="AS127" s="99" t="s">
        <v>7710</v>
      </c>
      <c r="AT127" s="99" t="s">
        <v>7073</v>
      </c>
      <c r="AU127" s="99" t="s">
        <v>92</v>
      </c>
      <c r="AV127" s="99" t="s">
        <v>93</v>
      </c>
      <c r="AW127" s="99" t="s">
        <v>92</v>
      </c>
      <c r="AX127" s="99" t="s">
        <v>93</v>
      </c>
      <c r="AY127" s="99" t="s">
        <v>92</v>
      </c>
      <c r="AZ127" s="460" t="s">
        <v>92</v>
      </c>
      <c r="BA127" s="460"/>
      <c r="BB127" s="460" t="s">
        <v>93</v>
      </c>
      <c r="BC127" s="460" t="s">
        <v>93</v>
      </c>
      <c r="BD127" s="460" t="s">
        <v>92</v>
      </c>
      <c r="BE127" s="460"/>
      <c r="BF127" s="460" t="s">
        <v>92</v>
      </c>
      <c r="BG127" s="460"/>
      <c r="BH127" s="460"/>
      <c r="BI127" s="460"/>
      <c r="BJ127" s="460"/>
      <c r="BK127" s="460" t="s">
        <v>93</v>
      </c>
      <c r="BL127" s="460"/>
      <c r="BM127" s="213" t="s">
        <v>7711</v>
      </c>
      <c r="BN127" s="213" t="s">
        <v>7712</v>
      </c>
      <c r="BO127" s="213" t="s">
        <v>7713</v>
      </c>
      <c r="BP127" s="470"/>
      <c r="BQ127" s="99"/>
      <c r="BR127" s="99"/>
    </row>
    <row r="128" ht="15.75" customHeight="1">
      <c r="A128" s="197"/>
      <c r="B128" s="99" t="s">
        <v>7714</v>
      </c>
      <c r="C128" s="197">
        <v>243.0</v>
      </c>
      <c r="D128" s="99" t="s">
        <v>7715</v>
      </c>
      <c r="E128" s="99" t="s">
        <v>90</v>
      </c>
      <c r="F128" s="99" t="s">
        <v>7716</v>
      </c>
      <c r="G128" s="99"/>
      <c r="H128" s="99"/>
      <c r="I128" s="99"/>
      <c r="J128" s="99"/>
      <c r="K128" s="197">
        <v>2009.0</v>
      </c>
      <c r="L128" s="99" t="s">
        <v>93</v>
      </c>
      <c r="M128" s="99" t="s">
        <v>93</v>
      </c>
      <c r="N128" s="99" t="s">
        <v>93</v>
      </c>
      <c r="O128" s="99" t="s">
        <v>93</v>
      </c>
      <c r="P128" s="99" t="s">
        <v>95</v>
      </c>
      <c r="Q128" s="99" t="s">
        <v>114</v>
      </c>
      <c r="R128" s="475" t="s">
        <v>7262</v>
      </c>
      <c r="S128" s="197"/>
      <c r="T128" s="197"/>
      <c r="U128" s="99"/>
      <c r="V128" s="475"/>
      <c r="W128" s="475"/>
      <c r="X128" s="475"/>
      <c r="Y128" s="475"/>
      <c r="Z128" s="99"/>
      <c r="AA128" s="475"/>
      <c r="AB128" s="475"/>
      <c r="AC128" s="475"/>
      <c r="AD128" s="197"/>
      <c r="AE128" s="197" t="s">
        <v>93</v>
      </c>
      <c r="AF128" s="99" t="s">
        <v>7717</v>
      </c>
      <c r="AG128" s="197" t="s">
        <v>6982</v>
      </c>
      <c r="AH128" s="197"/>
      <c r="AI128" s="459"/>
      <c r="AJ128" s="99" t="s">
        <v>7106</v>
      </c>
      <c r="AK128" s="99"/>
      <c r="AL128" s="99"/>
      <c r="AM128" s="99"/>
      <c r="AN128" s="99"/>
      <c r="AO128" s="99"/>
      <c r="AP128" s="99"/>
      <c r="AQ128" s="99"/>
      <c r="AR128" s="99" t="s">
        <v>6949</v>
      </c>
      <c r="AS128" s="99" t="s">
        <v>95</v>
      </c>
      <c r="AT128" s="99" t="s">
        <v>95</v>
      </c>
      <c r="AU128" s="99" t="s">
        <v>93</v>
      </c>
      <c r="AV128" s="99" t="s">
        <v>93</v>
      </c>
      <c r="AW128" s="99" t="s">
        <v>93</v>
      </c>
      <c r="AX128" s="99" t="s">
        <v>93</v>
      </c>
      <c r="AY128" s="99" t="s">
        <v>93</v>
      </c>
      <c r="AZ128" s="460" t="s">
        <v>93</v>
      </c>
      <c r="BA128" s="460"/>
      <c r="BB128" s="460" t="s">
        <v>92</v>
      </c>
      <c r="BC128" s="460" t="s">
        <v>92</v>
      </c>
      <c r="BD128" s="460" t="s">
        <v>92</v>
      </c>
      <c r="BE128" s="460"/>
      <c r="BF128" s="460" t="s">
        <v>92</v>
      </c>
      <c r="BG128" s="460"/>
      <c r="BH128" s="460"/>
      <c r="BI128" s="460"/>
      <c r="BJ128" s="460"/>
      <c r="BK128" s="460" t="s">
        <v>93</v>
      </c>
      <c r="BL128" s="460"/>
      <c r="BM128" s="213" t="s">
        <v>7718</v>
      </c>
      <c r="BN128" s="213" t="s">
        <v>7719</v>
      </c>
      <c r="BO128" s="213" t="s">
        <v>7720</v>
      </c>
      <c r="BP128" s="213" t="s">
        <v>7721</v>
      </c>
      <c r="BQ128" s="99"/>
      <c r="BR128" s="99"/>
    </row>
    <row r="129" ht="15.75" customHeight="1">
      <c r="A129" s="197"/>
      <c r="B129" s="99" t="s">
        <v>7722</v>
      </c>
      <c r="C129" s="197">
        <v>245.0</v>
      </c>
      <c r="D129" s="99" t="s">
        <v>7723</v>
      </c>
      <c r="E129" s="99" t="s">
        <v>189</v>
      </c>
      <c r="F129" s="99" t="s">
        <v>7724</v>
      </c>
      <c r="G129" s="99"/>
      <c r="H129" s="99"/>
      <c r="I129" s="99"/>
      <c r="J129" s="99"/>
      <c r="K129" s="197">
        <v>2020.0</v>
      </c>
      <c r="L129" s="99" t="s">
        <v>93</v>
      </c>
      <c r="M129" s="99" t="s">
        <v>92</v>
      </c>
      <c r="N129" s="99" t="s">
        <v>92</v>
      </c>
      <c r="O129" s="99" t="s">
        <v>92</v>
      </c>
      <c r="P129" s="99">
        <v>2020.0</v>
      </c>
      <c r="Q129" s="99" t="s">
        <v>96</v>
      </c>
      <c r="R129" s="475" t="s">
        <v>7262</v>
      </c>
      <c r="S129" s="197"/>
      <c r="T129" s="197"/>
      <c r="U129" s="99"/>
      <c r="V129" s="475"/>
      <c r="W129" s="475"/>
      <c r="X129" s="475"/>
      <c r="Y129" s="475"/>
      <c r="Z129" s="99"/>
      <c r="AA129" s="475"/>
      <c r="AB129" s="475"/>
      <c r="AC129" s="475"/>
      <c r="AD129" s="197"/>
      <c r="AE129" s="197" t="s">
        <v>93</v>
      </c>
      <c r="AF129" s="99" t="s">
        <v>7722</v>
      </c>
      <c r="AG129" s="197" t="s">
        <v>6982</v>
      </c>
      <c r="AH129" s="197"/>
      <c r="AI129" s="459"/>
      <c r="AJ129" s="99" t="s">
        <v>7106</v>
      </c>
      <c r="AK129" s="99"/>
      <c r="AL129" s="99"/>
      <c r="AM129" s="99"/>
      <c r="AN129" s="99"/>
      <c r="AO129" s="99"/>
      <c r="AP129" s="99"/>
      <c r="AQ129" s="99"/>
      <c r="AR129" s="99" t="s">
        <v>6942</v>
      </c>
      <c r="AS129" s="99" t="s">
        <v>7725</v>
      </c>
      <c r="AT129" s="99" t="s">
        <v>7726</v>
      </c>
      <c r="AU129" s="99" t="s">
        <v>92</v>
      </c>
      <c r="AV129" s="99" t="s">
        <v>93</v>
      </c>
      <c r="AW129" s="99" t="s">
        <v>93</v>
      </c>
      <c r="AX129" s="99" t="s">
        <v>93</v>
      </c>
      <c r="AY129" s="99" t="s">
        <v>92</v>
      </c>
      <c r="AZ129" s="460" t="s">
        <v>93</v>
      </c>
      <c r="BA129" s="460"/>
      <c r="BB129" s="460" t="s">
        <v>92</v>
      </c>
      <c r="BC129" s="460" t="s">
        <v>92</v>
      </c>
      <c r="BD129" s="460" t="s">
        <v>92</v>
      </c>
      <c r="BE129" s="460"/>
      <c r="BF129" s="460" t="s">
        <v>92</v>
      </c>
      <c r="BG129" s="460"/>
      <c r="BH129" s="460"/>
      <c r="BI129" s="460"/>
      <c r="BJ129" s="460"/>
      <c r="BK129" s="460" t="s">
        <v>92</v>
      </c>
      <c r="BL129" s="460"/>
      <c r="BM129" s="213" t="s">
        <v>7727</v>
      </c>
      <c r="BN129" s="470"/>
      <c r="BO129" s="470"/>
      <c r="BP129" s="470"/>
      <c r="BQ129" s="99"/>
      <c r="BR129" s="99"/>
    </row>
    <row r="130" ht="15.75" customHeight="1">
      <c r="A130" s="197"/>
      <c r="B130" s="99" t="s">
        <v>7728</v>
      </c>
      <c r="C130" s="197">
        <v>252.0</v>
      </c>
      <c r="D130" s="99" t="s">
        <v>7729</v>
      </c>
      <c r="E130" s="99" t="s">
        <v>189</v>
      </c>
      <c r="F130" s="99" t="s">
        <v>7730</v>
      </c>
      <c r="G130" s="99" t="s">
        <v>3346</v>
      </c>
      <c r="H130" s="99" t="s">
        <v>3345</v>
      </c>
      <c r="I130" s="99"/>
      <c r="J130" s="99"/>
      <c r="K130" s="197">
        <v>2020.0</v>
      </c>
      <c r="L130" s="99" t="s">
        <v>93</v>
      </c>
      <c r="M130" s="99" t="s">
        <v>93</v>
      </c>
      <c r="N130" s="99" t="s">
        <v>92</v>
      </c>
      <c r="O130" s="99" t="s">
        <v>92</v>
      </c>
      <c r="P130" s="99">
        <v>2021.0</v>
      </c>
      <c r="Q130" s="99" t="s">
        <v>96</v>
      </c>
      <c r="R130" s="197" t="s">
        <v>5902</v>
      </c>
      <c r="S130" s="197"/>
      <c r="T130" s="197"/>
      <c r="U130" s="99"/>
      <c r="V130" s="197"/>
      <c r="W130" s="197"/>
      <c r="X130" s="197"/>
      <c r="Y130" s="197"/>
      <c r="Z130" s="99"/>
      <c r="AA130" s="197"/>
      <c r="AB130" s="197"/>
      <c r="AC130" s="197"/>
      <c r="AD130" s="197"/>
      <c r="AE130" s="197" t="s">
        <v>93</v>
      </c>
      <c r="AF130" s="99" t="s">
        <v>7731</v>
      </c>
      <c r="AG130" s="197" t="s">
        <v>6990</v>
      </c>
      <c r="AH130" s="197"/>
      <c r="AI130" s="459"/>
      <c r="AJ130" s="99" t="s">
        <v>7283</v>
      </c>
      <c r="AK130" s="99"/>
      <c r="AL130" s="99"/>
      <c r="AM130" s="99"/>
      <c r="AN130" s="99"/>
      <c r="AO130" s="99"/>
      <c r="AP130" s="99"/>
      <c r="AQ130" s="99"/>
      <c r="AR130" s="99" t="s">
        <v>6942</v>
      </c>
      <c r="AS130" s="99" t="s">
        <v>7732</v>
      </c>
      <c r="AT130" s="99" t="s">
        <v>7073</v>
      </c>
      <c r="AU130" s="99" t="s">
        <v>92</v>
      </c>
      <c r="AV130" s="99" t="s">
        <v>93</v>
      </c>
      <c r="AW130" s="99" t="s">
        <v>92</v>
      </c>
      <c r="AX130" s="99" t="s">
        <v>93</v>
      </c>
      <c r="AY130" s="99" t="s">
        <v>92</v>
      </c>
      <c r="AZ130" s="460" t="s">
        <v>93</v>
      </c>
      <c r="BA130" s="460"/>
      <c r="BB130" s="460" t="s">
        <v>92</v>
      </c>
      <c r="BC130" s="460" t="s">
        <v>93</v>
      </c>
      <c r="BD130" s="460" t="s">
        <v>92</v>
      </c>
      <c r="BE130" s="460"/>
      <c r="BF130" s="460" t="s">
        <v>92</v>
      </c>
      <c r="BG130" s="460"/>
      <c r="BH130" s="460"/>
      <c r="BI130" s="460"/>
      <c r="BJ130" s="460"/>
      <c r="BK130" s="460" t="s">
        <v>93</v>
      </c>
      <c r="BL130" s="460"/>
      <c r="BM130" s="483" t="s">
        <v>7733</v>
      </c>
      <c r="BN130" s="483" t="s">
        <v>7734</v>
      </c>
      <c r="BO130" s="474"/>
      <c r="BP130" s="474"/>
      <c r="BQ130" s="475"/>
      <c r="BR130" s="475"/>
    </row>
    <row r="131" ht="15.75" customHeight="1">
      <c r="A131" s="197"/>
      <c r="B131" s="99" t="s">
        <v>7735</v>
      </c>
      <c r="C131" s="197">
        <v>253.0</v>
      </c>
      <c r="D131" s="99" t="s">
        <v>7736</v>
      </c>
      <c r="E131" s="99" t="s">
        <v>189</v>
      </c>
      <c r="F131" s="99" t="s">
        <v>7737</v>
      </c>
      <c r="G131" s="99" t="s">
        <v>3346</v>
      </c>
      <c r="H131" s="99"/>
      <c r="I131" s="99"/>
      <c r="J131" s="99"/>
      <c r="K131" s="197">
        <v>2020.0</v>
      </c>
      <c r="L131" s="99" t="s">
        <v>93</v>
      </c>
      <c r="M131" s="99" t="s">
        <v>93</v>
      </c>
      <c r="N131" s="99" t="s">
        <v>92</v>
      </c>
      <c r="O131" s="99" t="s">
        <v>92</v>
      </c>
      <c r="P131" s="99">
        <v>2021.0</v>
      </c>
      <c r="Q131" s="99" t="s">
        <v>96</v>
      </c>
      <c r="R131" s="475" t="s">
        <v>7262</v>
      </c>
      <c r="S131" s="197"/>
      <c r="T131" s="197"/>
      <c r="U131" s="99"/>
      <c r="V131" s="475"/>
      <c r="W131" s="475"/>
      <c r="X131" s="475"/>
      <c r="Y131" s="475"/>
      <c r="Z131" s="99"/>
      <c r="AA131" s="475"/>
      <c r="AB131" s="475"/>
      <c r="AC131" s="475"/>
      <c r="AD131" s="197"/>
      <c r="AE131" s="197" t="s">
        <v>93</v>
      </c>
      <c r="AF131" s="99" t="s">
        <v>7738</v>
      </c>
      <c r="AG131" s="197" t="s">
        <v>6990</v>
      </c>
      <c r="AH131" s="197"/>
      <c r="AI131" s="459"/>
      <c r="AJ131" s="99" t="s">
        <v>7106</v>
      </c>
      <c r="AK131" s="99"/>
      <c r="AL131" s="99"/>
      <c r="AM131" s="99"/>
      <c r="AN131" s="99"/>
      <c r="AO131" s="99"/>
      <c r="AP131" s="99"/>
      <c r="AQ131" s="99"/>
      <c r="AR131" s="99" t="s">
        <v>6942</v>
      </c>
      <c r="AS131" s="99" t="s">
        <v>3897</v>
      </c>
      <c r="AT131" s="99" t="s">
        <v>3450</v>
      </c>
      <c r="AU131" s="99" t="s">
        <v>92</v>
      </c>
      <c r="AV131" s="99" t="s">
        <v>92</v>
      </c>
      <c r="AW131" s="99" t="s">
        <v>93</v>
      </c>
      <c r="AX131" s="99" t="s">
        <v>92</v>
      </c>
      <c r="AY131" s="99" t="s">
        <v>92</v>
      </c>
      <c r="AZ131" s="460" t="s">
        <v>93</v>
      </c>
      <c r="BA131" s="460"/>
      <c r="BB131" s="460" t="s">
        <v>92</v>
      </c>
      <c r="BC131" s="460" t="s">
        <v>92</v>
      </c>
      <c r="BD131" s="460" t="s">
        <v>92</v>
      </c>
      <c r="BE131" s="460"/>
      <c r="BF131" s="460" t="s">
        <v>92</v>
      </c>
      <c r="BG131" s="460"/>
      <c r="BH131" s="460"/>
      <c r="BI131" s="460"/>
      <c r="BJ131" s="460"/>
      <c r="BK131" s="460" t="s">
        <v>92</v>
      </c>
      <c r="BL131" s="460"/>
      <c r="BM131" s="213" t="s">
        <v>7739</v>
      </c>
      <c r="BN131" s="213" t="s">
        <v>7740</v>
      </c>
      <c r="BO131" s="470"/>
      <c r="BP131" s="470"/>
      <c r="BQ131" s="99"/>
      <c r="BR131" s="99"/>
    </row>
    <row r="132" ht="15.75" customHeight="1">
      <c r="A132" s="197"/>
      <c r="B132" s="99" t="s">
        <v>7741</v>
      </c>
      <c r="C132" s="197">
        <v>254.0</v>
      </c>
      <c r="D132" s="99" t="s">
        <v>7742</v>
      </c>
      <c r="E132" s="99" t="s">
        <v>90</v>
      </c>
      <c r="F132" s="99" t="s">
        <v>7743</v>
      </c>
      <c r="G132" s="99"/>
      <c r="H132" s="99"/>
      <c r="I132" s="99"/>
      <c r="J132" s="99"/>
      <c r="K132" s="197">
        <v>2020.0</v>
      </c>
      <c r="L132" s="99" t="s">
        <v>93</v>
      </c>
      <c r="M132" s="99" t="s">
        <v>93</v>
      </c>
      <c r="N132" s="99" t="s">
        <v>93</v>
      </c>
      <c r="O132" s="99" t="s">
        <v>93</v>
      </c>
      <c r="P132" s="99" t="s">
        <v>95</v>
      </c>
      <c r="Q132" s="99" t="s">
        <v>114</v>
      </c>
      <c r="R132" s="475" t="s">
        <v>7262</v>
      </c>
      <c r="S132" s="197"/>
      <c r="T132" s="197"/>
      <c r="U132" s="99"/>
      <c r="V132" s="475"/>
      <c r="W132" s="475"/>
      <c r="X132" s="475"/>
      <c r="Y132" s="475"/>
      <c r="Z132" s="99"/>
      <c r="AA132" s="475"/>
      <c r="AB132" s="475"/>
      <c r="AC132" s="475"/>
      <c r="AD132" s="197"/>
      <c r="AE132" s="197" t="s">
        <v>93</v>
      </c>
      <c r="AF132" s="99" t="s">
        <v>7744</v>
      </c>
      <c r="AG132" s="197" t="s">
        <v>6990</v>
      </c>
      <c r="AH132" s="197"/>
      <c r="AI132" s="459"/>
      <c r="AJ132" s="99" t="s">
        <v>7217</v>
      </c>
      <c r="AK132" s="99"/>
      <c r="AL132" s="99"/>
      <c r="AM132" s="99"/>
      <c r="AN132" s="99"/>
      <c r="AO132" s="99"/>
      <c r="AP132" s="99"/>
      <c r="AQ132" s="99"/>
      <c r="AR132" s="99" t="s">
        <v>6942</v>
      </c>
      <c r="AS132" s="99" t="s">
        <v>6886</v>
      </c>
      <c r="AT132" s="99" t="s">
        <v>3449</v>
      </c>
      <c r="AU132" s="99" t="s">
        <v>92</v>
      </c>
      <c r="AV132" s="99" t="s">
        <v>93</v>
      </c>
      <c r="AW132" s="99" t="s">
        <v>92</v>
      </c>
      <c r="AX132" s="99" t="s">
        <v>92</v>
      </c>
      <c r="AY132" s="99" t="s">
        <v>92</v>
      </c>
      <c r="AZ132" s="460" t="s">
        <v>92</v>
      </c>
      <c r="BA132" s="460"/>
      <c r="BB132" s="460" t="s">
        <v>93</v>
      </c>
      <c r="BC132" s="460" t="s">
        <v>93</v>
      </c>
      <c r="BD132" s="460" t="s">
        <v>92</v>
      </c>
      <c r="BE132" s="460"/>
      <c r="BF132" s="460" t="s">
        <v>92</v>
      </c>
      <c r="BG132" s="460"/>
      <c r="BH132" s="460"/>
      <c r="BI132" s="460"/>
      <c r="BJ132" s="460"/>
      <c r="BK132" s="460" t="s">
        <v>93</v>
      </c>
      <c r="BL132" s="460"/>
      <c r="BM132" s="213" t="s">
        <v>7740</v>
      </c>
      <c r="BN132" s="213" t="s">
        <v>7745</v>
      </c>
      <c r="BO132" s="473" t="s">
        <v>7746</v>
      </c>
      <c r="BP132" s="470"/>
      <c r="BQ132" s="99"/>
      <c r="BR132" s="99"/>
    </row>
    <row r="133" ht="15.75" customHeight="1">
      <c r="A133" s="197"/>
      <c r="B133" s="99" t="s">
        <v>7747</v>
      </c>
      <c r="C133" s="197">
        <v>271.0</v>
      </c>
      <c r="D133" s="99" t="s">
        <v>7748</v>
      </c>
      <c r="E133" s="99" t="s">
        <v>189</v>
      </c>
      <c r="F133" s="99" t="s">
        <v>7749</v>
      </c>
      <c r="G133" s="99" t="s">
        <v>3346</v>
      </c>
      <c r="H133" s="99"/>
      <c r="I133" s="99"/>
      <c r="J133" s="99"/>
      <c r="K133" s="197">
        <v>2023.0</v>
      </c>
      <c r="L133" s="99" t="s">
        <v>92</v>
      </c>
      <c r="M133" s="99" t="s">
        <v>92</v>
      </c>
      <c r="N133" s="99" t="s">
        <v>92</v>
      </c>
      <c r="O133" s="99" t="s">
        <v>93</v>
      </c>
      <c r="P133" s="99">
        <v>2023.0</v>
      </c>
      <c r="Q133" s="99" t="s">
        <v>96</v>
      </c>
      <c r="R133" s="475" t="s">
        <v>7262</v>
      </c>
      <c r="S133" s="197"/>
      <c r="T133" s="197"/>
      <c r="U133" s="475"/>
      <c r="V133" s="475"/>
      <c r="W133" s="475"/>
      <c r="X133" s="475"/>
      <c r="Y133" s="475"/>
      <c r="Z133" s="475"/>
      <c r="AA133" s="475"/>
      <c r="AB133" s="475"/>
      <c r="AC133" s="475"/>
      <c r="AD133" s="197"/>
      <c r="AE133" s="197" t="s">
        <v>93</v>
      </c>
      <c r="AF133" s="99" t="s">
        <v>7750</v>
      </c>
      <c r="AG133" s="197" t="s">
        <v>6990</v>
      </c>
      <c r="AH133" s="197"/>
      <c r="AI133" s="459"/>
      <c r="AJ133" s="99" t="s">
        <v>7106</v>
      </c>
      <c r="AK133" s="99"/>
      <c r="AL133" s="99"/>
      <c r="AM133" s="99"/>
      <c r="AN133" s="99"/>
      <c r="AO133" s="99"/>
      <c r="AP133" s="99"/>
      <c r="AQ133" s="99"/>
      <c r="AR133" s="99" t="s">
        <v>6942</v>
      </c>
      <c r="AS133" s="99" t="s">
        <v>7751</v>
      </c>
      <c r="AT133" s="99" t="s">
        <v>7073</v>
      </c>
      <c r="AU133" s="99" t="s">
        <v>92</v>
      </c>
      <c r="AV133" s="99" t="s">
        <v>93</v>
      </c>
      <c r="AW133" s="99" t="s">
        <v>92</v>
      </c>
      <c r="AX133" s="99" t="s">
        <v>93</v>
      </c>
      <c r="AY133" s="99" t="s">
        <v>92</v>
      </c>
      <c r="AZ133" s="460" t="s">
        <v>93</v>
      </c>
      <c r="BA133" s="460"/>
      <c r="BB133" s="460" t="s">
        <v>92</v>
      </c>
      <c r="BC133" s="460" t="s">
        <v>92</v>
      </c>
      <c r="BD133" s="460" t="s">
        <v>92</v>
      </c>
      <c r="BE133" s="460"/>
      <c r="BF133" s="460" t="s">
        <v>92</v>
      </c>
      <c r="BG133" s="460"/>
      <c r="BH133" s="460"/>
      <c r="BI133" s="460"/>
      <c r="BJ133" s="460"/>
      <c r="BK133" s="460" t="s">
        <v>92</v>
      </c>
      <c r="BL133" s="460"/>
      <c r="BM133" s="213" t="s">
        <v>7752</v>
      </c>
      <c r="BN133" s="213" t="s">
        <v>7753</v>
      </c>
      <c r="BO133" s="470"/>
      <c r="BP133" s="470"/>
      <c r="BQ133" s="99"/>
      <c r="BR133" s="99"/>
    </row>
    <row r="134" ht="15.75" customHeight="1">
      <c r="A134" s="197"/>
      <c r="B134" s="99" t="s">
        <v>7747</v>
      </c>
      <c r="C134" s="197">
        <v>272.0</v>
      </c>
      <c r="D134" s="99" t="s">
        <v>7754</v>
      </c>
      <c r="E134" s="99" t="s">
        <v>189</v>
      </c>
      <c r="F134" s="99" t="s">
        <v>7755</v>
      </c>
      <c r="G134" s="99" t="s">
        <v>3346</v>
      </c>
      <c r="H134" s="99"/>
      <c r="I134" s="99"/>
      <c r="J134" s="99"/>
      <c r="K134" s="197">
        <v>2023.0</v>
      </c>
      <c r="L134" s="99" t="s">
        <v>92</v>
      </c>
      <c r="M134" s="99" t="s">
        <v>92</v>
      </c>
      <c r="N134" s="99" t="s">
        <v>92</v>
      </c>
      <c r="O134" s="99" t="s">
        <v>93</v>
      </c>
      <c r="P134" s="99">
        <v>2023.0</v>
      </c>
      <c r="Q134" s="99" t="s">
        <v>96</v>
      </c>
      <c r="R134" s="475" t="s">
        <v>7262</v>
      </c>
      <c r="S134" s="197"/>
      <c r="T134" s="197"/>
      <c r="U134" s="475"/>
      <c r="V134" s="475"/>
      <c r="W134" s="475"/>
      <c r="X134" s="475"/>
      <c r="Y134" s="475"/>
      <c r="Z134" s="475"/>
      <c r="AA134" s="475"/>
      <c r="AB134" s="475"/>
      <c r="AC134" s="475"/>
      <c r="AD134" s="197"/>
      <c r="AE134" s="197" t="s">
        <v>93</v>
      </c>
      <c r="AF134" s="99" t="s">
        <v>7756</v>
      </c>
      <c r="AG134" s="197" t="s">
        <v>6990</v>
      </c>
      <c r="AH134" s="197"/>
      <c r="AI134" s="459"/>
      <c r="AJ134" s="99" t="s">
        <v>7106</v>
      </c>
      <c r="AK134" s="99"/>
      <c r="AL134" s="99"/>
      <c r="AM134" s="99"/>
      <c r="AN134" s="99"/>
      <c r="AO134" s="99"/>
      <c r="AP134" s="99"/>
      <c r="AQ134" s="99"/>
      <c r="AR134" s="99" t="s">
        <v>6942</v>
      </c>
      <c r="AS134" s="99" t="s">
        <v>3520</v>
      </c>
      <c r="AT134" s="99" t="s">
        <v>3451</v>
      </c>
      <c r="AU134" s="99" t="s">
        <v>92</v>
      </c>
      <c r="AV134" s="99" t="s">
        <v>92</v>
      </c>
      <c r="AW134" s="99" t="s">
        <v>92</v>
      </c>
      <c r="AX134" s="99" t="s">
        <v>93</v>
      </c>
      <c r="AY134" s="99" t="s">
        <v>92</v>
      </c>
      <c r="AZ134" s="460" t="s">
        <v>93</v>
      </c>
      <c r="BA134" s="460"/>
      <c r="BB134" s="460" t="s">
        <v>92</v>
      </c>
      <c r="BC134" s="460" t="s">
        <v>92</v>
      </c>
      <c r="BD134" s="460" t="s">
        <v>92</v>
      </c>
      <c r="BE134" s="460"/>
      <c r="BF134" s="460" t="s">
        <v>92</v>
      </c>
      <c r="BG134" s="460"/>
      <c r="BH134" s="460"/>
      <c r="BI134" s="460"/>
      <c r="BJ134" s="460"/>
      <c r="BK134" s="460" t="s">
        <v>92</v>
      </c>
      <c r="BL134" s="460"/>
      <c r="BM134" s="213" t="s">
        <v>7757</v>
      </c>
      <c r="BN134" s="470"/>
      <c r="BO134" s="470"/>
      <c r="BP134" s="470"/>
      <c r="BQ134" s="99"/>
      <c r="BR134" s="99"/>
    </row>
    <row r="135" ht="15.75" customHeight="1">
      <c r="A135" s="197"/>
      <c r="B135" s="99" t="s">
        <v>7747</v>
      </c>
      <c r="C135" s="197">
        <v>273.0</v>
      </c>
      <c r="D135" s="99" t="s">
        <v>7758</v>
      </c>
      <c r="E135" s="99" t="s">
        <v>189</v>
      </c>
      <c r="F135" s="99" t="s">
        <v>7759</v>
      </c>
      <c r="G135" s="99" t="s">
        <v>3346</v>
      </c>
      <c r="H135" s="99"/>
      <c r="I135" s="99"/>
      <c r="J135" s="99"/>
      <c r="K135" s="197">
        <v>2023.0</v>
      </c>
      <c r="L135" s="99" t="s">
        <v>92</v>
      </c>
      <c r="M135" s="99" t="s">
        <v>92</v>
      </c>
      <c r="N135" s="99" t="s">
        <v>92</v>
      </c>
      <c r="O135" s="99" t="s">
        <v>93</v>
      </c>
      <c r="P135" s="99">
        <v>2023.0</v>
      </c>
      <c r="Q135" s="99" t="s">
        <v>96</v>
      </c>
      <c r="R135" s="475" t="s">
        <v>7262</v>
      </c>
      <c r="S135" s="197"/>
      <c r="T135" s="197"/>
      <c r="U135" s="475"/>
      <c r="V135" s="475"/>
      <c r="W135" s="475"/>
      <c r="X135" s="475"/>
      <c r="Y135" s="475"/>
      <c r="Z135" s="475"/>
      <c r="AA135" s="475"/>
      <c r="AB135" s="475"/>
      <c r="AC135" s="475"/>
      <c r="AD135" s="197"/>
      <c r="AE135" s="197" t="s">
        <v>93</v>
      </c>
      <c r="AF135" s="99" t="s">
        <v>7760</v>
      </c>
      <c r="AG135" s="197" t="s">
        <v>6990</v>
      </c>
      <c r="AH135" s="197"/>
      <c r="AI135" s="459"/>
      <c r="AJ135" s="99" t="s">
        <v>7106</v>
      </c>
      <c r="AK135" s="99"/>
      <c r="AL135" s="99"/>
      <c r="AM135" s="99"/>
      <c r="AN135" s="99"/>
      <c r="AO135" s="99"/>
      <c r="AP135" s="99"/>
      <c r="AQ135" s="99"/>
      <c r="AR135" s="99" t="s">
        <v>6942</v>
      </c>
      <c r="AS135" s="99" t="s">
        <v>6884</v>
      </c>
      <c r="AT135" s="99" t="s">
        <v>3449</v>
      </c>
      <c r="AU135" s="99" t="s">
        <v>92</v>
      </c>
      <c r="AV135" s="99" t="s">
        <v>93</v>
      </c>
      <c r="AW135" s="99" t="s">
        <v>92</v>
      </c>
      <c r="AX135" s="99" t="s">
        <v>92</v>
      </c>
      <c r="AY135" s="99" t="s">
        <v>92</v>
      </c>
      <c r="AZ135" s="460" t="s">
        <v>93</v>
      </c>
      <c r="BA135" s="460"/>
      <c r="BB135" s="460" t="s">
        <v>92</v>
      </c>
      <c r="BC135" s="460" t="s">
        <v>92</v>
      </c>
      <c r="BD135" s="460" t="s">
        <v>92</v>
      </c>
      <c r="BE135" s="460"/>
      <c r="BF135" s="460" t="s">
        <v>92</v>
      </c>
      <c r="BG135" s="460"/>
      <c r="BH135" s="460"/>
      <c r="BI135" s="460"/>
      <c r="BJ135" s="460"/>
      <c r="BK135" s="460" t="s">
        <v>92</v>
      </c>
      <c r="BL135" s="460"/>
      <c r="BM135" s="213" t="s">
        <v>7761</v>
      </c>
      <c r="BN135" s="470"/>
      <c r="BO135" s="470"/>
      <c r="BP135" s="470"/>
      <c r="BQ135" s="99"/>
      <c r="BR135" s="99"/>
    </row>
    <row r="136" ht="15.75" customHeight="1">
      <c r="A136" s="197"/>
      <c r="B136" s="99" t="s">
        <v>7747</v>
      </c>
      <c r="C136" s="197">
        <v>274.0</v>
      </c>
      <c r="D136" s="99" t="s">
        <v>2528</v>
      </c>
      <c r="E136" s="99" t="s">
        <v>110</v>
      </c>
      <c r="F136" s="99" t="s">
        <v>7762</v>
      </c>
      <c r="G136" s="99"/>
      <c r="H136" s="99"/>
      <c r="I136" s="99"/>
      <c r="J136" s="99"/>
      <c r="K136" s="197">
        <v>2013.0</v>
      </c>
      <c r="L136" s="99" t="s">
        <v>93</v>
      </c>
      <c r="M136" s="99" t="s">
        <v>93</v>
      </c>
      <c r="N136" s="99" t="s">
        <v>93</v>
      </c>
      <c r="O136" s="99" t="s">
        <v>93</v>
      </c>
      <c r="P136" s="99" t="s">
        <v>95</v>
      </c>
      <c r="Q136" s="99" t="s">
        <v>114</v>
      </c>
      <c r="R136" s="475" t="s">
        <v>7262</v>
      </c>
      <c r="S136" s="197"/>
      <c r="T136" s="197"/>
      <c r="U136" s="475"/>
      <c r="V136" s="475"/>
      <c r="W136" s="475"/>
      <c r="X136" s="475"/>
      <c r="Y136" s="475"/>
      <c r="Z136" s="475"/>
      <c r="AA136" s="475"/>
      <c r="AB136" s="475"/>
      <c r="AC136" s="475"/>
      <c r="AD136" s="197"/>
      <c r="AE136" s="197" t="s">
        <v>93</v>
      </c>
      <c r="AF136" s="99" t="s">
        <v>2530</v>
      </c>
      <c r="AG136" s="197" t="s">
        <v>6941</v>
      </c>
      <c r="AH136" s="197"/>
      <c r="AI136" s="459"/>
      <c r="AJ136" s="99" t="s">
        <v>7106</v>
      </c>
      <c r="AK136" s="99"/>
      <c r="AL136" s="99"/>
      <c r="AM136" s="99"/>
      <c r="AN136" s="99"/>
      <c r="AO136" s="99"/>
      <c r="AP136" s="99"/>
      <c r="AQ136" s="99"/>
      <c r="AR136" s="99" t="s">
        <v>6949</v>
      </c>
      <c r="AS136" s="99" t="s">
        <v>95</v>
      </c>
      <c r="AT136" s="99" t="s">
        <v>95</v>
      </c>
      <c r="AU136" s="99" t="s">
        <v>93</v>
      </c>
      <c r="AV136" s="99" t="s">
        <v>93</v>
      </c>
      <c r="AW136" s="99" t="s">
        <v>93</v>
      </c>
      <c r="AX136" s="99" t="s">
        <v>93</v>
      </c>
      <c r="AY136" s="99" t="s">
        <v>93</v>
      </c>
      <c r="AZ136" s="460" t="s">
        <v>93</v>
      </c>
      <c r="BA136" s="460"/>
      <c r="BB136" s="460" t="s">
        <v>92</v>
      </c>
      <c r="BC136" s="460" t="s">
        <v>92</v>
      </c>
      <c r="BD136" s="460" t="s">
        <v>92</v>
      </c>
      <c r="BE136" s="460"/>
      <c r="BF136" s="460" t="s">
        <v>93</v>
      </c>
      <c r="BG136" s="460"/>
      <c r="BH136" s="460"/>
      <c r="BI136" s="460"/>
      <c r="BJ136" s="460"/>
      <c r="BK136" s="460" t="s">
        <v>93</v>
      </c>
      <c r="BL136" s="460"/>
      <c r="BM136" s="213" t="s">
        <v>7763</v>
      </c>
      <c r="BN136" s="213" t="s">
        <v>2532</v>
      </c>
      <c r="BO136" s="213" t="s">
        <v>7764</v>
      </c>
      <c r="BP136" s="470"/>
      <c r="BQ136" s="99"/>
      <c r="BR136" s="99"/>
    </row>
    <row r="137" ht="15.75" customHeight="1">
      <c r="A137" s="197"/>
      <c r="B137" s="99" t="s">
        <v>7747</v>
      </c>
      <c r="C137" s="197">
        <v>276.0</v>
      </c>
      <c r="D137" s="99" t="s">
        <v>7765</v>
      </c>
      <c r="E137" s="99" t="s">
        <v>189</v>
      </c>
      <c r="F137" s="99" t="s">
        <v>7766</v>
      </c>
      <c r="G137" s="99" t="s">
        <v>3346</v>
      </c>
      <c r="H137" s="99"/>
      <c r="I137" s="99"/>
      <c r="J137" s="99"/>
      <c r="K137" s="197">
        <v>2023.0</v>
      </c>
      <c r="L137" s="99" t="s">
        <v>92</v>
      </c>
      <c r="M137" s="99" t="s">
        <v>92</v>
      </c>
      <c r="N137" s="99" t="s">
        <v>92</v>
      </c>
      <c r="O137" s="99" t="s">
        <v>93</v>
      </c>
      <c r="P137" s="99">
        <v>2023.0</v>
      </c>
      <c r="Q137" s="99" t="s">
        <v>96</v>
      </c>
      <c r="R137" s="475" t="s">
        <v>7262</v>
      </c>
      <c r="S137" s="197"/>
      <c r="T137" s="197"/>
      <c r="U137" s="475"/>
      <c r="V137" s="475"/>
      <c r="W137" s="475"/>
      <c r="X137" s="475"/>
      <c r="Y137" s="475"/>
      <c r="Z137" s="475"/>
      <c r="AA137" s="475"/>
      <c r="AB137" s="475"/>
      <c r="AC137" s="475"/>
      <c r="AD137" s="197"/>
      <c r="AE137" s="197" t="s">
        <v>93</v>
      </c>
      <c r="AF137" s="99" t="s">
        <v>1850</v>
      </c>
      <c r="AG137" s="197" t="s">
        <v>6990</v>
      </c>
      <c r="AH137" s="197"/>
      <c r="AI137" s="459"/>
      <c r="AJ137" s="99" t="s">
        <v>7106</v>
      </c>
      <c r="AK137" s="99"/>
      <c r="AL137" s="99"/>
      <c r="AM137" s="99"/>
      <c r="AN137" s="99"/>
      <c r="AO137" s="99"/>
      <c r="AP137" s="99"/>
      <c r="AQ137" s="99"/>
      <c r="AR137" s="99" t="s">
        <v>6942</v>
      </c>
      <c r="AS137" s="99" t="s">
        <v>7767</v>
      </c>
      <c r="AT137" s="99" t="s">
        <v>7768</v>
      </c>
      <c r="AU137" s="99" t="s">
        <v>92</v>
      </c>
      <c r="AV137" s="99" t="s">
        <v>93</v>
      </c>
      <c r="AW137" s="99" t="s">
        <v>93</v>
      </c>
      <c r="AX137" s="99" t="s">
        <v>92</v>
      </c>
      <c r="AY137" s="99" t="s">
        <v>92</v>
      </c>
      <c r="AZ137" s="460" t="s">
        <v>93</v>
      </c>
      <c r="BA137" s="460"/>
      <c r="BB137" s="460" t="s">
        <v>92</v>
      </c>
      <c r="BC137" s="460" t="s">
        <v>92</v>
      </c>
      <c r="BD137" s="460" t="s">
        <v>92</v>
      </c>
      <c r="BE137" s="460"/>
      <c r="BF137" s="460" t="s">
        <v>92</v>
      </c>
      <c r="BG137" s="460"/>
      <c r="BH137" s="460"/>
      <c r="BI137" s="460"/>
      <c r="BJ137" s="460"/>
      <c r="BK137" s="460" t="s">
        <v>92</v>
      </c>
      <c r="BL137" s="460"/>
      <c r="BM137" s="213" t="s">
        <v>7769</v>
      </c>
      <c r="BN137" s="470"/>
      <c r="BO137" s="470"/>
      <c r="BP137" s="470"/>
      <c r="BQ137" s="99"/>
      <c r="BR137" s="99"/>
    </row>
    <row r="138" ht="15.75" customHeight="1">
      <c r="A138" s="197"/>
      <c r="B138" s="99" t="s">
        <v>7747</v>
      </c>
      <c r="C138" s="197">
        <v>277.0</v>
      </c>
      <c r="D138" s="99" t="s">
        <v>7770</v>
      </c>
      <c r="E138" s="99" t="s">
        <v>189</v>
      </c>
      <c r="F138" s="99" t="s">
        <v>7771</v>
      </c>
      <c r="G138" s="99" t="s">
        <v>3346</v>
      </c>
      <c r="H138" s="99"/>
      <c r="I138" s="99"/>
      <c r="J138" s="99"/>
      <c r="K138" s="197">
        <v>2023.0</v>
      </c>
      <c r="L138" s="99" t="s">
        <v>92</v>
      </c>
      <c r="M138" s="99" t="s">
        <v>92</v>
      </c>
      <c r="N138" s="99" t="s">
        <v>92</v>
      </c>
      <c r="O138" s="99" t="s">
        <v>93</v>
      </c>
      <c r="P138" s="99">
        <v>2023.0</v>
      </c>
      <c r="Q138" s="99" t="s">
        <v>96</v>
      </c>
      <c r="R138" s="475" t="s">
        <v>7262</v>
      </c>
      <c r="S138" s="197"/>
      <c r="T138" s="197"/>
      <c r="U138" s="475"/>
      <c r="V138" s="475"/>
      <c r="W138" s="475"/>
      <c r="X138" s="475"/>
      <c r="Y138" s="475"/>
      <c r="Z138" s="475"/>
      <c r="AA138" s="475"/>
      <c r="AB138" s="475"/>
      <c r="AC138" s="475"/>
      <c r="AD138" s="197"/>
      <c r="AE138" s="197" t="s">
        <v>93</v>
      </c>
      <c r="AF138" s="99" t="s">
        <v>7772</v>
      </c>
      <c r="AG138" s="197" t="s">
        <v>6990</v>
      </c>
      <c r="AH138" s="197"/>
      <c r="AI138" s="459"/>
      <c r="AJ138" s="99" t="s">
        <v>7106</v>
      </c>
      <c r="AK138" s="99"/>
      <c r="AL138" s="99"/>
      <c r="AM138" s="99"/>
      <c r="AN138" s="99"/>
      <c r="AO138" s="99"/>
      <c r="AP138" s="99"/>
      <c r="AQ138" s="99"/>
      <c r="AR138" s="99" t="s">
        <v>6942</v>
      </c>
      <c r="AS138" s="99" t="s">
        <v>3520</v>
      </c>
      <c r="AT138" s="99" t="s">
        <v>3451</v>
      </c>
      <c r="AU138" s="99" t="s">
        <v>92</v>
      </c>
      <c r="AV138" s="99" t="s">
        <v>92</v>
      </c>
      <c r="AW138" s="99" t="s">
        <v>92</v>
      </c>
      <c r="AX138" s="99" t="s">
        <v>93</v>
      </c>
      <c r="AY138" s="99" t="s">
        <v>92</v>
      </c>
      <c r="AZ138" s="460" t="s">
        <v>93</v>
      </c>
      <c r="BA138" s="460"/>
      <c r="BB138" s="460" t="s">
        <v>92</v>
      </c>
      <c r="BC138" s="460" t="s">
        <v>92</v>
      </c>
      <c r="BD138" s="460" t="s">
        <v>92</v>
      </c>
      <c r="BE138" s="460"/>
      <c r="BF138" s="460" t="s">
        <v>92</v>
      </c>
      <c r="BG138" s="460"/>
      <c r="BH138" s="460"/>
      <c r="BI138" s="460"/>
      <c r="BJ138" s="460"/>
      <c r="BK138" s="460" t="s">
        <v>92</v>
      </c>
      <c r="BL138" s="460"/>
      <c r="BM138" s="213" t="s">
        <v>7773</v>
      </c>
      <c r="BN138" s="470"/>
      <c r="BO138" s="470"/>
      <c r="BP138" s="470"/>
      <c r="BQ138" s="99"/>
      <c r="BR138" s="99"/>
    </row>
    <row r="139" ht="15.75" customHeight="1">
      <c r="A139" s="197"/>
      <c r="B139" s="99" t="s">
        <v>7774</v>
      </c>
      <c r="C139" s="197">
        <v>278.0</v>
      </c>
      <c r="D139" s="99" t="s">
        <v>7775</v>
      </c>
      <c r="E139" s="99" t="s">
        <v>189</v>
      </c>
      <c r="F139" s="99" t="s">
        <v>7776</v>
      </c>
      <c r="G139" s="99" t="s">
        <v>3346</v>
      </c>
      <c r="H139" s="99"/>
      <c r="I139" s="99"/>
      <c r="J139" s="99"/>
      <c r="K139" s="197">
        <v>2023.0</v>
      </c>
      <c r="L139" s="99" t="s">
        <v>92</v>
      </c>
      <c r="M139" s="99" t="s">
        <v>92</v>
      </c>
      <c r="N139" s="99" t="s">
        <v>92</v>
      </c>
      <c r="O139" s="99" t="s">
        <v>93</v>
      </c>
      <c r="P139" s="99">
        <v>2023.0</v>
      </c>
      <c r="Q139" s="99" t="s">
        <v>96</v>
      </c>
      <c r="R139" s="475" t="s">
        <v>7262</v>
      </c>
      <c r="S139" s="197"/>
      <c r="T139" s="197"/>
      <c r="U139" s="475"/>
      <c r="V139" s="475"/>
      <c r="W139" s="475"/>
      <c r="X139" s="475"/>
      <c r="Y139" s="475"/>
      <c r="Z139" s="475"/>
      <c r="AA139" s="475"/>
      <c r="AB139" s="475"/>
      <c r="AC139" s="475"/>
      <c r="AD139" s="197"/>
      <c r="AE139" s="197" t="s">
        <v>93</v>
      </c>
      <c r="AF139" s="99" t="s">
        <v>7777</v>
      </c>
      <c r="AG139" s="197" t="s">
        <v>6990</v>
      </c>
      <c r="AH139" s="197"/>
      <c r="AI139" s="459"/>
      <c r="AJ139" s="99" t="s">
        <v>7106</v>
      </c>
      <c r="AK139" s="99"/>
      <c r="AL139" s="99"/>
      <c r="AM139" s="99"/>
      <c r="AN139" s="99"/>
      <c r="AO139" s="99"/>
      <c r="AP139" s="99"/>
      <c r="AQ139" s="99"/>
      <c r="AR139" s="99" t="s">
        <v>6942</v>
      </c>
      <c r="AS139" s="99" t="s">
        <v>7778</v>
      </c>
      <c r="AT139" s="99" t="s">
        <v>3450</v>
      </c>
      <c r="AU139" s="99" t="s">
        <v>92</v>
      </c>
      <c r="AV139" s="99" t="s">
        <v>92</v>
      </c>
      <c r="AW139" s="99" t="s">
        <v>93</v>
      </c>
      <c r="AX139" s="99" t="s">
        <v>92</v>
      </c>
      <c r="AY139" s="99" t="s">
        <v>92</v>
      </c>
      <c r="AZ139" s="460" t="s">
        <v>93</v>
      </c>
      <c r="BA139" s="460"/>
      <c r="BB139" s="460" t="s">
        <v>92</v>
      </c>
      <c r="BC139" s="460" t="s">
        <v>92</v>
      </c>
      <c r="BD139" s="460" t="s">
        <v>92</v>
      </c>
      <c r="BE139" s="460"/>
      <c r="BF139" s="460" t="s">
        <v>92</v>
      </c>
      <c r="BG139" s="460"/>
      <c r="BH139" s="460"/>
      <c r="BI139" s="460"/>
      <c r="BJ139" s="460"/>
      <c r="BK139" s="460" t="s">
        <v>92</v>
      </c>
      <c r="BL139" s="460"/>
      <c r="BM139" s="213" t="s">
        <v>7779</v>
      </c>
      <c r="BN139" s="213" t="s">
        <v>7780</v>
      </c>
      <c r="BO139" s="470"/>
      <c r="BP139" s="470"/>
      <c r="BQ139" s="99"/>
      <c r="BR139" s="99"/>
    </row>
    <row r="140" ht="15.75" customHeight="1">
      <c r="A140" s="197"/>
      <c r="B140" s="99" t="s">
        <v>7781</v>
      </c>
      <c r="C140" s="197">
        <v>280.0</v>
      </c>
      <c r="D140" s="99" t="s">
        <v>7782</v>
      </c>
      <c r="E140" s="99" t="s">
        <v>189</v>
      </c>
      <c r="F140" s="99" t="s">
        <v>7783</v>
      </c>
      <c r="G140" s="99" t="s">
        <v>3346</v>
      </c>
      <c r="H140" s="99"/>
      <c r="I140" s="99"/>
      <c r="J140" s="99"/>
      <c r="K140" s="197">
        <v>2023.0</v>
      </c>
      <c r="L140" s="99" t="s">
        <v>92</v>
      </c>
      <c r="M140" s="99" t="s">
        <v>92</v>
      </c>
      <c r="N140" s="99" t="s">
        <v>92</v>
      </c>
      <c r="O140" s="99" t="s">
        <v>93</v>
      </c>
      <c r="P140" s="99">
        <v>2023.0</v>
      </c>
      <c r="Q140" s="99" t="s">
        <v>96</v>
      </c>
      <c r="R140" s="475" t="s">
        <v>7262</v>
      </c>
      <c r="S140" s="197"/>
      <c r="T140" s="197"/>
      <c r="U140" s="475"/>
      <c r="V140" s="475"/>
      <c r="W140" s="475"/>
      <c r="X140" s="475"/>
      <c r="Y140" s="475"/>
      <c r="Z140" s="475"/>
      <c r="AA140" s="475"/>
      <c r="AB140" s="475"/>
      <c r="AC140" s="475"/>
      <c r="AD140" s="197"/>
      <c r="AE140" s="197" t="s">
        <v>93</v>
      </c>
      <c r="AF140" s="478" t="s">
        <v>2715</v>
      </c>
      <c r="AG140" s="197" t="s">
        <v>6990</v>
      </c>
      <c r="AH140" s="197"/>
      <c r="AI140" s="459"/>
      <c r="AJ140" s="99" t="s">
        <v>7106</v>
      </c>
      <c r="AK140" s="99"/>
      <c r="AL140" s="99"/>
      <c r="AM140" s="99"/>
      <c r="AN140" s="99"/>
      <c r="AO140" s="99"/>
      <c r="AP140" s="99"/>
      <c r="AQ140" s="99"/>
      <c r="AR140" s="99" t="s">
        <v>6942</v>
      </c>
      <c r="AS140" s="99" t="s">
        <v>3520</v>
      </c>
      <c r="AT140" s="99" t="s">
        <v>3451</v>
      </c>
      <c r="AU140" s="99" t="s">
        <v>92</v>
      </c>
      <c r="AV140" s="99" t="s">
        <v>92</v>
      </c>
      <c r="AW140" s="99" t="s">
        <v>92</v>
      </c>
      <c r="AX140" s="99" t="s">
        <v>93</v>
      </c>
      <c r="AY140" s="99" t="s">
        <v>92</v>
      </c>
      <c r="AZ140" s="460" t="s">
        <v>93</v>
      </c>
      <c r="BA140" s="460"/>
      <c r="BB140" s="460" t="s">
        <v>92</v>
      </c>
      <c r="BC140" s="460" t="s">
        <v>92</v>
      </c>
      <c r="BD140" s="460" t="s">
        <v>92</v>
      </c>
      <c r="BE140" s="460"/>
      <c r="BF140" s="460" t="s">
        <v>92</v>
      </c>
      <c r="BG140" s="460"/>
      <c r="BH140" s="460"/>
      <c r="BI140" s="460"/>
      <c r="BJ140" s="460"/>
      <c r="BK140" s="460" t="s">
        <v>92</v>
      </c>
      <c r="BL140" s="460"/>
      <c r="BM140" s="213" t="s">
        <v>7784</v>
      </c>
      <c r="BN140" s="470"/>
      <c r="BO140" s="470"/>
      <c r="BP140" s="470"/>
      <c r="BQ140" s="99"/>
      <c r="BR140" s="99"/>
    </row>
    <row r="141" ht="15.75" customHeight="1">
      <c r="A141" s="197"/>
      <c r="B141" s="99" t="s">
        <v>7747</v>
      </c>
      <c r="C141" s="197">
        <v>282.0</v>
      </c>
      <c r="D141" s="99" t="s">
        <v>2555</v>
      </c>
      <c r="E141" s="99" t="s">
        <v>189</v>
      </c>
      <c r="F141" s="99" t="s">
        <v>7785</v>
      </c>
      <c r="G141" s="99" t="s">
        <v>3346</v>
      </c>
      <c r="H141" s="99"/>
      <c r="I141" s="99"/>
      <c r="J141" s="99"/>
      <c r="K141" s="197">
        <v>2022.0</v>
      </c>
      <c r="L141" s="99" t="s">
        <v>92</v>
      </c>
      <c r="M141" s="99" t="s">
        <v>92</v>
      </c>
      <c r="N141" s="99" t="s">
        <v>93</v>
      </c>
      <c r="O141" s="99" t="s">
        <v>92</v>
      </c>
      <c r="P141" s="99">
        <v>2022.0</v>
      </c>
      <c r="Q141" s="99" t="s">
        <v>96</v>
      </c>
      <c r="R141" s="475" t="s">
        <v>7262</v>
      </c>
      <c r="S141" s="197"/>
      <c r="T141" s="197"/>
      <c r="U141" s="475"/>
      <c r="V141" s="475"/>
      <c r="W141" s="475"/>
      <c r="X141" s="475"/>
      <c r="Y141" s="475"/>
      <c r="Z141" s="475"/>
      <c r="AA141" s="475"/>
      <c r="AB141" s="475"/>
      <c r="AC141" s="475"/>
      <c r="AD141" s="197"/>
      <c r="AE141" s="197" t="s">
        <v>93</v>
      </c>
      <c r="AF141" s="99" t="s">
        <v>105</v>
      </c>
      <c r="AG141" s="197" t="s">
        <v>6990</v>
      </c>
      <c r="AH141" s="197"/>
      <c r="AI141" s="459"/>
      <c r="AJ141" s="99" t="s">
        <v>7106</v>
      </c>
      <c r="AK141" s="99"/>
      <c r="AL141" s="99"/>
      <c r="AM141" s="99"/>
      <c r="AN141" s="99"/>
      <c r="AO141" s="99"/>
      <c r="AP141" s="99"/>
      <c r="AQ141" s="99"/>
      <c r="AR141" s="99" t="s">
        <v>6949</v>
      </c>
      <c r="AS141" s="99" t="s">
        <v>95</v>
      </c>
      <c r="AT141" s="99" t="s">
        <v>95</v>
      </c>
      <c r="AU141" s="99" t="s">
        <v>93</v>
      </c>
      <c r="AV141" s="99" t="s">
        <v>93</v>
      </c>
      <c r="AW141" s="99" t="s">
        <v>93</v>
      </c>
      <c r="AX141" s="99" t="s">
        <v>93</v>
      </c>
      <c r="AY141" s="99" t="s">
        <v>93</v>
      </c>
      <c r="AZ141" s="460" t="s">
        <v>93</v>
      </c>
      <c r="BA141" s="460"/>
      <c r="BB141" s="460" t="s">
        <v>92</v>
      </c>
      <c r="BC141" s="460" t="s">
        <v>92</v>
      </c>
      <c r="BD141" s="460" t="s">
        <v>92</v>
      </c>
      <c r="BE141" s="460"/>
      <c r="BF141" s="460" t="s">
        <v>92</v>
      </c>
      <c r="BG141" s="460"/>
      <c r="BH141" s="460"/>
      <c r="BI141" s="460"/>
      <c r="BJ141" s="460"/>
      <c r="BK141" s="460" t="s">
        <v>92</v>
      </c>
      <c r="BL141" s="460"/>
      <c r="BM141" s="213" t="s">
        <v>7764</v>
      </c>
      <c r="BN141" s="470"/>
      <c r="BO141" s="470"/>
      <c r="BP141" s="470"/>
      <c r="BQ141" s="99"/>
      <c r="BR141" s="99"/>
    </row>
    <row r="142" ht="15.75" customHeight="1">
      <c r="A142" s="197"/>
      <c r="B142" s="99" t="s">
        <v>7747</v>
      </c>
      <c r="C142" s="197">
        <v>283.0</v>
      </c>
      <c r="D142" s="99" t="s">
        <v>7786</v>
      </c>
      <c r="E142" s="99" t="s">
        <v>189</v>
      </c>
      <c r="F142" s="99" t="s">
        <v>7787</v>
      </c>
      <c r="G142" s="99" t="s">
        <v>3346</v>
      </c>
      <c r="H142" s="99"/>
      <c r="I142" s="99"/>
      <c r="J142" s="99"/>
      <c r="K142" s="197">
        <v>2022.0</v>
      </c>
      <c r="L142" s="99" t="s">
        <v>92</v>
      </c>
      <c r="M142" s="99" t="s">
        <v>92</v>
      </c>
      <c r="N142" s="99" t="s">
        <v>93</v>
      </c>
      <c r="O142" s="99" t="s">
        <v>92</v>
      </c>
      <c r="P142" s="99">
        <v>2022.0</v>
      </c>
      <c r="Q142" s="99" t="s">
        <v>96</v>
      </c>
      <c r="R142" s="475" t="s">
        <v>7262</v>
      </c>
      <c r="S142" s="197"/>
      <c r="T142" s="197"/>
      <c r="U142" s="475"/>
      <c r="V142" s="475"/>
      <c r="W142" s="475"/>
      <c r="X142" s="475"/>
      <c r="Y142" s="475"/>
      <c r="Z142" s="475"/>
      <c r="AA142" s="475"/>
      <c r="AB142" s="475"/>
      <c r="AC142" s="475"/>
      <c r="AD142" s="197"/>
      <c r="AE142" s="197" t="s">
        <v>93</v>
      </c>
      <c r="AF142" s="99" t="s">
        <v>105</v>
      </c>
      <c r="AG142" s="197" t="s">
        <v>6990</v>
      </c>
      <c r="AH142" s="197"/>
      <c r="AI142" s="459"/>
      <c r="AJ142" s="99" t="s">
        <v>7106</v>
      </c>
      <c r="AK142" s="99"/>
      <c r="AL142" s="99"/>
      <c r="AM142" s="99"/>
      <c r="AN142" s="99"/>
      <c r="AO142" s="99"/>
      <c r="AP142" s="99"/>
      <c r="AQ142" s="99"/>
      <c r="AR142" s="99" t="s">
        <v>6942</v>
      </c>
      <c r="AS142" s="99" t="s">
        <v>7788</v>
      </c>
      <c r="AT142" s="99" t="s">
        <v>7073</v>
      </c>
      <c r="AU142" s="99" t="s">
        <v>92</v>
      </c>
      <c r="AV142" s="99" t="s">
        <v>93</v>
      </c>
      <c r="AW142" s="99" t="s">
        <v>92</v>
      </c>
      <c r="AX142" s="99" t="s">
        <v>93</v>
      </c>
      <c r="AY142" s="99" t="s">
        <v>92</v>
      </c>
      <c r="AZ142" s="460" t="s">
        <v>93</v>
      </c>
      <c r="BA142" s="460"/>
      <c r="BB142" s="460" t="s">
        <v>92</v>
      </c>
      <c r="BC142" s="460" t="s">
        <v>92</v>
      </c>
      <c r="BD142" s="460" t="s">
        <v>92</v>
      </c>
      <c r="BE142" s="460"/>
      <c r="BF142" s="460" t="s">
        <v>92</v>
      </c>
      <c r="BG142" s="460"/>
      <c r="BH142" s="460"/>
      <c r="BI142" s="460"/>
      <c r="BJ142" s="460"/>
      <c r="BK142" s="460" t="s">
        <v>92</v>
      </c>
      <c r="BL142" s="460"/>
      <c r="BM142" s="213" t="s">
        <v>7764</v>
      </c>
      <c r="BN142" s="470"/>
      <c r="BO142" s="470"/>
      <c r="BP142" s="470"/>
      <c r="BQ142" s="99"/>
      <c r="BR142" s="99"/>
    </row>
    <row r="143" ht="15.75" customHeight="1">
      <c r="A143" s="197"/>
      <c r="B143" s="99" t="s">
        <v>7789</v>
      </c>
      <c r="C143" s="197">
        <v>284.0</v>
      </c>
      <c r="D143" s="99" t="s">
        <v>7790</v>
      </c>
      <c r="E143" s="99" t="s">
        <v>90</v>
      </c>
      <c r="F143" s="99" t="s">
        <v>7791</v>
      </c>
      <c r="G143" s="99"/>
      <c r="H143" s="99"/>
      <c r="I143" s="99"/>
      <c r="J143" s="99"/>
      <c r="K143" s="197">
        <v>2019.0</v>
      </c>
      <c r="L143" s="99" t="s">
        <v>93</v>
      </c>
      <c r="M143" s="99" t="s">
        <v>92</v>
      </c>
      <c r="N143" s="99" t="s">
        <v>93</v>
      </c>
      <c r="O143" s="99" t="s">
        <v>92</v>
      </c>
      <c r="P143" s="99" t="s">
        <v>95</v>
      </c>
      <c r="Q143" s="99" t="s">
        <v>114</v>
      </c>
      <c r="R143" s="475" t="s">
        <v>7262</v>
      </c>
      <c r="S143" s="197"/>
      <c r="T143" s="197"/>
      <c r="U143" s="475"/>
      <c r="V143" s="475"/>
      <c r="W143" s="475"/>
      <c r="X143" s="475"/>
      <c r="Y143" s="475"/>
      <c r="Z143" s="475"/>
      <c r="AA143" s="475"/>
      <c r="AB143" s="475"/>
      <c r="AC143" s="475"/>
      <c r="AD143" s="197"/>
      <c r="AE143" s="197" t="s">
        <v>93</v>
      </c>
      <c r="AF143" s="99" t="s">
        <v>7792</v>
      </c>
      <c r="AG143" s="197" t="s">
        <v>6990</v>
      </c>
      <c r="AH143" s="197"/>
      <c r="AI143" s="459"/>
      <c r="AJ143" s="99" t="s">
        <v>7270</v>
      </c>
      <c r="AK143" s="99"/>
      <c r="AL143" s="99"/>
      <c r="AM143" s="99"/>
      <c r="AN143" s="99"/>
      <c r="AO143" s="99"/>
      <c r="AP143" s="99"/>
      <c r="AQ143" s="99"/>
      <c r="AR143" s="99" t="s">
        <v>6942</v>
      </c>
      <c r="AS143" s="99" t="s">
        <v>6890</v>
      </c>
      <c r="AT143" s="99" t="s">
        <v>3451</v>
      </c>
      <c r="AU143" s="99" t="s">
        <v>92</v>
      </c>
      <c r="AV143" s="99" t="s">
        <v>92</v>
      </c>
      <c r="AW143" s="99" t="s">
        <v>92</v>
      </c>
      <c r="AX143" s="99" t="s">
        <v>93</v>
      </c>
      <c r="AY143" s="99" t="s">
        <v>92</v>
      </c>
      <c r="AZ143" s="460" t="s">
        <v>93</v>
      </c>
      <c r="BA143" s="460"/>
      <c r="BB143" s="460" t="s">
        <v>93</v>
      </c>
      <c r="BC143" s="460" t="s">
        <v>92</v>
      </c>
      <c r="BD143" s="460" t="s">
        <v>92</v>
      </c>
      <c r="BE143" s="460"/>
      <c r="BF143" s="460" t="s">
        <v>92</v>
      </c>
      <c r="BG143" s="460"/>
      <c r="BH143" s="460"/>
      <c r="BI143" s="460"/>
      <c r="BJ143" s="460"/>
      <c r="BK143" s="460" t="s">
        <v>93</v>
      </c>
      <c r="BL143" s="460"/>
      <c r="BM143" s="213" t="s">
        <v>7793</v>
      </c>
      <c r="BN143" s="213" t="s">
        <v>7764</v>
      </c>
      <c r="BO143" s="213" t="s">
        <v>7794</v>
      </c>
      <c r="BP143" s="470"/>
      <c r="BQ143" s="99"/>
      <c r="BR143" s="99"/>
    </row>
    <row r="144" ht="15.75" customHeight="1">
      <c r="A144" s="197"/>
      <c r="B144" s="99" t="s">
        <v>7795</v>
      </c>
      <c r="C144" s="197">
        <v>285.0</v>
      </c>
      <c r="D144" s="99" t="s">
        <v>2555</v>
      </c>
      <c r="E144" s="99" t="s">
        <v>189</v>
      </c>
      <c r="F144" s="99" t="s">
        <v>7796</v>
      </c>
      <c r="G144" s="99" t="s">
        <v>3346</v>
      </c>
      <c r="H144" s="99" t="s">
        <v>95</v>
      </c>
      <c r="I144" s="99" t="s">
        <v>94</v>
      </c>
      <c r="J144" s="99" t="s">
        <v>92</v>
      </c>
      <c r="K144" s="197">
        <v>2020.0</v>
      </c>
      <c r="L144" s="99" t="s">
        <v>93</v>
      </c>
      <c r="M144" s="99" t="s">
        <v>92</v>
      </c>
      <c r="N144" s="99" t="s">
        <v>92</v>
      </c>
      <c r="O144" s="99" t="s">
        <v>92</v>
      </c>
      <c r="P144" s="99">
        <v>2020.0</v>
      </c>
      <c r="Q144" s="99" t="s">
        <v>96</v>
      </c>
      <c r="R144" s="475" t="s">
        <v>7262</v>
      </c>
      <c r="S144" s="197"/>
      <c r="T144" s="197"/>
      <c r="U144" s="475"/>
      <c r="V144" s="475"/>
      <c r="W144" s="475"/>
      <c r="X144" s="475"/>
      <c r="Y144" s="475"/>
      <c r="Z144" s="475"/>
      <c r="AA144" s="475"/>
      <c r="AB144" s="475"/>
      <c r="AC144" s="475"/>
      <c r="AD144" s="197"/>
      <c r="AE144" s="197" t="s">
        <v>93</v>
      </c>
      <c r="AF144" s="99" t="s">
        <v>7797</v>
      </c>
      <c r="AG144" s="197" t="s">
        <v>6990</v>
      </c>
      <c r="AH144" s="197"/>
      <c r="AI144" s="459"/>
      <c r="AJ144" s="99" t="s">
        <v>7106</v>
      </c>
      <c r="AK144" s="99" t="s">
        <v>92</v>
      </c>
      <c r="AL144" s="99" t="s">
        <v>92</v>
      </c>
      <c r="AM144" s="99" t="s">
        <v>92</v>
      </c>
      <c r="AN144" s="99" t="s">
        <v>92</v>
      </c>
      <c r="AO144" s="99" t="s">
        <v>92</v>
      </c>
      <c r="AP144" s="99" t="s">
        <v>93</v>
      </c>
      <c r="AQ144" s="99" t="s">
        <v>92</v>
      </c>
      <c r="AR144" s="99" t="s">
        <v>6942</v>
      </c>
      <c r="AS144" s="99" t="s">
        <v>7798</v>
      </c>
      <c r="AT144" s="99" t="s">
        <v>7073</v>
      </c>
      <c r="AU144" s="99" t="s">
        <v>92</v>
      </c>
      <c r="AV144" s="99" t="s">
        <v>93</v>
      </c>
      <c r="AW144" s="99" t="s">
        <v>92</v>
      </c>
      <c r="AX144" s="99" t="s">
        <v>93</v>
      </c>
      <c r="AY144" s="99" t="s">
        <v>92</v>
      </c>
      <c r="AZ144" s="460" t="s">
        <v>93</v>
      </c>
      <c r="BA144" s="460"/>
      <c r="BB144" s="460" t="s">
        <v>92</v>
      </c>
      <c r="BC144" s="460" t="s">
        <v>92</v>
      </c>
      <c r="BD144" s="460" t="s">
        <v>92</v>
      </c>
      <c r="BE144" s="460"/>
      <c r="BF144" s="460" t="s">
        <v>92</v>
      </c>
      <c r="BG144" s="460"/>
      <c r="BH144" s="460"/>
      <c r="BI144" s="460"/>
      <c r="BJ144" s="460"/>
      <c r="BK144" s="460" t="s">
        <v>92</v>
      </c>
      <c r="BL144" s="460"/>
      <c r="BM144" s="213" t="s">
        <v>7799</v>
      </c>
      <c r="BN144" s="470"/>
      <c r="BO144" s="470"/>
      <c r="BP144" s="470"/>
      <c r="BQ144" s="99"/>
      <c r="BR144" s="99"/>
    </row>
    <row r="145" ht="15.75" customHeight="1">
      <c r="A145" s="197"/>
      <c r="B145" s="99" t="s">
        <v>7789</v>
      </c>
      <c r="C145" s="197">
        <v>286.0</v>
      </c>
      <c r="D145" s="99" t="s">
        <v>2555</v>
      </c>
      <c r="E145" s="99" t="s">
        <v>189</v>
      </c>
      <c r="F145" s="99" t="s">
        <v>7800</v>
      </c>
      <c r="G145" s="99" t="s">
        <v>3346</v>
      </c>
      <c r="H145" s="99" t="s">
        <v>95</v>
      </c>
      <c r="I145" s="99" t="s">
        <v>94</v>
      </c>
      <c r="J145" s="99" t="s">
        <v>92</v>
      </c>
      <c r="K145" s="197">
        <v>2020.0</v>
      </c>
      <c r="L145" s="99" t="s">
        <v>93</v>
      </c>
      <c r="M145" s="99" t="s">
        <v>92</v>
      </c>
      <c r="N145" s="99" t="s">
        <v>92</v>
      </c>
      <c r="O145" s="99" t="s">
        <v>92</v>
      </c>
      <c r="P145" s="99">
        <v>2020.0</v>
      </c>
      <c r="Q145" s="99" t="s">
        <v>96</v>
      </c>
      <c r="R145" s="475" t="s">
        <v>7262</v>
      </c>
      <c r="S145" s="197"/>
      <c r="T145" s="197"/>
      <c r="U145" s="475"/>
      <c r="V145" s="475"/>
      <c r="W145" s="475"/>
      <c r="X145" s="475"/>
      <c r="Y145" s="475"/>
      <c r="Z145" s="475"/>
      <c r="AA145" s="475"/>
      <c r="AB145" s="475"/>
      <c r="AC145" s="475"/>
      <c r="AD145" s="197"/>
      <c r="AE145" s="197" t="s">
        <v>93</v>
      </c>
      <c r="AF145" s="99" t="s">
        <v>7801</v>
      </c>
      <c r="AG145" s="197" t="s">
        <v>6990</v>
      </c>
      <c r="AH145" s="197"/>
      <c r="AI145" s="459"/>
      <c r="AJ145" s="99" t="s">
        <v>7106</v>
      </c>
      <c r="AK145" s="99" t="s">
        <v>92</v>
      </c>
      <c r="AL145" s="99" t="s">
        <v>92</v>
      </c>
      <c r="AM145" s="99" t="s">
        <v>92</v>
      </c>
      <c r="AN145" s="99" t="s">
        <v>92</v>
      </c>
      <c r="AO145" s="99" t="s">
        <v>92</v>
      </c>
      <c r="AP145" s="99" t="s">
        <v>93</v>
      </c>
      <c r="AQ145" s="99" t="s">
        <v>92</v>
      </c>
      <c r="AR145" s="99" t="s">
        <v>6942</v>
      </c>
      <c r="AS145" s="99" t="s">
        <v>7802</v>
      </c>
      <c r="AT145" s="99" t="s">
        <v>7803</v>
      </c>
      <c r="AU145" s="99" t="s">
        <v>93</v>
      </c>
      <c r="AV145" s="99" t="s">
        <v>93</v>
      </c>
      <c r="AW145" s="99" t="s">
        <v>93</v>
      </c>
      <c r="AX145" s="99" t="s">
        <v>93</v>
      </c>
      <c r="AY145" s="99" t="s">
        <v>92</v>
      </c>
      <c r="AZ145" s="460" t="s">
        <v>93</v>
      </c>
      <c r="BA145" s="460"/>
      <c r="BB145" s="460" t="s">
        <v>92</v>
      </c>
      <c r="BC145" s="460" t="s">
        <v>92</v>
      </c>
      <c r="BD145" s="460" t="s">
        <v>92</v>
      </c>
      <c r="BE145" s="460"/>
      <c r="BF145" s="460" t="s">
        <v>92</v>
      </c>
      <c r="BG145" s="460"/>
      <c r="BH145" s="460"/>
      <c r="BI145" s="460"/>
      <c r="BJ145" s="460"/>
      <c r="BK145" s="460" t="s">
        <v>92</v>
      </c>
      <c r="BL145" s="460"/>
      <c r="BM145" s="213" t="s">
        <v>7799</v>
      </c>
      <c r="BN145" s="470"/>
      <c r="BO145" s="470"/>
      <c r="BP145" s="470"/>
      <c r="BQ145" s="99"/>
      <c r="BR145" s="99"/>
    </row>
    <row r="146" ht="15.75" customHeight="1">
      <c r="A146" s="197"/>
      <c r="B146" s="99" t="s">
        <v>7804</v>
      </c>
      <c r="C146" s="197">
        <v>287.0</v>
      </c>
      <c r="D146" s="99" t="s">
        <v>2555</v>
      </c>
      <c r="E146" s="99" t="s">
        <v>189</v>
      </c>
      <c r="F146" s="99" t="s">
        <v>7805</v>
      </c>
      <c r="G146" s="99" t="s">
        <v>3346</v>
      </c>
      <c r="H146" s="99" t="s">
        <v>95</v>
      </c>
      <c r="I146" s="99" t="s">
        <v>94</v>
      </c>
      <c r="J146" s="99" t="s">
        <v>92</v>
      </c>
      <c r="K146" s="197">
        <v>2020.0</v>
      </c>
      <c r="L146" s="99" t="s">
        <v>93</v>
      </c>
      <c r="M146" s="99" t="s">
        <v>92</v>
      </c>
      <c r="N146" s="99" t="s">
        <v>92</v>
      </c>
      <c r="O146" s="99" t="s">
        <v>92</v>
      </c>
      <c r="P146" s="99">
        <v>2020.0</v>
      </c>
      <c r="Q146" s="99" t="s">
        <v>96</v>
      </c>
      <c r="R146" s="475" t="s">
        <v>7262</v>
      </c>
      <c r="S146" s="197"/>
      <c r="T146" s="197"/>
      <c r="U146" s="475"/>
      <c r="V146" s="475"/>
      <c r="W146" s="475"/>
      <c r="X146" s="475"/>
      <c r="Y146" s="475"/>
      <c r="Z146" s="475"/>
      <c r="AA146" s="475"/>
      <c r="AB146" s="475"/>
      <c r="AC146" s="475"/>
      <c r="AD146" s="197"/>
      <c r="AE146" s="197" t="s">
        <v>93</v>
      </c>
      <c r="AF146" s="99" t="s">
        <v>7806</v>
      </c>
      <c r="AG146" s="197" t="s">
        <v>6990</v>
      </c>
      <c r="AH146" s="197"/>
      <c r="AI146" s="459"/>
      <c r="AJ146" s="99" t="s">
        <v>7106</v>
      </c>
      <c r="AK146" s="99" t="s">
        <v>92</v>
      </c>
      <c r="AL146" s="99" t="s">
        <v>92</v>
      </c>
      <c r="AM146" s="99" t="s">
        <v>92</v>
      </c>
      <c r="AN146" s="99" t="s">
        <v>92</v>
      </c>
      <c r="AO146" s="99" t="s">
        <v>92</v>
      </c>
      <c r="AP146" s="99" t="s">
        <v>93</v>
      </c>
      <c r="AQ146" s="99" t="s">
        <v>92</v>
      </c>
      <c r="AR146" s="99" t="s">
        <v>6942</v>
      </c>
      <c r="AS146" s="99" t="s">
        <v>7218</v>
      </c>
      <c r="AT146" s="99" t="s">
        <v>7073</v>
      </c>
      <c r="AU146" s="99" t="s">
        <v>92</v>
      </c>
      <c r="AV146" s="99" t="s">
        <v>93</v>
      </c>
      <c r="AW146" s="99" t="s">
        <v>92</v>
      </c>
      <c r="AX146" s="99" t="s">
        <v>93</v>
      </c>
      <c r="AY146" s="99" t="s">
        <v>92</v>
      </c>
      <c r="AZ146" s="460" t="s">
        <v>93</v>
      </c>
      <c r="BA146" s="460"/>
      <c r="BB146" s="460" t="s">
        <v>92</v>
      </c>
      <c r="BC146" s="460" t="s">
        <v>92</v>
      </c>
      <c r="BD146" s="460" t="s">
        <v>92</v>
      </c>
      <c r="BE146" s="460"/>
      <c r="BF146" s="460" t="s">
        <v>92</v>
      </c>
      <c r="BG146" s="460"/>
      <c r="BH146" s="460"/>
      <c r="BI146" s="460"/>
      <c r="BJ146" s="460"/>
      <c r="BK146" s="460" t="s">
        <v>92</v>
      </c>
      <c r="BL146" s="460"/>
      <c r="BM146" s="213" t="s">
        <v>7799</v>
      </c>
      <c r="BN146" s="470"/>
      <c r="BO146" s="470"/>
      <c r="BP146" s="470"/>
      <c r="BQ146" s="99"/>
      <c r="BR146" s="99"/>
    </row>
    <row r="147" ht="15.75" customHeight="1">
      <c r="A147" s="197"/>
      <c r="B147" s="99" t="s">
        <v>7807</v>
      </c>
      <c r="C147" s="197">
        <v>289.0</v>
      </c>
      <c r="D147" s="99" t="s">
        <v>2555</v>
      </c>
      <c r="E147" s="99" t="s">
        <v>189</v>
      </c>
      <c r="F147" s="99" t="s">
        <v>7808</v>
      </c>
      <c r="G147" s="99" t="s">
        <v>3346</v>
      </c>
      <c r="H147" s="99" t="s">
        <v>95</v>
      </c>
      <c r="I147" s="99" t="s">
        <v>94</v>
      </c>
      <c r="J147" s="99" t="s">
        <v>92</v>
      </c>
      <c r="K147" s="197">
        <v>2020.0</v>
      </c>
      <c r="L147" s="99" t="s">
        <v>93</v>
      </c>
      <c r="M147" s="99" t="s">
        <v>92</v>
      </c>
      <c r="N147" s="99" t="s">
        <v>92</v>
      </c>
      <c r="O147" s="99" t="s">
        <v>92</v>
      </c>
      <c r="P147" s="99">
        <v>2020.0</v>
      </c>
      <c r="Q147" s="99" t="s">
        <v>96</v>
      </c>
      <c r="R147" s="475" t="s">
        <v>7262</v>
      </c>
      <c r="S147" s="197"/>
      <c r="T147" s="197"/>
      <c r="U147" s="475"/>
      <c r="V147" s="475"/>
      <c r="W147" s="475"/>
      <c r="X147" s="475"/>
      <c r="Y147" s="475"/>
      <c r="Z147" s="475"/>
      <c r="AA147" s="475"/>
      <c r="AB147" s="475"/>
      <c r="AC147" s="475"/>
      <c r="AD147" s="197"/>
      <c r="AE147" s="197" t="s">
        <v>93</v>
      </c>
      <c r="AF147" s="99" t="s">
        <v>7809</v>
      </c>
      <c r="AG147" s="197" t="s">
        <v>6990</v>
      </c>
      <c r="AH147" s="197"/>
      <c r="AI147" s="459"/>
      <c r="AJ147" s="99" t="s">
        <v>7106</v>
      </c>
      <c r="AK147" s="99" t="s">
        <v>92</v>
      </c>
      <c r="AL147" s="99" t="s">
        <v>92</v>
      </c>
      <c r="AM147" s="99" t="s">
        <v>92</v>
      </c>
      <c r="AN147" s="99" t="s">
        <v>92</v>
      </c>
      <c r="AO147" s="99" t="s">
        <v>92</v>
      </c>
      <c r="AP147" s="99" t="s">
        <v>93</v>
      </c>
      <c r="AQ147" s="99" t="s">
        <v>92</v>
      </c>
      <c r="AR147" s="99" t="s">
        <v>6942</v>
      </c>
      <c r="AS147" s="99" t="s">
        <v>3520</v>
      </c>
      <c r="AT147" s="99" t="s">
        <v>3451</v>
      </c>
      <c r="AU147" s="99" t="s">
        <v>92</v>
      </c>
      <c r="AV147" s="99" t="s">
        <v>92</v>
      </c>
      <c r="AW147" s="99" t="s">
        <v>92</v>
      </c>
      <c r="AX147" s="99" t="s">
        <v>93</v>
      </c>
      <c r="AY147" s="99" t="s">
        <v>92</v>
      </c>
      <c r="AZ147" s="460" t="s">
        <v>93</v>
      </c>
      <c r="BA147" s="460"/>
      <c r="BB147" s="460" t="s">
        <v>92</v>
      </c>
      <c r="BC147" s="460" t="s">
        <v>92</v>
      </c>
      <c r="BD147" s="460" t="s">
        <v>92</v>
      </c>
      <c r="BE147" s="460"/>
      <c r="BF147" s="460" t="s">
        <v>92</v>
      </c>
      <c r="BG147" s="460"/>
      <c r="BH147" s="460"/>
      <c r="BI147" s="460"/>
      <c r="BJ147" s="460"/>
      <c r="BK147" s="460" t="s">
        <v>92</v>
      </c>
      <c r="BL147" s="460"/>
      <c r="BM147" s="213" t="s">
        <v>7799</v>
      </c>
      <c r="BN147" s="470"/>
      <c r="BO147" s="470"/>
      <c r="BP147" s="470"/>
      <c r="BQ147" s="99"/>
      <c r="BR147" s="99"/>
    </row>
    <row r="148" ht="15.75" customHeight="1">
      <c r="A148" s="197"/>
      <c r="B148" s="99" t="s">
        <v>7810</v>
      </c>
      <c r="C148" s="197">
        <v>290.0</v>
      </c>
      <c r="D148" s="99" t="s">
        <v>7119</v>
      </c>
      <c r="E148" s="99" t="s">
        <v>189</v>
      </c>
      <c r="F148" s="99" t="s">
        <v>7811</v>
      </c>
      <c r="G148" s="99" t="s">
        <v>3346</v>
      </c>
      <c r="H148" s="99" t="s">
        <v>95</v>
      </c>
      <c r="I148" s="99" t="s">
        <v>94</v>
      </c>
      <c r="J148" s="99" t="s">
        <v>92</v>
      </c>
      <c r="K148" s="197">
        <v>2021.0</v>
      </c>
      <c r="L148" s="99" t="s">
        <v>92</v>
      </c>
      <c r="M148" s="99" t="s">
        <v>93</v>
      </c>
      <c r="N148" s="99" t="s">
        <v>93</v>
      </c>
      <c r="O148" s="99" t="s">
        <v>92</v>
      </c>
      <c r="P148" s="99" t="s">
        <v>105</v>
      </c>
      <c r="Q148" s="99" t="s">
        <v>105</v>
      </c>
      <c r="R148" s="475" t="s">
        <v>7262</v>
      </c>
      <c r="S148" s="197"/>
      <c r="T148" s="197"/>
      <c r="U148" s="475"/>
      <c r="V148" s="475"/>
      <c r="W148" s="475"/>
      <c r="X148" s="475"/>
      <c r="Y148" s="475"/>
      <c r="Z148" s="475"/>
      <c r="AA148" s="475"/>
      <c r="AB148" s="475"/>
      <c r="AC148" s="475"/>
      <c r="AD148" s="197"/>
      <c r="AE148" s="197" t="s">
        <v>93</v>
      </c>
      <c r="AF148" s="99" t="s">
        <v>7812</v>
      </c>
      <c r="AG148" s="197" t="s">
        <v>6990</v>
      </c>
      <c r="AH148" s="197"/>
      <c r="AI148" s="459"/>
      <c r="AJ148" s="99" t="s">
        <v>7106</v>
      </c>
      <c r="AK148" s="99" t="s">
        <v>92</v>
      </c>
      <c r="AL148" s="99" t="s">
        <v>92</v>
      </c>
      <c r="AM148" s="99" t="s">
        <v>92</v>
      </c>
      <c r="AN148" s="99" t="s">
        <v>92</v>
      </c>
      <c r="AO148" s="99" t="s">
        <v>92</v>
      </c>
      <c r="AP148" s="99" t="s">
        <v>93</v>
      </c>
      <c r="AQ148" s="99" t="s">
        <v>92</v>
      </c>
      <c r="AR148" s="99" t="s">
        <v>6942</v>
      </c>
      <c r="AS148" s="99" t="s">
        <v>3520</v>
      </c>
      <c r="AT148" s="99" t="s">
        <v>3451</v>
      </c>
      <c r="AU148" s="99" t="s">
        <v>92</v>
      </c>
      <c r="AV148" s="99" t="s">
        <v>92</v>
      </c>
      <c r="AW148" s="99" t="s">
        <v>92</v>
      </c>
      <c r="AX148" s="99" t="s">
        <v>93</v>
      </c>
      <c r="AY148" s="99" t="s">
        <v>92</v>
      </c>
      <c r="AZ148" s="460" t="s">
        <v>93</v>
      </c>
      <c r="BA148" s="460"/>
      <c r="BB148" s="460" t="s">
        <v>92</v>
      </c>
      <c r="BC148" s="460" t="s">
        <v>92</v>
      </c>
      <c r="BD148" s="460" t="s">
        <v>92</v>
      </c>
      <c r="BE148" s="460"/>
      <c r="BF148" s="460" t="s">
        <v>92</v>
      </c>
      <c r="BG148" s="460"/>
      <c r="BH148" s="460"/>
      <c r="BI148" s="460"/>
      <c r="BJ148" s="460"/>
      <c r="BK148" s="460" t="s">
        <v>93</v>
      </c>
      <c r="BL148" s="460"/>
      <c r="BM148" s="213" t="s">
        <v>7813</v>
      </c>
      <c r="BN148" s="470"/>
      <c r="BO148" s="470"/>
      <c r="BP148" s="470"/>
      <c r="BQ148" s="99"/>
      <c r="BR148" s="99"/>
    </row>
    <row r="149" ht="15.75" customHeight="1">
      <c r="A149" s="197"/>
      <c r="B149" s="99" t="s">
        <v>7814</v>
      </c>
      <c r="C149" s="197">
        <v>291.0</v>
      </c>
      <c r="D149" s="99" t="s">
        <v>7815</v>
      </c>
      <c r="E149" s="99" t="s">
        <v>189</v>
      </c>
      <c r="F149" s="99" t="s">
        <v>7816</v>
      </c>
      <c r="G149" s="99" t="s">
        <v>3346</v>
      </c>
      <c r="H149" s="99" t="s">
        <v>95</v>
      </c>
      <c r="I149" s="99" t="s">
        <v>94</v>
      </c>
      <c r="J149" s="99" t="s">
        <v>92</v>
      </c>
      <c r="K149" s="197">
        <v>2022.0</v>
      </c>
      <c r="L149" s="99" t="s">
        <v>92</v>
      </c>
      <c r="M149" s="99" t="s">
        <v>92</v>
      </c>
      <c r="N149" s="99" t="s">
        <v>93</v>
      </c>
      <c r="O149" s="99" t="s">
        <v>92</v>
      </c>
      <c r="P149" s="99">
        <v>2022.0</v>
      </c>
      <c r="Q149" s="99" t="s">
        <v>96</v>
      </c>
      <c r="R149" s="475" t="s">
        <v>7262</v>
      </c>
      <c r="S149" s="197"/>
      <c r="T149" s="197"/>
      <c r="U149" s="475"/>
      <c r="V149" s="475"/>
      <c r="W149" s="475"/>
      <c r="X149" s="475"/>
      <c r="Y149" s="475"/>
      <c r="Z149" s="475"/>
      <c r="AA149" s="475"/>
      <c r="AB149" s="475"/>
      <c r="AC149" s="475"/>
      <c r="AD149" s="197"/>
      <c r="AE149" s="197" t="s">
        <v>93</v>
      </c>
      <c r="AF149" s="99" t="s">
        <v>2684</v>
      </c>
      <c r="AG149" s="197" t="s">
        <v>6982</v>
      </c>
      <c r="AH149" s="197"/>
      <c r="AI149" s="459"/>
      <c r="AJ149" s="99" t="s">
        <v>7106</v>
      </c>
      <c r="AK149" s="99" t="s">
        <v>92</v>
      </c>
      <c r="AL149" s="99" t="s">
        <v>92</v>
      </c>
      <c r="AM149" s="99" t="s">
        <v>92</v>
      </c>
      <c r="AN149" s="99" t="s">
        <v>92</v>
      </c>
      <c r="AO149" s="99" t="s">
        <v>92</v>
      </c>
      <c r="AP149" s="99" t="s">
        <v>93</v>
      </c>
      <c r="AQ149" s="99" t="s">
        <v>92</v>
      </c>
      <c r="AR149" s="99" t="s">
        <v>6942</v>
      </c>
      <c r="AS149" s="99" t="s">
        <v>3893</v>
      </c>
      <c r="AT149" s="99" t="s">
        <v>3451</v>
      </c>
      <c r="AU149" s="99" t="s">
        <v>92</v>
      </c>
      <c r="AV149" s="99" t="s">
        <v>92</v>
      </c>
      <c r="AW149" s="99" t="s">
        <v>92</v>
      </c>
      <c r="AX149" s="99" t="s">
        <v>93</v>
      </c>
      <c r="AY149" s="99" t="s">
        <v>92</v>
      </c>
      <c r="AZ149" s="460" t="s">
        <v>93</v>
      </c>
      <c r="BA149" s="460"/>
      <c r="BB149" s="460" t="s">
        <v>92</v>
      </c>
      <c r="BC149" s="460" t="s">
        <v>92</v>
      </c>
      <c r="BD149" s="460" t="s">
        <v>92</v>
      </c>
      <c r="BE149" s="460"/>
      <c r="BF149" s="460" t="s">
        <v>92</v>
      </c>
      <c r="BG149" s="460"/>
      <c r="BH149" s="460"/>
      <c r="BI149" s="460"/>
      <c r="BJ149" s="460"/>
      <c r="BK149" s="460" t="s">
        <v>92</v>
      </c>
      <c r="BL149" s="460"/>
      <c r="BM149" s="213" t="s">
        <v>7813</v>
      </c>
      <c r="BN149" s="470"/>
      <c r="BO149" s="470"/>
      <c r="BP149" s="470"/>
      <c r="BQ149" s="99"/>
      <c r="BR149" s="99"/>
    </row>
    <row r="150" ht="15.75" customHeight="1">
      <c r="A150" s="197"/>
      <c r="B150" s="99" t="s">
        <v>7817</v>
      </c>
      <c r="C150" s="197">
        <v>292.0</v>
      </c>
      <c r="D150" s="99" t="s">
        <v>7815</v>
      </c>
      <c r="E150" s="99" t="s">
        <v>189</v>
      </c>
      <c r="F150" s="99" t="s">
        <v>7818</v>
      </c>
      <c r="G150" s="99" t="s">
        <v>3346</v>
      </c>
      <c r="H150" s="99" t="s">
        <v>95</v>
      </c>
      <c r="I150" s="99" t="s">
        <v>94</v>
      </c>
      <c r="J150" s="99" t="s">
        <v>92</v>
      </c>
      <c r="K150" s="197">
        <v>2022.0</v>
      </c>
      <c r="L150" s="99" t="s">
        <v>92</v>
      </c>
      <c r="M150" s="99" t="s">
        <v>92</v>
      </c>
      <c r="N150" s="99" t="s">
        <v>93</v>
      </c>
      <c r="O150" s="99" t="s">
        <v>92</v>
      </c>
      <c r="P150" s="99">
        <v>2022.0</v>
      </c>
      <c r="Q150" s="99" t="s">
        <v>96</v>
      </c>
      <c r="R150" s="475" t="s">
        <v>7262</v>
      </c>
      <c r="S150" s="197"/>
      <c r="T150" s="197"/>
      <c r="U150" s="475"/>
      <c r="V150" s="475"/>
      <c r="W150" s="475"/>
      <c r="X150" s="475"/>
      <c r="Y150" s="475"/>
      <c r="Z150" s="475"/>
      <c r="AA150" s="475"/>
      <c r="AB150" s="475"/>
      <c r="AC150" s="475"/>
      <c r="AD150" s="197"/>
      <c r="AE150" s="197" t="s">
        <v>93</v>
      </c>
      <c r="AF150" s="99" t="s">
        <v>2684</v>
      </c>
      <c r="AG150" s="197" t="s">
        <v>6982</v>
      </c>
      <c r="AH150" s="197"/>
      <c r="AI150" s="459"/>
      <c r="AJ150" s="99" t="s">
        <v>7106</v>
      </c>
      <c r="AK150" s="99" t="s">
        <v>92</v>
      </c>
      <c r="AL150" s="99" t="s">
        <v>92</v>
      </c>
      <c r="AM150" s="99" t="s">
        <v>92</v>
      </c>
      <c r="AN150" s="99" t="s">
        <v>92</v>
      </c>
      <c r="AO150" s="99" t="s">
        <v>92</v>
      </c>
      <c r="AP150" s="99" t="s">
        <v>93</v>
      </c>
      <c r="AQ150" s="99" t="s">
        <v>92</v>
      </c>
      <c r="AR150" s="99" t="s">
        <v>6942</v>
      </c>
      <c r="AS150" s="99" t="s">
        <v>6892</v>
      </c>
      <c r="AT150" s="99" t="s">
        <v>3449</v>
      </c>
      <c r="AU150" s="99" t="s">
        <v>92</v>
      </c>
      <c r="AV150" s="99" t="s">
        <v>93</v>
      </c>
      <c r="AW150" s="99" t="s">
        <v>92</v>
      </c>
      <c r="AX150" s="99" t="s">
        <v>92</v>
      </c>
      <c r="AY150" s="99" t="s">
        <v>92</v>
      </c>
      <c r="AZ150" s="460" t="s">
        <v>93</v>
      </c>
      <c r="BA150" s="460"/>
      <c r="BB150" s="460" t="s">
        <v>92</v>
      </c>
      <c r="BC150" s="460" t="s">
        <v>92</v>
      </c>
      <c r="BD150" s="460" t="s">
        <v>92</v>
      </c>
      <c r="BE150" s="460"/>
      <c r="BF150" s="460" t="s">
        <v>92</v>
      </c>
      <c r="BG150" s="460"/>
      <c r="BH150" s="460"/>
      <c r="BI150" s="460"/>
      <c r="BJ150" s="460"/>
      <c r="BK150" s="460" t="s">
        <v>92</v>
      </c>
      <c r="BL150" s="460"/>
      <c r="BM150" s="213" t="s">
        <v>7813</v>
      </c>
      <c r="BN150" s="470"/>
      <c r="BO150" s="470"/>
      <c r="BP150" s="470"/>
      <c r="BQ150" s="99"/>
      <c r="BR150" s="99"/>
    </row>
    <row r="151" ht="15.75" customHeight="1">
      <c r="A151" s="484"/>
      <c r="B151" s="485"/>
      <c r="C151" s="484" t="s">
        <v>7819</v>
      </c>
      <c r="D151" s="485"/>
      <c r="E151" s="485"/>
      <c r="F151" s="485"/>
      <c r="G151" s="485"/>
      <c r="H151" s="485"/>
      <c r="I151" s="485"/>
      <c r="J151" s="485"/>
      <c r="K151" s="486"/>
      <c r="L151" s="485"/>
      <c r="M151" s="485"/>
      <c r="N151" s="485"/>
      <c r="O151" s="485"/>
      <c r="P151" s="485"/>
      <c r="Q151" s="485"/>
      <c r="R151" s="486"/>
      <c r="S151" s="486"/>
      <c r="T151" s="486"/>
      <c r="U151" s="486"/>
      <c r="V151" s="486"/>
      <c r="W151" s="486"/>
      <c r="X151" s="486"/>
      <c r="Y151" s="486"/>
      <c r="Z151" s="486"/>
      <c r="AA151" s="486"/>
      <c r="AB151" s="486"/>
      <c r="AC151" s="486"/>
      <c r="AD151" s="486"/>
      <c r="AE151" s="486"/>
      <c r="AF151" s="485"/>
      <c r="AG151" s="486"/>
      <c r="AH151" s="197"/>
      <c r="AI151" s="487"/>
      <c r="AJ151" s="485"/>
      <c r="AK151" s="485"/>
      <c r="AL151" s="485"/>
      <c r="AM151" s="485"/>
      <c r="AN151" s="485"/>
      <c r="AO151" s="485"/>
      <c r="AP151" s="485"/>
      <c r="AQ151" s="485"/>
      <c r="AR151" s="485"/>
      <c r="AS151" s="485"/>
      <c r="AT151" s="485"/>
      <c r="AU151" s="485"/>
      <c r="AV151" s="485"/>
      <c r="AW151" s="485"/>
      <c r="AX151" s="485"/>
      <c r="AY151" s="485"/>
      <c r="AZ151" s="487"/>
      <c r="BA151" s="487"/>
      <c r="BB151" s="487"/>
      <c r="BC151" s="487"/>
      <c r="BD151" s="487"/>
      <c r="BE151" s="487"/>
      <c r="BF151" s="487"/>
      <c r="BG151" s="487"/>
      <c r="BH151" s="487"/>
      <c r="BI151" s="487"/>
      <c r="BJ151" s="487"/>
      <c r="BK151" s="487"/>
      <c r="BL151" s="487"/>
      <c r="BM151" s="488"/>
      <c r="BN151" s="488"/>
      <c r="BO151" s="488"/>
      <c r="BP151" s="488"/>
      <c r="BQ151" s="485"/>
      <c r="BR151" s="485"/>
    </row>
    <row r="152" ht="15.75" customHeight="1">
      <c r="A152" s="223"/>
      <c r="B152" s="99" t="s">
        <v>85</v>
      </c>
      <c r="C152" s="223"/>
      <c r="D152" s="470" t="s">
        <v>140</v>
      </c>
      <c r="E152" s="99" t="s">
        <v>189</v>
      </c>
      <c r="F152" s="99" t="s">
        <v>7820</v>
      </c>
      <c r="G152" s="99" t="s">
        <v>3346</v>
      </c>
      <c r="H152" s="99" t="s">
        <v>95</v>
      </c>
      <c r="I152" s="99" t="s">
        <v>94</v>
      </c>
      <c r="J152" s="99" t="s">
        <v>92</v>
      </c>
      <c r="K152" s="197">
        <v>1995.0</v>
      </c>
      <c r="L152" s="99" t="s">
        <v>93</v>
      </c>
      <c r="M152" s="99" t="s">
        <v>93</v>
      </c>
      <c r="N152" s="99" t="s">
        <v>93</v>
      </c>
      <c r="O152" s="99" t="s">
        <v>105</v>
      </c>
      <c r="P152" s="99" t="s">
        <v>105</v>
      </c>
      <c r="Q152" s="99" t="s">
        <v>105</v>
      </c>
      <c r="R152" s="475" t="s">
        <v>5902</v>
      </c>
      <c r="S152" s="197" t="s">
        <v>93</v>
      </c>
      <c r="T152" s="197" t="s">
        <v>92</v>
      </c>
      <c r="U152" s="99" t="s">
        <v>93</v>
      </c>
      <c r="V152" s="99" t="s">
        <v>93</v>
      </c>
      <c r="W152" s="99" t="s">
        <v>92</v>
      </c>
      <c r="X152" s="99" t="s">
        <v>93</v>
      </c>
      <c r="Y152" s="99" t="s">
        <v>93</v>
      </c>
      <c r="Z152" s="99" t="s">
        <v>92</v>
      </c>
      <c r="AA152" s="197" t="s">
        <v>92</v>
      </c>
      <c r="AB152" s="197" t="s">
        <v>95</v>
      </c>
      <c r="AC152" s="197"/>
      <c r="AD152" s="197"/>
      <c r="AE152" s="197" t="s">
        <v>92</v>
      </c>
      <c r="AF152" s="99" t="s">
        <v>7821</v>
      </c>
      <c r="AG152" s="197" t="s">
        <v>6990</v>
      </c>
      <c r="AH152" s="197"/>
      <c r="AI152" s="459" t="s">
        <v>92</v>
      </c>
      <c r="AJ152" s="99" t="s">
        <v>3410</v>
      </c>
      <c r="AK152" s="99" t="s">
        <v>92</v>
      </c>
      <c r="AL152" s="99" t="s">
        <v>92</v>
      </c>
      <c r="AM152" s="99" t="s">
        <v>92</v>
      </c>
      <c r="AN152" s="99" t="s">
        <v>92</v>
      </c>
      <c r="AO152" s="99" t="s">
        <v>92</v>
      </c>
      <c r="AP152" s="99" t="s">
        <v>93</v>
      </c>
      <c r="AQ152" s="99" t="s">
        <v>92</v>
      </c>
      <c r="AR152" s="99" t="s">
        <v>6942</v>
      </c>
      <c r="AS152" s="470" t="s">
        <v>3509</v>
      </c>
      <c r="AT152" s="99" t="s">
        <v>3452</v>
      </c>
      <c r="AU152" s="99" t="s">
        <v>92</v>
      </c>
      <c r="AV152" s="99" t="s">
        <v>92</v>
      </c>
      <c r="AW152" s="99" t="s">
        <v>92</v>
      </c>
      <c r="AX152" s="99" t="s">
        <v>92</v>
      </c>
      <c r="AY152" s="99" t="s">
        <v>93</v>
      </c>
      <c r="AZ152" s="460" t="s">
        <v>93</v>
      </c>
      <c r="BA152" s="460" t="s">
        <v>92</v>
      </c>
      <c r="BB152" s="460" t="s">
        <v>92</v>
      </c>
      <c r="BC152" s="460" t="s">
        <v>92</v>
      </c>
      <c r="BD152" s="460" t="s">
        <v>92</v>
      </c>
      <c r="BE152" s="460" t="s">
        <v>92</v>
      </c>
      <c r="BF152" s="460" t="s">
        <v>92</v>
      </c>
      <c r="BG152" s="460"/>
      <c r="BH152" s="460"/>
      <c r="BI152" s="460" t="s">
        <v>92</v>
      </c>
      <c r="BJ152" s="460" t="s">
        <v>92</v>
      </c>
      <c r="BK152" s="460" t="s">
        <v>93</v>
      </c>
      <c r="BL152" s="460"/>
      <c r="BM152" s="213" t="s">
        <v>7822</v>
      </c>
      <c r="BN152" s="213" t="s">
        <v>7823</v>
      </c>
      <c r="BO152" s="213" t="s">
        <v>7824</v>
      </c>
      <c r="BP152" s="213" t="s">
        <v>107</v>
      </c>
      <c r="BQ152" s="213" t="s">
        <v>7825</v>
      </c>
      <c r="BR152" s="470"/>
    </row>
    <row r="153" ht="15.75" customHeight="1">
      <c r="A153" s="197"/>
      <c r="B153" s="99" t="s">
        <v>85</v>
      </c>
      <c r="C153" s="197"/>
      <c r="D153" s="99" t="s">
        <v>101</v>
      </c>
      <c r="E153" s="99" t="s">
        <v>90</v>
      </c>
      <c r="F153" s="99" t="s">
        <v>102</v>
      </c>
      <c r="G153" s="99" t="s">
        <v>3344</v>
      </c>
      <c r="H153" s="99" t="s">
        <v>95</v>
      </c>
      <c r="I153" s="99" t="s">
        <v>3202</v>
      </c>
      <c r="J153" s="99" t="s">
        <v>93</v>
      </c>
      <c r="K153" s="197">
        <v>2021.0</v>
      </c>
      <c r="L153" s="99" t="s">
        <v>92</v>
      </c>
      <c r="M153" s="99" t="s">
        <v>93</v>
      </c>
      <c r="N153" s="99" t="s">
        <v>93</v>
      </c>
      <c r="O153" s="99" t="s">
        <v>105</v>
      </c>
      <c r="P153" s="99" t="s">
        <v>105</v>
      </c>
      <c r="Q153" s="99" t="s">
        <v>105</v>
      </c>
      <c r="R153" s="475" t="s">
        <v>5902</v>
      </c>
      <c r="S153" s="197" t="s">
        <v>93</v>
      </c>
      <c r="T153" s="197" t="s">
        <v>92</v>
      </c>
      <c r="U153" s="99" t="s">
        <v>93</v>
      </c>
      <c r="V153" s="99" t="s">
        <v>93</v>
      </c>
      <c r="W153" s="99" t="s">
        <v>92</v>
      </c>
      <c r="X153" s="99" t="s">
        <v>93</v>
      </c>
      <c r="Y153" s="99" t="s">
        <v>93</v>
      </c>
      <c r="Z153" s="99" t="s">
        <v>92</v>
      </c>
      <c r="AA153" s="197" t="s">
        <v>92</v>
      </c>
      <c r="AB153" s="197" t="s">
        <v>95</v>
      </c>
      <c r="AC153" s="197"/>
      <c r="AD153" s="197"/>
      <c r="AE153" s="197" t="s">
        <v>92</v>
      </c>
      <c r="AF153" s="99" t="s">
        <v>85</v>
      </c>
      <c r="AG153" s="197" t="s">
        <v>5902</v>
      </c>
      <c r="AH153" s="197"/>
      <c r="AI153" s="459"/>
      <c r="AJ153" s="99" t="s">
        <v>3344</v>
      </c>
      <c r="AK153" s="99" t="s">
        <v>93</v>
      </c>
      <c r="AL153" s="99" t="s">
        <v>92</v>
      </c>
      <c r="AM153" s="99" t="s">
        <v>92</v>
      </c>
      <c r="AN153" s="99" t="s">
        <v>92</v>
      </c>
      <c r="AO153" s="99" t="s">
        <v>92</v>
      </c>
      <c r="AP153" s="99" t="s">
        <v>92</v>
      </c>
      <c r="AQ153" s="99" t="s">
        <v>92</v>
      </c>
      <c r="AR153" s="99" t="s">
        <v>6942</v>
      </c>
      <c r="AS153" s="470" t="s">
        <v>7826</v>
      </c>
      <c r="AT153" s="99" t="s">
        <v>7827</v>
      </c>
      <c r="AU153" s="99" t="s">
        <v>93</v>
      </c>
      <c r="AV153" s="99" t="s">
        <v>92</v>
      </c>
      <c r="AW153" s="99" t="s">
        <v>92</v>
      </c>
      <c r="AX153" s="99" t="s">
        <v>92</v>
      </c>
      <c r="AY153" s="99" t="s">
        <v>93</v>
      </c>
      <c r="AZ153" s="460" t="s">
        <v>92</v>
      </c>
      <c r="BA153" s="460" t="s">
        <v>92</v>
      </c>
      <c r="BB153" s="460" t="s">
        <v>93</v>
      </c>
      <c r="BC153" s="460" t="s">
        <v>93</v>
      </c>
      <c r="BD153" s="460" t="s">
        <v>92</v>
      </c>
      <c r="BE153" s="460" t="s">
        <v>93</v>
      </c>
      <c r="BF153" s="460" t="s">
        <v>92</v>
      </c>
      <c r="BG153" s="460"/>
      <c r="BH153" s="460"/>
      <c r="BI153" s="460" t="s">
        <v>92</v>
      </c>
      <c r="BJ153" s="460" t="s">
        <v>92</v>
      </c>
      <c r="BK153" s="460" t="s">
        <v>93</v>
      </c>
      <c r="BL153" s="460"/>
      <c r="BM153" s="213" t="s">
        <v>107</v>
      </c>
      <c r="BN153" s="213" t="s">
        <v>7825</v>
      </c>
      <c r="BO153" s="470"/>
      <c r="BP153" s="470"/>
      <c r="BQ153" s="99"/>
      <c r="BR153" s="99"/>
    </row>
    <row r="154" ht="15.75" customHeight="1">
      <c r="A154" s="197"/>
      <c r="B154" s="99" t="s">
        <v>1686</v>
      </c>
      <c r="C154" s="197">
        <v>25.0</v>
      </c>
      <c r="D154" s="99" t="s">
        <v>7828</v>
      </c>
      <c r="E154" s="99" t="s">
        <v>90</v>
      </c>
      <c r="F154" s="99" t="s">
        <v>7829</v>
      </c>
      <c r="G154" s="99" t="s">
        <v>3346</v>
      </c>
      <c r="H154" s="99" t="s">
        <v>95</v>
      </c>
      <c r="I154" s="99" t="s">
        <v>94</v>
      </c>
      <c r="J154" s="99" t="s">
        <v>93</v>
      </c>
      <c r="K154" s="197">
        <v>2020.0</v>
      </c>
      <c r="L154" s="99" t="s">
        <v>93</v>
      </c>
      <c r="M154" s="99" t="s">
        <v>92</v>
      </c>
      <c r="N154" s="99" t="s">
        <v>92</v>
      </c>
      <c r="O154" s="99" t="s">
        <v>92</v>
      </c>
      <c r="P154" s="99">
        <v>2020.0</v>
      </c>
      <c r="Q154" s="99" t="s">
        <v>96</v>
      </c>
      <c r="R154" s="197" t="s">
        <v>5902</v>
      </c>
      <c r="S154" s="197" t="s">
        <v>93</v>
      </c>
      <c r="T154" s="197" t="s">
        <v>93</v>
      </c>
      <c r="U154" s="99" t="s">
        <v>93</v>
      </c>
      <c r="V154" s="99" t="s">
        <v>92</v>
      </c>
      <c r="W154" s="99" t="s">
        <v>92</v>
      </c>
      <c r="X154" s="99" t="s">
        <v>92</v>
      </c>
      <c r="Y154" s="99" t="s">
        <v>93</v>
      </c>
      <c r="Z154" s="99" t="s">
        <v>92</v>
      </c>
      <c r="AA154" s="197" t="s">
        <v>92</v>
      </c>
      <c r="AB154" s="197" t="s">
        <v>95</v>
      </c>
      <c r="AC154" s="197"/>
      <c r="AD154" s="197"/>
      <c r="AE154" s="197" t="s">
        <v>92</v>
      </c>
      <c r="AF154" s="475" t="s">
        <v>7307</v>
      </c>
      <c r="AG154" s="197" t="s">
        <v>6990</v>
      </c>
      <c r="AH154" s="197"/>
      <c r="AI154" s="459" t="s">
        <v>93</v>
      </c>
      <c r="AJ154" s="475" t="s">
        <v>3410</v>
      </c>
      <c r="AK154" s="99" t="s">
        <v>92</v>
      </c>
      <c r="AL154" s="99" t="s">
        <v>92</v>
      </c>
      <c r="AM154" s="99" t="s">
        <v>92</v>
      </c>
      <c r="AN154" s="99" t="s">
        <v>92</v>
      </c>
      <c r="AO154" s="99" t="s">
        <v>92</v>
      </c>
      <c r="AP154" s="99" t="s">
        <v>93</v>
      </c>
      <c r="AQ154" s="99" t="s">
        <v>92</v>
      </c>
      <c r="AR154" s="99" t="s">
        <v>6942</v>
      </c>
      <c r="AS154" s="99" t="s">
        <v>7616</v>
      </c>
      <c r="AT154" s="99" t="s">
        <v>6974</v>
      </c>
      <c r="AU154" s="99" t="s">
        <v>92</v>
      </c>
      <c r="AV154" s="99" t="s">
        <v>92</v>
      </c>
      <c r="AW154" s="99" t="s">
        <v>92</v>
      </c>
      <c r="AX154" s="99" t="s">
        <v>93</v>
      </c>
      <c r="AY154" s="99" t="s">
        <v>93</v>
      </c>
      <c r="AZ154" s="460" t="s">
        <v>93</v>
      </c>
      <c r="BA154" s="460" t="s">
        <v>92</v>
      </c>
      <c r="BB154" s="460" t="s">
        <v>92</v>
      </c>
      <c r="BC154" s="460" t="s">
        <v>92</v>
      </c>
      <c r="BD154" s="460" t="s">
        <v>92</v>
      </c>
      <c r="BE154" s="460" t="s">
        <v>92</v>
      </c>
      <c r="BF154" s="460" t="s">
        <v>92</v>
      </c>
      <c r="BG154" s="460"/>
      <c r="BH154" s="460"/>
      <c r="BI154" s="460" t="s">
        <v>92</v>
      </c>
      <c r="BJ154" s="460" t="s">
        <v>93</v>
      </c>
      <c r="BK154" s="460" t="s">
        <v>92</v>
      </c>
      <c r="BL154" s="460"/>
      <c r="BM154" s="213" t="s">
        <v>7830</v>
      </c>
      <c r="BN154" s="213" t="s">
        <v>7831</v>
      </c>
      <c r="BO154" s="213" t="s">
        <v>7832</v>
      </c>
      <c r="BP154" s="213" t="s">
        <v>7311</v>
      </c>
      <c r="BQ154" s="475"/>
      <c r="BR154" s="475"/>
    </row>
    <row r="155" ht="15.75" customHeight="1">
      <c r="A155" s="475"/>
      <c r="B155" s="99" t="s">
        <v>1686</v>
      </c>
      <c r="C155" s="475"/>
      <c r="D155" s="99" t="s">
        <v>7833</v>
      </c>
      <c r="E155" s="99" t="s">
        <v>189</v>
      </c>
      <c r="F155" s="99" t="s">
        <v>7834</v>
      </c>
      <c r="G155" s="99" t="s">
        <v>3346</v>
      </c>
      <c r="H155" s="99" t="s">
        <v>95</v>
      </c>
      <c r="I155" s="99" t="s">
        <v>94</v>
      </c>
      <c r="J155" s="99" t="s">
        <v>92</v>
      </c>
      <c r="K155" s="197">
        <v>2021.0</v>
      </c>
      <c r="L155" s="99" t="s">
        <v>92</v>
      </c>
      <c r="M155" s="99" t="s">
        <v>93</v>
      </c>
      <c r="N155" s="99" t="s">
        <v>93</v>
      </c>
      <c r="O155" s="99" t="s">
        <v>105</v>
      </c>
      <c r="P155" s="99" t="s">
        <v>105</v>
      </c>
      <c r="Q155" s="99" t="s">
        <v>105</v>
      </c>
      <c r="R155" s="197" t="s">
        <v>5902</v>
      </c>
      <c r="S155" s="197" t="s">
        <v>93</v>
      </c>
      <c r="T155" s="197" t="s">
        <v>93</v>
      </c>
      <c r="U155" s="99" t="s">
        <v>93</v>
      </c>
      <c r="V155" s="99" t="s">
        <v>92</v>
      </c>
      <c r="W155" s="99" t="s">
        <v>92</v>
      </c>
      <c r="X155" s="99" t="s">
        <v>92</v>
      </c>
      <c r="Y155" s="99" t="s">
        <v>93</v>
      </c>
      <c r="Z155" s="99" t="s">
        <v>92</v>
      </c>
      <c r="AA155" s="197" t="s">
        <v>92</v>
      </c>
      <c r="AB155" s="197" t="s">
        <v>95</v>
      </c>
      <c r="AC155" s="197"/>
      <c r="AD155" s="197"/>
      <c r="AE155" s="197" t="s">
        <v>92</v>
      </c>
      <c r="AF155" s="99" t="s">
        <v>7835</v>
      </c>
      <c r="AG155" s="197" t="s">
        <v>6990</v>
      </c>
      <c r="AH155" s="197"/>
      <c r="AI155" s="459" t="s">
        <v>92</v>
      </c>
      <c r="AJ155" s="99" t="s">
        <v>3410</v>
      </c>
      <c r="AK155" s="99" t="s">
        <v>92</v>
      </c>
      <c r="AL155" s="99" t="s">
        <v>92</v>
      </c>
      <c r="AM155" s="99" t="s">
        <v>92</v>
      </c>
      <c r="AN155" s="99" t="s">
        <v>92</v>
      </c>
      <c r="AO155" s="99" t="s">
        <v>92</v>
      </c>
      <c r="AP155" s="99" t="s">
        <v>93</v>
      </c>
      <c r="AQ155" s="99" t="s">
        <v>92</v>
      </c>
      <c r="AR155" s="99" t="s">
        <v>6942</v>
      </c>
      <c r="AS155" s="470" t="s">
        <v>7836</v>
      </c>
      <c r="AT155" s="470" t="s">
        <v>3451</v>
      </c>
      <c r="AU155" s="99" t="s">
        <v>92</v>
      </c>
      <c r="AV155" s="99" t="s">
        <v>92</v>
      </c>
      <c r="AW155" s="99" t="s">
        <v>92</v>
      </c>
      <c r="AX155" s="99" t="s">
        <v>93</v>
      </c>
      <c r="AY155" s="99" t="s">
        <v>92</v>
      </c>
      <c r="AZ155" s="460" t="s">
        <v>93</v>
      </c>
      <c r="BA155" s="460" t="s">
        <v>92</v>
      </c>
      <c r="BB155" s="460" t="s">
        <v>92</v>
      </c>
      <c r="BC155" s="460" t="s">
        <v>92</v>
      </c>
      <c r="BD155" s="460" t="s">
        <v>92</v>
      </c>
      <c r="BE155" s="460" t="s">
        <v>92</v>
      </c>
      <c r="BF155" s="460" t="s">
        <v>92</v>
      </c>
      <c r="BG155" s="460"/>
      <c r="BH155" s="460"/>
      <c r="BI155" s="460" t="s">
        <v>92</v>
      </c>
      <c r="BJ155" s="460" t="s">
        <v>92</v>
      </c>
      <c r="BK155" s="460" t="s">
        <v>93</v>
      </c>
      <c r="BL155" s="460"/>
      <c r="BM155" s="489" t="s">
        <v>7837</v>
      </c>
      <c r="BN155" s="489" t="s">
        <v>7838</v>
      </c>
      <c r="BO155" s="489" t="s">
        <v>7839</v>
      </c>
      <c r="BP155" s="474"/>
      <c r="BQ155" s="475"/>
      <c r="BR155" s="475"/>
    </row>
    <row r="156" ht="15.75" customHeight="1">
      <c r="A156" s="475"/>
      <c r="B156" s="99" t="s">
        <v>1686</v>
      </c>
      <c r="C156" s="475"/>
      <c r="D156" s="99" t="s">
        <v>7840</v>
      </c>
      <c r="E156" s="99" t="s">
        <v>189</v>
      </c>
      <c r="F156" s="99" t="s">
        <v>7841</v>
      </c>
      <c r="G156" s="99" t="s">
        <v>3346</v>
      </c>
      <c r="H156" s="99" t="s">
        <v>3345</v>
      </c>
      <c r="I156" s="99" t="s">
        <v>287</v>
      </c>
      <c r="J156" s="99" t="s">
        <v>92</v>
      </c>
      <c r="K156" s="197">
        <v>2021.0</v>
      </c>
      <c r="L156" s="99" t="s">
        <v>92</v>
      </c>
      <c r="M156" s="99" t="s">
        <v>93</v>
      </c>
      <c r="N156" s="99" t="s">
        <v>92</v>
      </c>
      <c r="O156" s="99" t="s">
        <v>92</v>
      </c>
      <c r="P156" s="99">
        <v>2021.0</v>
      </c>
      <c r="Q156" s="99" t="s">
        <v>96</v>
      </c>
      <c r="R156" s="197" t="s">
        <v>5902</v>
      </c>
      <c r="S156" s="197" t="s">
        <v>93</v>
      </c>
      <c r="T156" s="197" t="s">
        <v>93</v>
      </c>
      <c r="U156" s="99" t="s">
        <v>93</v>
      </c>
      <c r="V156" s="99" t="s">
        <v>92</v>
      </c>
      <c r="W156" s="99" t="s">
        <v>92</v>
      </c>
      <c r="X156" s="99" t="s">
        <v>92</v>
      </c>
      <c r="Y156" s="99" t="s">
        <v>93</v>
      </c>
      <c r="Z156" s="99" t="s">
        <v>92</v>
      </c>
      <c r="AA156" s="197" t="s">
        <v>92</v>
      </c>
      <c r="AB156" s="197" t="s">
        <v>95</v>
      </c>
      <c r="AC156" s="197"/>
      <c r="AD156" s="197"/>
      <c r="AE156" s="197" t="s">
        <v>92</v>
      </c>
      <c r="AF156" s="99" t="s">
        <v>7835</v>
      </c>
      <c r="AG156" s="197" t="s">
        <v>6990</v>
      </c>
      <c r="AH156" s="197"/>
      <c r="AI156" s="459" t="s">
        <v>92</v>
      </c>
      <c r="AJ156" s="99" t="s">
        <v>7111</v>
      </c>
      <c r="AK156" s="99" t="s">
        <v>93</v>
      </c>
      <c r="AL156" s="99" t="s">
        <v>92</v>
      </c>
      <c r="AM156" s="99" t="s">
        <v>92</v>
      </c>
      <c r="AN156" s="99" t="s">
        <v>92</v>
      </c>
      <c r="AO156" s="99" t="s">
        <v>92</v>
      </c>
      <c r="AP156" s="99" t="s">
        <v>93</v>
      </c>
      <c r="AQ156" s="99" t="s">
        <v>92</v>
      </c>
      <c r="AR156" s="99" t="s">
        <v>6942</v>
      </c>
      <c r="AS156" s="470" t="s">
        <v>7836</v>
      </c>
      <c r="AT156" s="470" t="s">
        <v>3451</v>
      </c>
      <c r="AU156" s="99" t="s">
        <v>92</v>
      </c>
      <c r="AV156" s="99" t="s">
        <v>92</v>
      </c>
      <c r="AW156" s="99" t="s">
        <v>92</v>
      </c>
      <c r="AX156" s="99" t="s">
        <v>93</v>
      </c>
      <c r="AY156" s="99" t="s">
        <v>92</v>
      </c>
      <c r="AZ156" s="460" t="s">
        <v>93</v>
      </c>
      <c r="BA156" s="460" t="s">
        <v>93</v>
      </c>
      <c r="BB156" s="460" t="s">
        <v>92</v>
      </c>
      <c r="BC156" s="460" t="s">
        <v>92</v>
      </c>
      <c r="BD156" s="460" t="s">
        <v>92</v>
      </c>
      <c r="BE156" s="460" t="s">
        <v>92</v>
      </c>
      <c r="BF156" s="460" t="s">
        <v>92</v>
      </c>
      <c r="BG156" s="460"/>
      <c r="BH156" s="460"/>
      <c r="BI156" s="460" t="s">
        <v>92</v>
      </c>
      <c r="BJ156" s="460" t="s">
        <v>92</v>
      </c>
      <c r="BK156" s="460" t="s">
        <v>92</v>
      </c>
      <c r="BL156" s="460"/>
      <c r="BM156" s="489" t="s">
        <v>7842</v>
      </c>
      <c r="BN156" s="474"/>
      <c r="BO156" s="474"/>
      <c r="BP156" s="474"/>
      <c r="BQ156" s="475"/>
      <c r="BR156" s="475"/>
    </row>
    <row r="157" ht="15.75" customHeight="1">
      <c r="A157" s="475"/>
      <c r="B157" s="99" t="s">
        <v>1686</v>
      </c>
      <c r="C157" s="475"/>
      <c r="D157" s="470" t="s">
        <v>7843</v>
      </c>
      <c r="E157" s="99" t="s">
        <v>189</v>
      </c>
      <c r="F157" s="99" t="s">
        <v>7844</v>
      </c>
      <c r="G157" s="99" t="s">
        <v>3346</v>
      </c>
      <c r="H157" s="99" t="s">
        <v>95</v>
      </c>
      <c r="I157" s="99" t="s">
        <v>287</v>
      </c>
      <c r="J157" s="99" t="s">
        <v>92</v>
      </c>
      <c r="K157" s="197">
        <v>2020.0</v>
      </c>
      <c r="L157" s="99" t="s">
        <v>93</v>
      </c>
      <c r="M157" s="99" t="s">
        <v>92</v>
      </c>
      <c r="N157" s="99" t="s">
        <v>92</v>
      </c>
      <c r="O157" s="99" t="s">
        <v>92</v>
      </c>
      <c r="P157" s="99">
        <v>2020.0</v>
      </c>
      <c r="Q157" s="99" t="s">
        <v>96</v>
      </c>
      <c r="R157" s="197" t="s">
        <v>5902</v>
      </c>
      <c r="S157" s="197" t="s">
        <v>93</v>
      </c>
      <c r="T157" s="197" t="s">
        <v>93</v>
      </c>
      <c r="U157" s="99" t="s">
        <v>93</v>
      </c>
      <c r="V157" s="99" t="s">
        <v>92</v>
      </c>
      <c r="W157" s="99" t="s">
        <v>92</v>
      </c>
      <c r="X157" s="99" t="s">
        <v>92</v>
      </c>
      <c r="Y157" s="99" t="s">
        <v>93</v>
      </c>
      <c r="Z157" s="99" t="s">
        <v>92</v>
      </c>
      <c r="AA157" s="197" t="s">
        <v>92</v>
      </c>
      <c r="AB157" s="197" t="s">
        <v>95</v>
      </c>
      <c r="AC157" s="197"/>
      <c r="AD157" s="197"/>
      <c r="AE157" s="197" t="s">
        <v>92</v>
      </c>
      <c r="AF157" s="99" t="s">
        <v>6998</v>
      </c>
      <c r="AG157" s="197" t="s">
        <v>6990</v>
      </c>
      <c r="AH157" s="197"/>
      <c r="AI157" s="459" t="s">
        <v>93</v>
      </c>
      <c r="AJ157" s="99" t="s">
        <v>7111</v>
      </c>
      <c r="AK157" s="99" t="s">
        <v>93</v>
      </c>
      <c r="AL157" s="99" t="s">
        <v>92</v>
      </c>
      <c r="AM157" s="99" t="s">
        <v>92</v>
      </c>
      <c r="AN157" s="99" t="s">
        <v>92</v>
      </c>
      <c r="AO157" s="99" t="s">
        <v>92</v>
      </c>
      <c r="AP157" s="99" t="s">
        <v>93</v>
      </c>
      <c r="AQ157" s="99" t="s">
        <v>92</v>
      </c>
      <c r="AR157" s="99" t="s">
        <v>6942</v>
      </c>
      <c r="AS157" s="470" t="s">
        <v>7845</v>
      </c>
      <c r="AT157" s="99" t="s">
        <v>7846</v>
      </c>
      <c r="AU157" s="99" t="s">
        <v>93</v>
      </c>
      <c r="AV157" s="99" t="s">
        <v>92</v>
      </c>
      <c r="AW157" s="99" t="s">
        <v>92</v>
      </c>
      <c r="AX157" s="99" t="s">
        <v>93</v>
      </c>
      <c r="AY157" s="99" t="s">
        <v>93</v>
      </c>
      <c r="AZ157" s="460" t="s">
        <v>93</v>
      </c>
      <c r="BA157" s="460" t="s">
        <v>92</v>
      </c>
      <c r="BB157" s="460" t="s">
        <v>92</v>
      </c>
      <c r="BC157" s="460" t="s">
        <v>92</v>
      </c>
      <c r="BD157" s="460" t="s">
        <v>92</v>
      </c>
      <c r="BE157" s="460" t="s">
        <v>92</v>
      </c>
      <c r="BF157" s="460" t="s">
        <v>92</v>
      </c>
      <c r="BG157" s="460"/>
      <c r="BH157" s="460"/>
      <c r="BI157" s="460" t="s">
        <v>92</v>
      </c>
      <c r="BJ157" s="460" t="s">
        <v>93</v>
      </c>
      <c r="BK157" s="460" t="s">
        <v>92</v>
      </c>
      <c r="BL157" s="460"/>
      <c r="BM157" s="489" t="s">
        <v>7847</v>
      </c>
      <c r="BN157" s="489" t="s">
        <v>7848</v>
      </c>
      <c r="BO157" s="474"/>
      <c r="BP157" s="474"/>
      <c r="BQ157" s="475"/>
      <c r="BR157" s="475"/>
    </row>
    <row r="158" ht="15.75" customHeight="1">
      <c r="A158" s="475"/>
      <c r="B158" s="99" t="s">
        <v>1686</v>
      </c>
      <c r="C158" s="475"/>
      <c r="D158" s="99" t="s">
        <v>7849</v>
      </c>
      <c r="E158" s="99" t="s">
        <v>90</v>
      </c>
      <c r="F158" s="99" t="s">
        <v>7850</v>
      </c>
      <c r="G158" s="99" t="s">
        <v>7851</v>
      </c>
      <c r="H158" s="99" t="s">
        <v>95</v>
      </c>
      <c r="I158" s="99" t="s">
        <v>94</v>
      </c>
      <c r="J158" s="99" t="s">
        <v>92</v>
      </c>
      <c r="K158" s="197">
        <v>2017.0</v>
      </c>
      <c r="L158" s="99" t="s">
        <v>93</v>
      </c>
      <c r="M158" s="99" t="s">
        <v>93</v>
      </c>
      <c r="N158" s="99" t="s">
        <v>93</v>
      </c>
      <c r="O158" s="99" t="s">
        <v>93</v>
      </c>
      <c r="P158" s="99" t="s">
        <v>95</v>
      </c>
      <c r="Q158" s="99" t="s">
        <v>114</v>
      </c>
      <c r="R158" s="197" t="s">
        <v>5902</v>
      </c>
      <c r="S158" s="197" t="s">
        <v>93</v>
      </c>
      <c r="T158" s="197" t="s">
        <v>93</v>
      </c>
      <c r="U158" s="99" t="s">
        <v>93</v>
      </c>
      <c r="V158" s="99" t="s">
        <v>92</v>
      </c>
      <c r="W158" s="99" t="s">
        <v>92</v>
      </c>
      <c r="X158" s="99" t="s">
        <v>92</v>
      </c>
      <c r="Y158" s="99" t="s">
        <v>93</v>
      </c>
      <c r="Z158" s="99" t="s">
        <v>92</v>
      </c>
      <c r="AA158" s="197" t="s">
        <v>92</v>
      </c>
      <c r="AB158" s="197" t="s">
        <v>95</v>
      </c>
      <c r="AC158" s="197"/>
      <c r="AD158" s="197"/>
      <c r="AE158" s="197" t="s">
        <v>92</v>
      </c>
      <c r="AF158" s="99" t="s">
        <v>1686</v>
      </c>
      <c r="AG158" s="197" t="s">
        <v>5902</v>
      </c>
      <c r="AH158" s="197"/>
      <c r="AI158" s="459"/>
      <c r="AJ158" s="99" t="s">
        <v>7011</v>
      </c>
      <c r="AK158" s="99" t="s">
        <v>92</v>
      </c>
      <c r="AL158" s="99" t="s">
        <v>92</v>
      </c>
      <c r="AM158" s="99" t="s">
        <v>93</v>
      </c>
      <c r="AN158" s="99" t="s">
        <v>92</v>
      </c>
      <c r="AO158" s="99" t="s">
        <v>92</v>
      </c>
      <c r="AP158" s="99" t="s">
        <v>93</v>
      </c>
      <c r="AQ158" s="99" t="s">
        <v>92</v>
      </c>
      <c r="AR158" s="99" t="s">
        <v>6972</v>
      </c>
      <c r="AS158" s="470" t="s">
        <v>7852</v>
      </c>
      <c r="AT158" s="470" t="s">
        <v>7853</v>
      </c>
      <c r="AU158" s="99" t="s">
        <v>92</v>
      </c>
      <c r="AV158" s="99" t="s">
        <v>93</v>
      </c>
      <c r="AW158" s="99" t="s">
        <v>93</v>
      </c>
      <c r="AX158" s="99" t="s">
        <v>93</v>
      </c>
      <c r="AY158" s="99" t="s">
        <v>92</v>
      </c>
      <c r="AZ158" s="460" t="s">
        <v>92</v>
      </c>
      <c r="BA158" s="460" t="s">
        <v>92</v>
      </c>
      <c r="BB158" s="460" t="s">
        <v>92</v>
      </c>
      <c r="BC158" s="460" t="s">
        <v>92</v>
      </c>
      <c r="BD158" s="460" t="s">
        <v>92</v>
      </c>
      <c r="BE158" s="460" t="s">
        <v>92</v>
      </c>
      <c r="BF158" s="460" t="s">
        <v>92</v>
      </c>
      <c r="BG158" s="460"/>
      <c r="BH158" s="460"/>
      <c r="BI158" s="460" t="s">
        <v>92</v>
      </c>
      <c r="BJ158" s="460" t="s">
        <v>92</v>
      </c>
      <c r="BK158" s="460" t="s">
        <v>93</v>
      </c>
      <c r="BL158" s="460"/>
      <c r="BM158" s="489" t="s">
        <v>7854</v>
      </c>
      <c r="BN158" s="489" t="s">
        <v>7855</v>
      </c>
      <c r="BO158" s="474"/>
      <c r="BP158" s="474"/>
      <c r="BQ158" s="475"/>
      <c r="BR158" s="475"/>
    </row>
    <row r="159" ht="15.75" customHeight="1">
      <c r="A159" s="475"/>
      <c r="B159" s="99" t="s">
        <v>1686</v>
      </c>
      <c r="C159" s="475"/>
      <c r="D159" s="470" t="s">
        <v>7856</v>
      </c>
      <c r="E159" s="99" t="s">
        <v>189</v>
      </c>
      <c r="F159" s="99" t="s">
        <v>7857</v>
      </c>
      <c r="G159" s="99" t="s">
        <v>7851</v>
      </c>
      <c r="H159" s="99" t="s">
        <v>95</v>
      </c>
      <c r="I159" s="99" t="s">
        <v>94</v>
      </c>
      <c r="J159" s="99" t="s">
        <v>92</v>
      </c>
      <c r="K159" s="197">
        <v>2020.0</v>
      </c>
      <c r="L159" s="99" t="s">
        <v>93</v>
      </c>
      <c r="M159" s="99" t="s">
        <v>92</v>
      </c>
      <c r="N159" s="99" t="s">
        <v>92</v>
      </c>
      <c r="O159" s="99" t="s">
        <v>92</v>
      </c>
      <c r="P159" s="99">
        <v>2020.0</v>
      </c>
      <c r="Q159" s="99" t="s">
        <v>96</v>
      </c>
      <c r="R159" s="197" t="s">
        <v>5902</v>
      </c>
      <c r="S159" s="197" t="s">
        <v>93</v>
      </c>
      <c r="T159" s="197" t="s">
        <v>93</v>
      </c>
      <c r="U159" s="99" t="s">
        <v>93</v>
      </c>
      <c r="V159" s="99" t="s">
        <v>92</v>
      </c>
      <c r="W159" s="99" t="s">
        <v>92</v>
      </c>
      <c r="X159" s="99" t="s">
        <v>92</v>
      </c>
      <c r="Y159" s="99" t="s">
        <v>93</v>
      </c>
      <c r="Z159" s="99" t="s">
        <v>92</v>
      </c>
      <c r="AA159" s="197" t="s">
        <v>92</v>
      </c>
      <c r="AB159" s="197" t="s">
        <v>95</v>
      </c>
      <c r="AC159" s="197"/>
      <c r="AD159" s="197"/>
      <c r="AE159" s="197" t="s">
        <v>92</v>
      </c>
      <c r="AF159" s="99" t="s">
        <v>1860</v>
      </c>
      <c r="AG159" s="197" t="s">
        <v>6990</v>
      </c>
      <c r="AH159" s="197"/>
      <c r="AI159" s="459" t="s">
        <v>92</v>
      </c>
      <c r="AJ159" s="99" t="s">
        <v>3410</v>
      </c>
      <c r="AK159" s="99" t="s">
        <v>92</v>
      </c>
      <c r="AL159" s="99" t="s">
        <v>92</v>
      </c>
      <c r="AM159" s="99" t="s">
        <v>92</v>
      </c>
      <c r="AN159" s="99" t="s">
        <v>92</v>
      </c>
      <c r="AO159" s="99" t="s">
        <v>92</v>
      </c>
      <c r="AP159" s="99" t="s">
        <v>93</v>
      </c>
      <c r="AQ159" s="99" t="s">
        <v>92</v>
      </c>
      <c r="AR159" s="99" t="s">
        <v>6942</v>
      </c>
      <c r="AS159" s="470" t="s">
        <v>7836</v>
      </c>
      <c r="AT159" s="470" t="s">
        <v>3451</v>
      </c>
      <c r="AU159" s="99" t="s">
        <v>92</v>
      </c>
      <c r="AV159" s="99" t="s">
        <v>92</v>
      </c>
      <c r="AW159" s="99" t="s">
        <v>92</v>
      </c>
      <c r="AX159" s="99" t="s">
        <v>93</v>
      </c>
      <c r="AY159" s="99" t="s">
        <v>92</v>
      </c>
      <c r="AZ159" s="460" t="s">
        <v>92</v>
      </c>
      <c r="BA159" s="460" t="s">
        <v>92</v>
      </c>
      <c r="BB159" s="460" t="s">
        <v>92</v>
      </c>
      <c r="BC159" s="460" t="s">
        <v>92</v>
      </c>
      <c r="BD159" s="460" t="s">
        <v>92</v>
      </c>
      <c r="BE159" s="460" t="s">
        <v>92</v>
      </c>
      <c r="BF159" s="460" t="s">
        <v>92</v>
      </c>
      <c r="BG159" s="460"/>
      <c r="BH159" s="460"/>
      <c r="BI159" s="460" t="s">
        <v>92</v>
      </c>
      <c r="BJ159" s="460" t="s">
        <v>93</v>
      </c>
      <c r="BK159" s="460" t="s">
        <v>92</v>
      </c>
      <c r="BL159" s="460"/>
      <c r="BM159" s="489" t="s">
        <v>7848</v>
      </c>
      <c r="BN159" s="474"/>
      <c r="BO159" s="474"/>
      <c r="BP159" s="474"/>
      <c r="BQ159" s="475"/>
      <c r="BR159" s="475"/>
    </row>
    <row r="160" ht="15.75" customHeight="1">
      <c r="A160" s="475"/>
      <c r="B160" s="99" t="s">
        <v>1686</v>
      </c>
      <c r="C160" s="475"/>
      <c r="D160" s="99" t="s">
        <v>7858</v>
      </c>
      <c r="E160" s="99" t="s">
        <v>90</v>
      </c>
      <c r="F160" s="99" t="s">
        <v>7859</v>
      </c>
      <c r="G160" s="99" t="s">
        <v>3346</v>
      </c>
      <c r="H160" s="99" t="s">
        <v>3348</v>
      </c>
      <c r="I160" s="99" t="s">
        <v>1135</v>
      </c>
      <c r="J160" s="99" t="s">
        <v>93</v>
      </c>
      <c r="K160" s="197">
        <v>2022.0</v>
      </c>
      <c r="L160" s="99" t="s">
        <v>92</v>
      </c>
      <c r="M160" s="99" t="s">
        <v>92</v>
      </c>
      <c r="N160" s="99" t="s">
        <v>93</v>
      </c>
      <c r="O160" s="99" t="s">
        <v>93</v>
      </c>
      <c r="P160" s="99" t="s">
        <v>95</v>
      </c>
      <c r="Q160" s="99" t="s">
        <v>114</v>
      </c>
      <c r="R160" s="197" t="s">
        <v>5902</v>
      </c>
      <c r="S160" s="197" t="s">
        <v>93</v>
      </c>
      <c r="T160" s="197" t="s">
        <v>93</v>
      </c>
      <c r="U160" s="99" t="s">
        <v>93</v>
      </c>
      <c r="V160" s="99" t="s">
        <v>92</v>
      </c>
      <c r="W160" s="99" t="s">
        <v>92</v>
      </c>
      <c r="X160" s="99" t="s">
        <v>92</v>
      </c>
      <c r="Y160" s="99" t="s">
        <v>93</v>
      </c>
      <c r="Z160" s="99" t="s">
        <v>92</v>
      </c>
      <c r="AA160" s="197" t="s">
        <v>92</v>
      </c>
      <c r="AB160" s="197" t="s">
        <v>95</v>
      </c>
      <c r="AC160" s="197"/>
      <c r="AD160" s="197"/>
      <c r="AE160" s="197" t="s">
        <v>93</v>
      </c>
      <c r="AF160" s="99" t="s">
        <v>1746</v>
      </c>
      <c r="AG160" s="197" t="s">
        <v>6941</v>
      </c>
      <c r="AH160" s="197"/>
      <c r="AI160" s="459" t="s">
        <v>93</v>
      </c>
      <c r="AJ160" s="99" t="s">
        <v>7011</v>
      </c>
      <c r="AK160" s="99" t="s">
        <v>92</v>
      </c>
      <c r="AL160" s="99" t="s">
        <v>92</v>
      </c>
      <c r="AM160" s="99" t="s">
        <v>93</v>
      </c>
      <c r="AN160" s="99" t="s">
        <v>92</v>
      </c>
      <c r="AO160" s="99" t="s">
        <v>92</v>
      </c>
      <c r="AP160" s="99" t="s">
        <v>93</v>
      </c>
      <c r="AQ160" s="99" t="s">
        <v>92</v>
      </c>
      <c r="AR160" s="99" t="s">
        <v>6949</v>
      </c>
      <c r="AS160" s="470" t="s">
        <v>95</v>
      </c>
      <c r="AT160" s="470" t="s">
        <v>95</v>
      </c>
      <c r="AU160" s="99" t="s">
        <v>93</v>
      </c>
      <c r="AV160" s="99" t="s">
        <v>93</v>
      </c>
      <c r="AW160" s="99" t="s">
        <v>93</v>
      </c>
      <c r="AX160" s="99" t="s">
        <v>93</v>
      </c>
      <c r="AY160" s="99" t="s">
        <v>93</v>
      </c>
      <c r="AZ160" s="460" t="s">
        <v>93</v>
      </c>
      <c r="BA160" s="460" t="s">
        <v>92</v>
      </c>
      <c r="BB160" s="460" t="s">
        <v>92</v>
      </c>
      <c r="BC160" s="460" t="s">
        <v>92</v>
      </c>
      <c r="BD160" s="460" t="s">
        <v>92</v>
      </c>
      <c r="BE160" s="460" t="s">
        <v>92</v>
      </c>
      <c r="BF160" s="460" t="s">
        <v>93</v>
      </c>
      <c r="BG160" s="460"/>
      <c r="BH160" s="460"/>
      <c r="BI160" s="460" t="s">
        <v>92</v>
      </c>
      <c r="BJ160" s="460" t="s">
        <v>92</v>
      </c>
      <c r="BK160" s="460" t="s">
        <v>93</v>
      </c>
      <c r="BL160" s="460"/>
      <c r="BM160" s="489" t="s">
        <v>7860</v>
      </c>
      <c r="BN160" s="489" t="s">
        <v>7861</v>
      </c>
      <c r="BO160" s="474"/>
      <c r="BP160" s="474"/>
      <c r="BQ160" s="475"/>
      <c r="BR160" s="475"/>
    </row>
    <row r="161" ht="15.75" customHeight="1">
      <c r="A161" s="475"/>
      <c r="B161" s="99" t="s">
        <v>1686</v>
      </c>
      <c r="C161" s="475"/>
      <c r="D161" s="99" t="s">
        <v>7862</v>
      </c>
      <c r="E161" s="99" t="s">
        <v>189</v>
      </c>
      <c r="F161" s="99" t="s">
        <v>1750</v>
      </c>
      <c r="G161" s="99" t="s">
        <v>3346</v>
      </c>
      <c r="H161" s="99" t="s">
        <v>95</v>
      </c>
      <c r="I161" s="99" t="s">
        <v>94</v>
      </c>
      <c r="J161" s="99" t="s">
        <v>92</v>
      </c>
      <c r="K161" s="197">
        <v>2022.0</v>
      </c>
      <c r="L161" s="99" t="s">
        <v>92</v>
      </c>
      <c r="M161" s="99" t="s">
        <v>92</v>
      </c>
      <c r="N161" s="99" t="s">
        <v>93</v>
      </c>
      <c r="O161" s="99" t="s">
        <v>92</v>
      </c>
      <c r="P161" s="99">
        <v>2022.0</v>
      </c>
      <c r="Q161" s="99" t="s">
        <v>96</v>
      </c>
      <c r="R161" s="197" t="s">
        <v>5902</v>
      </c>
      <c r="S161" s="197" t="s">
        <v>93</v>
      </c>
      <c r="T161" s="197" t="s">
        <v>93</v>
      </c>
      <c r="U161" s="99" t="s">
        <v>93</v>
      </c>
      <c r="V161" s="99" t="s">
        <v>92</v>
      </c>
      <c r="W161" s="99" t="s">
        <v>92</v>
      </c>
      <c r="X161" s="99" t="s">
        <v>92</v>
      </c>
      <c r="Y161" s="99" t="s">
        <v>93</v>
      </c>
      <c r="Z161" s="99" t="s">
        <v>92</v>
      </c>
      <c r="AA161" s="197" t="s">
        <v>92</v>
      </c>
      <c r="AB161" s="197" t="s">
        <v>95</v>
      </c>
      <c r="AC161" s="197"/>
      <c r="AD161" s="197"/>
      <c r="AE161" s="197" t="s">
        <v>92</v>
      </c>
      <c r="AF161" s="99" t="s">
        <v>1686</v>
      </c>
      <c r="AG161" s="197" t="s">
        <v>5902</v>
      </c>
      <c r="AH161" s="197"/>
      <c r="AI161" s="459"/>
      <c r="AJ161" s="99" t="s">
        <v>3410</v>
      </c>
      <c r="AK161" s="99" t="s">
        <v>92</v>
      </c>
      <c r="AL161" s="99" t="s">
        <v>92</v>
      </c>
      <c r="AM161" s="99" t="s">
        <v>92</v>
      </c>
      <c r="AN161" s="99" t="s">
        <v>92</v>
      </c>
      <c r="AO161" s="99" t="s">
        <v>92</v>
      </c>
      <c r="AP161" s="99" t="s">
        <v>93</v>
      </c>
      <c r="AQ161" s="99" t="s">
        <v>92</v>
      </c>
      <c r="AR161" s="99" t="s">
        <v>6942</v>
      </c>
      <c r="AS161" s="470" t="s">
        <v>3893</v>
      </c>
      <c r="AT161" s="470" t="s">
        <v>3451</v>
      </c>
      <c r="AU161" s="99" t="s">
        <v>92</v>
      </c>
      <c r="AV161" s="99" t="s">
        <v>92</v>
      </c>
      <c r="AW161" s="99" t="s">
        <v>92</v>
      </c>
      <c r="AX161" s="99" t="s">
        <v>93</v>
      </c>
      <c r="AY161" s="99" t="s">
        <v>92</v>
      </c>
      <c r="AZ161" s="460" t="s">
        <v>93</v>
      </c>
      <c r="BA161" s="460" t="s">
        <v>92</v>
      </c>
      <c r="BB161" s="460" t="s">
        <v>92</v>
      </c>
      <c r="BC161" s="460" t="s">
        <v>92</v>
      </c>
      <c r="BD161" s="460" t="s">
        <v>92</v>
      </c>
      <c r="BE161" s="460" t="s">
        <v>92</v>
      </c>
      <c r="BF161" s="460" t="s">
        <v>92</v>
      </c>
      <c r="BG161" s="460"/>
      <c r="BH161" s="460"/>
      <c r="BI161" s="460" t="s">
        <v>92</v>
      </c>
      <c r="BJ161" s="460" t="s">
        <v>93</v>
      </c>
      <c r="BK161" s="460" t="s">
        <v>92</v>
      </c>
      <c r="BL161" s="460"/>
      <c r="BM161" s="489" t="s">
        <v>7860</v>
      </c>
      <c r="BN161" s="474"/>
      <c r="BO161" s="474"/>
      <c r="BP161" s="474"/>
      <c r="BQ161" s="475"/>
      <c r="BR161" s="475"/>
    </row>
    <row r="162" ht="15.75" customHeight="1">
      <c r="A162" s="475"/>
      <c r="B162" s="99" t="s">
        <v>1686</v>
      </c>
      <c r="C162" s="475"/>
      <c r="D162" s="99" t="s">
        <v>7863</v>
      </c>
      <c r="E162" s="99" t="s">
        <v>189</v>
      </c>
      <c r="F162" s="99" t="s">
        <v>1754</v>
      </c>
      <c r="G162" s="99" t="s">
        <v>3346</v>
      </c>
      <c r="H162" s="99" t="s">
        <v>95</v>
      </c>
      <c r="I162" s="99" t="s">
        <v>94</v>
      </c>
      <c r="J162" s="99" t="s">
        <v>92</v>
      </c>
      <c r="K162" s="197">
        <v>2022.0</v>
      </c>
      <c r="L162" s="99" t="s">
        <v>92</v>
      </c>
      <c r="M162" s="99" t="s">
        <v>92</v>
      </c>
      <c r="N162" s="99" t="s">
        <v>93</v>
      </c>
      <c r="O162" s="99" t="s">
        <v>92</v>
      </c>
      <c r="P162" s="99">
        <v>2022.0</v>
      </c>
      <c r="Q162" s="99" t="s">
        <v>96</v>
      </c>
      <c r="R162" s="197" t="s">
        <v>5902</v>
      </c>
      <c r="S162" s="197" t="s">
        <v>93</v>
      </c>
      <c r="T162" s="197" t="s">
        <v>93</v>
      </c>
      <c r="U162" s="99" t="s">
        <v>93</v>
      </c>
      <c r="V162" s="99" t="s">
        <v>92</v>
      </c>
      <c r="W162" s="99" t="s">
        <v>92</v>
      </c>
      <c r="X162" s="99" t="s">
        <v>92</v>
      </c>
      <c r="Y162" s="99" t="s">
        <v>93</v>
      </c>
      <c r="Z162" s="99" t="s">
        <v>92</v>
      </c>
      <c r="AA162" s="197" t="s">
        <v>92</v>
      </c>
      <c r="AB162" s="197" t="s">
        <v>95</v>
      </c>
      <c r="AC162" s="197"/>
      <c r="AD162" s="197"/>
      <c r="AE162" s="197" t="s">
        <v>92</v>
      </c>
      <c r="AF162" s="99" t="s">
        <v>1686</v>
      </c>
      <c r="AG162" s="197" t="s">
        <v>5902</v>
      </c>
      <c r="AH162" s="197"/>
      <c r="AI162" s="459"/>
      <c r="AJ162" s="99" t="s">
        <v>3410</v>
      </c>
      <c r="AK162" s="99" t="s">
        <v>92</v>
      </c>
      <c r="AL162" s="99" t="s">
        <v>92</v>
      </c>
      <c r="AM162" s="99" t="s">
        <v>92</v>
      </c>
      <c r="AN162" s="99" t="s">
        <v>92</v>
      </c>
      <c r="AO162" s="99" t="s">
        <v>92</v>
      </c>
      <c r="AP162" s="99" t="s">
        <v>93</v>
      </c>
      <c r="AQ162" s="99" t="s">
        <v>92</v>
      </c>
      <c r="AR162" s="99" t="s">
        <v>6942</v>
      </c>
      <c r="AS162" s="470" t="s">
        <v>6892</v>
      </c>
      <c r="AT162" s="470" t="s">
        <v>3449</v>
      </c>
      <c r="AU162" s="99" t="s">
        <v>92</v>
      </c>
      <c r="AV162" s="99" t="s">
        <v>93</v>
      </c>
      <c r="AW162" s="99" t="s">
        <v>92</v>
      </c>
      <c r="AX162" s="99" t="s">
        <v>92</v>
      </c>
      <c r="AY162" s="99" t="s">
        <v>92</v>
      </c>
      <c r="AZ162" s="460" t="s">
        <v>93</v>
      </c>
      <c r="BA162" s="460" t="s">
        <v>92</v>
      </c>
      <c r="BB162" s="460" t="s">
        <v>92</v>
      </c>
      <c r="BC162" s="460" t="s">
        <v>92</v>
      </c>
      <c r="BD162" s="460" t="s">
        <v>92</v>
      </c>
      <c r="BE162" s="460" t="s">
        <v>92</v>
      </c>
      <c r="BF162" s="460" t="s">
        <v>92</v>
      </c>
      <c r="BG162" s="460"/>
      <c r="BH162" s="460"/>
      <c r="BI162" s="460" t="s">
        <v>92</v>
      </c>
      <c r="BJ162" s="460" t="s">
        <v>93</v>
      </c>
      <c r="BK162" s="460" t="s">
        <v>92</v>
      </c>
      <c r="BL162" s="460"/>
      <c r="BM162" s="489" t="s">
        <v>7860</v>
      </c>
      <c r="BN162" s="474"/>
      <c r="BO162" s="474"/>
      <c r="BP162" s="474"/>
      <c r="BQ162" s="475"/>
      <c r="BR162" s="475"/>
    </row>
    <row r="163" ht="15.75" customHeight="1">
      <c r="A163" s="475"/>
      <c r="B163" s="99" t="s">
        <v>7864</v>
      </c>
      <c r="C163" s="475"/>
      <c r="D163" s="99" t="s">
        <v>7865</v>
      </c>
      <c r="E163" s="99" t="s">
        <v>189</v>
      </c>
      <c r="F163" s="99" t="s">
        <v>7866</v>
      </c>
      <c r="G163" s="99" t="s">
        <v>3346</v>
      </c>
      <c r="H163" s="99" t="s">
        <v>95</v>
      </c>
      <c r="I163" s="99" t="s">
        <v>94</v>
      </c>
      <c r="J163" s="99" t="s">
        <v>92</v>
      </c>
      <c r="K163" s="197">
        <v>2020.0</v>
      </c>
      <c r="L163" s="99" t="s">
        <v>93</v>
      </c>
      <c r="M163" s="99" t="s">
        <v>92</v>
      </c>
      <c r="N163" s="99" t="s">
        <v>92</v>
      </c>
      <c r="O163" s="99" t="s">
        <v>92</v>
      </c>
      <c r="P163" s="99">
        <v>2020.0</v>
      </c>
      <c r="Q163" s="99" t="s">
        <v>96</v>
      </c>
      <c r="R163" s="475" t="s">
        <v>5902</v>
      </c>
      <c r="S163" s="197" t="s">
        <v>93</v>
      </c>
      <c r="T163" s="197" t="s">
        <v>92</v>
      </c>
      <c r="U163" s="99" t="s">
        <v>92</v>
      </c>
      <c r="V163" s="99" t="s">
        <v>92</v>
      </c>
      <c r="W163" s="99" t="s">
        <v>92</v>
      </c>
      <c r="X163" s="99" t="s">
        <v>92</v>
      </c>
      <c r="Y163" s="99" t="s">
        <v>93</v>
      </c>
      <c r="Z163" s="99" t="s">
        <v>92</v>
      </c>
      <c r="AA163" s="197" t="s">
        <v>93</v>
      </c>
      <c r="AB163" s="223" t="s">
        <v>7867</v>
      </c>
      <c r="AC163" s="223"/>
      <c r="AD163" s="197"/>
      <c r="AE163" s="197" t="s">
        <v>92</v>
      </c>
      <c r="AF163" s="99" t="s">
        <v>7868</v>
      </c>
      <c r="AG163" s="197" t="s">
        <v>6990</v>
      </c>
      <c r="AH163" s="197"/>
      <c r="AI163" s="459" t="s">
        <v>93</v>
      </c>
      <c r="AJ163" s="99" t="s">
        <v>3410</v>
      </c>
      <c r="AK163" s="99" t="s">
        <v>92</v>
      </c>
      <c r="AL163" s="99" t="s">
        <v>92</v>
      </c>
      <c r="AM163" s="99" t="s">
        <v>92</v>
      </c>
      <c r="AN163" s="99" t="s">
        <v>92</v>
      </c>
      <c r="AO163" s="99" t="s">
        <v>92</v>
      </c>
      <c r="AP163" s="99" t="s">
        <v>93</v>
      </c>
      <c r="AQ163" s="99" t="s">
        <v>92</v>
      </c>
      <c r="AR163" s="99" t="s">
        <v>105</v>
      </c>
      <c r="AS163" s="470" t="s">
        <v>105</v>
      </c>
      <c r="AT163" s="470" t="s">
        <v>105</v>
      </c>
      <c r="AU163" s="99" t="s">
        <v>105</v>
      </c>
      <c r="AV163" s="99" t="s">
        <v>105</v>
      </c>
      <c r="AW163" s="99" t="s">
        <v>105</v>
      </c>
      <c r="AX163" s="99" t="s">
        <v>105</v>
      </c>
      <c r="AY163" s="99" t="s">
        <v>105</v>
      </c>
      <c r="AZ163" s="460" t="s">
        <v>93</v>
      </c>
      <c r="BA163" s="460" t="s">
        <v>92</v>
      </c>
      <c r="BB163" s="460" t="s">
        <v>92</v>
      </c>
      <c r="BC163" s="460" t="s">
        <v>92</v>
      </c>
      <c r="BD163" s="460" t="s">
        <v>92</v>
      </c>
      <c r="BE163" s="460" t="s">
        <v>92</v>
      </c>
      <c r="BF163" s="460" t="s">
        <v>92</v>
      </c>
      <c r="BG163" s="460"/>
      <c r="BH163" s="460"/>
      <c r="BI163" s="460" t="s">
        <v>92</v>
      </c>
      <c r="BJ163" s="460" t="s">
        <v>93</v>
      </c>
      <c r="BK163" s="460" t="s">
        <v>92</v>
      </c>
      <c r="BL163" s="460"/>
      <c r="BM163" s="489" t="s">
        <v>7869</v>
      </c>
      <c r="BN163" s="474"/>
      <c r="BO163" s="474"/>
      <c r="BP163" s="474"/>
      <c r="BQ163" s="475"/>
      <c r="BR163" s="475"/>
    </row>
    <row r="164" ht="15.75" customHeight="1">
      <c r="A164" s="197"/>
      <c r="B164" s="99" t="s">
        <v>7864</v>
      </c>
      <c r="C164" s="197">
        <v>36.0</v>
      </c>
      <c r="D164" s="99" t="s">
        <v>7340</v>
      </c>
      <c r="E164" s="99" t="s">
        <v>90</v>
      </c>
      <c r="F164" s="99" t="s">
        <v>7341</v>
      </c>
      <c r="G164" s="99" t="s">
        <v>3344</v>
      </c>
      <c r="H164" s="99" t="s">
        <v>3345</v>
      </c>
      <c r="I164" s="99" t="s">
        <v>287</v>
      </c>
      <c r="J164" s="99" t="s">
        <v>92</v>
      </c>
      <c r="K164" s="197">
        <v>2023.0</v>
      </c>
      <c r="L164" s="99" t="s">
        <v>92</v>
      </c>
      <c r="M164" s="99" t="s">
        <v>92</v>
      </c>
      <c r="N164" s="99" t="s">
        <v>92</v>
      </c>
      <c r="O164" s="99" t="s">
        <v>93</v>
      </c>
      <c r="P164" s="99" t="s">
        <v>95</v>
      </c>
      <c r="Q164" s="99" t="s">
        <v>114</v>
      </c>
      <c r="R164" s="475" t="s">
        <v>5902</v>
      </c>
      <c r="S164" s="197" t="s">
        <v>93</v>
      </c>
      <c r="T164" s="197" t="s">
        <v>92</v>
      </c>
      <c r="U164" s="99" t="s">
        <v>92</v>
      </c>
      <c r="V164" s="99" t="s">
        <v>92</v>
      </c>
      <c r="W164" s="99" t="s">
        <v>92</v>
      </c>
      <c r="X164" s="99" t="s">
        <v>92</v>
      </c>
      <c r="Y164" s="99" t="s">
        <v>93</v>
      </c>
      <c r="Z164" s="99" t="s">
        <v>92</v>
      </c>
      <c r="AA164" s="197" t="s">
        <v>93</v>
      </c>
      <c r="AB164" s="223" t="s">
        <v>7867</v>
      </c>
      <c r="AC164" s="223"/>
      <c r="AD164" s="197"/>
      <c r="AE164" s="197" t="s">
        <v>93</v>
      </c>
      <c r="AF164" s="99" t="s">
        <v>1850</v>
      </c>
      <c r="AG164" s="197" t="s">
        <v>6990</v>
      </c>
      <c r="AH164" s="197"/>
      <c r="AI164" s="459" t="s">
        <v>93</v>
      </c>
      <c r="AJ164" s="99" t="s">
        <v>7111</v>
      </c>
      <c r="AK164" s="99" t="s">
        <v>93</v>
      </c>
      <c r="AL164" s="99" t="s">
        <v>92</v>
      </c>
      <c r="AM164" s="99" t="s">
        <v>92</v>
      </c>
      <c r="AN164" s="99" t="s">
        <v>92</v>
      </c>
      <c r="AO164" s="99" t="s">
        <v>92</v>
      </c>
      <c r="AP164" s="99" t="s">
        <v>93</v>
      </c>
      <c r="AQ164" s="99" t="s">
        <v>92</v>
      </c>
      <c r="AR164" s="99" t="s">
        <v>6942</v>
      </c>
      <c r="AS164" s="99" t="s">
        <v>3893</v>
      </c>
      <c r="AT164" s="99" t="s">
        <v>3451</v>
      </c>
      <c r="AU164" s="99" t="s">
        <v>92</v>
      </c>
      <c r="AV164" s="99" t="s">
        <v>92</v>
      </c>
      <c r="AW164" s="99" t="s">
        <v>92</v>
      </c>
      <c r="AX164" s="99" t="s">
        <v>93</v>
      </c>
      <c r="AY164" s="99" t="s">
        <v>92</v>
      </c>
      <c r="AZ164" s="460" t="s">
        <v>93</v>
      </c>
      <c r="BA164" s="460" t="s">
        <v>93</v>
      </c>
      <c r="BB164" s="460" t="s">
        <v>92</v>
      </c>
      <c r="BC164" s="460" t="s">
        <v>92</v>
      </c>
      <c r="BD164" s="460" t="s">
        <v>92</v>
      </c>
      <c r="BE164" s="460" t="s">
        <v>92</v>
      </c>
      <c r="BF164" s="460" t="s">
        <v>92</v>
      </c>
      <c r="BG164" s="460"/>
      <c r="BH164" s="460"/>
      <c r="BI164" s="460" t="s">
        <v>92</v>
      </c>
      <c r="BJ164" s="460" t="s">
        <v>92</v>
      </c>
      <c r="BK164" s="460" t="s">
        <v>92</v>
      </c>
      <c r="BL164" s="460"/>
      <c r="BM164" s="213" t="s">
        <v>7342</v>
      </c>
      <c r="BN164" s="213" t="s">
        <v>7343</v>
      </c>
      <c r="BO164" s="470"/>
      <c r="BP164" s="470"/>
      <c r="BQ164" s="99"/>
      <c r="BR164" s="99"/>
    </row>
    <row r="165" ht="15.75" customHeight="1">
      <c r="A165" s="475"/>
      <c r="B165" s="99" t="s">
        <v>7864</v>
      </c>
      <c r="C165" s="475"/>
      <c r="D165" s="99" t="s">
        <v>1204</v>
      </c>
      <c r="E165" s="99" t="s">
        <v>189</v>
      </c>
      <c r="F165" s="99" t="s">
        <v>7870</v>
      </c>
      <c r="G165" s="99" t="s">
        <v>3346</v>
      </c>
      <c r="H165" s="99" t="s">
        <v>95</v>
      </c>
      <c r="I165" s="99" t="s">
        <v>94</v>
      </c>
      <c r="J165" s="99" t="s">
        <v>92</v>
      </c>
      <c r="K165" s="197">
        <v>2020.0</v>
      </c>
      <c r="L165" s="99" t="s">
        <v>93</v>
      </c>
      <c r="M165" s="99" t="s">
        <v>92</v>
      </c>
      <c r="N165" s="99" t="s">
        <v>92</v>
      </c>
      <c r="O165" s="99" t="s">
        <v>92</v>
      </c>
      <c r="P165" s="99">
        <v>2020.0</v>
      </c>
      <c r="Q165" s="99" t="s">
        <v>96</v>
      </c>
      <c r="R165" s="475" t="s">
        <v>5902</v>
      </c>
      <c r="S165" s="197" t="s">
        <v>93</v>
      </c>
      <c r="T165" s="197" t="s">
        <v>92</v>
      </c>
      <c r="U165" s="99" t="s">
        <v>92</v>
      </c>
      <c r="V165" s="99" t="s">
        <v>92</v>
      </c>
      <c r="W165" s="99" t="s">
        <v>92</v>
      </c>
      <c r="X165" s="99" t="s">
        <v>92</v>
      </c>
      <c r="Y165" s="99" t="s">
        <v>93</v>
      </c>
      <c r="Z165" s="99" t="s">
        <v>92</v>
      </c>
      <c r="AA165" s="197" t="s">
        <v>93</v>
      </c>
      <c r="AB165" s="223" t="s">
        <v>7867</v>
      </c>
      <c r="AC165" s="223"/>
      <c r="AD165" s="197"/>
      <c r="AE165" s="197" t="s">
        <v>92</v>
      </c>
      <c r="AF165" s="99" t="s">
        <v>1204</v>
      </c>
      <c r="AG165" s="197" t="s">
        <v>6990</v>
      </c>
      <c r="AH165" s="197"/>
      <c r="AI165" s="459" t="s">
        <v>93</v>
      </c>
      <c r="AJ165" s="99" t="s">
        <v>3410</v>
      </c>
      <c r="AK165" s="99" t="s">
        <v>92</v>
      </c>
      <c r="AL165" s="99" t="s">
        <v>92</v>
      </c>
      <c r="AM165" s="99" t="s">
        <v>92</v>
      </c>
      <c r="AN165" s="99" t="s">
        <v>92</v>
      </c>
      <c r="AO165" s="99" t="s">
        <v>92</v>
      </c>
      <c r="AP165" s="99" t="s">
        <v>93</v>
      </c>
      <c r="AQ165" s="99" t="s">
        <v>92</v>
      </c>
      <c r="AR165" s="99" t="s">
        <v>6942</v>
      </c>
      <c r="AS165" s="99" t="s">
        <v>3893</v>
      </c>
      <c r="AT165" s="99" t="s">
        <v>3451</v>
      </c>
      <c r="AU165" s="99" t="s">
        <v>92</v>
      </c>
      <c r="AV165" s="99" t="s">
        <v>92</v>
      </c>
      <c r="AW165" s="99" t="s">
        <v>92</v>
      </c>
      <c r="AX165" s="99" t="s">
        <v>93</v>
      </c>
      <c r="AY165" s="99" t="s">
        <v>92</v>
      </c>
      <c r="AZ165" s="460" t="s">
        <v>93</v>
      </c>
      <c r="BA165" s="460" t="s">
        <v>92</v>
      </c>
      <c r="BB165" s="460" t="s">
        <v>92</v>
      </c>
      <c r="BC165" s="460" t="s">
        <v>92</v>
      </c>
      <c r="BD165" s="460" t="s">
        <v>92</v>
      </c>
      <c r="BE165" s="460" t="s">
        <v>92</v>
      </c>
      <c r="BF165" s="460" t="s">
        <v>92</v>
      </c>
      <c r="BG165" s="460"/>
      <c r="BH165" s="460"/>
      <c r="BI165" s="460" t="s">
        <v>92</v>
      </c>
      <c r="BJ165" s="460" t="s">
        <v>93</v>
      </c>
      <c r="BK165" s="460" t="s">
        <v>92</v>
      </c>
      <c r="BL165" s="460"/>
      <c r="BM165" s="489" t="s">
        <v>7869</v>
      </c>
      <c r="BN165" s="474"/>
      <c r="BO165" s="474"/>
      <c r="BP165" s="474"/>
      <c r="BQ165" s="475"/>
      <c r="BR165" s="475"/>
    </row>
    <row r="166" ht="15.75" customHeight="1">
      <c r="A166" s="475"/>
      <c r="B166" s="99" t="s">
        <v>7864</v>
      </c>
      <c r="C166" s="475"/>
      <c r="D166" s="99" t="s">
        <v>7871</v>
      </c>
      <c r="E166" s="99" t="s">
        <v>189</v>
      </c>
      <c r="F166" s="99" t="s">
        <v>7872</v>
      </c>
      <c r="G166" s="99" t="s">
        <v>3346</v>
      </c>
      <c r="H166" s="99" t="s">
        <v>95</v>
      </c>
      <c r="I166" s="99" t="s">
        <v>94</v>
      </c>
      <c r="J166" s="99" t="s">
        <v>92</v>
      </c>
      <c r="K166" s="197">
        <v>2021.0</v>
      </c>
      <c r="L166" s="99" t="s">
        <v>92</v>
      </c>
      <c r="M166" s="99" t="s">
        <v>93</v>
      </c>
      <c r="N166" s="99" t="s">
        <v>92</v>
      </c>
      <c r="O166" s="99" t="s">
        <v>92</v>
      </c>
      <c r="P166" s="99">
        <v>2021.0</v>
      </c>
      <c r="Q166" s="99" t="s">
        <v>96</v>
      </c>
      <c r="R166" s="475" t="s">
        <v>5902</v>
      </c>
      <c r="S166" s="197" t="s">
        <v>93</v>
      </c>
      <c r="T166" s="197" t="s">
        <v>92</v>
      </c>
      <c r="U166" s="99" t="s">
        <v>92</v>
      </c>
      <c r="V166" s="99" t="s">
        <v>92</v>
      </c>
      <c r="W166" s="99" t="s">
        <v>92</v>
      </c>
      <c r="X166" s="99" t="s">
        <v>92</v>
      </c>
      <c r="Y166" s="99" t="s">
        <v>93</v>
      </c>
      <c r="Z166" s="99" t="s">
        <v>92</v>
      </c>
      <c r="AA166" s="197" t="s">
        <v>93</v>
      </c>
      <c r="AB166" s="223" t="s">
        <v>7867</v>
      </c>
      <c r="AC166" s="223"/>
      <c r="AD166" s="197"/>
      <c r="AE166" s="197" t="s">
        <v>92</v>
      </c>
      <c r="AF166" s="99" t="s">
        <v>7472</v>
      </c>
      <c r="AG166" s="197" t="s">
        <v>6990</v>
      </c>
      <c r="AH166" s="197"/>
      <c r="AI166" s="459" t="s">
        <v>92</v>
      </c>
      <c r="AJ166" s="99" t="s">
        <v>3410</v>
      </c>
      <c r="AK166" s="99" t="s">
        <v>92</v>
      </c>
      <c r="AL166" s="99" t="s">
        <v>92</v>
      </c>
      <c r="AM166" s="99" t="s">
        <v>92</v>
      </c>
      <c r="AN166" s="99" t="s">
        <v>92</v>
      </c>
      <c r="AO166" s="99" t="s">
        <v>92</v>
      </c>
      <c r="AP166" s="99" t="s">
        <v>93</v>
      </c>
      <c r="AQ166" s="99" t="s">
        <v>92</v>
      </c>
      <c r="AR166" s="99" t="s">
        <v>6942</v>
      </c>
      <c r="AS166" s="99" t="s">
        <v>3893</v>
      </c>
      <c r="AT166" s="99" t="s">
        <v>3451</v>
      </c>
      <c r="AU166" s="99" t="s">
        <v>92</v>
      </c>
      <c r="AV166" s="99" t="s">
        <v>92</v>
      </c>
      <c r="AW166" s="99" t="s">
        <v>92</v>
      </c>
      <c r="AX166" s="99" t="s">
        <v>93</v>
      </c>
      <c r="AY166" s="99" t="s">
        <v>92</v>
      </c>
      <c r="AZ166" s="460" t="s">
        <v>93</v>
      </c>
      <c r="BA166" s="460" t="s">
        <v>92</v>
      </c>
      <c r="BB166" s="460" t="s">
        <v>92</v>
      </c>
      <c r="BC166" s="460" t="s">
        <v>92</v>
      </c>
      <c r="BD166" s="460" t="s">
        <v>92</v>
      </c>
      <c r="BE166" s="460" t="s">
        <v>92</v>
      </c>
      <c r="BF166" s="460" t="s">
        <v>92</v>
      </c>
      <c r="BG166" s="460"/>
      <c r="BH166" s="460"/>
      <c r="BI166" s="460" t="s">
        <v>92</v>
      </c>
      <c r="BJ166" s="460" t="s">
        <v>93</v>
      </c>
      <c r="BK166" s="460" t="s">
        <v>92</v>
      </c>
      <c r="BL166" s="460"/>
      <c r="BM166" s="489" t="s">
        <v>7873</v>
      </c>
      <c r="BN166" s="474"/>
      <c r="BO166" s="474"/>
      <c r="BP166" s="474"/>
      <c r="BQ166" s="475"/>
      <c r="BR166" s="475"/>
    </row>
    <row r="167" ht="15.75" customHeight="1">
      <c r="A167" s="475"/>
      <c r="B167" s="99" t="s">
        <v>7864</v>
      </c>
      <c r="C167" s="475"/>
      <c r="D167" s="99" t="s">
        <v>7874</v>
      </c>
      <c r="E167" s="99" t="s">
        <v>189</v>
      </c>
      <c r="F167" s="99" t="s">
        <v>7875</v>
      </c>
      <c r="G167" s="99" t="s">
        <v>3346</v>
      </c>
      <c r="H167" s="99" t="s">
        <v>3348</v>
      </c>
      <c r="I167" s="99" t="s">
        <v>94</v>
      </c>
      <c r="J167" s="99" t="s">
        <v>92</v>
      </c>
      <c r="K167" s="197" t="s">
        <v>105</v>
      </c>
      <c r="L167" s="99" t="s">
        <v>105</v>
      </c>
      <c r="M167" s="99" t="s">
        <v>93</v>
      </c>
      <c r="N167" s="99" t="s">
        <v>105</v>
      </c>
      <c r="O167" s="99" t="s">
        <v>105</v>
      </c>
      <c r="P167" s="99" t="s">
        <v>105</v>
      </c>
      <c r="Q167" s="99" t="s">
        <v>105</v>
      </c>
      <c r="R167" s="475" t="s">
        <v>5902</v>
      </c>
      <c r="S167" s="197" t="s">
        <v>93</v>
      </c>
      <c r="T167" s="197" t="s">
        <v>92</v>
      </c>
      <c r="U167" s="99" t="s">
        <v>92</v>
      </c>
      <c r="V167" s="99" t="s">
        <v>92</v>
      </c>
      <c r="W167" s="99" t="s">
        <v>92</v>
      </c>
      <c r="X167" s="99" t="s">
        <v>92</v>
      </c>
      <c r="Y167" s="99" t="s">
        <v>93</v>
      </c>
      <c r="Z167" s="99" t="s">
        <v>92</v>
      </c>
      <c r="AA167" s="197" t="s">
        <v>93</v>
      </c>
      <c r="AB167" s="223" t="s">
        <v>7867</v>
      </c>
      <c r="AC167" s="223"/>
      <c r="AD167" s="197"/>
      <c r="AE167" s="197" t="s">
        <v>92</v>
      </c>
      <c r="AF167" s="99" t="s">
        <v>7876</v>
      </c>
      <c r="AG167" s="197" t="s">
        <v>6990</v>
      </c>
      <c r="AH167" s="197"/>
      <c r="AI167" s="459" t="s">
        <v>93</v>
      </c>
      <c r="AJ167" s="99" t="s">
        <v>7058</v>
      </c>
      <c r="AK167" s="99" t="s">
        <v>92</v>
      </c>
      <c r="AL167" s="99" t="s">
        <v>93</v>
      </c>
      <c r="AM167" s="99" t="s">
        <v>92</v>
      </c>
      <c r="AN167" s="99" t="s">
        <v>92</v>
      </c>
      <c r="AO167" s="99" t="s">
        <v>92</v>
      </c>
      <c r="AP167" s="99" t="s">
        <v>93</v>
      </c>
      <c r="AQ167" s="99" t="s">
        <v>92</v>
      </c>
      <c r="AR167" s="99" t="s">
        <v>105</v>
      </c>
      <c r="AS167" s="470" t="s">
        <v>105</v>
      </c>
      <c r="AT167" s="470" t="s">
        <v>105</v>
      </c>
      <c r="AU167" s="99" t="s">
        <v>105</v>
      </c>
      <c r="AV167" s="99" t="s">
        <v>105</v>
      </c>
      <c r="AW167" s="99" t="s">
        <v>105</v>
      </c>
      <c r="AX167" s="99" t="s">
        <v>105</v>
      </c>
      <c r="AY167" s="99" t="s">
        <v>105</v>
      </c>
      <c r="AZ167" s="460" t="s">
        <v>93</v>
      </c>
      <c r="BA167" s="460" t="s">
        <v>92</v>
      </c>
      <c r="BB167" s="460" t="s">
        <v>92</v>
      </c>
      <c r="BC167" s="460" t="s">
        <v>92</v>
      </c>
      <c r="BD167" s="460" t="s">
        <v>92</v>
      </c>
      <c r="BE167" s="460" t="s">
        <v>92</v>
      </c>
      <c r="BF167" s="460" t="s">
        <v>93</v>
      </c>
      <c r="BG167" s="460"/>
      <c r="BH167" s="460"/>
      <c r="BI167" s="460" t="s">
        <v>92</v>
      </c>
      <c r="BJ167" s="460" t="s">
        <v>92</v>
      </c>
      <c r="BK167" s="460" t="s">
        <v>105</v>
      </c>
      <c r="BL167" s="460"/>
      <c r="BM167" s="489" t="s">
        <v>7873</v>
      </c>
      <c r="BN167" s="474"/>
      <c r="BO167" s="474"/>
      <c r="BP167" s="474"/>
      <c r="BQ167" s="475"/>
      <c r="BR167" s="475"/>
    </row>
    <row r="168" ht="15.75" customHeight="1">
      <c r="A168" s="475"/>
      <c r="B168" s="99" t="s">
        <v>7864</v>
      </c>
      <c r="C168" s="475"/>
      <c r="D168" s="99" t="s">
        <v>7877</v>
      </c>
      <c r="E168" s="99" t="s">
        <v>189</v>
      </c>
      <c r="F168" s="99" t="s">
        <v>7878</v>
      </c>
      <c r="G168" s="99" t="s">
        <v>3346</v>
      </c>
      <c r="H168" s="99" t="s">
        <v>95</v>
      </c>
      <c r="I168" s="99" t="s">
        <v>94</v>
      </c>
      <c r="J168" s="99" t="s">
        <v>92</v>
      </c>
      <c r="K168" s="197">
        <v>2021.0</v>
      </c>
      <c r="L168" s="99" t="s">
        <v>92</v>
      </c>
      <c r="M168" s="99" t="s">
        <v>93</v>
      </c>
      <c r="N168" s="99" t="s">
        <v>92</v>
      </c>
      <c r="O168" s="99" t="s">
        <v>92</v>
      </c>
      <c r="P168" s="99">
        <v>2021.0</v>
      </c>
      <c r="Q168" s="99" t="s">
        <v>96</v>
      </c>
      <c r="R168" s="475" t="s">
        <v>5902</v>
      </c>
      <c r="S168" s="197" t="s">
        <v>93</v>
      </c>
      <c r="T168" s="197" t="s">
        <v>92</v>
      </c>
      <c r="U168" s="99" t="s">
        <v>92</v>
      </c>
      <c r="V168" s="99" t="s">
        <v>92</v>
      </c>
      <c r="W168" s="99" t="s">
        <v>92</v>
      </c>
      <c r="X168" s="99" t="s">
        <v>92</v>
      </c>
      <c r="Y168" s="99" t="s">
        <v>93</v>
      </c>
      <c r="Z168" s="99" t="s">
        <v>92</v>
      </c>
      <c r="AA168" s="197" t="s">
        <v>93</v>
      </c>
      <c r="AB168" s="223" t="s">
        <v>7867</v>
      </c>
      <c r="AC168" s="223"/>
      <c r="AD168" s="197"/>
      <c r="AE168" s="197" t="s">
        <v>92</v>
      </c>
      <c r="AF168" s="99" t="s">
        <v>7864</v>
      </c>
      <c r="AG168" s="197" t="s">
        <v>5902</v>
      </c>
      <c r="AH168" s="197"/>
      <c r="AI168" s="459" t="s">
        <v>92</v>
      </c>
      <c r="AJ168" s="99" t="s">
        <v>3410</v>
      </c>
      <c r="AK168" s="99" t="s">
        <v>92</v>
      </c>
      <c r="AL168" s="99" t="s">
        <v>92</v>
      </c>
      <c r="AM168" s="99" t="s">
        <v>92</v>
      </c>
      <c r="AN168" s="99" t="s">
        <v>92</v>
      </c>
      <c r="AO168" s="99" t="s">
        <v>92</v>
      </c>
      <c r="AP168" s="99" t="s">
        <v>93</v>
      </c>
      <c r="AQ168" s="99" t="s">
        <v>92</v>
      </c>
      <c r="AR168" s="99" t="s">
        <v>6942</v>
      </c>
      <c r="AS168" s="470" t="s">
        <v>3520</v>
      </c>
      <c r="AT168" s="470" t="s">
        <v>3451</v>
      </c>
      <c r="AU168" s="99" t="s">
        <v>92</v>
      </c>
      <c r="AV168" s="99" t="s">
        <v>92</v>
      </c>
      <c r="AW168" s="99" t="s">
        <v>92</v>
      </c>
      <c r="AX168" s="99" t="s">
        <v>93</v>
      </c>
      <c r="AY168" s="99" t="s">
        <v>92</v>
      </c>
      <c r="AZ168" s="460" t="s">
        <v>93</v>
      </c>
      <c r="BA168" s="460" t="s">
        <v>92</v>
      </c>
      <c r="BB168" s="460" t="s">
        <v>92</v>
      </c>
      <c r="BC168" s="460" t="s">
        <v>92</v>
      </c>
      <c r="BD168" s="460" t="s">
        <v>92</v>
      </c>
      <c r="BE168" s="460" t="s">
        <v>92</v>
      </c>
      <c r="BF168" s="460" t="s">
        <v>92</v>
      </c>
      <c r="BG168" s="460"/>
      <c r="BH168" s="460"/>
      <c r="BI168" s="460" t="s">
        <v>92</v>
      </c>
      <c r="BJ168" s="460" t="s">
        <v>92</v>
      </c>
      <c r="BK168" s="460" t="s">
        <v>92</v>
      </c>
      <c r="BL168" s="460"/>
      <c r="BM168" s="489" t="s">
        <v>7873</v>
      </c>
      <c r="BN168" s="474"/>
      <c r="BO168" s="474"/>
      <c r="BP168" s="474"/>
      <c r="BQ168" s="475"/>
      <c r="BR168" s="475"/>
    </row>
    <row r="169" ht="15.75" customHeight="1">
      <c r="A169" s="197"/>
      <c r="B169" s="99" t="s">
        <v>7879</v>
      </c>
      <c r="C169" s="197">
        <v>6.0</v>
      </c>
      <c r="D169" s="99" t="s">
        <v>6946</v>
      </c>
      <c r="E169" s="99" t="s">
        <v>709</v>
      </c>
      <c r="F169" s="99" t="s">
        <v>6947</v>
      </c>
      <c r="G169" s="99" t="s">
        <v>3346</v>
      </c>
      <c r="H169" s="99" t="s">
        <v>3348</v>
      </c>
      <c r="I169" s="99" t="s">
        <v>1135</v>
      </c>
      <c r="J169" s="99" t="s">
        <v>93</v>
      </c>
      <c r="K169" s="197">
        <v>2021.0</v>
      </c>
      <c r="L169" s="99" t="s">
        <v>92</v>
      </c>
      <c r="M169" s="99" t="s">
        <v>93</v>
      </c>
      <c r="N169" s="99" t="s">
        <v>93</v>
      </c>
      <c r="O169" s="99" t="s">
        <v>93</v>
      </c>
      <c r="P169" s="99" t="s">
        <v>95</v>
      </c>
      <c r="Q169" s="99" t="s">
        <v>114</v>
      </c>
      <c r="R169" s="197" t="s">
        <v>5902</v>
      </c>
      <c r="S169" s="197" t="s">
        <v>93</v>
      </c>
      <c r="T169" s="197" t="s">
        <v>92</v>
      </c>
      <c r="U169" s="99" t="s">
        <v>92</v>
      </c>
      <c r="V169" s="99" t="s">
        <v>92</v>
      </c>
      <c r="W169" s="99" t="s">
        <v>92</v>
      </c>
      <c r="X169" s="99" t="s">
        <v>92</v>
      </c>
      <c r="Y169" s="99" t="s">
        <v>93</v>
      </c>
      <c r="Z169" s="99" t="s">
        <v>92</v>
      </c>
      <c r="AA169" s="197" t="s">
        <v>93</v>
      </c>
      <c r="AB169" s="197" t="s">
        <v>3772</v>
      </c>
      <c r="AC169" s="197"/>
      <c r="AD169" s="197"/>
      <c r="AE169" s="197" t="s">
        <v>92</v>
      </c>
      <c r="AF169" s="479" t="s">
        <v>2530</v>
      </c>
      <c r="AG169" s="197" t="s">
        <v>6941</v>
      </c>
      <c r="AH169" s="197"/>
      <c r="AI169" s="459" t="s">
        <v>93</v>
      </c>
      <c r="AJ169" s="475" t="s">
        <v>7880</v>
      </c>
      <c r="AK169" s="99" t="s">
        <v>92</v>
      </c>
      <c r="AL169" s="99" t="s">
        <v>92</v>
      </c>
      <c r="AM169" s="99" t="s">
        <v>93</v>
      </c>
      <c r="AN169" s="99" t="s">
        <v>92</v>
      </c>
      <c r="AO169" s="99" t="s">
        <v>93</v>
      </c>
      <c r="AP169" s="99" t="s">
        <v>93</v>
      </c>
      <c r="AQ169" s="99" t="s">
        <v>92</v>
      </c>
      <c r="AR169" s="99" t="s">
        <v>6949</v>
      </c>
      <c r="AS169" s="99" t="s">
        <v>95</v>
      </c>
      <c r="AT169" s="99" t="s">
        <v>95</v>
      </c>
      <c r="AU169" s="99" t="s">
        <v>93</v>
      </c>
      <c r="AV169" s="99" t="s">
        <v>93</v>
      </c>
      <c r="AW169" s="99" t="s">
        <v>93</v>
      </c>
      <c r="AX169" s="99" t="s">
        <v>93</v>
      </c>
      <c r="AY169" s="99" t="s">
        <v>93</v>
      </c>
      <c r="AZ169" s="460" t="s">
        <v>93</v>
      </c>
      <c r="BA169" s="460" t="s">
        <v>92</v>
      </c>
      <c r="BB169" s="460" t="s">
        <v>92</v>
      </c>
      <c r="BC169" s="460" t="s">
        <v>92</v>
      </c>
      <c r="BD169" s="460" t="s">
        <v>92</v>
      </c>
      <c r="BE169" s="460" t="s">
        <v>92</v>
      </c>
      <c r="BF169" s="460" t="s">
        <v>93</v>
      </c>
      <c r="BG169" s="460"/>
      <c r="BH169" s="460"/>
      <c r="BI169" s="460" t="s">
        <v>93</v>
      </c>
      <c r="BJ169" s="460" t="s">
        <v>92</v>
      </c>
      <c r="BK169" s="460" t="s">
        <v>93</v>
      </c>
      <c r="BL169" s="460"/>
      <c r="BM169" s="213" t="s">
        <v>6950</v>
      </c>
      <c r="BN169" s="213" t="s">
        <v>6951</v>
      </c>
      <c r="BO169" s="213" t="s">
        <v>4546</v>
      </c>
      <c r="BP169" s="213" t="s">
        <v>6952</v>
      </c>
      <c r="BQ169" s="475"/>
      <c r="BR169" s="475"/>
    </row>
    <row r="170" ht="15.75" customHeight="1">
      <c r="A170" s="197"/>
      <c r="B170" s="99" t="s">
        <v>7879</v>
      </c>
      <c r="C170" s="197">
        <v>37.0</v>
      </c>
      <c r="D170" s="99" t="s">
        <v>6998</v>
      </c>
      <c r="E170" s="99" t="s">
        <v>110</v>
      </c>
      <c r="F170" s="99" t="s">
        <v>6999</v>
      </c>
      <c r="G170" s="99" t="s">
        <v>3346</v>
      </c>
      <c r="H170" s="99" t="s">
        <v>3348</v>
      </c>
      <c r="I170" s="99" t="s">
        <v>1135</v>
      </c>
      <c r="J170" s="99" t="s">
        <v>92</v>
      </c>
      <c r="K170" s="197">
        <v>1994.0</v>
      </c>
      <c r="L170" s="99" t="s">
        <v>93</v>
      </c>
      <c r="M170" s="99" t="s">
        <v>93</v>
      </c>
      <c r="N170" s="99" t="s">
        <v>93</v>
      </c>
      <c r="O170" s="99" t="s">
        <v>93</v>
      </c>
      <c r="P170" s="99" t="s">
        <v>95</v>
      </c>
      <c r="Q170" s="99" t="s">
        <v>114</v>
      </c>
      <c r="R170" s="197" t="s">
        <v>5902</v>
      </c>
      <c r="S170" s="197" t="s">
        <v>93</v>
      </c>
      <c r="T170" s="197" t="s">
        <v>92</v>
      </c>
      <c r="U170" s="99" t="s">
        <v>92</v>
      </c>
      <c r="V170" s="99" t="s">
        <v>92</v>
      </c>
      <c r="W170" s="99" t="s">
        <v>92</v>
      </c>
      <c r="X170" s="99" t="s">
        <v>92</v>
      </c>
      <c r="Y170" s="99" t="s">
        <v>93</v>
      </c>
      <c r="Z170" s="99" t="s">
        <v>92</v>
      </c>
      <c r="AA170" s="197" t="s">
        <v>93</v>
      </c>
      <c r="AB170" s="197" t="s">
        <v>3772</v>
      </c>
      <c r="AC170" s="197"/>
      <c r="AD170" s="197"/>
      <c r="AE170" s="197" t="s">
        <v>92</v>
      </c>
      <c r="AF170" s="99" t="s">
        <v>1496</v>
      </c>
      <c r="AG170" s="197" t="s">
        <v>5902</v>
      </c>
      <c r="AH170" s="197"/>
      <c r="AI170" s="459" t="s">
        <v>92</v>
      </c>
      <c r="AJ170" s="99" t="s">
        <v>7881</v>
      </c>
      <c r="AK170" s="99" t="s">
        <v>92</v>
      </c>
      <c r="AL170" s="99" t="s">
        <v>93</v>
      </c>
      <c r="AM170" s="99" t="s">
        <v>93</v>
      </c>
      <c r="AN170" s="99" t="s">
        <v>92</v>
      </c>
      <c r="AO170" s="99" t="s">
        <v>93</v>
      </c>
      <c r="AP170" s="99" t="s">
        <v>93</v>
      </c>
      <c r="AQ170" s="99" t="s">
        <v>92</v>
      </c>
      <c r="AR170" s="99" t="s">
        <v>6949</v>
      </c>
      <c r="AS170" s="99" t="s">
        <v>95</v>
      </c>
      <c r="AT170" s="99" t="s">
        <v>95</v>
      </c>
      <c r="AU170" s="99" t="s">
        <v>93</v>
      </c>
      <c r="AV170" s="99" t="s">
        <v>93</v>
      </c>
      <c r="AW170" s="99" t="s">
        <v>93</v>
      </c>
      <c r="AX170" s="99" t="s">
        <v>93</v>
      </c>
      <c r="AY170" s="99" t="s">
        <v>93</v>
      </c>
      <c r="AZ170" s="460" t="s">
        <v>93</v>
      </c>
      <c r="BA170" s="460" t="s">
        <v>93</v>
      </c>
      <c r="BB170" s="460" t="s">
        <v>92</v>
      </c>
      <c r="BC170" s="460" t="s">
        <v>92</v>
      </c>
      <c r="BD170" s="460" t="s">
        <v>92</v>
      </c>
      <c r="BE170" s="460" t="s">
        <v>92</v>
      </c>
      <c r="BF170" s="460" t="s">
        <v>93</v>
      </c>
      <c r="BG170" s="460"/>
      <c r="BH170" s="460"/>
      <c r="BI170" s="460" t="s">
        <v>92</v>
      </c>
      <c r="BJ170" s="460" t="s">
        <v>92</v>
      </c>
      <c r="BK170" s="460" t="s">
        <v>93</v>
      </c>
      <c r="BL170" s="460"/>
      <c r="BM170" s="213" t="s">
        <v>7001</v>
      </c>
      <c r="BN170" s="474"/>
      <c r="BO170" s="474"/>
      <c r="BP170" s="474"/>
      <c r="BQ170" s="475"/>
      <c r="BR170" s="475"/>
    </row>
    <row r="171" ht="15.75" customHeight="1">
      <c r="A171" s="197"/>
      <c r="B171" s="99" t="s">
        <v>7879</v>
      </c>
      <c r="C171" s="197">
        <v>39.0</v>
      </c>
      <c r="D171" s="99" t="s">
        <v>7005</v>
      </c>
      <c r="E171" s="99" t="s">
        <v>110</v>
      </c>
      <c r="F171" s="99" t="s">
        <v>7004</v>
      </c>
      <c r="G171" s="99" t="s">
        <v>3348</v>
      </c>
      <c r="H171" s="99" t="s">
        <v>3346</v>
      </c>
      <c r="I171" s="99" t="s">
        <v>1135</v>
      </c>
      <c r="J171" s="99" t="s">
        <v>92</v>
      </c>
      <c r="K171" s="197">
        <v>1998.0</v>
      </c>
      <c r="L171" s="99" t="s">
        <v>93</v>
      </c>
      <c r="M171" s="99" t="s">
        <v>93</v>
      </c>
      <c r="N171" s="99" t="s">
        <v>93</v>
      </c>
      <c r="O171" s="99" t="s">
        <v>93</v>
      </c>
      <c r="P171" s="99" t="s">
        <v>95</v>
      </c>
      <c r="Q171" s="99" t="s">
        <v>114</v>
      </c>
      <c r="R171" s="197" t="s">
        <v>5902</v>
      </c>
      <c r="S171" s="197" t="s">
        <v>93</v>
      </c>
      <c r="T171" s="197" t="s">
        <v>92</v>
      </c>
      <c r="U171" s="99" t="s">
        <v>92</v>
      </c>
      <c r="V171" s="99" t="s">
        <v>92</v>
      </c>
      <c r="W171" s="99" t="s">
        <v>92</v>
      </c>
      <c r="X171" s="99" t="s">
        <v>92</v>
      </c>
      <c r="Y171" s="99" t="s">
        <v>93</v>
      </c>
      <c r="Z171" s="99" t="s">
        <v>92</v>
      </c>
      <c r="AA171" s="197" t="s">
        <v>93</v>
      </c>
      <c r="AB171" s="197" t="s">
        <v>3772</v>
      </c>
      <c r="AC171" s="197"/>
      <c r="AD171" s="197"/>
      <c r="AE171" s="197" t="s">
        <v>93</v>
      </c>
      <c r="AF171" s="99" t="s">
        <v>7005</v>
      </c>
      <c r="AG171" s="197" t="s">
        <v>6990</v>
      </c>
      <c r="AH171" s="197"/>
      <c r="AI171" s="459" t="s">
        <v>93</v>
      </c>
      <c r="AJ171" s="99" t="s">
        <v>7881</v>
      </c>
      <c r="AK171" s="99" t="s">
        <v>92</v>
      </c>
      <c r="AL171" s="99" t="s">
        <v>93</v>
      </c>
      <c r="AM171" s="99" t="s">
        <v>93</v>
      </c>
      <c r="AN171" s="99" t="s">
        <v>92</v>
      </c>
      <c r="AO171" s="99" t="s">
        <v>93</v>
      </c>
      <c r="AP171" s="99" t="s">
        <v>93</v>
      </c>
      <c r="AQ171" s="99" t="s">
        <v>92</v>
      </c>
      <c r="AR171" s="99" t="s">
        <v>6942</v>
      </c>
      <c r="AS171" s="99" t="s">
        <v>3520</v>
      </c>
      <c r="AT171" s="99" t="s">
        <v>3451</v>
      </c>
      <c r="AU171" s="99" t="s">
        <v>92</v>
      </c>
      <c r="AV171" s="99" t="s">
        <v>92</v>
      </c>
      <c r="AW171" s="99" t="s">
        <v>92</v>
      </c>
      <c r="AX171" s="99" t="s">
        <v>93</v>
      </c>
      <c r="AY171" s="99" t="s">
        <v>92</v>
      </c>
      <c r="AZ171" s="460" t="s">
        <v>93</v>
      </c>
      <c r="BA171" s="460" t="s">
        <v>93</v>
      </c>
      <c r="BB171" s="460" t="s">
        <v>92</v>
      </c>
      <c r="BC171" s="460" t="s">
        <v>92</v>
      </c>
      <c r="BD171" s="460" t="s">
        <v>92</v>
      </c>
      <c r="BE171" s="460" t="s">
        <v>92</v>
      </c>
      <c r="BF171" s="460" t="s">
        <v>93</v>
      </c>
      <c r="BG171" s="460"/>
      <c r="BH171" s="460"/>
      <c r="BI171" s="460" t="s">
        <v>92</v>
      </c>
      <c r="BJ171" s="460" t="s">
        <v>92</v>
      </c>
      <c r="BK171" s="460" t="s">
        <v>93</v>
      </c>
      <c r="BL171" s="460"/>
      <c r="BM171" s="213" t="s">
        <v>7006</v>
      </c>
      <c r="BN171" s="474"/>
      <c r="BO171" s="474"/>
      <c r="BP171" s="474"/>
      <c r="BQ171" s="475"/>
      <c r="BR171" s="475"/>
    </row>
    <row r="172" ht="15.75" customHeight="1">
      <c r="A172" s="197"/>
      <c r="B172" s="99" t="s">
        <v>7879</v>
      </c>
      <c r="C172" s="197">
        <v>11.0</v>
      </c>
      <c r="D172" s="99" t="s">
        <v>7516</v>
      </c>
      <c r="E172" s="99" t="s">
        <v>90</v>
      </c>
      <c r="F172" s="99" t="s">
        <v>7517</v>
      </c>
      <c r="G172" s="99" t="s">
        <v>3348</v>
      </c>
      <c r="H172" s="99" t="s">
        <v>3346</v>
      </c>
      <c r="I172" s="99" t="s">
        <v>1135</v>
      </c>
      <c r="J172" s="99" t="s">
        <v>92</v>
      </c>
      <c r="K172" s="197">
        <v>2001.0</v>
      </c>
      <c r="L172" s="99" t="s">
        <v>93</v>
      </c>
      <c r="M172" s="99" t="s">
        <v>93</v>
      </c>
      <c r="N172" s="99" t="s">
        <v>93</v>
      </c>
      <c r="O172" s="99" t="s">
        <v>93</v>
      </c>
      <c r="P172" s="99" t="s">
        <v>95</v>
      </c>
      <c r="Q172" s="99" t="s">
        <v>114</v>
      </c>
      <c r="R172" s="197" t="s">
        <v>5902</v>
      </c>
      <c r="S172" s="197" t="s">
        <v>93</v>
      </c>
      <c r="T172" s="197" t="s">
        <v>92</v>
      </c>
      <c r="U172" s="99" t="s">
        <v>92</v>
      </c>
      <c r="V172" s="99" t="s">
        <v>92</v>
      </c>
      <c r="W172" s="99" t="s">
        <v>92</v>
      </c>
      <c r="X172" s="99" t="s">
        <v>92</v>
      </c>
      <c r="Y172" s="99" t="s">
        <v>93</v>
      </c>
      <c r="Z172" s="99" t="s">
        <v>92</v>
      </c>
      <c r="AA172" s="197" t="s">
        <v>93</v>
      </c>
      <c r="AB172" s="197" t="s">
        <v>3772</v>
      </c>
      <c r="AC172" s="197"/>
      <c r="AD172" s="197"/>
      <c r="AE172" s="197" t="s">
        <v>93</v>
      </c>
      <c r="AF172" s="99" t="s">
        <v>7357</v>
      </c>
      <c r="AG172" s="197" t="s">
        <v>6990</v>
      </c>
      <c r="AH172" s="197"/>
      <c r="AI172" s="459" t="s">
        <v>93</v>
      </c>
      <c r="AJ172" s="99" t="s">
        <v>7880</v>
      </c>
      <c r="AK172" s="99" t="s">
        <v>92</v>
      </c>
      <c r="AL172" s="99" t="s">
        <v>92</v>
      </c>
      <c r="AM172" s="99" t="s">
        <v>93</v>
      </c>
      <c r="AN172" s="99" t="s">
        <v>92</v>
      </c>
      <c r="AO172" s="99" t="s">
        <v>93</v>
      </c>
      <c r="AP172" s="99" t="s">
        <v>93</v>
      </c>
      <c r="AQ172" s="99" t="s">
        <v>92</v>
      </c>
      <c r="AR172" s="99" t="s">
        <v>6942</v>
      </c>
      <c r="AS172" s="99" t="s">
        <v>7026</v>
      </c>
      <c r="AT172" s="99" t="s">
        <v>3451</v>
      </c>
      <c r="AU172" s="99" t="s">
        <v>92</v>
      </c>
      <c r="AV172" s="99" t="s">
        <v>92</v>
      </c>
      <c r="AW172" s="99" t="s">
        <v>92</v>
      </c>
      <c r="AX172" s="99" t="s">
        <v>93</v>
      </c>
      <c r="AY172" s="99" t="s">
        <v>92</v>
      </c>
      <c r="AZ172" s="460" t="s">
        <v>93</v>
      </c>
      <c r="BA172" s="460" t="s">
        <v>92</v>
      </c>
      <c r="BB172" s="460" t="s">
        <v>92</v>
      </c>
      <c r="BC172" s="460" t="s">
        <v>92</v>
      </c>
      <c r="BD172" s="460" t="s">
        <v>92</v>
      </c>
      <c r="BE172" s="460" t="s">
        <v>92</v>
      </c>
      <c r="BF172" s="460" t="s">
        <v>93</v>
      </c>
      <c r="BG172" s="460"/>
      <c r="BH172" s="460"/>
      <c r="BI172" s="460" t="s">
        <v>92</v>
      </c>
      <c r="BJ172" s="460" t="s">
        <v>92</v>
      </c>
      <c r="BK172" s="460" t="s">
        <v>93</v>
      </c>
      <c r="BL172" s="460"/>
      <c r="BM172" s="213" t="s">
        <v>7358</v>
      </c>
      <c r="BN172" s="213" t="s">
        <v>7391</v>
      </c>
      <c r="BO172" s="213" t="s">
        <v>7392</v>
      </c>
      <c r="BP172" s="213" t="s">
        <v>7393</v>
      </c>
      <c r="BQ172" s="475"/>
      <c r="BR172" s="475"/>
    </row>
    <row r="173" ht="15.75" customHeight="1">
      <c r="A173" s="197"/>
      <c r="B173" s="99" t="s">
        <v>7879</v>
      </c>
      <c r="C173" s="197">
        <v>24.0</v>
      </c>
      <c r="D173" s="99" t="s">
        <v>7305</v>
      </c>
      <c r="E173" s="99" t="s">
        <v>90</v>
      </c>
      <c r="F173" s="99" t="s">
        <v>7306</v>
      </c>
      <c r="G173" s="99" t="s">
        <v>3348</v>
      </c>
      <c r="H173" s="99" t="s">
        <v>3346</v>
      </c>
      <c r="I173" s="99" t="s">
        <v>1135</v>
      </c>
      <c r="J173" s="99" t="s">
        <v>92</v>
      </c>
      <c r="K173" s="197">
        <v>2021.0</v>
      </c>
      <c r="L173" s="99" t="s">
        <v>92</v>
      </c>
      <c r="M173" s="99" t="s">
        <v>93</v>
      </c>
      <c r="N173" s="99" t="s">
        <v>93</v>
      </c>
      <c r="O173" s="99" t="s">
        <v>93</v>
      </c>
      <c r="P173" s="99" t="s">
        <v>95</v>
      </c>
      <c r="Q173" s="99" t="s">
        <v>114</v>
      </c>
      <c r="R173" s="197" t="s">
        <v>5902</v>
      </c>
      <c r="S173" s="197" t="s">
        <v>93</v>
      </c>
      <c r="T173" s="197" t="s">
        <v>92</v>
      </c>
      <c r="U173" s="99" t="s">
        <v>92</v>
      </c>
      <c r="V173" s="99" t="s">
        <v>92</v>
      </c>
      <c r="W173" s="99" t="s">
        <v>92</v>
      </c>
      <c r="X173" s="99" t="s">
        <v>92</v>
      </c>
      <c r="Y173" s="99" t="s">
        <v>93</v>
      </c>
      <c r="Z173" s="99" t="s">
        <v>92</v>
      </c>
      <c r="AA173" s="197" t="s">
        <v>93</v>
      </c>
      <c r="AB173" s="197" t="s">
        <v>3772</v>
      </c>
      <c r="AC173" s="197"/>
      <c r="AD173" s="197"/>
      <c r="AE173" s="197" t="s">
        <v>93</v>
      </c>
      <c r="AF173" s="99" t="s">
        <v>7307</v>
      </c>
      <c r="AG173" s="197" t="s">
        <v>6990</v>
      </c>
      <c r="AH173" s="197"/>
      <c r="AI173" s="459" t="s">
        <v>93</v>
      </c>
      <c r="AJ173" s="99" t="s">
        <v>7880</v>
      </c>
      <c r="AK173" s="99" t="s">
        <v>92</v>
      </c>
      <c r="AL173" s="99" t="s">
        <v>92</v>
      </c>
      <c r="AM173" s="99" t="s">
        <v>93</v>
      </c>
      <c r="AN173" s="99" t="s">
        <v>92</v>
      </c>
      <c r="AO173" s="99" t="s">
        <v>93</v>
      </c>
      <c r="AP173" s="99" t="s">
        <v>93</v>
      </c>
      <c r="AQ173" s="99" t="s">
        <v>92</v>
      </c>
      <c r="AR173" s="99" t="s">
        <v>6942</v>
      </c>
      <c r="AS173" s="99" t="s">
        <v>7308</v>
      </c>
      <c r="AT173" s="99" t="s">
        <v>7309</v>
      </c>
      <c r="AU173" s="99" t="s">
        <v>92</v>
      </c>
      <c r="AV173" s="99" t="s">
        <v>92</v>
      </c>
      <c r="AW173" s="99" t="s">
        <v>92</v>
      </c>
      <c r="AX173" s="99" t="s">
        <v>93</v>
      </c>
      <c r="AY173" s="99" t="s">
        <v>93</v>
      </c>
      <c r="AZ173" s="460" t="s">
        <v>93</v>
      </c>
      <c r="BA173" s="460" t="s">
        <v>92</v>
      </c>
      <c r="BB173" s="460" t="s">
        <v>92</v>
      </c>
      <c r="BC173" s="460" t="s">
        <v>92</v>
      </c>
      <c r="BD173" s="460" t="s">
        <v>92</v>
      </c>
      <c r="BE173" s="460" t="s">
        <v>92</v>
      </c>
      <c r="BF173" s="460" t="s">
        <v>93</v>
      </c>
      <c r="BG173" s="460"/>
      <c r="BH173" s="460"/>
      <c r="BI173" s="460" t="s">
        <v>92</v>
      </c>
      <c r="BJ173" s="460" t="s">
        <v>92</v>
      </c>
      <c r="BK173" s="460" t="s">
        <v>93</v>
      </c>
      <c r="BL173" s="460"/>
      <c r="BM173" s="213" t="s">
        <v>7310</v>
      </c>
      <c r="BN173" s="213" t="s">
        <v>7311</v>
      </c>
      <c r="BO173" s="470"/>
      <c r="BP173" s="470"/>
      <c r="BQ173" s="475"/>
      <c r="BR173" s="475"/>
    </row>
    <row r="174" ht="15.75" customHeight="1">
      <c r="A174" s="197"/>
      <c r="B174" s="99" t="s">
        <v>7879</v>
      </c>
      <c r="C174" s="197">
        <v>127.0</v>
      </c>
      <c r="D174" s="99" t="s">
        <v>7508</v>
      </c>
      <c r="E174" s="99" t="s">
        <v>189</v>
      </c>
      <c r="F174" s="99" t="s">
        <v>7509</v>
      </c>
      <c r="G174" s="99" t="s">
        <v>3346</v>
      </c>
      <c r="H174" s="99" t="s">
        <v>95</v>
      </c>
      <c r="I174" s="99" t="s">
        <v>94</v>
      </c>
      <c r="J174" s="99" t="s">
        <v>92</v>
      </c>
      <c r="K174" s="197">
        <v>2022.0</v>
      </c>
      <c r="L174" s="99" t="s">
        <v>92</v>
      </c>
      <c r="M174" s="99" t="s">
        <v>92</v>
      </c>
      <c r="N174" s="99" t="s">
        <v>93</v>
      </c>
      <c r="O174" s="99" t="s">
        <v>93</v>
      </c>
      <c r="P174" s="99" t="s">
        <v>95</v>
      </c>
      <c r="Q174" s="99" t="s">
        <v>114</v>
      </c>
      <c r="R174" s="197" t="s">
        <v>5902</v>
      </c>
      <c r="S174" s="197" t="s">
        <v>93</v>
      </c>
      <c r="T174" s="197" t="s">
        <v>92</v>
      </c>
      <c r="U174" s="99" t="s">
        <v>92</v>
      </c>
      <c r="V174" s="99" t="s">
        <v>92</v>
      </c>
      <c r="W174" s="99" t="s">
        <v>92</v>
      </c>
      <c r="X174" s="99" t="s">
        <v>92</v>
      </c>
      <c r="Y174" s="99" t="s">
        <v>93</v>
      </c>
      <c r="Z174" s="99" t="s">
        <v>92</v>
      </c>
      <c r="AA174" s="197" t="s">
        <v>93</v>
      </c>
      <c r="AB174" s="197" t="s">
        <v>3772</v>
      </c>
      <c r="AC174" s="197"/>
      <c r="AD174" s="197"/>
      <c r="AE174" s="197" t="s">
        <v>93</v>
      </c>
      <c r="AF174" s="99" t="s">
        <v>7882</v>
      </c>
      <c r="AG174" s="197" t="s">
        <v>6990</v>
      </c>
      <c r="AH174" s="197"/>
      <c r="AI174" s="459" t="s">
        <v>93</v>
      </c>
      <c r="AJ174" s="99" t="s">
        <v>3410</v>
      </c>
      <c r="AK174" s="99" t="s">
        <v>92</v>
      </c>
      <c r="AL174" s="99" t="s">
        <v>92</v>
      </c>
      <c r="AM174" s="99" t="s">
        <v>92</v>
      </c>
      <c r="AN174" s="99" t="s">
        <v>92</v>
      </c>
      <c r="AO174" s="99" t="s">
        <v>92</v>
      </c>
      <c r="AP174" s="99" t="s">
        <v>93</v>
      </c>
      <c r="AQ174" s="99" t="s">
        <v>92</v>
      </c>
      <c r="AR174" s="99" t="s">
        <v>6949</v>
      </c>
      <c r="AS174" s="99" t="s">
        <v>95</v>
      </c>
      <c r="AT174" s="99" t="s">
        <v>95</v>
      </c>
      <c r="AU174" s="99" t="s">
        <v>93</v>
      </c>
      <c r="AV174" s="99" t="s">
        <v>93</v>
      </c>
      <c r="AW174" s="99" t="s">
        <v>93</v>
      </c>
      <c r="AX174" s="99" t="s">
        <v>93</v>
      </c>
      <c r="AY174" s="99" t="s">
        <v>93</v>
      </c>
      <c r="AZ174" s="460" t="s">
        <v>93</v>
      </c>
      <c r="BA174" s="460" t="s">
        <v>92</v>
      </c>
      <c r="BB174" s="460" t="s">
        <v>92</v>
      </c>
      <c r="BC174" s="460" t="s">
        <v>92</v>
      </c>
      <c r="BD174" s="460" t="s">
        <v>92</v>
      </c>
      <c r="BE174" s="460" t="s">
        <v>92</v>
      </c>
      <c r="BF174" s="460" t="s">
        <v>92</v>
      </c>
      <c r="BG174" s="460"/>
      <c r="BH174" s="460"/>
      <c r="BI174" s="460" t="s">
        <v>93</v>
      </c>
      <c r="BJ174" s="460" t="s">
        <v>92</v>
      </c>
      <c r="BK174" s="460" t="s">
        <v>93</v>
      </c>
      <c r="BL174" s="460"/>
      <c r="BM174" s="213" t="s">
        <v>7511</v>
      </c>
      <c r="BN174" s="213" t="s">
        <v>7512</v>
      </c>
      <c r="BO174" s="213" t="s">
        <v>7513</v>
      </c>
      <c r="BP174" s="213" t="s">
        <v>7514</v>
      </c>
      <c r="BQ174" s="475"/>
      <c r="BR174" s="475"/>
    </row>
    <row r="175" ht="15.75" customHeight="1">
      <c r="A175" s="197"/>
      <c r="B175" s="99" t="s">
        <v>7879</v>
      </c>
      <c r="C175" s="197">
        <v>271.0</v>
      </c>
      <c r="D175" s="99" t="s">
        <v>7748</v>
      </c>
      <c r="E175" s="99" t="s">
        <v>189</v>
      </c>
      <c r="F175" s="99" t="s">
        <v>7749</v>
      </c>
      <c r="G175" s="99" t="s">
        <v>3346</v>
      </c>
      <c r="H175" s="99" t="s">
        <v>95</v>
      </c>
      <c r="I175" s="99" t="s">
        <v>94</v>
      </c>
      <c r="J175" s="99" t="s">
        <v>92</v>
      </c>
      <c r="K175" s="197">
        <v>2023.0</v>
      </c>
      <c r="L175" s="99" t="s">
        <v>92</v>
      </c>
      <c r="M175" s="99" t="s">
        <v>92</v>
      </c>
      <c r="N175" s="99" t="s">
        <v>92</v>
      </c>
      <c r="O175" s="99" t="s">
        <v>93</v>
      </c>
      <c r="P175" s="99">
        <v>2023.0</v>
      </c>
      <c r="Q175" s="99" t="s">
        <v>96</v>
      </c>
      <c r="R175" s="197" t="s">
        <v>5902</v>
      </c>
      <c r="S175" s="197" t="s">
        <v>93</v>
      </c>
      <c r="T175" s="197" t="s">
        <v>92</v>
      </c>
      <c r="U175" s="99" t="s">
        <v>92</v>
      </c>
      <c r="V175" s="99" t="s">
        <v>92</v>
      </c>
      <c r="W175" s="99" t="s">
        <v>92</v>
      </c>
      <c r="X175" s="99" t="s">
        <v>92</v>
      </c>
      <c r="Y175" s="99" t="s">
        <v>93</v>
      </c>
      <c r="Z175" s="99" t="s">
        <v>92</v>
      </c>
      <c r="AA175" s="197" t="s">
        <v>93</v>
      </c>
      <c r="AB175" s="197" t="s">
        <v>3772</v>
      </c>
      <c r="AC175" s="197"/>
      <c r="AD175" s="197"/>
      <c r="AE175" s="197" t="s">
        <v>93</v>
      </c>
      <c r="AF175" s="99" t="s">
        <v>7750</v>
      </c>
      <c r="AG175" s="197" t="s">
        <v>6990</v>
      </c>
      <c r="AH175" s="197"/>
      <c r="AI175" s="459" t="s">
        <v>92</v>
      </c>
      <c r="AJ175" s="99" t="s">
        <v>3410</v>
      </c>
      <c r="AK175" s="99" t="s">
        <v>92</v>
      </c>
      <c r="AL175" s="99" t="s">
        <v>92</v>
      </c>
      <c r="AM175" s="99" t="s">
        <v>92</v>
      </c>
      <c r="AN175" s="99" t="s">
        <v>92</v>
      </c>
      <c r="AO175" s="99" t="s">
        <v>92</v>
      </c>
      <c r="AP175" s="99" t="s">
        <v>93</v>
      </c>
      <c r="AQ175" s="99" t="s">
        <v>92</v>
      </c>
      <c r="AR175" s="99" t="s">
        <v>6942</v>
      </c>
      <c r="AS175" s="99" t="s">
        <v>3818</v>
      </c>
      <c r="AT175" s="99" t="s">
        <v>3449</v>
      </c>
      <c r="AU175" s="99" t="s">
        <v>92</v>
      </c>
      <c r="AV175" s="99" t="s">
        <v>93</v>
      </c>
      <c r="AW175" s="99" t="s">
        <v>92</v>
      </c>
      <c r="AX175" s="99" t="s">
        <v>92</v>
      </c>
      <c r="AY175" s="99" t="s">
        <v>92</v>
      </c>
      <c r="AZ175" s="460" t="s">
        <v>93</v>
      </c>
      <c r="BA175" s="460" t="s">
        <v>92</v>
      </c>
      <c r="BB175" s="460" t="s">
        <v>92</v>
      </c>
      <c r="BC175" s="460" t="s">
        <v>92</v>
      </c>
      <c r="BD175" s="460" t="s">
        <v>92</v>
      </c>
      <c r="BE175" s="460" t="s">
        <v>92</v>
      </c>
      <c r="BF175" s="460" t="s">
        <v>92</v>
      </c>
      <c r="BG175" s="460"/>
      <c r="BH175" s="460"/>
      <c r="BI175" s="460" t="s">
        <v>92</v>
      </c>
      <c r="BJ175" s="460" t="s">
        <v>92</v>
      </c>
      <c r="BK175" s="460" t="s">
        <v>92</v>
      </c>
      <c r="BL175" s="460"/>
      <c r="BM175" s="213" t="s">
        <v>7752</v>
      </c>
      <c r="BN175" s="213" t="s">
        <v>7753</v>
      </c>
      <c r="BO175" s="470"/>
      <c r="BP175" s="470"/>
      <c r="BQ175" s="475"/>
      <c r="BR175" s="475"/>
    </row>
    <row r="176" ht="15.75" customHeight="1">
      <c r="A176" s="197"/>
      <c r="B176" s="99" t="s">
        <v>7879</v>
      </c>
      <c r="C176" s="197">
        <v>272.0</v>
      </c>
      <c r="D176" s="99" t="s">
        <v>7754</v>
      </c>
      <c r="E176" s="99" t="s">
        <v>189</v>
      </c>
      <c r="F176" s="99" t="s">
        <v>7755</v>
      </c>
      <c r="G176" s="99" t="s">
        <v>3346</v>
      </c>
      <c r="H176" s="99" t="s">
        <v>95</v>
      </c>
      <c r="I176" s="99" t="s">
        <v>94</v>
      </c>
      <c r="J176" s="99" t="s">
        <v>92</v>
      </c>
      <c r="K176" s="197">
        <v>2023.0</v>
      </c>
      <c r="L176" s="99" t="s">
        <v>92</v>
      </c>
      <c r="M176" s="99" t="s">
        <v>92</v>
      </c>
      <c r="N176" s="99" t="s">
        <v>92</v>
      </c>
      <c r="O176" s="99" t="s">
        <v>93</v>
      </c>
      <c r="P176" s="99">
        <v>2023.0</v>
      </c>
      <c r="Q176" s="99" t="s">
        <v>96</v>
      </c>
      <c r="R176" s="197" t="s">
        <v>5902</v>
      </c>
      <c r="S176" s="197" t="s">
        <v>93</v>
      </c>
      <c r="T176" s="197" t="s">
        <v>92</v>
      </c>
      <c r="U176" s="99" t="s">
        <v>92</v>
      </c>
      <c r="V176" s="99" t="s">
        <v>92</v>
      </c>
      <c r="W176" s="99" t="s">
        <v>92</v>
      </c>
      <c r="X176" s="99" t="s">
        <v>92</v>
      </c>
      <c r="Y176" s="99" t="s">
        <v>93</v>
      </c>
      <c r="Z176" s="99" t="s">
        <v>92</v>
      </c>
      <c r="AA176" s="197" t="s">
        <v>93</v>
      </c>
      <c r="AB176" s="197" t="s">
        <v>3772</v>
      </c>
      <c r="AC176" s="197"/>
      <c r="AD176" s="197"/>
      <c r="AE176" s="197" t="s">
        <v>93</v>
      </c>
      <c r="AF176" s="99" t="s">
        <v>7756</v>
      </c>
      <c r="AG176" s="197" t="s">
        <v>6990</v>
      </c>
      <c r="AH176" s="197"/>
      <c r="AI176" s="459" t="s">
        <v>92</v>
      </c>
      <c r="AJ176" s="99" t="s">
        <v>3410</v>
      </c>
      <c r="AK176" s="99" t="s">
        <v>92</v>
      </c>
      <c r="AL176" s="99" t="s">
        <v>92</v>
      </c>
      <c r="AM176" s="99" t="s">
        <v>92</v>
      </c>
      <c r="AN176" s="99" t="s">
        <v>92</v>
      </c>
      <c r="AO176" s="99" t="s">
        <v>92</v>
      </c>
      <c r="AP176" s="99" t="s">
        <v>93</v>
      </c>
      <c r="AQ176" s="99" t="s">
        <v>92</v>
      </c>
      <c r="AR176" s="99" t="s">
        <v>6942</v>
      </c>
      <c r="AS176" s="99" t="s">
        <v>3520</v>
      </c>
      <c r="AT176" s="99" t="s">
        <v>3451</v>
      </c>
      <c r="AU176" s="99" t="s">
        <v>92</v>
      </c>
      <c r="AV176" s="99" t="s">
        <v>92</v>
      </c>
      <c r="AW176" s="99" t="s">
        <v>92</v>
      </c>
      <c r="AX176" s="99" t="s">
        <v>93</v>
      </c>
      <c r="AY176" s="99" t="s">
        <v>92</v>
      </c>
      <c r="AZ176" s="460" t="s">
        <v>93</v>
      </c>
      <c r="BA176" s="460" t="s">
        <v>92</v>
      </c>
      <c r="BB176" s="460" t="s">
        <v>92</v>
      </c>
      <c r="BC176" s="460" t="s">
        <v>92</v>
      </c>
      <c r="BD176" s="460" t="s">
        <v>92</v>
      </c>
      <c r="BE176" s="460" t="s">
        <v>92</v>
      </c>
      <c r="BF176" s="460" t="s">
        <v>92</v>
      </c>
      <c r="BG176" s="460"/>
      <c r="BH176" s="460"/>
      <c r="BI176" s="460" t="s">
        <v>92</v>
      </c>
      <c r="BJ176" s="460" t="s">
        <v>92</v>
      </c>
      <c r="BK176" s="460" t="s">
        <v>92</v>
      </c>
      <c r="BL176" s="460"/>
      <c r="BM176" s="213" t="s">
        <v>7757</v>
      </c>
      <c r="BN176" s="470"/>
      <c r="BO176" s="470"/>
      <c r="BP176" s="470"/>
      <c r="BQ176" s="475"/>
      <c r="BR176" s="475"/>
    </row>
    <row r="177" ht="15.75" customHeight="1">
      <c r="A177" s="197"/>
      <c r="B177" s="99" t="s">
        <v>7879</v>
      </c>
      <c r="C177" s="197">
        <v>273.0</v>
      </c>
      <c r="D177" s="99" t="s">
        <v>7758</v>
      </c>
      <c r="E177" s="99" t="s">
        <v>189</v>
      </c>
      <c r="F177" s="99" t="s">
        <v>7759</v>
      </c>
      <c r="G177" s="99" t="s">
        <v>3346</v>
      </c>
      <c r="H177" s="99" t="s">
        <v>95</v>
      </c>
      <c r="I177" s="99" t="s">
        <v>94</v>
      </c>
      <c r="J177" s="99" t="s">
        <v>92</v>
      </c>
      <c r="K177" s="197">
        <v>2023.0</v>
      </c>
      <c r="L177" s="99" t="s">
        <v>92</v>
      </c>
      <c r="M177" s="99" t="s">
        <v>92</v>
      </c>
      <c r="N177" s="99" t="s">
        <v>92</v>
      </c>
      <c r="O177" s="99" t="s">
        <v>93</v>
      </c>
      <c r="P177" s="99">
        <v>2023.0</v>
      </c>
      <c r="Q177" s="99" t="s">
        <v>96</v>
      </c>
      <c r="R177" s="197" t="s">
        <v>5902</v>
      </c>
      <c r="S177" s="197" t="s">
        <v>93</v>
      </c>
      <c r="T177" s="197" t="s">
        <v>92</v>
      </c>
      <c r="U177" s="99" t="s">
        <v>92</v>
      </c>
      <c r="V177" s="99" t="s">
        <v>92</v>
      </c>
      <c r="W177" s="99" t="s">
        <v>92</v>
      </c>
      <c r="X177" s="99" t="s">
        <v>92</v>
      </c>
      <c r="Y177" s="99" t="s">
        <v>93</v>
      </c>
      <c r="Z177" s="99" t="s">
        <v>92</v>
      </c>
      <c r="AA177" s="197" t="s">
        <v>93</v>
      </c>
      <c r="AB177" s="197" t="s">
        <v>3772</v>
      </c>
      <c r="AC177" s="197"/>
      <c r="AD177" s="197"/>
      <c r="AE177" s="197" t="s">
        <v>93</v>
      </c>
      <c r="AF177" s="99" t="s">
        <v>7760</v>
      </c>
      <c r="AG177" s="197" t="s">
        <v>6990</v>
      </c>
      <c r="AH177" s="197"/>
      <c r="AI177" s="459" t="s">
        <v>92</v>
      </c>
      <c r="AJ177" s="99" t="s">
        <v>3410</v>
      </c>
      <c r="AK177" s="99" t="s">
        <v>92</v>
      </c>
      <c r="AL177" s="99" t="s">
        <v>92</v>
      </c>
      <c r="AM177" s="99" t="s">
        <v>92</v>
      </c>
      <c r="AN177" s="99" t="s">
        <v>92</v>
      </c>
      <c r="AO177" s="99" t="s">
        <v>92</v>
      </c>
      <c r="AP177" s="99" t="s">
        <v>93</v>
      </c>
      <c r="AQ177" s="99" t="s">
        <v>92</v>
      </c>
      <c r="AR177" s="99" t="s">
        <v>6942</v>
      </c>
      <c r="AS177" s="99" t="s">
        <v>6884</v>
      </c>
      <c r="AT177" s="99" t="s">
        <v>3449</v>
      </c>
      <c r="AU177" s="99" t="s">
        <v>92</v>
      </c>
      <c r="AV177" s="99" t="s">
        <v>93</v>
      </c>
      <c r="AW177" s="99" t="s">
        <v>92</v>
      </c>
      <c r="AX177" s="99" t="s">
        <v>92</v>
      </c>
      <c r="AY177" s="99" t="s">
        <v>92</v>
      </c>
      <c r="AZ177" s="460" t="s">
        <v>93</v>
      </c>
      <c r="BA177" s="460" t="s">
        <v>92</v>
      </c>
      <c r="BB177" s="460" t="s">
        <v>92</v>
      </c>
      <c r="BC177" s="460" t="s">
        <v>92</v>
      </c>
      <c r="BD177" s="460" t="s">
        <v>92</v>
      </c>
      <c r="BE177" s="460" t="s">
        <v>92</v>
      </c>
      <c r="BF177" s="460" t="s">
        <v>92</v>
      </c>
      <c r="BG177" s="460"/>
      <c r="BH177" s="460"/>
      <c r="BI177" s="460" t="s">
        <v>92</v>
      </c>
      <c r="BJ177" s="460" t="s">
        <v>93</v>
      </c>
      <c r="BK177" s="460" t="s">
        <v>92</v>
      </c>
      <c r="BL177" s="460"/>
      <c r="BM177" s="213" t="s">
        <v>7761</v>
      </c>
      <c r="BN177" s="470"/>
      <c r="BO177" s="470"/>
      <c r="BP177" s="470"/>
      <c r="BQ177" s="475"/>
      <c r="BR177" s="475"/>
    </row>
    <row r="178" ht="15.75" customHeight="1">
      <c r="A178" s="197"/>
      <c r="B178" s="99" t="s">
        <v>7879</v>
      </c>
      <c r="C178" s="197">
        <v>274.0</v>
      </c>
      <c r="D178" s="99" t="s">
        <v>2528</v>
      </c>
      <c r="E178" s="99" t="s">
        <v>110</v>
      </c>
      <c r="F178" s="99" t="s">
        <v>7762</v>
      </c>
      <c r="G178" s="99" t="s">
        <v>3348</v>
      </c>
      <c r="H178" s="99" t="s">
        <v>3346</v>
      </c>
      <c r="I178" s="99" t="s">
        <v>94</v>
      </c>
      <c r="J178" s="99" t="s">
        <v>92</v>
      </c>
      <c r="K178" s="197">
        <v>2013.0</v>
      </c>
      <c r="L178" s="99" t="s">
        <v>93</v>
      </c>
      <c r="M178" s="99" t="s">
        <v>93</v>
      </c>
      <c r="N178" s="99" t="s">
        <v>93</v>
      </c>
      <c r="O178" s="99" t="s">
        <v>93</v>
      </c>
      <c r="P178" s="99" t="s">
        <v>95</v>
      </c>
      <c r="Q178" s="99" t="s">
        <v>114</v>
      </c>
      <c r="R178" s="197" t="s">
        <v>5902</v>
      </c>
      <c r="S178" s="197" t="s">
        <v>93</v>
      </c>
      <c r="T178" s="197" t="s">
        <v>92</v>
      </c>
      <c r="U178" s="99" t="s">
        <v>92</v>
      </c>
      <c r="V178" s="99" t="s">
        <v>92</v>
      </c>
      <c r="W178" s="99" t="s">
        <v>92</v>
      </c>
      <c r="X178" s="99" t="s">
        <v>92</v>
      </c>
      <c r="Y178" s="99" t="s">
        <v>93</v>
      </c>
      <c r="Z178" s="99" t="s">
        <v>92</v>
      </c>
      <c r="AA178" s="197" t="s">
        <v>93</v>
      </c>
      <c r="AB178" s="197" t="s">
        <v>3772</v>
      </c>
      <c r="AC178" s="197"/>
      <c r="AD178" s="197"/>
      <c r="AE178" s="197" t="s">
        <v>93</v>
      </c>
      <c r="AF178" s="99" t="s">
        <v>7883</v>
      </c>
      <c r="AG178" s="197" t="s">
        <v>6941</v>
      </c>
      <c r="AH178" s="197"/>
      <c r="AI178" s="459" t="s">
        <v>93</v>
      </c>
      <c r="AJ178" s="99" t="s">
        <v>7881</v>
      </c>
      <c r="AK178" s="99" t="s">
        <v>92</v>
      </c>
      <c r="AL178" s="99" t="s">
        <v>93</v>
      </c>
      <c r="AM178" s="99" t="s">
        <v>93</v>
      </c>
      <c r="AN178" s="99" t="s">
        <v>92</v>
      </c>
      <c r="AO178" s="99" t="s">
        <v>93</v>
      </c>
      <c r="AP178" s="99" t="s">
        <v>93</v>
      </c>
      <c r="AQ178" s="99" t="s">
        <v>92</v>
      </c>
      <c r="AR178" s="99" t="s">
        <v>6949</v>
      </c>
      <c r="AS178" s="99" t="s">
        <v>95</v>
      </c>
      <c r="AT178" s="99" t="s">
        <v>95</v>
      </c>
      <c r="AU178" s="99" t="s">
        <v>93</v>
      </c>
      <c r="AV178" s="99" t="s">
        <v>93</v>
      </c>
      <c r="AW178" s="99" t="s">
        <v>93</v>
      </c>
      <c r="AX178" s="99" t="s">
        <v>93</v>
      </c>
      <c r="AY178" s="99" t="s">
        <v>93</v>
      </c>
      <c r="AZ178" s="460" t="s">
        <v>93</v>
      </c>
      <c r="BA178" s="460" t="s">
        <v>92</v>
      </c>
      <c r="BB178" s="460" t="s">
        <v>92</v>
      </c>
      <c r="BC178" s="460" t="s">
        <v>92</v>
      </c>
      <c r="BD178" s="460" t="s">
        <v>92</v>
      </c>
      <c r="BE178" s="460" t="s">
        <v>92</v>
      </c>
      <c r="BF178" s="460" t="s">
        <v>93</v>
      </c>
      <c r="BG178" s="460"/>
      <c r="BH178" s="460"/>
      <c r="BI178" s="460" t="s">
        <v>92</v>
      </c>
      <c r="BJ178" s="460" t="s">
        <v>92</v>
      </c>
      <c r="BK178" s="460" t="s">
        <v>93</v>
      </c>
      <c r="BL178" s="460"/>
      <c r="BM178" s="213" t="s">
        <v>7763</v>
      </c>
      <c r="BN178" s="213" t="s">
        <v>2532</v>
      </c>
      <c r="BO178" s="213" t="s">
        <v>7764</v>
      </c>
      <c r="BP178" s="470"/>
      <c r="BQ178" s="475"/>
      <c r="BR178" s="475"/>
    </row>
    <row r="179" ht="15.75" customHeight="1">
      <c r="A179" s="197"/>
      <c r="B179" s="99" t="s">
        <v>7879</v>
      </c>
      <c r="C179" s="197">
        <v>276.0</v>
      </c>
      <c r="D179" s="99" t="s">
        <v>7765</v>
      </c>
      <c r="E179" s="99" t="s">
        <v>189</v>
      </c>
      <c r="F179" s="99" t="s">
        <v>7766</v>
      </c>
      <c r="G179" s="99" t="s">
        <v>3346</v>
      </c>
      <c r="H179" s="99" t="s">
        <v>95</v>
      </c>
      <c r="I179" s="99" t="s">
        <v>94</v>
      </c>
      <c r="J179" s="99" t="s">
        <v>92</v>
      </c>
      <c r="K179" s="197">
        <v>2023.0</v>
      </c>
      <c r="L179" s="99" t="s">
        <v>92</v>
      </c>
      <c r="M179" s="99" t="s">
        <v>92</v>
      </c>
      <c r="N179" s="99" t="s">
        <v>92</v>
      </c>
      <c r="O179" s="99" t="s">
        <v>93</v>
      </c>
      <c r="P179" s="99">
        <v>2023.0</v>
      </c>
      <c r="Q179" s="99" t="s">
        <v>96</v>
      </c>
      <c r="R179" s="197" t="s">
        <v>5902</v>
      </c>
      <c r="S179" s="197" t="s">
        <v>93</v>
      </c>
      <c r="T179" s="197" t="s">
        <v>92</v>
      </c>
      <c r="U179" s="99" t="s">
        <v>92</v>
      </c>
      <c r="V179" s="99" t="s">
        <v>92</v>
      </c>
      <c r="W179" s="99" t="s">
        <v>92</v>
      </c>
      <c r="X179" s="99" t="s">
        <v>92</v>
      </c>
      <c r="Y179" s="99" t="s">
        <v>93</v>
      </c>
      <c r="Z179" s="99" t="s">
        <v>92</v>
      </c>
      <c r="AA179" s="197" t="s">
        <v>93</v>
      </c>
      <c r="AB179" s="197" t="s">
        <v>3772</v>
      </c>
      <c r="AC179" s="197"/>
      <c r="AD179" s="197"/>
      <c r="AE179" s="197" t="s">
        <v>93</v>
      </c>
      <c r="AF179" s="99" t="s">
        <v>1850</v>
      </c>
      <c r="AG179" s="197" t="s">
        <v>6990</v>
      </c>
      <c r="AH179" s="197"/>
      <c r="AI179" s="459" t="s">
        <v>93</v>
      </c>
      <c r="AJ179" s="99" t="s">
        <v>3410</v>
      </c>
      <c r="AK179" s="99" t="s">
        <v>92</v>
      </c>
      <c r="AL179" s="99" t="s">
        <v>92</v>
      </c>
      <c r="AM179" s="99" t="s">
        <v>92</v>
      </c>
      <c r="AN179" s="99" t="s">
        <v>92</v>
      </c>
      <c r="AO179" s="99" t="s">
        <v>92</v>
      </c>
      <c r="AP179" s="99" t="s">
        <v>93</v>
      </c>
      <c r="AQ179" s="99" t="s">
        <v>92</v>
      </c>
      <c r="AR179" s="99" t="s">
        <v>6942</v>
      </c>
      <c r="AS179" s="99" t="s">
        <v>7767</v>
      </c>
      <c r="AT179" s="99" t="s">
        <v>7768</v>
      </c>
      <c r="AU179" s="99" t="s">
        <v>92</v>
      </c>
      <c r="AV179" s="99" t="s">
        <v>93</v>
      </c>
      <c r="AW179" s="99" t="s">
        <v>93</v>
      </c>
      <c r="AX179" s="99" t="s">
        <v>92</v>
      </c>
      <c r="AY179" s="99" t="s">
        <v>92</v>
      </c>
      <c r="AZ179" s="460" t="s">
        <v>93</v>
      </c>
      <c r="BA179" s="460" t="s">
        <v>92</v>
      </c>
      <c r="BB179" s="460" t="s">
        <v>92</v>
      </c>
      <c r="BC179" s="460" t="s">
        <v>92</v>
      </c>
      <c r="BD179" s="460" t="s">
        <v>92</v>
      </c>
      <c r="BE179" s="460" t="s">
        <v>92</v>
      </c>
      <c r="BF179" s="460" t="s">
        <v>92</v>
      </c>
      <c r="BG179" s="460"/>
      <c r="BH179" s="460"/>
      <c r="BI179" s="460" t="s">
        <v>92</v>
      </c>
      <c r="BJ179" s="460" t="s">
        <v>93</v>
      </c>
      <c r="BK179" s="460" t="s">
        <v>92</v>
      </c>
      <c r="BL179" s="460"/>
      <c r="BM179" s="213" t="s">
        <v>7769</v>
      </c>
      <c r="BN179" s="470"/>
      <c r="BO179" s="470"/>
      <c r="BP179" s="470"/>
      <c r="BQ179" s="475"/>
      <c r="BR179" s="475"/>
    </row>
    <row r="180" ht="15.75" customHeight="1">
      <c r="A180" s="197"/>
      <c r="B180" s="99" t="s">
        <v>7879</v>
      </c>
      <c r="C180" s="197">
        <v>277.0</v>
      </c>
      <c r="D180" s="99" t="s">
        <v>7770</v>
      </c>
      <c r="E180" s="99" t="s">
        <v>189</v>
      </c>
      <c r="F180" s="99" t="s">
        <v>7771</v>
      </c>
      <c r="G180" s="99" t="s">
        <v>3346</v>
      </c>
      <c r="H180" s="99" t="s">
        <v>95</v>
      </c>
      <c r="I180" s="99" t="s">
        <v>94</v>
      </c>
      <c r="J180" s="99" t="s">
        <v>92</v>
      </c>
      <c r="K180" s="197">
        <v>2023.0</v>
      </c>
      <c r="L180" s="99" t="s">
        <v>92</v>
      </c>
      <c r="M180" s="99" t="s">
        <v>92</v>
      </c>
      <c r="N180" s="99" t="s">
        <v>92</v>
      </c>
      <c r="O180" s="99" t="s">
        <v>93</v>
      </c>
      <c r="P180" s="99">
        <v>2023.0</v>
      </c>
      <c r="Q180" s="99" t="s">
        <v>96</v>
      </c>
      <c r="R180" s="197" t="s">
        <v>5902</v>
      </c>
      <c r="S180" s="197" t="s">
        <v>93</v>
      </c>
      <c r="T180" s="197" t="s">
        <v>92</v>
      </c>
      <c r="U180" s="99" t="s">
        <v>92</v>
      </c>
      <c r="V180" s="99" t="s">
        <v>92</v>
      </c>
      <c r="W180" s="99" t="s">
        <v>92</v>
      </c>
      <c r="X180" s="99" t="s">
        <v>92</v>
      </c>
      <c r="Y180" s="99" t="s">
        <v>93</v>
      </c>
      <c r="Z180" s="99" t="s">
        <v>92</v>
      </c>
      <c r="AA180" s="197" t="s">
        <v>93</v>
      </c>
      <c r="AB180" s="197" t="s">
        <v>3772</v>
      </c>
      <c r="AC180" s="197"/>
      <c r="AD180" s="197"/>
      <c r="AE180" s="197" t="s">
        <v>93</v>
      </c>
      <c r="AF180" s="99" t="s">
        <v>7772</v>
      </c>
      <c r="AG180" s="197" t="s">
        <v>6990</v>
      </c>
      <c r="AH180" s="197"/>
      <c r="AI180" s="459" t="s">
        <v>92</v>
      </c>
      <c r="AJ180" s="99" t="s">
        <v>3410</v>
      </c>
      <c r="AK180" s="99" t="s">
        <v>92</v>
      </c>
      <c r="AL180" s="99" t="s">
        <v>92</v>
      </c>
      <c r="AM180" s="99" t="s">
        <v>92</v>
      </c>
      <c r="AN180" s="99" t="s">
        <v>92</v>
      </c>
      <c r="AO180" s="99" t="s">
        <v>92</v>
      </c>
      <c r="AP180" s="99" t="s">
        <v>93</v>
      </c>
      <c r="AQ180" s="99" t="s">
        <v>92</v>
      </c>
      <c r="AR180" s="99" t="s">
        <v>6942</v>
      </c>
      <c r="AS180" s="99" t="s">
        <v>3520</v>
      </c>
      <c r="AT180" s="99" t="s">
        <v>3451</v>
      </c>
      <c r="AU180" s="99" t="s">
        <v>92</v>
      </c>
      <c r="AV180" s="99" t="s">
        <v>92</v>
      </c>
      <c r="AW180" s="99" t="s">
        <v>92</v>
      </c>
      <c r="AX180" s="99" t="s">
        <v>93</v>
      </c>
      <c r="AY180" s="99" t="s">
        <v>92</v>
      </c>
      <c r="AZ180" s="460" t="s">
        <v>93</v>
      </c>
      <c r="BA180" s="460" t="s">
        <v>92</v>
      </c>
      <c r="BB180" s="460" t="s">
        <v>92</v>
      </c>
      <c r="BC180" s="460" t="s">
        <v>92</v>
      </c>
      <c r="BD180" s="460" t="s">
        <v>92</v>
      </c>
      <c r="BE180" s="460" t="s">
        <v>92</v>
      </c>
      <c r="BF180" s="460" t="s">
        <v>92</v>
      </c>
      <c r="BG180" s="460"/>
      <c r="BH180" s="460"/>
      <c r="BI180" s="460" t="s">
        <v>92</v>
      </c>
      <c r="BJ180" s="460" t="s">
        <v>93</v>
      </c>
      <c r="BK180" s="460" t="s">
        <v>92</v>
      </c>
      <c r="BL180" s="460"/>
      <c r="BM180" s="213" t="s">
        <v>7773</v>
      </c>
      <c r="BN180" s="470"/>
      <c r="BO180" s="470"/>
      <c r="BP180" s="470"/>
      <c r="BQ180" s="475"/>
      <c r="BR180" s="475"/>
    </row>
    <row r="181" ht="15.75" customHeight="1">
      <c r="A181" s="197"/>
      <c r="B181" s="99" t="s">
        <v>7879</v>
      </c>
      <c r="C181" s="197">
        <v>278.0</v>
      </c>
      <c r="D181" s="99" t="s">
        <v>7775</v>
      </c>
      <c r="E181" s="99" t="s">
        <v>189</v>
      </c>
      <c r="F181" s="99" t="s">
        <v>7884</v>
      </c>
      <c r="G181" s="99" t="s">
        <v>3346</v>
      </c>
      <c r="H181" s="99" t="s">
        <v>95</v>
      </c>
      <c r="I181" s="99" t="s">
        <v>94</v>
      </c>
      <c r="J181" s="99" t="s">
        <v>92</v>
      </c>
      <c r="K181" s="197">
        <v>2023.0</v>
      </c>
      <c r="L181" s="99" t="s">
        <v>92</v>
      </c>
      <c r="M181" s="99" t="s">
        <v>92</v>
      </c>
      <c r="N181" s="99" t="s">
        <v>92</v>
      </c>
      <c r="O181" s="99" t="s">
        <v>93</v>
      </c>
      <c r="P181" s="99">
        <v>2023.0</v>
      </c>
      <c r="Q181" s="99" t="s">
        <v>96</v>
      </c>
      <c r="R181" s="197" t="s">
        <v>5902</v>
      </c>
      <c r="S181" s="197" t="s">
        <v>93</v>
      </c>
      <c r="T181" s="197" t="s">
        <v>92</v>
      </c>
      <c r="U181" s="99" t="s">
        <v>92</v>
      </c>
      <c r="V181" s="99" t="s">
        <v>92</v>
      </c>
      <c r="W181" s="99" t="s">
        <v>92</v>
      </c>
      <c r="X181" s="99" t="s">
        <v>92</v>
      </c>
      <c r="Y181" s="99" t="s">
        <v>93</v>
      </c>
      <c r="Z181" s="99" t="s">
        <v>92</v>
      </c>
      <c r="AA181" s="197" t="s">
        <v>93</v>
      </c>
      <c r="AB181" s="197" t="s">
        <v>3772</v>
      </c>
      <c r="AC181" s="197"/>
      <c r="AD181" s="197"/>
      <c r="AE181" s="197" t="s">
        <v>93</v>
      </c>
      <c r="AF181" s="99" t="s">
        <v>1860</v>
      </c>
      <c r="AG181" s="197" t="s">
        <v>6990</v>
      </c>
      <c r="AH181" s="197"/>
      <c r="AI181" s="459" t="s">
        <v>92</v>
      </c>
      <c r="AJ181" s="99" t="s">
        <v>3410</v>
      </c>
      <c r="AK181" s="99" t="s">
        <v>92</v>
      </c>
      <c r="AL181" s="99" t="s">
        <v>92</v>
      </c>
      <c r="AM181" s="99" t="s">
        <v>92</v>
      </c>
      <c r="AN181" s="99" t="s">
        <v>92</v>
      </c>
      <c r="AO181" s="99" t="s">
        <v>92</v>
      </c>
      <c r="AP181" s="99" t="s">
        <v>93</v>
      </c>
      <c r="AQ181" s="99" t="s">
        <v>92</v>
      </c>
      <c r="AR181" s="99" t="s">
        <v>6942</v>
      </c>
      <c r="AS181" s="99" t="s">
        <v>6896</v>
      </c>
      <c r="AT181" s="99" t="s">
        <v>3450</v>
      </c>
      <c r="AU181" s="99" t="s">
        <v>92</v>
      </c>
      <c r="AV181" s="99" t="s">
        <v>92</v>
      </c>
      <c r="AW181" s="99" t="s">
        <v>93</v>
      </c>
      <c r="AX181" s="99" t="s">
        <v>92</v>
      </c>
      <c r="AY181" s="99" t="s">
        <v>92</v>
      </c>
      <c r="AZ181" s="460" t="s">
        <v>93</v>
      </c>
      <c r="BA181" s="460" t="s">
        <v>92</v>
      </c>
      <c r="BB181" s="460" t="s">
        <v>92</v>
      </c>
      <c r="BC181" s="460" t="s">
        <v>92</v>
      </c>
      <c r="BD181" s="460" t="s">
        <v>92</v>
      </c>
      <c r="BE181" s="460" t="s">
        <v>92</v>
      </c>
      <c r="BF181" s="460" t="s">
        <v>92</v>
      </c>
      <c r="BG181" s="460"/>
      <c r="BH181" s="460"/>
      <c r="BI181" s="460" t="s">
        <v>92</v>
      </c>
      <c r="BJ181" s="460" t="s">
        <v>93</v>
      </c>
      <c r="BK181" s="460" t="s">
        <v>92</v>
      </c>
      <c r="BL181" s="460"/>
      <c r="BM181" s="213" t="s">
        <v>7779</v>
      </c>
      <c r="BN181" s="213" t="s">
        <v>7780</v>
      </c>
      <c r="BO181" s="470"/>
      <c r="BP181" s="470"/>
      <c r="BQ181" s="475"/>
      <c r="BR181" s="475"/>
    </row>
    <row r="182" ht="15.75" customHeight="1">
      <c r="A182" s="197"/>
      <c r="B182" s="99" t="s">
        <v>7879</v>
      </c>
      <c r="C182" s="197">
        <v>282.0</v>
      </c>
      <c r="D182" s="99" t="s">
        <v>2555</v>
      </c>
      <c r="E182" s="99" t="s">
        <v>189</v>
      </c>
      <c r="F182" s="99" t="s">
        <v>7785</v>
      </c>
      <c r="G182" s="99" t="s">
        <v>3346</v>
      </c>
      <c r="H182" s="99" t="s">
        <v>95</v>
      </c>
      <c r="I182" s="99" t="s">
        <v>94</v>
      </c>
      <c r="J182" s="99" t="s">
        <v>92</v>
      </c>
      <c r="K182" s="197">
        <v>2022.0</v>
      </c>
      <c r="L182" s="99" t="s">
        <v>92</v>
      </c>
      <c r="M182" s="99" t="s">
        <v>92</v>
      </c>
      <c r="N182" s="99" t="s">
        <v>93</v>
      </c>
      <c r="O182" s="99" t="s">
        <v>92</v>
      </c>
      <c r="P182" s="99">
        <v>2022.0</v>
      </c>
      <c r="Q182" s="99" t="s">
        <v>96</v>
      </c>
      <c r="R182" s="197" t="s">
        <v>5902</v>
      </c>
      <c r="S182" s="197" t="s">
        <v>93</v>
      </c>
      <c r="T182" s="197" t="s">
        <v>92</v>
      </c>
      <c r="U182" s="99" t="s">
        <v>92</v>
      </c>
      <c r="V182" s="99" t="s">
        <v>92</v>
      </c>
      <c r="W182" s="99" t="s">
        <v>92</v>
      </c>
      <c r="X182" s="99" t="s">
        <v>92</v>
      </c>
      <c r="Y182" s="99" t="s">
        <v>93</v>
      </c>
      <c r="Z182" s="99" t="s">
        <v>92</v>
      </c>
      <c r="AA182" s="197" t="s">
        <v>93</v>
      </c>
      <c r="AB182" s="197" t="s">
        <v>3772</v>
      </c>
      <c r="AC182" s="197"/>
      <c r="AD182" s="197"/>
      <c r="AE182" s="197" t="s">
        <v>93</v>
      </c>
      <c r="AF182" s="99" t="s">
        <v>3772</v>
      </c>
      <c r="AG182" s="197" t="s">
        <v>6982</v>
      </c>
      <c r="AH182" s="197"/>
      <c r="AI182" s="459" t="s">
        <v>93</v>
      </c>
      <c r="AJ182" s="99" t="s">
        <v>3410</v>
      </c>
      <c r="AK182" s="99" t="s">
        <v>92</v>
      </c>
      <c r="AL182" s="99" t="s">
        <v>92</v>
      </c>
      <c r="AM182" s="99" t="s">
        <v>92</v>
      </c>
      <c r="AN182" s="99" t="s">
        <v>92</v>
      </c>
      <c r="AO182" s="99" t="s">
        <v>92</v>
      </c>
      <c r="AP182" s="99" t="s">
        <v>93</v>
      </c>
      <c r="AQ182" s="99" t="s">
        <v>92</v>
      </c>
      <c r="AR182" s="99" t="s">
        <v>6949</v>
      </c>
      <c r="AS182" s="99" t="s">
        <v>95</v>
      </c>
      <c r="AT182" s="99" t="s">
        <v>95</v>
      </c>
      <c r="AU182" s="99" t="s">
        <v>93</v>
      </c>
      <c r="AV182" s="99" t="s">
        <v>93</v>
      </c>
      <c r="AW182" s="99" t="s">
        <v>93</v>
      </c>
      <c r="AX182" s="99" t="s">
        <v>93</v>
      </c>
      <c r="AY182" s="99" t="s">
        <v>93</v>
      </c>
      <c r="AZ182" s="460" t="s">
        <v>93</v>
      </c>
      <c r="BA182" s="460" t="s">
        <v>92</v>
      </c>
      <c r="BB182" s="460" t="s">
        <v>92</v>
      </c>
      <c r="BC182" s="460" t="s">
        <v>92</v>
      </c>
      <c r="BD182" s="460" t="s">
        <v>92</v>
      </c>
      <c r="BE182" s="460" t="s">
        <v>92</v>
      </c>
      <c r="BF182" s="460" t="s">
        <v>92</v>
      </c>
      <c r="BG182" s="460"/>
      <c r="BH182" s="460"/>
      <c r="BI182" s="460" t="s">
        <v>92</v>
      </c>
      <c r="BJ182" s="460" t="s">
        <v>92</v>
      </c>
      <c r="BK182" s="460" t="s">
        <v>92</v>
      </c>
      <c r="BL182" s="460"/>
      <c r="BM182" s="213" t="s">
        <v>7764</v>
      </c>
      <c r="BN182" s="470"/>
      <c r="BO182" s="470"/>
      <c r="BP182" s="470"/>
      <c r="BQ182" s="475"/>
      <c r="BR182" s="475"/>
    </row>
    <row r="183" ht="15.75" customHeight="1">
      <c r="A183" s="197"/>
      <c r="B183" s="99" t="s">
        <v>7879</v>
      </c>
      <c r="C183" s="197">
        <v>283.0</v>
      </c>
      <c r="D183" s="99" t="s">
        <v>7786</v>
      </c>
      <c r="E183" s="99" t="s">
        <v>189</v>
      </c>
      <c r="F183" s="99" t="s">
        <v>7787</v>
      </c>
      <c r="G183" s="99" t="s">
        <v>3346</v>
      </c>
      <c r="H183" s="99" t="s">
        <v>95</v>
      </c>
      <c r="I183" s="99" t="s">
        <v>94</v>
      </c>
      <c r="J183" s="99" t="s">
        <v>92</v>
      </c>
      <c r="K183" s="197">
        <v>2022.0</v>
      </c>
      <c r="L183" s="99" t="s">
        <v>92</v>
      </c>
      <c r="M183" s="99" t="s">
        <v>92</v>
      </c>
      <c r="N183" s="99" t="s">
        <v>93</v>
      </c>
      <c r="O183" s="99" t="s">
        <v>92</v>
      </c>
      <c r="P183" s="99">
        <v>2022.0</v>
      </c>
      <c r="Q183" s="99" t="s">
        <v>96</v>
      </c>
      <c r="R183" s="197" t="s">
        <v>5902</v>
      </c>
      <c r="S183" s="197" t="s">
        <v>93</v>
      </c>
      <c r="T183" s="197" t="s">
        <v>92</v>
      </c>
      <c r="U183" s="99" t="s">
        <v>92</v>
      </c>
      <c r="V183" s="99" t="s">
        <v>92</v>
      </c>
      <c r="W183" s="99" t="s">
        <v>92</v>
      </c>
      <c r="X183" s="99" t="s">
        <v>92</v>
      </c>
      <c r="Y183" s="99" t="s">
        <v>93</v>
      </c>
      <c r="Z183" s="99" t="s">
        <v>92</v>
      </c>
      <c r="AA183" s="197" t="s">
        <v>93</v>
      </c>
      <c r="AB183" s="197" t="s">
        <v>3772</v>
      </c>
      <c r="AC183" s="197"/>
      <c r="AD183" s="197"/>
      <c r="AE183" s="197" t="s">
        <v>93</v>
      </c>
      <c r="AF183" s="99" t="s">
        <v>3772</v>
      </c>
      <c r="AG183" s="197" t="s">
        <v>6982</v>
      </c>
      <c r="AH183" s="197"/>
      <c r="AI183" s="459" t="s">
        <v>93</v>
      </c>
      <c r="AJ183" s="99" t="s">
        <v>3410</v>
      </c>
      <c r="AK183" s="99" t="s">
        <v>92</v>
      </c>
      <c r="AL183" s="99" t="s">
        <v>92</v>
      </c>
      <c r="AM183" s="99" t="s">
        <v>92</v>
      </c>
      <c r="AN183" s="99" t="s">
        <v>92</v>
      </c>
      <c r="AO183" s="99" t="s">
        <v>92</v>
      </c>
      <c r="AP183" s="99" t="s">
        <v>93</v>
      </c>
      <c r="AQ183" s="99" t="s">
        <v>92</v>
      </c>
      <c r="AR183" s="99" t="s">
        <v>6942</v>
      </c>
      <c r="AS183" s="99" t="s">
        <v>7788</v>
      </c>
      <c r="AT183" s="99" t="s">
        <v>7073</v>
      </c>
      <c r="AU183" s="99" t="s">
        <v>92</v>
      </c>
      <c r="AV183" s="99" t="s">
        <v>93</v>
      </c>
      <c r="AW183" s="99" t="s">
        <v>92</v>
      </c>
      <c r="AX183" s="99" t="s">
        <v>93</v>
      </c>
      <c r="AY183" s="99" t="s">
        <v>92</v>
      </c>
      <c r="AZ183" s="460" t="s">
        <v>93</v>
      </c>
      <c r="BA183" s="460" t="s">
        <v>92</v>
      </c>
      <c r="BB183" s="460" t="s">
        <v>92</v>
      </c>
      <c r="BC183" s="460" t="s">
        <v>92</v>
      </c>
      <c r="BD183" s="460" t="s">
        <v>92</v>
      </c>
      <c r="BE183" s="460" t="s">
        <v>92</v>
      </c>
      <c r="BF183" s="460" t="s">
        <v>92</v>
      </c>
      <c r="BG183" s="460"/>
      <c r="BH183" s="460"/>
      <c r="BI183" s="460" t="s">
        <v>92</v>
      </c>
      <c r="BJ183" s="460" t="s">
        <v>93</v>
      </c>
      <c r="BK183" s="460" t="s">
        <v>92</v>
      </c>
      <c r="BL183" s="460"/>
      <c r="BM183" s="213" t="s">
        <v>7764</v>
      </c>
      <c r="BN183" s="470"/>
      <c r="BO183" s="470"/>
      <c r="BP183" s="470"/>
      <c r="BQ183" s="475"/>
      <c r="BR183" s="475"/>
    </row>
    <row r="184" ht="15.75" customHeight="1">
      <c r="A184" s="197"/>
      <c r="B184" s="99" t="s">
        <v>7879</v>
      </c>
      <c r="C184" s="197">
        <v>284.0</v>
      </c>
      <c r="D184" s="99" t="s">
        <v>7790</v>
      </c>
      <c r="E184" s="99" t="s">
        <v>90</v>
      </c>
      <c r="F184" s="99" t="s">
        <v>7791</v>
      </c>
      <c r="G184" s="99" t="s">
        <v>3344</v>
      </c>
      <c r="H184" s="99" t="s">
        <v>3345</v>
      </c>
      <c r="I184" s="99" t="s">
        <v>287</v>
      </c>
      <c r="J184" s="99" t="s">
        <v>92</v>
      </c>
      <c r="K184" s="197">
        <v>2019.0</v>
      </c>
      <c r="L184" s="99" t="s">
        <v>93</v>
      </c>
      <c r="M184" s="99" t="s">
        <v>105</v>
      </c>
      <c r="N184" s="99" t="s">
        <v>93</v>
      </c>
      <c r="O184" s="99" t="s">
        <v>105</v>
      </c>
      <c r="P184" s="99" t="s">
        <v>95</v>
      </c>
      <c r="Q184" s="99" t="s">
        <v>114</v>
      </c>
      <c r="R184" s="197" t="s">
        <v>5902</v>
      </c>
      <c r="S184" s="197" t="s">
        <v>93</v>
      </c>
      <c r="T184" s="197" t="s">
        <v>92</v>
      </c>
      <c r="U184" s="99" t="s">
        <v>92</v>
      </c>
      <c r="V184" s="99" t="s">
        <v>92</v>
      </c>
      <c r="W184" s="99" t="s">
        <v>92</v>
      </c>
      <c r="X184" s="99" t="s">
        <v>92</v>
      </c>
      <c r="Y184" s="99" t="s">
        <v>93</v>
      </c>
      <c r="Z184" s="99" t="s">
        <v>92</v>
      </c>
      <c r="AA184" s="197" t="s">
        <v>93</v>
      </c>
      <c r="AB184" s="197" t="s">
        <v>3772</v>
      </c>
      <c r="AC184" s="197"/>
      <c r="AD184" s="197"/>
      <c r="AE184" s="197" t="s">
        <v>93</v>
      </c>
      <c r="AF184" s="99" t="s">
        <v>7792</v>
      </c>
      <c r="AG184" s="197" t="s">
        <v>6990</v>
      </c>
      <c r="AH184" s="197"/>
      <c r="AI184" s="459" t="s">
        <v>92</v>
      </c>
      <c r="AJ184" s="99" t="s">
        <v>7111</v>
      </c>
      <c r="AK184" s="99" t="s">
        <v>93</v>
      </c>
      <c r="AL184" s="99" t="s">
        <v>92</v>
      </c>
      <c r="AM184" s="99" t="s">
        <v>92</v>
      </c>
      <c r="AN184" s="99" t="s">
        <v>92</v>
      </c>
      <c r="AO184" s="99" t="s">
        <v>92</v>
      </c>
      <c r="AP184" s="99" t="s">
        <v>93</v>
      </c>
      <c r="AQ184" s="99" t="s">
        <v>92</v>
      </c>
      <c r="AR184" s="99" t="s">
        <v>6942</v>
      </c>
      <c r="AS184" s="99" t="s">
        <v>6890</v>
      </c>
      <c r="AT184" s="99" t="s">
        <v>3451</v>
      </c>
      <c r="AU184" s="99" t="s">
        <v>92</v>
      </c>
      <c r="AV184" s="99" t="s">
        <v>92</v>
      </c>
      <c r="AW184" s="99" t="s">
        <v>92</v>
      </c>
      <c r="AX184" s="99" t="s">
        <v>93</v>
      </c>
      <c r="AY184" s="99" t="s">
        <v>92</v>
      </c>
      <c r="AZ184" s="460" t="s">
        <v>93</v>
      </c>
      <c r="BA184" s="460" t="s">
        <v>93</v>
      </c>
      <c r="BB184" s="460" t="s">
        <v>93</v>
      </c>
      <c r="BC184" s="460" t="s">
        <v>92</v>
      </c>
      <c r="BD184" s="460" t="s">
        <v>92</v>
      </c>
      <c r="BE184" s="460" t="s">
        <v>92</v>
      </c>
      <c r="BF184" s="460" t="s">
        <v>92</v>
      </c>
      <c r="BG184" s="460"/>
      <c r="BH184" s="460"/>
      <c r="BI184" s="460" t="s">
        <v>92</v>
      </c>
      <c r="BJ184" s="460" t="s">
        <v>92</v>
      </c>
      <c r="BK184" s="460" t="s">
        <v>93</v>
      </c>
      <c r="BL184" s="460"/>
      <c r="BM184" s="213" t="s">
        <v>7793</v>
      </c>
      <c r="BN184" s="213" t="s">
        <v>7764</v>
      </c>
      <c r="BO184" s="213" t="s">
        <v>7794</v>
      </c>
      <c r="BP184" s="470"/>
      <c r="BQ184" s="475"/>
      <c r="BR184" s="475"/>
    </row>
    <row r="185" ht="15.75" customHeight="1">
      <c r="A185" s="197"/>
      <c r="B185" s="99" t="s">
        <v>7879</v>
      </c>
      <c r="C185" s="197">
        <v>286.0</v>
      </c>
      <c r="D185" s="99" t="s">
        <v>2555</v>
      </c>
      <c r="E185" s="99" t="s">
        <v>189</v>
      </c>
      <c r="F185" s="99" t="s">
        <v>7800</v>
      </c>
      <c r="G185" s="99" t="s">
        <v>3346</v>
      </c>
      <c r="H185" s="99" t="s">
        <v>95</v>
      </c>
      <c r="I185" s="99" t="s">
        <v>94</v>
      </c>
      <c r="J185" s="99" t="s">
        <v>92</v>
      </c>
      <c r="K185" s="197">
        <v>2020.0</v>
      </c>
      <c r="L185" s="99" t="s">
        <v>93</v>
      </c>
      <c r="M185" s="99" t="s">
        <v>92</v>
      </c>
      <c r="N185" s="99" t="s">
        <v>92</v>
      </c>
      <c r="O185" s="99" t="s">
        <v>92</v>
      </c>
      <c r="P185" s="99">
        <v>2020.0</v>
      </c>
      <c r="Q185" s="99" t="s">
        <v>96</v>
      </c>
      <c r="R185" s="197" t="s">
        <v>5902</v>
      </c>
      <c r="S185" s="197" t="s">
        <v>93</v>
      </c>
      <c r="T185" s="197" t="s">
        <v>92</v>
      </c>
      <c r="U185" s="99" t="s">
        <v>92</v>
      </c>
      <c r="V185" s="99" t="s">
        <v>92</v>
      </c>
      <c r="W185" s="99" t="s">
        <v>92</v>
      </c>
      <c r="X185" s="99" t="s">
        <v>92</v>
      </c>
      <c r="Y185" s="99" t="s">
        <v>93</v>
      </c>
      <c r="Z185" s="99" t="s">
        <v>92</v>
      </c>
      <c r="AA185" s="197" t="s">
        <v>93</v>
      </c>
      <c r="AB185" s="197" t="s">
        <v>3772</v>
      </c>
      <c r="AC185" s="197"/>
      <c r="AD185" s="197"/>
      <c r="AE185" s="197" t="s">
        <v>93</v>
      </c>
      <c r="AF185" s="99" t="s">
        <v>7885</v>
      </c>
      <c r="AG185" s="197" t="s">
        <v>6990</v>
      </c>
      <c r="AH185" s="197"/>
      <c r="AI185" s="459" t="s">
        <v>92</v>
      </c>
      <c r="AJ185" s="99" t="s">
        <v>3410</v>
      </c>
      <c r="AK185" s="99" t="s">
        <v>92</v>
      </c>
      <c r="AL185" s="99" t="s">
        <v>92</v>
      </c>
      <c r="AM185" s="99" t="s">
        <v>92</v>
      </c>
      <c r="AN185" s="99" t="s">
        <v>92</v>
      </c>
      <c r="AO185" s="99" t="s">
        <v>92</v>
      </c>
      <c r="AP185" s="99" t="s">
        <v>93</v>
      </c>
      <c r="AQ185" s="99" t="s">
        <v>92</v>
      </c>
      <c r="AR185" s="99" t="s">
        <v>6942</v>
      </c>
      <c r="AS185" s="99" t="s">
        <v>7802</v>
      </c>
      <c r="AT185" s="99" t="s">
        <v>7803</v>
      </c>
      <c r="AU185" s="99" t="s">
        <v>93</v>
      </c>
      <c r="AV185" s="99" t="s">
        <v>93</v>
      </c>
      <c r="AW185" s="99" t="s">
        <v>93</v>
      </c>
      <c r="AX185" s="99" t="s">
        <v>93</v>
      </c>
      <c r="AY185" s="99" t="s">
        <v>92</v>
      </c>
      <c r="AZ185" s="460" t="s">
        <v>93</v>
      </c>
      <c r="BA185" s="460" t="s">
        <v>92</v>
      </c>
      <c r="BB185" s="460" t="s">
        <v>92</v>
      </c>
      <c r="BC185" s="460" t="s">
        <v>92</v>
      </c>
      <c r="BD185" s="460" t="s">
        <v>92</v>
      </c>
      <c r="BE185" s="460" t="s">
        <v>92</v>
      </c>
      <c r="BF185" s="460" t="s">
        <v>92</v>
      </c>
      <c r="BG185" s="460"/>
      <c r="BH185" s="460"/>
      <c r="BI185" s="460" t="s">
        <v>92</v>
      </c>
      <c r="BJ185" s="460" t="s">
        <v>93</v>
      </c>
      <c r="BK185" s="460" t="s">
        <v>92</v>
      </c>
      <c r="BL185" s="460"/>
      <c r="BM185" s="213" t="s">
        <v>7799</v>
      </c>
      <c r="BN185" s="470"/>
      <c r="BO185" s="470"/>
      <c r="BP185" s="470"/>
      <c r="BQ185" s="475"/>
      <c r="BR185" s="475"/>
    </row>
    <row r="186" ht="15.75" customHeight="1">
      <c r="A186" s="197"/>
      <c r="B186" s="99" t="s">
        <v>7879</v>
      </c>
      <c r="C186" s="197">
        <v>85.0</v>
      </c>
      <c r="D186" s="99" t="s">
        <v>7886</v>
      </c>
      <c r="E186" s="99" t="s">
        <v>189</v>
      </c>
      <c r="F186" s="99" t="s">
        <v>7887</v>
      </c>
      <c r="G186" s="99" t="s">
        <v>3346</v>
      </c>
      <c r="H186" s="99" t="s">
        <v>95</v>
      </c>
      <c r="I186" s="99" t="s">
        <v>94</v>
      </c>
      <c r="J186" s="99" t="s">
        <v>92</v>
      </c>
      <c r="K186" s="197">
        <v>2021.0</v>
      </c>
      <c r="L186" s="99" t="s">
        <v>92</v>
      </c>
      <c r="M186" s="99" t="s">
        <v>93</v>
      </c>
      <c r="N186" s="99" t="s">
        <v>105</v>
      </c>
      <c r="O186" s="99" t="s">
        <v>105</v>
      </c>
      <c r="P186" s="99" t="s">
        <v>105</v>
      </c>
      <c r="Q186" s="99" t="s">
        <v>105</v>
      </c>
      <c r="R186" s="197" t="s">
        <v>5902</v>
      </c>
      <c r="S186" s="197" t="s">
        <v>93</v>
      </c>
      <c r="T186" s="197" t="s">
        <v>92</v>
      </c>
      <c r="U186" s="99" t="s">
        <v>92</v>
      </c>
      <c r="V186" s="99" t="s">
        <v>92</v>
      </c>
      <c r="W186" s="99" t="s">
        <v>92</v>
      </c>
      <c r="X186" s="99" t="s">
        <v>92</v>
      </c>
      <c r="Y186" s="99" t="s">
        <v>93</v>
      </c>
      <c r="Z186" s="99" t="s">
        <v>92</v>
      </c>
      <c r="AA186" s="197" t="s">
        <v>93</v>
      </c>
      <c r="AB186" s="197" t="s">
        <v>3772</v>
      </c>
      <c r="AC186" s="197"/>
      <c r="AD186" s="197"/>
      <c r="AE186" s="197" t="s">
        <v>93</v>
      </c>
      <c r="AF186" s="99" t="s">
        <v>7888</v>
      </c>
      <c r="AG186" s="197" t="s">
        <v>6990</v>
      </c>
      <c r="AH186" s="197"/>
      <c r="AI186" s="459" t="s">
        <v>92</v>
      </c>
      <c r="AJ186" s="99" t="s">
        <v>3410</v>
      </c>
      <c r="AK186" s="99" t="s">
        <v>92</v>
      </c>
      <c r="AL186" s="99" t="s">
        <v>92</v>
      </c>
      <c r="AM186" s="99" t="s">
        <v>92</v>
      </c>
      <c r="AN186" s="99" t="s">
        <v>92</v>
      </c>
      <c r="AO186" s="99" t="s">
        <v>92</v>
      </c>
      <c r="AP186" s="99" t="s">
        <v>93</v>
      </c>
      <c r="AQ186" s="99" t="s">
        <v>92</v>
      </c>
      <c r="AR186" s="99" t="s">
        <v>6949</v>
      </c>
      <c r="AS186" s="470" t="s">
        <v>95</v>
      </c>
      <c r="AT186" s="470" t="s">
        <v>95</v>
      </c>
      <c r="AU186" s="99" t="s">
        <v>93</v>
      </c>
      <c r="AV186" s="99" t="s">
        <v>93</v>
      </c>
      <c r="AW186" s="99" t="s">
        <v>93</v>
      </c>
      <c r="AX186" s="99" t="s">
        <v>93</v>
      </c>
      <c r="AY186" s="99" t="s">
        <v>93</v>
      </c>
      <c r="AZ186" s="460" t="s">
        <v>93</v>
      </c>
      <c r="BA186" s="460" t="s">
        <v>92</v>
      </c>
      <c r="BB186" s="460" t="s">
        <v>92</v>
      </c>
      <c r="BC186" s="460" t="s">
        <v>92</v>
      </c>
      <c r="BD186" s="460" t="s">
        <v>92</v>
      </c>
      <c r="BE186" s="460" t="s">
        <v>92</v>
      </c>
      <c r="BF186" s="460" t="s">
        <v>92</v>
      </c>
      <c r="BG186" s="460"/>
      <c r="BH186" s="460"/>
      <c r="BI186" s="460" t="s">
        <v>92</v>
      </c>
      <c r="BJ186" s="460" t="s">
        <v>93</v>
      </c>
      <c r="BK186" s="460" t="s">
        <v>93</v>
      </c>
      <c r="BL186" s="460"/>
      <c r="BM186" s="489" t="s">
        <v>7889</v>
      </c>
      <c r="BN186" s="489" t="s">
        <v>7890</v>
      </c>
      <c r="BO186" s="474"/>
      <c r="BP186" s="474"/>
      <c r="BQ186" s="475"/>
      <c r="BR186" s="475"/>
    </row>
    <row r="187" ht="15.75" customHeight="1">
      <c r="A187" s="475"/>
      <c r="B187" s="99" t="s">
        <v>7879</v>
      </c>
      <c r="C187" s="475"/>
      <c r="D187" s="99" t="s">
        <v>7891</v>
      </c>
      <c r="E187" s="99" t="s">
        <v>189</v>
      </c>
      <c r="F187" s="99" t="s">
        <v>7892</v>
      </c>
      <c r="G187" s="99" t="s">
        <v>3346</v>
      </c>
      <c r="H187" s="99" t="s">
        <v>95</v>
      </c>
      <c r="I187" s="99" t="s">
        <v>94</v>
      </c>
      <c r="J187" s="99" t="s">
        <v>92</v>
      </c>
      <c r="K187" s="197">
        <v>2021.0</v>
      </c>
      <c r="L187" s="99" t="s">
        <v>92</v>
      </c>
      <c r="M187" s="99" t="s">
        <v>93</v>
      </c>
      <c r="N187" s="99" t="s">
        <v>92</v>
      </c>
      <c r="O187" s="99" t="s">
        <v>92</v>
      </c>
      <c r="P187" s="99">
        <v>2021.0</v>
      </c>
      <c r="Q187" s="99" t="s">
        <v>96</v>
      </c>
      <c r="R187" s="197" t="s">
        <v>5902</v>
      </c>
      <c r="S187" s="197" t="s">
        <v>93</v>
      </c>
      <c r="T187" s="197" t="s">
        <v>92</v>
      </c>
      <c r="U187" s="99" t="s">
        <v>92</v>
      </c>
      <c r="V187" s="99" t="s">
        <v>92</v>
      </c>
      <c r="W187" s="99" t="s">
        <v>92</v>
      </c>
      <c r="X187" s="99" t="s">
        <v>92</v>
      </c>
      <c r="Y187" s="99" t="s">
        <v>93</v>
      </c>
      <c r="Z187" s="99" t="s">
        <v>92</v>
      </c>
      <c r="AA187" s="197" t="s">
        <v>93</v>
      </c>
      <c r="AB187" s="197" t="s">
        <v>3772</v>
      </c>
      <c r="AC187" s="197"/>
      <c r="AD187" s="197"/>
      <c r="AE187" s="197" t="s">
        <v>92</v>
      </c>
      <c r="AF187" s="99" t="s">
        <v>1860</v>
      </c>
      <c r="AG187" s="197" t="s">
        <v>6990</v>
      </c>
      <c r="AH187" s="197"/>
      <c r="AI187" s="459" t="s">
        <v>92</v>
      </c>
      <c r="AJ187" s="99" t="s">
        <v>3410</v>
      </c>
      <c r="AK187" s="99" t="s">
        <v>92</v>
      </c>
      <c r="AL187" s="99" t="s">
        <v>92</v>
      </c>
      <c r="AM187" s="99" t="s">
        <v>92</v>
      </c>
      <c r="AN187" s="99" t="s">
        <v>92</v>
      </c>
      <c r="AO187" s="99" t="s">
        <v>92</v>
      </c>
      <c r="AP187" s="99" t="s">
        <v>93</v>
      </c>
      <c r="AQ187" s="99" t="s">
        <v>92</v>
      </c>
      <c r="AR187" s="99" t="s">
        <v>6949</v>
      </c>
      <c r="AS187" s="470" t="s">
        <v>95</v>
      </c>
      <c r="AT187" s="470" t="s">
        <v>95</v>
      </c>
      <c r="AU187" s="99" t="s">
        <v>93</v>
      </c>
      <c r="AV187" s="99" t="s">
        <v>93</v>
      </c>
      <c r="AW187" s="99" t="s">
        <v>93</v>
      </c>
      <c r="AX187" s="99" t="s">
        <v>93</v>
      </c>
      <c r="AY187" s="99" t="s">
        <v>93</v>
      </c>
      <c r="AZ187" s="460" t="s">
        <v>93</v>
      </c>
      <c r="BA187" s="460" t="s">
        <v>92</v>
      </c>
      <c r="BB187" s="460" t="s">
        <v>92</v>
      </c>
      <c r="BC187" s="460" t="s">
        <v>92</v>
      </c>
      <c r="BD187" s="460" t="s">
        <v>92</v>
      </c>
      <c r="BE187" s="460" t="s">
        <v>92</v>
      </c>
      <c r="BF187" s="460" t="s">
        <v>92</v>
      </c>
      <c r="BG187" s="460"/>
      <c r="BH187" s="460"/>
      <c r="BI187" s="460" t="s">
        <v>92</v>
      </c>
      <c r="BJ187" s="460" t="s">
        <v>92</v>
      </c>
      <c r="BK187" s="460" t="s">
        <v>92</v>
      </c>
      <c r="BL187" s="460"/>
      <c r="BM187" s="489" t="s">
        <v>7889</v>
      </c>
      <c r="BN187" s="474"/>
      <c r="BO187" s="474"/>
      <c r="BP187" s="474"/>
      <c r="BQ187" s="475"/>
      <c r="BR187" s="475"/>
    </row>
    <row r="188" ht="15.75" customHeight="1">
      <c r="A188" s="475"/>
      <c r="B188" s="99" t="s">
        <v>7879</v>
      </c>
      <c r="C188" s="475"/>
      <c r="D188" s="99" t="s">
        <v>2503</v>
      </c>
      <c r="E188" s="99" t="s">
        <v>189</v>
      </c>
      <c r="F188" s="99" t="s">
        <v>2504</v>
      </c>
      <c r="G188" s="99" t="s">
        <v>3346</v>
      </c>
      <c r="H188" s="99" t="s">
        <v>95</v>
      </c>
      <c r="I188" s="99" t="s">
        <v>94</v>
      </c>
      <c r="J188" s="99" t="s">
        <v>92</v>
      </c>
      <c r="K188" s="197">
        <v>2021.0</v>
      </c>
      <c r="L188" s="99" t="s">
        <v>92</v>
      </c>
      <c r="M188" s="99" t="s">
        <v>93</v>
      </c>
      <c r="N188" s="99" t="s">
        <v>92</v>
      </c>
      <c r="O188" s="99" t="s">
        <v>92</v>
      </c>
      <c r="P188" s="99">
        <v>2021.0</v>
      </c>
      <c r="Q188" s="99" t="s">
        <v>96</v>
      </c>
      <c r="R188" s="197" t="s">
        <v>5902</v>
      </c>
      <c r="S188" s="197" t="s">
        <v>93</v>
      </c>
      <c r="T188" s="197" t="s">
        <v>92</v>
      </c>
      <c r="U188" s="99" t="s">
        <v>92</v>
      </c>
      <c r="V188" s="99" t="s">
        <v>92</v>
      </c>
      <c r="W188" s="99" t="s">
        <v>92</v>
      </c>
      <c r="X188" s="99" t="s">
        <v>92</v>
      </c>
      <c r="Y188" s="99" t="s">
        <v>93</v>
      </c>
      <c r="Z188" s="99" t="s">
        <v>92</v>
      </c>
      <c r="AA188" s="197" t="s">
        <v>93</v>
      </c>
      <c r="AB188" s="197" t="s">
        <v>3772</v>
      </c>
      <c r="AC188" s="197"/>
      <c r="AD188" s="197"/>
      <c r="AE188" s="197" t="s">
        <v>92</v>
      </c>
      <c r="AF188" s="99" t="s">
        <v>1850</v>
      </c>
      <c r="AG188" s="197" t="s">
        <v>6990</v>
      </c>
      <c r="AH188" s="197"/>
      <c r="AI188" s="459" t="s">
        <v>93</v>
      </c>
      <c r="AJ188" s="99" t="s">
        <v>3410</v>
      </c>
      <c r="AK188" s="99" t="s">
        <v>92</v>
      </c>
      <c r="AL188" s="99" t="s">
        <v>92</v>
      </c>
      <c r="AM188" s="99" t="s">
        <v>92</v>
      </c>
      <c r="AN188" s="99" t="s">
        <v>92</v>
      </c>
      <c r="AO188" s="99" t="s">
        <v>92</v>
      </c>
      <c r="AP188" s="99" t="s">
        <v>93</v>
      </c>
      <c r="AQ188" s="99" t="s">
        <v>92</v>
      </c>
      <c r="AR188" s="99" t="s">
        <v>6949</v>
      </c>
      <c r="AS188" s="470" t="s">
        <v>95</v>
      </c>
      <c r="AT188" s="470" t="s">
        <v>95</v>
      </c>
      <c r="AU188" s="99" t="s">
        <v>93</v>
      </c>
      <c r="AV188" s="99" t="s">
        <v>93</v>
      </c>
      <c r="AW188" s="99" t="s">
        <v>93</v>
      </c>
      <c r="AX188" s="99" t="s">
        <v>93</v>
      </c>
      <c r="AY188" s="99" t="s">
        <v>93</v>
      </c>
      <c r="AZ188" s="460" t="s">
        <v>93</v>
      </c>
      <c r="BA188" s="460" t="s">
        <v>92</v>
      </c>
      <c r="BB188" s="460" t="s">
        <v>92</v>
      </c>
      <c r="BC188" s="460" t="s">
        <v>92</v>
      </c>
      <c r="BD188" s="460" t="s">
        <v>92</v>
      </c>
      <c r="BE188" s="460" t="s">
        <v>92</v>
      </c>
      <c r="BF188" s="460" t="s">
        <v>92</v>
      </c>
      <c r="BG188" s="460"/>
      <c r="BH188" s="460"/>
      <c r="BI188" s="460" t="s">
        <v>92</v>
      </c>
      <c r="BJ188" s="460" t="s">
        <v>92</v>
      </c>
      <c r="BK188" s="460" t="s">
        <v>92</v>
      </c>
      <c r="BL188" s="460"/>
      <c r="BM188" s="489" t="s">
        <v>7889</v>
      </c>
      <c r="BN188" s="474"/>
      <c r="BO188" s="474"/>
      <c r="BP188" s="474"/>
      <c r="BQ188" s="475"/>
      <c r="BR188" s="475"/>
    </row>
    <row r="189" ht="15.75" customHeight="1">
      <c r="A189" s="475"/>
      <c r="B189" s="99" t="s">
        <v>7893</v>
      </c>
      <c r="C189" s="475"/>
      <c r="D189" s="99" t="s">
        <v>7894</v>
      </c>
      <c r="E189" s="99" t="s">
        <v>189</v>
      </c>
      <c r="F189" s="99" t="s">
        <v>7895</v>
      </c>
      <c r="G189" s="99" t="s">
        <v>3346</v>
      </c>
      <c r="H189" s="99" t="s">
        <v>95</v>
      </c>
      <c r="I189" s="99" t="s">
        <v>94</v>
      </c>
      <c r="J189" s="99" t="s">
        <v>92</v>
      </c>
      <c r="K189" s="197">
        <v>2022.0</v>
      </c>
      <c r="L189" s="99" t="s">
        <v>92</v>
      </c>
      <c r="M189" s="99" t="s">
        <v>92</v>
      </c>
      <c r="N189" s="99" t="s">
        <v>93</v>
      </c>
      <c r="O189" s="99" t="s">
        <v>92</v>
      </c>
      <c r="P189" s="99">
        <v>2022.0</v>
      </c>
      <c r="Q189" s="99" t="s">
        <v>96</v>
      </c>
      <c r="R189" s="475" t="s">
        <v>5902</v>
      </c>
      <c r="S189" s="197" t="s">
        <v>93</v>
      </c>
      <c r="T189" s="197" t="s">
        <v>92</v>
      </c>
      <c r="U189" s="99" t="s">
        <v>93</v>
      </c>
      <c r="V189" s="99" t="s">
        <v>92</v>
      </c>
      <c r="W189" s="99" t="s">
        <v>92</v>
      </c>
      <c r="X189" s="99" t="s">
        <v>92</v>
      </c>
      <c r="Y189" s="99" t="s">
        <v>93</v>
      </c>
      <c r="Z189" s="99" t="s">
        <v>92</v>
      </c>
      <c r="AA189" s="197" t="s">
        <v>93</v>
      </c>
      <c r="AB189" s="223" t="s">
        <v>7896</v>
      </c>
      <c r="AC189" s="223"/>
      <c r="AD189" s="197"/>
      <c r="AE189" s="197" t="s">
        <v>92</v>
      </c>
      <c r="AF189" s="99" t="s">
        <v>7897</v>
      </c>
      <c r="AG189" s="197" t="s">
        <v>6990</v>
      </c>
      <c r="AH189" s="197"/>
      <c r="AI189" s="459" t="s">
        <v>92</v>
      </c>
      <c r="AJ189" s="99" t="s">
        <v>3410</v>
      </c>
      <c r="AK189" s="99" t="s">
        <v>92</v>
      </c>
      <c r="AL189" s="99" t="s">
        <v>92</v>
      </c>
      <c r="AM189" s="99" t="s">
        <v>92</v>
      </c>
      <c r="AN189" s="99" t="s">
        <v>92</v>
      </c>
      <c r="AO189" s="99" t="s">
        <v>92</v>
      </c>
      <c r="AP189" s="99" t="s">
        <v>93</v>
      </c>
      <c r="AQ189" s="99" t="s">
        <v>92</v>
      </c>
      <c r="AR189" s="99" t="s">
        <v>6942</v>
      </c>
      <c r="AS189" s="470" t="s">
        <v>3614</v>
      </c>
      <c r="AT189" s="470" t="s">
        <v>3448</v>
      </c>
      <c r="AU189" s="99" t="s">
        <v>93</v>
      </c>
      <c r="AV189" s="99" t="s">
        <v>92</v>
      </c>
      <c r="AW189" s="99" t="s">
        <v>92</v>
      </c>
      <c r="AX189" s="99" t="s">
        <v>92</v>
      </c>
      <c r="AY189" s="99" t="s">
        <v>92</v>
      </c>
      <c r="AZ189" s="460" t="s">
        <v>93</v>
      </c>
      <c r="BA189" s="460" t="s">
        <v>92</v>
      </c>
      <c r="BB189" s="460" t="s">
        <v>92</v>
      </c>
      <c r="BC189" s="460" t="s">
        <v>92</v>
      </c>
      <c r="BD189" s="460" t="s">
        <v>92</v>
      </c>
      <c r="BE189" s="460" t="s">
        <v>92</v>
      </c>
      <c r="BF189" s="460" t="s">
        <v>92</v>
      </c>
      <c r="BG189" s="460"/>
      <c r="BH189" s="460"/>
      <c r="BI189" s="460" t="s">
        <v>92</v>
      </c>
      <c r="BJ189" s="460" t="s">
        <v>92</v>
      </c>
      <c r="BK189" s="460" t="s">
        <v>92</v>
      </c>
      <c r="BL189" s="460"/>
      <c r="BM189" s="489" t="s">
        <v>7898</v>
      </c>
      <c r="BN189" s="474"/>
      <c r="BO189" s="474"/>
      <c r="BP189" s="474"/>
      <c r="BQ189" s="475"/>
      <c r="BR189" s="475"/>
    </row>
    <row r="190" ht="15.75" customHeight="1">
      <c r="A190" s="475"/>
      <c r="B190" s="99" t="s">
        <v>7893</v>
      </c>
      <c r="C190" s="475"/>
      <c r="D190" s="99" t="s">
        <v>1362</v>
      </c>
      <c r="E190" s="99" t="s">
        <v>189</v>
      </c>
      <c r="F190" s="99" t="s">
        <v>7899</v>
      </c>
      <c r="G190" s="99" t="s">
        <v>3346</v>
      </c>
      <c r="H190" s="99" t="s">
        <v>95</v>
      </c>
      <c r="I190" s="99" t="s">
        <v>94</v>
      </c>
      <c r="J190" s="99" t="s">
        <v>92</v>
      </c>
      <c r="K190" s="197">
        <v>2020.0</v>
      </c>
      <c r="L190" s="99" t="s">
        <v>93</v>
      </c>
      <c r="M190" s="99" t="s">
        <v>93</v>
      </c>
      <c r="N190" s="99" t="s">
        <v>92</v>
      </c>
      <c r="O190" s="99" t="s">
        <v>92</v>
      </c>
      <c r="P190" s="99">
        <v>2020.0</v>
      </c>
      <c r="Q190" s="99" t="s">
        <v>96</v>
      </c>
      <c r="R190" s="475" t="s">
        <v>5902</v>
      </c>
      <c r="S190" s="197" t="s">
        <v>93</v>
      </c>
      <c r="T190" s="197" t="s">
        <v>92</v>
      </c>
      <c r="U190" s="99" t="s">
        <v>93</v>
      </c>
      <c r="V190" s="99" t="s">
        <v>92</v>
      </c>
      <c r="W190" s="99" t="s">
        <v>92</v>
      </c>
      <c r="X190" s="99" t="s">
        <v>92</v>
      </c>
      <c r="Y190" s="99" t="s">
        <v>93</v>
      </c>
      <c r="Z190" s="99" t="s">
        <v>92</v>
      </c>
      <c r="AA190" s="197" t="s">
        <v>93</v>
      </c>
      <c r="AB190" s="223" t="s">
        <v>7896</v>
      </c>
      <c r="AC190" s="223"/>
      <c r="AD190" s="197"/>
      <c r="AE190" s="197" t="s">
        <v>92</v>
      </c>
      <c r="AF190" s="99" t="s">
        <v>7900</v>
      </c>
      <c r="AG190" s="197" t="s">
        <v>6990</v>
      </c>
      <c r="AH190" s="197"/>
      <c r="AI190" s="459" t="s">
        <v>92</v>
      </c>
      <c r="AJ190" s="99" t="s">
        <v>3410</v>
      </c>
      <c r="AK190" s="99" t="s">
        <v>92</v>
      </c>
      <c r="AL190" s="99" t="s">
        <v>92</v>
      </c>
      <c r="AM190" s="99" t="s">
        <v>92</v>
      </c>
      <c r="AN190" s="99" t="s">
        <v>92</v>
      </c>
      <c r="AO190" s="99" t="s">
        <v>92</v>
      </c>
      <c r="AP190" s="99" t="s">
        <v>93</v>
      </c>
      <c r="AQ190" s="99" t="s">
        <v>92</v>
      </c>
      <c r="AR190" s="99" t="s">
        <v>6942</v>
      </c>
      <c r="AS190" s="470" t="s">
        <v>3614</v>
      </c>
      <c r="AT190" s="470" t="s">
        <v>3448</v>
      </c>
      <c r="AU190" s="99" t="s">
        <v>93</v>
      </c>
      <c r="AV190" s="99" t="s">
        <v>92</v>
      </c>
      <c r="AW190" s="99" t="s">
        <v>92</v>
      </c>
      <c r="AX190" s="99" t="s">
        <v>92</v>
      </c>
      <c r="AY190" s="99" t="s">
        <v>92</v>
      </c>
      <c r="AZ190" s="460" t="s">
        <v>93</v>
      </c>
      <c r="BA190" s="460" t="s">
        <v>92</v>
      </c>
      <c r="BB190" s="460" t="s">
        <v>92</v>
      </c>
      <c r="BC190" s="460" t="s">
        <v>92</v>
      </c>
      <c r="BD190" s="460" t="s">
        <v>92</v>
      </c>
      <c r="BE190" s="460" t="s">
        <v>92</v>
      </c>
      <c r="BF190" s="460" t="s">
        <v>92</v>
      </c>
      <c r="BG190" s="460"/>
      <c r="BH190" s="460"/>
      <c r="BI190" s="460" t="s">
        <v>92</v>
      </c>
      <c r="BJ190" s="460" t="s">
        <v>93</v>
      </c>
      <c r="BK190" s="460" t="s">
        <v>92</v>
      </c>
      <c r="BL190" s="460"/>
      <c r="BM190" s="489" t="s">
        <v>7901</v>
      </c>
      <c r="BN190" s="489" t="s">
        <v>7902</v>
      </c>
      <c r="BO190" s="489" t="s">
        <v>7903</v>
      </c>
      <c r="BP190" s="474"/>
      <c r="BQ190" s="475"/>
      <c r="BR190" s="475"/>
    </row>
    <row r="191" ht="15.75" customHeight="1">
      <c r="A191" s="475"/>
      <c r="B191" s="99" t="s">
        <v>7893</v>
      </c>
      <c r="C191" s="475"/>
      <c r="D191" s="99" t="s">
        <v>7904</v>
      </c>
      <c r="E191" s="99" t="s">
        <v>90</v>
      </c>
      <c r="F191" s="99" t="s">
        <v>7905</v>
      </c>
      <c r="G191" s="99" t="s">
        <v>3346</v>
      </c>
      <c r="H191" s="99" t="s">
        <v>3345</v>
      </c>
      <c r="I191" s="99" t="s">
        <v>287</v>
      </c>
      <c r="J191" s="99" t="s">
        <v>92</v>
      </c>
      <c r="K191" s="197" t="s">
        <v>105</v>
      </c>
      <c r="L191" s="99" t="s">
        <v>105</v>
      </c>
      <c r="M191" s="99" t="s">
        <v>93</v>
      </c>
      <c r="N191" s="99" t="s">
        <v>93</v>
      </c>
      <c r="O191" s="99" t="s">
        <v>105</v>
      </c>
      <c r="P191" s="99" t="s">
        <v>95</v>
      </c>
      <c r="Q191" s="99" t="s">
        <v>114</v>
      </c>
      <c r="R191" s="475" t="s">
        <v>5902</v>
      </c>
      <c r="S191" s="197" t="s">
        <v>93</v>
      </c>
      <c r="T191" s="197" t="s">
        <v>92</v>
      </c>
      <c r="U191" s="99" t="s">
        <v>93</v>
      </c>
      <c r="V191" s="99" t="s">
        <v>92</v>
      </c>
      <c r="W191" s="99" t="s">
        <v>92</v>
      </c>
      <c r="X191" s="99" t="s">
        <v>92</v>
      </c>
      <c r="Y191" s="99" t="s">
        <v>93</v>
      </c>
      <c r="Z191" s="99" t="s">
        <v>92</v>
      </c>
      <c r="AA191" s="197" t="s">
        <v>93</v>
      </c>
      <c r="AB191" s="223" t="s">
        <v>7896</v>
      </c>
      <c r="AC191" s="223"/>
      <c r="AD191" s="197"/>
      <c r="AE191" s="197" t="s">
        <v>92</v>
      </c>
      <c r="AF191" s="99" t="s">
        <v>7893</v>
      </c>
      <c r="AG191" s="197" t="s">
        <v>5902</v>
      </c>
      <c r="AH191" s="197"/>
      <c r="AI191" s="459" t="s">
        <v>92</v>
      </c>
      <c r="AJ191" s="99" t="s">
        <v>7111</v>
      </c>
      <c r="AK191" s="99" t="s">
        <v>93</v>
      </c>
      <c r="AL191" s="99" t="s">
        <v>92</v>
      </c>
      <c r="AM191" s="99" t="s">
        <v>92</v>
      </c>
      <c r="AN191" s="99" t="s">
        <v>92</v>
      </c>
      <c r="AO191" s="99" t="s">
        <v>92</v>
      </c>
      <c r="AP191" s="99" t="s">
        <v>93</v>
      </c>
      <c r="AQ191" s="99" t="s">
        <v>92</v>
      </c>
      <c r="AR191" s="99" t="s">
        <v>6942</v>
      </c>
      <c r="AS191" s="470" t="s">
        <v>3614</v>
      </c>
      <c r="AT191" s="470" t="s">
        <v>3448</v>
      </c>
      <c r="AU191" s="99" t="s">
        <v>93</v>
      </c>
      <c r="AV191" s="99" t="s">
        <v>92</v>
      </c>
      <c r="AW191" s="99" t="s">
        <v>92</v>
      </c>
      <c r="AX191" s="99" t="s">
        <v>92</v>
      </c>
      <c r="AY191" s="99" t="s">
        <v>92</v>
      </c>
      <c r="AZ191" s="460" t="s">
        <v>93</v>
      </c>
      <c r="BA191" s="460" t="s">
        <v>93</v>
      </c>
      <c r="BB191" s="460" t="s">
        <v>92</v>
      </c>
      <c r="BC191" s="460" t="s">
        <v>92</v>
      </c>
      <c r="BD191" s="460" t="s">
        <v>92</v>
      </c>
      <c r="BE191" s="460" t="s">
        <v>92</v>
      </c>
      <c r="BF191" s="460" t="s">
        <v>92</v>
      </c>
      <c r="BG191" s="460"/>
      <c r="BH191" s="460"/>
      <c r="BI191" s="460" t="s">
        <v>92</v>
      </c>
      <c r="BJ191" s="460" t="s">
        <v>92</v>
      </c>
      <c r="BK191" s="460" t="s">
        <v>105</v>
      </c>
      <c r="BL191" s="460"/>
      <c r="BM191" s="489" t="s">
        <v>7898</v>
      </c>
      <c r="BN191" s="474"/>
      <c r="BO191" s="474"/>
      <c r="BP191" s="474"/>
      <c r="BQ191" s="475"/>
      <c r="BR191" s="475"/>
    </row>
    <row r="192" ht="15.75" customHeight="1">
      <c r="A192" s="197"/>
      <c r="B192" s="99" t="s">
        <v>4961</v>
      </c>
      <c r="C192" s="197">
        <v>214.0</v>
      </c>
      <c r="D192" s="99" t="s">
        <v>7144</v>
      </c>
      <c r="E192" s="99" t="s">
        <v>110</v>
      </c>
      <c r="F192" s="99" t="s">
        <v>7145</v>
      </c>
      <c r="G192" s="99" t="s">
        <v>3346</v>
      </c>
      <c r="H192" s="99" t="s">
        <v>3345</v>
      </c>
      <c r="I192" s="99" t="s">
        <v>94</v>
      </c>
      <c r="J192" s="99" t="s">
        <v>92</v>
      </c>
      <c r="K192" s="197">
        <v>2018.0</v>
      </c>
      <c r="L192" s="99" t="s">
        <v>93</v>
      </c>
      <c r="M192" s="99" t="s">
        <v>93</v>
      </c>
      <c r="N192" s="99" t="s">
        <v>93</v>
      </c>
      <c r="O192" s="99" t="s">
        <v>93</v>
      </c>
      <c r="P192" s="99" t="s">
        <v>95</v>
      </c>
      <c r="Q192" s="99" t="s">
        <v>114</v>
      </c>
      <c r="R192" s="197" t="s">
        <v>5902</v>
      </c>
      <c r="S192" s="197" t="s">
        <v>93</v>
      </c>
      <c r="T192" s="197" t="s">
        <v>92</v>
      </c>
      <c r="U192" s="99" t="s">
        <v>93</v>
      </c>
      <c r="V192" s="99" t="s">
        <v>92</v>
      </c>
      <c r="W192" s="99" t="s">
        <v>92</v>
      </c>
      <c r="X192" s="99" t="s">
        <v>92</v>
      </c>
      <c r="Y192" s="99" t="s">
        <v>93</v>
      </c>
      <c r="Z192" s="99" t="s">
        <v>92</v>
      </c>
      <c r="AA192" s="197" t="s">
        <v>93</v>
      </c>
      <c r="AB192" s="197" t="s">
        <v>7146</v>
      </c>
      <c r="AC192" s="197"/>
      <c r="AD192" s="197"/>
      <c r="AE192" s="197" t="s">
        <v>92</v>
      </c>
      <c r="AF192" s="99" t="s">
        <v>7146</v>
      </c>
      <c r="AG192" s="197" t="s">
        <v>6982</v>
      </c>
      <c r="AH192" s="197"/>
      <c r="AI192" s="459" t="s">
        <v>92</v>
      </c>
      <c r="AJ192" s="99" t="s">
        <v>3410</v>
      </c>
      <c r="AK192" s="99" t="s">
        <v>92</v>
      </c>
      <c r="AL192" s="99" t="s">
        <v>92</v>
      </c>
      <c r="AM192" s="99" t="s">
        <v>92</v>
      </c>
      <c r="AN192" s="99" t="s">
        <v>92</v>
      </c>
      <c r="AO192" s="99" t="s">
        <v>92</v>
      </c>
      <c r="AP192" s="99" t="s">
        <v>93</v>
      </c>
      <c r="AQ192" s="99" t="s">
        <v>92</v>
      </c>
      <c r="AR192" s="99" t="s">
        <v>6942</v>
      </c>
      <c r="AS192" s="99" t="s">
        <v>7147</v>
      </c>
      <c r="AT192" s="99" t="s">
        <v>6965</v>
      </c>
      <c r="AU192" s="99" t="s">
        <v>93</v>
      </c>
      <c r="AV192" s="99" t="s">
        <v>92</v>
      </c>
      <c r="AW192" s="99" t="s">
        <v>92</v>
      </c>
      <c r="AX192" s="99" t="s">
        <v>93</v>
      </c>
      <c r="AY192" s="99" t="s">
        <v>92</v>
      </c>
      <c r="AZ192" s="460" t="s">
        <v>93</v>
      </c>
      <c r="BA192" s="460" t="s">
        <v>93</v>
      </c>
      <c r="BB192" s="460" t="s">
        <v>92</v>
      </c>
      <c r="BC192" s="460" t="s">
        <v>92</v>
      </c>
      <c r="BD192" s="460" t="s">
        <v>92</v>
      </c>
      <c r="BE192" s="460" t="s">
        <v>92</v>
      </c>
      <c r="BF192" s="460" t="s">
        <v>92</v>
      </c>
      <c r="BG192" s="460"/>
      <c r="BH192" s="460"/>
      <c r="BI192" s="460" t="s">
        <v>92</v>
      </c>
      <c r="BJ192" s="460" t="s">
        <v>92</v>
      </c>
      <c r="BK192" s="460" t="s">
        <v>93</v>
      </c>
      <c r="BL192" s="460"/>
      <c r="BM192" s="213" t="s">
        <v>7148</v>
      </c>
      <c r="BN192" s="213" t="s">
        <v>7149</v>
      </c>
      <c r="BO192" s="213" t="s">
        <v>7150</v>
      </c>
      <c r="BP192" s="474"/>
      <c r="BQ192" s="475"/>
      <c r="BR192" s="475"/>
    </row>
    <row r="193" ht="15.75" customHeight="1">
      <c r="A193" s="197"/>
      <c r="B193" s="99" t="s">
        <v>4961</v>
      </c>
      <c r="C193" s="197">
        <v>215.0</v>
      </c>
      <c r="D193" s="99" t="s">
        <v>7151</v>
      </c>
      <c r="E193" s="99" t="s">
        <v>110</v>
      </c>
      <c r="F193" s="99" t="s">
        <v>7152</v>
      </c>
      <c r="G193" s="99" t="s">
        <v>3346</v>
      </c>
      <c r="H193" s="99" t="s">
        <v>3345</v>
      </c>
      <c r="I193" s="99" t="s">
        <v>287</v>
      </c>
      <c r="J193" s="99" t="s">
        <v>92</v>
      </c>
      <c r="K193" s="197">
        <v>2018.0</v>
      </c>
      <c r="L193" s="99" t="s">
        <v>93</v>
      </c>
      <c r="M193" s="99" t="s">
        <v>93</v>
      </c>
      <c r="N193" s="99" t="s">
        <v>93</v>
      </c>
      <c r="O193" s="99" t="s">
        <v>93</v>
      </c>
      <c r="P193" s="99" t="s">
        <v>95</v>
      </c>
      <c r="Q193" s="99" t="s">
        <v>114</v>
      </c>
      <c r="R193" s="197" t="s">
        <v>5902</v>
      </c>
      <c r="S193" s="197" t="s">
        <v>93</v>
      </c>
      <c r="T193" s="197" t="s">
        <v>92</v>
      </c>
      <c r="U193" s="99" t="s">
        <v>93</v>
      </c>
      <c r="V193" s="99" t="s">
        <v>92</v>
      </c>
      <c r="W193" s="99" t="s">
        <v>92</v>
      </c>
      <c r="X193" s="99" t="s">
        <v>92</v>
      </c>
      <c r="Y193" s="99" t="s">
        <v>93</v>
      </c>
      <c r="Z193" s="99" t="s">
        <v>92</v>
      </c>
      <c r="AA193" s="197" t="s">
        <v>93</v>
      </c>
      <c r="AB193" s="197" t="s">
        <v>7146</v>
      </c>
      <c r="AC193" s="197"/>
      <c r="AD193" s="197"/>
      <c r="AE193" s="197" t="s">
        <v>92</v>
      </c>
      <c r="AF193" s="99" t="s">
        <v>7146</v>
      </c>
      <c r="AG193" s="197" t="s">
        <v>6982</v>
      </c>
      <c r="AH193" s="197"/>
      <c r="AI193" s="459" t="s">
        <v>92</v>
      </c>
      <c r="AJ193" s="99" t="s">
        <v>7111</v>
      </c>
      <c r="AK193" s="99" t="s">
        <v>93</v>
      </c>
      <c r="AL193" s="99" t="s">
        <v>92</v>
      </c>
      <c r="AM193" s="99" t="s">
        <v>92</v>
      </c>
      <c r="AN193" s="99" t="s">
        <v>92</v>
      </c>
      <c r="AO193" s="99" t="s">
        <v>92</v>
      </c>
      <c r="AP193" s="99" t="s">
        <v>93</v>
      </c>
      <c r="AQ193" s="99" t="s">
        <v>92</v>
      </c>
      <c r="AR193" s="99" t="s">
        <v>6942</v>
      </c>
      <c r="AS193" s="99" t="s">
        <v>3520</v>
      </c>
      <c r="AT193" s="99" t="s">
        <v>3451</v>
      </c>
      <c r="AU193" s="99" t="s">
        <v>92</v>
      </c>
      <c r="AV193" s="99" t="s">
        <v>92</v>
      </c>
      <c r="AW193" s="99" t="s">
        <v>92</v>
      </c>
      <c r="AX193" s="99" t="s">
        <v>93</v>
      </c>
      <c r="AY193" s="99" t="s">
        <v>92</v>
      </c>
      <c r="AZ193" s="460" t="s">
        <v>93</v>
      </c>
      <c r="BA193" s="460" t="s">
        <v>93</v>
      </c>
      <c r="BB193" s="460" t="s">
        <v>92</v>
      </c>
      <c r="BC193" s="460" t="s">
        <v>93</v>
      </c>
      <c r="BD193" s="460" t="s">
        <v>92</v>
      </c>
      <c r="BE193" s="460" t="s">
        <v>92</v>
      </c>
      <c r="BF193" s="460" t="s">
        <v>92</v>
      </c>
      <c r="BG193" s="460"/>
      <c r="BH193" s="460"/>
      <c r="BI193" s="460" t="s">
        <v>92</v>
      </c>
      <c r="BJ193" s="460" t="s">
        <v>92</v>
      </c>
      <c r="BK193" s="460" t="s">
        <v>93</v>
      </c>
      <c r="BL193" s="460"/>
      <c r="BM193" s="213" t="s">
        <v>7153</v>
      </c>
      <c r="BN193" s="213" t="s">
        <v>7149</v>
      </c>
      <c r="BO193" s="213" t="s">
        <v>7150</v>
      </c>
      <c r="BP193" s="474"/>
      <c r="BQ193" s="475"/>
      <c r="BR193" s="475"/>
    </row>
    <row r="194" ht="15.75" customHeight="1">
      <c r="A194" s="475"/>
      <c r="B194" s="99" t="s">
        <v>4961</v>
      </c>
      <c r="C194" s="475"/>
      <c r="D194" s="99" t="s">
        <v>7906</v>
      </c>
      <c r="E194" s="99" t="s">
        <v>189</v>
      </c>
      <c r="F194" s="99" t="s">
        <v>7907</v>
      </c>
      <c r="G194" s="99" t="s">
        <v>3346</v>
      </c>
      <c r="H194" s="99" t="s">
        <v>95</v>
      </c>
      <c r="I194" s="99" t="s">
        <v>94</v>
      </c>
      <c r="J194" s="99" t="s">
        <v>92</v>
      </c>
      <c r="K194" s="197">
        <v>2020.0</v>
      </c>
      <c r="L194" s="99" t="s">
        <v>93</v>
      </c>
      <c r="M194" s="99" t="s">
        <v>92</v>
      </c>
      <c r="N194" s="99" t="s">
        <v>92</v>
      </c>
      <c r="O194" s="99" t="s">
        <v>92</v>
      </c>
      <c r="P194" s="99">
        <v>2020.0</v>
      </c>
      <c r="Q194" s="99" t="s">
        <v>96</v>
      </c>
      <c r="R194" s="197" t="s">
        <v>5902</v>
      </c>
      <c r="S194" s="197" t="s">
        <v>93</v>
      </c>
      <c r="T194" s="197" t="s">
        <v>92</v>
      </c>
      <c r="U194" s="99" t="s">
        <v>93</v>
      </c>
      <c r="V194" s="99" t="s">
        <v>92</v>
      </c>
      <c r="W194" s="99" t="s">
        <v>92</v>
      </c>
      <c r="X194" s="99" t="s">
        <v>92</v>
      </c>
      <c r="Y194" s="99" t="s">
        <v>93</v>
      </c>
      <c r="Z194" s="99" t="s">
        <v>92</v>
      </c>
      <c r="AA194" s="197" t="s">
        <v>93</v>
      </c>
      <c r="AB194" s="197" t="s">
        <v>7146</v>
      </c>
      <c r="AC194" s="197"/>
      <c r="AD194" s="197"/>
      <c r="AE194" s="197" t="s">
        <v>92</v>
      </c>
      <c r="AF194" s="99" t="s">
        <v>4961</v>
      </c>
      <c r="AG194" s="197" t="s">
        <v>5902</v>
      </c>
      <c r="AH194" s="197"/>
      <c r="AI194" s="459"/>
      <c r="AJ194" s="99" t="s">
        <v>3410</v>
      </c>
      <c r="AK194" s="99" t="s">
        <v>92</v>
      </c>
      <c r="AL194" s="99" t="s">
        <v>92</v>
      </c>
      <c r="AM194" s="99" t="s">
        <v>92</v>
      </c>
      <c r="AN194" s="99" t="s">
        <v>92</v>
      </c>
      <c r="AO194" s="99" t="s">
        <v>92</v>
      </c>
      <c r="AP194" s="99" t="s">
        <v>93</v>
      </c>
      <c r="AQ194" s="99" t="s">
        <v>92</v>
      </c>
      <c r="AR194" s="99" t="s">
        <v>6942</v>
      </c>
      <c r="AS194" s="470" t="s">
        <v>105</v>
      </c>
      <c r="AT194" s="470" t="s">
        <v>105</v>
      </c>
      <c r="AU194" s="99" t="s">
        <v>105</v>
      </c>
      <c r="AV194" s="99" t="s">
        <v>105</v>
      </c>
      <c r="AW194" s="99" t="s">
        <v>105</v>
      </c>
      <c r="AX194" s="99" t="s">
        <v>105</v>
      </c>
      <c r="AY194" s="99" t="s">
        <v>105</v>
      </c>
      <c r="AZ194" s="460" t="s">
        <v>93</v>
      </c>
      <c r="BA194" s="460" t="s">
        <v>92</v>
      </c>
      <c r="BB194" s="460" t="s">
        <v>92</v>
      </c>
      <c r="BC194" s="460" t="s">
        <v>92</v>
      </c>
      <c r="BD194" s="460" t="s">
        <v>92</v>
      </c>
      <c r="BE194" s="460" t="s">
        <v>92</v>
      </c>
      <c r="BF194" s="460" t="s">
        <v>92</v>
      </c>
      <c r="BG194" s="460"/>
      <c r="BH194" s="460"/>
      <c r="BI194" s="460" t="s">
        <v>92</v>
      </c>
      <c r="BJ194" s="460" t="s">
        <v>93</v>
      </c>
      <c r="BK194" s="460" t="s">
        <v>92</v>
      </c>
      <c r="BL194" s="460"/>
      <c r="BM194" s="489" t="s">
        <v>7150</v>
      </c>
      <c r="BN194" s="489" t="s">
        <v>7908</v>
      </c>
      <c r="BO194" s="474"/>
      <c r="BP194" s="474"/>
      <c r="BQ194" s="475"/>
      <c r="BR194" s="475"/>
    </row>
    <row r="195" ht="15.75" customHeight="1">
      <c r="A195" s="475"/>
      <c r="B195" s="99" t="s">
        <v>4961</v>
      </c>
      <c r="C195" s="475"/>
      <c r="D195" s="99" t="s">
        <v>7909</v>
      </c>
      <c r="E195" s="99" t="s">
        <v>189</v>
      </c>
      <c r="F195" s="99" t="s">
        <v>7910</v>
      </c>
      <c r="G195" s="99" t="s">
        <v>3346</v>
      </c>
      <c r="H195" s="99" t="s">
        <v>95</v>
      </c>
      <c r="I195" s="99" t="s">
        <v>94</v>
      </c>
      <c r="J195" s="99" t="s">
        <v>92</v>
      </c>
      <c r="K195" s="197">
        <v>2020.0</v>
      </c>
      <c r="L195" s="99" t="s">
        <v>93</v>
      </c>
      <c r="M195" s="99" t="s">
        <v>92</v>
      </c>
      <c r="N195" s="99" t="s">
        <v>92</v>
      </c>
      <c r="O195" s="99" t="s">
        <v>92</v>
      </c>
      <c r="P195" s="99">
        <v>2020.0</v>
      </c>
      <c r="Q195" s="99" t="s">
        <v>96</v>
      </c>
      <c r="R195" s="197" t="s">
        <v>5902</v>
      </c>
      <c r="S195" s="197" t="s">
        <v>93</v>
      </c>
      <c r="T195" s="197" t="s">
        <v>92</v>
      </c>
      <c r="U195" s="99" t="s">
        <v>93</v>
      </c>
      <c r="V195" s="99" t="s">
        <v>92</v>
      </c>
      <c r="W195" s="99" t="s">
        <v>92</v>
      </c>
      <c r="X195" s="99" t="s">
        <v>92</v>
      </c>
      <c r="Y195" s="99" t="s">
        <v>93</v>
      </c>
      <c r="Z195" s="99" t="s">
        <v>92</v>
      </c>
      <c r="AA195" s="197" t="s">
        <v>93</v>
      </c>
      <c r="AB195" s="197" t="s">
        <v>7146</v>
      </c>
      <c r="AC195" s="197"/>
      <c r="AD195" s="197"/>
      <c r="AE195" s="197" t="s">
        <v>92</v>
      </c>
      <c r="AF195" s="99" t="s">
        <v>4961</v>
      </c>
      <c r="AG195" s="197" t="s">
        <v>5902</v>
      </c>
      <c r="AH195" s="197"/>
      <c r="AI195" s="459"/>
      <c r="AJ195" s="99" t="s">
        <v>3410</v>
      </c>
      <c r="AK195" s="99" t="s">
        <v>92</v>
      </c>
      <c r="AL195" s="99" t="s">
        <v>92</v>
      </c>
      <c r="AM195" s="99" t="s">
        <v>92</v>
      </c>
      <c r="AN195" s="99" t="s">
        <v>92</v>
      </c>
      <c r="AO195" s="99" t="s">
        <v>92</v>
      </c>
      <c r="AP195" s="99" t="s">
        <v>93</v>
      </c>
      <c r="AQ195" s="99" t="s">
        <v>92</v>
      </c>
      <c r="AR195" s="99" t="s">
        <v>6942</v>
      </c>
      <c r="AS195" s="470" t="s">
        <v>3714</v>
      </c>
      <c r="AT195" s="470" t="s">
        <v>3448</v>
      </c>
      <c r="AU195" s="99" t="s">
        <v>93</v>
      </c>
      <c r="AV195" s="99" t="s">
        <v>92</v>
      </c>
      <c r="AW195" s="99" t="s">
        <v>92</v>
      </c>
      <c r="AX195" s="99" t="s">
        <v>92</v>
      </c>
      <c r="AY195" s="99" t="s">
        <v>92</v>
      </c>
      <c r="AZ195" s="460" t="s">
        <v>93</v>
      </c>
      <c r="BA195" s="460" t="s">
        <v>92</v>
      </c>
      <c r="BB195" s="460" t="s">
        <v>92</v>
      </c>
      <c r="BC195" s="460" t="s">
        <v>92</v>
      </c>
      <c r="BD195" s="460" t="s">
        <v>92</v>
      </c>
      <c r="BE195" s="460" t="s">
        <v>92</v>
      </c>
      <c r="BF195" s="460" t="s">
        <v>92</v>
      </c>
      <c r="BG195" s="460"/>
      <c r="BH195" s="460"/>
      <c r="BI195" s="460" t="s">
        <v>92</v>
      </c>
      <c r="BJ195" s="460" t="s">
        <v>93</v>
      </c>
      <c r="BK195" s="460" t="s">
        <v>92</v>
      </c>
      <c r="BL195" s="460"/>
      <c r="BM195" s="489" t="s">
        <v>7911</v>
      </c>
      <c r="BN195" s="474"/>
      <c r="BO195" s="474"/>
      <c r="BP195" s="474"/>
      <c r="BQ195" s="475"/>
      <c r="BR195" s="475"/>
    </row>
    <row r="196" ht="15.75" customHeight="1">
      <c r="A196" s="475"/>
      <c r="B196" s="99" t="s">
        <v>4961</v>
      </c>
      <c r="C196" s="475"/>
      <c r="D196" s="99" t="s">
        <v>7912</v>
      </c>
      <c r="E196" s="99" t="s">
        <v>110</v>
      </c>
      <c r="F196" s="99" t="s">
        <v>7913</v>
      </c>
      <c r="G196" s="99" t="s">
        <v>3344</v>
      </c>
      <c r="H196" s="99" t="s">
        <v>95</v>
      </c>
      <c r="I196" s="99" t="s">
        <v>3202</v>
      </c>
      <c r="J196" s="99" t="s">
        <v>92</v>
      </c>
      <c r="K196" s="197">
        <v>2014.0</v>
      </c>
      <c r="L196" s="99" t="s">
        <v>93</v>
      </c>
      <c r="M196" s="99" t="s">
        <v>93</v>
      </c>
      <c r="N196" s="99" t="s">
        <v>93</v>
      </c>
      <c r="O196" s="99" t="s">
        <v>93</v>
      </c>
      <c r="P196" s="99" t="s">
        <v>95</v>
      </c>
      <c r="Q196" s="99" t="s">
        <v>114</v>
      </c>
      <c r="R196" s="197" t="s">
        <v>5902</v>
      </c>
      <c r="S196" s="197" t="s">
        <v>93</v>
      </c>
      <c r="T196" s="197" t="s">
        <v>92</v>
      </c>
      <c r="U196" s="99" t="s">
        <v>93</v>
      </c>
      <c r="V196" s="99" t="s">
        <v>92</v>
      </c>
      <c r="W196" s="99" t="s">
        <v>92</v>
      </c>
      <c r="X196" s="99" t="s">
        <v>92</v>
      </c>
      <c r="Y196" s="99" t="s">
        <v>93</v>
      </c>
      <c r="Z196" s="99" t="s">
        <v>92</v>
      </c>
      <c r="AA196" s="197" t="s">
        <v>93</v>
      </c>
      <c r="AB196" s="197" t="s">
        <v>7146</v>
      </c>
      <c r="AC196" s="197"/>
      <c r="AD196" s="197"/>
      <c r="AE196" s="197" t="s">
        <v>93</v>
      </c>
      <c r="AF196" s="99" t="s">
        <v>7914</v>
      </c>
      <c r="AG196" s="197" t="s">
        <v>6990</v>
      </c>
      <c r="AH196" s="197"/>
      <c r="AI196" s="459" t="s">
        <v>92</v>
      </c>
      <c r="AJ196" s="99" t="s">
        <v>3344</v>
      </c>
      <c r="AK196" s="99" t="s">
        <v>93</v>
      </c>
      <c r="AL196" s="99" t="s">
        <v>92</v>
      </c>
      <c r="AM196" s="99" t="s">
        <v>92</v>
      </c>
      <c r="AN196" s="99" t="s">
        <v>92</v>
      </c>
      <c r="AO196" s="99" t="s">
        <v>92</v>
      </c>
      <c r="AP196" s="99" t="s">
        <v>92</v>
      </c>
      <c r="AQ196" s="99" t="s">
        <v>92</v>
      </c>
      <c r="AR196" s="99" t="s">
        <v>6942</v>
      </c>
      <c r="AS196" s="470" t="s">
        <v>7915</v>
      </c>
      <c r="AT196" s="99" t="s">
        <v>7916</v>
      </c>
      <c r="AU196" s="99" t="s">
        <v>93</v>
      </c>
      <c r="AV196" s="99" t="s">
        <v>92</v>
      </c>
      <c r="AW196" s="99" t="s">
        <v>92</v>
      </c>
      <c r="AX196" s="99" t="s">
        <v>93</v>
      </c>
      <c r="AY196" s="99" t="s">
        <v>93</v>
      </c>
      <c r="AZ196" s="460" t="s">
        <v>92</v>
      </c>
      <c r="BA196" s="460" t="s">
        <v>92</v>
      </c>
      <c r="BB196" s="460" t="s">
        <v>93</v>
      </c>
      <c r="BC196" s="460" t="s">
        <v>93</v>
      </c>
      <c r="BD196" s="460" t="s">
        <v>92</v>
      </c>
      <c r="BE196" s="460" t="s">
        <v>93</v>
      </c>
      <c r="BF196" s="460" t="s">
        <v>92</v>
      </c>
      <c r="BG196" s="460"/>
      <c r="BH196" s="460"/>
      <c r="BI196" s="460" t="s">
        <v>92</v>
      </c>
      <c r="BJ196" s="460" t="s">
        <v>92</v>
      </c>
      <c r="BK196" s="460" t="s">
        <v>93</v>
      </c>
      <c r="BL196" s="460"/>
      <c r="BM196" s="489" t="s">
        <v>7917</v>
      </c>
      <c r="BN196" s="489" t="s">
        <v>7918</v>
      </c>
      <c r="BO196" s="474"/>
      <c r="BP196" s="474"/>
      <c r="BQ196" s="475"/>
      <c r="BR196" s="475"/>
    </row>
    <row r="197" ht="15.75" customHeight="1">
      <c r="A197" s="475"/>
      <c r="B197" s="99" t="s">
        <v>5123</v>
      </c>
      <c r="C197" s="475"/>
      <c r="D197" s="99" t="s">
        <v>3300</v>
      </c>
      <c r="E197" s="99" t="s">
        <v>189</v>
      </c>
      <c r="F197" s="99" t="s">
        <v>7919</v>
      </c>
      <c r="G197" s="99" t="s">
        <v>3346</v>
      </c>
      <c r="H197" s="99" t="s">
        <v>95</v>
      </c>
      <c r="I197" s="99" t="s">
        <v>94</v>
      </c>
      <c r="J197" s="99" t="s">
        <v>92</v>
      </c>
      <c r="K197" s="197" t="s">
        <v>105</v>
      </c>
      <c r="L197" s="99" t="s">
        <v>93</v>
      </c>
      <c r="M197" s="99" t="s">
        <v>93</v>
      </c>
      <c r="N197" s="99" t="s">
        <v>93</v>
      </c>
      <c r="O197" s="99" t="s">
        <v>92</v>
      </c>
      <c r="P197" s="99" t="s">
        <v>95</v>
      </c>
      <c r="Q197" s="99" t="s">
        <v>114</v>
      </c>
      <c r="R197" s="475" t="s">
        <v>5902</v>
      </c>
      <c r="S197" s="197" t="s">
        <v>93</v>
      </c>
      <c r="T197" s="197" t="s">
        <v>92</v>
      </c>
      <c r="U197" s="99" t="s">
        <v>93</v>
      </c>
      <c r="V197" s="99" t="s">
        <v>93</v>
      </c>
      <c r="W197" s="99" t="s">
        <v>93</v>
      </c>
      <c r="X197" s="99" t="s">
        <v>93</v>
      </c>
      <c r="Y197" s="99" t="s">
        <v>92</v>
      </c>
      <c r="Z197" s="99" t="s">
        <v>92</v>
      </c>
      <c r="AA197" s="197" t="s">
        <v>92</v>
      </c>
      <c r="AB197" s="197" t="s">
        <v>95</v>
      </c>
      <c r="AC197" s="197"/>
      <c r="AD197" s="197"/>
      <c r="AE197" s="197" t="s">
        <v>92</v>
      </c>
      <c r="AF197" s="99" t="s">
        <v>5123</v>
      </c>
      <c r="AG197" s="197" t="s">
        <v>5902</v>
      </c>
      <c r="AH197" s="197"/>
      <c r="AI197" s="459" t="s">
        <v>92</v>
      </c>
      <c r="AJ197" s="99" t="s">
        <v>3410</v>
      </c>
      <c r="AK197" s="99" t="s">
        <v>92</v>
      </c>
      <c r="AL197" s="99" t="s">
        <v>92</v>
      </c>
      <c r="AM197" s="99" t="s">
        <v>92</v>
      </c>
      <c r="AN197" s="99" t="s">
        <v>92</v>
      </c>
      <c r="AO197" s="99" t="s">
        <v>92</v>
      </c>
      <c r="AP197" s="99" t="s">
        <v>93</v>
      </c>
      <c r="AQ197" s="99" t="s">
        <v>92</v>
      </c>
      <c r="AR197" s="99" t="s">
        <v>6942</v>
      </c>
      <c r="AS197" s="470" t="s">
        <v>7147</v>
      </c>
      <c r="AT197" s="99" t="s">
        <v>6965</v>
      </c>
      <c r="AU197" s="99" t="s">
        <v>93</v>
      </c>
      <c r="AV197" s="99" t="s">
        <v>92</v>
      </c>
      <c r="AW197" s="99" t="s">
        <v>92</v>
      </c>
      <c r="AX197" s="99" t="s">
        <v>93</v>
      </c>
      <c r="AY197" s="99" t="s">
        <v>92</v>
      </c>
      <c r="AZ197" s="460" t="s">
        <v>93</v>
      </c>
      <c r="BA197" s="460" t="s">
        <v>92</v>
      </c>
      <c r="BB197" s="460" t="s">
        <v>92</v>
      </c>
      <c r="BC197" s="460" t="s">
        <v>92</v>
      </c>
      <c r="BD197" s="460" t="s">
        <v>92</v>
      </c>
      <c r="BE197" s="460" t="s">
        <v>92</v>
      </c>
      <c r="BF197" s="460" t="s">
        <v>92</v>
      </c>
      <c r="BG197" s="460"/>
      <c r="BH197" s="460"/>
      <c r="BI197" s="460" t="s">
        <v>92</v>
      </c>
      <c r="BJ197" s="460" t="s">
        <v>92</v>
      </c>
      <c r="BK197" s="460" t="s">
        <v>93</v>
      </c>
      <c r="BL197" s="460"/>
      <c r="BM197" s="489" t="s">
        <v>7920</v>
      </c>
      <c r="BN197" s="489" t="s">
        <v>7921</v>
      </c>
      <c r="BO197" s="489" t="s">
        <v>7922</v>
      </c>
      <c r="BP197" s="489" t="s">
        <v>7923</v>
      </c>
      <c r="BQ197" s="489" t="s">
        <v>7924</v>
      </c>
      <c r="BR197" s="474"/>
    </row>
    <row r="198" ht="15.75" customHeight="1">
      <c r="A198" s="475"/>
      <c r="B198" s="99" t="s">
        <v>5123</v>
      </c>
      <c r="C198" s="475"/>
      <c r="D198" s="99" t="s">
        <v>7925</v>
      </c>
      <c r="E198" s="99" t="s">
        <v>189</v>
      </c>
      <c r="F198" s="99" t="s">
        <v>7926</v>
      </c>
      <c r="G198" s="99" t="s">
        <v>3346</v>
      </c>
      <c r="H198" s="99" t="s">
        <v>95</v>
      </c>
      <c r="I198" s="99" t="s">
        <v>94</v>
      </c>
      <c r="J198" s="99" t="s">
        <v>92</v>
      </c>
      <c r="K198" s="197">
        <v>2021.0</v>
      </c>
      <c r="L198" s="99" t="s">
        <v>92</v>
      </c>
      <c r="M198" s="99" t="s">
        <v>93</v>
      </c>
      <c r="N198" s="99" t="s">
        <v>92</v>
      </c>
      <c r="O198" s="99" t="s">
        <v>92</v>
      </c>
      <c r="P198" s="99">
        <v>2021.0</v>
      </c>
      <c r="Q198" s="99" t="s">
        <v>96</v>
      </c>
      <c r="R198" s="475" t="s">
        <v>5902</v>
      </c>
      <c r="S198" s="197" t="s">
        <v>93</v>
      </c>
      <c r="T198" s="197" t="s">
        <v>92</v>
      </c>
      <c r="U198" s="99" t="s">
        <v>93</v>
      </c>
      <c r="V198" s="99" t="s">
        <v>93</v>
      </c>
      <c r="W198" s="99" t="s">
        <v>93</v>
      </c>
      <c r="X198" s="99" t="s">
        <v>93</v>
      </c>
      <c r="Y198" s="99" t="s">
        <v>92</v>
      </c>
      <c r="Z198" s="99" t="s">
        <v>92</v>
      </c>
      <c r="AA198" s="197" t="s">
        <v>92</v>
      </c>
      <c r="AB198" s="197" t="s">
        <v>95</v>
      </c>
      <c r="AC198" s="197"/>
      <c r="AD198" s="197"/>
      <c r="AE198" s="197" t="s">
        <v>92</v>
      </c>
      <c r="AF198" s="99" t="s">
        <v>5123</v>
      </c>
      <c r="AG198" s="197" t="s">
        <v>5902</v>
      </c>
      <c r="AH198" s="197"/>
      <c r="AI198" s="459" t="s">
        <v>92</v>
      </c>
      <c r="AJ198" s="99" t="s">
        <v>3410</v>
      </c>
      <c r="AK198" s="99" t="s">
        <v>92</v>
      </c>
      <c r="AL198" s="99" t="s">
        <v>92</v>
      </c>
      <c r="AM198" s="99" t="s">
        <v>92</v>
      </c>
      <c r="AN198" s="99" t="s">
        <v>92</v>
      </c>
      <c r="AO198" s="99" t="s">
        <v>92</v>
      </c>
      <c r="AP198" s="99" t="s">
        <v>93</v>
      </c>
      <c r="AQ198" s="99" t="s">
        <v>92</v>
      </c>
      <c r="AR198" s="99" t="s">
        <v>6942</v>
      </c>
      <c r="AS198" s="470" t="s">
        <v>7147</v>
      </c>
      <c r="AT198" s="99" t="s">
        <v>6965</v>
      </c>
      <c r="AU198" s="99" t="s">
        <v>93</v>
      </c>
      <c r="AV198" s="99" t="s">
        <v>92</v>
      </c>
      <c r="AW198" s="99" t="s">
        <v>92</v>
      </c>
      <c r="AX198" s="99" t="s">
        <v>93</v>
      </c>
      <c r="AY198" s="99" t="s">
        <v>92</v>
      </c>
      <c r="AZ198" s="460" t="s">
        <v>93</v>
      </c>
      <c r="BA198" s="460" t="s">
        <v>92</v>
      </c>
      <c r="BB198" s="460" t="s">
        <v>92</v>
      </c>
      <c r="BC198" s="460" t="s">
        <v>92</v>
      </c>
      <c r="BD198" s="460" t="s">
        <v>92</v>
      </c>
      <c r="BE198" s="460" t="s">
        <v>92</v>
      </c>
      <c r="BF198" s="460" t="s">
        <v>92</v>
      </c>
      <c r="BG198" s="460"/>
      <c r="BH198" s="460"/>
      <c r="BI198" s="460" t="s">
        <v>92</v>
      </c>
      <c r="BJ198" s="460" t="s">
        <v>93</v>
      </c>
      <c r="BK198" s="460" t="s">
        <v>92</v>
      </c>
      <c r="BL198" s="460"/>
      <c r="BM198" s="489" t="s">
        <v>7923</v>
      </c>
      <c r="BN198" s="474"/>
      <c r="BO198" s="474"/>
      <c r="BP198" s="474"/>
      <c r="BQ198" s="475"/>
      <c r="BR198" s="475"/>
    </row>
    <row r="199" ht="15.75" customHeight="1">
      <c r="A199" s="475"/>
      <c r="B199" s="475" t="s">
        <v>7927</v>
      </c>
      <c r="C199" s="475"/>
      <c r="D199" s="99" t="s">
        <v>7928</v>
      </c>
      <c r="E199" s="99" t="s">
        <v>189</v>
      </c>
      <c r="F199" s="99" t="s">
        <v>361</v>
      </c>
      <c r="G199" s="99" t="s">
        <v>3346</v>
      </c>
      <c r="H199" s="99" t="s">
        <v>95</v>
      </c>
      <c r="I199" s="99" t="s">
        <v>94</v>
      </c>
      <c r="J199" s="99" t="s">
        <v>92</v>
      </c>
      <c r="K199" s="197">
        <v>2020.0</v>
      </c>
      <c r="L199" s="99" t="s">
        <v>93</v>
      </c>
      <c r="M199" s="99" t="s">
        <v>92</v>
      </c>
      <c r="N199" s="99" t="s">
        <v>92</v>
      </c>
      <c r="O199" s="99" t="s">
        <v>92</v>
      </c>
      <c r="P199" s="99">
        <v>2020.0</v>
      </c>
      <c r="Q199" s="99" t="s">
        <v>96</v>
      </c>
      <c r="R199" s="475" t="s">
        <v>5902</v>
      </c>
      <c r="S199" s="197" t="s">
        <v>93</v>
      </c>
      <c r="T199" s="197" t="s">
        <v>92</v>
      </c>
      <c r="U199" s="99" t="s">
        <v>93</v>
      </c>
      <c r="V199" s="99" t="s">
        <v>92</v>
      </c>
      <c r="W199" s="99" t="s">
        <v>92</v>
      </c>
      <c r="X199" s="99" t="s">
        <v>92</v>
      </c>
      <c r="Y199" s="99" t="s">
        <v>92</v>
      </c>
      <c r="Z199" s="99" t="s">
        <v>92</v>
      </c>
      <c r="AA199" s="197" t="s">
        <v>93</v>
      </c>
      <c r="AB199" s="197" t="s">
        <v>7929</v>
      </c>
      <c r="AC199" s="197"/>
      <c r="AD199" s="197"/>
      <c r="AE199" s="197" t="s">
        <v>92</v>
      </c>
      <c r="AF199" s="99" t="s">
        <v>7927</v>
      </c>
      <c r="AG199" s="197" t="s">
        <v>5902</v>
      </c>
      <c r="AH199" s="197"/>
      <c r="AI199" s="459" t="s">
        <v>92</v>
      </c>
      <c r="AJ199" s="99" t="s">
        <v>3410</v>
      </c>
      <c r="AK199" s="99" t="s">
        <v>92</v>
      </c>
      <c r="AL199" s="99" t="s">
        <v>92</v>
      </c>
      <c r="AM199" s="99" t="s">
        <v>92</v>
      </c>
      <c r="AN199" s="99" t="s">
        <v>92</v>
      </c>
      <c r="AO199" s="99" t="s">
        <v>92</v>
      </c>
      <c r="AP199" s="99" t="s">
        <v>93</v>
      </c>
      <c r="AQ199" s="99" t="s">
        <v>92</v>
      </c>
      <c r="AR199" s="99" t="s">
        <v>6942</v>
      </c>
      <c r="AS199" s="470" t="s">
        <v>7930</v>
      </c>
      <c r="AT199" s="470" t="s">
        <v>7931</v>
      </c>
      <c r="AU199" s="99" t="s">
        <v>93</v>
      </c>
      <c r="AV199" s="99" t="s">
        <v>93</v>
      </c>
      <c r="AW199" s="99" t="s">
        <v>92</v>
      </c>
      <c r="AX199" s="99" t="s">
        <v>93</v>
      </c>
      <c r="AY199" s="99" t="s">
        <v>92</v>
      </c>
      <c r="AZ199" s="460" t="s">
        <v>93</v>
      </c>
      <c r="BA199" s="460" t="s">
        <v>92</v>
      </c>
      <c r="BB199" s="460" t="s">
        <v>92</v>
      </c>
      <c r="BC199" s="460" t="s">
        <v>92</v>
      </c>
      <c r="BD199" s="460" t="s">
        <v>92</v>
      </c>
      <c r="BE199" s="460" t="s">
        <v>92</v>
      </c>
      <c r="BF199" s="460" t="s">
        <v>92</v>
      </c>
      <c r="BG199" s="460"/>
      <c r="BH199" s="460"/>
      <c r="BI199" s="460" t="s">
        <v>92</v>
      </c>
      <c r="BJ199" s="460" t="s">
        <v>93</v>
      </c>
      <c r="BK199" s="460" t="s">
        <v>92</v>
      </c>
      <c r="BL199" s="460"/>
      <c r="BM199" s="489" t="s">
        <v>7932</v>
      </c>
      <c r="BN199" s="474"/>
      <c r="BO199" s="474"/>
      <c r="BP199" s="474"/>
      <c r="BQ199" s="475"/>
      <c r="BR199" s="475"/>
    </row>
    <row r="200" ht="15.75" customHeight="1">
      <c r="A200" s="475"/>
      <c r="B200" s="475" t="s">
        <v>7927</v>
      </c>
      <c r="C200" s="475"/>
      <c r="D200" s="99" t="s">
        <v>7933</v>
      </c>
      <c r="E200" s="99" t="s">
        <v>90</v>
      </c>
      <c r="F200" s="99" t="s">
        <v>7934</v>
      </c>
      <c r="G200" s="99" t="s">
        <v>3344</v>
      </c>
      <c r="H200" s="99" t="s">
        <v>3346</v>
      </c>
      <c r="I200" s="99" t="s">
        <v>287</v>
      </c>
      <c r="J200" s="99" t="s">
        <v>92</v>
      </c>
      <c r="K200" s="197" t="s">
        <v>105</v>
      </c>
      <c r="L200" s="99" t="s">
        <v>93</v>
      </c>
      <c r="M200" s="99" t="s">
        <v>93</v>
      </c>
      <c r="N200" s="99" t="s">
        <v>93</v>
      </c>
      <c r="O200" s="99" t="s">
        <v>105</v>
      </c>
      <c r="P200" s="99" t="s">
        <v>95</v>
      </c>
      <c r="Q200" s="99" t="s">
        <v>114</v>
      </c>
      <c r="R200" s="475" t="s">
        <v>5902</v>
      </c>
      <c r="S200" s="197" t="s">
        <v>93</v>
      </c>
      <c r="T200" s="197" t="s">
        <v>92</v>
      </c>
      <c r="U200" s="99" t="s">
        <v>93</v>
      </c>
      <c r="V200" s="99" t="s">
        <v>92</v>
      </c>
      <c r="W200" s="99" t="s">
        <v>92</v>
      </c>
      <c r="X200" s="99" t="s">
        <v>92</v>
      </c>
      <c r="Y200" s="99" t="s">
        <v>92</v>
      </c>
      <c r="Z200" s="99" t="s">
        <v>92</v>
      </c>
      <c r="AA200" s="197" t="s">
        <v>93</v>
      </c>
      <c r="AB200" s="197" t="s">
        <v>7929</v>
      </c>
      <c r="AC200" s="197"/>
      <c r="AD200" s="197"/>
      <c r="AE200" s="197" t="s">
        <v>92</v>
      </c>
      <c r="AF200" s="99" t="s">
        <v>2118</v>
      </c>
      <c r="AG200" s="197" t="s">
        <v>6990</v>
      </c>
      <c r="AH200" s="197"/>
      <c r="AI200" s="459" t="s">
        <v>93</v>
      </c>
      <c r="AJ200" s="99" t="s">
        <v>7935</v>
      </c>
      <c r="AK200" s="99" t="s">
        <v>93</v>
      </c>
      <c r="AL200" s="99" t="s">
        <v>92</v>
      </c>
      <c r="AM200" s="99" t="s">
        <v>92</v>
      </c>
      <c r="AN200" s="99" t="s">
        <v>92</v>
      </c>
      <c r="AO200" s="99" t="s">
        <v>92</v>
      </c>
      <c r="AP200" s="99" t="s">
        <v>93</v>
      </c>
      <c r="AQ200" s="99" t="s">
        <v>92</v>
      </c>
      <c r="AR200" s="99" t="s">
        <v>6972</v>
      </c>
      <c r="AS200" s="474" t="s">
        <v>7936</v>
      </c>
      <c r="AT200" s="474" t="s">
        <v>3449</v>
      </c>
      <c r="AU200" s="99" t="s">
        <v>92</v>
      </c>
      <c r="AV200" s="99" t="s">
        <v>93</v>
      </c>
      <c r="AW200" s="99" t="s">
        <v>92</v>
      </c>
      <c r="AX200" s="99" t="s">
        <v>92</v>
      </c>
      <c r="AY200" s="99" t="s">
        <v>92</v>
      </c>
      <c r="AZ200" s="460" t="s">
        <v>93</v>
      </c>
      <c r="BA200" s="460" t="s">
        <v>92</v>
      </c>
      <c r="BB200" s="460" t="s">
        <v>93</v>
      </c>
      <c r="BC200" s="460" t="s">
        <v>93</v>
      </c>
      <c r="BD200" s="460" t="s">
        <v>92</v>
      </c>
      <c r="BE200" s="460" t="s">
        <v>92</v>
      </c>
      <c r="BF200" s="460" t="s">
        <v>92</v>
      </c>
      <c r="BG200" s="460"/>
      <c r="BH200" s="460"/>
      <c r="BI200" s="460" t="s">
        <v>92</v>
      </c>
      <c r="BJ200" s="460" t="s">
        <v>92</v>
      </c>
      <c r="BK200" s="460" t="s">
        <v>93</v>
      </c>
      <c r="BL200" s="460"/>
      <c r="BM200" s="489" t="s">
        <v>7932</v>
      </c>
      <c r="BN200" s="489" t="s">
        <v>7937</v>
      </c>
      <c r="BO200" s="489" t="s">
        <v>7938</v>
      </c>
      <c r="BP200" s="474"/>
      <c r="BQ200" s="475"/>
      <c r="BR200" s="475"/>
    </row>
    <row r="201" ht="15.75" customHeight="1">
      <c r="A201" s="99"/>
      <c r="B201" s="475" t="s">
        <v>7927</v>
      </c>
      <c r="C201" s="99"/>
      <c r="D201" s="99" t="s">
        <v>7939</v>
      </c>
      <c r="E201" s="99" t="s">
        <v>90</v>
      </c>
      <c r="F201" s="99" t="s">
        <v>7940</v>
      </c>
      <c r="G201" s="99" t="s">
        <v>3346</v>
      </c>
      <c r="H201" s="99" t="s">
        <v>95</v>
      </c>
      <c r="I201" s="99" t="s">
        <v>94</v>
      </c>
      <c r="J201" s="99" t="s">
        <v>92</v>
      </c>
      <c r="K201" s="197" t="s">
        <v>105</v>
      </c>
      <c r="L201" s="99" t="s">
        <v>93</v>
      </c>
      <c r="M201" s="99" t="s">
        <v>93</v>
      </c>
      <c r="N201" s="99" t="s">
        <v>93</v>
      </c>
      <c r="O201" s="99" t="s">
        <v>105</v>
      </c>
      <c r="P201" s="99" t="s">
        <v>95</v>
      </c>
      <c r="Q201" s="99" t="s">
        <v>114</v>
      </c>
      <c r="R201" s="475" t="s">
        <v>5902</v>
      </c>
      <c r="S201" s="197" t="s">
        <v>93</v>
      </c>
      <c r="T201" s="197" t="s">
        <v>92</v>
      </c>
      <c r="U201" s="99" t="s">
        <v>93</v>
      </c>
      <c r="V201" s="99" t="s">
        <v>92</v>
      </c>
      <c r="W201" s="99" t="s">
        <v>92</v>
      </c>
      <c r="X201" s="99" t="s">
        <v>92</v>
      </c>
      <c r="Y201" s="99" t="s">
        <v>92</v>
      </c>
      <c r="Z201" s="99" t="s">
        <v>92</v>
      </c>
      <c r="AA201" s="197" t="s">
        <v>93</v>
      </c>
      <c r="AB201" s="197" t="s">
        <v>7929</v>
      </c>
      <c r="AC201" s="197"/>
      <c r="AD201" s="197"/>
      <c r="AE201" s="197" t="s">
        <v>92</v>
      </c>
      <c r="AF201" s="99" t="s">
        <v>377</v>
      </c>
      <c r="AG201" s="197" t="s">
        <v>6990</v>
      </c>
      <c r="AH201" s="197"/>
      <c r="AI201" s="479" t="s">
        <v>92</v>
      </c>
      <c r="AJ201" s="99" t="s">
        <v>3410</v>
      </c>
      <c r="AK201" s="99" t="s">
        <v>92</v>
      </c>
      <c r="AL201" s="99" t="s">
        <v>92</v>
      </c>
      <c r="AM201" s="99" t="s">
        <v>92</v>
      </c>
      <c r="AN201" s="99" t="s">
        <v>92</v>
      </c>
      <c r="AO201" s="99" t="s">
        <v>92</v>
      </c>
      <c r="AP201" s="99" t="s">
        <v>93</v>
      </c>
      <c r="AQ201" s="99" t="s">
        <v>92</v>
      </c>
      <c r="AR201" s="99" t="s">
        <v>6942</v>
      </c>
      <c r="AS201" s="99" t="s">
        <v>6888</v>
      </c>
      <c r="AT201" s="99" t="s">
        <v>3449</v>
      </c>
      <c r="AU201" s="99" t="s">
        <v>92</v>
      </c>
      <c r="AV201" s="99" t="s">
        <v>93</v>
      </c>
      <c r="AW201" s="99" t="s">
        <v>92</v>
      </c>
      <c r="AX201" s="99" t="s">
        <v>92</v>
      </c>
      <c r="AY201" s="99" t="s">
        <v>92</v>
      </c>
      <c r="AZ201" s="460" t="s">
        <v>93</v>
      </c>
      <c r="BA201" s="460" t="s">
        <v>92</v>
      </c>
      <c r="BB201" s="460" t="s">
        <v>92</v>
      </c>
      <c r="BC201" s="460" t="s">
        <v>92</v>
      </c>
      <c r="BD201" s="460" t="s">
        <v>92</v>
      </c>
      <c r="BE201" s="460" t="s">
        <v>92</v>
      </c>
      <c r="BF201" s="460" t="s">
        <v>92</v>
      </c>
      <c r="BG201" s="460"/>
      <c r="BH201" s="460"/>
      <c r="BI201" s="460" t="s">
        <v>92</v>
      </c>
      <c r="BJ201" s="460" t="s">
        <v>92</v>
      </c>
      <c r="BK201" s="460" t="s">
        <v>93</v>
      </c>
      <c r="BL201" s="460"/>
      <c r="BM201" s="489" t="s">
        <v>7932</v>
      </c>
      <c r="BN201" s="489" t="s">
        <v>7937</v>
      </c>
      <c r="BO201" s="489" t="s">
        <v>7938</v>
      </c>
      <c r="BP201" s="470"/>
      <c r="BQ201" s="99"/>
      <c r="BR201" s="99"/>
    </row>
    <row r="202" ht="15.75" customHeight="1">
      <c r="A202" s="99"/>
      <c r="B202" s="475" t="s">
        <v>7927</v>
      </c>
      <c r="C202" s="99"/>
      <c r="D202" s="99" t="s">
        <v>7286</v>
      </c>
      <c r="E202" s="99" t="s">
        <v>189</v>
      </c>
      <c r="F202" s="99" t="s">
        <v>7941</v>
      </c>
      <c r="G202" s="99" t="s">
        <v>3346</v>
      </c>
      <c r="H202" s="99" t="s">
        <v>3347</v>
      </c>
      <c r="I202" s="99" t="s">
        <v>94</v>
      </c>
      <c r="J202" s="99" t="s">
        <v>92</v>
      </c>
      <c r="K202" s="197">
        <v>2020.0</v>
      </c>
      <c r="L202" s="99" t="s">
        <v>93</v>
      </c>
      <c r="M202" s="99" t="s">
        <v>93</v>
      </c>
      <c r="N202" s="99" t="s">
        <v>92</v>
      </c>
      <c r="O202" s="99" t="s">
        <v>92</v>
      </c>
      <c r="P202" s="99">
        <v>2021.0</v>
      </c>
      <c r="Q202" s="99" t="s">
        <v>96</v>
      </c>
      <c r="R202" s="475" t="s">
        <v>5902</v>
      </c>
      <c r="S202" s="197" t="s">
        <v>93</v>
      </c>
      <c r="T202" s="197" t="s">
        <v>92</v>
      </c>
      <c r="U202" s="99" t="s">
        <v>93</v>
      </c>
      <c r="V202" s="99" t="s">
        <v>92</v>
      </c>
      <c r="W202" s="99" t="s">
        <v>92</v>
      </c>
      <c r="X202" s="99" t="s">
        <v>92</v>
      </c>
      <c r="Y202" s="99" t="s">
        <v>92</v>
      </c>
      <c r="Z202" s="99" t="s">
        <v>92</v>
      </c>
      <c r="AA202" s="197" t="s">
        <v>93</v>
      </c>
      <c r="AB202" s="197" t="s">
        <v>7929</v>
      </c>
      <c r="AC202" s="197"/>
      <c r="AD202" s="197"/>
      <c r="AE202" s="197" t="s">
        <v>93</v>
      </c>
      <c r="AF202" s="99" t="s">
        <v>7942</v>
      </c>
      <c r="AG202" s="197" t="s">
        <v>6982</v>
      </c>
      <c r="AH202" s="197"/>
      <c r="AI202" s="479" t="s">
        <v>92</v>
      </c>
      <c r="AJ202" s="99" t="s">
        <v>3410</v>
      </c>
      <c r="AK202" s="99" t="s">
        <v>92</v>
      </c>
      <c r="AL202" s="99" t="s">
        <v>92</v>
      </c>
      <c r="AM202" s="99" t="s">
        <v>92</v>
      </c>
      <c r="AN202" s="99" t="s">
        <v>92</v>
      </c>
      <c r="AO202" s="99" t="s">
        <v>92</v>
      </c>
      <c r="AP202" s="99" t="s">
        <v>93</v>
      </c>
      <c r="AQ202" s="99" t="s">
        <v>92</v>
      </c>
      <c r="AR202" s="99" t="s">
        <v>6942</v>
      </c>
      <c r="AS202" s="99" t="s">
        <v>3614</v>
      </c>
      <c r="AT202" s="99" t="s">
        <v>3448</v>
      </c>
      <c r="AU202" s="99" t="s">
        <v>93</v>
      </c>
      <c r="AV202" s="99" t="s">
        <v>92</v>
      </c>
      <c r="AW202" s="99" t="s">
        <v>92</v>
      </c>
      <c r="AX202" s="99" t="s">
        <v>92</v>
      </c>
      <c r="AY202" s="99" t="s">
        <v>92</v>
      </c>
      <c r="AZ202" s="460" t="s">
        <v>93</v>
      </c>
      <c r="BA202" s="460" t="s">
        <v>92</v>
      </c>
      <c r="BB202" s="460" t="s">
        <v>93</v>
      </c>
      <c r="BC202" s="460" t="s">
        <v>92</v>
      </c>
      <c r="BD202" s="460" t="s">
        <v>92</v>
      </c>
      <c r="BE202" s="460" t="s">
        <v>92</v>
      </c>
      <c r="BF202" s="460" t="s">
        <v>92</v>
      </c>
      <c r="BG202" s="460"/>
      <c r="BH202" s="460"/>
      <c r="BI202" s="460" t="s">
        <v>92</v>
      </c>
      <c r="BJ202" s="460" t="s">
        <v>93</v>
      </c>
      <c r="BK202" s="460" t="s">
        <v>93</v>
      </c>
      <c r="BL202" s="460"/>
      <c r="BM202" s="213" t="s">
        <v>7937</v>
      </c>
      <c r="BN202" s="213" t="s">
        <v>7938</v>
      </c>
      <c r="BO202" s="470"/>
      <c r="BP202" s="470"/>
      <c r="BQ202" s="99"/>
      <c r="BR202" s="99"/>
    </row>
    <row r="203" ht="15.75" customHeight="1">
      <c r="A203" s="99"/>
      <c r="B203" s="475" t="s">
        <v>7927</v>
      </c>
      <c r="C203" s="99"/>
      <c r="D203" s="99" t="s">
        <v>7943</v>
      </c>
      <c r="E203" s="99" t="s">
        <v>90</v>
      </c>
      <c r="F203" s="99" t="s">
        <v>7944</v>
      </c>
      <c r="G203" s="99" t="s">
        <v>3344</v>
      </c>
      <c r="H203" s="99" t="s">
        <v>3345</v>
      </c>
      <c r="I203" s="99" t="s">
        <v>3202</v>
      </c>
      <c r="J203" s="99" t="s">
        <v>92</v>
      </c>
      <c r="K203" s="197" t="s">
        <v>105</v>
      </c>
      <c r="L203" s="99" t="s">
        <v>92</v>
      </c>
      <c r="M203" s="99" t="s">
        <v>93</v>
      </c>
      <c r="N203" s="99" t="s">
        <v>93</v>
      </c>
      <c r="O203" s="99" t="s">
        <v>92</v>
      </c>
      <c r="P203" s="99">
        <v>2022.0</v>
      </c>
      <c r="Q203" s="99" t="s">
        <v>96</v>
      </c>
      <c r="R203" s="475" t="s">
        <v>5902</v>
      </c>
      <c r="S203" s="197" t="s">
        <v>93</v>
      </c>
      <c r="T203" s="197" t="s">
        <v>92</v>
      </c>
      <c r="U203" s="99" t="s">
        <v>93</v>
      </c>
      <c r="V203" s="99" t="s">
        <v>92</v>
      </c>
      <c r="W203" s="99" t="s">
        <v>92</v>
      </c>
      <c r="X203" s="99" t="s">
        <v>92</v>
      </c>
      <c r="Y203" s="99" t="s">
        <v>92</v>
      </c>
      <c r="Z203" s="99" t="s">
        <v>92</v>
      </c>
      <c r="AA203" s="197" t="s">
        <v>93</v>
      </c>
      <c r="AB203" s="197" t="s">
        <v>7929</v>
      </c>
      <c r="AC203" s="197"/>
      <c r="AD203" s="197"/>
      <c r="AE203" s="197" t="s">
        <v>93</v>
      </c>
      <c r="AF203" s="99" t="s">
        <v>377</v>
      </c>
      <c r="AG203" s="197" t="s">
        <v>6990</v>
      </c>
      <c r="AH203" s="197"/>
      <c r="AI203" s="479" t="s">
        <v>92</v>
      </c>
      <c r="AJ203" s="99" t="s">
        <v>7935</v>
      </c>
      <c r="AK203" s="99" t="s">
        <v>93</v>
      </c>
      <c r="AL203" s="99" t="s">
        <v>92</v>
      </c>
      <c r="AM203" s="99" t="s">
        <v>92</v>
      </c>
      <c r="AN203" s="99" t="s">
        <v>92</v>
      </c>
      <c r="AO203" s="99" t="s">
        <v>92</v>
      </c>
      <c r="AP203" s="99" t="s">
        <v>93</v>
      </c>
      <c r="AQ203" s="99" t="s">
        <v>92</v>
      </c>
      <c r="AR203" s="99" t="s">
        <v>6942</v>
      </c>
      <c r="AS203" s="99" t="s">
        <v>6888</v>
      </c>
      <c r="AT203" s="99" t="s">
        <v>3449</v>
      </c>
      <c r="AU203" s="99" t="s">
        <v>92</v>
      </c>
      <c r="AV203" s="99" t="s">
        <v>93</v>
      </c>
      <c r="AW203" s="99" t="s">
        <v>92</v>
      </c>
      <c r="AX203" s="99" t="s">
        <v>92</v>
      </c>
      <c r="AY203" s="99" t="s">
        <v>92</v>
      </c>
      <c r="AZ203" s="460" t="s">
        <v>92</v>
      </c>
      <c r="BA203" s="460" t="s">
        <v>93</v>
      </c>
      <c r="BB203" s="460" t="s">
        <v>93</v>
      </c>
      <c r="BC203" s="460" t="s">
        <v>93</v>
      </c>
      <c r="BD203" s="460" t="s">
        <v>92</v>
      </c>
      <c r="BE203" s="460" t="s">
        <v>92</v>
      </c>
      <c r="BF203" s="460" t="s">
        <v>92</v>
      </c>
      <c r="BG203" s="460"/>
      <c r="BH203" s="460"/>
      <c r="BI203" s="460" t="s">
        <v>92</v>
      </c>
      <c r="BJ203" s="460" t="s">
        <v>92</v>
      </c>
      <c r="BK203" s="460" t="s">
        <v>93</v>
      </c>
      <c r="BL203" s="460"/>
      <c r="BM203" s="213" t="s">
        <v>7937</v>
      </c>
      <c r="BN203" s="213" t="s">
        <v>7938</v>
      </c>
      <c r="BO203" s="213" t="s">
        <v>7945</v>
      </c>
      <c r="BP203" s="470"/>
      <c r="BQ203" s="99"/>
      <c r="BR203" s="99"/>
    </row>
    <row r="204" ht="15.75" customHeight="1">
      <c r="A204" s="99"/>
      <c r="B204" s="475" t="s">
        <v>7927</v>
      </c>
      <c r="C204" s="99"/>
      <c r="D204" s="99" t="s">
        <v>7946</v>
      </c>
      <c r="E204" s="99" t="s">
        <v>90</v>
      </c>
      <c r="F204" s="99" t="s">
        <v>7947</v>
      </c>
      <c r="G204" s="99" t="s">
        <v>3346</v>
      </c>
      <c r="H204" s="99" t="s">
        <v>3345</v>
      </c>
      <c r="I204" s="99" t="s">
        <v>287</v>
      </c>
      <c r="J204" s="99" t="s">
        <v>92</v>
      </c>
      <c r="K204" s="197" t="s">
        <v>105</v>
      </c>
      <c r="L204" s="99" t="s">
        <v>92</v>
      </c>
      <c r="M204" s="99" t="s">
        <v>93</v>
      </c>
      <c r="N204" s="99" t="s">
        <v>93</v>
      </c>
      <c r="O204" s="99" t="s">
        <v>92</v>
      </c>
      <c r="P204" s="99" t="s">
        <v>105</v>
      </c>
      <c r="Q204" s="99" t="s">
        <v>105</v>
      </c>
      <c r="R204" s="475" t="s">
        <v>5902</v>
      </c>
      <c r="S204" s="197" t="s">
        <v>93</v>
      </c>
      <c r="T204" s="197" t="s">
        <v>92</v>
      </c>
      <c r="U204" s="99" t="s">
        <v>93</v>
      </c>
      <c r="V204" s="99" t="s">
        <v>92</v>
      </c>
      <c r="W204" s="99" t="s">
        <v>92</v>
      </c>
      <c r="X204" s="99" t="s">
        <v>92</v>
      </c>
      <c r="Y204" s="99" t="s">
        <v>92</v>
      </c>
      <c r="Z204" s="99" t="s">
        <v>92</v>
      </c>
      <c r="AA204" s="197" t="s">
        <v>93</v>
      </c>
      <c r="AB204" s="197" t="s">
        <v>7929</v>
      </c>
      <c r="AC204" s="197"/>
      <c r="AD204" s="197"/>
      <c r="AE204" s="197" t="s">
        <v>93</v>
      </c>
      <c r="AF204" s="99" t="s">
        <v>7948</v>
      </c>
      <c r="AG204" s="197" t="s">
        <v>6990</v>
      </c>
      <c r="AH204" s="197"/>
      <c r="AI204" s="479" t="s">
        <v>93</v>
      </c>
      <c r="AJ204" s="99" t="s">
        <v>7935</v>
      </c>
      <c r="AK204" s="99" t="s">
        <v>93</v>
      </c>
      <c r="AL204" s="99" t="s">
        <v>92</v>
      </c>
      <c r="AM204" s="99" t="s">
        <v>92</v>
      </c>
      <c r="AN204" s="99" t="s">
        <v>92</v>
      </c>
      <c r="AO204" s="99" t="s">
        <v>92</v>
      </c>
      <c r="AP204" s="99" t="s">
        <v>93</v>
      </c>
      <c r="AQ204" s="99" t="s">
        <v>92</v>
      </c>
      <c r="AR204" s="99" t="s">
        <v>6942</v>
      </c>
      <c r="AS204" s="99" t="s">
        <v>6890</v>
      </c>
      <c r="AT204" s="99" t="s">
        <v>3451</v>
      </c>
      <c r="AU204" s="99" t="s">
        <v>92</v>
      </c>
      <c r="AV204" s="99" t="s">
        <v>92</v>
      </c>
      <c r="AW204" s="99" t="s">
        <v>92</v>
      </c>
      <c r="AX204" s="99" t="s">
        <v>93</v>
      </c>
      <c r="AY204" s="99" t="s">
        <v>92</v>
      </c>
      <c r="AZ204" s="460" t="s">
        <v>93</v>
      </c>
      <c r="BA204" s="460" t="s">
        <v>93</v>
      </c>
      <c r="BB204" s="460" t="s">
        <v>93</v>
      </c>
      <c r="BC204" s="460" t="s">
        <v>93</v>
      </c>
      <c r="BD204" s="460" t="s">
        <v>92</v>
      </c>
      <c r="BE204" s="460" t="s">
        <v>92</v>
      </c>
      <c r="BF204" s="460" t="s">
        <v>92</v>
      </c>
      <c r="BG204" s="460"/>
      <c r="BH204" s="460"/>
      <c r="BI204" s="460" t="s">
        <v>92</v>
      </c>
      <c r="BJ204" s="460" t="s">
        <v>92</v>
      </c>
      <c r="BK204" s="460" t="s">
        <v>93</v>
      </c>
      <c r="BL204" s="460"/>
      <c r="BM204" s="213" t="s">
        <v>7937</v>
      </c>
      <c r="BN204" s="213" t="s">
        <v>7938</v>
      </c>
      <c r="BO204" s="213" t="s">
        <v>368</v>
      </c>
      <c r="BP204" s="470"/>
      <c r="BQ204" s="99"/>
      <c r="BR204" s="99"/>
    </row>
    <row r="205" ht="15.75" customHeight="1">
      <c r="A205" s="197"/>
      <c r="B205" s="99" t="s">
        <v>1798</v>
      </c>
      <c r="C205" s="197">
        <v>23.0</v>
      </c>
      <c r="D205" s="475" t="s">
        <v>6987</v>
      </c>
      <c r="E205" s="99" t="s">
        <v>90</v>
      </c>
      <c r="F205" s="99" t="s">
        <v>6988</v>
      </c>
      <c r="G205" s="99" t="s">
        <v>3346</v>
      </c>
      <c r="H205" s="99" t="s">
        <v>95</v>
      </c>
      <c r="I205" s="99" t="s">
        <v>94</v>
      </c>
      <c r="J205" s="99" t="s">
        <v>92</v>
      </c>
      <c r="K205" s="197">
        <v>2021.0</v>
      </c>
      <c r="L205" s="99" t="s">
        <v>92</v>
      </c>
      <c r="M205" s="99" t="s">
        <v>93</v>
      </c>
      <c r="N205" s="99" t="s">
        <v>92</v>
      </c>
      <c r="O205" s="99" t="s">
        <v>92</v>
      </c>
      <c r="P205" s="99">
        <v>2021.0</v>
      </c>
      <c r="Q205" s="99" t="s">
        <v>96</v>
      </c>
      <c r="R205" s="197" t="s">
        <v>5902</v>
      </c>
      <c r="S205" s="197" t="s">
        <v>93</v>
      </c>
      <c r="T205" s="197" t="s">
        <v>93</v>
      </c>
      <c r="U205" s="99" t="s">
        <v>93</v>
      </c>
      <c r="V205" s="99" t="s">
        <v>92</v>
      </c>
      <c r="W205" s="99" t="s">
        <v>92</v>
      </c>
      <c r="X205" s="99" t="s">
        <v>92</v>
      </c>
      <c r="Y205" s="99" t="s">
        <v>92</v>
      </c>
      <c r="Z205" s="99" t="s">
        <v>92</v>
      </c>
      <c r="AA205" s="197" t="s">
        <v>93</v>
      </c>
      <c r="AB205" s="197" t="s">
        <v>3785</v>
      </c>
      <c r="AC205" s="197"/>
      <c r="AD205" s="197"/>
      <c r="AE205" s="197" t="s">
        <v>92</v>
      </c>
      <c r="AF205" s="99" t="s">
        <v>6989</v>
      </c>
      <c r="AG205" s="197" t="s">
        <v>6990</v>
      </c>
      <c r="AH205" s="197"/>
      <c r="AI205" s="459" t="s">
        <v>93</v>
      </c>
      <c r="AJ205" s="475" t="s">
        <v>3410</v>
      </c>
      <c r="AK205" s="99" t="s">
        <v>92</v>
      </c>
      <c r="AL205" s="99" t="s">
        <v>92</v>
      </c>
      <c r="AM205" s="99" t="s">
        <v>92</v>
      </c>
      <c r="AN205" s="99" t="s">
        <v>92</v>
      </c>
      <c r="AO205" s="99" t="s">
        <v>92</v>
      </c>
      <c r="AP205" s="99" t="s">
        <v>93</v>
      </c>
      <c r="AQ205" s="99" t="s">
        <v>92</v>
      </c>
      <c r="AR205" s="99" t="s">
        <v>6942</v>
      </c>
      <c r="AS205" s="99" t="s">
        <v>6886</v>
      </c>
      <c r="AT205" s="99" t="s">
        <v>3449</v>
      </c>
      <c r="AU205" s="99" t="s">
        <v>92</v>
      </c>
      <c r="AV205" s="99" t="s">
        <v>93</v>
      </c>
      <c r="AW205" s="99" t="s">
        <v>92</v>
      </c>
      <c r="AX205" s="99" t="s">
        <v>92</v>
      </c>
      <c r="AY205" s="99" t="s">
        <v>92</v>
      </c>
      <c r="AZ205" s="460" t="s">
        <v>93</v>
      </c>
      <c r="BA205" s="460" t="s">
        <v>92</v>
      </c>
      <c r="BB205" s="460" t="s">
        <v>92</v>
      </c>
      <c r="BC205" s="460" t="s">
        <v>92</v>
      </c>
      <c r="BD205" s="460" t="s">
        <v>92</v>
      </c>
      <c r="BE205" s="460" t="s">
        <v>92</v>
      </c>
      <c r="BF205" s="460" t="s">
        <v>92</v>
      </c>
      <c r="BG205" s="460"/>
      <c r="BH205" s="460"/>
      <c r="BI205" s="460" t="s">
        <v>92</v>
      </c>
      <c r="BJ205" s="460" t="s">
        <v>92</v>
      </c>
      <c r="BK205" s="460" t="s">
        <v>92</v>
      </c>
      <c r="BL205" s="460"/>
      <c r="BM205" s="213" t="s">
        <v>6991</v>
      </c>
      <c r="BN205" s="213" t="s">
        <v>6992</v>
      </c>
      <c r="BO205" s="213" t="s">
        <v>6993</v>
      </c>
      <c r="BP205" s="474"/>
      <c r="BQ205" s="475"/>
      <c r="BR205" s="475"/>
    </row>
    <row r="206" ht="15.75" customHeight="1">
      <c r="A206" s="197"/>
      <c r="B206" s="99" t="s">
        <v>1798</v>
      </c>
      <c r="C206" s="197">
        <v>37.0</v>
      </c>
      <c r="D206" s="99" t="s">
        <v>6998</v>
      </c>
      <c r="E206" s="99" t="s">
        <v>110</v>
      </c>
      <c r="F206" s="99" t="s">
        <v>6999</v>
      </c>
      <c r="G206" s="99" t="s">
        <v>3346</v>
      </c>
      <c r="H206" s="99" t="s">
        <v>3348</v>
      </c>
      <c r="I206" s="99" t="s">
        <v>1135</v>
      </c>
      <c r="J206" s="99" t="s">
        <v>92</v>
      </c>
      <c r="K206" s="197">
        <v>1994.0</v>
      </c>
      <c r="L206" s="99" t="s">
        <v>93</v>
      </c>
      <c r="M206" s="99" t="s">
        <v>93</v>
      </c>
      <c r="N206" s="99" t="s">
        <v>93</v>
      </c>
      <c r="O206" s="99" t="s">
        <v>93</v>
      </c>
      <c r="P206" s="99" t="s">
        <v>95</v>
      </c>
      <c r="Q206" s="99" t="s">
        <v>114</v>
      </c>
      <c r="R206" s="197" t="s">
        <v>5902</v>
      </c>
      <c r="S206" s="197" t="s">
        <v>93</v>
      </c>
      <c r="T206" s="197" t="s">
        <v>93</v>
      </c>
      <c r="U206" s="99" t="s">
        <v>93</v>
      </c>
      <c r="V206" s="99" t="s">
        <v>92</v>
      </c>
      <c r="W206" s="99" t="s">
        <v>92</v>
      </c>
      <c r="X206" s="99" t="s">
        <v>92</v>
      </c>
      <c r="Y206" s="99" t="s">
        <v>92</v>
      </c>
      <c r="Z206" s="99" t="s">
        <v>92</v>
      </c>
      <c r="AA206" s="197" t="s">
        <v>93</v>
      </c>
      <c r="AB206" s="197" t="s">
        <v>3785</v>
      </c>
      <c r="AC206" s="197"/>
      <c r="AD206" s="197"/>
      <c r="AE206" s="197" t="s">
        <v>92</v>
      </c>
      <c r="AF206" s="99" t="s">
        <v>1496</v>
      </c>
      <c r="AG206" s="197" t="s">
        <v>5902</v>
      </c>
      <c r="AH206" s="197"/>
      <c r="AI206" s="459" t="s">
        <v>92</v>
      </c>
      <c r="AJ206" s="99" t="s">
        <v>7881</v>
      </c>
      <c r="AK206" s="99" t="s">
        <v>92</v>
      </c>
      <c r="AL206" s="99" t="s">
        <v>93</v>
      </c>
      <c r="AM206" s="99" t="s">
        <v>93</v>
      </c>
      <c r="AN206" s="99" t="s">
        <v>92</v>
      </c>
      <c r="AO206" s="99" t="s">
        <v>93</v>
      </c>
      <c r="AP206" s="99" t="s">
        <v>93</v>
      </c>
      <c r="AQ206" s="99" t="s">
        <v>92</v>
      </c>
      <c r="AR206" s="99" t="s">
        <v>6949</v>
      </c>
      <c r="AS206" s="99" t="s">
        <v>95</v>
      </c>
      <c r="AT206" s="99" t="s">
        <v>95</v>
      </c>
      <c r="AU206" s="99" t="s">
        <v>93</v>
      </c>
      <c r="AV206" s="99" t="s">
        <v>93</v>
      </c>
      <c r="AW206" s="99" t="s">
        <v>93</v>
      </c>
      <c r="AX206" s="99" t="s">
        <v>93</v>
      </c>
      <c r="AY206" s="99" t="s">
        <v>93</v>
      </c>
      <c r="AZ206" s="460" t="s">
        <v>93</v>
      </c>
      <c r="BA206" s="460" t="s">
        <v>93</v>
      </c>
      <c r="BB206" s="460" t="s">
        <v>92</v>
      </c>
      <c r="BC206" s="460" t="s">
        <v>92</v>
      </c>
      <c r="BD206" s="460" t="s">
        <v>92</v>
      </c>
      <c r="BE206" s="460" t="s">
        <v>92</v>
      </c>
      <c r="BF206" s="460" t="s">
        <v>93</v>
      </c>
      <c r="BG206" s="460"/>
      <c r="BH206" s="460"/>
      <c r="BI206" s="460" t="s">
        <v>92</v>
      </c>
      <c r="BJ206" s="460" t="s">
        <v>92</v>
      </c>
      <c r="BK206" s="460" t="s">
        <v>93</v>
      </c>
      <c r="BL206" s="460"/>
      <c r="BM206" s="213" t="s">
        <v>7001</v>
      </c>
      <c r="BN206" s="474"/>
      <c r="BO206" s="474"/>
      <c r="BP206" s="474"/>
      <c r="BQ206" s="475"/>
      <c r="BR206" s="475"/>
    </row>
    <row r="207" ht="15.75" customHeight="1">
      <c r="A207" s="197"/>
      <c r="B207" s="99" t="s">
        <v>1798</v>
      </c>
      <c r="C207" s="197">
        <v>36.0</v>
      </c>
      <c r="D207" s="99" t="s">
        <v>7340</v>
      </c>
      <c r="E207" s="99" t="s">
        <v>90</v>
      </c>
      <c r="F207" s="99" t="s">
        <v>7341</v>
      </c>
      <c r="G207" s="99" t="s">
        <v>3344</v>
      </c>
      <c r="H207" s="99" t="s">
        <v>3345</v>
      </c>
      <c r="I207" s="99" t="s">
        <v>3202</v>
      </c>
      <c r="J207" s="99" t="s">
        <v>92</v>
      </c>
      <c r="K207" s="197">
        <v>2023.0</v>
      </c>
      <c r="L207" s="99" t="s">
        <v>92</v>
      </c>
      <c r="M207" s="99" t="s">
        <v>92</v>
      </c>
      <c r="N207" s="99" t="s">
        <v>92</v>
      </c>
      <c r="O207" s="99" t="s">
        <v>93</v>
      </c>
      <c r="P207" s="99" t="s">
        <v>95</v>
      </c>
      <c r="Q207" s="99" t="s">
        <v>114</v>
      </c>
      <c r="R207" s="197" t="s">
        <v>5902</v>
      </c>
      <c r="S207" s="197" t="s">
        <v>93</v>
      </c>
      <c r="T207" s="197" t="s">
        <v>93</v>
      </c>
      <c r="U207" s="99" t="s">
        <v>93</v>
      </c>
      <c r="V207" s="99" t="s">
        <v>92</v>
      </c>
      <c r="W207" s="99" t="s">
        <v>92</v>
      </c>
      <c r="X207" s="99" t="s">
        <v>92</v>
      </c>
      <c r="Y207" s="99" t="s">
        <v>92</v>
      </c>
      <c r="Z207" s="99" t="s">
        <v>92</v>
      </c>
      <c r="AA207" s="197" t="s">
        <v>93</v>
      </c>
      <c r="AB207" s="197" t="s">
        <v>3785</v>
      </c>
      <c r="AC207" s="197"/>
      <c r="AD207" s="197"/>
      <c r="AE207" s="197" t="s">
        <v>93</v>
      </c>
      <c r="AF207" s="99" t="s">
        <v>1850</v>
      </c>
      <c r="AG207" s="197" t="s">
        <v>6990</v>
      </c>
      <c r="AH207" s="197"/>
      <c r="AI207" s="459" t="s">
        <v>93</v>
      </c>
      <c r="AJ207" s="99" t="s">
        <v>7111</v>
      </c>
      <c r="AK207" s="99" t="s">
        <v>93</v>
      </c>
      <c r="AL207" s="99" t="s">
        <v>92</v>
      </c>
      <c r="AM207" s="99" t="s">
        <v>92</v>
      </c>
      <c r="AN207" s="99" t="s">
        <v>92</v>
      </c>
      <c r="AO207" s="99" t="s">
        <v>92</v>
      </c>
      <c r="AP207" s="99" t="s">
        <v>93</v>
      </c>
      <c r="AQ207" s="99" t="s">
        <v>92</v>
      </c>
      <c r="AR207" s="99" t="s">
        <v>6942</v>
      </c>
      <c r="AS207" s="99" t="s">
        <v>3893</v>
      </c>
      <c r="AT207" s="99" t="s">
        <v>3451</v>
      </c>
      <c r="AU207" s="99" t="s">
        <v>92</v>
      </c>
      <c r="AV207" s="99" t="s">
        <v>92</v>
      </c>
      <c r="AW207" s="99" t="s">
        <v>92</v>
      </c>
      <c r="AX207" s="99" t="s">
        <v>93</v>
      </c>
      <c r="AY207" s="99" t="s">
        <v>92</v>
      </c>
      <c r="AZ207" s="460" t="s">
        <v>92</v>
      </c>
      <c r="BA207" s="460" t="s">
        <v>93</v>
      </c>
      <c r="BB207" s="460" t="s">
        <v>92</v>
      </c>
      <c r="BC207" s="460" t="s">
        <v>93</v>
      </c>
      <c r="BD207" s="460" t="s">
        <v>92</v>
      </c>
      <c r="BE207" s="460" t="s">
        <v>92</v>
      </c>
      <c r="BF207" s="460" t="s">
        <v>92</v>
      </c>
      <c r="BG207" s="460"/>
      <c r="BH207" s="460"/>
      <c r="BI207" s="460" t="s">
        <v>92</v>
      </c>
      <c r="BJ207" s="460" t="s">
        <v>92</v>
      </c>
      <c r="BK207" s="460" t="s">
        <v>92</v>
      </c>
      <c r="BL207" s="460"/>
      <c r="BM207" s="213" t="s">
        <v>7342</v>
      </c>
      <c r="BN207" s="213" t="s">
        <v>7343</v>
      </c>
      <c r="BO207" s="470"/>
      <c r="BP207" s="470"/>
      <c r="BQ207" s="99"/>
      <c r="BR207" s="99"/>
    </row>
    <row r="208" ht="15.75" customHeight="1">
      <c r="A208" s="99"/>
      <c r="B208" s="99" t="s">
        <v>1798</v>
      </c>
      <c r="C208" s="99"/>
      <c r="D208" s="99" t="s">
        <v>7949</v>
      </c>
      <c r="E208" s="99" t="s">
        <v>189</v>
      </c>
      <c r="F208" s="99" t="s">
        <v>7950</v>
      </c>
      <c r="G208" s="99" t="s">
        <v>3346</v>
      </c>
      <c r="H208" s="99" t="s">
        <v>95</v>
      </c>
      <c r="I208" s="99" t="s">
        <v>94</v>
      </c>
      <c r="J208" s="99" t="s">
        <v>92</v>
      </c>
      <c r="K208" s="197">
        <v>2020.0</v>
      </c>
      <c r="L208" s="99" t="s">
        <v>93</v>
      </c>
      <c r="M208" s="99" t="s">
        <v>93</v>
      </c>
      <c r="N208" s="99" t="s">
        <v>92</v>
      </c>
      <c r="O208" s="99" t="s">
        <v>92</v>
      </c>
      <c r="P208" s="99">
        <v>2021.0</v>
      </c>
      <c r="Q208" s="99" t="s">
        <v>96</v>
      </c>
      <c r="R208" s="197" t="s">
        <v>5902</v>
      </c>
      <c r="S208" s="197" t="s">
        <v>93</v>
      </c>
      <c r="T208" s="197" t="s">
        <v>93</v>
      </c>
      <c r="U208" s="99" t="s">
        <v>93</v>
      </c>
      <c r="V208" s="99" t="s">
        <v>92</v>
      </c>
      <c r="W208" s="99" t="s">
        <v>92</v>
      </c>
      <c r="X208" s="99" t="s">
        <v>92</v>
      </c>
      <c r="Y208" s="99" t="s">
        <v>92</v>
      </c>
      <c r="Z208" s="99" t="s">
        <v>92</v>
      </c>
      <c r="AA208" s="197" t="s">
        <v>93</v>
      </c>
      <c r="AB208" s="197" t="s">
        <v>3785</v>
      </c>
      <c r="AC208" s="197"/>
      <c r="AD208" s="197"/>
      <c r="AE208" s="197" t="s">
        <v>93</v>
      </c>
      <c r="AF208" s="99" t="s">
        <v>7951</v>
      </c>
      <c r="AG208" s="197" t="s">
        <v>6990</v>
      </c>
      <c r="AH208" s="197"/>
      <c r="AI208" s="479" t="s">
        <v>93</v>
      </c>
      <c r="AJ208" s="99" t="s">
        <v>3410</v>
      </c>
      <c r="AK208" s="99" t="s">
        <v>92</v>
      </c>
      <c r="AL208" s="99" t="s">
        <v>92</v>
      </c>
      <c r="AM208" s="99" t="s">
        <v>92</v>
      </c>
      <c r="AN208" s="99" t="s">
        <v>92</v>
      </c>
      <c r="AO208" s="99" t="s">
        <v>92</v>
      </c>
      <c r="AP208" s="99" t="s">
        <v>93</v>
      </c>
      <c r="AQ208" s="99" t="s">
        <v>92</v>
      </c>
      <c r="AR208" s="99" t="s">
        <v>6949</v>
      </c>
      <c r="AS208" s="99" t="s">
        <v>95</v>
      </c>
      <c r="AT208" s="99" t="s">
        <v>95</v>
      </c>
      <c r="AU208" s="99" t="s">
        <v>93</v>
      </c>
      <c r="AV208" s="99" t="s">
        <v>93</v>
      </c>
      <c r="AW208" s="99" t="s">
        <v>93</v>
      </c>
      <c r="AX208" s="99" t="s">
        <v>93</v>
      </c>
      <c r="AY208" s="99" t="s">
        <v>93</v>
      </c>
      <c r="AZ208" s="460" t="s">
        <v>93</v>
      </c>
      <c r="BA208" s="460" t="s">
        <v>92</v>
      </c>
      <c r="BB208" s="460" t="s">
        <v>92</v>
      </c>
      <c r="BC208" s="460" t="s">
        <v>92</v>
      </c>
      <c r="BD208" s="460" t="s">
        <v>92</v>
      </c>
      <c r="BE208" s="460" t="s">
        <v>92</v>
      </c>
      <c r="BF208" s="460" t="s">
        <v>92</v>
      </c>
      <c r="BG208" s="460"/>
      <c r="BH208" s="460"/>
      <c r="BI208" s="460" t="s">
        <v>92</v>
      </c>
      <c r="BJ208" s="460" t="s">
        <v>93</v>
      </c>
      <c r="BK208" s="460" t="s">
        <v>93</v>
      </c>
      <c r="BL208" s="460"/>
      <c r="BM208" s="213" t="s">
        <v>7952</v>
      </c>
      <c r="BN208" s="470"/>
      <c r="BO208" s="470"/>
      <c r="BP208" s="470"/>
      <c r="BQ208" s="99"/>
      <c r="BR208" s="99"/>
    </row>
    <row r="209" ht="15.75" customHeight="1">
      <c r="A209" s="197"/>
      <c r="B209" s="99" t="s">
        <v>1829</v>
      </c>
      <c r="C209" s="197">
        <v>6.0</v>
      </c>
      <c r="D209" s="99" t="s">
        <v>6946</v>
      </c>
      <c r="E209" s="99" t="s">
        <v>709</v>
      </c>
      <c r="F209" s="99" t="s">
        <v>6947</v>
      </c>
      <c r="G209" s="99" t="s">
        <v>3346</v>
      </c>
      <c r="H209" s="99" t="s">
        <v>3348</v>
      </c>
      <c r="I209" s="99" t="s">
        <v>1135</v>
      </c>
      <c r="J209" s="99" t="s">
        <v>93</v>
      </c>
      <c r="K209" s="197">
        <v>2021.0</v>
      </c>
      <c r="L209" s="99" t="s">
        <v>92</v>
      </c>
      <c r="M209" s="99" t="s">
        <v>93</v>
      </c>
      <c r="N209" s="99" t="s">
        <v>93</v>
      </c>
      <c r="O209" s="99" t="s">
        <v>93</v>
      </c>
      <c r="P209" s="99" t="s">
        <v>95</v>
      </c>
      <c r="Q209" s="99" t="s">
        <v>114</v>
      </c>
      <c r="R209" s="197" t="s">
        <v>5902</v>
      </c>
      <c r="S209" s="197" t="s">
        <v>93</v>
      </c>
      <c r="T209" s="197" t="s">
        <v>93</v>
      </c>
      <c r="U209" s="99" t="s">
        <v>93</v>
      </c>
      <c r="V209" s="99" t="s">
        <v>92</v>
      </c>
      <c r="W209" s="99" t="s">
        <v>92</v>
      </c>
      <c r="X209" s="99" t="s">
        <v>93</v>
      </c>
      <c r="Y209" s="99" t="s">
        <v>93</v>
      </c>
      <c r="Z209" s="99" t="s">
        <v>92</v>
      </c>
      <c r="AA209" s="197" t="s">
        <v>92</v>
      </c>
      <c r="AB209" s="197" t="s">
        <v>95</v>
      </c>
      <c r="AC209" s="197"/>
      <c r="AD209" s="197"/>
      <c r="AE209" s="197" t="s">
        <v>92</v>
      </c>
      <c r="AF209" s="479" t="s">
        <v>2530</v>
      </c>
      <c r="AG209" s="197" t="s">
        <v>6941</v>
      </c>
      <c r="AH209" s="197"/>
      <c r="AI209" s="459" t="s">
        <v>93</v>
      </c>
      <c r="AJ209" s="475" t="s">
        <v>7880</v>
      </c>
      <c r="AK209" s="99" t="s">
        <v>92</v>
      </c>
      <c r="AL209" s="99" t="s">
        <v>92</v>
      </c>
      <c r="AM209" s="99" t="s">
        <v>93</v>
      </c>
      <c r="AN209" s="99" t="s">
        <v>92</v>
      </c>
      <c r="AO209" s="99" t="s">
        <v>93</v>
      </c>
      <c r="AP209" s="99" t="s">
        <v>93</v>
      </c>
      <c r="AQ209" s="99" t="s">
        <v>92</v>
      </c>
      <c r="AR209" s="99" t="s">
        <v>6949</v>
      </c>
      <c r="AS209" s="99" t="s">
        <v>95</v>
      </c>
      <c r="AT209" s="99" t="s">
        <v>95</v>
      </c>
      <c r="AU209" s="99" t="s">
        <v>93</v>
      </c>
      <c r="AV209" s="99" t="s">
        <v>93</v>
      </c>
      <c r="AW209" s="99" t="s">
        <v>93</v>
      </c>
      <c r="AX209" s="99" t="s">
        <v>93</v>
      </c>
      <c r="AY209" s="99" t="s">
        <v>93</v>
      </c>
      <c r="AZ209" s="460" t="s">
        <v>93</v>
      </c>
      <c r="BA209" s="460" t="s">
        <v>92</v>
      </c>
      <c r="BB209" s="460" t="s">
        <v>92</v>
      </c>
      <c r="BC209" s="460" t="s">
        <v>92</v>
      </c>
      <c r="BD209" s="460" t="s">
        <v>92</v>
      </c>
      <c r="BE209" s="460" t="s">
        <v>92</v>
      </c>
      <c r="BF209" s="460" t="s">
        <v>93</v>
      </c>
      <c r="BG209" s="460"/>
      <c r="BH209" s="460"/>
      <c r="BI209" s="460" t="s">
        <v>93</v>
      </c>
      <c r="BJ209" s="460" t="s">
        <v>92</v>
      </c>
      <c r="BK209" s="460" t="s">
        <v>93</v>
      </c>
      <c r="BL209" s="460"/>
      <c r="BM209" s="213" t="s">
        <v>6950</v>
      </c>
      <c r="BN209" s="213" t="s">
        <v>6951</v>
      </c>
      <c r="BO209" s="213" t="s">
        <v>4546</v>
      </c>
      <c r="BP209" s="213" t="s">
        <v>6952</v>
      </c>
      <c r="BQ209" s="475"/>
      <c r="BR209" s="475"/>
    </row>
    <row r="210" ht="15.75" customHeight="1">
      <c r="A210" s="197"/>
      <c r="B210" s="99" t="s">
        <v>1829</v>
      </c>
      <c r="C210" s="197">
        <v>68.0</v>
      </c>
      <c r="D210" s="475" t="s">
        <v>7042</v>
      </c>
      <c r="E210" s="99" t="s">
        <v>189</v>
      </c>
      <c r="F210" s="99" t="s">
        <v>7043</v>
      </c>
      <c r="G210" s="99" t="s">
        <v>3346</v>
      </c>
      <c r="H210" s="99" t="s">
        <v>95</v>
      </c>
      <c r="I210" s="99" t="s">
        <v>94</v>
      </c>
      <c r="J210" s="99" t="s">
        <v>92</v>
      </c>
      <c r="K210" s="197">
        <v>2020.0</v>
      </c>
      <c r="L210" s="99" t="s">
        <v>93</v>
      </c>
      <c r="M210" s="99" t="s">
        <v>92</v>
      </c>
      <c r="N210" s="99" t="s">
        <v>92</v>
      </c>
      <c r="O210" s="99" t="s">
        <v>92</v>
      </c>
      <c r="P210" s="99">
        <v>2020.0</v>
      </c>
      <c r="Q210" s="99" t="s">
        <v>96</v>
      </c>
      <c r="R210" s="197" t="s">
        <v>5902</v>
      </c>
      <c r="S210" s="197" t="s">
        <v>93</v>
      </c>
      <c r="T210" s="197" t="s">
        <v>93</v>
      </c>
      <c r="U210" s="99" t="s">
        <v>93</v>
      </c>
      <c r="V210" s="99" t="s">
        <v>92</v>
      </c>
      <c r="W210" s="99" t="s">
        <v>92</v>
      </c>
      <c r="X210" s="99" t="s">
        <v>93</v>
      </c>
      <c r="Y210" s="99" t="s">
        <v>93</v>
      </c>
      <c r="Z210" s="99" t="s">
        <v>92</v>
      </c>
      <c r="AA210" s="197" t="s">
        <v>92</v>
      </c>
      <c r="AB210" s="197" t="s">
        <v>95</v>
      </c>
      <c r="AC210" s="197"/>
      <c r="AD210" s="197"/>
      <c r="AE210" s="197" t="s">
        <v>93</v>
      </c>
      <c r="AF210" s="99" t="s">
        <v>7953</v>
      </c>
      <c r="AG210" s="197" t="s">
        <v>6990</v>
      </c>
      <c r="AH210" s="197"/>
      <c r="AI210" s="459" t="s">
        <v>92</v>
      </c>
      <c r="AJ210" s="475" t="s">
        <v>3410</v>
      </c>
      <c r="AK210" s="99" t="s">
        <v>92</v>
      </c>
      <c r="AL210" s="99" t="s">
        <v>92</v>
      </c>
      <c r="AM210" s="99" t="s">
        <v>92</v>
      </c>
      <c r="AN210" s="99" t="s">
        <v>92</v>
      </c>
      <c r="AO210" s="99" t="s">
        <v>92</v>
      </c>
      <c r="AP210" s="99" t="s">
        <v>93</v>
      </c>
      <c r="AQ210" s="99" t="s">
        <v>92</v>
      </c>
      <c r="AR210" s="99" t="s">
        <v>6942</v>
      </c>
      <c r="AS210" s="99" t="s">
        <v>7044</v>
      </c>
      <c r="AT210" s="99" t="s">
        <v>7045</v>
      </c>
      <c r="AU210" s="99" t="s">
        <v>92</v>
      </c>
      <c r="AV210" s="99" t="s">
        <v>93</v>
      </c>
      <c r="AW210" s="99" t="s">
        <v>93</v>
      </c>
      <c r="AX210" s="99" t="s">
        <v>93</v>
      </c>
      <c r="AY210" s="99" t="s">
        <v>92</v>
      </c>
      <c r="AZ210" s="460" t="s">
        <v>93</v>
      </c>
      <c r="BA210" s="460" t="s">
        <v>92</v>
      </c>
      <c r="BB210" s="460" t="s">
        <v>92</v>
      </c>
      <c r="BC210" s="460" t="s">
        <v>92</v>
      </c>
      <c r="BD210" s="460" t="s">
        <v>92</v>
      </c>
      <c r="BE210" s="460" t="s">
        <v>92</v>
      </c>
      <c r="BF210" s="460" t="s">
        <v>92</v>
      </c>
      <c r="BG210" s="460"/>
      <c r="BH210" s="460"/>
      <c r="BI210" s="460" t="s">
        <v>92</v>
      </c>
      <c r="BJ210" s="460" t="s">
        <v>93</v>
      </c>
      <c r="BK210" s="460" t="s">
        <v>92</v>
      </c>
      <c r="BL210" s="460"/>
      <c r="BM210" s="213" t="s">
        <v>7046</v>
      </c>
      <c r="BN210" s="474"/>
      <c r="BO210" s="474"/>
      <c r="BP210" s="474"/>
      <c r="BQ210" s="475"/>
      <c r="BR210" s="475"/>
    </row>
    <row r="211" ht="15.75" customHeight="1">
      <c r="A211" s="197"/>
      <c r="B211" s="99" t="s">
        <v>1829</v>
      </c>
      <c r="C211" s="197">
        <v>36.0</v>
      </c>
      <c r="D211" s="99" t="s">
        <v>7340</v>
      </c>
      <c r="E211" s="99" t="s">
        <v>90</v>
      </c>
      <c r="F211" s="99" t="s">
        <v>7341</v>
      </c>
      <c r="G211" s="99" t="s">
        <v>3344</v>
      </c>
      <c r="H211" s="99" t="s">
        <v>3345</v>
      </c>
      <c r="I211" s="99" t="s">
        <v>3202</v>
      </c>
      <c r="J211" s="99" t="s">
        <v>92</v>
      </c>
      <c r="K211" s="197">
        <v>2023.0</v>
      </c>
      <c r="L211" s="99" t="s">
        <v>92</v>
      </c>
      <c r="M211" s="99" t="s">
        <v>92</v>
      </c>
      <c r="N211" s="99" t="s">
        <v>92</v>
      </c>
      <c r="O211" s="99" t="s">
        <v>93</v>
      </c>
      <c r="P211" s="99" t="s">
        <v>95</v>
      </c>
      <c r="Q211" s="99" t="s">
        <v>114</v>
      </c>
      <c r="R211" s="197" t="s">
        <v>5902</v>
      </c>
      <c r="S211" s="197" t="s">
        <v>93</v>
      </c>
      <c r="T211" s="197" t="s">
        <v>93</v>
      </c>
      <c r="U211" s="99" t="s">
        <v>93</v>
      </c>
      <c r="V211" s="99" t="s">
        <v>92</v>
      </c>
      <c r="W211" s="99" t="s">
        <v>92</v>
      </c>
      <c r="X211" s="99" t="s">
        <v>93</v>
      </c>
      <c r="Y211" s="99" t="s">
        <v>93</v>
      </c>
      <c r="Z211" s="99" t="s">
        <v>92</v>
      </c>
      <c r="AA211" s="197" t="s">
        <v>92</v>
      </c>
      <c r="AB211" s="197" t="s">
        <v>95</v>
      </c>
      <c r="AC211" s="197"/>
      <c r="AD211" s="197"/>
      <c r="AE211" s="197" t="s">
        <v>93</v>
      </c>
      <c r="AF211" s="99" t="s">
        <v>1850</v>
      </c>
      <c r="AG211" s="197" t="s">
        <v>6990</v>
      </c>
      <c r="AH211" s="197"/>
      <c r="AI211" s="459" t="s">
        <v>93</v>
      </c>
      <c r="AJ211" s="99" t="s">
        <v>7111</v>
      </c>
      <c r="AK211" s="99" t="s">
        <v>93</v>
      </c>
      <c r="AL211" s="99" t="s">
        <v>92</v>
      </c>
      <c r="AM211" s="99" t="s">
        <v>92</v>
      </c>
      <c r="AN211" s="99" t="s">
        <v>92</v>
      </c>
      <c r="AO211" s="99" t="s">
        <v>92</v>
      </c>
      <c r="AP211" s="99" t="s">
        <v>93</v>
      </c>
      <c r="AQ211" s="99" t="s">
        <v>92</v>
      </c>
      <c r="AR211" s="99" t="s">
        <v>6942</v>
      </c>
      <c r="AS211" s="99" t="s">
        <v>3893</v>
      </c>
      <c r="AT211" s="99" t="s">
        <v>3451</v>
      </c>
      <c r="AU211" s="99" t="s">
        <v>92</v>
      </c>
      <c r="AV211" s="99" t="s">
        <v>92</v>
      </c>
      <c r="AW211" s="99" t="s">
        <v>92</v>
      </c>
      <c r="AX211" s="99" t="s">
        <v>93</v>
      </c>
      <c r="AY211" s="99" t="s">
        <v>92</v>
      </c>
      <c r="AZ211" s="460" t="s">
        <v>92</v>
      </c>
      <c r="BA211" s="460" t="s">
        <v>93</v>
      </c>
      <c r="BB211" s="460" t="s">
        <v>92</v>
      </c>
      <c r="BC211" s="460" t="s">
        <v>93</v>
      </c>
      <c r="BD211" s="460" t="s">
        <v>92</v>
      </c>
      <c r="BE211" s="460" t="s">
        <v>92</v>
      </c>
      <c r="BF211" s="460" t="s">
        <v>92</v>
      </c>
      <c r="BG211" s="460"/>
      <c r="BH211" s="460"/>
      <c r="BI211" s="460" t="s">
        <v>92</v>
      </c>
      <c r="BJ211" s="460" t="s">
        <v>92</v>
      </c>
      <c r="BK211" s="460" t="s">
        <v>92</v>
      </c>
      <c r="BL211" s="460"/>
      <c r="BM211" s="213" t="s">
        <v>7342</v>
      </c>
      <c r="BN211" s="213" t="s">
        <v>7343</v>
      </c>
      <c r="BO211" s="470"/>
      <c r="BP211" s="470"/>
      <c r="BQ211" s="99"/>
      <c r="BR211" s="99"/>
    </row>
    <row r="212" ht="15.75" customHeight="1">
      <c r="A212" s="99"/>
      <c r="B212" s="99" t="s">
        <v>1829</v>
      </c>
      <c r="C212" s="99"/>
      <c r="D212" s="99" t="s">
        <v>7954</v>
      </c>
      <c r="E212" s="99" t="s">
        <v>189</v>
      </c>
      <c r="F212" s="99" t="s">
        <v>7955</v>
      </c>
      <c r="G212" s="99" t="s">
        <v>3346</v>
      </c>
      <c r="H212" s="99" t="s">
        <v>95</v>
      </c>
      <c r="I212" s="99" t="s">
        <v>94</v>
      </c>
      <c r="J212" s="99" t="s">
        <v>92</v>
      </c>
      <c r="K212" s="197">
        <v>2020.0</v>
      </c>
      <c r="L212" s="99" t="s">
        <v>93</v>
      </c>
      <c r="M212" s="99" t="s">
        <v>92</v>
      </c>
      <c r="N212" s="99" t="s">
        <v>92</v>
      </c>
      <c r="O212" s="99" t="s">
        <v>92</v>
      </c>
      <c r="P212" s="99">
        <v>2020.0</v>
      </c>
      <c r="Q212" s="99" t="s">
        <v>96</v>
      </c>
      <c r="R212" s="197" t="s">
        <v>5902</v>
      </c>
      <c r="S212" s="197" t="s">
        <v>93</v>
      </c>
      <c r="T212" s="197" t="s">
        <v>93</v>
      </c>
      <c r="U212" s="99" t="s">
        <v>93</v>
      </c>
      <c r="V212" s="99" t="s">
        <v>92</v>
      </c>
      <c r="W212" s="99" t="s">
        <v>92</v>
      </c>
      <c r="X212" s="99" t="s">
        <v>93</v>
      </c>
      <c r="Y212" s="99" t="s">
        <v>93</v>
      </c>
      <c r="Z212" s="99" t="s">
        <v>92</v>
      </c>
      <c r="AA212" s="197" t="s">
        <v>92</v>
      </c>
      <c r="AB212" s="197" t="s">
        <v>95</v>
      </c>
      <c r="AC212" s="197"/>
      <c r="AD212" s="197"/>
      <c r="AE212" s="197" t="s">
        <v>92</v>
      </c>
      <c r="AF212" s="99" t="s">
        <v>7956</v>
      </c>
      <c r="AG212" s="197" t="s">
        <v>6990</v>
      </c>
      <c r="AH212" s="197"/>
      <c r="AI212" s="479" t="s">
        <v>92</v>
      </c>
      <c r="AJ212" s="99" t="s">
        <v>3410</v>
      </c>
      <c r="AK212" s="99" t="s">
        <v>92</v>
      </c>
      <c r="AL212" s="99" t="s">
        <v>92</v>
      </c>
      <c r="AM212" s="99" t="s">
        <v>92</v>
      </c>
      <c r="AN212" s="99" t="s">
        <v>92</v>
      </c>
      <c r="AO212" s="99" t="s">
        <v>92</v>
      </c>
      <c r="AP212" s="99" t="s">
        <v>93</v>
      </c>
      <c r="AQ212" s="99" t="s">
        <v>92</v>
      </c>
      <c r="AR212" s="99" t="s">
        <v>6942</v>
      </c>
      <c r="AS212" s="470" t="s">
        <v>7957</v>
      </c>
      <c r="AT212" s="470" t="s">
        <v>7958</v>
      </c>
      <c r="AU212" s="99" t="s">
        <v>92</v>
      </c>
      <c r="AV212" s="99" t="s">
        <v>93</v>
      </c>
      <c r="AW212" s="99" t="s">
        <v>92</v>
      </c>
      <c r="AX212" s="99" t="s">
        <v>93</v>
      </c>
      <c r="AY212" s="99" t="s">
        <v>92</v>
      </c>
      <c r="AZ212" s="460" t="s">
        <v>93</v>
      </c>
      <c r="BA212" s="460" t="s">
        <v>92</v>
      </c>
      <c r="BB212" s="460" t="s">
        <v>92</v>
      </c>
      <c r="BC212" s="460" t="s">
        <v>92</v>
      </c>
      <c r="BD212" s="460" t="s">
        <v>92</v>
      </c>
      <c r="BE212" s="460" t="s">
        <v>92</v>
      </c>
      <c r="BF212" s="460" t="s">
        <v>92</v>
      </c>
      <c r="BG212" s="460"/>
      <c r="BH212" s="460"/>
      <c r="BI212" s="460" t="s">
        <v>92</v>
      </c>
      <c r="BJ212" s="460" t="s">
        <v>93</v>
      </c>
      <c r="BK212" s="460" t="s">
        <v>92</v>
      </c>
      <c r="BL212" s="460"/>
      <c r="BM212" s="213" t="s">
        <v>7959</v>
      </c>
      <c r="BN212" s="470"/>
      <c r="BO212" s="470"/>
      <c r="BP212" s="470"/>
      <c r="BQ212" s="99"/>
      <c r="BR212" s="99"/>
    </row>
    <row r="213" ht="15.75" customHeight="1">
      <c r="A213" s="99"/>
      <c r="B213" s="99" t="s">
        <v>1829</v>
      </c>
      <c r="C213" s="99"/>
      <c r="D213" s="99" t="s">
        <v>7812</v>
      </c>
      <c r="E213" s="99" t="s">
        <v>110</v>
      </c>
      <c r="F213" s="99" t="s">
        <v>7960</v>
      </c>
      <c r="G213" s="99" t="s">
        <v>3345</v>
      </c>
      <c r="H213" s="99" t="s">
        <v>95</v>
      </c>
      <c r="I213" s="99" t="s">
        <v>3202</v>
      </c>
      <c r="J213" s="99" t="s">
        <v>92</v>
      </c>
      <c r="K213" s="197" t="s">
        <v>105</v>
      </c>
      <c r="L213" s="99" t="s">
        <v>93</v>
      </c>
      <c r="M213" s="99" t="s">
        <v>92</v>
      </c>
      <c r="N213" s="99" t="s">
        <v>92</v>
      </c>
      <c r="O213" s="99" t="s">
        <v>92</v>
      </c>
      <c r="P213" s="99">
        <v>2020.0</v>
      </c>
      <c r="Q213" s="99" t="s">
        <v>96</v>
      </c>
      <c r="R213" s="197" t="s">
        <v>5902</v>
      </c>
      <c r="S213" s="197" t="s">
        <v>93</v>
      </c>
      <c r="T213" s="197" t="s">
        <v>93</v>
      </c>
      <c r="U213" s="99" t="s">
        <v>93</v>
      </c>
      <c r="V213" s="99" t="s">
        <v>92</v>
      </c>
      <c r="W213" s="99" t="s">
        <v>92</v>
      </c>
      <c r="X213" s="99" t="s">
        <v>93</v>
      </c>
      <c r="Y213" s="99" t="s">
        <v>93</v>
      </c>
      <c r="Z213" s="99" t="s">
        <v>92</v>
      </c>
      <c r="AA213" s="197" t="s">
        <v>92</v>
      </c>
      <c r="AB213" s="197" t="s">
        <v>95</v>
      </c>
      <c r="AC213" s="197"/>
      <c r="AD213" s="197"/>
      <c r="AE213" s="197" t="s">
        <v>92</v>
      </c>
      <c r="AF213" s="99" t="s">
        <v>7812</v>
      </c>
      <c r="AG213" s="197" t="s">
        <v>6990</v>
      </c>
      <c r="AH213" s="197"/>
      <c r="AI213" s="479" t="s">
        <v>93</v>
      </c>
      <c r="AJ213" s="99" t="s">
        <v>7127</v>
      </c>
      <c r="AK213" s="99" t="s">
        <v>92</v>
      </c>
      <c r="AL213" s="99" t="s">
        <v>92</v>
      </c>
      <c r="AM213" s="99" t="s">
        <v>92</v>
      </c>
      <c r="AN213" s="99" t="s">
        <v>92</v>
      </c>
      <c r="AO213" s="99" t="s">
        <v>92</v>
      </c>
      <c r="AP213" s="99" t="s">
        <v>92</v>
      </c>
      <c r="AQ213" s="99" t="s">
        <v>93</v>
      </c>
      <c r="AR213" s="99" t="s">
        <v>6942</v>
      </c>
      <c r="AS213" s="99" t="s">
        <v>3520</v>
      </c>
      <c r="AT213" s="99" t="s">
        <v>3451</v>
      </c>
      <c r="AU213" s="99" t="s">
        <v>92</v>
      </c>
      <c r="AV213" s="99" t="s">
        <v>92</v>
      </c>
      <c r="AW213" s="99" t="s">
        <v>92</v>
      </c>
      <c r="AX213" s="99" t="s">
        <v>93</v>
      </c>
      <c r="AY213" s="99" t="s">
        <v>92</v>
      </c>
      <c r="AZ213" s="460" t="s">
        <v>92</v>
      </c>
      <c r="BA213" s="460" t="s">
        <v>93</v>
      </c>
      <c r="BB213" s="460" t="s">
        <v>92</v>
      </c>
      <c r="BC213" s="460" t="s">
        <v>92</v>
      </c>
      <c r="BD213" s="460" t="s">
        <v>92</v>
      </c>
      <c r="BE213" s="460" t="s">
        <v>92</v>
      </c>
      <c r="BF213" s="460" t="s">
        <v>92</v>
      </c>
      <c r="BG213" s="460"/>
      <c r="BH213" s="460"/>
      <c r="BI213" s="460" t="s">
        <v>92</v>
      </c>
      <c r="BJ213" s="460" t="s">
        <v>93</v>
      </c>
      <c r="BK213" s="460" t="s">
        <v>92</v>
      </c>
      <c r="BL213" s="460"/>
      <c r="BM213" s="213" t="s">
        <v>7959</v>
      </c>
      <c r="BN213" s="470"/>
      <c r="BO213" s="470"/>
      <c r="BP213" s="470"/>
      <c r="BQ213" s="99"/>
      <c r="BR213" s="99"/>
    </row>
    <row r="214" ht="15.75" customHeight="1">
      <c r="A214" s="99"/>
      <c r="B214" s="99" t="s">
        <v>1829</v>
      </c>
      <c r="C214" s="99"/>
      <c r="D214" s="99" t="s">
        <v>7961</v>
      </c>
      <c r="E214" s="99" t="s">
        <v>189</v>
      </c>
      <c r="F214" s="99" t="s">
        <v>1837</v>
      </c>
      <c r="G214" s="99" t="s">
        <v>3346</v>
      </c>
      <c r="H214" s="99" t="s">
        <v>95</v>
      </c>
      <c r="I214" s="99" t="s">
        <v>94</v>
      </c>
      <c r="J214" s="99" t="s">
        <v>92</v>
      </c>
      <c r="K214" s="197">
        <v>2020.0</v>
      </c>
      <c r="L214" s="99" t="s">
        <v>93</v>
      </c>
      <c r="M214" s="99" t="s">
        <v>92</v>
      </c>
      <c r="N214" s="99" t="s">
        <v>92</v>
      </c>
      <c r="O214" s="99" t="s">
        <v>92</v>
      </c>
      <c r="P214" s="99">
        <v>2020.0</v>
      </c>
      <c r="Q214" s="99" t="s">
        <v>96</v>
      </c>
      <c r="R214" s="197" t="s">
        <v>5902</v>
      </c>
      <c r="S214" s="197" t="s">
        <v>93</v>
      </c>
      <c r="T214" s="197" t="s">
        <v>93</v>
      </c>
      <c r="U214" s="99" t="s">
        <v>93</v>
      </c>
      <c r="V214" s="99" t="s">
        <v>92</v>
      </c>
      <c r="W214" s="99" t="s">
        <v>92</v>
      </c>
      <c r="X214" s="99" t="s">
        <v>93</v>
      </c>
      <c r="Y214" s="99" t="s">
        <v>93</v>
      </c>
      <c r="Z214" s="99" t="s">
        <v>92</v>
      </c>
      <c r="AA214" s="197" t="s">
        <v>92</v>
      </c>
      <c r="AB214" s="197" t="s">
        <v>95</v>
      </c>
      <c r="AC214" s="197"/>
      <c r="AD214" s="197"/>
      <c r="AE214" s="197" t="s">
        <v>92</v>
      </c>
      <c r="AF214" s="197" t="s">
        <v>1838</v>
      </c>
      <c r="AG214" s="197" t="s">
        <v>6982</v>
      </c>
      <c r="AH214" s="197"/>
      <c r="AI214" s="479" t="s">
        <v>93</v>
      </c>
      <c r="AJ214" s="99" t="s">
        <v>3410</v>
      </c>
      <c r="AK214" s="99" t="s">
        <v>92</v>
      </c>
      <c r="AL214" s="99" t="s">
        <v>92</v>
      </c>
      <c r="AM214" s="99" t="s">
        <v>92</v>
      </c>
      <c r="AN214" s="99" t="s">
        <v>92</v>
      </c>
      <c r="AO214" s="99" t="s">
        <v>92</v>
      </c>
      <c r="AP214" s="99" t="s">
        <v>93</v>
      </c>
      <c r="AQ214" s="99" t="s">
        <v>92</v>
      </c>
      <c r="AR214" s="99" t="s">
        <v>6942</v>
      </c>
      <c r="AS214" s="99" t="s">
        <v>3520</v>
      </c>
      <c r="AT214" s="99" t="s">
        <v>3451</v>
      </c>
      <c r="AU214" s="99" t="s">
        <v>92</v>
      </c>
      <c r="AV214" s="99" t="s">
        <v>92</v>
      </c>
      <c r="AW214" s="99" t="s">
        <v>92</v>
      </c>
      <c r="AX214" s="99" t="s">
        <v>93</v>
      </c>
      <c r="AY214" s="99" t="s">
        <v>92</v>
      </c>
      <c r="AZ214" s="460" t="s">
        <v>93</v>
      </c>
      <c r="BA214" s="460" t="s">
        <v>92</v>
      </c>
      <c r="BB214" s="460" t="s">
        <v>92</v>
      </c>
      <c r="BC214" s="460" t="s">
        <v>92</v>
      </c>
      <c r="BD214" s="460" t="s">
        <v>92</v>
      </c>
      <c r="BE214" s="460" t="s">
        <v>92</v>
      </c>
      <c r="BF214" s="460" t="s">
        <v>92</v>
      </c>
      <c r="BG214" s="460"/>
      <c r="BH214" s="460"/>
      <c r="BI214" s="460" t="s">
        <v>92</v>
      </c>
      <c r="BJ214" s="460" t="s">
        <v>93</v>
      </c>
      <c r="BK214" s="460" t="s">
        <v>93</v>
      </c>
      <c r="BL214" s="460"/>
      <c r="BM214" s="213" t="s">
        <v>7959</v>
      </c>
      <c r="BN214" s="213" t="s">
        <v>7962</v>
      </c>
      <c r="BO214" s="470"/>
      <c r="BP214" s="470"/>
      <c r="BQ214" s="99"/>
      <c r="BR214" s="99"/>
    </row>
    <row r="215" ht="15.75" customHeight="1">
      <c r="A215" s="99"/>
      <c r="B215" s="99" t="s">
        <v>1829</v>
      </c>
      <c r="C215" s="99"/>
      <c r="D215" s="99" t="s">
        <v>7963</v>
      </c>
      <c r="E215" s="99" t="s">
        <v>189</v>
      </c>
      <c r="F215" s="99" t="s">
        <v>1841</v>
      </c>
      <c r="G215" s="99" t="s">
        <v>3346</v>
      </c>
      <c r="H215" s="99" t="s">
        <v>95</v>
      </c>
      <c r="I215" s="99" t="s">
        <v>94</v>
      </c>
      <c r="J215" s="99" t="s">
        <v>92</v>
      </c>
      <c r="K215" s="197">
        <v>2020.0</v>
      </c>
      <c r="L215" s="99" t="s">
        <v>93</v>
      </c>
      <c r="M215" s="99" t="s">
        <v>92</v>
      </c>
      <c r="N215" s="99" t="s">
        <v>92</v>
      </c>
      <c r="O215" s="99" t="s">
        <v>92</v>
      </c>
      <c r="P215" s="99">
        <v>2020.0</v>
      </c>
      <c r="Q215" s="99" t="s">
        <v>96</v>
      </c>
      <c r="R215" s="197" t="s">
        <v>5902</v>
      </c>
      <c r="S215" s="197" t="s">
        <v>93</v>
      </c>
      <c r="T215" s="197" t="s">
        <v>93</v>
      </c>
      <c r="U215" s="99" t="s">
        <v>93</v>
      </c>
      <c r="V215" s="99" t="s">
        <v>92</v>
      </c>
      <c r="W215" s="99" t="s">
        <v>92</v>
      </c>
      <c r="X215" s="99" t="s">
        <v>93</v>
      </c>
      <c r="Y215" s="99" t="s">
        <v>93</v>
      </c>
      <c r="Z215" s="99" t="s">
        <v>92</v>
      </c>
      <c r="AA215" s="197" t="s">
        <v>92</v>
      </c>
      <c r="AB215" s="197" t="s">
        <v>95</v>
      </c>
      <c r="AC215" s="197"/>
      <c r="AD215" s="197"/>
      <c r="AE215" s="197" t="s">
        <v>92</v>
      </c>
      <c r="AF215" s="197" t="s">
        <v>105</v>
      </c>
      <c r="AG215" s="197" t="s">
        <v>105</v>
      </c>
      <c r="AH215" s="197"/>
      <c r="AI215" s="479" t="s">
        <v>105</v>
      </c>
      <c r="AJ215" s="99" t="s">
        <v>3410</v>
      </c>
      <c r="AK215" s="99" t="s">
        <v>92</v>
      </c>
      <c r="AL215" s="99" t="s">
        <v>92</v>
      </c>
      <c r="AM215" s="99" t="s">
        <v>92</v>
      </c>
      <c r="AN215" s="99" t="s">
        <v>92</v>
      </c>
      <c r="AO215" s="99" t="s">
        <v>92</v>
      </c>
      <c r="AP215" s="99" t="s">
        <v>93</v>
      </c>
      <c r="AQ215" s="99" t="s">
        <v>92</v>
      </c>
      <c r="AR215" s="99" t="s">
        <v>6942</v>
      </c>
      <c r="AS215" s="99" t="s">
        <v>6892</v>
      </c>
      <c r="AT215" s="99" t="s">
        <v>3449</v>
      </c>
      <c r="AU215" s="99" t="s">
        <v>92</v>
      </c>
      <c r="AV215" s="99" t="s">
        <v>93</v>
      </c>
      <c r="AW215" s="99" t="s">
        <v>92</v>
      </c>
      <c r="AX215" s="99" t="s">
        <v>92</v>
      </c>
      <c r="AY215" s="99" t="s">
        <v>92</v>
      </c>
      <c r="AZ215" s="460" t="s">
        <v>93</v>
      </c>
      <c r="BA215" s="460" t="s">
        <v>92</v>
      </c>
      <c r="BB215" s="460" t="s">
        <v>92</v>
      </c>
      <c r="BC215" s="460" t="s">
        <v>92</v>
      </c>
      <c r="BD215" s="460" t="s">
        <v>92</v>
      </c>
      <c r="BE215" s="460" t="s">
        <v>92</v>
      </c>
      <c r="BF215" s="460" t="s">
        <v>92</v>
      </c>
      <c r="BG215" s="460"/>
      <c r="BH215" s="460"/>
      <c r="BI215" s="460" t="s">
        <v>92</v>
      </c>
      <c r="BJ215" s="460" t="s">
        <v>93</v>
      </c>
      <c r="BK215" s="460" t="s">
        <v>92</v>
      </c>
      <c r="BL215" s="460"/>
      <c r="BM215" s="213" t="s">
        <v>7959</v>
      </c>
      <c r="BN215" s="470"/>
      <c r="BO215" s="470"/>
      <c r="BP215" s="470"/>
      <c r="BQ215" s="99"/>
      <c r="BR215" s="99"/>
    </row>
    <row r="216" ht="15.75" customHeight="1">
      <c r="A216" s="99"/>
      <c r="B216" s="99" t="s">
        <v>1829</v>
      </c>
      <c r="C216" s="99"/>
      <c r="D216" s="99" t="s">
        <v>7964</v>
      </c>
      <c r="E216" s="99" t="s">
        <v>189</v>
      </c>
      <c r="F216" s="99" t="s">
        <v>1844</v>
      </c>
      <c r="G216" s="99" t="s">
        <v>3346</v>
      </c>
      <c r="H216" s="99" t="s">
        <v>95</v>
      </c>
      <c r="I216" s="99" t="s">
        <v>94</v>
      </c>
      <c r="J216" s="99" t="s">
        <v>92</v>
      </c>
      <c r="K216" s="197">
        <v>2020.0</v>
      </c>
      <c r="L216" s="99" t="s">
        <v>93</v>
      </c>
      <c r="M216" s="99" t="s">
        <v>92</v>
      </c>
      <c r="N216" s="99" t="s">
        <v>92</v>
      </c>
      <c r="O216" s="99" t="s">
        <v>92</v>
      </c>
      <c r="P216" s="99">
        <v>2020.0</v>
      </c>
      <c r="Q216" s="99" t="s">
        <v>96</v>
      </c>
      <c r="R216" s="197" t="s">
        <v>5902</v>
      </c>
      <c r="S216" s="197" t="s">
        <v>93</v>
      </c>
      <c r="T216" s="197" t="s">
        <v>93</v>
      </c>
      <c r="U216" s="99" t="s">
        <v>93</v>
      </c>
      <c r="V216" s="99" t="s">
        <v>92</v>
      </c>
      <c r="W216" s="99" t="s">
        <v>92</v>
      </c>
      <c r="X216" s="99" t="s">
        <v>93</v>
      </c>
      <c r="Y216" s="99" t="s">
        <v>93</v>
      </c>
      <c r="Z216" s="99" t="s">
        <v>92</v>
      </c>
      <c r="AA216" s="197" t="s">
        <v>92</v>
      </c>
      <c r="AB216" s="197" t="s">
        <v>95</v>
      </c>
      <c r="AC216" s="197"/>
      <c r="AD216" s="197"/>
      <c r="AE216" s="197" t="s">
        <v>92</v>
      </c>
      <c r="AF216" s="99" t="s">
        <v>1845</v>
      </c>
      <c r="AG216" s="197" t="s">
        <v>7448</v>
      </c>
      <c r="AH216" s="197"/>
      <c r="AI216" s="479" t="s">
        <v>92</v>
      </c>
      <c r="AJ216" s="99" t="s">
        <v>3410</v>
      </c>
      <c r="AK216" s="99" t="s">
        <v>92</v>
      </c>
      <c r="AL216" s="99" t="s">
        <v>92</v>
      </c>
      <c r="AM216" s="99" t="s">
        <v>92</v>
      </c>
      <c r="AN216" s="99" t="s">
        <v>92</v>
      </c>
      <c r="AO216" s="99" t="s">
        <v>92</v>
      </c>
      <c r="AP216" s="99" t="s">
        <v>93</v>
      </c>
      <c r="AQ216" s="99" t="s">
        <v>92</v>
      </c>
      <c r="AR216" s="99" t="s">
        <v>6942</v>
      </c>
      <c r="AS216" s="99" t="s">
        <v>3614</v>
      </c>
      <c r="AT216" s="99" t="s">
        <v>3448</v>
      </c>
      <c r="AU216" s="99" t="s">
        <v>93</v>
      </c>
      <c r="AV216" s="99" t="s">
        <v>92</v>
      </c>
      <c r="AW216" s="99" t="s">
        <v>92</v>
      </c>
      <c r="AX216" s="99" t="s">
        <v>92</v>
      </c>
      <c r="AY216" s="99" t="s">
        <v>92</v>
      </c>
      <c r="AZ216" s="460" t="s">
        <v>93</v>
      </c>
      <c r="BA216" s="460" t="s">
        <v>92</v>
      </c>
      <c r="BB216" s="460" t="s">
        <v>92</v>
      </c>
      <c r="BC216" s="460" t="s">
        <v>92</v>
      </c>
      <c r="BD216" s="460" t="s">
        <v>92</v>
      </c>
      <c r="BE216" s="460" t="s">
        <v>92</v>
      </c>
      <c r="BF216" s="460" t="s">
        <v>92</v>
      </c>
      <c r="BG216" s="460"/>
      <c r="BH216" s="460"/>
      <c r="BI216" s="460" t="s">
        <v>92</v>
      </c>
      <c r="BJ216" s="460" t="s">
        <v>93</v>
      </c>
      <c r="BK216" s="460" t="s">
        <v>92</v>
      </c>
      <c r="BL216" s="460"/>
      <c r="BM216" s="213" t="s">
        <v>7959</v>
      </c>
      <c r="BN216" s="470"/>
      <c r="BO216" s="470"/>
      <c r="BP216" s="470"/>
      <c r="BQ216" s="99"/>
      <c r="BR216" s="99"/>
    </row>
    <row r="217" ht="15.75" customHeight="1">
      <c r="A217" s="197"/>
      <c r="B217" s="99" t="s">
        <v>1829</v>
      </c>
      <c r="C217" s="197">
        <v>125.0</v>
      </c>
      <c r="D217" s="99" t="s">
        <v>7490</v>
      </c>
      <c r="E217" s="99" t="s">
        <v>189</v>
      </c>
      <c r="F217" s="99" t="s">
        <v>7965</v>
      </c>
      <c r="G217" s="99" t="s">
        <v>3346</v>
      </c>
      <c r="H217" s="99" t="s">
        <v>95</v>
      </c>
      <c r="I217" s="99" t="s">
        <v>94</v>
      </c>
      <c r="J217" s="99" t="s">
        <v>92</v>
      </c>
      <c r="K217" s="197">
        <v>2021.0</v>
      </c>
      <c r="L217" s="99" t="s">
        <v>92</v>
      </c>
      <c r="M217" s="99" t="s">
        <v>93</v>
      </c>
      <c r="N217" s="99" t="s">
        <v>92</v>
      </c>
      <c r="O217" s="99" t="s">
        <v>92</v>
      </c>
      <c r="P217" s="99" t="s">
        <v>95</v>
      </c>
      <c r="Q217" s="99" t="s">
        <v>114</v>
      </c>
      <c r="R217" s="197" t="s">
        <v>5902</v>
      </c>
      <c r="S217" s="197" t="s">
        <v>93</v>
      </c>
      <c r="T217" s="197" t="s">
        <v>93</v>
      </c>
      <c r="U217" s="99" t="s">
        <v>93</v>
      </c>
      <c r="V217" s="99" t="s">
        <v>92</v>
      </c>
      <c r="W217" s="99" t="s">
        <v>92</v>
      </c>
      <c r="X217" s="99" t="s">
        <v>93</v>
      </c>
      <c r="Y217" s="99" t="s">
        <v>93</v>
      </c>
      <c r="Z217" s="99" t="s">
        <v>92</v>
      </c>
      <c r="AA217" s="197" t="s">
        <v>92</v>
      </c>
      <c r="AB217" s="197" t="s">
        <v>95</v>
      </c>
      <c r="AC217" s="197"/>
      <c r="AD217" s="197"/>
      <c r="AE217" s="197" t="s">
        <v>93</v>
      </c>
      <c r="AF217" s="99" t="s">
        <v>1850</v>
      </c>
      <c r="AG217" s="197" t="s">
        <v>6990</v>
      </c>
      <c r="AH217" s="197"/>
      <c r="AI217" s="459" t="s">
        <v>93</v>
      </c>
      <c r="AJ217" s="99" t="s">
        <v>3410</v>
      </c>
      <c r="AK217" s="99" t="s">
        <v>92</v>
      </c>
      <c r="AL217" s="99" t="s">
        <v>92</v>
      </c>
      <c r="AM217" s="99" t="s">
        <v>92</v>
      </c>
      <c r="AN217" s="99" t="s">
        <v>92</v>
      </c>
      <c r="AO217" s="99" t="s">
        <v>92</v>
      </c>
      <c r="AP217" s="99" t="s">
        <v>93</v>
      </c>
      <c r="AQ217" s="99" t="s">
        <v>92</v>
      </c>
      <c r="AR217" s="99" t="s">
        <v>6949</v>
      </c>
      <c r="AS217" s="99" t="s">
        <v>95</v>
      </c>
      <c r="AT217" s="99" t="s">
        <v>95</v>
      </c>
      <c r="AU217" s="99" t="s">
        <v>93</v>
      </c>
      <c r="AV217" s="99" t="s">
        <v>93</v>
      </c>
      <c r="AW217" s="99" t="s">
        <v>93</v>
      </c>
      <c r="AX217" s="99" t="s">
        <v>93</v>
      </c>
      <c r="AY217" s="99" t="s">
        <v>93</v>
      </c>
      <c r="AZ217" s="460" t="s">
        <v>93</v>
      </c>
      <c r="BA217" s="460" t="s">
        <v>92</v>
      </c>
      <c r="BB217" s="460" t="s">
        <v>92</v>
      </c>
      <c r="BC217" s="460" t="s">
        <v>92</v>
      </c>
      <c r="BD217" s="460" t="s">
        <v>92</v>
      </c>
      <c r="BE217" s="460" t="s">
        <v>92</v>
      </c>
      <c r="BF217" s="460" t="s">
        <v>92</v>
      </c>
      <c r="BG217" s="460"/>
      <c r="BH217" s="460"/>
      <c r="BI217" s="460" t="s">
        <v>92</v>
      </c>
      <c r="BJ217" s="460" t="s">
        <v>93</v>
      </c>
      <c r="BK217" s="460" t="s">
        <v>93</v>
      </c>
      <c r="BL217" s="460"/>
      <c r="BM217" s="213" t="s">
        <v>7492</v>
      </c>
      <c r="BN217" s="472" t="s">
        <v>7493</v>
      </c>
      <c r="BO217" s="472" t="s">
        <v>7959</v>
      </c>
      <c r="BP217" s="490"/>
      <c r="BQ217" s="491"/>
      <c r="BR217" s="99"/>
    </row>
    <row r="218" ht="15.75" customHeight="1">
      <c r="A218" s="197"/>
      <c r="B218" s="99" t="s">
        <v>1829</v>
      </c>
      <c r="C218" s="197">
        <v>35.0</v>
      </c>
      <c r="D218" s="99" t="s">
        <v>3301</v>
      </c>
      <c r="E218" s="99" t="s">
        <v>189</v>
      </c>
      <c r="F218" s="99" t="s">
        <v>1856</v>
      </c>
      <c r="G218" s="99" t="s">
        <v>3346</v>
      </c>
      <c r="H218" s="99" t="s">
        <v>95</v>
      </c>
      <c r="I218" s="99" t="s">
        <v>94</v>
      </c>
      <c r="J218" s="99" t="s">
        <v>92</v>
      </c>
      <c r="K218" s="197">
        <v>1993.0</v>
      </c>
      <c r="L218" s="99" t="s">
        <v>93</v>
      </c>
      <c r="M218" s="99" t="s">
        <v>92</v>
      </c>
      <c r="N218" s="99" t="s">
        <v>92</v>
      </c>
      <c r="O218" s="99" t="s">
        <v>92</v>
      </c>
      <c r="P218" s="99" t="s">
        <v>95</v>
      </c>
      <c r="Q218" s="99" t="s">
        <v>114</v>
      </c>
      <c r="R218" s="197" t="s">
        <v>5902</v>
      </c>
      <c r="S218" s="197" t="s">
        <v>93</v>
      </c>
      <c r="T218" s="197" t="s">
        <v>93</v>
      </c>
      <c r="U218" s="99" t="s">
        <v>93</v>
      </c>
      <c r="V218" s="99" t="s">
        <v>92</v>
      </c>
      <c r="W218" s="99" t="s">
        <v>92</v>
      </c>
      <c r="X218" s="99" t="s">
        <v>93</v>
      </c>
      <c r="Y218" s="99" t="s">
        <v>93</v>
      </c>
      <c r="Z218" s="99" t="s">
        <v>92</v>
      </c>
      <c r="AA218" s="197" t="s">
        <v>92</v>
      </c>
      <c r="AB218" s="197" t="s">
        <v>95</v>
      </c>
      <c r="AC218" s="197"/>
      <c r="AD218" s="197"/>
      <c r="AE218" s="197" t="s">
        <v>93</v>
      </c>
      <c r="AF218" s="99" t="s">
        <v>1850</v>
      </c>
      <c r="AG218" s="197" t="s">
        <v>6990</v>
      </c>
      <c r="AH218" s="197"/>
      <c r="AI218" s="459" t="s">
        <v>93</v>
      </c>
      <c r="AJ218" s="99" t="s">
        <v>3410</v>
      </c>
      <c r="AK218" s="99" t="s">
        <v>92</v>
      </c>
      <c r="AL218" s="99" t="s">
        <v>92</v>
      </c>
      <c r="AM218" s="99" t="s">
        <v>92</v>
      </c>
      <c r="AN218" s="99" t="s">
        <v>92</v>
      </c>
      <c r="AO218" s="99" t="s">
        <v>92</v>
      </c>
      <c r="AP218" s="99" t="s">
        <v>93</v>
      </c>
      <c r="AQ218" s="99" t="s">
        <v>92</v>
      </c>
      <c r="AR218" s="99" t="s">
        <v>6972</v>
      </c>
      <c r="AS218" s="99" t="s">
        <v>7966</v>
      </c>
      <c r="AT218" s="99" t="s">
        <v>7502</v>
      </c>
      <c r="AU218" s="99" t="s">
        <v>93</v>
      </c>
      <c r="AV218" s="99" t="s">
        <v>93</v>
      </c>
      <c r="AW218" s="99" t="s">
        <v>92</v>
      </c>
      <c r="AX218" s="99" t="s">
        <v>93</v>
      </c>
      <c r="AY218" s="99" t="s">
        <v>92</v>
      </c>
      <c r="AZ218" s="460" t="s">
        <v>93</v>
      </c>
      <c r="BA218" s="460" t="s">
        <v>92</v>
      </c>
      <c r="BB218" s="460" t="s">
        <v>92</v>
      </c>
      <c r="BC218" s="460" t="s">
        <v>92</v>
      </c>
      <c r="BD218" s="460" t="s">
        <v>92</v>
      </c>
      <c r="BE218" s="460" t="s">
        <v>92</v>
      </c>
      <c r="BF218" s="460" t="s">
        <v>92</v>
      </c>
      <c r="BG218" s="460"/>
      <c r="BH218" s="460"/>
      <c r="BI218" s="460" t="s">
        <v>92</v>
      </c>
      <c r="BJ218" s="460" t="s">
        <v>92</v>
      </c>
      <c r="BK218" s="460" t="s">
        <v>93</v>
      </c>
      <c r="BL218" s="460"/>
      <c r="BM218" s="213" t="s">
        <v>6996</v>
      </c>
      <c r="BN218" s="213" t="s">
        <v>7959</v>
      </c>
      <c r="BO218" s="470"/>
      <c r="BP218" s="470"/>
      <c r="BQ218" s="99"/>
      <c r="BR218" s="99"/>
    </row>
    <row r="219" ht="15.75" customHeight="1">
      <c r="A219" s="197"/>
      <c r="B219" s="99" t="s">
        <v>1829</v>
      </c>
      <c r="C219" s="197">
        <v>37.0</v>
      </c>
      <c r="D219" s="99" t="s">
        <v>6998</v>
      </c>
      <c r="E219" s="99" t="s">
        <v>110</v>
      </c>
      <c r="F219" s="99" t="s">
        <v>7967</v>
      </c>
      <c r="G219" s="99" t="s">
        <v>3346</v>
      </c>
      <c r="H219" s="99" t="s">
        <v>3348</v>
      </c>
      <c r="I219" s="99" t="s">
        <v>1135</v>
      </c>
      <c r="J219" s="99" t="s">
        <v>92</v>
      </c>
      <c r="K219" s="197">
        <v>1994.0</v>
      </c>
      <c r="L219" s="99" t="s">
        <v>93</v>
      </c>
      <c r="M219" s="99" t="s">
        <v>92</v>
      </c>
      <c r="N219" s="99" t="s">
        <v>92</v>
      </c>
      <c r="O219" s="99" t="s">
        <v>92</v>
      </c>
      <c r="P219" s="99" t="s">
        <v>95</v>
      </c>
      <c r="Q219" s="99" t="s">
        <v>114</v>
      </c>
      <c r="R219" s="197" t="s">
        <v>5902</v>
      </c>
      <c r="S219" s="197" t="s">
        <v>93</v>
      </c>
      <c r="T219" s="197" t="s">
        <v>93</v>
      </c>
      <c r="U219" s="99" t="s">
        <v>93</v>
      </c>
      <c r="V219" s="99" t="s">
        <v>92</v>
      </c>
      <c r="W219" s="99" t="s">
        <v>92</v>
      </c>
      <c r="X219" s="99" t="s">
        <v>93</v>
      </c>
      <c r="Y219" s="99" t="s">
        <v>93</v>
      </c>
      <c r="Z219" s="99" t="s">
        <v>92</v>
      </c>
      <c r="AA219" s="197" t="s">
        <v>92</v>
      </c>
      <c r="AB219" s="197" t="s">
        <v>95</v>
      </c>
      <c r="AC219" s="197"/>
      <c r="AD219" s="197"/>
      <c r="AE219" s="197" t="s">
        <v>92</v>
      </c>
      <c r="AF219" s="99" t="s">
        <v>1496</v>
      </c>
      <c r="AG219" s="197" t="s">
        <v>5902</v>
      </c>
      <c r="AH219" s="197"/>
      <c r="AI219" s="459" t="s">
        <v>92</v>
      </c>
      <c r="AJ219" s="99" t="s">
        <v>7881</v>
      </c>
      <c r="AK219" s="99" t="s">
        <v>92</v>
      </c>
      <c r="AL219" s="99" t="s">
        <v>93</v>
      </c>
      <c r="AM219" s="99" t="s">
        <v>93</v>
      </c>
      <c r="AN219" s="99" t="s">
        <v>92</v>
      </c>
      <c r="AO219" s="99" t="s">
        <v>93</v>
      </c>
      <c r="AP219" s="99" t="s">
        <v>93</v>
      </c>
      <c r="AQ219" s="99" t="s">
        <v>92</v>
      </c>
      <c r="AR219" s="99" t="s">
        <v>6972</v>
      </c>
      <c r="AS219" s="99" t="s">
        <v>7968</v>
      </c>
      <c r="AT219" s="99" t="s">
        <v>7073</v>
      </c>
      <c r="AU219" s="99" t="s">
        <v>92</v>
      </c>
      <c r="AV219" s="99" t="s">
        <v>93</v>
      </c>
      <c r="AW219" s="99" t="s">
        <v>92</v>
      </c>
      <c r="AX219" s="99" t="s">
        <v>93</v>
      </c>
      <c r="AY219" s="99" t="s">
        <v>92</v>
      </c>
      <c r="AZ219" s="460" t="s">
        <v>93</v>
      </c>
      <c r="BA219" s="460" t="s">
        <v>93</v>
      </c>
      <c r="BB219" s="460" t="s">
        <v>92</v>
      </c>
      <c r="BC219" s="460" t="s">
        <v>92</v>
      </c>
      <c r="BD219" s="460" t="s">
        <v>92</v>
      </c>
      <c r="BE219" s="460" t="s">
        <v>92</v>
      </c>
      <c r="BF219" s="460" t="s">
        <v>93</v>
      </c>
      <c r="BG219" s="460"/>
      <c r="BH219" s="460"/>
      <c r="BI219" s="460" t="s">
        <v>92</v>
      </c>
      <c r="BJ219" s="460" t="s">
        <v>92</v>
      </c>
      <c r="BK219" s="460" t="s">
        <v>93</v>
      </c>
      <c r="BL219" s="460"/>
      <c r="BM219" s="213" t="s">
        <v>7001</v>
      </c>
      <c r="BN219" s="213" t="s">
        <v>7959</v>
      </c>
      <c r="BO219" s="474"/>
      <c r="BP219" s="474"/>
      <c r="BQ219" s="475"/>
      <c r="BR219" s="475"/>
    </row>
    <row r="220" ht="15.75" customHeight="1">
      <c r="A220" s="99"/>
      <c r="B220" s="99" t="s">
        <v>1829</v>
      </c>
      <c r="C220" s="99"/>
      <c r="D220" s="470" t="s">
        <v>7969</v>
      </c>
      <c r="E220" s="99" t="s">
        <v>189</v>
      </c>
      <c r="F220" s="99" t="s">
        <v>1873</v>
      </c>
      <c r="G220" s="99" t="s">
        <v>3346</v>
      </c>
      <c r="H220" s="99" t="s">
        <v>95</v>
      </c>
      <c r="I220" s="99" t="s">
        <v>94</v>
      </c>
      <c r="J220" s="99" t="s">
        <v>92</v>
      </c>
      <c r="K220" s="197">
        <v>2020.0</v>
      </c>
      <c r="L220" s="99" t="s">
        <v>93</v>
      </c>
      <c r="M220" s="99" t="s">
        <v>92</v>
      </c>
      <c r="N220" s="99" t="s">
        <v>92</v>
      </c>
      <c r="O220" s="99" t="s">
        <v>92</v>
      </c>
      <c r="P220" s="99">
        <v>2020.0</v>
      </c>
      <c r="Q220" s="99" t="s">
        <v>96</v>
      </c>
      <c r="R220" s="197" t="s">
        <v>5902</v>
      </c>
      <c r="S220" s="197" t="s">
        <v>93</v>
      </c>
      <c r="T220" s="197" t="s">
        <v>93</v>
      </c>
      <c r="U220" s="99" t="s">
        <v>93</v>
      </c>
      <c r="V220" s="99" t="s">
        <v>92</v>
      </c>
      <c r="W220" s="99" t="s">
        <v>92</v>
      </c>
      <c r="X220" s="99" t="s">
        <v>93</v>
      </c>
      <c r="Y220" s="99" t="s">
        <v>93</v>
      </c>
      <c r="Z220" s="99" t="s">
        <v>92</v>
      </c>
      <c r="AA220" s="197" t="s">
        <v>92</v>
      </c>
      <c r="AB220" s="197" t="s">
        <v>95</v>
      </c>
      <c r="AC220" s="197"/>
      <c r="AD220" s="197"/>
      <c r="AE220" s="197" t="s">
        <v>92</v>
      </c>
      <c r="AF220" s="99" t="s">
        <v>1874</v>
      </c>
      <c r="AG220" s="197" t="s">
        <v>6990</v>
      </c>
      <c r="AH220" s="197"/>
      <c r="AI220" s="479" t="s">
        <v>92</v>
      </c>
      <c r="AJ220" s="99" t="s">
        <v>3410</v>
      </c>
      <c r="AK220" s="99" t="s">
        <v>92</v>
      </c>
      <c r="AL220" s="99" t="s">
        <v>92</v>
      </c>
      <c r="AM220" s="99" t="s">
        <v>92</v>
      </c>
      <c r="AN220" s="99" t="s">
        <v>92</v>
      </c>
      <c r="AO220" s="99" t="s">
        <v>92</v>
      </c>
      <c r="AP220" s="99" t="s">
        <v>93</v>
      </c>
      <c r="AQ220" s="99" t="s">
        <v>92</v>
      </c>
      <c r="AR220" s="99" t="s">
        <v>6942</v>
      </c>
      <c r="AS220" s="99" t="s">
        <v>3893</v>
      </c>
      <c r="AT220" s="99" t="s">
        <v>3451</v>
      </c>
      <c r="AU220" s="99" t="s">
        <v>92</v>
      </c>
      <c r="AV220" s="99" t="s">
        <v>92</v>
      </c>
      <c r="AW220" s="99" t="s">
        <v>92</v>
      </c>
      <c r="AX220" s="99" t="s">
        <v>93</v>
      </c>
      <c r="AY220" s="99" t="s">
        <v>92</v>
      </c>
      <c r="AZ220" s="460" t="s">
        <v>93</v>
      </c>
      <c r="BA220" s="460" t="s">
        <v>92</v>
      </c>
      <c r="BB220" s="460" t="s">
        <v>92</v>
      </c>
      <c r="BC220" s="460" t="s">
        <v>92</v>
      </c>
      <c r="BD220" s="460" t="s">
        <v>92</v>
      </c>
      <c r="BE220" s="460" t="s">
        <v>92</v>
      </c>
      <c r="BF220" s="460" t="s">
        <v>92</v>
      </c>
      <c r="BG220" s="460"/>
      <c r="BH220" s="460"/>
      <c r="BI220" s="460" t="s">
        <v>92</v>
      </c>
      <c r="BJ220" s="460" t="s">
        <v>93</v>
      </c>
      <c r="BK220" s="460" t="s">
        <v>92</v>
      </c>
      <c r="BL220" s="460"/>
      <c r="BM220" s="213" t="s">
        <v>7959</v>
      </c>
      <c r="BN220" s="470"/>
      <c r="BO220" s="470"/>
      <c r="BP220" s="470"/>
      <c r="BQ220" s="99"/>
      <c r="BR220" s="99"/>
    </row>
    <row r="221" ht="15.75" customHeight="1">
      <c r="A221" s="197"/>
      <c r="B221" s="99" t="s">
        <v>1829</v>
      </c>
      <c r="C221" s="197">
        <v>57.0</v>
      </c>
      <c r="D221" s="99" t="s">
        <v>7402</v>
      </c>
      <c r="E221" s="99" t="s">
        <v>110</v>
      </c>
      <c r="F221" s="99" t="s">
        <v>7970</v>
      </c>
      <c r="G221" s="99" t="s">
        <v>3346</v>
      </c>
      <c r="H221" s="99" t="s">
        <v>3345</v>
      </c>
      <c r="I221" s="99" t="s">
        <v>94</v>
      </c>
      <c r="J221" s="99" t="s">
        <v>92</v>
      </c>
      <c r="K221" s="197">
        <v>2020.0</v>
      </c>
      <c r="L221" s="99" t="s">
        <v>93</v>
      </c>
      <c r="M221" s="99" t="s">
        <v>93</v>
      </c>
      <c r="N221" s="99" t="s">
        <v>93</v>
      </c>
      <c r="O221" s="99" t="s">
        <v>105</v>
      </c>
      <c r="P221" s="99" t="s">
        <v>95</v>
      </c>
      <c r="Q221" s="99" t="s">
        <v>114</v>
      </c>
      <c r="R221" s="197" t="s">
        <v>5902</v>
      </c>
      <c r="S221" s="197" t="s">
        <v>93</v>
      </c>
      <c r="T221" s="197" t="s">
        <v>93</v>
      </c>
      <c r="U221" s="99" t="s">
        <v>93</v>
      </c>
      <c r="V221" s="99" t="s">
        <v>92</v>
      </c>
      <c r="W221" s="99" t="s">
        <v>92</v>
      </c>
      <c r="X221" s="99" t="s">
        <v>93</v>
      </c>
      <c r="Y221" s="99" t="s">
        <v>93</v>
      </c>
      <c r="Z221" s="99" t="s">
        <v>92</v>
      </c>
      <c r="AA221" s="197" t="s">
        <v>92</v>
      </c>
      <c r="AB221" s="197" t="s">
        <v>95</v>
      </c>
      <c r="AC221" s="197"/>
      <c r="AD221" s="197"/>
      <c r="AE221" s="197" t="s">
        <v>93</v>
      </c>
      <c r="AF221" s="99" t="s">
        <v>1204</v>
      </c>
      <c r="AG221" s="197" t="s">
        <v>6990</v>
      </c>
      <c r="AH221" s="197"/>
      <c r="AI221" s="459" t="s">
        <v>93</v>
      </c>
      <c r="AJ221" s="99" t="s">
        <v>3410</v>
      </c>
      <c r="AK221" s="99" t="s">
        <v>92</v>
      </c>
      <c r="AL221" s="99" t="s">
        <v>92</v>
      </c>
      <c r="AM221" s="99" t="s">
        <v>92</v>
      </c>
      <c r="AN221" s="99" t="s">
        <v>92</v>
      </c>
      <c r="AO221" s="99" t="s">
        <v>92</v>
      </c>
      <c r="AP221" s="99" t="s">
        <v>93</v>
      </c>
      <c r="AQ221" s="99" t="s">
        <v>92</v>
      </c>
      <c r="AR221" s="99" t="s">
        <v>6942</v>
      </c>
      <c r="AS221" s="99" t="s">
        <v>7404</v>
      </c>
      <c r="AT221" s="99" t="s">
        <v>6974</v>
      </c>
      <c r="AU221" s="99" t="s">
        <v>92</v>
      </c>
      <c r="AV221" s="99" t="s">
        <v>92</v>
      </c>
      <c r="AW221" s="99" t="s">
        <v>92</v>
      </c>
      <c r="AX221" s="99" t="s">
        <v>93</v>
      </c>
      <c r="AY221" s="99" t="s">
        <v>93</v>
      </c>
      <c r="AZ221" s="460" t="s">
        <v>93</v>
      </c>
      <c r="BA221" s="460" t="s">
        <v>93</v>
      </c>
      <c r="BB221" s="460" t="s">
        <v>92</v>
      </c>
      <c r="BC221" s="460" t="s">
        <v>92</v>
      </c>
      <c r="BD221" s="460" t="s">
        <v>92</v>
      </c>
      <c r="BE221" s="460" t="s">
        <v>92</v>
      </c>
      <c r="BF221" s="460" t="s">
        <v>92</v>
      </c>
      <c r="BG221" s="460"/>
      <c r="BH221" s="460"/>
      <c r="BI221" s="460" t="s">
        <v>92</v>
      </c>
      <c r="BJ221" s="460" t="s">
        <v>92</v>
      </c>
      <c r="BK221" s="460" t="s">
        <v>93</v>
      </c>
      <c r="BL221" s="460"/>
      <c r="BM221" s="213" t="s">
        <v>7971</v>
      </c>
      <c r="BN221" s="472" t="s">
        <v>7406</v>
      </c>
      <c r="BO221" s="492" t="s">
        <v>7971</v>
      </c>
      <c r="BP221" s="213" t="s">
        <v>7959</v>
      </c>
      <c r="BQ221" s="456"/>
      <c r="BR221" s="456"/>
    </row>
    <row r="222" ht="15.75" customHeight="1">
      <c r="A222" s="99"/>
      <c r="B222" s="99" t="s">
        <v>1829</v>
      </c>
      <c r="C222" s="99"/>
      <c r="D222" s="99" t="s">
        <v>7972</v>
      </c>
      <c r="E222" s="99" t="s">
        <v>189</v>
      </c>
      <c r="F222" s="99" t="s">
        <v>7973</v>
      </c>
      <c r="G222" s="99" t="s">
        <v>3346</v>
      </c>
      <c r="H222" s="99" t="s">
        <v>95</v>
      </c>
      <c r="I222" s="99" t="s">
        <v>94</v>
      </c>
      <c r="J222" s="99" t="s">
        <v>92</v>
      </c>
      <c r="K222" s="197">
        <v>2021.0</v>
      </c>
      <c r="L222" s="99" t="s">
        <v>92</v>
      </c>
      <c r="M222" s="99" t="s">
        <v>93</v>
      </c>
      <c r="N222" s="99" t="s">
        <v>93</v>
      </c>
      <c r="O222" s="99" t="s">
        <v>92</v>
      </c>
      <c r="P222" s="99">
        <v>2022.0</v>
      </c>
      <c r="Q222" s="99" t="s">
        <v>96</v>
      </c>
      <c r="R222" s="197" t="s">
        <v>5902</v>
      </c>
      <c r="S222" s="197" t="s">
        <v>93</v>
      </c>
      <c r="T222" s="197" t="s">
        <v>93</v>
      </c>
      <c r="U222" s="99" t="s">
        <v>93</v>
      </c>
      <c r="V222" s="99" t="s">
        <v>92</v>
      </c>
      <c r="W222" s="99" t="s">
        <v>92</v>
      </c>
      <c r="X222" s="99" t="s">
        <v>93</v>
      </c>
      <c r="Y222" s="99" t="s">
        <v>93</v>
      </c>
      <c r="Z222" s="99" t="s">
        <v>92</v>
      </c>
      <c r="AA222" s="197" t="s">
        <v>92</v>
      </c>
      <c r="AB222" s="197" t="s">
        <v>95</v>
      </c>
      <c r="AC222" s="197"/>
      <c r="AD222" s="197"/>
      <c r="AE222" s="197" t="s">
        <v>92</v>
      </c>
      <c r="AF222" s="99" t="s">
        <v>1850</v>
      </c>
      <c r="AG222" s="197" t="s">
        <v>6990</v>
      </c>
      <c r="AH222" s="197"/>
      <c r="AI222" s="459" t="s">
        <v>93</v>
      </c>
      <c r="AJ222" s="99" t="s">
        <v>3410</v>
      </c>
      <c r="AK222" s="99" t="s">
        <v>92</v>
      </c>
      <c r="AL222" s="99" t="s">
        <v>92</v>
      </c>
      <c r="AM222" s="99" t="s">
        <v>92</v>
      </c>
      <c r="AN222" s="99" t="s">
        <v>92</v>
      </c>
      <c r="AO222" s="99" t="s">
        <v>92</v>
      </c>
      <c r="AP222" s="99" t="s">
        <v>93</v>
      </c>
      <c r="AQ222" s="99" t="s">
        <v>92</v>
      </c>
      <c r="AR222" s="99" t="s">
        <v>6942</v>
      </c>
      <c r="AS222" s="99" t="s">
        <v>7974</v>
      </c>
      <c r="AT222" s="99" t="s">
        <v>7073</v>
      </c>
      <c r="AU222" s="99" t="s">
        <v>92</v>
      </c>
      <c r="AV222" s="99" t="s">
        <v>93</v>
      </c>
      <c r="AW222" s="99" t="s">
        <v>92</v>
      </c>
      <c r="AX222" s="99" t="s">
        <v>93</v>
      </c>
      <c r="AY222" s="99" t="s">
        <v>92</v>
      </c>
      <c r="AZ222" s="460" t="s">
        <v>93</v>
      </c>
      <c r="BA222" s="460" t="s">
        <v>92</v>
      </c>
      <c r="BB222" s="460" t="s">
        <v>92</v>
      </c>
      <c r="BC222" s="460" t="s">
        <v>92</v>
      </c>
      <c r="BD222" s="460" t="s">
        <v>92</v>
      </c>
      <c r="BE222" s="460" t="s">
        <v>92</v>
      </c>
      <c r="BF222" s="460" t="s">
        <v>92</v>
      </c>
      <c r="BG222" s="460"/>
      <c r="BH222" s="460"/>
      <c r="BI222" s="460" t="s">
        <v>92</v>
      </c>
      <c r="BJ222" s="460" t="s">
        <v>93</v>
      </c>
      <c r="BK222" s="460" t="s">
        <v>93</v>
      </c>
      <c r="BL222" s="460"/>
      <c r="BM222" s="213" t="s">
        <v>7971</v>
      </c>
      <c r="BN222" s="470"/>
      <c r="BO222" s="470"/>
      <c r="BP222" s="470"/>
      <c r="BQ222" s="99"/>
      <c r="BR222" s="99"/>
    </row>
    <row r="223" ht="15.75" customHeight="1">
      <c r="A223" s="99"/>
      <c r="B223" s="99" t="s">
        <v>1829</v>
      </c>
      <c r="C223" s="99"/>
      <c r="D223" s="99" t="s">
        <v>7975</v>
      </c>
      <c r="E223" s="99" t="s">
        <v>90</v>
      </c>
      <c r="F223" s="99" t="s">
        <v>7976</v>
      </c>
      <c r="G223" s="99" t="s">
        <v>3346</v>
      </c>
      <c r="H223" s="99" t="s">
        <v>95</v>
      </c>
      <c r="I223" s="99" t="s">
        <v>94</v>
      </c>
      <c r="J223" s="99" t="s">
        <v>92</v>
      </c>
      <c r="K223" s="197">
        <v>2022.0</v>
      </c>
      <c r="L223" s="99" t="s">
        <v>92</v>
      </c>
      <c r="M223" s="99" t="s">
        <v>92</v>
      </c>
      <c r="N223" s="99" t="s">
        <v>93</v>
      </c>
      <c r="O223" s="99" t="s">
        <v>92</v>
      </c>
      <c r="P223" s="99">
        <v>2022.0</v>
      </c>
      <c r="Q223" s="99" t="s">
        <v>96</v>
      </c>
      <c r="R223" s="197" t="s">
        <v>5902</v>
      </c>
      <c r="S223" s="197" t="s">
        <v>93</v>
      </c>
      <c r="T223" s="197" t="s">
        <v>93</v>
      </c>
      <c r="U223" s="99" t="s">
        <v>93</v>
      </c>
      <c r="V223" s="99" t="s">
        <v>92</v>
      </c>
      <c r="W223" s="99" t="s">
        <v>92</v>
      </c>
      <c r="X223" s="99" t="s">
        <v>93</v>
      </c>
      <c r="Y223" s="99" t="s">
        <v>93</v>
      </c>
      <c r="Z223" s="99" t="s">
        <v>92</v>
      </c>
      <c r="AA223" s="197" t="s">
        <v>92</v>
      </c>
      <c r="AB223" s="197" t="s">
        <v>95</v>
      </c>
      <c r="AC223" s="197"/>
      <c r="AD223" s="197"/>
      <c r="AE223" s="197" t="s">
        <v>92</v>
      </c>
      <c r="AF223" s="99" t="s">
        <v>1884</v>
      </c>
      <c r="AG223" s="197" t="s">
        <v>6990</v>
      </c>
      <c r="AH223" s="197"/>
      <c r="AI223" s="479" t="s">
        <v>92</v>
      </c>
      <c r="AJ223" s="99" t="s">
        <v>3410</v>
      </c>
      <c r="AK223" s="99" t="s">
        <v>92</v>
      </c>
      <c r="AL223" s="99" t="s">
        <v>92</v>
      </c>
      <c r="AM223" s="99" t="s">
        <v>92</v>
      </c>
      <c r="AN223" s="99" t="s">
        <v>92</v>
      </c>
      <c r="AO223" s="99" t="s">
        <v>92</v>
      </c>
      <c r="AP223" s="99" t="s">
        <v>93</v>
      </c>
      <c r="AQ223" s="99" t="s">
        <v>92</v>
      </c>
      <c r="AR223" s="99" t="s">
        <v>6942</v>
      </c>
      <c r="AS223" s="99" t="s">
        <v>3520</v>
      </c>
      <c r="AT223" s="99" t="s">
        <v>3451</v>
      </c>
      <c r="AU223" s="99" t="s">
        <v>92</v>
      </c>
      <c r="AV223" s="99" t="s">
        <v>92</v>
      </c>
      <c r="AW223" s="99" t="s">
        <v>92</v>
      </c>
      <c r="AX223" s="99" t="s">
        <v>93</v>
      </c>
      <c r="AY223" s="99" t="s">
        <v>92</v>
      </c>
      <c r="AZ223" s="460" t="s">
        <v>93</v>
      </c>
      <c r="BA223" s="460" t="s">
        <v>92</v>
      </c>
      <c r="BB223" s="460" t="s">
        <v>92</v>
      </c>
      <c r="BC223" s="460" t="s">
        <v>92</v>
      </c>
      <c r="BD223" s="460" t="s">
        <v>92</v>
      </c>
      <c r="BE223" s="460" t="s">
        <v>92</v>
      </c>
      <c r="BF223" s="460" t="s">
        <v>92</v>
      </c>
      <c r="BG223" s="460"/>
      <c r="BH223" s="460"/>
      <c r="BI223" s="460" t="s">
        <v>92</v>
      </c>
      <c r="BJ223" s="460" t="s">
        <v>92</v>
      </c>
      <c r="BK223" s="460" t="s">
        <v>92</v>
      </c>
      <c r="BL223" s="460"/>
      <c r="BM223" s="213" t="s">
        <v>7977</v>
      </c>
      <c r="BN223" s="470"/>
      <c r="BO223" s="470"/>
      <c r="BP223" s="470"/>
      <c r="BQ223" s="99"/>
      <c r="BR223" s="99"/>
    </row>
    <row r="224" ht="15.75" customHeight="1">
      <c r="A224" s="197"/>
      <c r="B224" s="99" t="s">
        <v>7978</v>
      </c>
      <c r="C224" s="197">
        <v>6.0</v>
      </c>
      <c r="D224" s="99" t="s">
        <v>6946</v>
      </c>
      <c r="E224" s="99" t="s">
        <v>709</v>
      </c>
      <c r="F224" s="99" t="s">
        <v>6947</v>
      </c>
      <c r="G224" s="99" t="s">
        <v>3346</v>
      </c>
      <c r="H224" s="99" t="s">
        <v>3348</v>
      </c>
      <c r="I224" s="99" t="s">
        <v>1135</v>
      </c>
      <c r="J224" s="99" t="s">
        <v>93</v>
      </c>
      <c r="K224" s="197">
        <v>2021.0</v>
      </c>
      <c r="L224" s="99" t="s">
        <v>92</v>
      </c>
      <c r="M224" s="99" t="s">
        <v>93</v>
      </c>
      <c r="N224" s="99" t="s">
        <v>93</v>
      </c>
      <c r="O224" s="99" t="s">
        <v>93</v>
      </c>
      <c r="P224" s="99" t="s">
        <v>95</v>
      </c>
      <c r="Q224" s="99" t="s">
        <v>114</v>
      </c>
      <c r="R224" s="197" t="s">
        <v>5902</v>
      </c>
      <c r="S224" s="197" t="s">
        <v>93</v>
      </c>
      <c r="T224" s="197" t="s">
        <v>93</v>
      </c>
      <c r="U224" s="99" t="s">
        <v>93</v>
      </c>
      <c r="V224" s="99" t="s">
        <v>92</v>
      </c>
      <c r="W224" s="99" t="s">
        <v>92</v>
      </c>
      <c r="X224" s="99" t="s">
        <v>92</v>
      </c>
      <c r="Y224" s="99" t="s">
        <v>93</v>
      </c>
      <c r="Z224" s="99" t="s">
        <v>92</v>
      </c>
      <c r="AA224" s="197" t="s">
        <v>93</v>
      </c>
      <c r="AB224" s="197" t="s">
        <v>2740</v>
      </c>
      <c r="AC224" s="197"/>
      <c r="AD224" s="197"/>
      <c r="AE224" s="197" t="s">
        <v>92</v>
      </c>
      <c r="AF224" s="479" t="s">
        <v>2530</v>
      </c>
      <c r="AG224" s="197" t="s">
        <v>6941</v>
      </c>
      <c r="AH224" s="197"/>
      <c r="AI224" s="459" t="s">
        <v>93</v>
      </c>
      <c r="AJ224" s="475" t="s">
        <v>7880</v>
      </c>
      <c r="AK224" s="99" t="s">
        <v>92</v>
      </c>
      <c r="AL224" s="99" t="s">
        <v>92</v>
      </c>
      <c r="AM224" s="99" t="s">
        <v>93</v>
      </c>
      <c r="AN224" s="99" t="s">
        <v>92</v>
      </c>
      <c r="AO224" s="99" t="s">
        <v>93</v>
      </c>
      <c r="AP224" s="99" t="s">
        <v>93</v>
      </c>
      <c r="AQ224" s="99" t="s">
        <v>92</v>
      </c>
      <c r="AR224" s="99" t="s">
        <v>6949</v>
      </c>
      <c r="AS224" s="99" t="s">
        <v>95</v>
      </c>
      <c r="AT224" s="99" t="s">
        <v>95</v>
      </c>
      <c r="AU224" s="99" t="s">
        <v>93</v>
      </c>
      <c r="AV224" s="99" t="s">
        <v>93</v>
      </c>
      <c r="AW224" s="99" t="s">
        <v>93</v>
      </c>
      <c r="AX224" s="99" t="s">
        <v>93</v>
      </c>
      <c r="AY224" s="99" t="s">
        <v>93</v>
      </c>
      <c r="AZ224" s="460" t="s">
        <v>93</v>
      </c>
      <c r="BA224" s="460" t="s">
        <v>92</v>
      </c>
      <c r="BB224" s="460" t="s">
        <v>92</v>
      </c>
      <c r="BC224" s="460" t="s">
        <v>92</v>
      </c>
      <c r="BD224" s="460" t="s">
        <v>92</v>
      </c>
      <c r="BE224" s="460" t="s">
        <v>92</v>
      </c>
      <c r="BF224" s="460" t="s">
        <v>93</v>
      </c>
      <c r="BG224" s="460"/>
      <c r="BH224" s="460"/>
      <c r="BI224" s="460" t="s">
        <v>93</v>
      </c>
      <c r="BJ224" s="460" t="s">
        <v>92</v>
      </c>
      <c r="BK224" s="460" t="s">
        <v>93</v>
      </c>
      <c r="BL224" s="460"/>
      <c r="BM224" s="213" t="s">
        <v>6950</v>
      </c>
      <c r="BN224" s="213" t="s">
        <v>6951</v>
      </c>
      <c r="BO224" s="213" t="s">
        <v>4546</v>
      </c>
      <c r="BP224" s="213" t="s">
        <v>6952</v>
      </c>
      <c r="BQ224" s="475"/>
      <c r="BR224" s="475"/>
    </row>
    <row r="225" ht="15.75" customHeight="1">
      <c r="A225" s="197"/>
      <c r="B225" s="99" t="s">
        <v>7978</v>
      </c>
      <c r="C225" s="197">
        <v>37.0</v>
      </c>
      <c r="D225" s="99" t="s">
        <v>6998</v>
      </c>
      <c r="E225" s="99" t="s">
        <v>110</v>
      </c>
      <c r="F225" s="99" t="s">
        <v>6999</v>
      </c>
      <c r="G225" s="99" t="s">
        <v>3346</v>
      </c>
      <c r="H225" s="99" t="s">
        <v>3348</v>
      </c>
      <c r="I225" s="99" t="s">
        <v>1135</v>
      </c>
      <c r="J225" s="99" t="s">
        <v>92</v>
      </c>
      <c r="K225" s="197">
        <v>1994.0</v>
      </c>
      <c r="L225" s="99" t="s">
        <v>93</v>
      </c>
      <c r="M225" s="99" t="s">
        <v>93</v>
      </c>
      <c r="N225" s="99" t="s">
        <v>92</v>
      </c>
      <c r="O225" s="99" t="s">
        <v>92</v>
      </c>
      <c r="P225" s="99" t="s">
        <v>95</v>
      </c>
      <c r="Q225" s="99" t="s">
        <v>114</v>
      </c>
      <c r="R225" s="197" t="s">
        <v>5902</v>
      </c>
      <c r="S225" s="197" t="s">
        <v>93</v>
      </c>
      <c r="T225" s="197" t="s">
        <v>93</v>
      </c>
      <c r="U225" s="99" t="s">
        <v>93</v>
      </c>
      <c r="V225" s="99" t="s">
        <v>92</v>
      </c>
      <c r="W225" s="99" t="s">
        <v>92</v>
      </c>
      <c r="X225" s="99" t="s">
        <v>92</v>
      </c>
      <c r="Y225" s="99" t="s">
        <v>93</v>
      </c>
      <c r="Z225" s="99" t="s">
        <v>92</v>
      </c>
      <c r="AA225" s="197" t="s">
        <v>93</v>
      </c>
      <c r="AB225" s="197" t="s">
        <v>2740</v>
      </c>
      <c r="AC225" s="197"/>
      <c r="AD225" s="197"/>
      <c r="AE225" s="197" t="s">
        <v>92</v>
      </c>
      <c r="AF225" s="99" t="s">
        <v>1496</v>
      </c>
      <c r="AG225" s="197" t="s">
        <v>5902</v>
      </c>
      <c r="AH225" s="197"/>
      <c r="AI225" s="459" t="s">
        <v>92</v>
      </c>
      <c r="AJ225" s="99" t="s">
        <v>7881</v>
      </c>
      <c r="AK225" s="99" t="s">
        <v>92</v>
      </c>
      <c r="AL225" s="99" t="s">
        <v>93</v>
      </c>
      <c r="AM225" s="99" t="s">
        <v>93</v>
      </c>
      <c r="AN225" s="99" t="s">
        <v>92</v>
      </c>
      <c r="AO225" s="99" t="s">
        <v>93</v>
      </c>
      <c r="AP225" s="99" t="s">
        <v>93</v>
      </c>
      <c r="AQ225" s="99" t="s">
        <v>92</v>
      </c>
      <c r="AR225" s="99" t="s">
        <v>6949</v>
      </c>
      <c r="AS225" s="99" t="s">
        <v>95</v>
      </c>
      <c r="AT225" s="99" t="s">
        <v>95</v>
      </c>
      <c r="AU225" s="99" t="s">
        <v>93</v>
      </c>
      <c r="AV225" s="99" t="s">
        <v>93</v>
      </c>
      <c r="AW225" s="99" t="s">
        <v>93</v>
      </c>
      <c r="AX225" s="99" t="s">
        <v>93</v>
      </c>
      <c r="AY225" s="99" t="s">
        <v>93</v>
      </c>
      <c r="AZ225" s="460" t="s">
        <v>93</v>
      </c>
      <c r="BA225" s="460" t="s">
        <v>93</v>
      </c>
      <c r="BB225" s="460" t="s">
        <v>92</v>
      </c>
      <c r="BC225" s="460" t="s">
        <v>92</v>
      </c>
      <c r="BD225" s="460" t="s">
        <v>92</v>
      </c>
      <c r="BE225" s="460" t="s">
        <v>92</v>
      </c>
      <c r="BF225" s="460" t="s">
        <v>93</v>
      </c>
      <c r="BG225" s="460"/>
      <c r="BH225" s="460"/>
      <c r="BI225" s="460" t="s">
        <v>92</v>
      </c>
      <c r="BJ225" s="460" t="s">
        <v>92</v>
      </c>
      <c r="BK225" s="460" t="s">
        <v>93</v>
      </c>
      <c r="BL225" s="460"/>
      <c r="BM225" s="213" t="s">
        <v>7001</v>
      </c>
      <c r="BN225" s="474"/>
      <c r="BO225" s="474"/>
      <c r="BP225" s="474"/>
      <c r="BQ225" s="475"/>
      <c r="BR225" s="475"/>
    </row>
    <row r="226" ht="15.75" customHeight="1">
      <c r="A226" s="197"/>
      <c r="B226" s="99" t="s">
        <v>7978</v>
      </c>
      <c r="C226" s="197">
        <v>69.0</v>
      </c>
      <c r="D226" s="99" t="s">
        <v>7047</v>
      </c>
      <c r="E226" s="99" t="s">
        <v>189</v>
      </c>
      <c r="F226" s="99" t="s">
        <v>7048</v>
      </c>
      <c r="G226" s="99" t="s">
        <v>3346</v>
      </c>
      <c r="H226" s="99" t="s">
        <v>95</v>
      </c>
      <c r="I226" s="99" t="s">
        <v>94</v>
      </c>
      <c r="J226" s="99" t="s">
        <v>92</v>
      </c>
      <c r="K226" s="197">
        <v>2020.0</v>
      </c>
      <c r="L226" s="99" t="s">
        <v>93</v>
      </c>
      <c r="M226" s="99" t="s">
        <v>92</v>
      </c>
      <c r="N226" s="99" t="s">
        <v>92</v>
      </c>
      <c r="O226" s="99" t="s">
        <v>92</v>
      </c>
      <c r="P226" s="99">
        <v>2020.0</v>
      </c>
      <c r="Q226" s="99" t="s">
        <v>96</v>
      </c>
      <c r="R226" s="197" t="s">
        <v>5902</v>
      </c>
      <c r="S226" s="197" t="s">
        <v>93</v>
      </c>
      <c r="T226" s="197" t="s">
        <v>93</v>
      </c>
      <c r="U226" s="99" t="s">
        <v>93</v>
      </c>
      <c r="V226" s="99" t="s">
        <v>92</v>
      </c>
      <c r="W226" s="99" t="s">
        <v>92</v>
      </c>
      <c r="X226" s="99" t="s">
        <v>92</v>
      </c>
      <c r="Y226" s="99" t="s">
        <v>93</v>
      </c>
      <c r="Z226" s="99" t="s">
        <v>92</v>
      </c>
      <c r="AA226" s="197" t="s">
        <v>93</v>
      </c>
      <c r="AB226" s="197" t="s">
        <v>2740</v>
      </c>
      <c r="AC226" s="197"/>
      <c r="AD226" s="197"/>
      <c r="AE226" s="197" t="s">
        <v>93</v>
      </c>
      <c r="AF226" s="99" t="s">
        <v>7979</v>
      </c>
      <c r="AG226" s="197" t="s">
        <v>6990</v>
      </c>
      <c r="AH226" s="197"/>
      <c r="AI226" s="459" t="s">
        <v>92</v>
      </c>
      <c r="AJ226" s="475" t="s">
        <v>3410</v>
      </c>
      <c r="AK226" s="99" t="s">
        <v>92</v>
      </c>
      <c r="AL226" s="99" t="s">
        <v>92</v>
      </c>
      <c r="AM226" s="99" t="s">
        <v>92</v>
      </c>
      <c r="AN226" s="99" t="s">
        <v>92</v>
      </c>
      <c r="AO226" s="99" t="s">
        <v>92</v>
      </c>
      <c r="AP226" s="99" t="s">
        <v>93</v>
      </c>
      <c r="AQ226" s="99" t="s">
        <v>92</v>
      </c>
      <c r="AR226" s="99" t="s">
        <v>6949</v>
      </c>
      <c r="AS226" s="99" t="s">
        <v>95</v>
      </c>
      <c r="AT226" s="99" t="s">
        <v>95</v>
      </c>
      <c r="AU226" s="99" t="s">
        <v>93</v>
      </c>
      <c r="AV226" s="99" t="s">
        <v>93</v>
      </c>
      <c r="AW226" s="99" t="s">
        <v>93</v>
      </c>
      <c r="AX226" s="99" t="s">
        <v>93</v>
      </c>
      <c r="AY226" s="99" t="s">
        <v>93</v>
      </c>
      <c r="AZ226" s="460" t="s">
        <v>93</v>
      </c>
      <c r="BA226" s="460" t="s">
        <v>92</v>
      </c>
      <c r="BB226" s="460" t="s">
        <v>92</v>
      </c>
      <c r="BC226" s="460" t="s">
        <v>92</v>
      </c>
      <c r="BD226" s="460" t="s">
        <v>92</v>
      </c>
      <c r="BE226" s="460" t="s">
        <v>92</v>
      </c>
      <c r="BF226" s="460" t="s">
        <v>92</v>
      </c>
      <c r="BG226" s="460"/>
      <c r="BH226" s="460"/>
      <c r="BI226" s="460" t="s">
        <v>93</v>
      </c>
      <c r="BJ226" s="460" t="s">
        <v>93</v>
      </c>
      <c r="BK226" s="460" t="s">
        <v>92</v>
      </c>
      <c r="BL226" s="460"/>
      <c r="BM226" s="213" t="s">
        <v>7050</v>
      </c>
      <c r="BN226" s="213" t="s">
        <v>7051</v>
      </c>
      <c r="BO226" s="213" t="s">
        <v>7052</v>
      </c>
      <c r="BP226" s="489" t="s">
        <v>7980</v>
      </c>
      <c r="BQ226" s="475"/>
      <c r="BR226" s="475"/>
    </row>
    <row r="227" ht="15.75" customHeight="1">
      <c r="A227" s="197"/>
      <c r="B227" s="99" t="s">
        <v>7978</v>
      </c>
      <c r="C227" s="197">
        <v>70.0</v>
      </c>
      <c r="D227" s="99" t="s">
        <v>7053</v>
      </c>
      <c r="E227" s="99" t="s">
        <v>90</v>
      </c>
      <c r="F227" s="99" t="s">
        <v>7054</v>
      </c>
      <c r="G227" s="99" t="s">
        <v>3346</v>
      </c>
      <c r="H227" s="99" t="s">
        <v>7851</v>
      </c>
      <c r="I227" s="99" t="s">
        <v>94</v>
      </c>
      <c r="J227" s="99" t="s">
        <v>92</v>
      </c>
      <c r="K227" s="197">
        <v>2020.0</v>
      </c>
      <c r="L227" s="99" t="s">
        <v>93</v>
      </c>
      <c r="M227" s="99" t="s">
        <v>92</v>
      </c>
      <c r="N227" s="99" t="s">
        <v>92</v>
      </c>
      <c r="O227" s="99" t="s">
        <v>92</v>
      </c>
      <c r="P227" s="99">
        <v>2020.0</v>
      </c>
      <c r="Q227" s="99" t="s">
        <v>96</v>
      </c>
      <c r="R227" s="197" t="s">
        <v>5902</v>
      </c>
      <c r="S227" s="197" t="s">
        <v>93</v>
      </c>
      <c r="T227" s="197" t="s">
        <v>93</v>
      </c>
      <c r="U227" s="99" t="s">
        <v>93</v>
      </c>
      <c r="V227" s="99" t="s">
        <v>92</v>
      </c>
      <c r="W227" s="99" t="s">
        <v>92</v>
      </c>
      <c r="X227" s="99" t="s">
        <v>92</v>
      </c>
      <c r="Y227" s="99" t="s">
        <v>93</v>
      </c>
      <c r="Z227" s="99" t="s">
        <v>92</v>
      </c>
      <c r="AA227" s="197" t="s">
        <v>93</v>
      </c>
      <c r="AB227" s="197" t="s">
        <v>2740</v>
      </c>
      <c r="AC227" s="197"/>
      <c r="AD227" s="197"/>
      <c r="AE227" s="197" t="s">
        <v>92</v>
      </c>
      <c r="AF227" s="99" t="s">
        <v>7053</v>
      </c>
      <c r="AG227" s="197" t="s">
        <v>6990</v>
      </c>
      <c r="AH227" s="197"/>
      <c r="AI227" s="459" t="s">
        <v>93</v>
      </c>
      <c r="AJ227" s="475" t="s">
        <v>3410</v>
      </c>
      <c r="AK227" s="99" t="s">
        <v>92</v>
      </c>
      <c r="AL227" s="99" t="s">
        <v>92</v>
      </c>
      <c r="AM227" s="99" t="s">
        <v>92</v>
      </c>
      <c r="AN227" s="99" t="s">
        <v>92</v>
      </c>
      <c r="AO227" s="99" t="s">
        <v>92</v>
      </c>
      <c r="AP227" s="99" t="s">
        <v>93</v>
      </c>
      <c r="AQ227" s="99" t="s">
        <v>92</v>
      </c>
      <c r="AR227" s="99" t="s">
        <v>6942</v>
      </c>
      <c r="AS227" s="99" t="s">
        <v>3520</v>
      </c>
      <c r="AT227" s="99" t="s">
        <v>3451</v>
      </c>
      <c r="AU227" s="99" t="s">
        <v>92</v>
      </c>
      <c r="AV227" s="99" t="s">
        <v>92</v>
      </c>
      <c r="AW227" s="99" t="s">
        <v>92</v>
      </c>
      <c r="AX227" s="99" t="s">
        <v>93</v>
      </c>
      <c r="AY227" s="99" t="s">
        <v>92</v>
      </c>
      <c r="AZ227" s="460" t="s">
        <v>93</v>
      </c>
      <c r="BA227" s="460" t="s">
        <v>92</v>
      </c>
      <c r="BB227" s="460" t="s">
        <v>92</v>
      </c>
      <c r="BC227" s="460" t="s">
        <v>92</v>
      </c>
      <c r="BD227" s="460" t="s">
        <v>92</v>
      </c>
      <c r="BE227" s="460" t="s">
        <v>92</v>
      </c>
      <c r="BF227" s="460" t="s">
        <v>92</v>
      </c>
      <c r="BG227" s="460"/>
      <c r="BH227" s="460"/>
      <c r="BI227" s="460" t="s">
        <v>92</v>
      </c>
      <c r="BJ227" s="460" t="s">
        <v>93</v>
      </c>
      <c r="BK227" s="460" t="s">
        <v>92</v>
      </c>
      <c r="BL227" s="460"/>
      <c r="BM227" s="489" t="s">
        <v>7981</v>
      </c>
      <c r="BN227" s="213" t="s">
        <v>7052</v>
      </c>
      <c r="BO227" s="213" t="s">
        <v>7980</v>
      </c>
      <c r="BQ227" s="475"/>
      <c r="BR227" s="475"/>
    </row>
    <row r="228" ht="15.75" customHeight="1">
      <c r="A228" s="197"/>
      <c r="B228" s="99" t="s">
        <v>7978</v>
      </c>
      <c r="C228" s="197">
        <v>71.0</v>
      </c>
      <c r="D228" s="99" t="s">
        <v>2804</v>
      </c>
      <c r="E228" s="99" t="s">
        <v>110</v>
      </c>
      <c r="F228" s="99" t="s">
        <v>7056</v>
      </c>
      <c r="G228" s="99" t="s">
        <v>3346</v>
      </c>
      <c r="H228" s="99" t="s">
        <v>3348</v>
      </c>
      <c r="I228" s="99" t="s">
        <v>94</v>
      </c>
      <c r="J228" s="99" t="s">
        <v>92</v>
      </c>
      <c r="K228" s="197">
        <v>2009.0</v>
      </c>
      <c r="L228" s="99" t="s">
        <v>93</v>
      </c>
      <c r="M228" s="99" t="s">
        <v>93</v>
      </c>
      <c r="N228" s="99" t="s">
        <v>93</v>
      </c>
      <c r="O228" s="99" t="s">
        <v>93</v>
      </c>
      <c r="P228" s="99" t="s">
        <v>95</v>
      </c>
      <c r="Q228" s="99" t="s">
        <v>114</v>
      </c>
      <c r="R228" s="197" t="s">
        <v>5902</v>
      </c>
      <c r="S228" s="197" t="s">
        <v>93</v>
      </c>
      <c r="T228" s="197" t="s">
        <v>93</v>
      </c>
      <c r="U228" s="99" t="s">
        <v>93</v>
      </c>
      <c r="V228" s="99" t="s">
        <v>92</v>
      </c>
      <c r="W228" s="99" t="s">
        <v>92</v>
      </c>
      <c r="X228" s="99" t="s">
        <v>92</v>
      </c>
      <c r="Y228" s="99" t="s">
        <v>93</v>
      </c>
      <c r="Z228" s="99" t="s">
        <v>92</v>
      </c>
      <c r="AA228" s="197" t="s">
        <v>93</v>
      </c>
      <c r="AB228" s="197" t="s">
        <v>2740</v>
      </c>
      <c r="AC228" s="197"/>
      <c r="AD228" s="197"/>
      <c r="AE228" s="197" t="s">
        <v>92</v>
      </c>
      <c r="AF228" s="99" t="s">
        <v>7982</v>
      </c>
      <c r="AG228" s="197" t="s">
        <v>6990</v>
      </c>
      <c r="AH228" s="197"/>
      <c r="AI228" s="459" t="s">
        <v>93</v>
      </c>
      <c r="AJ228" s="99" t="s">
        <v>7983</v>
      </c>
      <c r="AK228" s="99" t="s">
        <v>92</v>
      </c>
      <c r="AL228" s="99" t="s">
        <v>92</v>
      </c>
      <c r="AM228" s="99" t="s">
        <v>92</v>
      </c>
      <c r="AN228" s="99" t="s">
        <v>92</v>
      </c>
      <c r="AO228" s="99" t="s">
        <v>93</v>
      </c>
      <c r="AP228" s="99" t="s">
        <v>93</v>
      </c>
      <c r="AQ228" s="99" t="s">
        <v>92</v>
      </c>
      <c r="AR228" s="99" t="s">
        <v>6949</v>
      </c>
      <c r="AS228" s="99" t="s">
        <v>95</v>
      </c>
      <c r="AT228" s="99" t="s">
        <v>95</v>
      </c>
      <c r="AU228" s="99" t="s">
        <v>93</v>
      </c>
      <c r="AV228" s="99" t="s">
        <v>93</v>
      </c>
      <c r="AW228" s="99" t="s">
        <v>93</v>
      </c>
      <c r="AX228" s="99" t="s">
        <v>93</v>
      </c>
      <c r="AY228" s="99" t="s">
        <v>93</v>
      </c>
      <c r="AZ228" s="460" t="s">
        <v>93</v>
      </c>
      <c r="BA228" s="460" t="s">
        <v>92</v>
      </c>
      <c r="BB228" s="460" t="s">
        <v>92</v>
      </c>
      <c r="BC228" s="460" t="s">
        <v>92</v>
      </c>
      <c r="BD228" s="460" t="s">
        <v>92</v>
      </c>
      <c r="BE228" s="460" t="s">
        <v>92</v>
      </c>
      <c r="BF228" s="460" t="s">
        <v>93</v>
      </c>
      <c r="BG228" s="460"/>
      <c r="BH228" s="460"/>
      <c r="BI228" s="460" t="s">
        <v>92</v>
      </c>
      <c r="BJ228" s="460" t="s">
        <v>92</v>
      </c>
      <c r="BK228" s="460" t="s">
        <v>93</v>
      </c>
      <c r="BL228" s="460"/>
      <c r="BM228" s="213" t="s">
        <v>7051</v>
      </c>
      <c r="BN228" s="213" t="s">
        <v>7059</v>
      </c>
      <c r="BO228" s="213" t="s">
        <v>7060</v>
      </c>
      <c r="BP228" s="489" t="s">
        <v>7980</v>
      </c>
      <c r="BQ228" s="489" t="s">
        <v>7984</v>
      </c>
      <c r="BR228" s="493" t="s">
        <v>7985</v>
      </c>
    </row>
    <row r="229" ht="15.75" customHeight="1">
      <c r="A229" s="197"/>
      <c r="B229" s="99" t="s">
        <v>7978</v>
      </c>
      <c r="C229" s="197">
        <v>38.0</v>
      </c>
      <c r="D229" s="99" t="s">
        <v>7345</v>
      </c>
      <c r="E229" s="99" t="s">
        <v>189</v>
      </c>
      <c r="F229" s="99" t="s">
        <v>7346</v>
      </c>
      <c r="G229" s="99" t="s">
        <v>3346</v>
      </c>
      <c r="H229" s="99" t="s">
        <v>95</v>
      </c>
      <c r="I229" s="99" t="s">
        <v>94</v>
      </c>
      <c r="J229" s="99" t="s">
        <v>92</v>
      </c>
      <c r="K229" s="197">
        <v>2020.0</v>
      </c>
      <c r="L229" s="99" t="s">
        <v>93</v>
      </c>
      <c r="M229" s="99" t="s">
        <v>105</v>
      </c>
      <c r="N229" s="99" t="s">
        <v>92</v>
      </c>
      <c r="O229" s="99" t="s">
        <v>92</v>
      </c>
      <c r="P229" s="99">
        <v>2021.0</v>
      </c>
      <c r="Q229" s="99" t="s">
        <v>96</v>
      </c>
      <c r="R229" s="197" t="s">
        <v>5902</v>
      </c>
      <c r="S229" s="197" t="s">
        <v>93</v>
      </c>
      <c r="T229" s="197" t="s">
        <v>93</v>
      </c>
      <c r="U229" s="99" t="s">
        <v>93</v>
      </c>
      <c r="V229" s="99" t="s">
        <v>92</v>
      </c>
      <c r="W229" s="99" t="s">
        <v>92</v>
      </c>
      <c r="X229" s="99" t="s">
        <v>92</v>
      </c>
      <c r="Y229" s="99" t="s">
        <v>93</v>
      </c>
      <c r="Z229" s="99" t="s">
        <v>92</v>
      </c>
      <c r="AA229" s="197" t="s">
        <v>93</v>
      </c>
      <c r="AB229" s="197" t="s">
        <v>2740</v>
      </c>
      <c r="AC229" s="197"/>
      <c r="AD229" s="197"/>
      <c r="AE229" s="197" t="s">
        <v>93</v>
      </c>
      <c r="AF229" s="99" t="s">
        <v>7347</v>
      </c>
      <c r="AG229" s="197" t="s">
        <v>6990</v>
      </c>
      <c r="AH229" s="197"/>
      <c r="AI229" s="459" t="s">
        <v>92</v>
      </c>
      <c r="AJ229" s="99" t="s">
        <v>7011</v>
      </c>
      <c r="AK229" s="99" t="s">
        <v>92</v>
      </c>
      <c r="AL229" s="99" t="s">
        <v>92</v>
      </c>
      <c r="AM229" s="99" t="s">
        <v>93</v>
      </c>
      <c r="AN229" s="99" t="s">
        <v>92</v>
      </c>
      <c r="AO229" s="99" t="s">
        <v>92</v>
      </c>
      <c r="AP229" s="99" t="s">
        <v>93</v>
      </c>
      <c r="AQ229" s="99" t="s">
        <v>92</v>
      </c>
      <c r="AR229" s="99" t="s">
        <v>6949</v>
      </c>
      <c r="AS229" s="99" t="s">
        <v>95</v>
      </c>
      <c r="AT229" s="99" t="s">
        <v>95</v>
      </c>
      <c r="AU229" s="99" t="s">
        <v>93</v>
      </c>
      <c r="AV229" s="99" t="s">
        <v>93</v>
      </c>
      <c r="AW229" s="99" t="s">
        <v>93</v>
      </c>
      <c r="AX229" s="99" t="s">
        <v>93</v>
      </c>
      <c r="AY229" s="99" t="s">
        <v>93</v>
      </c>
      <c r="AZ229" s="460" t="s">
        <v>93</v>
      </c>
      <c r="BA229" s="460" t="s">
        <v>92</v>
      </c>
      <c r="BB229" s="460" t="s">
        <v>92</v>
      </c>
      <c r="BC229" s="460" t="s">
        <v>92</v>
      </c>
      <c r="BD229" s="460" t="s">
        <v>92</v>
      </c>
      <c r="BE229" s="460" t="s">
        <v>92</v>
      </c>
      <c r="BF229" s="460" t="s">
        <v>92</v>
      </c>
      <c r="BG229" s="460"/>
      <c r="BH229" s="460"/>
      <c r="BI229" s="460" t="s">
        <v>92</v>
      </c>
      <c r="BJ229" s="460" t="s">
        <v>93</v>
      </c>
      <c r="BK229" s="460" t="s">
        <v>93</v>
      </c>
      <c r="BL229" s="460"/>
      <c r="BM229" s="213" t="s">
        <v>7986</v>
      </c>
      <c r="BN229" s="213" t="s">
        <v>7351</v>
      </c>
      <c r="BO229" s="213" t="s">
        <v>7352</v>
      </c>
      <c r="BP229" s="213" t="s">
        <v>7353</v>
      </c>
      <c r="BQ229" s="213" t="s">
        <v>7987</v>
      </c>
      <c r="BR229" s="99"/>
    </row>
    <row r="230" ht="15.75" customHeight="1">
      <c r="A230" s="197"/>
      <c r="B230" s="99" t="s">
        <v>7978</v>
      </c>
      <c r="C230" s="197">
        <v>117.0</v>
      </c>
      <c r="D230" s="99" t="s">
        <v>7467</v>
      </c>
      <c r="E230" s="99" t="s">
        <v>90</v>
      </c>
      <c r="F230" s="99" t="s">
        <v>7468</v>
      </c>
      <c r="G230" s="99" t="s">
        <v>3346</v>
      </c>
      <c r="H230" s="99" t="s">
        <v>95</v>
      </c>
      <c r="I230" s="99" t="s">
        <v>1135</v>
      </c>
      <c r="J230" s="99" t="s">
        <v>92</v>
      </c>
      <c r="K230" s="197">
        <v>2007.0</v>
      </c>
      <c r="L230" s="99" t="s">
        <v>93</v>
      </c>
      <c r="M230" s="99" t="s">
        <v>93</v>
      </c>
      <c r="N230" s="99" t="s">
        <v>93</v>
      </c>
      <c r="O230" s="99" t="s">
        <v>93</v>
      </c>
      <c r="P230" s="99" t="s">
        <v>95</v>
      </c>
      <c r="Q230" s="99" t="s">
        <v>114</v>
      </c>
      <c r="R230" s="197" t="s">
        <v>5902</v>
      </c>
      <c r="S230" s="197" t="s">
        <v>93</v>
      </c>
      <c r="T230" s="197" t="s">
        <v>93</v>
      </c>
      <c r="U230" s="99" t="s">
        <v>93</v>
      </c>
      <c r="V230" s="99" t="s">
        <v>92</v>
      </c>
      <c r="W230" s="99" t="s">
        <v>92</v>
      </c>
      <c r="X230" s="99" t="s">
        <v>92</v>
      </c>
      <c r="Y230" s="99" t="s">
        <v>93</v>
      </c>
      <c r="Z230" s="99" t="s">
        <v>92</v>
      </c>
      <c r="AA230" s="197" t="s">
        <v>93</v>
      </c>
      <c r="AB230" s="197" t="s">
        <v>2740</v>
      </c>
      <c r="AC230" s="197"/>
      <c r="AD230" s="197"/>
      <c r="AE230" s="197" t="s">
        <v>93</v>
      </c>
      <c r="AF230" s="99" t="s">
        <v>7467</v>
      </c>
      <c r="AG230" s="197" t="s">
        <v>6990</v>
      </c>
      <c r="AH230" s="197"/>
      <c r="AI230" s="459" t="s">
        <v>93</v>
      </c>
      <c r="AJ230" s="99" t="s">
        <v>7000</v>
      </c>
      <c r="AK230" s="99" t="s">
        <v>92</v>
      </c>
      <c r="AL230" s="99" t="s">
        <v>93</v>
      </c>
      <c r="AM230" s="99" t="s">
        <v>93</v>
      </c>
      <c r="AN230" s="99" t="s">
        <v>92</v>
      </c>
      <c r="AO230" s="99" t="s">
        <v>92</v>
      </c>
      <c r="AP230" s="99" t="s">
        <v>93</v>
      </c>
      <c r="AQ230" s="99" t="s">
        <v>92</v>
      </c>
      <c r="AR230" s="99" t="s">
        <v>6972</v>
      </c>
      <c r="AS230" s="99" t="s">
        <v>3509</v>
      </c>
      <c r="AT230" s="99" t="s">
        <v>3452</v>
      </c>
      <c r="AU230" s="99" t="s">
        <v>92</v>
      </c>
      <c r="AV230" s="99" t="s">
        <v>92</v>
      </c>
      <c r="AW230" s="99" t="s">
        <v>92</v>
      </c>
      <c r="AX230" s="99" t="s">
        <v>92</v>
      </c>
      <c r="AY230" s="99" t="s">
        <v>93</v>
      </c>
      <c r="AZ230" s="460" t="s">
        <v>93</v>
      </c>
      <c r="BA230" s="460" t="s">
        <v>92</v>
      </c>
      <c r="BB230" s="460" t="s">
        <v>92</v>
      </c>
      <c r="BC230" s="460" t="s">
        <v>92</v>
      </c>
      <c r="BD230" s="460" t="s">
        <v>92</v>
      </c>
      <c r="BE230" s="460" t="s">
        <v>92</v>
      </c>
      <c r="BF230" s="460" t="s">
        <v>92</v>
      </c>
      <c r="BG230" s="460"/>
      <c r="BH230" s="460"/>
      <c r="BI230" s="460" t="s">
        <v>92</v>
      </c>
      <c r="BJ230" s="460" t="s">
        <v>92</v>
      </c>
      <c r="BK230" s="460" t="s">
        <v>93</v>
      </c>
      <c r="BL230" s="460"/>
      <c r="BM230" s="472" t="s">
        <v>7469</v>
      </c>
      <c r="BN230" s="481" t="s">
        <v>7470</v>
      </c>
      <c r="BO230" s="492" t="s">
        <v>7988</v>
      </c>
      <c r="BP230" s="476"/>
      <c r="BQ230" s="456"/>
      <c r="BR230" s="456"/>
    </row>
    <row r="231" ht="15.75" customHeight="1">
      <c r="A231" s="99"/>
      <c r="B231" s="99" t="s">
        <v>7978</v>
      </c>
      <c r="C231" s="99"/>
      <c r="D231" s="99" t="s">
        <v>2769</v>
      </c>
      <c r="E231" s="99" t="s">
        <v>90</v>
      </c>
      <c r="F231" s="99" t="s">
        <v>7989</v>
      </c>
      <c r="G231" s="99" t="s">
        <v>3344</v>
      </c>
      <c r="H231" s="99" t="s">
        <v>3345</v>
      </c>
      <c r="I231" s="99" t="s">
        <v>3202</v>
      </c>
      <c r="J231" s="99" t="s">
        <v>92</v>
      </c>
      <c r="K231" s="197" t="s">
        <v>105</v>
      </c>
      <c r="L231" s="99" t="s">
        <v>93</v>
      </c>
      <c r="M231" s="99" t="s">
        <v>105</v>
      </c>
      <c r="N231" s="99" t="s">
        <v>105</v>
      </c>
      <c r="O231" s="99" t="s">
        <v>105</v>
      </c>
      <c r="P231" s="99" t="s">
        <v>105</v>
      </c>
      <c r="Q231" s="99" t="s">
        <v>105</v>
      </c>
      <c r="R231" s="197" t="s">
        <v>5902</v>
      </c>
      <c r="S231" s="197" t="s">
        <v>93</v>
      </c>
      <c r="T231" s="197" t="s">
        <v>93</v>
      </c>
      <c r="U231" s="99" t="s">
        <v>93</v>
      </c>
      <c r="V231" s="99" t="s">
        <v>92</v>
      </c>
      <c r="W231" s="99" t="s">
        <v>92</v>
      </c>
      <c r="X231" s="99" t="s">
        <v>92</v>
      </c>
      <c r="Y231" s="99" t="s">
        <v>93</v>
      </c>
      <c r="Z231" s="99" t="s">
        <v>92</v>
      </c>
      <c r="AA231" s="197" t="s">
        <v>93</v>
      </c>
      <c r="AB231" s="197" t="s">
        <v>2740</v>
      </c>
      <c r="AC231" s="197"/>
      <c r="AD231" s="197"/>
      <c r="AE231" s="197" t="s">
        <v>93</v>
      </c>
      <c r="AF231" s="99" t="s">
        <v>7990</v>
      </c>
      <c r="AG231" s="197" t="s">
        <v>6982</v>
      </c>
      <c r="AH231" s="197"/>
      <c r="AI231" s="479" t="s">
        <v>92</v>
      </c>
      <c r="AJ231" s="99" t="s">
        <v>3344</v>
      </c>
      <c r="AK231" s="99" t="s">
        <v>93</v>
      </c>
      <c r="AL231" s="99" t="s">
        <v>92</v>
      </c>
      <c r="AM231" s="99" t="s">
        <v>92</v>
      </c>
      <c r="AN231" s="99" t="s">
        <v>92</v>
      </c>
      <c r="AO231" s="99" t="s">
        <v>92</v>
      </c>
      <c r="AP231" s="99" t="s">
        <v>92</v>
      </c>
      <c r="AQ231" s="99" t="s">
        <v>92</v>
      </c>
      <c r="AR231" s="99" t="s">
        <v>6942</v>
      </c>
      <c r="AS231" s="99" t="s">
        <v>3520</v>
      </c>
      <c r="AT231" s="99" t="s">
        <v>3451</v>
      </c>
      <c r="AU231" s="99" t="s">
        <v>92</v>
      </c>
      <c r="AV231" s="99" t="s">
        <v>92</v>
      </c>
      <c r="AW231" s="99" t="s">
        <v>92</v>
      </c>
      <c r="AX231" s="99" t="s">
        <v>93</v>
      </c>
      <c r="AY231" s="99" t="s">
        <v>92</v>
      </c>
      <c r="AZ231" s="460" t="s">
        <v>92</v>
      </c>
      <c r="BA231" s="460" t="s">
        <v>92</v>
      </c>
      <c r="BB231" s="460" t="s">
        <v>93</v>
      </c>
      <c r="BC231" s="460" t="s">
        <v>93</v>
      </c>
      <c r="BD231" s="460" t="s">
        <v>92</v>
      </c>
      <c r="BE231" s="460" t="s">
        <v>93</v>
      </c>
      <c r="BF231" s="460" t="s">
        <v>92</v>
      </c>
      <c r="BG231" s="460"/>
      <c r="BH231" s="460"/>
      <c r="BI231" s="460" t="s">
        <v>92</v>
      </c>
      <c r="BJ231" s="460" t="s">
        <v>92</v>
      </c>
      <c r="BK231" s="460" t="s">
        <v>105</v>
      </c>
      <c r="BL231" s="460"/>
      <c r="BM231" s="213" t="s">
        <v>7980</v>
      </c>
      <c r="BN231" s="470"/>
      <c r="BO231" s="470"/>
      <c r="BP231" s="470"/>
      <c r="BQ231" s="99"/>
      <c r="BR231" s="99"/>
    </row>
    <row r="232" ht="15.75" customHeight="1">
      <c r="A232" s="99"/>
      <c r="B232" s="99" t="s">
        <v>7978</v>
      </c>
      <c r="C232" s="99"/>
      <c r="D232" s="99" t="s">
        <v>7991</v>
      </c>
      <c r="E232" s="99" t="s">
        <v>90</v>
      </c>
      <c r="F232" s="99" t="s">
        <v>7992</v>
      </c>
      <c r="G232" s="99" t="s">
        <v>3344</v>
      </c>
      <c r="H232" s="99" t="s">
        <v>95</v>
      </c>
      <c r="I232" s="99" t="s">
        <v>3202</v>
      </c>
      <c r="J232" s="99" t="s">
        <v>92</v>
      </c>
      <c r="K232" s="197">
        <v>2018.0</v>
      </c>
      <c r="L232" s="99" t="s">
        <v>93</v>
      </c>
      <c r="M232" s="99" t="s">
        <v>93</v>
      </c>
      <c r="N232" s="99" t="s">
        <v>93</v>
      </c>
      <c r="O232" s="99" t="s">
        <v>93</v>
      </c>
      <c r="P232" s="99" t="s">
        <v>95</v>
      </c>
      <c r="Q232" s="99" t="s">
        <v>114</v>
      </c>
      <c r="R232" s="197" t="s">
        <v>5902</v>
      </c>
      <c r="S232" s="197" t="s">
        <v>93</v>
      </c>
      <c r="T232" s="197" t="s">
        <v>93</v>
      </c>
      <c r="U232" s="99" t="s">
        <v>93</v>
      </c>
      <c r="V232" s="99" t="s">
        <v>92</v>
      </c>
      <c r="W232" s="99" t="s">
        <v>92</v>
      </c>
      <c r="X232" s="99" t="s">
        <v>92</v>
      </c>
      <c r="Y232" s="99" t="s">
        <v>93</v>
      </c>
      <c r="Z232" s="99" t="s">
        <v>92</v>
      </c>
      <c r="AA232" s="197" t="s">
        <v>93</v>
      </c>
      <c r="AB232" s="197" t="s">
        <v>2740</v>
      </c>
      <c r="AC232" s="197"/>
      <c r="AD232" s="197"/>
      <c r="AE232" s="197" t="s">
        <v>93</v>
      </c>
      <c r="AF232" s="99" t="s">
        <v>7993</v>
      </c>
      <c r="AG232" s="197" t="s">
        <v>6982</v>
      </c>
      <c r="AH232" s="197"/>
      <c r="AI232" s="479" t="s">
        <v>92</v>
      </c>
      <c r="AJ232" s="99" t="s">
        <v>3344</v>
      </c>
      <c r="AK232" s="99" t="s">
        <v>93</v>
      </c>
      <c r="AL232" s="99" t="s">
        <v>92</v>
      </c>
      <c r="AM232" s="99" t="s">
        <v>92</v>
      </c>
      <c r="AN232" s="99" t="s">
        <v>92</v>
      </c>
      <c r="AO232" s="99" t="s">
        <v>92</v>
      </c>
      <c r="AP232" s="99" t="s">
        <v>92</v>
      </c>
      <c r="AQ232" s="99" t="s">
        <v>92</v>
      </c>
      <c r="AR232" s="99" t="s">
        <v>6942</v>
      </c>
      <c r="AS232" s="470" t="s">
        <v>7994</v>
      </c>
      <c r="AT232" s="99" t="s">
        <v>7995</v>
      </c>
      <c r="AU232" s="99" t="s">
        <v>93</v>
      </c>
      <c r="AV232" s="99" t="s">
        <v>92</v>
      </c>
      <c r="AW232" s="99" t="s">
        <v>93</v>
      </c>
      <c r="AX232" s="99" t="s">
        <v>92</v>
      </c>
      <c r="AY232" s="99" t="s">
        <v>92</v>
      </c>
      <c r="AZ232" s="460" t="s">
        <v>92</v>
      </c>
      <c r="BA232" s="460" t="s">
        <v>92</v>
      </c>
      <c r="BB232" s="460" t="s">
        <v>93</v>
      </c>
      <c r="BC232" s="460" t="s">
        <v>93</v>
      </c>
      <c r="BD232" s="460" t="s">
        <v>93</v>
      </c>
      <c r="BE232" s="460" t="s">
        <v>92</v>
      </c>
      <c r="BF232" s="460" t="s">
        <v>92</v>
      </c>
      <c r="BG232" s="460"/>
      <c r="BH232" s="460"/>
      <c r="BI232" s="460" t="s">
        <v>92</v>
      </c>
      <c r="BJ232" s="460" t="s">
        <v>92</v>
      </c>
      <c r="BK232" s="460" t="s">
        <v>93</v>
      </c>
      <c r="BL232" s="460"/>
      <c r="BM232" s="213" t="s">
        <v>7980</v>
      </c>
      <c r="BN232" s="470"/>
      <c r="BO232" s="470"/>
      <c r="BP232" s="470"/>
      <c r="BQ232" s="99"/>
      <c r="BR232" s="99"/>
    </row>
    <row r="233" ht="15.75" customHeight="1">
      <c r="A233" s="99"/>
      <c r="B233" s="99" t="s">
        <v>7978</v>
      </c>
      <c r="C233" s="99"/>
      <c r="D233" s="99" t="s">
        <v>2738</v>
      </c>
      <c r="E233" s="99" t="s">
        <v>90</v>
      </c>
      <c r="F233" s="99" t="s">
        <v>7996</v>
      </c>
      <c r="G233" s="99" t="s">
        <v>3345</v>
      </c>
      <c r="H233" s="99" t="s">
        <v>3346</v>
      </c>
      <c r="I233" s="99" t="s">
        <v>94</v>
      </c>
      <c r="J233" s="99" t="s">
        <v>92</v>
      </c>
      <c r="K233" s="197">
        <v>2018.0</v>
      </c>
      <c r="L233" s="99" t="s">
        <v>93</v>
      </c>
      <c r="M233" s="99" t="s">
        <v>92</v>
      </c>
      <c r="N233" s="99" t="s">
        <v>92</v>
      </c>
      <c r="O233" s="99" t="s">
        <v>92</v>
      </c>
      <c r="P233" s="99">
        <v>2020.0</v>
      </c>
      <c r="Q233" s="99" t="s">
        <v>96</v>
      </c>
      <c r="R233" s="197" t="s">
        <v>5902</v>
      </c>
      <c r="S233" s="197" t="s">
        <v>93</v>
      </c>
      <c r="T233" s="197" t="s">
        <v>93</v>
      </c>
      <c r="U233" s="99" t="s">
        <v>93</v>
      </c>
      <c r="V233" s="99" t="s">
        <v>92</v>
      </c>
      <c r="W233" s="99" t="s">
        <v>92</v>
      </c>
      <c r="X233" s="99" t="s">
        <v>92</v>
      </c>
      <c r="Y233" s="99" t="s">
        <v>93</v>
      </c>
      <c r="Z233" s="99" t="s">
        <v>92</v>
      </c>
      <c r="AA233" s="197" t="s">
        <v>93</v>
      </c>
      <c r="AB233" s="197" t="s">
        <v>2740</v>
      </c>
      <c r="AC233" s="197"/>
      <c r="AD233" s="197"/>
      <c r="AE233" s="197" t="s">
        <v>93</v>
      </c>
      <c r="AF233" s="99" t="s">
        <v>1204</v>
      </c>
      <c r="AG233" s="197" t="s">
        <v>6990</v>
      </c>
      <c r="AH233" s="197"/>
      <c r="AI233" s="479" t="s">
        <v>93</v>
      </c>
      <c r="AJ233" s="99" t="s">
        <v>3410</v>
      </c>
      <c r="AK233" s="99" t="s">
        <v>92</v>
      </c>
      <c r="AL233" s="99" t="s">
        <v>92</v>
      </c>
      <c r="AM233" s="99" t="s">
        <v>92</v>
      </c>
      <c r="AN233" s="99" t="s">
        <v>92</v>
      </c>
      <c r="AO233" s="99" t="s">
        <v>92</v>
      </c>
      <c r="AP233" s="99" t="s">
        <v>93</v>
      </c>
      <c r="AQ233" s="99" t="s">
        <v>92</v>
      </c>
      <c r="AR233" s="99" t="s">
        <v>6942</v>
      </c>
      <c r="AS233" s="99" t="s">
        <v>3893</v>
      </c>
      <c r="AT233" s="99" t="s">
        <v>3451</v>
      </c>
      <c r="AU233" s="99" t="s">
        <v>92</v>
      </c>
      <c r="AV233" s="99" t="s">
        <v>92</v>
      </c>
      <c r="AW233" s="99" t="s">
        <v>92</v>
      </c>
      <c r="AX233" s="99" t="s">
        <v>93</v>
      </c>
      <c r="AY233" s="99" t="s">
        <v>92</v>
      </c>
      <c r="AZ233" s="460" t="s">
        <v>93</v>
      </c>
      <c r="BA233" s="460" t="s">
        <v>93</v>
      </c>
      <c r="BB233" s="460" t="s">
        <v>92</v>
      </c>
      <c r="BC233" s="460" t="s">
        <v>92</v>
      </c>
      <c r="BD233" s="460" t="s">
        <v>92</v>
      </c>
      <c r="BE233" s="460" t="s">
        <v>92</v>
      </c>
      <c r="BF233" s="460" t="s">
        <v>92</v>
      </c>
      <c r="BG233" s="460"/>
      <c r="BH233" s="460"/>
      <c r="BI233" s="460" t="s">
        <v>92</v>
      </c>
      <c r="BJ233" s="460" t="s">
        <v>92</v>
      </c>
      <c r="BK233" s="460" t="s">
        <v>93</v>
      </c>
      <c r="BL233" s="460"/>
      <c r="BM233" s="213" t="s">
        <v>7980</v>
      </c>
      <c r="BN233" s="470"/>
      <c r="BO233" s="470"/>
      <c r="BP233" s="470"/>
      <c r="BQ233" s="99"/>
      <c r="BR233" s="99"/>
    </row>
    <row r="234" ht="15.75" customHeight="1">
      <c r="A234" s="99"/>
      <c r="B234" s="99" t="s">
        <v>7978</v>
      </c>
      <c r="C234" s="99"/>
      <c r="D234" s="99" t="s">
        <v>7997</v>
      </c>
      <c r="E234" s="99" t="s">
        <v>90</v>
      </c>
      <c r="F234" s="99" t="s">
        <v>2743</v>
      </c>
      <c r="G234" s="99" t="s">
        <v>3345</v>
      </c>
      <c r="H234" s="99" t="s">
        <v>95</v>
      </c>
      <c r="I234" s="99" t="s">
        <v>287</v>
      </c>
      <c r="J234" s="99" t="s">
        <v>92</v>
      </c>
      <c r="K234" s="197">
        <v>2004.0</v>
      </c>
      <c r="L234" s="99" t="s">
        <v>93</v>
      </c>
      <c r="M234" s="99" t="s">
        <v>92</v>
      </c>
      <c r="N234" s="99" t="s">
        <v>92</v>
      </c>
      <c r="O234" s="99" t="s">
        <v>92</v>
      </c>
      <c r="P234" s="99">
        <v>2020.0</v>
      </c>
      <c r="Q234" s="99" t="s">
        <v>96</v>
      </c>
      <c r="R234" s="197" t="s">
        <v>5902</v>
      </c>
      <c r="S234" s="197" t="s">
        <v>93</v>
      </c>
      <c r="T234" s="197" t="s">
        <v>93</v>
      </c>
      <c r="U234" s="99" t="s">
        <v>93</v>
      </c>
      <c r="V234" s="99" t="s">
        <v>92</v>
      </c>
      <c r="W234" s="99" t="s">
        <v>92</v>
      </c>
      <c r="X234" s="99" t="s">
        <v>92</v>
      </c>
      <c r="Y234" s="99" t="s">
        <v>93</v>
      </c>
      <c r="Z234" s="99" t="s">
        <v>92</v>
      </c>
      <c r="AA234" s="197" t="s">
        <v>93</v>
      </c>
      <c r="AB234" s="197" t="s">
        <v>2740</v>
      </c>
      <c r="AC234" s="197"/>
      <c r="AD234" s="197"/>
      <c r="AE234" s="197" t="s">
        <v>92</v>
      </c>
      <c r="AF234" s="99" t="s">
        <v>105</v>
      </c>
      <c r="AG234" s="197" t="s">
        <v>105</v>
      </c>
      <c r="AH234" s="197"/>
      <c r="AI234" s="479" t="s">
        <v>105</v>
      </c>
      <c r="AJ234" s="99" t="s">
        <v>7111</v>
      </c>
      <c r="AK234" s="99" t="s">
        <v>93</v>
      </c>
      <c r="AL234" s="99" t="s">
        <v>92</v>
      </c>
      <c r="AM234" s="99" t="s">
        <v>92</v>
      </c>
      <c r="AN234" s="99" t="s">
        <v>92</v>
      </c>
      <c r="AO234" s="99" t="s">
        <v>92</v>
      </c>
      <c r="AP234" s="99" t="s">
        <v>93</v>
      </c>
      <c r="AQ234" s="99" t="s">
        <v>92</v>
      </c>
      <c r="AR234" s="99" t="s">
        <v>6942</v>
      </c>
      <c r="AS234" s="99" t="s">
        <v>3520</v>
      </c>
      <c r="AT234" s="99" t="s">
        <v>3451</v>
      </c>
      <c r="AU234" s="99" t="s">
        <v>92</v>
      </c>
      <c r="AV234" s="99" t="s">
        <v>92</v>
      </c>
      <c r="AW234" s="99" t="s">
        <v>92</v>
      </c>
      <c r="AX234" s="99" t="s">
        <v>93</v>
      </c>
      <c r="AY234" s="99" t="s">
        <v>92</v>
      </c>
      <c r="AZ234" s="460" t="s">
        <v>92</v>
      </c>
      <c r="BA234" s="460" t="s">
        <v>93</v>
      </c>
      <c r="BB234" s="460" t="s">
        <v>92</v>
      </c>
      <c r="BC234" s="460" t="s">
        <v>93</v>
      </c>
      <c r="BD234" s="460" t="s">
        <v>92</v>
      </c>
      <c r="BE234" s="460" t="s">
        <v>92</v>
      </c>
      <c r="BF234" s="460" t="s">
        <v>92</v>
      </c>
      <c r="BG234" s="460"/>
      <c r="BH234" s="460"/>
      <c r="BI234" s="460" t="s">
        <v>92</v>
      </c>
      <c r="BJ234" s="460" t="s">
        <v>92</v>
      </c>
      <c r="BK234" s="460" t="s">
        <v>93</v>
      </c>
      <c r="BL234" s="460"/>
      <c r="BM234" s="213" t="s">
        <v>7980</v>
      </c>
      <c r="BN234" s="470"/>
      <c r="BO234" s="470"/>
      <c r="BP234" s="470"/>
      <c r="BQ234" s="99"/>
      <c r="BR234" s="99"/>
    </row>
    <row r="235" ht="15.75" customHeight="1">
      <c r="A235" s="99"/>
      <c r="B235" s="99" t="s">
        <v>7978</v>
      </c>
      <c r="C235" s="99"/>
      <c r="D235" s="99" t="s">
        <v>7998</v>
      </c>
      <c r="E235" s="99" t="s">
        <v>90</v>
      </c>
      <c r="F235" s="99" t="s">
        <v>7999</v>
      </c>
      <c r="G235" s="99" t="s">
        <v>3345</v>
      </c>
      <c r="H235" s="99" t="s">
        <v>95</v>
      </c>
      <c r="I235" s="99" t="s">
        <v>3202</v>
      </c>
      <c r="J235" s="99" t="s">
        <v>93</v>
      </c>
      <c r="K235" s="197" t="s">
        <v>105</v>
      </c>
      <c r="L235" s="99" t="s">
        <v>93</v>
      </c>
      <c r="M235" s="99" t="s">
        <v>92</v>
      </c>
      <c r="N235" s="99" t="s">
        <v>92</v>
      </c>
      <c r="O235" s="99" t="s">
        <v>92</v>
      </c>
      <c r="P235" s="99">
        <v>2020.0</v>
      </c>
      <c r="Q235" s="99" t="s">
        <v>96</v>
      </c>
      <c r="R235" s="197" t="s">
        <v>5902</v>
      </c>
      <c r="S235" s="197" t="s">
        <v>93</v>
      </c>
      <c r="T235" s="197" t="s">
        <v>93</v>
      </c>
      <c r="U235" s="99" t="s">
        <v>93</v>
      </c>
      <c r="V235" s="99" t="s">
        <v>92</v>
      </c>
      <c r="W235" s="99" t="s">
        <v>92</v>
      </c>
      <c r="X235" s="99" t="s">
        <v>92</v>
      </c>
      <c r="Y235" s="99" t="s">
        <v>93</v>
      </c>
      <c r="Z235" s="99" t="s">
        <v>92</v>
      </c>
      <c r="AA235" s="197" t="s">
        <v>93</v>
      </c>
      <c r="AB235" s="197" t="s">
        <v>2740</v>
      </c>
      <c r="AC235" s="197"/>
      <c r="AD235" s="197"/>
      <c r="AE235" s="197" t="s">
        <v>92</v>
      </c>
      <c r="AF235" s="99" t="s">
        <v>105</v>
      </c>
      <c r="AG235" s="197" t="s">
        <v>105</v>
      </c>
      <c r="AH235" s="197"/>
      <c r="AI235" s="479" t="s">
        <v>105</v>
      </c>
      <c r="AJ235" s="99" t="s">
        <v>3410</v>
      </c>
      <c r="AK235" s="99" t="s">
        <v>92</v>
      </c>
      <c r="AL235" s="99" t="s">
        <v>92</v>
      </c>
      <c r="AM235" s="99" t="s">
        <v>92</v>
      </c>
      <c r="AN235" s="99" t="s">
        <v>92</v>
      </c>
      <c r="AO235" s="99" t="s">
        <v>92</v>
      </c>
      <c r="AP235" s="99" t="s">
        <v>93</v>
      </c>
      <c r="AQ235" s="99" t="s">
        <v>92</v>
      </c>
      <c r="AR235" s="99" t="s">
        <v>6942</v>
      </c>
      <c r="AS235" s="99" t="s">
        <v>3520</v>
      </c>
      <c r="AT235" s="99" t="s">
        <v>3451</v>
      </c>
      <c r="AU235" s="99" t="s">
        <v>92</v>
      </c>
      <c r="AV235" s="99" t="s">
        <v>92</v>
      </c>
      <c r="AW235" s="99" t="s">
        <v>92</v>
      </c>
      <c r="AX235" s="99" t="s">
        <v>93</v>
      </c>
      <c r="AY235" s="99" t="s">
        <v>92</v>
      </c>
      <c r="AZ235" s="460" t="s">
        <v>92</v>
      </c>
      <c r="BA235" s="460" t="s">
        <v>93</v>
      </c>
      <c r="BB235" s="460" t="s">
        <v>92</v>
      </c>
      <c r="BC235" s="460" t="s">
        <v>92</v>
      </c>
      <c r="BD235" s="460" t="s">
        <v>92</v>
      </c>
      <c r="BE235" s="460" t="s">
        <v>92</v>
      </c>
      <c r="BF235" s="460" t="s">
        <v>92</v>
      </c>
      <c r="BG235" s="460"/>
      <c r="BH235" s="460"/>
      <c r="BI235" s="460" t="s">
        <v>92</v>
      </c>
      <c r="BJ235" s="460" t="s">
        <v>92</v>
      </c>
      <c r="BK235" s="460" t="s">
        <v>105</v>
      </c>
      <c r="BL235" s="460"/>
      <c r="BM235" s="213" t="s">
        <v>7980</v>
      </c>
      <c r="BN235" s="470"/>
      <c r="BO235" s="470"/>
      <c r="BP235" s="470"/>
      <c r="BQ235" s="99"/>
      <c r="BR235" s="99"/>
    </row>
    <row r="236" ht="15.75" customHeight="1">
      <c r="A236" s="99"/>
      <c r="B236" s="99" t="s">
        <v>7978</v>
      </c>
      <c r="C236" s="99"/>
      <c r="D236" s="99" t="s">
        <v>2843</v>
      </c>
      <c r="E236" s="99" t="s">
        <v>90</v>
      </c>
      <c r="F236" s="99" t="s">
        <v>8000</v>
      </c>
      <c r="G236" s="99" t="s">
        <v>3345</v>
      </c>
      <c r="H236" s="99" t="s">
        <v>95</v>
      </c>
      <c r="I236" s="99" t="s">
        <v>3202</v>
      </c>
      <c r="J236" s="99" t="s">
        <v>92</v>
      </c>
      <c r="K236" s="197">
        <v>2018.0</v>
      </c>
      <c r="L236" s="99" t="s">
        <v>93</v>
      </c>
      <c r="M236" s="99" t="s">
        <v>92</v>
      </c>
      <c r="N236" s="99" t="s">
        <v>92</v>
      </c>
      <c r="O236" s="99" t="s">
        <v>92</v>
      </c>
      <c r="P236" s="99">
        <v>2020.0</v>
      </c>
      <c r="Q236" s="99" t="s">
        <v>96</v>
      </c>
      <c r="R236" s="197" t="s">
        <v>5902</v>
      </c>
      <c r="S236" s="197" t="s">
        <v>93</v>
      </c>
      <c r="T236" s="197" t="s">
        <v>93</v>
      </c>
      <c r="U236" s="99" t="s">
        <v>93</v>
      </c>
      <c r="V236" s="99" t="s">
        <v>92</v>
      </c>
      <c r="W236" s="99" t="s">
        <v>92</v>
      </c>
      <c r="X236" s="99" t="s">
        <v>92</v>
      </c>
      <c r="Y236" s="99" t="s">
        <v>93</v>
      </c>
      <c r="Z236" s="99" t="s">
        <v>92</v>
      </c>
      <c r="AA236" s="197" t="s">
        <v>93</v>
      </c>
      <c r="AB236" s="197" t="s">
        <v>2740</v>
      </c>
      <c r="AC236" s="197"/>
      <c r="AD236" s="197"/>
      <c r="AE236" s="197" t="s">
        <v>92</v>
      </c>
      <c r="AF236" s="99" t="s">
        <v>105</v>
      </c>
      <c r="AG236" s="197" t="s">
        <v>105</v>
      </c>
      <c r="AH236" s="197"/>
      <c r="AI236" s="479" t="s">
        <v>105</v>
      </c>
      <c r="AJ236" s="99" t="s">
        <v>3410</v>
      </c>
      <c r="AK236" s="99" t="s">
        <v>92</v>
      </c>
      <c r="AL236" s="99" t="s">
        <v>92</v>
      </c>
      <c r="AM236" s="99" t="s">
        <v>92</v>
      </c>
      <c r="AN236" s="99" t="s">
        <v>92</v>
      </c>
      <c r="AO236" s="99" t="s">
        <v>92</v>
      </c>
      <c r="AP236" s="99" t="s">
        <v>93</v>
      </c>
      <c r="AQ236" s="99" t="s">
        <v>92</v>
      </c>
      <c r="AR236" s="99" t="s">
        <v>6942</v>
      </c>
      <c r="AS236" s="470" t="s">
        <v>8001</v>
      </c>
      <c r="AT236" s="99" t="s">
        <v>7309</v>
      </c>
      <c r="AU236" s="99" t="s">
        <v>92</v>
      </c>
      <c r="AV236" s="99" t="s">
        <v>92</v>
      </c>
      <c r="AW236" s="99" t="s">
        <v>92</v>
      </c>
      <c r="AX236" s="99" t="s">
        <v>93</v>
      </c>
      <c r="AY236" s="99" t="s">
        <v>93</v>
      </c>
      <c r="AZ236" s="460" t="s">
        <v>92</v>
      </c>
      <c r="BA236" s="460" t="s">
        <v>93</v>
      </c>
      <c r="BB236" s="460" t="s">
        <v>92</v>
      </c>
      <c r="BC236" s="460" t="s">
        <v>92</v>
      </c>
      <c r="BD236" s="460" t="s">
        <v>92</v>
      </c>
      <c r="BE236" s="460" t="s">
        <v>92</v>
      </c>
      <c r="BF236" s="460" t="s">
        <v>92</v>
      </c>
      <c r="BG236" s="460"/>
      <c r="BH236" s="460"/>
      <c r="BI236" s="460" t="s">
        <v>92</v>
      </c>
      <c r="BJ236" s="460" t="s">
        <v>92</v>
      </c>
      <c r="BK236" s="460" t="s">
        <v>93</v>
      </c>
      <c r="BL236" s="460"/>
      <c r="BM236" s="213" t="s">
        <v>7980</v>
      </c>
      <c r="BN236" s="470"/>
      <c r="BO236" s="470"/>
      <c r="BP236" s="470"/>
      <c r="BQ236" s="99"/>
      <c r="BR236" s="99"/>
    </row>
    <row r="237" ht="15.75" customHeight="1">
      <c r="A237" s="99"/>
      <c r="B237" s="99" t="s">
        <v>7978</v>
      </c>
      <c r="C237" s="99"/>
      <c r="D237" s="99" t="s">
        <v>8002</v>
      </c>
      <c r="E237" s="99" t="s">
        <v>90</v>
      </c>
      <c r="F237" s="99" t="s">
        <v>2793</v>
      </c>
      <c r="G237" s="99" t="s">
        <v>3346</v>
      </c>
      <c r="H237" s="99" t="s">
        <v>95</v>
      </c>
      <c r="I237" s="99" t="s">
        <v>94</v>
      </c>
      <c r="J237" s="99" t="s">
        <v>92</v>
      </c>
      <c r="K237" s="197">
        <v>2014.0</v>
      </c>
      <c r="L237" s="99" t="s">
        <v>93</v>
      </c>
      <c r="M237" s="99" t="s">
        <v>105</v>
      </c>
      <c r="N237" s="99" t="s">
        <v>105</v>
      </c>
      <c r="O237" s="99" t="s">
        <v>105</v>
      </c>
      <c r="P237" s="99" t="s">
        <v>105</v>
      </c>
      <c r="Q237" s="99" t="s">
        <v>105</v>
      </c>
      <c r="R237" s="197" t="s">
        <v>5902</v>
      </c>
      <c r="S237" s="197" t="s">
        <v>93</v>
      </c>
      <c r="T237" s="197" t="s">
        <v>93</v>
      </c>
      <c r="U237" s="99" t="s">
        <v>93</v>
      </c>
      <c r="V237" s="99" t="s">
        <v>92</v>
      </c>
      <c r="W237" s="99" t="s">
        <v>92</v>
      </c>
      <c r="X237" s="99" t="s">
        <v>92</v>
      </c>
      <c r="Y237" s="99" t="s">
        <v>93</v>
      </c>
      <c r="Z237" s="99" t="s">
        <v>92</v>
      </c>
      <c r="AA237" s="197" t="s">
        <v>93</v>
      </c>
      <c r="AB237" s="197" t="s">
        <v>2740</v>
      </c>
      <c r="AC237" s="197"/>
      <c r="AD237" s="197"/>
      <c r="AE237" s="197" t="s">
        <v>93</v>
      </c>
      <c r="AF237" s="99" t="s">
        <v>8003</v>
      </c>
      <c r="AG237" s="197" t="s">
        <v>6990</v>
      </c>
      <c r="AH237" s="197"/>
      <c r="AI237" s="479" t="s">
        <v>93</v>
      </c>
      <c r="AJ237" s="99" t="s">
        <v>3410</v>
      </c>
      <c r="AK237" s="99" t="s">
        <v>92</v>
      </c>
      <c r="AL237" s="99" t="s">
        <v>92</v>
      </c>
      <c r="AM237" s="99" t="s">
        <v>92</v>
      </c>
      <c r="AN237" s="99" t="s">
        <v>92</v>
      </c>
      <c r="AO237" s="99" t="s">
        <v>92</v>
      </c>
      <c r="AP237" s="99" t="s">
        <v>93</v>
      </c>
      <c r="AQ237" s="99" t="s">
        <v>92</v>
      </c>
      <c r="AR237" s="99" t="s">
        <v>6949</v>
      </c>
      <c r="AS237" s="99" t="s">
        <v>95</v>
      </c>
      <c r="AT237" s="99" t="s">
        <v>95</v>
      </c>
      <c r="AU237" s="99" t="s">
        <v>93</v>
      </c>
      <c r="AV237" s="99" t="s">
        <v>93</v>
      </c>
      <c r="AW237" s="99" t="s">
        <v>93</v>
      </c>
      <c r="AX237" s="99" t="s">
        <v>93</v>
      </c>
      <c r="AY237" s="99" t="s">
        <v>93</v>
      </c>
      <c r="AZ237" s="460" t="s">
        <v>93</v>
      </c>
      <c r="BA237" s="460" t="s">
        <v>92</v>
      </c>
      <c r="BB237" s="460" t="s">
        <v>92</v>
      </c>
      <c r="BC237" s="460" t="s">
        <v>92</v>
      </c>
      <c r="BD237" s="460" t="s">
        <v>92</v>
      </c>
      <c r="BE237" s="460" t="s">
        <v>92</v>
      </c>
      <c r="BF237" s="460" t="s">
        <v>92</v>
      </c>
      <c r="BG237" s="460"/>
      <c r="BH237" s="460"/>
      <c r="BI237" s="460" t="s">
        <v>92</v>
      </c>
      <c r="BJ237" s="460" t="s">
        <v>92</v>
      </c>
      <c r="BK237" s="460" t="s">
        <v>93</v>
      </c>
      <c r="BL237" s="460"/>
      <c r="BM237" s="213" t="s">
        <v>7980</v>
      </c>
      <c r="BN237" s="213" t="s">
        <v>8004</v>
      </c>
      <c r="BO237" s="470"/>
      <c r="BP237" s="470"/>
      <c r="BQ237" s="99"/>
      <c r="BR237" s="99"/>
    </row>
    <row r="238" ht="15.75" customHeight="1">
      <c r="A238" s="99"/>
      <c r="B238" s="99" t="s">
        <v>7978</v>
      </c>
      <c r="C238" s="99"/>
      <c r="D238" s="99" t="s">
        <v>2732</v>
      </c>
      <c r="E238" s="99" t="s">
        <v>90</v>
      </c>
      <c r="F238" s="99" t="s">
        <v>8005</v>
      </c>
      <c r="G238" s="99" t="s">
        <v>3346</v>
      </c>
      <c r="H238" s="99" t="s">
        <v>95</v>
      </c>
      <c r="I238" s="99" t="s">
        <v>94</v>
      </c>
      <c r="J238" s="99" t="s">
        <v>92</v>
      </c>
      <c r="K238" s="197">
        <v>2015.0</v>
      </c>
      <c r="L238" s="99" t="s">
        <v>93</v>
      </c>
      <c r="M238" s="99" t="s">
        <v>93</v>
      </c>
      <c r="N238" s="99" t="s">
        <v>93</v>
      </c>
      <c r="O238" s="99" t="s">
        <v>93</v>
      </c>
      <c r="P238" s="99" t="s">
        <v>95</v>
      </c>
      <c r="Q238" s="99" t="s">
        <v>114</v>
      </c>
      <c r="R238" s="197" t="s">
        <v>5902</v>
      </c>
      <c r="S238" s="197" t="s">
        <v>93</v>
      </c>
      <c r="T238" s="197" t="s">
        <v>93</v>
      </c>
      <c r="U238" s="99" t="s">
        <v>93</v>
      </c>
      <c r="V238" s="99" t="s">
        <v>92</v>
      </c>
      <c r="W238" s="99" t="s">
        <v>92</v>
      </c>
      <c r="X238" s="99" t="s">
        <v>92</v>
      </c>
      <c r="Y238" s="99" t="s">
        <v>93</v>
      </c>
      <c r="Z238" s="99" t="s">
        <v>92</v>
      </c>
      <c r="AA238" s="197" t="s">
        <v>93</v>
      </c>
      <c r="AB238" s="197" t="s">
        <v>2740</v>
      </c>
      <c r="AC238" s="197"/>
      <c r="AD238" s="197"/>
      <c r="AE238" s="197" t="s">
        <v>92</v>
      </c>
      <c r="AF238" s="99" t="s">
        <v>2118</v>
      </c>
      <c r="AG238" s="197" t="s">
        <v>6990</v>
      </c>
      <c r="AH238" s="197"/>
      <c r="AI238" s="479" t="s">
        <v>93</v>
      </c>
      <c r="AJ238" s="99" t="s">
        <v>3410</v>
      </c>
      <c r="AK238" s="99" t="s">
        <v>92</v>
      </c>
      <c r="AL238" s="99" t="s">
        <v>92</v>
      </c>
      <c r="AM238" s="99" t="s">
        <v>92</v>
      </c>
      <c r="AN238" s="99" t="s">
        <v>92</v>
      </c>
      <c r="AO238" s="99" t="s">
        <v>92</v>
      </c>
      <c r="AP238" s="99" t="s">
        <v>93</v>
      </c>
      <c r="AQ238" s="99" t="s">
        <v>92</v>
      </c>
      <c r="AR238" s="99" t="s">
        <v>6942</v>
      </c>
      <c r="AS238" s="470" t="s">
        <v>8006</v>
      </c>
      <c r="AT238" s="99" t="s">
        <v>3449</v>
      </c>
      <c r="AU238" s="99" t="s">
        <v>92</v>
      </c>
      <c r="AV238" s="99" t="s">
        <v>93</v>
      </c>
      <c r="AW238" s="99" t="s">
        <v>92</v>
      </c>
      <c r="AX238" s="99" t="s">
        <v>92</v>
      </c>
      <c r="AY238" s="99" t="s">
        <v>92</v>
      </c>
      <c r="AZ238" s="460" t="s">
        <v>93</v>
      </c>
      <c r="BA238" s="460" t="s">
        <v>92</v>
      </c>
      <c r="BB238" s="460" t="s">
        <v>92</v>
      </c>
      <c r="BC238" s="460" t="s">
        <v>92</v>
      </c>
      <c r="BD238" s="460" t="s">
        <v>92</v>
      </c>
      <c r="BE238" s="460" t="s">
        <v>92</v>
      </c>
      <c r="BF238" s="460" t="s">
        <v>92</v>
      </c>
      <c r="BG238" s="460"/>
      <c r="BH238" s="460"/>
      <c r="BI238" s="460" t="s">
        <v>92</v>
      </c>
      <c r="BJ238" s="460" t="s">
        <v>92</v>
      </c>
      <c r="BK238" s="460" t="s">
        <v>93</v>
      </c>
      <c r="BL238" s="460"/>
      <c r="BM238" s="213" t="s">
        <v>7980</v>
      </c>
      <c r="BN238" s="213" t="s">
        <v>7984</v>
      </c>
      <c r="BO238" s="213" t="s">
        <v>7985</v>
      </c>
      <c r="BP238" s="470"/>
      <c r="BQ238" s="99"/>
      <c r="BR238" s="99"/>
    </row>
    <row r="239" ht="15.75" customHeight="1">
      <c r="A239" s="99"/>
      <c r="B239" s="99" t="s">
        <v>7978</v>
      </c>
      <c r="C239" s="99"/>
      <c r="D239" s="99" t="s">
        <v>8007</v>
      </c>
      <c r="E239" s="99" t="s">
        <v>90</v>
      </c>
      <c r="F239" s="99" t="s">
        <v>8008</v>
      </c>
      <c r="G239" s="99" t="s">
        <v>3345</v>
      </c>
      <c r="H239" s="99" t="s">
        <v>95</v>
      </c>
      <c r="I239" s="99" t="s">
        <v>3202</v>
      </c>
      <c r="J239" s="99" t="s">
        <v>92</v>
      </c>
      <c r="K239" s="197">
        <v>2020.0</v>
      </c>
      <c r="L239" s="99" t="s">
        <v>93</v>
      </c>
      <c r="M239" s="99" t="s">
        <v>92</v>
      </c>
      <c r="N239" s="99" t="s">
        <v>92</v>
      </c>
      <c r="O239" s="99" t="s">
        <v>92</v>
      </c>
      <c r="P239" s="99">
        <v>2020.0</v>
      </c>
      <c r="Q239" s="99" t="s">
        <v>96</v>
      </c>
      <c r="R239" s="197" t="s">
        <v>5902</v>
      </c>
      <c r="S239" s="197" t="s">
        <v>93</v>
      </c>
      <c r="T239" s="197" t="s">
        <v>93</v>
      </c>
      <c r="U239" s="99" t="s">
        <v>93</v>
      </c>
      <c r="V239" s="99" t="s">
        <v>92</v>
      </c>
      <c r="W239" s="99" t="s">
        <v>92</v>
      </c>
      <c r="X239" s="99" t="s">
        <v>92</v>
      </c>
      <c r="Y239" s="99" t="s">
        <v>93</v>
      </c>
      <c r="Z239" s="99" t="s">
        <v>92</v>
      </c>
      <c r="AA239" s="197" t="s">
        <v>93</v>
      </c>
      <c r="AB239" s="197" t="s">
        <v>2740</v>
      </c>
      <c r="AC239" s="197"/>
      <c r="AD239" s="197"/>
      <c r="AE239" s="197" t="s">
        <v>92</v>
      </c>
      <c r="AF239" s="99" t="s">
        <v>7953</v>
      </c>
      <c r="AG239" s="197" t="s">
        <v>6990</v>
      </c>
      <c r="AH239" s="197"/>
      <c r="AI239" s="479" t="s">
        <v>92</v>
      </c>
      <c r="AJ239" s="99" t="s">
        <v>3410</v>
      </c>
      <c r="AK239" s="99" t="s">
        <v>92</v>
      </c>
      <c r="AL239" s="99" t="s">
        <v>92</v>
      </c>
      <c r="AM239" s="99" t="s">
        <v>92</v>
      </c>
      <c r="AN239" s="99" t="s">
        <v>92</v>
      </c>
      <c r="AO239" s="99" t="s">
        <v>92</v>
      </c>
      <c r="AP239" s="99" t="s">
        <v>93</v>
      </c>
      <c r="AQ239" s="99" t="s">
        <v>92</v>
      </c>
      <c r="AR239" s="99" t="s">
        <v>6942</v>
      </c>
      <c r="AS239" s="99" t="s">
        <v>3520</v>
      </c>
      <c r="AT239" s="99" t="s">
        <v>3451</v>
      </c>
      <c r="AU239" s="99" t="s">
        <v>92</v>
      </c>
      <c r="AV239" s="99" t="s">
        <v>92</v>
      </c>
      <c r="AW239" s="99" t="s">
        <v>92</v>
      </c>
      <c r="AX239" s="99" t="s">
        <v>93</v>
      </c>
      <c r="AY239" s="99" t="s">
        <v>92</v>
      </c>
      <c r="AZ239" s="460" t="s">
        <v>92</v>
      </c>
      <c r="BA239" s="460" t="s">
        <v>93</v>
      </c>
      <c r="BB239" s="460" t="s">
        <v>92</v>
      </c>
      <c r="BC239" s="460" t="s">
        <v>92</v>
      </c>
      <c r="BD239" s="460" t="s">
        <v>92</v>
      </c>
      <c r="BE239" s="460" t="s">
        <v>92</v>
      </c>
      <c r="BF239" s="460" t="s">
        <v>92</v>
      </c>
      <c r="BG239" s="460"/>
      <c r="BH239" s="460"/>
      <c r="BI239" s="460" t="s">
        <v>92</v>
      </c>
      <c r="BJ239" s="460" t="s">
        <v>92</v>
      </c>
      <c r="BK239" s="460" t="s">
        <v>92</v>
      </c>
      <c r="BL239" s="460"/>
      <c r="BM239" s="213" t="s">
        <v>7980</v>
      </c>
      <c r="BN239" s="470"/>
      <c r="BO239" s="470"/>
      <c r="BP239" s="470"/>
      <c r="BQ239" s="99"/>
      <c r="BR239" s="99"/>
    </row>
    <row r="240" ht="15.75" customHeight="1">
      <c r="A240" s="99"/>
      <c r="B240" s="99" t="s">
        <v>7978</v>
      </c>
      <c r="C240" s="99"/>
      <c r="D240" s="99" t="s">
        <v>8009</v>
      </c>
      <c r="E240" s="99" t="s">
        <v>189</v>
      </c>
      <c r="F240" s="99" t="s">
        <v>8010</v>
      </c>
      <c r="G240" s="99" t="s">
        <v>3346</v>
      </c>
      <c r="H240" s="99" t="s">
        <v>95</v>
      </c>
      <c r="I240" s="99" t="s">
        <v>94</v>
      </c>
      <c r="J240" s="99" t="s">
        <v>92</v>
      </c>
      <c r="K240" s="197">
        <v>2020.0</v>
      </c>
      <c r="L240" s="99" t="s">
        <v>93</v>
      </c>
      <c r="M240" s="99" t="s">
        <v>92</v>
      </c>
      <c r="N240" s="99" t="s">
        <v>92</v>
      </c>
      <c r="O240" s="99" t="s">
        <v>92</v>
      </c>
      <c r="P240" s="99">
        <v>2020.0</v>
      </c>
      <c r="Q240" s="99" t="s">
        <v>96</v>
      </c>
      <c r="R240" s="197" t="s">
        <v>5902</v>
      </c>
      <c r="S240" s="197" t="s">
        <v>93</v>
      </c>
      <c r="T240" s="197" t="s">
        <v>93</v>
      </c>
      <c r="U240" s="99" t="s">
        <v>93</v>
      </c>
      <c r="V240" s="99" t="s">
        <v>92</v>
      </c>
      <c r="W240" s="99" t="s">
        <v>92</v>
      </c>
      <c r="X240" s="99" t="s">
        <v>92</v>
      </c>
      <c r="Y240" s="99" t="s">
        <v>93</v>
      </c>
      <c r="Z240" s="99" t="s">
        <v>92</v>
      </c>
      <c r="AA240" s="197" t="s">
        <v>93</v>
      </c>
      <c r="AB240" s="197" t="s">
        <v>2740</v>
      </c>
      <c r="AC240" s="197"/>
      <c r="AD240" s="197"/>
      <c r="AE240" s="197" t="s">
        <v>92</v>
      </c>
      <c r="AF240" s="99" t="s">
        <v>105</v>
      </c>
      <c r="AG240" s="197" t="s">
        <v>105</v>
      </c>
      <c r="AH240" s="197"/>
      <c r="AI240" s="479" t="s">
        <v>105</v>
      </c>
      <c r="AJ240" s="99" t="s">
        <v>3410</v>
      </c>
      <c r="AK240" s="99" t="s">
        <v>92</v>
      </c>
      <c r="AL240" s="99" t="s">
        <v>92</v>
      </c>
      <c r="AM240" s="99" t="s">
        <v>92</v>
      </c>
      <c r="AN240" s="99" t="s">
        <v>92</v>
      </c>
      <c r="AO240" s="99" t="s">
        <v>92</v>
      </c>
      <c r="AP240" s="99" t="s">
        <v>93</v>
      </c>
      <c r="AQ240" s="99" t="s">
        <v>92</v>
      </c>
      <c r="AR240" s="99" t="s">
        <v>6949</v>
      </c>
      <c r="AS240" s="99" t="s">
        <v>95</v>
      </c>
      <c r="AT240" s="99" t="s">
        <v>95</v>
      </c>
      <c r="AU240" s="99" t="s">
        <v>93</v>
      </c>
      <c r="AV240" s="99" t="s">
        <v>93</v>
      </c>
      <c r="AW240" s="99" t="s">
        <v>93</v>
      </c>
      <c r="AX240" s="99" t="s">
        <v>93</v>
      </c>
      <c r="AY240" s="99" t="s">
        <v>93</v>
      </c>
      <c r="AZ240" s="460" t="s">
        <v>93</v>
      </c>
      <c r="BA240" s="460" t="s">
        <v>92</v>
      </c>
      <c r="BB240" s="460" t="s">
        <v>92</v>
      </c>
      <c r="BC240" s="460" t="s">
        <v>92</v>
      </c>
      <c r="BD240" s="460" t="s">
        <v>92</v>
      </c>
      <c r="BE240" s="460" t="s">
        <v>92</v>
      </c>
      <c r="BF240" s="460" t="s">
        <v>92</v>
      </c>
      <c r="BG240" s="460"/>
      <c r="BH240" s="460"/>
      <c r="BI240" s="460" t="s">
        <v>92</v>
      </c>
      <c r="BJ240" s="460" t="s">
        <v>93</v>
      </c>
      <c r="BK240" s="460" t="s">
        <v>92</v>
      </c>
      <c r="BL240" s="460"/>
      <c r="BM240" s="213" t="s">
        <v>7980</v>
      </c>
      <c r="BN240" s="213" t="s">
        <v>8011</v>
      </c>
      <c r="BO240" s="470"/>
      <c r="BP240" s="470"/>
      <c r="BQ240" s="99"/>
      <c r="BR240" s="99"/>
    </row>
    <row r="241" ht="15.75" customHeight="1">
      <c r="A241" s="99"/>
      <c r="B241" s="99" t="s">
        <v>7978</v>
      </c>
      <c r="C241" s="99"/>
      <c r="D241" s="99" t="s">
        <v>8012</v>
      </c>
      <c r="E241" s="99" t="s">
        <v>90</v>
      </c>
      <c r="F241" s="99" t="s">
        <v>8013</v>
      </c>
      <c r="G241" s="99" t="s">
        <v>3348</v>
      </c>
      <c r="H241" s="99" t="s">
        <v>3345</v>
      </c>
      <c r="I241" s="99" t="s">
        <v>3202</v>
      </c>
      <c r="J241" s="99" t="s">
        <v>93</v>
      </c>
      <c r="K241" s="197">
        <v>2018.0</v>
      </c>
      <c r="L241" s="99" t="s">
        <v>93</v>
      </c>
      <c r="M241" s="99" t="s">
        <v>93</v>
      </c>
      <c r="N241" s="99" t="s">
        <v>93</v>
      </c>
      <c r="O241" s="99" t="s">
        <v>93</v>
      </c>
      <c r="P241" s="99" t="s">
        <v>95</v>
      </c>
      <c r="Q241" s="99" t="s">
        <v>114</v>
      </c>
      <c r="R241" s="197" t="s">
        <v>5902</v>
      </c>
      <c r="S241" s="197" t="s">
        <v>93</v>
      </c>
      <c r="T241" s="197" t="s">
        <v>93</v>
      </c>
      <c r="U241" s="99" t="s">
        <v>93</v>
      </c>
      <c r="V241" s="99" t="s">
        <v>92</v>
      </c>
      <c r="W241" s="99" t="s">
        <v>92</v>
      </c>
      <c r="X241" s="99" t="s">
        <v>92</v>
      </c>
      <c r="Y241" s="99" t="s">
        <v>93</v>
      </c>
      <c r="Z241" s="99" t="s">
        <v>92</v>
      </c>
      <c r="AA241" s="197" t="s">
        <v>93</v>
      </c>
      <c r="AB241" s="197" t="s">
        <v>2740</v>
      </c>
      <c r="AC241" s="197"/>
      <c r="AD241" s="197"/>
      <c r="AE241" s="197" t="s">
        <v>92</v>
      </c>
      <c r="AF241" s="99" t="s">
        <v>7978</v>
      </c>
      <c r="AG241" s="197" t="s">
        <v>5902</v>
      </c>
      <c r="AH241" s="197"/>
      <c r="AI241" s="479" t="s">
        <v>93</v>
      </c>
      <c r="AJ241" s="99" t="s">
        <v>3410</v>
      </c>
      <c r="AK241" s="99" t="s">
        <v>92</v>
      </c>
      <c r="AL241" s="99" t="s">
        <v>92</v>
      </c>
      <c r="AM241" s="99" t="s">
        <v>92</v>
      </c>
      <c r="AN241" s="99" t="s">
        <v>92</v>
      </c>
      <c r="AO241" s="99" t="s">
        <v>92</v>
      </c>
      <c r="AP241" s="99" t="s">
        <v>93</v>
      </c>
      <c r="AQ241" s="99" t="s">
        <v>92</v>
      </c>
      <c r="AR241" s="99" t="s">
        <v>6949</v>
      </c>
      <c r="AS241" s="99" t="s">
        <v>95</v>
      </c>
      <c r="AT241" s="99" t="s">
        <v>95</v>
      </c>
      <c r="AU241" s="99" t="s">
        <v>93</v>
      </c>
      <c r="AV241" s="99" t="s">
        <v>93</v>
      </c>
      <c r="AW241" s="99" t="s">
        <v>93</v>
      </c>
      <c r="AX241" s="99" t="s">
        <v>93</v>
      </c>
      <c r="AY241" s="99" t="s">
        <v>93</v>
      </c>
      <c r="AZ241" s="460" t="s">
        <v>92</v>
      </c>
      <c r="BA241" s="460" t="s">
        <v>93</v>
      </c>
      <c r="BB241" s="460" t="s">
        <v>92</v>
      </c>
      <c r="BC241" s="460" t="s">
        <v>92</v>
      </c>
      <c r="BD241" s="460" t="s">
        <v>92</v>
      </c>
      <c r="BE241" s="460" t="s">
        <v>92</v>
      </c>
      <c r="BF241" s="460" t="s">
        <v>93</v>
      </c>
      <c r="BG241" s="460"/>
      <c r="BH241" s="460"/>
      <c r="BI241" s="460" t="s">
        <v>92</v>
      </c>
      <c r="BJ241" s="460" t="s">
        <v>92</v>
      </c>
      <c r="BK241" s="460" t="s">
        <v>93</v>
      </c>
      <c r="BL241" s="460"/>
      <c r="BM241" s="213" t="s">
        <v>7980</v>
      </c>
      <c r="BN241" s="470"/>
      <c r="BO241" s="470"/>
      <c r="BP241" s="470"/>
      <c r="BQ241" s="99"/>
      <c r="BR241" s="99"/>
    </row>
    <row r="242" ht="15.75" customHeight="1">
      <c r="A242" s="99"/>
      <c r="B242" s="99" t="s">
        <v>7978</v>
      </c>
      <c r="C242" s="99"/>
      <c r="D242" s="99" t="s">
        <v>8014</v>
      </c>
      <c r="E242" s="99" t="s">
        <v>90</v>
      </c>
      <c r="F242" s="99" t="s">
        <v>8015</v>
      </c>
      <c r="G242" s="99" t="s">
        <v>3345</v>
      </c>
      <c r="H242" s="99" t="s">
        <v>3348</v>
      </c>
      <c r="I242" s="99" t="s">
        <v>3202</v>
      </c>
      <c r="J242" s="99" t="s">
        <v>93</v>
      </c>
      <c r="K242" s="197">
        <v>2021.0</v>
      </c>
      <c r="L242" s="99" t="s">
        <v>92</v>
      </c>
      <c r="M242" s="99" t="s">
        <v>93</v>
      </c>
      <c r="N242" s="99" t="s">
        <v>92</v>
      </c>
      <c r="O242" s="99" t="s">
        <v>92</v>
      </c>
      <c r="P242" s="99" t="s">
        <v>95</v>
      </c>
      <c r="Q242" s="99" t="s">
        <v>114</v>
      </c>
      <c r="R242" s="197" t="s">
        <v>5902</v>
      </c>
      <c r="S242" s="197" t="s">
        <v>93</v>
      </c>
      <c r="T242" s="197" t="s">
        <v>93</v>
      </c>
      <c r="U242" s="99" t="s">
        <v>93</v>
      </c>
      <c r="V242" s="99" t="s">
        <v>92</v>
      </c>
      <c r="W242" s="99" t="s">
        <v>92</v>
      </c>
      <c r="X242" s="99" t="s">
        <v>92</v>
      </c>
      <c r="Y242" s="99" t="s">
        <v>93</v>
      </c>
      <c r="Z242" s="99" t="s">
        <v>92</v>
      </c>
      <c r="AA242" s="197" t="s">
        <v>93</v>
      </c>
      <c r="AB242" s="197" t="s">
        <v>2740</v>
      </c>
      <c r="AC242" s="197"/>
      <c r="AD242" s="197"/>
      <c r="AE242" s="197" t="s">
        <v>93</v>
      </c>
      <c r="AF242" s="99" t="s">
        <v>8016</v>
      </c>
      <c r="AG242" s="197" t="s">
        <v>5902</v>
      </c>
      <c r="AH242" s="197"/>
      <c r="AI242" s="479" t="s">
        <v>92</v>
      </c>
      <c r="AJ242" s="99" t="s">
        <v>3410</v>
      </c>
      <c r="AK242" s="99" t="s">
        <v>92</v>
      </c>
      <c r="AL242" s="99" t="s">
        <v>92</v>
      </c>
      <c r="AM242" s="99" t="s">
        <v>92</v>
      </c>
      <c r="AN242" s="99" t="s">
        <v>92</v>
      </c>
      <c r="AO242" s="99" t="s">
        <v>92</v>
      </c>
      <c r="AP242" s="99" t="s">
        <v>93</v>
      </c>
      <c r="AQ242" s="99" t="s">
        <v>92</v>
      </c>
      <c r="AR242" s="99" t="s">
        <v>6942</v>
      </c>
      <c r="AS242" s="99" t="s">
        <v>3520</v>
      </c>
      <c r="AT242" s="99" t="s">
        <v>3451</v>
      </c>
      <c r="AU242" s="99" t="s">
        <v>92</v>
      </c>
      <c r="AV242" s="99" t="s">
        <v>92</v>
      </c>
      <c r="AW242" s="99" t="s">
        <v>92</v>
      </c>
      <c r="AX242" s="99" t="s">
        <v>93</v>
      </c>
      <c r="AY242" s="99" t="s">
        <v>92</v>
      </c>
      <c r="AZ242" s="460" t="s">
        <v>92</v>
      </c>
      <c r="BA242" s="460" t="s">
        <v>93</v>
      </c>
      <c r="BB242" s="460" t="s">
        <v>92</v>
      </c>
      <c r="BC242" s="460" t="s">
        <v>92</v>
      </c>
      <c r="BD242" s="460" t="s">
        <v>92</v>
      </c>
      <c r="BE242" s="460" t="s">
        <v>92</v>
      </c>
      <c r="BF242" s="460" t="s">
        <v>92</v>
      </c>
      <c r="BG242" s="460"/>
      <c r="BH242" s="460"/>
      <c r="BI242" s="460" t="s">
        <v>92</v>
      </c>
      <c r="BJ242" s="460" t="s">
        <v>92</v>
      </c>
      <c r="BK242" s="460" t="s">
        <v>93</v>
      </c>
      <c r="BL242" s="460"/>
      <c r="BM242" s="213" t="s">
        <v>7984</v>
      </c>
      <c r="BN242" s="213" t="s">
        <v>8017</v>
      </c>
      <c r="BO242" s="213" t="s">
        <v>8018</v>
      </c>
      <c r="BP242" s="470"/>
      <c r="BQ242" s="99"/>
      <c r="BR242" s="99"/>
    </row>
    <row r="243" ht="15.75" customHeight="1">
      <c r="A243" s="99"/>
      <c r="B243" s="99" t="s">
        <v>7978</v>
      </c>
      <c r="C243" s="99"/>
      <c r="D243" s="99" t="s">
        <v>2735</v>
      </c>
      <c r="E243" s="99" t="s">
        <v>90</v>
      </c>
      <c r="F243" s="99" t="s">
        <v>8019</v>
      </c>
      <c r="G243" s="99" t="s">
        <v>3344</v>
      </c>
      <c r="H243" s="99" t="s">
        <v>95</v>
      </c>
      <c r="I243" s="99" t="s">
        <v>3202</v>
      </c>
      <c r="J243" s="99" t="s">
        <v>92</v>
      </c>
      <c r="K243" s="197" t="s">
        <v>105</v>
      </c>
      <c r="L243" s="99" t="s">
        <v>92</v>
      </c>
      <c r="M243" s="99" t="s">
        <v>93</v>
      </c>
      <c r="N243" s="99" t="s">
        <v>92</v>
      </c>
      <c r="O243" s="99" t="s">
        <v>92</v>
      </c>
      <c r="P243" s="99" t="s">
        <v>105</v>
      </c>
      <c r="Q243" s="99" t="s">
        <v>105</v>
      </c>
      <c r="R243" s="197" t="s">
        <v>5902</v>
      </c>
      <c r="S243" s="197" t="s">
        <v>93</v>
      </c>
      <c r="T243" s="197" t="s">
        <v>93</v>
      </c>
      <c r="U243" s="99" t="s">
        <v>93</v>
      </c>
      <c r="V243" s="99" t="s">
        <v>92</v>
      </c>
      <c r="W243" s="99" t="s">
        <v>92</v>
      </c>
      <c r="X243" s="99" t="s">
        <v>92</v>
      </c>
      <c r="Y243" s="99" t="s">
        <v>93</v>
      </c>
      <c r="Z243" s="99" t="s">
        <v>92</v>
      </c>
      <c r="AA243" s="197" t="s">
        <v>93</v>
      </c>
      <c r="AB243" s="197" t="s">
        <v>2740</v>
      </c>
      <c r="AC243" s="197"/>
      <c r="AD243" s="197"/>
      <c r="AE243" s="197" t="s">
        <v>92</v>
      </c>
      <c r="AF243" s="99" t="s">
        <v>105</v>
      </c>
      <c r="AG243" s="197" t="s">
        <v>105</v>
      </c>
      <c r="AH243" s="197"/>
      <c r="AI243" s="479" t="s">
        <v>105</v>
      </c>
      <c r="AJ243" s="99" t="s">
        <v>3344</v>
      </c>
      <c r="AK243" s="99" t="s">
        <v>93</v>
      </c>
      <c r="AL243" s="99" t="s">
        <v>92</v>
      </c>
      <c r="AM243" s="99" t="s">
        <v>92</v>
      </c>
      <c r="AN243" s="99" t="s">
        <v>92</v>
      </c>
      <c r="AO243" s="99" t="s">
        <v>92</v>
      </c>
      <c r="AP243" s="99" t="s">
        <v>92</v>
      </c>
      <c r="AQ243" s="99" t="s">
        <v>92</v>
      </c>
      <c r="AR243" s="99" t="s">
        <v>6942</v>
      </c>
      <c r="AS243" s="99" t="s">
        <v>6892</v>
      </c>
      <c r="AT243" s="99" t="s">
        <v>3449</v>
      </c>
      <c r="AU243" s="99" t="s">
        <v>92</v>
      </c>
      <c r="AV243" s="99" t="s">
        <v>93</v>
      </c>
      <c r="AW243" s="99" t="s">
        <v>92</v>
      </c>
      <c r="AX243" s="99" t="s">
        <v>92</v>
      </c>
      <c r="AY243" s="99" t="s">
        <v>92</v>
      </c>
      <c r="AZ243" s="460" t="s">
        <v>92</v>
      </c>
      <c r="BA243" s="460" t="s">
        <v>92</v>
      </c>
      <c r="BB243" s="460" t="s">
        <v>92</v>
      </c>
      <c r="BC243" s="460" t="s">
        <v>93</v>
      </c>
      <c r="BD243" s="460" t="s">
        <v>92</v>
      </c>
      <c r="BE243" s="460" t="s">
        <v>92</v>
      </c>
      <c r="BF243" s="460" t="s">
        <v>92</v>
      </c>
      <c r="BG243" s="460"/>
      <c r="BH243" s="460"/>
      <c r="BI243" s="460" t="s">
        <v>92</v>
      </c>
      <c r="BJ243" s="460" t="s">
        <v>92</v>
      </c>
      <c r="BK243" s="460" t="s">
        <v>105</v>
      </c>
      <c r="BL243" s="460"/>
      <c r="BM243" s="213" t="s">
        <v>7984</v>
      </c>
      <c r="BN243" s="470"/>
      <c r="BO243" s="470"/>
      <c r="BP243" s="470"/>
      <c r="BQ243" s="99"/>
      <c r="BR243" s="99"/>
    </row>
    <row r="244" ht="15.75" customHeight="1">
      <c r="A244" s="99"/>
      <c r="B244" s="99" t="s">
        <v>7978</v>
      </c>
      <c r="C244" s="99"/>
      <c r="D244" s="99" t="s">
        <v>2862</v>
      </c>
      <c r="E244" s="99" t="s">
        <v>90</v>
      </c>
      <c r="F244" s="99" t="s">
        <v>8020</v>
      </c>
      <c r="G244" s="99" t="s">
        <v>3345</v>
      </c>
      <c r="H244" s="99" t="s">
        <v>95</v>
      </c>
      <c r="I244" s="99" t="s">
        <v>3202</v>
      </c>
      <c r="J244" s="99" t="s">
        <v>92</v>
      </c>
      <c r="K244" s="197">
        <v>2022.0</v>
      </c>
      <c r="L244" s="99" t="s">
        <v>92</v>
      </c>
      <c r="M244" s="99" t="s">
        <v>92</v>
      </c>
      <c r="N244" s="99" t="s">
        <v>93</v>
      </c>
      <c r="O244" s="99" t="s">
        <v>105</v>
      </c>
      <c r="P244" s="99" t="s">
        <v>95</v>
      </c>
      <c r="Q244" s="99" t="s">
        <v>114</v>
      </c>
      <c r="R244" s="197" t="s">
        <v>5902</v>
      </c>
      <c r="S244" s="197" t="s">
        <v>93</v>
      </c>
      <c r="T244" s="197" t="s">
        <v>93</v>
      </c>
      <c r="U244" s="99" t="s">
        <v>93</v>
      </c>
      <c r="V244" s="99" t="s">
        <v>92</v>
      </c>
      <c r="W244" s="99" t="s">
        <v>92</v>
      </c>
      <c r="X244" s="99" t="s">
        <v>92</v>
      </c>
      <c r="Y244" s="99" t="s">
        <v>93</v>
      </c>
      <c r="Z244" s="99" t="s">
        <v>92</v>
      </c>
      <c r="AA244" s="197" t="s">
        <v>93</v>
      </c>
      <c r="AB244" s="197" t="s">
        <v>2740</v>
      </c>
      <c r="AC244" s="197"/>
      <c r="AD244" s="197"/>
      <c r="AE244" s="197" t="s">
        <v>93</v>
      </c>
      <c r="AF244" s="99" t="s">
        <v>8021</v>
      </c>
      <c r="AG244" s="197" t="s">
        <v>6982</v>
      </c>
      <c r="AH244" s="197"/>
      <c r="AI244" s="479" t="s">
        <v>93</v>
      </c>
      <c r="AJ244" s="99" t="s">
        <v>3410</v>
      </c>
      <c r="AK244" s="99" t="s">
        <v>92</v>
      </c>
      <c r="AL244" s="99" t="s">
        <v>92</v>
      </c>
      <c r="AM244" s="99" t="s">
        <v>92</v>
      </c>
      <c r="AN244" s="99" t="s">
        <v>92</v>
      </c>
      <c r="AO244" s="99" t="s">
        <v>92</v>
      </c>
      <c r="AP244" s="99" t="s">
        <v>93</v>
      </c>
      <c r="AQ244" s="99" t="s">
        <v>92</v>
      </c>
      <c r="AR244" s="99" t="s">
        <v>6942</v>
      </c>
      <c r="AS244" s="99" t="s">
        <v>3520</v>
      </c>
      <c r="AT244" s="99" t="s">
        <v>3451</v>
      </c>
      <c r="AU244" s="99" t="s">
        <v>92</v>
      </c>
      <c r="AV244" s="99" t="s">
        <v>92</v>
      </c>
      <c r="AW244" s="99" t="s">
        <v>92</v>
      </c>
      <c r="AX244" s="99" t="s">
        <v>93</v>
      </c>
      <c r="AY244" s="99" t="s">
        <v>92</v>
      </c>
      <c r="AZ244" s="460" t="s">
        <v>92</v>
      </c>
      <c r="BA244" s="460" t="s">
        <v>93</v>
      </c>
      <c r="BB244" s="460" t="s">
        <v>92</v>
      </c>
      <c r="BC244" s="460" t="s">
        <v>92</v>
      </c>
      <c r="BD244" s="460" t="s">
        <v>92</v>
      </c>
      <c r="BE244" s="460" t="s">
        <v>92</v>
      </c>
      <c r="BF244" s="460" t="s">
        <v>92</v>
      </c>
      <c r="BG244" s="460"/>
      <c r="BH244" s="460"/>
      <c r="BI244" s="460" t="s">
        <v>92</v>
      </c>
      <c r="BJ244" s="460" t="s">
        <v>92</v>
      </c>
      <c r="BK244" s="460" t="s">
        <v>93</v>
      </c>
      <c r="BL244" s="460"/>
      <c r="BM244" s="213" t="s">
        <v>7985</v>
      </c>
      <c r="BN244" s="213" t="s">
        <v>8022</v>
      </c>
      <c r="BO244" s="213" t="s">
        <v>8023</v>
      </c>
      <c r="BP244" s="470"/>
      <c r="BQ244" s="99"/>
      <c r="BR244" s="99"/>
    </row>
    <row r="245" ht="15.75" customHeight="1">
      <c r="A245" s="99"/>
      <c r="B245" s="99" t="s">
        <v>7978</v>
      </c>
      <c r="C245" s="99"/>
      <c r="D245" s="99" t="s">
        <v>8024</v>
      </c>
      <c r="E245" s="99" t="s">
        <v>189</v>
      </c>
      <c r="F245" s="99" t="s">
        <v>8025</v>
      </c>
      <c r="G245" s="99" t="s">
        <v>3346</v>
      </c>
      <c r="H245" s="99" t="s">
        <v>95</v>
      </c>
      <c r="I245" s="99" t="s">
        <v>94</v>
      </c>
      <c r="J245" s="99" t="s">
        <v>92</v>
      </c>
      <c r="K245" s="197">
        <v>2022.0</v>
      </c>
      <c r="L245" s="99" t="s">
        <v>92</v>
      </c>
      <c r="M245" s="99" t="s">
        <v>92</v>
      </c>
      <c r="N245" s="99" t="s">
        <v>93</v>
      </c>
      <c r="O245" s="99" t="s">
        <v>92</v>
      </c>
      <c r="P245" s="99">
        <v>2022.0</v>
      </c>
      <c r="Q245" s="99" t="s">
        <v>96</v>
      </c>
      <c r="R245" s="197" t="s">
        <v>5902</v>
      </c>
      <c r="S245" s="197" t="s">
        <v>93</v>
      </c>
      <c r="T245" s="197" t="s">
        <v>93</v>
      </c>
      <c r="U245" s="99" t="s">
        <v>93</v>
      </c>
      <c r="V245" s="99" t="s">
        <v>92</v>
      </c>
      <c r="W245" s="99" t="s">
        <v>92</v>
      </c>
      <c r="X245" s="99" t="s">
        <v>92</v>
      </c>
      <c r="Y245" s="99" t="s">
        <v>93</v>
      </c>
      <c r="Z245" s="99" t="s">
        <v>92</v>
      </c>
      <c r="AA245" s="197" t="s">
        <v>93</v>
      </c>
      <c r="AB245" s="197" t="s">
        <v>2740</v>
      </c>
      <c r="AC245" s="197"/>
      <c r="AD245" s="197"/>
      <c r="AE245" s="197" t="s">
        <v>92</v>
      </c>
      <c r="AF245" s="99" t="s">
        <v>2848</v>
      </c>
      <c r="AG245" s="197" t="s">
        <v>6990</v>
      </c>
      <c r="AH245" s="197"/>
      <c r="AI245" s="479" t="s">
        <v>93</v>
      </c>
      <c r="AJ245" s="99" t="s">
        <v>3410</v>
      </c>
      <c r="AK245" s="99" t="s">
        <v>92</v>
      </c>
      <c r="AL245" s="99" t="s">
        <v>92</v>
      </c>
      <c r="AM245" s="99" t="s">
        <v>92</v>
      </c>
      <c r="AN245" s="99" t="s">
        <v>92</v>
      </c>
      <c r="AO245" s="99" t="s">
        <v>92</v>
      </c>
      <c r="AP245" s="99" t="s">
        <v>93</v>
      </c>
      <c r="AQ245" s="99" t="s">
        <v>92</v>
      </c>
      <c r="AR245" s="99" t="s">
        <v>6942</v>
      </c>
      <c r="AS245" s="99" t="s">
        <v>3893</v>
      </c>
      <c r="AT245" s="99" t="s">
        <v>3451</v>
      </c>
      <c r="AU245" s="99" t="s">
        <v>92</v>
      </c>
      <c r="AV245" s="99" t="s">
        <v>92</v>
      </c>
      <c r="AW245" s="99" t="s">
        <v>92</v>
      </c>
      <c r="AX245" s="99" t="s">
        <v>93</v>
      </c>
      <c r="AY245" s="99" t="s">
        <v>92</v>
      </c>
      <c r="AZ245" s="460" t="s">
        <v>93</v>
      </c>
      <c r="BA245" s="460" t="s">
        <v>92</v>
      </c>
      <c r="BB245" s="460" t="s">
        <v>92</v>
      </c>
      <c r="BC245" s="460" t="s">
        <v>92</v>
      </c>
      <c r="BD245" s="460" t="s">
        <v>92</v>
      </c>
      <c r="BE245" s="460" t="s">
        <v>92</v>
      </c>
      <c r="BF245" s="460" t="s">
        <v>92</v>
      </c>
      <c r="BG245" s="460"/>
      <c r="BH245" s="460"/>
      <c r="BI245" s="460" t="s">
        <v>92</v>
      </c>
      <c r="BJ245" s="460" t="s">
        <v>93</v>
      </c>
      <c r="BK245" s="460" t="s">
        <v>92</v>
      </c>
      <c r="BL245" s="460"/>
      <c r="BM245" s="213" t="s">
        <v>7985</v>
      </c>
      <c r="BN245" s="470"/>
      <c r="BO245" s="470"/>
      <c r="BP245" s="470"/>
      <c r="BQ245" s="99"/>
      <c r="BR245" s="99"/>
    </row>
    <row r="246" ht="15.75" customHeight="1">
      <c r="A246" s="99"/>
      <c r="B246" s="99" t="s">
        <v>7978</v>
      </c>
      <c r="C246" s="99"/>
      <c r="D246" s="99" t="s">
        <v>8026</v>
      </c>
      <c r="E246" s="99" t="s">
        <v>189</v>
      </c>
      <c r="F246" s="99" t="s">
        <v>8025</v>
      </c>
      <c r="G246" s="99" t="s">
        <v>3346</v>
      </c>
      <c r="H246" s="99" t="s">
        <v>95</v>
      </c>
      <c r="I246" s="99" t="s">
        <v>94</v>
      </c>
      <c r="J246" s="99" t="s">
        <v>92</v>
      </c>
      <c r="K246" s="197">
        <v>2022.0</v>
      </c>
      <c r="L246" s="99" t="s">
        <v>92</v>
      </c>
      <c r="M246" s="99" t="s">
        <v>92</v>
      </c>
      <c r="N246" s="99" t="s">
        <v>93</v>
      </c>
      <c r="O246" s="99" t="s">
        <v>92</v>
      </c>
      <c r="P246" s="99">
        <v>2022.0</v>
      </c>
      <c r="Q246" s="99" t="s">
        <v>96</v>
      </c>
      <c r="R246" s="197" t="s">
        <v>5902</v>
      </c>
      <c r="S246" s="197" t="s">
        <v>93</v>
      </c>
      <c r="T246" s="197" t="s">
        <v>93</v>
      </c>
      <c r="U246" s="99" t="s">
        <v>93</v>
      </c>
      <c r="V246" s="99" t="s">
        <v>92</v>
      </c>
      <c r="W246" s="99" t="s">
        <v>92</v>
      </c>
      <c r="X246" s="99" t="s">
        <v>92</v>
      </c>
      <c r="Y246" s="99" t="s">
        <v>93</v>
      </c>
      <c r="Z246" s="99" t="s">
        <v>92</v>
      </c>
      <c r="AA246" s="197" t="s">
        <v>93</v>
      </c>
      <c r="AB246" s="197" t="s">
        <v>2740</v>
      </c>
      <c r="AC246" s="197"/>
      <c r="AD246" s="197"/>
      <c r="AE246" s="197" t="s">
        <v>92</v>
      </c>
      <c r="AF246" s="99" t="s">
        <v>2848</v>
      </c>
      <c r="AG246" s="197" t="s">
        <v>6990</v>
      </c>
      <c r="AH246" s="197"/>
      <c r="AI246" s="479" t="s">
        <v>93</v>
      </c>
      <c r="AJ246" s="99" t="s">
        <v>3410</v>
      </c>
      <c r="AK246" s="99" t="s">
        <v>92</v>
      </c>
      <c r="AL246" s="99" t="s">
        <v>92</v>
      </c>
      <c r="AM246" s="99" t="s">
        <v>92</v>
      </c>
      <c r="AN246" s="99" t="s">
        <v>92</v>
      </c>
      <c r="AO246" s="99" t="s">
        <v>92</v>
      </c>
      <c r="AP246" s="99" t="s">
        <v>93</v>
      </c>
      <c r="AQ246" s="99" t="s">
        <v>92</v>
      </c>
      <c r="AR246" s="99" t="s">
        <v>6942</v>
      </c>
      <c r="AS246" s="99" t="s">
        <v>6892</v>
      </c>
      <c r="AT246" s="99" t="s">
        <v>3449</v>
      </c>
      <c r="AU246" s="99" t="s">
        <v>92</v>
      </c>
      <c r="AV246" s="99" t="s">
        <v>93</v>
      </c>
      <c r="AW246" s="99" t="s">
        <v>92</v>
      </c>
      <c r="AX246" s="99" t="s">
        <v>92</v>
      </c>
      <c r="AY246" s="99" t="s">
        <v>92</v>
      </c>
      <c r="AZ246" s="460" t="s">
        <v>93</v>
      </c>
      <c r="BA246" s="460" t="s">
        <v>92</v>
      </c>
      <c r="BB246" s="460" t="s">
        <v>92</v>
      </c>
      <c r="BC246" s="460" t="s">
        <v>92</v>
      </c>
      <c r="BD246" s="460" t="s">
        <v>92</v>
      </c>
      <c r="BE246" s="460" t="s">
        <v>92</v>
      </c>
      <c r="BF246" s="460" t="s">
        <v>92</v>
      </c>
      <c r="BG246" s="460"/>
      <c r="BH246" s="460"/>
      <c r="BI246" s="460" t="s">
        <v>92</v>
      </c>
      <c r="BJ246" s="460" t="s">
        <v>93</v>
      </c>
      <c r="BK246" s="460" t="s">
        <v>92</v>
      </c>
      <c r="BL246" s="460"/>
      <c r="BM246" s="213" t="s">
        <v>7985</v>
      </c>
      <c r="BN246" s="470"/>
      <c r="BO246" s="470"/>
      <c r="BP246" s="470"/>
      <c r="BQ246" s="99"/>
      <c r="BR246" s="99"/>
    </row>
    <row r="247" ht="15.75" customHeight="1">
      <c r="A247" s="99"/>
      <c r="B247" s="475"/>
      <c r="C247" s="99"/>
      <c r="G247" s="99"/>
      <c r="H247" s="99"/>
      <c r="I247" s="99"/>
      <c r="J247" s="99"/>
      <c r="K247" s="197"/>
      <c r="L247" s="99"/>
      <c r="M247" s="99"/>
      <c r="N247" s="99"/>
      <c r="O247" s="99"/>
      <c r="P247" s="99"/>
      <c r="Q247" s="99"/>
      <c r="R247" s="475"/>
      <c r="S247" s="197"/>
      <c r="T247" s="197"/>
      <c r="U247" s="99"/>
      <c r="V247" s="99"/>
      <c r="W247" s="99"/>
      <c r="X247" s="99"/>
      <c r="Y247" s="99"/>
      <c r="Z247" s="99"/>
      <c r="AA247" s="197"/>
      <c r="AB247" s="197"/>
      <c r="AC247" s="197"/>
      <c r="AD247" s="197"/>
      <c r="AE247" s="197"/>
      <c r="AF247" s="99"/>
      <c r="AG247" s="197"/>
      <c r="AH247" s="197"/>
      <c r="AI247" s="479"/>
      <c r="AJ247" s="99"/>
      <c r="AK247" s="99"/>
      <c r="AL247" s="99"/>
      <c r="AM247" s="99"/>
      <c r="AN247" s="99"/>
      <c r="AO247" s="99"/>
      <c r="AP247" s="99"/>
      <c r="AQ247" s="99"/>
      <c r="AR247" s="99"/>
      <c r="AS247" s="99"/>
      <c r="AT247" s="99"/>
      <c r="AU247" s="99"/>
      <c r="AV247" s="99"/>
      <c r="AW247" s="99"/>
      <c r="AX247" s="99"/>
      <c r="AY247" s="99"/>
      <c r="AZ247" s="460"/>
      <c r="BA247" s="460"/>
      <c r="BB247" s="460"/>
      <c r="BC247" s="460"/>
      <c r="BD247" s="460"/>
      <c r="BE247" s="460"/>
      <c r="BF247" s="460"/>
      <c r="BG247" s="460"/>
      <c r="BH247" s="460"/>
      <c r="BI247" s="460"/>
      <c r="BJ247" s="460"/>
      <c r="BK247" s="460"/>
      <c r="BL247" s="460"/>
      <c r="BM247" s="470"/>
      <c r="BN247" s="470"/>
      <c r="BO247" s="470"/>
      <c r="BP247" s="470"/>
      <c r="BQ247" s="99"/>
      <c r="BR247" s="99"/>
    </row>
    <row r="248" ht="15.75" customHeight="1">
      <c r="A248" s="99"/>
      <c r="B248" s="475"/>
      <c r="C248" s="99"/>
      <c r="D248" s="99"/>
      <c r="E248" s="99"/>
      <c r="F248" s="99"/>
      <c r="G248" s="99"/>
      <c r="H248" s="99"/>
      <c r="I248" s="99"/>
      <c r="J248" s="99"/>
      <c r="K248" s="197"/>
      <c r="L248" s="99"/>
      <c r="M248" s="99"/>
      <c r="N248" s="99"/>
      <c r="O248" s="99"/>
      <c r="P248" s="99"/>
      <c r="Q248" s="99"/>
      <c r="R248" s="475"/>
      <c r="S248" s="197"/>
      <c r="T248" s="197"/>
      <c r="U248" s="99"/>
      <c r="V248" s="99"/>
      <c r="W248" s="99"/>
      <c r="X248" s="99"/>
      <c r="Y248" s="99"/>
      <c r="Z248" s="99"/>
      <c r="AA248" s="197"/>
      <c r="AB248" s="197"/>
      <c r="AC248" s="197"/>
      <c r="AD248" s="197"/>
      <c r="AE248" s="197"/>
      <c r="AF248" s="99"/>
      <c r="AG248" s="197"/>
      <c r="AH248" s="197"/>
      <c r="AI248" s="479"/>
      <c r="AJ248" s="99"/>
      <c r="AK248" s="99"/>
      <c r="AL248" s="99"/>
      <c r="AM248" s="99"/>
      <c r="AN248" s="99"/>
      <c r="AO248" s="99"/>
      <c r="AP248" s="99"/>
      <c r="AQ248" s="99"/>
      <c r="AR248" s="99"/>
      <c r="AS248" s="99"/>
      <c r="AT248" s="99"/>
      <c r="AU248" s="99"/>
      <c r="AV248" s="99"/>
      <c r="AW248" s="99"/>
      <c r="AX248" s="99"/>
      <c r="AY248" s="99"/>
      <c r="AZ248" s="460"/>
      <c r="BA248" s="460"/>
      <c r="BB248" s="460"/>
      <c r="BC248" s="460"/>
      <c r="BD248" s="460"/>
      <c r="BE248" s="460"/>
      <c r="BF248" s="460"/>
      <c r="BG248" s="460"/>
      <c r="BH248" s="460"/>
      <c r="BI248" s="460"/>
      <c r="BJ248" s="460"/>
      <c r="BK248" s="460"/>
      <c r="BL248" s="460"/>
      <c r="BM248" s="470"/>
      <c r="BN248" s="470"/>
      <c r="BO248" s="470"/>
      <c r="BP248" s="470"/>
      <c r="BQ248" s="99"/>
      <c r="BR248" s="99"/>
    </row>
    <row r="249" ht="15.75" customHeight="1">
      <c r="A249" s="99"/>
      <c r="B249" s="475"/>
      <c r="C249" s="99"/>
      <c r="D249" s="99"/>
      <c r="E249" s="99"/>
      <c r="F249" s="99"/>
      <c r="G249" s="99"/>
      <c r="H249" s="99"/>
      <c r="I249" s="99"/>
      <c r="J249" s="99"/>
      <c r="K249" s="197"/>
      <c r="L249" s="99"/>
      <c r="M249" s="99"/>
      <c r="N249" s="99"/>
      <c r="O249" s="99"/>
      <c r="P249" s="99"/>
      <c r="Q249" s="99"/>
      <c r="R249" s="475"/>
      <c r="S249" s="197"/>
      <c r="T249" s="197"/>
      <c r="U249" s="99"/>
      <c r="V249" s="99"/>
      <c r="W249" s="99"/>
      <c r="X249" s="99"/>
      <c r="Y249" s="99"/>
      <c r="Z249" s="99"/>
      <c r="AA249" s="197"/>
      <c r="AB249" s="197"/>
      <c r="AC249" s="197"/>
      <c r="AD249" s="197"/>
      <c r="AE249" s="197"/>
      <c r="AF249" s="99"/>
      <c r="AG249" s="197"/>
      <c r="AH249" s="197"/>
      <c r="AI249" s="479"/>
      <c r="AJ249" s="99"/>
      <c r="AK249" s="99"/>
      <c r="AL249" s="99"/>
      <c r="AM249" s="99"/>
      <c r="AN249" s="99"/>
      <c r="AO249" s="99"/>
      <c r="AP249" s="99"/>
      <c r="AQ249" s="99"/>
      <c r="AR249" s="99"/>
      <c r="AS249" s="99"/>
      <c r="AT249" s="99"/>
      <c r="AU249" s="99"/>
      <c r="AV249" s="99"/>
      <c r="AW249" s="99"/>
      <c r="AX249" s="99"/>
      <c r="AY249" s="99"/>
      <c r="AZ249" s="460"/>
      <c r="BA249" s="460"/>
      <c r="BB249" s="460"/>
      <c r="BC249" s="460"/>
      <c r="BD249" s="460"/>
      <c r="BE249" s="460"/>
      <c r="BF249" s="460"/>
      <c r="BG249" s="460"/>
      <c r="BH249" s="460"/>
      <c r="BI249" s="460"/>
      <c r="BJ249" s="460"/>
      <c r="BK249" s="460"/>
      <c r="BL249" s="460"/>
      <c r="BM249" s="470"/>
      <c r="BN249" s="470"/>
      <c r="BO249" s="470"/>
      <c r="BP249" s="470"/>
      <c r="BQ249" s="99"/>
      <c r="BR249" s="99"/>
    </row>
    <row r="250" ht="15.75" customHeight="1">
      <c r="A250" s="99"/>
      <c r="B250" s="475"/>
      <c r="C250" s="99"/>
      <c r="D250" s="99"/>
      <c r="E250" s="99"/>
      <c r="F250" s="99"/>
      <c r="G250" s="99"/>
      <c r="H250" s="99"/>
      <c r="I250" s="99"/>
      <c r="J250" s="99"/>
      <c r="K250" s="197"/>
      <c r="L250" s="99"/>
      <c r="M250" s="99"/>
      <c r="N250" s="99"/>
      <c r="O250" s="99"/>
      <c r="P250" s="99"/>
      <c r="Q250" s="99"/>
      <c r="R250" s="475"/>
      <c r="S250" s="197"/>
      <c r="T250" s="197"/>
      <c r="U250" s="99"/>
      <c r="V250" s="99"/>
      <c r="W250" s="99"/>
      <c r="X250" s="99"/>
      <c r="Y250" s="99"/>
      <c r="Z250" s="99"/>
      <c r="AA250" s="197"/>
      <c r="AB250" s="197"/>
      <c r="AC250" s="197"/>
      <c r="AD250" s="197"/>
      <c r="AE250" s="197"/>
      <c r="AF250" s="99"/>
      <c r="AG250" s="197"/>
      <c r="AH250" s="197"/>
      <c r="AI250" s="479"/>
      <c r="AJ250" s="99"/>
      <c r="AK250" s="99"/>
      <c r="AL250" s="99"/>
      <c r="AM250" s="99"/>
      <c r="AN250" s="99"/>
      <c r="AO250" s="99"/>
      <c r="AP250" s="99"/>
      <c r="AQ250" s="99"/>
      <c r="AR250" s="99"/>
      <c r="AS250" s="99"/>
      <c r="AT250" s="99"/>
      <c r="AU250" s="99"/>
      <c r="AV250" s="99"/>
      <c r="AW250" s="99"/>
      <c r="AX250" s="99"/>
      <c r="AY250" s="99"/>
      <c r="AZ250" s="460"/>
      <c r="BA250" s="460"/>
      <c r="BB250" s="460"/>
      <c r="BC250" s="460"/>
      <c r="BD250" s="460"/>
      <c r="BE250" s="460"/>
      <c r="BF250" s="460"/>
      <c r="BG250" s="460"/>
      <c r="BH250" s="460"/>
      <c r="BI250" s="460"/>
      <c r="BJ250" s="460"/>
      <c r="BK250" s="460"/>
      <c r="BL250" s="460"/>
      <c r="BM250" s="470"/>
      <c r="BN250" s="470"/>
      <c r="BO250" s="470"/>
      <c r="BP250" s="470"/>
      <c r="BQ250" s="99"/>
      <c r="BR250" s="99"/>
    </row>
    <row r="251" ht="15.75" customHeight="1">
      <c r="A251" s="475"/>
      <c r="B251" s="475"/>
      <c r="C251" s="475"/>
      <c r="D251" s="475"/>
      <c r="E251" s="475"/>
      <c r="F251" s="99"/>
      <c r="G251" s="475"/>
      <c r="H251" s="475"/>
      <c r="I251" s="475"/>
      <c r="J251" s="475"/>
      <c r="K251" s="475"/>
      <c r="L251" s="475"/>
      <c r="M251" s="475"/>
      <c r="N251" s="475"/>
      <c r="O251" s="475"/>
      <c r="P251" s="475"/>
      <c r="Q251" s="475"/>
      <c r="R251" s="475"/>
      <c r="S251" s="475"/>
      <c r="T251" s="475"/>
      <c r="U251" s="475"/>
      <c r="V251" s="475"/>
      <c r="W251" s="475"/>
      <c r="X251" s="475"/>
      <c r="Y251" s="475"/>
      <c r="Z251" s="475"/>
      <c r="AA251" s="475"/>
      <c r="AB251" s="475"/>
      <c r="AC251" s="475"/>
      <c r="AD251" s="475"/>
      <c r="AE251" s="475"/>
      <c r="AF251" s="475"/>
      <c r="AG251" s="475"/>
      <c r="AH251" s="475"/>
      <c r="AI251" s="459"/>
      <c r="AJ251" s="475"/>
      <c r="AK251" s="475"/>
      <c r="AL251" s="475"/>
      <c r="AM251" s="475"/>
      <c r="AN251" s="475"/>
      <c r="AO251" s="475"/>
      <c r="AP251" s="475"/>
      <c r="AQ251" s="475"/>
      <c r="AR251" s="475"/>
      <c r="AS251" s="475"/>
      <c r="AT251" s="475"/>
      <c r="AU251" s="475"/>
      <c r="AV251" s="475"/>
      <c r="AW251" s="475"/>
      <c r="AX251" s="475"/>
      <c r="AY251" s="475"/>
      <c r="AZ251" s="459"/>
      <c r="BA251" s="459"/>
      <c r="BB251" s="459"/>
      <c r="BC251" s="459"/>
      <c r="BD251" s="459"/>
      <c r="BE251" s="459"/>
      <c r="BF251" s="459"/>
      <c r="BG251" s="459"/>
      <c r="BH251" s="459"/>
      <c r="BI251" s="459"/>
      <c r="BJ251" s="459"/>
      <c r="BK251" s="459"/>
      <c r="BL251" s="459"/>
      <c r="BM251" s="474"/>
      <c r="BN251" s="474"/>
      <c r="BO251" s="474"/>
      <c r="BP251" s="474"/>
      <c r="BQ251" s="475"/>
      <c r="BR251" s="475"/>
    </row>
    <row r="252" ht="15.75" customHeight="1">
      <c r="A252" s="475"/>
      <c r="B252" s="475"/>
      <c r="C252" s="475"/>
      <c r="D252" s="475"/>
      <c r="E252" s="475"/>
      <c r="F252" s="99"/>
      <c r="G252" s="475"/>
      <c r="H252" s="475"/>
      <c r="I252" s="475"/>
      <c r="J252" s="475"/>
      <c r="K252" s="475"/>
      <c r="L252" s="475"/>
      <c r="M252" s="475"/>
      <c r="N252" s="475"/>
      <c r="O252" s="475"/>
      <c r="P252" s="475"/>
      <c r="Q252" s="475"/>
      <c r="R252" s="475"/>
      <c r="S252" s="475"/>
      <c r="T252" s="475"/>
      <c r="U252" s="475"/>
      <c r="V252" s="475"/>
      <c r="W252" s="475"/>
      <c r="X252" s="475"/>
      <c r="Y252" s="475"/>
      <c r="Z252" s="475"/>
      <c r="AA252" s="475"/>
      <c r="AB252" s="475"/>
      <c r="AC252" s="475"/>
      <c r="AD252" s="475"/>
      <c r="AE252" s="475"/>
      <c r="AF252" s="475"/>
      <c r="AG252" s="475"/>
      <c r="AH252" s="475"/>
      <c r="AI252" s="459"/>
      <c r="AJ252" s="475"/>
      <c r="AK252" s="475"/>
      <c r="AL252" s="475"/>
      <c r="AM252" s="475"/>
      <c r="AN252" s="475"/>
      <c r="AO252" s="475"/>
      <c r="AP252" s="475"/>
      <c r="AQ252" s="475"/>
      <c r="AR252" s="475"/>
      <c r="AS252" s="475"/>
      <c r="AT252" s="475"/>
      <c r="AU252" s="475"/>
      <c r="AV252" s="475"/>
      <c r="AW252" s="475"/>
      <c r="AX252" s="475"/>
      <c r="AY252" s="475"/>
      <c r="AZ252" s="459"/>
      <c r="BA252" s="459"/>
      <c r="BB252" s="459"/>
      <c r="BC252" s="459"/>
      <c r="BD252" s="459"/>
      <c r="BE252" s="459"/>
      <c r="BF252" s="459"/>
      <c r="BG252" s="459"/>
      <c r="BH252" s="459"/>
      <c r="BI252" s="459"/>
      <c r="BJ252" s="459"/>
      <c r="BK252" s="459"/>
      <c r="BL252" s="459"/>
      <c r="BM252" s="474"/>
      <c r="BN252" s="474"/>
      <c r="BO252" s="474"/>
      <c r="BP252" s="474"/>
      <c r="BQ252" s="475"/>
      <c r="BR252" s="475"/>
    </row>
    <row r="253" ht="15.75" customHeight="1">
      <c r="A253" s="475"/>
      <c r="B253" s="475"/>
      <c r="C253" s="475"/>
      <c r="D253" s="475"/>
      <c r="E253" s="475"/>
      <c r="F253" s="99"/>
      <c r="G253" s="475"/>
      <c r="H253" s="475"/>
      <c r="I253" s="475"/>
      <c r="J253" s="475"/>
      <c r="K253" s="475"/>
      <c r="L253" s="475"/>
      <c r="M253" s="475"/>
      <c r="N253" s="475"/>
      <c r="O253" s="475"/>
      <c r="P253" s="475"/>
      <c r="Q253" s="475"/>
      <c r="R253" s="475"/>
      <c r="S253" s="475"/>
      <c r="T253" s="475"/>
      <c r="U253" s="475"/>
      <c r="V253" s="475"/>
      <c r="W253" s="475"/>
      <c r="X253" s="475"/>
      <c r="Y253" s="475"/>
      <c r="Z253" s="475"/>
      <c r="AA253" s="475"/>
      <c r="AB253" s="475"/>
      <c r="AC253" s="475"/>
      <c r="AD253" s="475"/>
      <c r="AE253" s="475"/>
      <c r="AF253" s="475"/>
      <c r="AG253" s="475"/>
      <c r="AH253" s="475"/>
      <c r="AI253" s="459"/>
      <c r="AJ253" s="475"/>
      <c r="AK253" s="475"/>
      <c r="AL253" s="475"/>
      <c r="AM253" s="475"/>
      <c r="AN253" s="475"/>
      <c r="AO253" s="475"/>
      <c r="AP253" s="475"/>
      <c r="AQ253" s="475"/>
      <c r="AR253" s="475"/>
      <c r="AS253" s="475"/>
      <c r="AT253" s="475"/>
      <c r="AU253" s="475"/>
      <c r="AV253" s="475"/>
      <c r="AW253" s="475"/>
      <c r="AX253" s="475"/>
      <c r="AY253" s="475"/>
      <c r="AZ253" s="459"/>
      <c r="BA253" s="459"/>
      <c r="BB253" s="459"/>
      <c r="BC253" s="459"/>
      <c r="BD253" s="459"/>
      <c r="BE253" s="459"/>
      <c r="BF253" s="459"/>
      <c r="BG253" s="459"/>
      <c r="BH253" s="459"/>
      <c r="BI253" s="459"/>
      <c r="BJ253" s="459"/>
      <c r="BK253" s="459"/>
      <c r="BL253" s="459"/>
      <c r="BM253" s="474"/>
      <c r="BN253" s="474"/>
      <c r="BO253" s="474"/>
      <c r="BP253" s="474"/>
      <c r="BQ253" s="475"/>
      <c r="BR253" s="475"/>
    </row>
    <row r="254" ht="15.75" customHeight="1">
      <c r="A254" s="475"/>
      <c r="B254" s="475"/>
      <c r="C254" s="475"/>
      <c r="D254" s="475"/>
      <c r="E254" s="475"/>
      <c r="F254" s="99"/>
      <c r="G254" s="475"/>
      <c r="H254" s="475"/>
      <c r="I254" s="475"/>
      <c r="J254" s="475"/>
      <c r="K254" s="475"/>
      <c r="L254" s="475"/>
      <c r="M254" s="475"/>
      <c r="N254" s="475"/>
      <c r="O254" s="475"/>
      <c r="P254" s="475"/>
      <c r="Q254" s="475"/>
      <c r="R254" s="475"/>
      <c r="S254" s="475"/>
      <c r="T254" s="475"/>
      <c r="U254" s="475"/>
      <c r="V254" s="475"/>
      <c r="W254" s="475"/>
      <c r="X254" s="475"/>
      <c r="Y254" s="475"/>
      <c r="Z254" s="475"/>
      <c r="AA254" s="475"/>
      <c r="AB254" s="475"/>
      <c r="AC254" s="475"/>
      <c r="AD254" s="475"/>
      <c r="AE254" s="475"/>
      <c r="AF254" s="475"/>
      <c r="AG254" s="475"/>
      <c r="AH254" s="475"/>
      <c r="AI254" s="459"/>
      <c r="AJ254" s="475"/>
      <c r="AK254" s="475"/>
      <c r="AL254" s="475"/>
      <c r="AM254" s="475"/>
      <c r="AN254" s="475"/>
      <c r="AO254" s="475"/>
      <c r="AP254" s="475"/>
      <c r="AQ254" s="475"/>
      <c r="AR254" s="475"/>
      <c r="AS254" s="475"/>
      <c r="AT254" s="475"/>
      <c r="AU254" s="475"/>
      <c r="AV254" s="475"/>
      <c r="AW254" s="475"/>
      <c r="AX254" s="475"/>
      <c r="AY254" s="475"/>
      <c r="AZ254" s="459"/>
      <c r="BA254" s="459"/>
      <c r="BB254" s="459"/>
      <c r="BC254" s="459"/>
      <c r="BD254" s="459"/>
      <c r="BE254" s="459"/>
      <c r="BF254" s="459"/>
      <c r="BG254" s="459"/>
      <c r="BH254" s="459"/>
      <c r="BI254" s="459"/>
      <c r="BJ254" s="459"/>
      <c r="BK254" s="459"/>
      <c r="BL254" s="459"/>
      <c r="BM254" s="474"/>
      <c r="BN254" s="474"/>
      <c r="BO254" s="474"/>
      <c r="BP254" s="474"/>
      <c r="BQ254" s="475"/>
      <c r="BR254" s="475"/>
    </row>
    <row r="255" ht="15.75" customHeight="1">
      <c r="A255" s="475"/>
      <c r="B255" s="475"/>
      <c r="C255" s="475"/>
      <c r="D255" s="475"/>
      <c r="E255" s="475"/>
      <c r="F255" s="99"/>
      <c r="G255" s="475"/>
      <c r="H255" s="475"/>
      <c r="I255" s="475"/>
      <c r="J255" s="475"/>
      <c r="K255" s="475"/>
      <c r="L255" s="475"/>
      <c r="M255" s="475"/>
      <c r="N255" s="475"/>
      <c r="O255" s="475"/>
      <c r="P255" s="475"/>
      <c r="Q255" s="475"/>
      <c r="R255" s="475"/>
      <c r="S255" s="475"/>
      <c r="T255" s="475"/>
      <c r="U255" s="475"/>
      <c r="V255" s="475"/>
      <c r="W255" s="475"/>
      <c r="X255" s="475"/>
      <c r="Y255" s="475"/>
      <c r="Z255" s="475"/>
      <c r="AA255" s="475"/>
      <c r="AB255" s="475"/>
      <c r="AC255" s="475"/>
      <c r="AD255" s="475"/>
      <c r="AE255" s="475"/>
      <c r="AF255" s="475"/>
      <c r="AG255" s="475"/>
      <c r="AH255" s="475"/>
      <c r="AI255" s="459"/>
      <c r="AJ255" s="475"/>
      <c r="AK255" s="475"/>
      <c r="AL255" s="475"/>
      <c r="AM255" s="475"/>
      <c r="AN255" s="475"/>
      <c r="AO255" s="475"/>
      <c r="AP255" s="475"/>
      <c r="AQ255" s="475"/>
      <c r="AR255" s="475"/>
      <c r="AS255" s="475"/>
      <c r="AT255" s="475"/>
      <c r="AU255" s="475"/>
      <c r="AV255" s="475"/>
      <c r="AW255" s="475"/>
      <c r="AX255" s="475"/>
      <c r="AY255" s="475"/>
      <c r="AZ255" s="459"/>
      <c r="BA255" s="459"/>
      <c r="BB255" s="459"/>
      <c r="BC255" s="459"/>
      <c r="BD255" s="459"/>
      <c r="BE255" s="459"/>
      <c r="BF255" s="459"/>
      <c r="BG255" s="459"/>
      <c r="BH255" s="459"/>
      <c r="BI255" s="459"/>
      <c r="BJ255" s="459"/>
      <c r="BK255" s="459"/>
      <c r="BL255" s="459"/>
      <c r="BM255" s="474"/>
      <c r="BN255" s="474"/>
      <c r="BO255" s="474"/>
      <c r="BP255" s="474"/>
      <c r="BQ255" s="475"/>
      <c r="BR255" s="475"/>
    </row>
    <row r="256" ht="15.75" customHeight="1">
      <c r="A256" s="475"/>
      <c r="B256" s="475"/>
      <c r="C256" s="475"/>
      <c r="D256" s="475"/>
      <c r="E256" s="475"/>
      <c r="F256" s="99"/>
      <c r="G256" s="475"/>
      <c r="H256" s="475"/>
      <c r="I256" s="475"/>
      <c r="J256" s="475"/>
      <c r="K256" s="475"/>
      <c r="L256" s="475"/>
      <c r="M256" s="475"/>
      <c r="N256" s="475"/>
      <c r="O256" s="475"/>
      <c r="P256" s="475"/>
      <c r="Q256" s="475"/>
      <c r="R256" s="475"/>
      <c r="S256" s="475"/>
      <c r="T256" s="475"/>
      <c r="U256" s="475"/>
      <c r="V256" s="475"/>
      <c r="W256" s="475"/>
      <c r="X256" s="475"/>
      <c r="Y256" s="475"/>
      <c r="Z256" s="475"/>
      <c r="AA256" s="475"/>
      <c r="AB256" s="475"/>
      <c r="AC256" s="475"/>
      <c r="AD256" s="475"/>
      <c r="AE256" s="475"/>
      <c r="AF256" s="475"/>
      <c r="AG256" s="475"/>
      <c r="AH256" s="475"/>
      <c r="AI256" s="459"/>
      <c r="AJ256" s="475"/>
      <c r="AK256" s="475"/>
      <c r="AL256" s="475"/>
      <c r="AM256" s="475"/>
      <c r="AN256" s="475"/>
      <c r="AO256" s="475"/>
      <c r="AP256" s="475"/>
      <c r="AQ256" s="475"/>
      <c r="AR256" s="475"/>
      <c r="AS256" s="475"/>
      <c r="AT256" s="475"/>
      <c r="AU256" s="475"/>
      <c r="AV256" s="475"/>
      <c r="AW256" s="475"/>
      <c r="AX256" s="475"/>
      <c r="AY256" s="475"/>
      <c r="AZ256" s="459"/>
      <c r="BA256" s="459"/>
      <c r="BB256" s="459"/>
      <c r="BC256" s="459"/>
      <c r="BD256" s="459"/>
      <c r="BE256" s="459"/>
      <c r="BF256" s="459"/>
      <c r="BG256" s="459"/>
      <c r="BH256" s="459"/>
      <c r="BI256" s="459"/>
      <c r="BJ256" s="459"/>
      <c r="BK256" s="459"/>
      <c r="BL256" s="459"/>
      <c r="BM256" s="474"/>
      <c r="BN256" s="474"/>
      <c r="BO256" s="474"/>
      <c r="BP256" s="474"/>
      <c r="BQ256" s="475"/>
      <c r="BR256" s="475"/>
    </row>
    <row r="257" ht="15.75" customHeight="1">
      <c r="A257" s="475"/>
      <c r="B257" s="475"/>
      <c r="C257" s="475"/>
      <c r="D257" s="475"/>
      <c r="E257" s="475"/>
      <c r="F257" s="99"/>
      <c r="G257" s="475"/>
      <c r="H257" s="475"/>
      <c r="I257" s="475"/>
      <c r="J257" s="475"/>
      <c r="K257" s="475"/>
      <c r="L257" s="475"/>
      <c r="M257" s="475"/>
      <c r="N257" s="475"/>
      <c r="O257" s="475"/>
      <c r="P257" s="475"/>
      <c r="Q257" s="475"/>
      <c r="R257" s="475"/>
      <c r="S257" s="475"/>
      <c r="T257" s="475"/>
      <c r="U257" s="475"/>
      <c r="V257" s="475"/>
      <c r="W257" s="475"/>
      <c r="X257" s="475"/>
      <c r="Y257" s="475"/>
      <c r="Z257" s="475"/>
      <c r="AA257" s="475"/>
      <c r="AB257" s="475"/>
      <c r="AC257" s="475"/>
      <c r="AD257" s="475"/>
      <c r="AE257" s="475"/>
      <c r="AF257" s="475"/>
      <c r="AG257" s="475"/>
      <c r="AH257" s="475"/>
      <c r="AI257" s="459"/>
      <c r="AJ257" s="475"/>
      <c r="AK257" s="475"/>
      <c r="AL257" s="475"/>
      <c r="AM257" s="475"/>
      <c r="AN257" s="475"/>
      <c r="AO257" s="475"/>
      <c r="AP257" s="475"/>
      <c r="AQ257" s="475"/>
      <c r="AR257" s="475"/>
      <c r="AS257" s="475"/>
      <c r="AT257" s="475"/>
      <c r="AU257" s="475"/>
      <c r="AV257" s="475"/>
      <c r="AW257" s="475"/>
      <c r="AX257" s="475"/>
      <c r="AY257" s="475"/>
      <c r="AZ257" s="459"/>
      <c r="BA257" s="459"/>
      <c r="BB257" s="459"/>
      <c r="BC257" s="459"/>
      <c r="BD257" s="459"/>
      <c r="BE257" s="459"/>
      <c r="BF257" s="459"/>
      <c r="BG257" s="459"/>
      <c r="BH257" s="459"/>
      <c r="BI257" s="459"/>
      <c r="BJ257" s="459"/>
      <c r="BK257" s="459"/>
      <c r="BL257" s="459"/>
      <c r="BM257" s="474"/>
      <c r="BN257" s="474"/>
      <c r="BO257" s="474"/>
      <c r="BP257" s="474"/>
      <c r="BQ257" s="475"/>
      <c r="BR257" s="475"/>
    </row>
    <row r="258" ht="15.75" customHeight="1">
      <c r="A258" s="475"/>
      <c r="B258" s="475"/>
      <c r="C258" s="475"/>
      <c r="D258" s="475"/>
      <c r="E258" s="475"/>
      <c r="F258" s="99"/>
      <c r="G258" s="475"/>
      <c r="H258" s="475"/>
      <c r="I258" s="475"/>
      <c r="J258" s="475"/>
      <c r="K258" s="475"/>
      <c r="L258" s="475"/>
      <c r="M258" s="475"/>
      <c r="N258" s="475"/>
      <c r="O258" s="475"/>
      <c r="P258" s="475"/>
      <c r="Q258" s="475"/>
      <c r="R258" s="475"/>
      <c r="S258" s="475"/>
      <c r="T258" s="475"/>
      <c r="U258" s="475"/>
      <c r="V258" s="475"/>
      <c r="W258" s="475"/>
      <c r="X258" s="475"/>
      <c r="Y258" s="475"/>
      <c r="Z258" s="475"/>
      <c r="AA258" s="475"/>
      <c r="AB258" s="475"/>
      <c r="AC258" s="475"/>
      <c r="AD258" s="475"/>
      <c r="AE258" s="475"/>
      <c r="AF258" s="475"/>
      <c r="AG258" s="475"/>
      <c r="AH258" s="475"/>
      <c r="AI258" s="459"/>
      <c r="AJ258" s="475"/>
      <c r="AK258" s="475"/>
      <c r="AL258" s="475"/>
      <c r="AM258" s="475"/>
      <c r="AN258" s="475"/>
      <c r="AO258" s="475"/>
      <c r="AP258" s="475"/>
      <c r="AQ258" s="475"/>
      <c r="AR258" s="475"/>
      <c r="AS258" s="475"/>
      <c r="AT258" s="475"/>
      <c r="AU258" s="475"/>
      <c r="AV258" s="475"/>
      <c r="AW258" s="475"/>
      <c r="AX258" s="475"/>
      <c r="AY258" s="475"/>
      <c r="AZ258" s="459"/>
      <c r="BA258" s="459"/>
      <c r="BB258" s="459"/>
      <c r="BC258" s="459"/>
      <c r="BD258" s="459"/>
      <c r="BE258" s="459"/>
      <c r="BF258" s="459"/>
      <c r="BG258" s="459"/>
      <c r="BH258" s="459"/>
      <c r="BI258" s="459"/>
      <c r="BJ258" s="459"/>
      <c r="BK258" s="459"/>
      <c r="BL258" s="459"/>
      <c r="BM258" s="474"/>
      <c r="BN258" s="474"/>
      <c r="BO258" s="474"/>
      <c r="BP258" s="474"/>
      <c r="BQ258" s="475"/>
      <c r="BR258" s="475"/>
    </row>
    <row r="259" ht="15.75" customHeight="1">
      <c r="A259" s="475"/>
      <c r="B259" s="475"/>
      <c r="C259" s="475"/>
      <c r="D259" s="475"/>
      <c r="E259" s="475"/>
      <c r="F259" s="99"/>
      <c r="G259" s="475"/>
      <c r="H259" s="475"/>
      <c r="I259" s="475"/>
      <c r="J259" s="475"/>
      <c r="K259" s="475"/>
      <c r="L259" s="475"/>
      <c r="M259" s="475"/>
      <c r="N259" s="475"/>
      <c r="O259" s="475"/>
      <c r="P259" s="475"/>
      <c r="Q259" s="475"/>
      <c r="R259" s="475"/>
      <c r="S259" s="475"/>
      <c r="T259" s="475"/>
      <c r="U259" s="475"/>
      <c r="V259" s="475"/>
      <c r="W259" s="475"/>
      <c r="X259" s="475"/>
      <c r="Y259" s="475"/>
      <c r="Z259" s="475"/>
      <c r="AA259" s="475"/>
      <c r="AB259" s="475"/>
      <c r="AC259" s="475"/>
      <c r="AD259" s="475"/>
      <c r="AE259" s="475"/>
      <c r="AF259" s="475"/>
      <c r="AG259" s="475"/>
      <c r="AH259" s="475"/>
      <c r="AI259" s="459"/>
      <c r="AJ259" s="475"/>
      <c r="AK259" s="475"/>
      <c r="AL259" s="475"/>
      <c r="AM259" s="475"/>
      <c r="AN259" s="475"/>
      <c r="AO259" s="475"/>
      <c r="AP259" s="475"/>
      <c r="AQ259" s="475"/>
      <c r="AR259" s="475"/>
      <c r="AS259" s="475"/>
      <c r="AT259" s="475"/>
      <c r="AU259" s="475"/>
      <c r="AV259" s="475"/>
      <c r="AW259" s="475"/>
      <c r="AX259" s="475"/>
      <c r="AY259" s="475"/>
      <c r="AZ259" s="459"/>
      <c r="BA259" s="459"/>
      <c r="BB259" s="459"/>
      <c r="BC259" s="459"/>
      <c r="BD259" s="459"/>
      <c r="BE259" s="459"/>
      <c r="BF259" s="459"/>
      <c r="BG259" s="459"/>
      <c r="BH259" s="459"/>
      <c r="BI259" s="459"/>
      <c r="BJ259" s="459"/>
      <c r="BK259" s="459"/>
      <c r="BL259" s="459"/>
      <c r="BM259" s="474"/>
      <c r="BN259" s="474"/>
      <c r="BO259" s="474"/>
      <c r="BP259" s="474"/>
      <c r="BQ259" s="475"/>
      <c r="BR259" s="475"/>
    </row>
    <row r="260" ht="15.75" customHeight="1">
      <c r="A260" s="475"/>
      <c r="B260" s="475"/>
      <c r="C260" s="475"/>
      <c r="D260" s="475"/>
      <c r="E260" s="475"/>
      <c r="F260" s="99"/>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c r="AC260" s="475"/>
      <c r="AD260" s="475"/>
      <c r="AE260" s="475"/>
      <c r="AF260" s="475"/>
      <c r="AG260" s="475"/>
      <c r="AH260" s="475"/>
      <c r="AI260" s="459"/>
      <c r="AJ260" s="475"/>
      <c r="AK260" s="475"/>
      <c r="AL260" s="475"/>
      <c r="AM260" s="475"/>
      <c r="AN260" s="475"/>
      <c r="AO260" s="475"/>
      <c r="AP260" s="475"/>
      <c r="AQ260" s="475"/>
      <c r="AR260" s="475"/>
      <c r="AS260" s="475"/>
      <c r="AT260" s="475"/>
      <c r="AU260" s="475"/>
      <c r="AV260" s="475"/>
      <c r="AW260" s="475"/>
      <c r="AX260" s="475"/>
      <c r="AY260" s="475"/>
      <c r="AZ260" s="459"/>
      <c r="BA260" s="459"/>
      <c r="BB260" s="459"/>
      <c r="BC260" s="459"/>
      <c r="BD260" s="459"/>
      <c r="BE260" s="459"/>
      <c r="BF260" s="459"/>
      <c r="BG260" s="459"/>
      <c r="BH260" s="459"/>
      <c r="BI260" s="459"/>
      <c r="BJ260" s="459"/>
      <c r="BK260" s="459"/>
      <c r="BL260" s="459"/>
      <c r="BM260" s="474"/>
      <c r="BN260" s="474"/>
      <c r="BO260" s="474"/>
      <c r="BP260" s="474"/>
      <c r="BQ260" s="475"/>
      <c r="BR260" s="475"/>
    </row>
    <row r="261" ht="15.75" customHeight="1">
      <c r="A261" s="475"/>
      <c r="B261" s="475"/>
      <c r="C261" s="475"/>
      <c r="D261" s="475"/>
      <c r="E261" s="475"/>
      <c r="F261" s="99"/>
      <c r="G261" s="475"/>
      <c r="H261" s="475"/>
      <c r="I261" s="475"/>
      <c r="J261" s="475"/>
      <c r="K261" s="475"/>
      <c r="L261" s="475"/>
      <c r="M261" s="475"/>
      <c r="N261" s="475"/>
      <c r="O261" s="475"/>
      <c r="P261" s="475"/>
      <c r="Q261" s="475"/>
      <c r="R261" s="475"/>
      <c r="S261" s="475"/>
      <c r="T261" s="475"/>
      <c r="U261" s="475"/>
      <c r="V261" s="475"/>
      <c r="W261" s="475"/>
      <c r="X261" s="475"/>
      <c r="Y261" s="475"/>
      <c r="Z261" s="475"/>
      <c r="AA261" s="475"/>
      <c r="AB261" s="475"/>
      <c r="AC261" s="475"/>
      <c r="AD261" s="475"/>
      <c r="AE261" s="475"/>
      <c r="AF261" s="475"/>
      <c r="AG261" s="475"/>
      <c r="AH261" s="475"/>
      <c r="AI261" s="459"/>
      <c r="AJ261" s="475"/>
      <c r="AK261" s="475"/>
      <c r="AL261" s="475"/>
      <c r="AM261" s="475"/>
      <c r="AN261" s="475"/>
      <c r="AO261" s="475"/>
      <c r="AP261" s="475"/>
      <c r="AQ261" s="475"/>
      <c r="AR261" s="475"/>
      <c r="AS261" s="475"/>
      <c r="AT261" s="475"/>
      <c r="AU261" s="475"/>
      <c r="AV261" s="475"/>
      <c r="AW261" s="475"/>
      <c r="AX261" s="475"/>
      <c r="AY261" s="475"/>
      <c r="AZ261" s="459"/>
      <c r="BA261" s="459"/>
      <c r="BB261" s="459"/>
      <c r="BC261" s="459"/>
      <c r="BD261" s="459"/>
      <c r="BE261" s="459"/>
      <c r="BF261" s="459"/>
      <c r="BG261" s="459"/>
      <c r="BH261" s="459"/>
      <c r="BI261" s="459"/>
      <c r="BJ261" s="459"/>
      <c r="BK261" s="459"/>
      <c r="BL261" s="459"/>
      <c r="BM261" s="474"/>
      <c r="BN261" s="474"/>
      <c r="BO261" s="474"/>
      <c r="BP261" s="474"/>
      <c r="BQ261" s="475"/>
      <c r="BR261" s="475"/>
    </row>
    <row r="262" ht="15.75" customHeight="1">
      <c r="A262" s="475"/>
      <c r="B262" s="475"/>
      <c r="C262" s="475"/>
      <c r="D262" s="475"/>
      <c r="E262" s="475"/>
      <c r="F262" s="99"/>
      <c r="G262" s="475"/>
      <c r="H262" s="475"/>
      <c r="I262" s="475"/>
      <c r="J262" s="475"/>
      <c r="K262" s="475"/>
      <c r="L262" s="475"/>
      <c r="M262" s="475"/>
      <c r="N262" s="475"/>
      <c r="O262" s="475"/>
      <c r="P262" s="475"/>
      <c r="Q262" s="475"/>
      <c r="R262" s="475"/>
      <c r="S262" s="475"/>
      <c r="T262" s="475"/>
      <c r="U262" s="475"/>
      <c r="V262" s="475"/>
      <c r="W262" s="475"/>
      <c r="X262" s="475"/>
      <c r="Y262" s="475"/>
      <c r="Z262" s="475"/>
      <c r="AA262" s="475"/>
      <c r="AB262" s="475"/>
      <c r="AC262" s="475"/>
      <c r="AD262" s="475"/>
      <c r="AE262" s="475"/>
      <c r="AF262" s="475"/>
      <c r="AG262" s="475"/>
      <c r="AH262" s="475"/>
      <c r="AI262" s="459"/>
      <c r="AJ262" s="475"/>
      <c r="AK262" s="475"/>
      <c r="AL262" s="475"/>
      <c r="AM262" s="475"/>
      <c r="AN262" s="475"/>
      <c r="AO262" s="475"/>
      <c r="AP262" s="475"/>
      <c r="AQ262" s="475"/>
      <c r="AR262" s="475"/>
      <c r="AS262" s="475"/>
      <c r="AT262" s="475"/>
      <c r="AU262" s="475"/>
      <c r="AV262" s="475"/>
      <c r="AW262" s="475"/>
      <c r="AX262" s="475"/>
      <c r="AY262" s="475"/>
      <c r="AZ262" s="459"/>
      <c r="BA262" s="459"/>
      <c r="BB262" s="459"/>
      <c r="BC262" s="459"/>
      <c r="BD262" s="459"/>
      <c r="BE262" s="459"/>
      <c r="BF262" s="459"/>
      <c r="BG262" s="459"/>
      <c r="BH262" s="459"/>
      <c r="BI262" s="459"/>
      <c r="BJ262" s="459"/>
      <c r="BK262" s="459"/>
      <c r="BL262" s="459"/>
      <c r="BM262" s="474"/>
      <c r="BN262" s="474"/>
      <c r="BO262" s="474"/>
      <c r="BP262" s="474"/>
      <c r="BQ262" s="475"/>
      <c r="BR262" s="475"/>
    </row>
    <row r="263" ht="15.75" customHeight="1">
      <c r="A263" s="475"/>
      <c r="B263" s="475"/>
      <c r="C263" s="475"/>
      <c r="D263" s="475"/>
      <c r="E263" s="475"/>
      <c r="F263" s="99"/>
      <c r="G263" s="475"/>
      <c r="H263" s="475"/>
      <c r="I263" s="475"/>
      <c r="J263" s="475"/>
      <c r="K263" s="475"/>
      <c r="L263" s="475"/>
      <c r="M263" s="475"/>
      <c r="N263" s="475"/>
      <c r="O263" s="475"/>
      <c r="P263" s="475"/>
      <c r="Q263" s="475"/>
      <c r="R263" s="475"/>
      <c r="S263" s="475"/>
      <c r="T263" s="475"/>
      <c r="U263" s="475"/>
      <c r="V263" s="475"/>
      <c r="W263" s="475"/>
      <c r="X263" s="475"/>
      <c r="Y263" s="475"/>
      <c r="Z263" s="475"/>
      <c r="AA263" s="475"/>
      <c r="AB263" s="475"/>
      <c r="AC263" s="475"/>
      <c r="AD263" s="475"/>
      <c r="AE263" s="475"/>
      <c r="AF263" s="475"/>
      <c r="AG263" s="475"/>
      <c r="AH263" s="475"/>
      <c r="AI263" s="459"/>
      <c r="AJ263" s="475"/>
      <c r="AK263" s="475"/>
      <c r="AL263" s="475"/>
      <c r="AM263" s="475"/>
      <c r="AN263" s="475"/>
      <c r="AO263" s="475"/>
      <c r="AP263" s="475"/>
      <c r="AQ263" s="475"/>
      <c r="AR263" s="475"/>
      <c r="AS263" s="475"/>
      <c r="AT263" s="475"/>
      <c r="AU263" s="475"/>
      <c r="AV263" s="475"/>
      <c r="AW263" s="475"/>
      <c r="AX263" s="475"/>
      <c r="AY263" s="475"/>
      <c r="AZ263" s="459"/>
      <c r="BA263" s="459"/>
      <c r="BB263" s="459"/>
      <c r="BC263" s="459"/>
      <c r="BD263" s="459"/>
      <c r="BE263" s="459"/>
      <c r="BF263" s="459"/>
      <c r="BG263" s="459"/>
      <c r="BH263" s="459"/>
      <c r="BI263" s="459"/>
      <c r="BJ263" s="459"/>
      <c r="BK263" s="459"/>
      <c r="BL263" s="459"/>
      <c r="BM263" s="474"/>
      <c r="BN263" s="474"/>
      <c r="BO263" s="474"/>
      <c r="BP263" s="474"/>
      <c r="BQ263" s="475"/>
      <c r="BR263" s="475"/>
    </row>
    <row r="264" ht="15.75" customHeight="1">
      <c r="A264" s="475"/>
      <c r="B264" s="475"/>
      <c r="C264" s="475"/>
      <c r="D264" s="475"/>
      <c r="E264" s="475"/>
      <c r="F264" s="99"/>
      <c r="G264" s="475"/>
      <c r="H264" s="475"/>
      <c r="I264" s="475"/>
      <c r="J264" s="475"/>
      <c r="K264" s="475"/>
      <c r="L264" s="475"/>
      <c r="M264" s="475"/>
      <c r="N264" s="475"/>
      <c r="O264" s="475"/>
      <c r="P264" s="475"/>
      <c r="Q264" s="475"/>
      <c r="R264" s="475"/>
      <c r="S264" s="475"/>
      <c r="T264" s="475"/>
      <c r="U264" s="475"/>
      <c r="V264" s="475"/>
      <c r="W264" s="475"/>
      <c r="X264" s="475"/>
      <c r="Y264" s="475"/>
      <c r="Z264" s="475"/>
      <c r="AA264" s="475"/>
      <c r="AB264" s="475"/>
      <c r="AC264" s="475"/>
      <c r="AD264" s="475"/>
      <c r="AE264" s="475"/>
      <c r="AF264" s="475"/>
      <c r="AG264" s="475"/>
      <c r="AH264" s="475"/>
      <c r="AI264" s="459"/>
      <c r="AJ264" s="475"/>
      <c r="AK264" s="475"/>
      <c r="AL264" s="475"/>
      <c r="AM264" s="475"/>
      <c r="AN264" s="475"/>
      <c r="AO264" s="475"/>
      <c r="AP264" s="475"/>
      <c r="AQ264" s="475"/>
      <c r="AR264" s="475"/>
      <c r="AS264" s="475"/>
      <c r="AT264" s="475"/>
      <c r="AU264" s="475"/>
      <c r="AV264" s="475"/>
      <c r="AW264" s="475"/>
      <c r="AX264" s="475"/>
      <c r="AY264" s="475"/>
      <c r="AZ264" s="459"/>
      <c r="BA264" s="459"/>
      <c r="BB264" s="459"/>
      <c r="BC264" s="459"/>
      <c r="BD264" s="459"/>
      <c r="BE264" s="459"/>
      <c r="BF264" s="459"/>
      <c r="BG264" s="459"/>
      <c r="BH264" s="459"/>
      <c r="BI264" s="459"/>
      <c r="BJ264" s="459"/>
      <c r="BK264" s="459"/>
      <c r="BL264" s="459"/>
      <c r="BM264" s="474"/>
      <c r="BN264" s="474"/>
      <c r="BO264" s="474"/>
      <c r="BP264" s="474"/>
      <c r="BQ264" s="475"/>
      <c r="BR264" s="475"/>
    </row>
    <row r="265" ht="15.75" customHeight="1">
      <c r="A265" s="475"/>
      <c r="B265" s="475"/>
      <c r="C265" s="475"/>
      <c r="D265" s="475"/>
      <c r="E265" s="475"/>
      <c r="F265" s="99"/>
      <c r="G265" s="475"/>
      <c r="H265" s="475"/>
      <c r="I265" s="475"/>
      <c r="J265" s="475"/>
      <c r="K265" s="475"/>
      <c r="L265" s="475"/>
      <c r="M265" s="475"/>
      <c r="N265" s="475"/>
      <c r="O265" s="475"/>
      <c r="P265" s="475"/>
      <c r="Q265" s="475"/>
      <c r="R265" s="475"/>
      <c r="S265" s="475"/>
      <c r="T265" s="475"/>
      <c r="U265" s="475"/>
      <c r="V265" s="475"/>
      <c r="W265" s="475"/>
      <c r="X265" s="475"/>
      <c r="Y265" s="475"/>
      <c r="Z265" s="475"/>
      <c r="AA265" s="475"/>
      <c r="AB265" s="475"/>
      <c r="AC265" s="475"/>
      <c r="AD265" s="475"/>
      <c r="AE265" s="475"/>
      <c r="AF265" s="475"/>
      <c r="AG265" s="475"/>
      <c r="AH265" s="475"/>
      <c r="AI265" s="459"/>
      <c r="AJ265" s="475"/>
      <c r="AK265" s="475"/>
      <c r="AL265" s="475"/>
      <c r="AM265" s="475"/>
      <c r="AN265" s="475"/>
      <c r="AO265" s="475"/>
      <c r="AP265" s="475"/>
      <c r="AQ265" s="475"/>
      <c r="AR265" s="475"/>
      <c r="AS265" s="475"/>
      <c r="AT265" s="475"/>
      <c r="AU265" s="475"/>
      <c r="AV265" s="475"/>
      <c r="AW265" s="475"/>
      <c r="AX265" s="475"/>
      <c r="AY265" s="475"/>
      <c r="AZ265" s="459"/>
      <c r="BA265" s="459"/>
      <c r="BB265" s="459"/>
      <c r="BC265" s="459"/>
      <c r="BD265" s="459"/>
      <c r="BE265" s="459"/>
      <c r="BF265" s="459"/>
      <c r="BG265" s="459"/>
      <c r="BH265" s="459"/>
      <c r="BI265" s="459"/>
      <c r="BJ265" s="459"/>
      <c r="BK265" s="459"/>
      <c r="BL265" s="459"/>
      <c r="BM265" s="474"/>
      <c r="BN265" s="474"/>
      <c r="BO265" s="474"/>
      <c r="BP265" s="474"/>
      <c r="BQ265" s="475"/>
      <c r="BR265" s="475"/>
    </row>
    <row r="266" ht="15.75" customHeight="1">
      <c r="A266" s="475"/>
      <c r="B266" s="475"/>
      <c r="C266" s="475"/>
      <c r="D266" s="475"/>
      <c r="E266" s="475"/>
      <c r="F266" s="99"/>
      <c r="G266" s="475"/>
      <c r="H266" s="475"/>
      <c r="I266" s="475"/>
      <c r="J266" s="475"/>
      <c r="K266" s="475"/>
      <c r="L266" s="475"/>
      <c r="M266" s="475"/>
      <c r="N266" s="475"/>
      <c r="O266" s="475"/>
      <c r="P266" s="475"/>
      <c r="Q266" s="475"/>
      <c r="R266" s="475"/>
      <c r="S266" s="475"/>
      <c r="T266" s="475"/>
      <c r="U266" s="475"/>
      <c r="V266" s="475"/>
      <c r="W266" s="475"/>
      <c r="X266" s="475"/>
      <c r="Y266" s="475"/>
      <c r="Z266" s="475"/>
      <c r="AA266" s="475"/>
      <c r="AB266" s="475"/>
      <c r="AC266" s="475"/>
      <c r="AD266" s="475"/>
      <c r="AE266" s="475"/>
      <c r="AF266" s="475"/>
      <c r="AG266" s="475"/>
      <c r="AH266" s="475"/>
      <c r="AI266" s="459"/>
      <c r="AJ266" s="475"/>
      <c r="AK266" s="475"/>
      <c r="AL266" s="475"/>
      <c r="AM266" s="475"/>
      <c r="AN266" s="475"/>
      <c r="AO266" s="475"/>
      <c r="AP266" s="475"/>
      <c r="AQ266" s="475"/>
      <c r="AR266" s="475"/>
      <c r="AS266" s="475"/>
      <c r="AT266" s="475"/>
      <c r="AU266" s="475"/>
      <c r="AV266" s="475"/>
      <c r="AW266" s="475"/>
      <c r="AX266" s="475"/>
      <c r="AY266" s="475"/>
      <c r="AZ266" s="459"/>
      <c r="BA266" s="459"/>
      <c r="BB266" s="459"/>
      <c r="BC266" s="459"/>
      <c r="BD266" s="459"/>
      <c r="BE266" s="459"/>
      <c r="BF266" s="459"/>
      <c r="BG266" s="459"/>
      <c r="BH266" s="459"/>
      <c r="BI266" s="459"/>
      <c r="BJ266" s="459"/>
      <c r="BK266" s="459"/>
      <c r="BL266" s="459"/>
      <c r="BM266" s="474"/>
      <c r="BN266" s="474"/>
      <c r="BO266" s="474"/>
      <c r="BP266" s="474"/>
      <c r="BQ266" s="475"/>
      <c r="BR266" s="475"/>
    </row>
    <row r="267" ht="15.75" customHeight="1">
      <c r="A267" s="475"/>
      <c r="B267" s="475"/>
      <c r="C267" s="475"/>
      <c r="D267" s="475"/>
      <c r="E267" s="475"/>
      <c r="F267" s="99"/>
      <c r="G267" s="475"/>
      <c r="H267" s="475"/>
      <c r="I267" s="475"/>
      <c r="J267" s="475"/>
      <c r="K267" s="475"/>
      <c r="L267" s="475"/>
      <c r="M267" s="475"/>
      <c r="N267" s="475"/>
      <c r="O267" s="475"/>
      <c r="P267" s="475"/>
      <c r="Q267" s="475"/>
      <c r="R267" s="475"/>
      <c r="S267" s="475"/>
      <c r="T267" s="475"/>
      <c r="U267" s="475"/>
      <c r="V267" s="475"/>
      <c r="W267" s="475"/>
      <c r="X267" s="475"/>
      <c r="Y267" s="475"/>
      <c r="Z267" s="475"/>
      <c r="AA267" s="475"/>
      <c r="AB267" s="475"/>
      <c r="AC267" s="475"/>
      <c r="AD267" s="475"/>
      <c r="AE267" s="475"/>
      <c r="AF267" s="475"/>
      <c r="AG267" s="475"/>
      <c r="AH267" s="475"/>
      <c r="AI267" s="459"/>
      <c r="AJ267" s="475"/>
      <c r="AK267" s="475"/>
      <c r="AL267" s="475"/>
      <c r="AM267" s="475"/>
      <c r="AN267" s="475"/>
      <c r="AO267" s="475"/>
      <c r="AP267" s="475"/>
      <c r="AQ267" s="475"/>
      <c r="AR267" s="475"/>
      <c r="AS267" s="475"/>
      <c r="AT267" s="475"/>
      <c r="AU267" s="475"/>
      <c r="AV267" s="475"/>
      <c r="AW267" s="475"/>
      <c r="AX267" s="475"/>
      <c r="AY267" s="475"/>
      <c r="AZ267" s="459"/>
      <c r="BA267" s="459"/>
      <c r="BB267" s="459"/>
      <c r="BC267" s="459"/>
      <c r="BD267" s="459"/>
      <c r="BE267" s="459"/>
      <c r="BF267" s="459"/>
      <c r="BG267" s="459"/>
      <c r="BH267" s="459"/>
      <c r="BI267" s="459"/>
      <c r="BJ267" s="459"/>
      <c r="BK267" s="459"/>
      <c r="BL267" s="459"/>
      <c r="BM267" s="474"/>
      <c r="BN267" s="474"/>
      <c r="BO267" s="474"/>
      <c r="BP267" s="474"/>
      <c r="BQ267" s="475"/>
      <c r="BR267" s="475"/>
    </row>
    <row r="268" ht="15.75" customHeight="1">
      <c r="A268" s="475"/>
      <c r="B268" s="475"/>
      <c r="C268" s="475"/>
      <c r="D268" s="475"/>
      <c r="E268" s="475"/>
      <c r="F268" s="99"/>
      <c r="G268" s="475"/>
      <c r="H268" s="475"/>
      <c r="I268" s="475"/>
      <c r="J268" s="475"/>
      <c r="K268" s="475"/>
      <c r="L268" s="475"/>
      <c r="M268" s="475"/>
      <c r="N268" s="475"/>
      <c r="O268" s="475"/>
      <c r="P268" s="475"/>
      <c r="Q268" s="475"/>
      <c r="R268" s="475"/>
      <c r="S268" s="475"/>
      <c r="T268" s="475"/>
      <c r="U268" s="475"/>
      <c r="V268" s="475"/>
      <c r="W268" s="475"/>
      <c r="X268" s="475"/>
      <c r="Y268" s="475"/>
      <c r="Z268" s="475"/>
      <c r="AA268" s="475"/>
      <c r="AB268" s="475"/>
      <c r="AC268" s="475"/>
      <c r="AD268" s="475"/>
      <c r="AE268" s="475"/>
      <c r="AF268" s="475"/>
      <c r="AG268" s="475"/>
      <c r="AH268" s="475"/>
      <c r="AI268" s="459"/>
      <c r="AJ268" s="475"/>
      <c r="AK268" s="475"/>
      <c r="AL268" s="475"/>
      <c r="AM268" s="475"/>
      <c r="AN268" s="475"/>
      <c r="AO268" s="475"/>
      <c r="AP268" s="475"/>
      <c r="AQ268" s="475"/>
      <c r="AR268" s="475"/>
      <c r="AS268" s="475"/>
      <c r="AT268" s="475"/>
      <c r="AU268" s="475"/>
      <c r="AV268" s="475"/>
      <c r="AW268" s="475"/>
      <c r="AX268" s="475"/>
      <c r="AY268" s="475"/>
      <c r="AZ268" s="459"/>
      <c r="BA268" s="459"/>
      <c r="BB268" s="459"/>
      <c r="BC268" s="459"/>
      <c r="BD268" s="459"/>
      <c r="BE268" s="459"/>
      <c r="BF268" s="459"/>
      <c r="BG268" s="459"/>
      <c r="BH268" s="459"/>
      <c r="BI268" s="459"/>
      <c r="BJ268" s="459"/>
      <c r="BK268" s="459"/>
      <c r="BL268" s="459"/>
      <c r="BM268" s="474"/>
      <c r="BN268" s="474"/>
      <c r="BO268" s="474"/>
      <c r="BP268" s="474"/>
      <c r="BQ268" s="475"/>
      <c r="BR268" s="475"/>
    </row>
    <row r="269" ht="15.75" customHeight="1">
      <c r="A269" s="475"/>
      <c r="B269" s="475"/>
      <c r="C269" s="475"/>
      <c r="D269" s="475"/>
      <c r="E269" s="475"/>
      <c r="F269" s="99"/>
      <c r="G269" s="475"/>
      <c r="H269" s="475"/>
      <c r="I269" s="475"/>
      <c r="J269" s="475"/>
      <c r="K269" s="475"/>
      <c r="L269" s="475"/>
      <c r="M269" s="475"/>
      <c r="N269" s="475"/>
      <c r="O269" s="475"/>
      <c r="P269" s="475"/>
      <c r="Q269" s="475"/>
      <c r="R269" s="475"/>
      <c r="S269" s="475"/>
      <c r="T269" s="475"/>
      <c r="U269" s="475"/>
      <c r="V269" s="475"/>
      <c r="W269" s="475"/>
      <c r="X269" s="475"/>
      <c r="Y269" s="475"/>
      <c r="Z269" s="475"/>
      <c r="AA269" s="475"/>
      <c r="AB269" s="475"/>
      <c r="AC269" s="475"/>
      <c r="AD269" s="475"/>
      <c r="AE269" s="475"/>
      <c r="AF269" s="475"/>
      <c r="AG269" s="475"/>
      <c r="AH269" s="475"/>
      <c r="AI269" s="459"/>
      <c r="AJ269" s="475"/>
      <c r="AK269" s="475"/>
      <c r="AL269" s="475"/>
      <c r="AM269" s="475"/>
      <c r="AN269" s="475"/>
      <c r="AO269" s="475"/>
      <c r="AP269" s="475"/>
      <c r="AQ269" s="475"/>
      <c r="AR269" s="475"/>
      <c r="AS269" s="475"/>
      <c r="AT269" s="475"/>
      <c r="AU269" s="475"/>
      <c r="AV269" s="475"/>
      <c r="AW269" s="475"/>
      <c r="AX269" s="475"/>
      <c r="AY269" s="475"/>
      <c r="AZ269" s="459"/>
      <c r="BA269" s="459"/>
      <c r="BB269" s="459"/>
      <c r="BC269" s="459"/>
      <c r="BD269" s="459"/>
      <c r="BE269" s="459"/>
      <c r="BF269" s="459"/>
      <c r="BG269" s="459"/>
      <c r="BH269" s="459"/>
      <c r="BI269" s="459"/>
      <c r="BJ269" s="459"/>
      <c r="BK269" s="459"/>
      <c r="BL269" s="459"/>
      <c r="BM269" s="474"/>
      <c r="BN269" s="474"/>
      <c r="BO269" s="474"/>
      <c r="BP269" s="474"/>
      <c r="BQ269" s="475"/>
      <c r="BR269" s="475"/>
    </row>
    <row r="270" ht="15.75" customHeight="1">
      <c r="A270" s="475"/>
      <c r="B270" s="475"/>
      <c r="C270" s="475"/>
      <c r="D270" s="475"/>
      <c r="E270" s="475"/>
      <c r="F270" s="99"/>
      <c r="G270" s="475"/>
      <c r="H270" s="475"/>
      <c r="I270" s="475"/>
      <c r="J270" s="475"/>
      <c r="K270" s="475"/>
      <c r="L270" s="475"/>
      <c r="M270" s="475"/>
      <c r="N270" s="475"/>
      <c r="O270" s="475"/>
      <c r="P270" s="475"/>
      <c r="Q270" s="475"/>
      <c r="R270" s="475"/>
      <c r="S270" s="475"/>
      <c r="T270" s="475"/>
      <c r="U270" s="475"/>
      <c r="V270" s="475"/>
      <c r="W270" s="475"/>
      <c r="X270" s="475"/>
      <c r="Y270" s="475"/>
      <c r="Z270" s="475"/>
      <c r="AA270" s="475"/>
      <c r="AB270" s="475"/>
      <c r="AC270" s="475"/>
      <c r="AD270" s="475"/>
      <c r="AE270" s="475"/>
      <c r="AF270" s="475"/>
      <c r="AG270" s="475"/>
      <c r="AH270" s="475"/>
      <c r="AI270" s="459"/>
      <c r="AJ270" s="475"/>
      <c r="AK270" s="475"/>
      <c r="AL270" s="475"/>
      <c r="AM270" s="475"/>
      <c r="AN270" s="475"/>
      <c r="AO270" s="475"/>
      <c r="AP270" s="475"/>
      <c r="AQ270" s="475"/>
      <c r="AR270" s="475"/>
      <c r="AS270" s="475"/>
      <c r="AT270" s="475"/>
      <c r="AU270" s="475"/>
      <c r="AV270" s="475"/>
      <c r="AW270" s="475"/>
      <c r="AX270" s="475"/>
      <c r="AY270" s="475"/>
      <c r="AZ270" s="459"/>
      <c r="BA270" s="459"/>
      <c r="BB270" s="459"/>
      <c r="BC270" s="459"/>
      <c r="BD270" s="459"/>
      <c r="BE270" s="459"/>
      <c r="BF270" s="459"/>
      <c r="BG270" s="459"/>
      <c r="BH270" s="459"/>
      <c r="BI270" s="459"/>
      <c r="BJ270" s="459"/>
      <c r="BK270" s="459"/>
      <c r="BL270" s="459"/>
      <c r="BM270" s="474"/>
      <c r="BN270" s="474"/>
      <c r="BO270" s="474"/>
      <c r="BP270" s="474"/>
      <c r="BQ270" s="475"/>
      <c r="BR270" s="475"/>
    </row>
    <row r="271" ht="15.75" customHeight="1">
      <c r="A271" s="475"/>
      <c r="B271" s="475"/>
      <c r="C271" s="475"/>
      <c r="D271" s="475"/>
      <c r="E271" s="475"/>
      <c r="F271" s="99"/>
      <c r="G271" s="475"/>
      <c r="H271" s="475"/>
      <c r="I271" s="475"/>
      <c r="J271" s="475"/>
      <c r="K271" s="475"/>
      <c r="L271" s="475"/>
      <c r="M271" s="475"/>
      <c r="N271" s="475"/>
      <c r="O271" s="475"/>
      <c r="P271" s="475"/>
      <c r="Q271" s="475"/>
      <c r="R271" s="475"/>
      <c r="S271" s="475"/>
      <c r="T271" s="475"/>
      <c r="U271" s="475"/>
      <c r="V271" s="475"/>
      <c r="W271" s="475"/>
      <c r="X271" s="475"/>
      <c r="Y271" s="475"/>
      <c r="Z271" s="475"/>
      <c r="AA271" s="475"/>
      <c r="AB271" s="475"/>
      <c r="AC271" s="475"/>
      <c r="AD271" s="475"/>
      <c r="AE271" s="475"/>
      <c r="AF271" s="475"/>
      <c r="AG271" s="475"/>
      <c r="AH271" s="475"/>
      <c r="AI271" s="459"/>
      <c r="AJ271" s="475"/>
      <c r="AK271" s="475"/>
      <c r="AL271" s="475"/>
      <c r="AM271" s="475"/>
      <c r="AN271" s="475"/>
      <c r="AO271" s="475"/>
      <c r="AP271" s="475"/>
      <c r="AQ271" s="475"/>
      <c r="AR271" s="475"/>
      <c r="AS271" s="475"/>
      <c r="AT271" s="475"/>
      <c r="AU271" s="475"/>
      <c r="AV271" s="475"/>
      <c r="AW271" s="475"/>
      <c r="AX271" s="475"/>
      <c r="AY271" s="475"/>
      <c r="AZ271" s="459"/>
      <c r="BA271" s="459"/>
      <c r="BB271" s="459"/>
      <c r="BC271" s="459"/>
      <c r="BD271" s="459"/>
      <c r="BE271" s="459"/>
      <c r="BF271" s="459"/>
      <c r="BG271" s="459"/>
      <c r="BH271" s="459"/>
      <c r="BI271" s="459"/>
      <c r="BJ271" s="459"/>
      <c r="BK271" s="459"/>
      <c r="BL271" s="459"/>
      <c r="BM271" s="474"/>
      <c r="BN271" s="474"/>
      <c r="BO271" s="474"/>
      <c r="BP271" s="474"/>
      <c r="BQ271" s="475"/>
      <c r="BR271" s="475"/>
    </row>
    <row r="272" ht="15.75" customHeight="1">
      <c r="A272" s="475"/>
      <c r="B272" s="475"/>
      <c r="C272" s="475"/>
      <c r="D272" s="475"/>
      <c r="E272" s="475"/>
      <c r="F272" s="99"/>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c r="AC272" s="475"/>
      <c r="AD272" s="475"/>
      <c r="AE272" s="475"/>
      <c r="AF272" s="475"/>
      <c r="AG272" s="475"/>
      <c r="AH272" s="475"/>
      <c r="AI272" s="459"/>
      <c r="AJ272" s="475"/>
      <c r="AK272" s="475"/>
      <c r="AL272" s="475"/>
      <c r="AM272" s="475"/>
      <c r="AN272" s="475"/>
      <c r="AO272" s="475"/>
      <c r="AP272" s="475"/>
      <c r="AQ272" s="475"/>
      <c r="AR272" s="475"/>
      <c r="AS272" s="475"/>
      <c r="AT272" s="475"/>
      <c r="AU272" s="475"/>
      <c r="AV272" s="475"/>
      <c r="AW272" s="475"/>
      <c r="AX272" s="475"/>
      <c r="AY272" s="475"/>
      <c r="AZ272" s="459"/>
      <c r="BA272" s="459"/>
      <c r="BB272" s="459"/>
      <c r="BC272" s="459"/>
      <c r="BD272" s="459"/>
      <c r="BE272" s="459"/>
      <c r="BF272" s="459"/>
      <c r="BG272" s="459"/>
      <c r="BH272" s="459"/>
      <c r="BI272" s="459"/>
      <c r="BJ272" s="459"/>
      <c r="BK272" s="459"/>
      <c r="BL272" s="459"/>
      <c r="BM272" s="474"/>
      <c r="BN272" s="474"/>
      <c r="BO272" s="474"/>
      <c r="BP272" s="474"/>
      <c r="BQ272" s="475"/>
      <c r="BR272" s="475"/>
    </row>
    <row r="273" ht="15.75" customHeight="1">
      <c r="A273" s="475"/>
      <c r="B273" s="475"/>
      <c r="C273" s="475"/>
      <c r="D273" s="475"/>
      <c r="E273" s="475"/>
      <c r="F273" s="99"/>
      <c r="G273" s="475"/>
      <c r="H273" s="475"/>
      <c r="I273" s="475"/>
      <c r="J273" s="475"/>
      <c r="K273" s="475"/>
      <c r="L273" s="475"/>
      <c r="M273" s="475"/>
      <c r="N273" s="475"/>
      <c r="O273" s="475"/>
      <c r="P273" s="475"/>
      <c r="Q273" s="475"/>
      <c r="R273" s="475"/>
      <c r="S273" s="475"/>
      <c r="T273" s="475"/>
      <c r="U273" s="475"/>
      <c r="V273" s="475"/>
      <c r="W273" s="475"/>
      <c r="X273" s="475"/>
      <c r="Y273" s="475"/>
      <c r="Z273" s="475"/>
      <c r="AA273" s="475"/>
      <c r="AB273" s="475"/>
      <c r="AC273" s="475"/>
      <c r="AD273" s="475"/>
      <c r="AE273" s="475"/>
      <c r="AF273" s="475"/>
      <c r="AG273" s="475"/>
      <c r="AH273" s="475"/>
      <c r="AI273" s="459"/>
      <c r="AJ273" s="475"/>
      <c r="AK273" s="475"/>
      <c r="AL273" s="475"/>
      <c r="AM273" s="475"/>
      <c r="AN273" s="475"/>
      <c r="AO273" s="475"/>
      <c r="AP273" s="475"/>
      <c r="AQ273" s="475"/>
      <c r="AR273" s="475"/>
      <c r="AS273" s="475"/>
      <c r="AT273" s="475"/>
      <c r="AU273" s="475"/>
      <c r="AV273" s="475"/>
      <c r="AW273" s="475"/>
      <c r="AX273" s="475"/>
      <c r="AY273" s="475"/>
      <c r="AZ273" s="459"/>
      <c r="BA273" s="459"/>
      <c r="BB273" s="459"/>
      <c r="BC273" s="459"/>
      <c r="BD273" s="459"/>
      <c r="BE273" s="459"/>
      <c r="BF273" s="459"/>
      <c r="BG273" s="459"/>
      <c r="BH273" s="459"/>
      <c r="BI273" s="459"/>
      <c r="BJ273" s="459"/>
      <c r="BK273" s="459"/>
      <c r="BL273" s="459"/>
      <c r="BM273" s="474"/>
      <c r="BN273" s="474"/>
      <c r="BO273" s="474"/>
      <c r="BP273" s="474"/>
      <c r="BQ273" s="475"/>
      <c r="BR273" s="475"/>
    </row>
    <row r="274" ht="15.75" customHeight="1">
      <c r="A274" s="475"/>
      <c r="B274" s="475"/>
      <c r="C274" s="475"/>
      <c r="D274" s="475"/>
      <c r="E274" s="475"/>
      <c r="F274" s="99"/>
      <c r="G274" s="475"/>
      <c r="H274" s="475"/>
      <c r="I274" s="475"/>
      <c r="J274" s="475"/>
      <c r="K274" s="475"/>
      <c r="L274" s="475"/>
      <c r="M274" s="475"/>
      <c r="N274" s="475"/>
      <c r="O274" s="475"/>
      <c r="P274" s="475"/>
      <c r="Q274" s="475"/>
      <c r="R274" s="475"/>
      <c r="S274" s="475"/>
      <c r="T274" s="475"/>
      <c r="U274" s="475"/>
      <c r="V274" s="475"/>
      <c r="W274" s="475"/>
      <c r="X274" s="475"/>
      <c r="Y274" s="475"/>
      <c r="Z274" s="475"/>
      <c r="AA274" s="475"/>
      <c r="AB274" s="475"/>
      <c r="AC274" s="475"/>
      <c r="AD274" s="475"/>
      <c r="AE274" s="475"/>
      <c r="AF274" s="475"/>
      <c r="AG274" s="475"/>
      <c r="AH274" s="475"/>
      <c r="AI274" s="459"/>
      <c r="AJ274" s="475"/>
      <c r="AK274" s="475"/>
      <c r="AL274" s="475"/>
      <c r="AM274" s="475"/>
      <c r="AN274" s="475"/>
      <c r="AO274" s="475"/>
      <c r="AP274" s="475"/>
      <c r="AQ274" s="475"/>
      <c r="AR274" s="475"/>
      <c r="AS274" s="475"/>
      <c r="AT274" s="475"/>
      <c r="AU274" s="475"/>
      <c r="AV274" s="475"/>
      <c r="AW274" s="475"/>
      <c r="AX274" s="475"/>
      <c r="AY274" s="475"/>
      <c r="AZ274" s="459"/>
      <c r="BA274" s="459"/>
      <c r="BB274" s="459"/>
      <c r="BC274" s="459"/>
      <c r="BD274" s="459"/>
      <c r="BE274" s="459"/>
      <c r="BF274" s="459"/>
      <c r="BG274" s="459"/>
      <c r="BH274" s="459"/>
      <c r="BI274" s="459"/>
      <c r="BJ274" s="459"/>
      <c r="BK274" s="459"/>
      <c r="BL274" s="459"/>
      <c r="BM274" s="474"/>
      <c r="BN274" s="474"/>
      <c r="BO274" s="474"/>
      <c r="BP274" s="474"/>
      <c r="BQ274" s="475"/>
      <c r="BR274" s="475"/>
    </row>
    <row r="275" ht="15.75" customHeight="1">
      <c r="A275" s="475"/>
      <c r="B275" s="475"/>
      <c r="C275" s="475"/>
      <c r="D275" s="475"/>
      <c r="E275" s="475"/>
      <c r="F275" s="99"/>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c r="AC275" s="475"/>
      <c r="AD275" s="475"/>
      <c r="AE275" s="475"/>
      <c r="AF275" s="475"/>
      <c r="AG275" s="475"/>
      <c r="AH275" s="475"/>
      <c r="AI275" s="459"/>
      <c r="AJ275" s="475"/>
      <c r="AK275" s="475"/>
      <c r="AL275" s="475"/>
      <c r="AM275" s="475"/>
      <c r="AN275" s="475"/>
      <c r="AO275" s="475"/>
      <c r="AP275" s="475"/>
      <c r="AQ275" s="475"/>
      <c r="AR275" s="475"/>
      <c r="AS275" s="475"/>
      <c r="AT275" s="475"/>
      <c r="AU275" s="475"/>
      <c r="AV275" s="475"/>
      <c r="AW275" s="475"/>
      <c r="AX275" s="475"/>
      <c r="AY275" s="475"/>
      <c r="AZ275" s="459"/>
      <c r="BA275" s="459"/>
      <c r="BB275" s="459"/>
      <c r="BC275" s="459"/>
      <c r="BD275" s="459"/>
      <c r="BE275" s="459"/>
      <c r="BF275" s="459"/>
      <c r="BG275" s="459"/>
      <c r="BH275" s="459"/>
      <c r="BI275" s="459"/>
      <c r="BJ275" s="459"/>
      <c r="BK275" s="459"/>
      <c r="BL275" s="459"/>
      <c r="BM275" s="474"/>
      <c r="BN275" s="474"/>
      <c r="BO275" s="474"/>
      <c r="BP275" s="474"/>
      <c r="BQ275" s="475"/>
      <c r="BR275" s="475"/>
    </row>
    <row r="276" ht="15.75" customHeight="1">
      <c r="A276" s="475"/>
      <c r="B276" s="475"/>
      <c r="C276" s="475"/>
      <c r="D276" s="475"/>
      <c r="E276" s="475"/>
      <c r="F276" s="99"/>
      <c r="G276" s="475"/>
      <c r="H276" s="475"/>
      <c r="I276" s="475"/>
      <c r="J276" s="475"/>
      <c r="K276" s="475"/>
      <c r="L276" s="475"/>
      <c r="M276" s="475"/>
      <c r="N276" s="475"/>
      <c r="O276" s="475"/>
      <c r="P276" s="475"/>
      <c r="Q276" s="475"/>
      <c r="R276" s="475"/>
      <c r="S276" s="475"/>
      <c r="T276" s="475"/>
      <c r="U276" s="475"/>
      <c r="V276" s="475"/>
      <c r="W276" s="475"/>
      <c r="X276" s="475"/>
      <c r="Y276" s="475"/>
      <c r="Z276" s="475"/>
      <c r="AA276" s="475"/>
      <c r="AB276" s="475"/>
      <c r="AC276" s="475"/>
      <c r="AD276" s="475"/>
      <c r="AE276" s="475"/>
      <c r="AF276" s="475"/>
      <c r="AG276" s="475"/>
      <c r="AH276" s="475"/>
      <c r="AI276" s="459"/>
      <c r="AJ276" s="475"/>
      <c r="AK276" s="475"/>
      <c r="AL276" s="475"/>
      <c r="AM276" s="475"/>
      <c r="AN276" s="475"/>
      <c r="AO276" s="475"/>
      <c r="AP276" s="475"/>
      <c r="AQ276" s="475"/>
      <c r="AR276" s="475"/>
      <c r="AS276" s="475"/>
      <c r="AT276" s="475"/>
      <c r="AU276" s="475"/>
      <c r="AV276" s="475"/>
      <c r="AW276" s="475"/>
      <c r="AX276" s="475"/>
      <c r="AY276" s="475"/>
      <c r="AZ276" s="459"/>
      <c r="BA276" s="459"/>
      <c r="BB276" s="459"/>
      <c r="BC276" s="459"/>
      <c r="BD276" s="459"/>
      <c r="BE276" s="459"/>
      <c r="BF276" s="459"/>
      <c r="BG276" s="459"/>
      <c r="BH276" s="459"/>
      <c r="BI276" s="459"/>
      <c r="BJ276" s="459"/>
      <c r="BK276" s="459"/>
      <c r="BL276" s="459"/>
      <c r="BM276" s="474"/>
      <c r="BN276" s="474"/>
      <c r="BO276" s="474"/>
      <c r="BP276" s="474"/>
      <c r="BQ276" s="475"/>
      <c r="BR276" s="475"/>
    </row>
    <row r="277" ht="15.75" customHeight="1">
      <c r="A277" s="475"/>
      <c r="B277" s="475"/>
      <c r="C277" s="475"/>
      <c r="D277" s="475"/>
      <c r="E277" s="475"/>
      <c r="F277" s="99"/>
      <c r="G277" s="475"/>
      <c r="H277" s="475"/>
      <c r="I277" s="475"/>
      <c r="J277" s="475"/>
      <c r="K277" s="475"/>
      <c r="L277" s="475"/>
      <c r="M277" s="475"/>
      <c r="N277" s="475"/>
      <c r="O277" s="475"/>
      <c r="P277" s="475"/>
      <c r="Q277" s="475"/>
      <c r="R277" s="475"/>
      <c r="S277" s="475"/>
      <c r="T277" s="475"/>
      <c r="U277" s="475"/>
      <c r="V277" s="475"/>
      <c r="W277" s="475"/>
      <c r="X277" s="475"/>
      <c r="Y277" s="475"/>
      <c r="Z277" s="475"/>
      <c r="AA277" s="475"/>
      <c r="AB277" s="475"/>
      <c r="AC277" s="475"/>
      <c r="AD277" s="475"/>
      <c r="AE277" s="475"/>
      <c r="AF277" s="475"/>
      <c r="AG277" s="475"/>
      <c r="AH277" s="475"/>
      <c r="AI277" s="459"/>
      <c r="AJ277" s="475"/>
      <c r="AK277" s="475"/>
      <c r="AL277" s="475"/>
      <c r="AM277" s="475"/>
      <c r="AN277" s="475"/>
      <c r="AO277" s="475"/>
      <c r="AP277" s="475"/>
      <c r="AQ277" s="475"/>
      <c r="AR277" s="475"/>
      <c r="AS277" s="475"/>
      <c r="AT277" s="475"/>
      <c r="AU277" s="475"/>
      <c r="AV277" s="475"/>
      <c r="AW277" s="475"/>
      <c r="AX277" s="475"/>
      <c r="AY277" s="475"/>
      <c r="AZ277" s="459"/>
      <c r="BA277" s="459"/>
      <c r="BB277" s="459"/>
      <c r="BC277" s="459"/>
      <c r="BD277" s="459"/>
      <c r="BE277" s="459"/>
      <c r="BF277" s="459"/>
      <c r="BG277" s="459"/>
      <c r="BH277" s="459"/>
      <c r="BI277" s="459"/>
      <c r="BJ277" s="459"/>
      <c r="BK277" s="459"/>
      <c r="BL277" s="459"/>
      <c r="BM277" s="474"/>
      <c r="BN277" s="474"/>
      <c r="BO277" s="474"/>
      <c r="BP277" s="474"/>
      <c r="BQ277" s="475"/>
      <c r="BR277" s="475"/>
    </row>
    <row r="278" ht="15.75" customHeight="1">
      <c r="A278" s="475"/>
      <c r="B278" s="475"/>
      <c r="C278" s="475"/>
      <c r="D278" s="475"/>
      <c r="E278" s="475"/>
      <c r="F278" s="99"/>
      <c r="G278" s="475"/>
      <c r="H278" s="475"/>
      <c r="I278" s="475"/>
      <c r="J278" s="475"/>
      <c r="K278" s="475"/>
      <c r="L278" s="475"/>
      <c r="M278" s="475"/>
      <c r="N278" s="475"/>
      <c r="O278" s="475"/>
      <c r="P278" s="475"/>
      <c r="Q278" s="475"/>
      <c r="R278" s="475"/>
      <c r="S278" s="475"/>
      <c r="T278" s="475"/>
      <c r="U278" s="475"/>
      <c r="V278" s="475"/>
      <c r="W278" s="475"/>
      <c r="X278" s="475"/>
      <c r="Y278" s="475"/>
      <c r="Z278" s="475"/>
      <c r="AA278" s="475"/>
      <c r="AB278" s="475"/>
      <c r="AC278" s="475"/>
      <c r="AD278" s="475"/>
      <c r="AE278" s="475"/>
      <c r="AF278" s="475"/>
      <c r="AG278" s="475"/>
      <c r="AH278" s="475"/>
      <c r="AI278" s="459"/>
      <c r="AJ278" s="475"/>
      <c r="AK278" s="475"/>
      <c r="AL278" s="475"/>
      <c r="AM278" s="475"/>
      <c r="AN278" s="475"/>
      <c r="AO278" s="475"/>
      <c r="AP278" s="475"/>
      <c r="AQ278" s="475"/>
      <c r="AR278" s="475"/>
      <c r="AS278" s="475"/>
      <c r="AT278" s="475"/>
      <c r="AU278" s="475"/>
      <c r="AV278" s="475"/>
      <c r="AW278" s="475"/>
      <c r="AX278" s="475"/>
      <c r="AY278" s="475"/>
      <c r="AZ278" s="459"/>
      <c r="BA278" s="459"/>
      <c r="BB278" s="459"/>
      <c r="BC278" s="459"/>
      <c r="BD278" s="459"/>
      <c r="BE278" s="459"/>
      <c r="BF278" s="459"/>
      <c r="BG278" s="459"/>
      <c r="BH278" s="459"/>
      <c r="BI278" s="459"/>
      <c r="BJ278" s="459"/>
      <c r="BK278" s="459"/>
      <c r="BL278" s="459"/>
      <c r="BM278" s="474"/>
      <c r="BN278" s="474"/>
      <c r="BO278" s="474"/>
      <c r="BP278" s="474"/>
      <c r="BQ278" s="475"/>
      <c r="BR278" s="475"/>
    </row>
    <row r="279" ht="15.75" customHeight="1">
      <c r="A279" s="475"/>
      <c r="B279" s="475"/>
      <c r="C279" s="475"/>
      <c r="D279" s="475"/>
      <c r="E279" s="475"/>
      <c r="F279" s="99"/>
      <c r="G279" s="475"/>
      <c r="H279" s="475"/>
      <c r="I279" s="475"/>
      <c r="J279" s="475"/>
      <c r="K279" s="475"/>
      <c r="L279" s="475"/>
      <c r="M279" s="475"/>
      <c r="N279" s="475"/>
      <c r="O279" s="475"/>
      <c r="P279" s="475"/>
      <c r="Q279" s="475"/>
      <c r="R279" s="475"/>
      <c r="S279" s="475"/>
      <c r="T279" s="475"/>
      <c r="U279" s="475"/>
      <c r="V279" s="475"/>
      <c r="W279" s="475"/>
      <c r="X279" s="475"/>
      <c r="Y279" s="475"/>
      <c r="Z279" s="475"/>
      <c r="AA279" s="475"/>
      <c r="AB279" s="475"/>
      <c r="AC279" s="475"/>
      <c r="AD279" s="475"/>
      <c r="AE279" s="475"/>
      <c r="AF279" s="475"/>
      <c r="AG279" s="475"/>
      <c r="AH279" s="475"/>
      <c r="AI279" s="459"/>
      <c r="AJ279" s="475"/>
      <c r="AK279" s="475"/>
      <c r="AL279" s="475"/>
      <c r="AM279" s="475"/>
      <c r="AN279" s="475"/>
      <c r="AO279" s="475"/>
      <c r="AP279" s="475"/>
      <c r="AQ279" s="475"/>
      <c r="AR279" s="475"/>
      <c r="AS279" s="475"/>
      <c r="AT279" s="475"/>
      <c r="AU279" s="475"/>
      <c r="AV279" s="475"/>
      <c r="AW279" s="475"/>
      <c r="AX279" s="475"/>
      <c r="AY279" s="475"/>
      <c r="AZ279" s="459"/>
      <c r="BA279" s="459"/>
      <c r="BB279" s="459"/>
      <c r="BC279" s="459"/>
      <c r="BD279" s="459"/>
      <c r="BE279" s="459"/>
      <c r="BF279" s="459"/>
      <c r="BG279" s="459"/>
      <c r="BH279" s="459"/>
      <c r="BI279" s="459"/>
      <c r="BJ279" s="459"/>
      <c r="BK279" s="459"/>
      <c r="BL279" s="459"/>
      <c r="BM279" s="474"/>
      <c r="BN279" s="474"/>
      <c r="BO279" s="474"/>
      <c r="BP279" s="474"/>
      <c r="BQ279" s="475"/>
      <c r="BR279" s="475"/>
    </row>
    <row r="280" ht="15.75" customHeight="1">
      <c r="A280" s="475"/>
      <c r="B280" s="475"/>
      <c r="C280" s="475"/>
      <c r="D280" s="475"/>
      <c r="E280" s="475"/>
      <c r="F280" s="99"/>
      <c r="G280" s="475"/>
      <c r="H280" s="475"/>
      <c r="I280" s="475"/>
      <c r="J280" s="475"/>
      <c r="K280" s="475"/>
      <c r="L280" s="475"/>
      <c r="M280" s="475"/>
      <c r="N280" s="475"/>
      <c r="O280" s="475"/>
      <c r="P280" s="475"/>
      <c r="Q280" s="475"/>
      <c r="R280" s="475"/>
      <c r="S280" s="475"/>
      <c r="T280" s="475"/>
      <c r="U280" s="475"/>
      <c r="V280" s="475"/>
      <c r="W280" s="475"/>
      <c r="X280" s="475"/>
      <c r="Y280" s="475"/>
      <c r="Z280" s="475"/>
      <c r="AA280" s="475"/>
      <c r="AB280" s="475"/>
      <c r="AC280" s="475"/>
      <c r="AD280" s="475"/>
      <c r="AE280" s="475"/>
      <c r="AF280" s="475"/>
      <c r="AG280" s="475"/>
      <c r="AH280" s="475"/>
      <c r="AI280" s="459"/>
      <c r="AJ280" s="475"/>
      <c r="AK280" s="475"/>
      <c r="AL280" s="475"/>
      <c r="AM280" s="475"/>
      <c r="AN280" s="475"/>
      <c r="AO280" s="475"/>
      <c r="AP280" s="475"/>
      <c r="AQ280" s="475"/>
      <c r="AR280" s="475"/>
      <c r="AS280" s="475"/>
      <c r="AT280" s="475"/>
      <c r="AU280" s="475"/>
      <c r="AV280" s="475"/>
      <c r="AW280" s="475"/>
      <c r="AX280" s="475"/>
      <c r="AY280" s="475"/>
      <c r="AZ280" s="459"/>
      <c r="BA280" s="459"/>
      <c r="BB280" s="459"/>
      <c r="BC280" s="459"/>
      <c r="BD280" s="459"/>
      <c r="BE280" s="459"/>
      <c r="BF280" s="459"/>
      <c r="BG280" s="459"/>
      <c r="BH280" s="459"/>
      <c r="BI280" s="459"/>
      <c r="BJ280" s="459"/>
      <c r="BK280" s="459"/>
      <c r="BL280" s="459"/>
      <c r="BM280" s="474"/>
      <c r="BN280" s="474"/>
      <c r="BO280" s="474"/>
      <c r="BP280" s="474"/>
      <c r="BQ280" s="475"/>
      <c r="BR280" s="475"/>
    </row>
    <row r="281" ht="15.75" customHeight="1">
      <c r="A281" s="475"/>
      <c r="B281" s="475"/>
      <c r="C281" s="475"/>
      <c r="D281" s="475"/>
      <c r="E281" s="475"/>
      <c r="F281" s="99"/>
      <c r="G281" s="475"/>
      <c r="H281" s="475"/>
      <c r="I281" s="475"/>
      <c r="J281" s="475"/>
      <c r="K281" s="475"/>
      <c r="L281" s="475"/>
      <c r="M281" s="475"/>
      <c r="N281" s="475"/>
      <c r="O281" s="475"/>
      <c r="P281" s="475"/>
      <c r="Q281" s="475"/>
      <c r="R281" s="475"/>
      <c r="S281" s="475"/>
      <c r="T281" s="475"/>
      <c r="U281" s="475"/>
      <c r="V281" s="475"/>
      <c r="W281" s="475"/>
      <c r="X281" s="475"/>
      <c r="Y281" s="475"/>
      <c r="Z281" s="475"/>
      <c r="AA281" s="475"/>
      <c r="AB281" s="475"/>
      <c r="AC281" s="475"/>
      <c r="AD281" s="475"/>
      <c r="AE281" s="475"/>
      <c r="AF281" s="475"/>
      <c r="AG281" s="475"/>
      <c r="AH281" s="475"/>
      <c r="AI281" s="459"/>
      <c r="AJ281" s="475"/>
      <c r="AK281" s="475"/>
      <c r="AL281" s="475"/>
      <c r="AM281" s="475"/>
      <c r="AN281" s="475"/>
      <c r="AO281" s="475"/>
      <c r="AP281" s="475"/>
      <c r="AQ281" s="475"/>
      <c r="AR281" s="475"/>
      <c r="AS281" s="475"/>
      <c r="AT281" s="475"/>
      <c r="AU281" s="475"/>
      <c r="AV281" s="475"/>
      <c r="AW281" s="475"/>
      <c r="AX281" s="475"/>
      <c r="AY281" s="475"/>
      <c r="AZ281" s="459"/>
      <c r="BA281" s="459"/>
      <c r="BB281" s="459"/>
      <c r="BC281" s="459"/>
      <c r="BD281" s="459"/>
      <c r="BE281" s="459"/>
      <c r="BF281" s="459"/>
      <c r="BG281" s="459"/>
      <c r="BH281" s="459"/>
      <c r="BI281" s="459"/>
      <c r="BJ281" s="459"/>
      <c r="BK281" s="459"/>
      <c r="BL281" s="459"/>
      <c r="BM281" s="474"/>
      <c r="BN281" s="474"/>
      <c r="BO281" s="474"/>
      <c r="BP281" s="474"/>
      <c r="BQ281" s="475"/>
      <c r="BR281" s="475"/>
    </row>
    <row r="282" ht="15.75" customHeight="1">
      <c r="A282" s="475"/>
      <c r="B282" s="475"/>
      <c r="C282" s="475"/>
      <c r="D282" s="475"/>
      <c r="E282" s="475"/>
      <c r="F282" s="99"/>
      <c r="G282" s="475"/>
      <c r="H282" s="475"/>
      <c r="I282" s="475"/>
      <c r="J282" s="475"/>
      <c r="K282" s="475"/>
      <c r="L282" s="475"/>
      <c r="M282" s="475"/>
      <c r="N282" s="475"/>
      <c r="O282" s="475"/>
      <c r="P282" s="475"/>
      <c r="Q282" s="475"/>
      <c r="R282" s="475"/>
      <c r="S282" s="475"/>
      <c r="T282" s="475"/>
      <c r="U282" s="475"/>
      <c r="V282" s="475"/>
      <c r="W282" s="475"/>
      <c r="X282" s="475"/>
      <c r="Y282" s="475"/>
      <c r="Z282" s="475"/>
      <c r="AA282" s="475"/>
      <c r="AB282" s="475"/>
      <c r="AC282" s="475"/>
      <c r="AD282" s="475"/>
      <c r="AE282" s="475"/>
      <c r="AF282" s="475"/>
      <c r="AG282" s="475"/>
      <c r="AH282" s="475"/>
      <c r="AI282" s="459"/>
      <c r="AJ282" s="475"/>
      <c r="AK282" s="475"/>
      <c r="AL282" s="475"/>
      <c r="AM282" s="475"/>
      <c r="AN282" s="475"/>
      <c r="AO282" s="475"/>
      <c r="AP282" s="475"/>
      <c r="AQ282" s="475"/>
      <c r="AR282" s="475"/>
      <c r="AS282" s="475"/>
      <c r="AT282" s="475"/>
      <c r="AU282" s="475"/>
      <c r="AV282" s="475"/>
      <c r="AW282" s="475"/>
      <c r="AX282" s="475"/>
      <c r="AY282" s="475"/>
      <c r="AZ282" s="459"/>
      <c r="BA282" s="459"/>
      <c r="BB282" s="459"/>
      <c r="BC282" s="459"/>
      <c r="BD282" s="459"/>
      <c r="BE282" s="459"/>
      <c r="BF282" s="459"/>
      <c r="BG282" s="459"/>
      <c r="BH282" s="459"/>
      <c r="BI282" s="459"/>
      <c r="BJ282" s="459"/>
      <c r="BK282" s="459"/>
      <c r="BL282" s="459"/>
      <c r="BM282" s="474"/>
      <c r="BN282" s="474"/>
      <c r="BO282" s="474"/>
      <c r="BP282" s="474"/>
      <c r="BQ282" s="475"/>
      <c r="BR282" s="475"/>
    </row>
    <row r="283" ht="15.75" customHeight="1">
      <c r="A283" s="475"/>
      <c r="B283" s="475"/>
      <c r="C283" s="475"/>
      <c r="D283" s="475"/>
      <c r="E283" s="475"/>
      <c r="F283" s="99"/>
      <c r="G283" s="475"/>
      <c r="H283" s="475"/>
      <c r="I283" s="475"/>
      <c r="J283" s="475"/>
      <c r="K283" s="475"/>
      <c r="L283" s="475"/>
      <c r="M283" s="475"/>
      <c r="N283" s="475"/>
      <c r="O283" s="475"/>
      <c r="P283" s="475"/>
      <c r="Q283" s="475"/>
      <c r="R283" s="475"/>
      <c r="S283" s="475"/>
      <c r="T283" s="475"/>
      <c r="U283" s="475"/>
      <c r="V283" s="475"/>
      <c r="W283" s="475"/>
      <c r="X283" s="475"/>
      <c r="Y283" s="475"/>
      <c r="Z283" s="475"/>
      <c r="AA283" s="475"/>
      <c r="AB283" s="475"/>
      <c r="AC283" s="475"/>
      <c r="AD283" s="475"/>
      <c r="AE283" s="475"/>
      <c r="AF283" s="475"/>
      <c r="AG283" s="475"/>
      <c r="AH283" s="475"/>
      <c r="AI283" s="459"/>
      <c r="AJ283" s="475"/>
      <c r="AK283" s="475"/>
      <c r="AL283" s="475"/>
      <c r="AM283" s="475"/>
      <c r="AN283" s="475"/>
      <c r="AO283" s="475"/>
      <c r="AP283" s="475"/>
      <c r="AQ283" s="475"/>
      <c r="AR283" s="475"/>
      <c r="AS283" s="475"/>
      <c r="AT283" s="475"/>
      <c r="AU283" s="475"/>
      <c r="AV283" s="475"/>
      <c r="AW283" s="475"/>
      <c r="AX283" s="475"/>
      <c r="AY283" s="475"/>
      <c r="AZ283" s="459"/>
      <c r="BA283" s="459"/>
      <c r="BB283" s="459"/>
      <c r="BC283" s="459"/>
      <c r="BD283" s="459"/>
      <c r="BE283" s="459"/>
      <c r="BF283" s="459"/>
      <c r="BG283" s="459"/>
      <c r="BH283" s="459"/>
      <c r="BI283" s="459"/>
      <c r="BJ283" s="459"/>
      <c r="BK283" s="459"/>
      <c r="BL283" s="459"/>
      <c r="BM283" s="474"/>
      <c r="BN283" s="474"/>
      <c r="BO283" s="474"/>
      <c r="BP283" s="474"/>
      <c r="BQ283" s="475"/>
      <c r="BR283" s="475"/>
    </row>
    <row r="284" ht="15.75" customHeight="1">
      <c r="A284" s="475"/>
      <c r="B284" s="475"/>
      <c r="C284" s="475"/>
      <c r="D284" s="475"/>
      <c r="E284" s="475"/>
      <c r="F284" s="99"/>
      <c r="G284" s="475"/>
      <c r="H284" s="475"/>
      <c r="I284" s="475"/>
      <c r="J284" s="475"/>
      <c r="K284" s="475"/>
      <c r="L284" s="475"/>
      <c r="M284" s="475"/>
      <c r="N284" s="475"/>
      <c r="O284" s="475"/>
      <c r="P284" s="475"/>
      <c r="Q284" s="475"/>
      <c r="R284" s="475"/>
      <c r="S284" s="475"/>
      <c r="T284" s="475"/>
      <c r="U284" s="475"/>
      <c r="V284" s="475"/>
      <c r="W284" s="475"/>
      <c r="X284" s="475"/>
      <c r="Y284" s="475"/>
      <c r="Z284" s="475"/>
      <c r="AA284" s="475"/>
      <c r="AB284" s="475"/>
      <c r="AC284" s="475"/>
      <c r="AD284" s="475"/>
      <c r="AE284" s="475"/>
      <c r="AF284" s="475"/>
      <c r="AG284" s="475"/>
      <c r="AH284" s="475"/>
      <c r="AI284" s="459"/>
      <c r="AJ284" s="475"/>
      <c r="AK284" s="475"/>
      <c r="AL284" s="475"/>
      <c r="AM284" s="475"/>
      <c r="AN284" s="475"/>
      <c r="AO284" s="475"/>
      <c r="AP284" s="475"/>
      <c r="AQ284" s="475"/>
      <c r="AR284" s="475"/>
      <c r="AS284" s="475"/>
      <c r="AT284" s="475"/>
      <c r="AU284" s="475"/>
      <c r="AV284" s="475"/>
      <c r="AW284" s="475"/>
      <c r="AX284" s="475"/>
      <c r="AY284" s="475"/>
      <c r="AZ284" s="459"/>
      <c r="BA284" s="459"/>
      <c r="BB284" s="459"/>
      <c r="BC284" s="459"/>
      <c r="BD284" s="459"/>
      <c r="BE284" s="459"/>
      <c r="BF284" s="459"/>
      <c r="BG284" s="459"/>
      <c r="BH284" s="459"/>
      <c r="BI284" s="459"/>
      <c r="BJ284" s="459"/>
      <c r="BK284" s="459"/>
      <c r="BL284" s="459"/>
      <c r="BM284" s="474"/>
      <c r="BN284" s="474"/>
      <c r="BO284" s="474"/>
      <c r="BP284" s="474"/>
      <c r="BQ284" s="475"/>
      <c r="BR284" s="475"/>
    </row>
    <row r="285" ht="15.75" customHeight="1">
      <c r="A285" s="475"/>
      <c r="B285" s="475"/>
      <c r="C285" s="475"/>
      <c r="D285" s="475"/>
      <c r="E285" s="475"/>
      <c r="F285" s="99"/>
      <c r="G285" s="475"/>
      <c r="H285" s="475"/>
      <c r="I285" s="475"/>
      <c r="J285" s="475"/>
      <c r="K285" s="475"/>
      <c r="L285" s="475"/>
      <c r="M285" s="475"/>
      <c r="N285" s="475"/>
      <c r="O285" s="475"/>
      <c r="P285" s="475"/>
      <c r="Q285" s="475"/>
      <c r="R285" s="475"/>
      <c r="S285" s="475"/>
      <c r="T285" s="475"/>
      <c r="U285" s="475"/>
      <c r="V285" s="475"/>
      <c r="W285" s="475"/>
      <c r="X285" s="475"/>
      <c r="Y285" s="475"/>
      <c r="Z285" s="475"/>
      <c r="AA285" s="475"/>
      <c r="AB285" s="475"/>
      <c r="AC285" s="475"/>
      <c r="AD285" s="475"/>
      <c r="AE285" s="475"/>
      <c r="AF285" s="475"/>
      <c r="AG285" s="475"/>
      <c r="AH285" s="475"/>
      <c r="AI285" s="459"/>
      <c r="AJ285" s="475"/>
      <c r="AK285" s="475"/>
      <c r="AL285" s="475"/>
      <c r="AM285" s="475"/>
      <c r="AN285" s="475"/>
      <c r="AO285" s="475"/>
      <c r="AP285" s="475"/>
      <c r="AQ285" s="475"/>
      <c r="AR285" s="475"/>
      <c r="AS285" s="475"/>
      <c r="AT285" s="475"/>
      <c r="AU285" s="475"/>
      <c r="AV285" s="475"/>
      <c r="AW285" s="475"/>
      <c r="AX285" s="475"/>
      <c r="AY285" s="475"/>
      <c r="AZ285" s="459"/>
      <c r="BA285" s="459"/>
      <c r="BB285" s="459"/>
      <c r="BC285" s="459"/>
      <c r="BD285" s="459"/>
      <c r="BE285" s="459"/>
      <c r="BF285" s="459"/>
      <c r="BG285" s="459"/>
      <c r="BH285" s="459"/>
      <c r="BI285" s="459"/>
      <c r="BJ285" s="459"/>
      <c r="BK285" s="459"/>
      <c r="BL285" s="459"/>
      <c r="BM285" s="474"/>
      <c r="BN285" s="474"/>
      <c r="BO285" s="474"/>
      <c r="BP285" s="474"/>
      <c r="BQ285" s="475"/>
      <c r="BR285" s="475"/>
    </row>
    <row r="286" ht="15.75" customHeight="1">
      <c r="A286" s="475"/>
      <c r="B286" s="475"/>
      <c r="C286" s="475"/>
      <c r="D286" s="475"/>
      <c r="E286" s="475"/>
      <c r="F286" s="99"/>
      <c r="G286" s="475"/>
      <c r="H286" s="475"/>
      <c r="I286" s="475"/>
      <c r="J286" s="475"/>
      <c r="K286" s="475"/>
      <c r="L286" s="475"/>
      <c r="M286" s="475"/>
      <c r="N286" s="475"/>
      <c r="O286" s="475"/>
      <c r="P286" s="475"/>
      <c r="Q286" s="475"/>
      <c r="R286" s="475"/>
      <c r="S286" s="475"/>
      <c r="T286" s="475"/>
      <c r="U286" s="475"/>
      <c r="V286" s="475"/>
      <c r="W286" s="475"/>
      <c r="X286" s="475"/>
      <c r="Y286" s="475"/>
      <c r="Z286" s="475"/>
      <c r="AA286" s="475"/>
      <c r="AB286" s="475"/>
      <c r="AC286" s="475"/>
      <c r="AD286" s="475"/>
      <c r="AE286" s="475"/>
      <c r="AF286" s="475"/>
      <c r="AG286" s="475"/>
      <c r="AH286" s="475"/>
      <c r="AI286" s="459"/>
      <c r="AJ286" s="475"/>
      <c r="AK286" s="475"/>
      <c r="AL286" s="475"/>
      <c r="AM286" s="475"/>
      <c r="AN286" s="475"/>
      <c r="AO286" s="475"/>
      <c r="AP286" s="475"/>
      <c r="AQ286" s="475"/>
      <c r="AR286" s="475"/>
      <c r="AS286" s="475"/>
      <c r="AT286" s="475"/>
      <c r="AU286" s="475"/>
      <c r="AV286" s="475"/>
      <c r="AW286" s="475"/>
      <c r="AX286" s="475"/>
      <c r="AY286" s="475"/>
      <c r="AZ286" s="459"/>
      <c r="BA286" s="459"/>
      <c r="BB286" s="459"/>
      <c r="BC286" s="459"/>
      <c r="BD286" s="459"/>
      <c r="BE286" s="459"/>
      <c r="BF286" s="459"/>
      <c r="BG286" s="459"/>
      <c r="BH286" s="459"/>
      <c r="BI286" s="459"/>
      <c r="BJ286" s="459"/>
      <c r="BK286" s="459"/>
      <c r="BL286" s="459"/>
      <c r="BM286" s="474"/>
      <c r="BN286" s="474"/>
      <c r="BO286" s="474"/>
      <c r="BP286" s="474"/>
      <c r="BQ286" s="475"/>
      <c r="BR286" s="475"/>
    </row>
    <row r="287" ht="15.75" customHeight="1">
      <c r="A287" s="475"/>
      <c r="B287" s="475"/>
      <c r="C287" s="475"/>
      <c r="D287" s="475"/>
      <c r="E287" s="475"/>
      <c r="F287" s="99"/>
      <c r="G287" s="475"/>
      <c r="H287" s="475"/>
      <c r="I287" s="475"/>
      <c r="J287" s="475"/>
      <c r="K287" s="475"/>
      <c r="L287" s="475"/>
      <c r="M287" s="475"/>
      <c r="N287" s="475"/>
      <c r="O287" s="475"/>
      <c r="P287" s="475"/>
      <c r="Q287" s="475"/>
      <c r="R287" s="475"/>
      <c r="S287" s="475"/>
      <c r="T287" s="475"/>
      <c r="U287" s="475"/>
      <c r="V287" s="475"/>
      <c r="W287" s="475"/>
      <c r="X287" s="475"/>
      <c r="Y287" s="475"/>
      <c r="Z287" s="475"/>
      <c r="AA287" s="475"/>
      <c r="AB287" s="475"/>
      <c r="AC287" s="475"/>
      <c r="AD287" s="475"/>
      <c r="AE287" s="475"/>
      <c r="AF287" s="475"/>
      <c r="AG287" s="475"/>
      <c r="AH287" s="475"/>
      <c r="AI287" s="459"/>
      <c r="AJ287" s="475"/>
      <c r="AK287" s="475"/>
      <c r="AL287" s="475"/>
      <c r="AM287" s="475"/>
      <c r="AN287" s="475"/>
      <c r="AO287" s="475"/>
      <c r="AP287" s="475"/>
      <c r="AQ287" s="475"/>
      <c r="AR287" s="475"/>
      <c r="AS287" s="475"/>
      <c r="AT287" s="475"/>
      <c r="AU287" s="475"/>
      <c r="AV287" s="475"/>
      <c r="AW287" s="475"/>
      <c r="AX287" s="475"/>
      <c r="AY287" s="475"/>
      <c r="AZ287" s="459"/>
      <c r="BA287" s="459"/>
      <c r="BB287" s="459"/>
      <c r="BC287" s="459"/>
      <c r="BD287" s="459"/>
      <c r="BE287" s="459"/>
      <c r="BF287" s="459"/>
      <c r="BG287" s="459"/>
      <c r="BH287" s="459"/>
      <c r="BI287" s="459"/>
      <c r="BJ287" s="459"/>
      <c r="BK287" s="459"/>
      <c r="BL287" s="459"/>
      <c r="BM287" s="474"/>
      <c r="BN287" s="474"/>
      <c r="BO287" s="474"/>
      <c r="BP287" s="474"/>
      <c r="BQ287" s="475"/>
      <c r="BR287" s="475"/>
    </row>
    <row r="288" ht="15.75" customHeight="1">
      <c r="A288" s="475"/>
      <c r="B288" s="475"/>
      <c r="C288" s="475"/>
      <c r="D288" s="475"/>
      <c r="E288" s="475"/>
      <c r="F288" s="99"/>
      <c r="G288" s="475"/>
      <c r="H288" s="475"/>
      <c r="I288" s="475"/>
      <c r="J288" s="475"/>
      <c r="K288" s="475"/>
      <c r="L288" s="475"/>
      <c r="M288" s="475"/>
      <c r="N288" s="475"/>
      <c r="O288" s="475"/>
      <c r="P288" s="475"/>
      <c r="Q288" s="475"/>
      <c r="R288" s="475"/>
      <c r="S288" s="475"/>
      <c r="T288" s="475"/>
      <c r="U288" s="475"/>
      <c r="V288" s="475"/>
      <c r="W288" s="475"/>
      <c r="X288" s="475"/>
      <c r="Y288" s="475"/>
      <c r="Z288" s="475"/>
      <c r="AA288" s="475"/>
      <c r="AB288" s="475"/>
      <c r="AC288" s="475"/>
      <c r="AD288" s="475"/>
      <c r="AE288" s="475"/>
      <c r="AF288" s="475"/>
      <c r="AG288" s="475"/>
      <c r="AH288" s="475"/>
      <c r="AI288" s="459"/>
      <c r="AJ288" s="475"/>
      <c r="AK288" s="475"/>
      <c r="AL288" s="475"/>
      <c r="AM288" s="475"/>
      <c r="AN288" s="475"/>
      <c r="AO288" s="475"/>
      <c r="AP288" s="475"/>
      <c r="AQ288" s="475"/>
      <c r="AR288" s="475"/>
      <c r="AS288" s="475"/>
      <c r="AT288" s="475"/>
      <c r="AU288" s="475"/>
      <c r="AV288" s="475"/>
      <c r="AW288" s="475"/>
      <c r="AX288" s="475"/>
      <c r="AY288" s="475"/>
      <c r="AZ288" s="459"/>
      <c r="BA288" s="459"/>
      <c r="BB288" s="459"/>
      <c r="BC288" s="459"/>
      <c r="BD288" s="459"/>
      <c r="BE288" s="459"/>
      <c r="BF288" s="459"/>
      <c r="BG288" s="459"/>
      <c r="BH288" s="459"/>
      <c r="BI288" s="459"/>
      <c r="BJ288" s="459"/>
      <c r="BK288" s="459"/>
      <c r="BL288" s="459"/>
      <c r="BM288" s="474"/>
      <c r="BN288" s="474"/>
      <c r="BO288" s="474"/>
      <c r="BP288" s="474"/>
      <c r="BQ288" s="475"/>
      <c r="BR288" s="475"/>
    </row>
    <row r="289" ht="15.75" customHeight="1">
      <c r="A289" s="475"/>
      <c r="B289" s="475"/>
      <c r="C289" s="475"/>
      <c r="D289" s="475"/>
      <c r="E289" s="475"/>
      <c r="F289" s="99"/>
      <c r="G289" s="475"/>
      <c r="H289" s="475"/>
      <c r="I289" s="475"/>
      <c r="J289" s="475"/>
      <c r="K289" s="475"/>
      <c r="L289" s="475"/>
      <c r="M289" s="475"/>
      <c r="N289" s="475"/>
      <c r="O289" s="475"/>
      <c r="P289" s="475"/>
      <c r="Q289" s="475"/>
      <c r="R289" s="475"/>
      <c r="S289" s="475"/>
      <c r="T289" s="475"/>
      <c r="U289" s="475"/>
      <c r="V289" s="475"/>
      <c r="W289" s="475"/>
      <c r="X289" s="475"/>
      <c r="Y289" s="475"/>
      <c r="Z289" s="475"/>
      <c r="AA289" s="475"/>
      <c r="AB289" s="475"/>
      <c r="AC289" s="475"/>
      <c r="AD289" s="475"/>
      <c r="AE289" s="475"/>
      <c r="AF289" s="475"/>
      <c r="AG289" s="475"/>
      <c r="AH289" s="475"/>
      <c r="AI289" s="459"/>
      <c r="AJ289" s="475"/>
      <c r="AK289" s="475"/>
      <c r="AL289" s="475"/>
      <c r="AM289" s="475"/>
      <c r="AN289" s="475"/>
      <c r="AO289" s="475"/>
      <c r="AP289" s="475"/>
      <c r="AQ289" s="475"/>
      <c r="AR289" s="475"/>
      <c r="AS289" s="475"/>
      <c r="AT289" s="475"/>
      <c r="AU289" s="475"/>
      <c r="AV289" s="475"/>
      <c r="AW289" s="475"/>
      <c r="AX289" s="475"/>
      <c r="AY289" s="475"/>
      <c r="AZ289" s="459"/>
      <c r="BA289" s="459"/>
      <c r="BB289" s="459"/>
      <c r="BC289" s="459"/>
      <c r="BD289" s="459"/>
      <c r="BE289" s="459"/>
      <c r="BF289" s="459"/>
      <c r="BG289" s="459"/>
      <c r="BH289" s="459"/>
      <c r="BI289" s="459"/>
      <c r="BJ289" s="459"/>
      <c r="BK289" s="459"/>
      <c r="BL289" s="459"/>
      <c r="BM289" s="474"/>
      <c r="BN289" s="474"/>
      <c r="BO289" s="474"/>
      <c r="BP289" s="474"/>
      <c r="BQ289" s="475"/>
      <c r="BR289" s="475"/>
    </row>
    <row r="290" ht="15.75" customHeight="1">
      <c r="A290" s="475"/>
      <c r="B290" s="475"/>
      <c r="C290" s="475"/>
      <c r="D290" s="475"/>
      <c r="E290" s="475"/>
      <c r="F290" s="99"/>
      <c r="G290" s="475"/>
      <c r="H290" s="475"/>
      <c r="I290" s="475"/>
      <c r="J290" s="475"/>
      <c r="K290" s="475"/>
      <c r="L290" s="475"/>
      <c r="M290" s="475"/>
      <c r="N290" s="475"/>
      <c r="O290" s="475"/>
      <c r="P290" s="475"/>
      <c r="Q290" s="475"/>
      <c r="R290" s="475"/>
      <c r="S290" s="475"/>
      <c r="T290" s="475"/>
      <c r="U290" s="475"/>
      <c r="V290" s="475"/>
      <c r="W290" s="475"/>
      <c r="X290" s="475"/>
      <c r="Y290" s="475"/>
      <c r="Z290" s="475"/>
      <c r="AA290" s="475"/>
      <c r="AB290" s="475"/>
      <c r="AC290" s="475"/>
      <c r="AD290" s="475"/>
      <c r="AE290" s="475"/>
      <c r="AF290" s="475"/>
      <c r="AG290" s="475"/>
      <c r="AH290" s="475"/>
      <c r="AI290" s="459"/>
      <c r="AJ290" s="475"/>
      <c r="AK290" s="475"/>
      <c r="AL290" s="475"/>
      <c r="AM290" s="475"/>
      <c r="AN290" s="475"/>
      <c r="AO290" s="475"/>
      <c r="AP290" s="475"/>
      <c r="AQ290" s="475"/>
      <c r="AR290" s="475"/>
      <c r="AS290" s="475"/>
      <c r="AT290" s="475"/>
      <c r="AU290" s="475"/>
      <c r="AV290" s="475"/>
      <c r="AW290" s="475"/>
      <c r="AX290" s="475"/>
      <c r="AY290" s="475"/>
      <c r="AZ290" s="459"/>
      <c r="BA290" s="459"/>
      <c r="BB290" s="459"/>
      <c r="BC290" s="459"/>
      <c r="BD290" s="459"/>
      <c r="BE290" s="459"/>
      <c r="BF290" s="459"/>
      <c r="BG290" s="459"/>
      <c r="BH290" s="459"/>
      <c r="BI290" s="459"/>
      <c r="BJ290" s="459"/>
      <c r="BK290" s="459"/>
      <c r="BL290" s="459"/>
      <c r="BM290" s="474"/>
      <c r="BN290" s="474"/>
      <c r="BO290" s="474"/>
      <c r="BP290" s="474"/>
      <c r="BQ290" s="475"/>
      <c r="BR290" s="475"/>
    </row>
    <row r="291" ht="15.75" customHeight="1">
      <c r="A291" s="475"/>
      <c r="B291" s="475"/>
      <c r="C291" s="475"/>
      <c r="D291" s="475"/>
      <c r="E291" s="475"/>
      <c r="F291" s="99"/>
      <c r="G291" s="475"/>
      <c r="H291" s="475"/>
      <c r="I291" s="475"/>
      <c r="J291" s="475"/>
      <c r="K291" s="475"/>
      <c r="L291" s="475"/>
      <c r="M291" s="475"/>
      <c r="N291" s="475"/>
      <c r="O291" s="475"/>
      <c r="P291" s="475"/>
      <c r="Q291" s="475"/>
      <c r="R291" s="475"/>
      <c r="S291" s="475"/>
      <c r="T291" s="475"/>
      <c r="U291" s="475"/>
      <c r="V291" s="475"/>
      <c r="W291" s="475"/>
      <c r="X291" s="475"/>
      <c r="Y291" s="475"/>
      <c r="Z291" s="475"/>
      <c r="AA291" s="475"/>
      <c r="AB291" s="475"/>
      <c r="AC291" s="475"/>
      <c r="AD291" s="475"/>
      <c r="AE291" s="475"/>
      <c r="AF291" s="475"/>
      <c r="AG291" s="475"/>
      <c r="AH291" s="475"/>
      <c r="AI291" s="459"/>
      <c r="AJ291" s="475"/>
      <c r="AK291" s="475"/>
      <c r="AL291" s="475"/>
      <c r="AM291" s="475"/>
      <c r="AN291" s="475"/>
      <c r="AO291" s="475"/>
      <c r="AP291" s="475"/>
      <c r="AQ291" s="475"/>
      <c r="AR291" s="475"/>
      <c r="AS291" s="475"/>
      <c r="AT291" s="475"/>
      <c r="AU291" s="475"/>
      <c r="AV291" s="475"/>
      <c r="AW291" s="475"/>
      <c r="AX291" s="475"/>
      <c r="AY291" s="475"/>
      <c r="AZ291" s="459"/>
      <c r="BA291" s="459"/>
      <c r="BB291" s="459"/>
      <c r="BC291" s="459"/>
      <c r="BD291" s="459"/>
      <c r="BE291" s="459"/>
      <c r="BF291" s="459"/>
      <c r="BG291" s="459"/>
      <c r="BH291" s="459"/>
      <c r="BI291" s="459"/>
      <c r="BJ291" s="459"/>
      <c r="BK291" s="459"/>
      <c r="BL291" s="459"/>
      <c r="BM291" s="474"/>
      <c r="BN291" s="474"/>
      <c r="BO291" s="474"/>
      <c r="BP291" s="474"/>
      <c r="BQ291" s="475"/>
      <c r="BR291" s="475"/>
    </row>
    <row r="292" ht="15.75" customHeight="1">
      <c r="A292" s="475"/>
      <c r="B292" s="475"/>
      <c r="C292" s="475"/>
      <c r="D292" s="475"/>
      <c r="E292" s="475"/>
      <c r="F292" s="99"/>
      <c r="G292" s="475"/>
      <c r="H292" s="475"/>
      <c r="I292" s="475"/>
      <c r="J292" s="475"/>
      <c r="K292" s="475"/>
      <c r="L292" s="475"/>
      <c r="M292" s="475"/>
      <c r="N292" s="475"/>
      <c r="O292" s="475"/>
      <c r="P292" s="475"/>
      <c r="Q292" s="475"/>
      <c r="R292" s="475"/>
      <c r="S292" s="475"/>
      <c r="T292" s="475"/>
      <c r="U292" s="475"/>
      <c r="V292" s="475"/>
      <c r="W292" s="475"/>
      <c r="X292" s="475"/>
      <c r="Y292" s="475"/>
      <c r="Z292" s="475"/>
      <c r="AA292" s="475"/>
      <c r="AB292" s="475"/>
      <c r="AC292" s="475"/>
      <c r="AD292" s="475"/>
      <c r="AE292" s="475"/>
      <c r="AF292" s="475"/>
      <c r="AG292" s="475"/>
      <c r="AH292" s="475"/>
      <c r="AI292" s="459"/>
      <c r="AJ292" s="475"/>
      <c r="AK292" s="475"/>
      <c r="AL292" s="475"/>
      <c r="AM292" s="475"/>
      <c r="AN292" s="475"/>
      <c r="AO292" s="475"/>
      <c r="AP292" s="475"/>
      <c r="AQ292" s="475"/>
      <c r="AR292" s="475"/>
      <c r="AS292" s="475"/>
      <c r="AT292" s="475"/>
      <c r="AU292" s="475"/>
      <c r="AV292" s="475"/>
      <c r="AW292" s="475"/>
      <c r="AX292" s="475"/>
      <c r="AY292" s="475"/>
      <c r="AZ292" s="459"/>
      <c r="BA292" s="459"/>
      <c r="BB292" s="459"/>
      <c r="BC292" s="459"/>
      <c r="BD292" s="459"/>
      <c r="BE292" s="459"/>
      <c r="BF292" s="459"/>
      <c r="BG292" s="459"/>
      <c r="BH292" s="459"/>
      <c r="BI292" s="459"/>
      <c r="BJ292" s="459"/>
      <c r="BK292" s="459"/>
      <c r="BL292" s="459"/>
      <c r="BM292" s="474"/>
      <c r="BN292" s="474"/>
      <c r="BO292" s="474"/>
      <c r="BP292" s="474"/>
      <c r="BQ292" s="475"/>
      <c r="BR292" s="475"/>
    </row>
    <row r="293" ht="15.75" customHeight="1">
      <c r="A293" s="475"/>
      <c r="B293" s="475"/>
      <c r="C293" s="475"/>
      <c r="D293" s="475"/>
      <c r="E293" s="475"/>
      <c r="F293" s="99"/>
      <c r="G293" s="475"/>
      <c r="H293" s="475"/>
      <c r="I293" s="475"/>
      <c r="J293" s="475"/>
      <c r="K293" s="475"/>
      <c r="L293" s="475"/>
      <c r="M293" s="475"/>
      <c r="N293" s="475"/>
      <c r="O293" s="475"/>
      <c r="P293" s="475"/>
      <c r="Q293" s="475"/>
      <c r="R293" s="475"/>
      <c r="S293" s="475"/>
      <c r="T293" s="475"/>
      <c r="U293" s="475"/>
      <c r="V293" s="475"/>
      <c r="W293" s="475"/>
      <c r="X293" s="475"/>
      <c r="Y293" s="475"/>
      <c r="Z293" s="475"/>
      <c r="AA293" s="475"/>
      <c r="AB293" s="475"/>
      <c r="AC293" s="475"/>
      <c r="AD293" s="475"/>
      <c r="AE293" s="475"/>
      <c r="AF293" s="475"/>
      <c r="AG293" s="475"/>
      <c r="AH293" s="475"/>
      <c r="AI293" s="459"/>
      <c r="AJ293" s="475"/>
      <c r="AK293" s="475"/>
      <c r="AL293" s="475"/>
      <c r="AM293" s="475"/>
      <c r="AN293" s="475"/>
      <c r="AO293" s="475"/>
      <c r="AP293" s="475"/>
      <c r="AQ293" s="475"/>
      <c r="AR293" s="475"/>
      <c r="AS293" s="475"/>
      <c r="AT293" s="475"/>
      <c r="AU293" s="475"/>
      <c r="AV293" s="475"/>
      <c r="AW293" s="475"/>
      <c r="AX293" s="475"/>
      <c r="AY293" s="475"/>
      <c r="AZ293" s="459"/>
      <c r="BA293" s="459"/>
      <c r="BB293" s="459"/>
      <c r="BC293" s="459"/>
      <c r="BD293" s="459"/>
      <c r="BE293" s="459"/>
      <c r="BF293" s="459"/>
      <c r="BG293" s="459"/>
      <c r="BH293" s="459"/>
      <c r="BI293" s="459"/>
      <c r="BJ293" s="459"/>
      <c r="BK293" s="459"/>
      <c r="BL293" s="459"/>
      <c r="BM293" s="474"/>
      <c r="BN293" s="474"/>
      <c r="BO293" s="474"/>
      <c r="BP293" s="474"/>
      <c r="BQ293" s="475"/>
      <c r="BR293" s="475"/>
    </row>
    <row r="294" ht="15.75" customHeight="1">
      <c r="A294" s="475"/>
      <c r="B294" s="475"/>
      <c r="C294" s="475"/>
      <c r="D294" s="475"/>
      <c r="E294" s="475"/>
      <c r="F294" s="99"/>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c r="AC294" s="475"/>
      <c r="AD294" s="475"/>
      <c r="AE294" s="475"/>
      <c r="AF294" s="475"/>
      <c r="AG294" s="475"/>
      <c r="AH294" s="475"/>
      <c r="AI294" s="459"/>
      <c r="AJ294" s="475"/>
      <c r="AK294" s="475"/>
      <c r="AL294" s="475"/>
      <c r="AM294" s="475"/>
      <c r="AN294" s="475"/>
      <c r="AO294" s="475"/>
      <c r="AP294" s="475"/>
      <c r="AQ294" s="475"/>
      <c r="AR294" s="475"/>
      <c r="AS294" s="475"/>
      <c r="AT294" s="475"/>
      <c r="AU294" s="475"/>
      <c r="AV294" s="475"/>
      <c r="AW294" s="475"/>
      <c r="AX294" s="475"/>
      <c r="AY294" s="475"/>
      <c r="AZ294" s="459"/>
      <c r="BA294" s="459"/>
      <c r="BB294" s="459"/>
      <c r="BC294" s="459"/>
      <c r="BD294" s="459"/>
      <c r="BE294" s="459"/>
      <c r="BF294" s="459"/>
      <c r="BG294" s="459"/>
      <c r="BH294" s="459"/>
      <c r="BI294" s="459"/>
      <c r="BJ294" s="459"/>
      <c r="BK294" s="459"/>
      <c r="BL294" s="459"/>
      <c r="BM294" s="474"/>
      <c r="BN294" s="474"/>
      <c r="BO294" s="474"/>
      <c r="BP294" s="474"/>
      <c r="BQ294" s="475"/>
      <c r="BR294" s="475"/>
    </row>
    <row r="295" ht="15.75" customHeight="1">
      <c r="A295" s="475"/>
      <c r="B295" s="475"/>
      <c r="C295" s="475"/>
      <c r="D295" s="475"/>
      <c r="E295" s="475"/>
      <c r="F295" s="99"/>
      <c r="G295" s="475"/>
      <c r="H295" s="475"/>
      <c r="I295" s="475"/>
      <c r="J295" s="475"/>
      <c r="K295" s="475"/>
      <c r="L295" s="475"/>
      <c r="M295" s="475"/>
      <c r="N295" s="475"/>
      <c r="O295" s="475"/>
      <c r="P295" s="475"/>
      <c r="Q295" s="475"/>
      <c r="R295" s="475"/>
      <c r="S295" s="475"/>
      <c r="T295" s="475"/>
      <c r="U295" s="475"/>
      <c r="V295" s="475"/>
      <c r="W295" s="475"/>
      <c r="X295" s="475"/>
      <c r="Y295" s="475"/>
      <c r="Z295" s="475"/>
      <c r="AA295" s="475"/>
      <c r="AB295" s="475"/>
      <c r="AC295" s="475"/>
      <c r="AD295" s="475"/>
      <c r="AE295" s="475"/>
      <c r="AF295" s="475"/>
      <c r="AG295" s="475"/>
      <c r="AH295" s="475"/>
      <c r="AI295" s="459"/>
      <c r="AJ295" s="475"/>
      <c r="AK295" s="475"/>
      <c r="AL295" s="475"/>
      <c r="AM295" s="475"/>
      <c r="AN295" s="475"/>
      <c r="AO295" s="475"/>
      <c r="AP295" s="475"/>
      <c r="AQ295" s="475"/>
      <c r="AR295" s="475"/>
      <c r="AS295" s="475"/>
      <c r="AT295" s="475"/>
      <c r="AU295" s="475"/>
      <c r="AV295" s="475"/>
      <c r="AW295" s="475"/>
      <c r="AX295" s="475"/>
      <c r="AY295" s="475"/>
      <c r="AZ295" s="459"/>
      <c r="BA295" s="459"/>
      <c r="BB295" s="459"/>
      <c r="BC295" s="459"/>
      <c r="BD295" s="459"/>
      <c r="BE295" s="459"/>
      <c r="BF295" s="459"/>
      <c r="BG295" s="459"/>
      <c r="BH295" s="459"/>
      <c r="BI295" s="459"/>
      <c r="BJ295" s="459"/>
      <c r="BK295" s="459"/>
      <c r="BL295" s="459"/>
      <c r="BM295" s="474"/>
      <c r="BN295" s="474"/>
      <c r="BO295" s="474"/>
      <c r="BP295" s="474"/>
      <c r="BQ295" s="475"/>
      <c r="BR295" s="475"/>
    </row>
    <row r="296" ht="15.75" customHeight="1">
      <c r="A296" s="475"/>
      <c r="B296" s="475"/>
      <c r="C296" s="475"/>
      <c r="D296" s="475"/>
      <c r="E296" s="475"/>
      <c r="F296" s="99"/>
      <c r="G296" s="475"/>
      <c r="H296" s="475"/>
      <c r="I296" s="475"/>
      <c r="J296" s="475"/>
      <c r="K296" s="475"/>
      <c r="L296" s="475"/>
      <c r="M296" s="475"/>
      <c r="N296" s="475"/>
      <c r="O296" s="475"/>
      <c r="P296" s="475"/>
      <c r="Q296" s="475"/>
      <c r="R296" s="475"/>
      <c r="S296" s="475"/>
      <c r="T296" s="475"/>
      <c r="U296" s="475"/>
      <c r="V296" s="475"/>
      <c r="W296" s="475"/>
      <c r="X296" s="475"/>
      <c r="Y296" s="475"/>
      <c r="Z296" s="475"/>
      <c r="AA296" s="475"/>
      <c r="AB296" s="475"/>
      <c r="AC296" s="475"/>
      <c r="AD296" s="475"/>
      <c r="AE296" s="475"/>
      <c r="AF296" s="475"/>
      <c r="AG296" s="475"/>
      <c r="AH296" s="475"/>
      <c r="AI296" s="459"/>
      <c r="AJ296" s="475"/>
      <c r="AK296" s="475"/>
      <c r="AL296" s="475"/>
      <c r="AM296" s="475"/>
      <c r="AN296" s="475"/>
      <c r="AO296" s="475"/>
      <c r="AP296" s="475"/>
      <c r="AQ296" s="475"/>
      <c r="AR296" s="475"/>
      <c r="AS296" s="475"/>
      <c r="AT296" s="475"/>
      <c r="AU296" s="475"/>
      <c r="AV296" s="475"/>
      <c r="AW296" s="475"/>
      <c r="AX296" s="475"/>
      <c r="AY296" s="475"/>
      <c r="AZ296" s="459"/>
      <c r="BA296" s="459"/>
      <c r="BB296" s="459"/>
      <c r="BC296" s="459"/>
      <c r="BD296" s="459"/>
      <c r="BE296" s="459"/>
      <c r="BF296" s="459"/>
      <c r="BG296" s="459"/>
      <c r="BH296" s="459"/>
      <c r="BI296" s="459"/>
      <c r="BJ296" s="459"/>
      <c r="BK296" s="459"/>
      <c r="BL296" s="459"/>
      <c r="BM296" s="474"/>
      <c r="BN296" s="474"/>
      <c r="BO296" s="474"/>
      <c r="BP296" s="474"/>
      <c r="BQ296" s="475"/>
      <c r="BR296" s="475"/>
    </row>
    <row r="297" ht="15.75" customHeight="1">
      <c r="A297" s="475"/>
      <c r="B297" s="475"/>
      <c r="C297" s="475"/>
      <c r="D297" s="475"/>
      <c r="E297" s="475"/>
      <c r="F297" s="99"/>
      <c r="G297" s="475"/>
      <c r="H297" s="475"/>
      <c r="I297" s="475"/>
      <c r="J297" s="475"/>
      <c r="K297" s="475"/>
      <c r="L297" s="475"/>
      <c r="M297" s="475"/>
      <c r="N297" s="475"/>
      <c r="O297" s="475"/>
      <c r="P297" s="475"/>
      <c r="Q297" s="475"/>
      <c r="R297" s="475"/>
      <c r="S297" s="475"/>
      <c r="T297" s="475"/>
      <c r="U297" s="475"/>
      <c r="V297" s="475"/>
      <c r="W297" s="475"/>
      <c r="X297" s="475"/>
      <c r="Y297" s="475"/>
      <c r="Z297" s="475"/>
      <c r="AA297" s="475"/>
      <c r="AB297" s="475"/>
      <c r="AC297" s="475"/>
      <c r="AD297" s="475"/>
      <c r="AE297" s="475"/>
      <c r="AF297" s="475"/>
      <c r="AG297" s="475"/>
      <c r="AH297" s="475"/>
      <c r="AI297" s="459"/>
      <c r="AJ297" s="475"/>
      <c r="AK297" s="475"/>
      <c r="AL297" s="475"/>
      <c r="AM297" s="475"/>
      <c r="AN297" s="475"/>
      <c r="AO297" s="475"/>
      <c r="AP297" s="475"/>
      <c r="AQ297" s="475"/>
      <c r="AR297" s="475"/>
      <c r="AS297" s="475"/>
      <c r="AT297" s="475"/>
      <c r="AU297" s="475"/>
      <c r="AV297" s="475"/>
      <c r="AW297" s="475"/>
      <c r="AX297" s="475"/>
      <c r="AY297" s="475"/>
      <c r="AZ297" s="459"/>
      <c r="BA297" s="459"/>
      <c r="BB297" s="459"/>
      <c r="BC297" s="459"/>
      <c r="BD297" s="459"/>
      <c r="BE297" s="459"/>
      <c r="BF297" s="459"/>
      <c r="BG297" s="459"/>
      <c r="BH297" s="459"/>
      <c r="BI297" s="459"/>
      <c r="BJ297" s="459"/>
      <c r="BK297" s="459"/>
      <c r="BL297" s="459"/>
      <c r="BM297" s="474"/>
      <c r="BN297" s="474"/>
      <c r="BO297" s="474"/>
      <c r="BP297" s="474"/>
      <c r="BQ297" s="475"/>
      <c r="BR297" s="475"/>
    </row>
    <row r="298" ht="15.75" customHeight="1">
      <c r="A298" s="475"/>
      <c r="B298" s="475"/>
      <c r="C298" s="475"/>
      <c r="D298" s="475"/>
      <c r="E298" s="475"/>
      <c r="F298" s="99"/>
      <c r="G298" s="475"/>
      <c r="H298" s="475"/>
      <c r="I298" s="475"/>
      <c r="J298" s="475"/>
      <c r="K298" s="475"/>
      <c r="L298" s="475"/>
      <c r="M298" s="475"/>
      <c r="N298" s="475"/>
      <c r="O298" s="475"/>
      <c r="P298" s="475"/>
      <c r="Q298" s="475"/>
      <c r="R298" s="475"/>
      <c r="S298" s="475"/>
      <c r="T298" s="475"/>
      <c r="U298" s="475"/>
      <c r="V298" s="475"/>
      <c r="W298" s="475"/>
      <c r="X298" s="475"/>
      <c r="Y298" s="475"/>
      <c r="Z298" s="475"/>
      <c r="AA298" s="475"/>
      <c r="AB298" s="475"/>
      <c r="AC298" s="475"/>
      <c r="AD298" s="475"/>
      <c r="AE298" s="475"/>
      <c r="AF298" s="475"/>
      <c r="AG298" s="475"/>
      <c r="AH298" s="475"/>
      <c r="AI298" s="459"/>
      <c r="AJ298" s="475"/>
      <c r="AK298" s="475"/>
      <c r="AL298" s="475"/>
      <c r="AM298" s="475"/>
      <c r="AN298" s="475"/>
      <c r="AO298" s="475"/>
      <c r="AP298" s="475"/>
      <c r="AQ298" s="475"/>
      <c r="AR298" s="475"/>
      <c r="AS298" s="475"/>
      <c r="AT298" s="475"/>
      <c r="AU298" s="475"/>
      <c r="AV298" s="475"/>
      <c r="AW298" s="475"/>
      <c r="AX298" s="475"/>
      <c r="AY298" s="475"/>
      <c r="AZ298" s="459"/>
      <c r="BA298" s="459"/>
      <c r="BB298" s="459"/>
      <c r="BC298" s="459"/>
      <c r="BD298" s="459"/>
      <c r="BE298" s="459"/>
      <c r="BF298" s="459"/>
      <c r="BG298" s="459"/>
      <c r="BH298" s="459"/>
      <c r="BI298" s="459"/>
      <c r="BJ298" s="459"/>
      <c r="BK298" s="459"/>
      <c r="BL298" s="459"/>
      <c r="BM298" s="474"/>
      <c r="BN298" s="474"/>
      <c r="BO298" s="474"/>
      <c r="BP298" s="474"/>
      <c r="BQ298" s="475"/>
      <c r="BR298" s="475"/>
    </row>
    <row r="299" ht="15.75" customHeight="1">
      <c r="A299" s="475"/>
      <c r="B299" s="475"/>
      <c r="C299" s="475"/>
      <c r="D299" s="475"/>
      <c r="E299" s="475"/>
      <c r="F299" s="99"/>
      <c r="G299" s="475"/>
      <c r="H299" s="475"/>
      <c r="I299" s="475"/>
      <c r="J299" s="475"/>
      <c r="K299" s="475"/>
      <c r="L299" s="475"/>
      <c r="M299" s="475"/>
      <c r="N299" s="475"/>
      <c r="O299" s="475"/>
      <c r="P299" s="475"/>
      <c r="Q299" s="475"/>
      <c r="R299" s="475"/>
      <c r="S299" s="475"/>
      <c r="T299" s="475"/>
      <c r="U299" s="475"/>
      <c r="V299" s="475"/>
      <c r="W299" s="475"/>
      <c r="X299" s="475"/>
      <c r="Y299" s="475"/>
      <c r="Z299" s="475"/>
      <c r="AA299" s="475"/>
      <c r="AB299" s="475"/>
      <c r="AC299" s="475"/>
      <c r="AD299" s="475"/>
      <c r="AE299" s="475"/>
      <c r="AF299" s="475"/>
      <c r="AG299" s="475"/>
      <c r="AH299" s="475"/>
      <c r="AI299" s="459"/>
      <c r="AJ299" s="475"/>
      <c r="AK299" s="475"/>
      <c r="AL299" s="475"/>
      <c r="AM299" s="475"/>
      <c r="AN299" s="475"/>
      <c r="AO299" s="475"/>
      <c r="AP299" s="475"/>
      <c r="AQ299" s="475"/>
      <c r="AR299" s="475"/>
      <c r="AS299" s="475"/>
      <c r="AT299" s="475"/>
      <c r="AU299" s="475"/>
      <c r="AV299" s="475"/>
      <c r="AW299" s="475"/>
      <c r="AX299" s="475"/>
      <c r="AY299" s="475"/>
      <c r="AZ299" s="459"/>
      <c r="BA299" s="459"/>
      <c r="BB299" s="459"/>
      <c r="BC299" s="459"/>
      <c r="BD299" s="459"/>
      <c r="BE299" s="459"/>
      <c r="BF299" s="459"/>
      <c r="BG299" s="459"/>
      <c r="BH299" s="459"/>
      <c r="BI299" s="459"/>
      <c r="BJ299" s="459"/>
      <c r="BK299" s="459"/>
      <c r="BL299" s="459"/>
      <c r="BM299" s="474"/>
      <c r="BN299" s="474"/>
      <c r="BO299" s="474"/>
      <c r="BP299" s="474"/>
      <c r="BQ299" s="475"/>
      <c r="BR299" s="475"/>
    </row>
    <row r="300" ht="15.75" customHeight="1">
      <c r="A300" s="475"/>
      <c r="B300" s="475"/>
      <c r="C300" s="475"/>
      <c r="D300" s="475"/>
      <c r="E300" s="475"/>
      <c r="F300" s="99"/>
      <c r="G300" s="475"/>
      <c r="H300" s="475"/>
      <c r="I300" s="475"/>
      <c r="J300" s="475"/>
      <c r="K300" s="475"/>
      <c r="L300" s="475"/>
      <c r="M300" s="475"/>
      <c r="N300" s="475"/>
      <c r="O300" s="475"/>
      <c r="P300" s="475"/>
      <c r="Q300" s="475"/>
      <c r="R300" s="475"/>
      <c r="S300" s="475"/>
      <c r="T300" s="475"/>
      <c r="U300" s="475"/>
      <c r="V300" s="475"/>
      <c r="W300" s="475"/>
      <c r="X300" s="475"/>
      <c r="Y300" s="475"/>
      <c r="Z300" s="475"/>
      <c r="AA300" s="475"/>
      <c r="AB300" s="475"/>
      <c r="AC300" s="475"/>
      <c r="AD300" s="475"/>
      <c r="AE300" s="475"/>
      <c r="AF300" s="475"/>
      <c r="AG300" s="475"/>
      <c r="AH300" s="475"/>
      <c r="AI300" s="459"/>
      <c r="AJ300" s="475"/>
      <c r="AK300" s="475"/>
      <c r="AL300" s="475"/>
      <c r="AM300" s="475"/>
      <c r="AN300" s="475"/>
      <c r="AO300" s="475"/>
      <c r="AP300" s="475"/>
      <c r="AQ300" s="475"/>
      <c r="AR300" s="475"/>
      <c r="AS300" s="475"/>
      <c r="AT300" s="475"/>
      <c r="AU300" s="475"/>
      <c r="AV300" s="475"/>
      <c r="AW300" s="475"/>
      <c r="AX300" s="475"/>
      <c r="AY300" s="475"/>
      <c r="AZ300" s="459"/>
      <c r="BA300" s="459"/>
      <c r="BB300" s="459"/>
      <c r="BC300" s="459"/>
      <c r="BD300" s="459"/>
      <c r="BE300" s="459"/>
      <c r="BF300" s="459"/>
      <c r="BG300" s="459"/>
      <c r="BH300" s="459"/>
      <c r="BI300" s="459"/>
      <c r="BJ300" s="459"/>
      <c r="BK300" s="459"/>
      <c r="BL300" s="459"/>
      <c r="BM300" s="474"/>
      <c r="BN300" s="474"/>
      <c r="BO300" s="474"/>
      <c r="BP300" s="474"/>
      <c r="BQ300" s="475"/>
      <c r="BR300" s="475"/>
    </row>
    <row r="301" ht="15.75" customHeight="1">
      <c r="A301" s="475"/>
      <c r="B301" s="475"/>
      <c r="C301" s="475"/>
      <c r="D301" s="475"/>
      <c r="E301" s="475"/>
      <c r="F301" s="99"/>
      <c r="G301" s="475"/>
      <c r="H301" s="475"/>
      <c r="I301" s="475"/>
      <c r="J301" s="475"/>
      <c r="K301" s="475"/>
      <c r="L301" s="475"/>
      <c r="M301" s="475"/>
      <c r="N301" s="475"/>
      <c r="O301" s="475"/>
      <c r="P301" s="475"/>
      <c r="Q301" s="475"/>
      <c r="R301" s="475"/>
      <c r="S301" s="475"/>
      <c r="T301" s="475"/>
      <c r="U301" s="475"/>
      <c r="V301" s="475"/>
      <c r="W301" s="475"/>
      <c r="X301" s="475"/>
      <c r="Y301" s="475"/>
      <c r="Z301" s="475"/>
      <c r="AA301" s="475"/>
      <c r="AB301" s="475"/>
      <c r="AC301" s="475"/>
      <c r="AD301" s="475"/>
      <c r="AE301" s="475"/>
      <c r="AF301" s="475"/>
      <c r="AG301" s="475"/>
      <c r="AH301" s="475"/>
      <c r="AI301" s="459"/>
      <c r="AJ301" s="475"/>
      <c r="AK301" s="475"/>
      <c r="AL301" s="475"/>
      <c r="AM301" s="475"/>
      <c r="AN301" s="475"/>
      <c r="AO301" s="475"/>
      <c r="AP301" s="475"/>
      <c r="AQ301" s="475"/>
      <c r="AR301" s="475"/>
      <c r="AS301" s="475"/>
      <c r="AT301" s="475"/>
      <c r="AU301" s="475"/>
      <c r="AV301" s="475"/>
      <c r="AW301" s="475"/>
      <c r="AX301" s="475"/>
      <c r="AY301" s="475"/>
      <c r="AZ301" s="459"/>
      <c r="BA301" s="459"/>
      <c r="BB301" s="459"/>
      <c r="BC301" s="459"/>
      <c r="BD301" s="459"/>
      <c r="BE301" s="459"/>
      <c r="BF301" s="459"/>
      <c r="BG301" s="459"/>
      <c r="BH301" s="459"/>
      <c r="BI301" s="459"/>
      <c r="BJ301" s="459"/>
      <c r="BK301" s="459"/>
      <c r="BL301" s="459"/>
      <c r="BM301" s="474"/>
      <c r="BN301" s="474"/>
      <c r="BO301" s="474"/>
      <c r="BP301" s="474"/>
      <c r="BQ301" s="475"/>
      <c r="BR301" s="475"/>
    </row>
    <row r="302" ht="15.75" customHeight="1">
      <c r="A302" s="475"/>
      <c r="B302" s="475"/>
      <c r="C302" s="475"/>
      <c r="D302" s="475"/>
      <c r="E302" s="475"/>
      <c r="F302" s="99"/>
      <c r="G302" s="475"/>
      <c r="H302" s="475"/>
      <c r="I302" s="475"/>
      <c r="J302" s="475"/>
      <c r="K302" s="475"/>
      <c r="L302" s="475"/>
      <c r="M302" s="475"/>
      <c r="N302" s="475"/>
      <c r="O302" s="475"/>
      <c r="P302" s="475"/>
      <c r="Q302" s="475"/>
      <c r="R302" s="475"/>
      <c r="S302" s="475"/>
      <c r="T302" s="475"/>
      <c r="U302" s="475"/>
      <c r="V302" s="475"/>
      <c r="W302" s="475"/>
      <c r="X302" s="475"/>
      <c r="Y302" s="475"/>
      <c r="Z302" s="475"/>
      <c r="AA302" s="475"/>
      <c r="AB302" s="475"/>
      <c r="AC302" s="475"/>
      <c r="AD302" s="475"/>
      <c r="AE302" s="475"/>
      <c r="AF302" s="475"/>
      <c r="AG302" s="475"/>
      <c r="AH302" s="475"/>
      <c r="AI302" s="459"/>
      <c r="AJ302" s="475"/>
      <c r="AK302" s="475"/>
      <c r="AL302" s="475"/>
      <c r="AM302" s="475"/>
      <c r="AN302" s="475"/>
      <c r="AO302" s="475"/>
      <c r="AP302" s="475"/>
      <c r="AQ302" s="475"/>
      <c r="AR302" s="475"/>
      <c r="AS302" s="475"/>
      <c r="AT302" s="475"/>
      <c r="AU302" s="475"/>
      <c r="AV302" s="475"/>
      <c r="AW302" s="475"/>
      <c r="AX302" s="475"/>
      <c r="AY302" s="475"/>
      <c r="AZ302" s="459"/>
      <c r="BA302" s="459"/>
      <c r="BB302" s="459"/>
      <c r="BC302" s="459"/>
      <c r="BD302" s="459"/>
      <c r="BE302" s="459"/>
      <c r="BF302" s="459"/>
      <c r="BG302" s="459"/>
      <c r="BH302" s="459"/>
      <c r="BI302" s="459"/>
      <c r="BJ302" s="459"/>
      <c r="BK302" s="459"/>
      <c r="BL302" s="459"/>
      <c r="BM302" s="474"/>
      <c r="BN302" s="474"/>
      <c r="BO302" s="474"/>
      <c r="BP302" s="474"/>
      <c r="BQ302" s="475"/>
      <c r="BR302" s="475"/>
    </row>
    <row r="303" ht="15.75" customHeight="1">
      <c r="A303" s="475"/>
      <c r="B303" s="475"/>
      <c r="C303" s="475"/>
      <c r="D303" s="475"/>
      <c r="E303" s="475"/>
      <c r="F303" s="99"/>
      <c r="G303" s="475"/>
      <c r="H303" s="475"/>
      <c r="I303" s="475"/>
      <c r="J303" s="475"/>
      <c r="K303" s="475"/>
      <c r="L303" s="475"/>
      <c r="M303" s="475"/>
      <c r="N303" s="475"/>
      <c r="O303" s="475"/>
      <c r="P303" s="475"/>
      <c r="Q303" s="475"/>
      <c r="R303" s="475"/>
      <c r="S303" s="475"/>
      <c r="T303" s="475"/>
      <c r="U303" s="475"/>
      <c r="V303" s="475"/>
      <c r="W303" s="475"/>
      <c r="X303" s="475"/>
      <c r="Y303" s="475"/>
      <c r="Z303" s="475"/>
      <c r="AA303" s="475"/>
      <c r="AB303" s="475"/>
      <c r="AC303" s="475"/>
      <c r="AD303" s="475"/>
      <c r="AE303" s="475"/>
      <c r="AF303" s="475"/>
      <c r="AG303" s="475"/>
      <c r="AH303" s="475"/>
      <c r="AI303" s="459"/>
      <c r="AJ303" s="475"/>
      <c r="AK303" s="475"/>
      <c r="AL303" s="475"/>
      <c r="AM303" s="475"/>
      <c r="AN303" s="475"/>
      <c r="AO303" s="475"/>
      <c r="AP303" s="475"/>
      <c r="AQ303" s="475"/>
      <c r="AR303" s="475"/>
      <c r="AS303" s="475"/>
      <c r="AT303" s="475"/>
      <c r="AU303" s="475"/>
      <c r="AV303" s="475"/>
      <c r="AW303" s="475"/>
      <c r="AX303" s="475"/>
      <c r="AY303" s="475"/>
      <c r="AZ303" s="459"/>
      <c r="BA303" s="459"/>
      <c r="BB303" s="459"/>
      <c r="BC303" s="459"/>
      <c r="BD303" s="459"/>
      <c r="BE303" s="459"/>
      <c r="BF303" s="459"/>
      <c r="BG303" s="459"/>
      <c r="BH303" s="459"/>
      <c r="BI303" s="459"/>
      <c r="BJ303" s="459"/>
      <c r="BK303" s="459"/>
      <c r="BL303" s="459"/>
      <c r="BM303" s="474"/>
      <c r="BN303" s="474"/>
      <c r="BO303" s="474"/>
      <c r="BP303" s="474"/>
      <c r="BQ303" s="475"/>
      <c r="BR303" s="475"/>
    </row>
    <row r="304" ht="15.75" customHeight="1">
      <c r="A304" s="475"/>
      <c r="B304" s="475"/>
      <c r="C304" s="475"/>
      <c r="D304" s="475"/>
      <c r="E304" s="475"/>
      <c r="F304" s="99"/>
      <c r="G304" s="475"/>
      <c r="H304" s="475"/>
      <c r="I304" s="475"/>
      <c r="J304" s="475"/>
      <c r="K304" s="475"/>
      <c r="L304" s="475"/>
      <c r="M304" s="475"/>
      <c r="N304" s="475"/>
      <c r="O304" s="475"/>
      <c r="P304" s="475"/>
      <c r="Q304" s="475"/>
      <c r="R304" s="475"/>
      <c r="S304" s="475"/>
      <c r="T304" s="475"/>
      <c r="U304" s="475"/>
      <c r="V304" s="475"/>
      <c r="W304" s="475"/>
      <c r="X304" s="475"/>
      <c r="Y304" s="475"/>
      <c r="Z304" s="475"/>
      <c r="AA304" s="475"/>
      <c r="AB304" s="475"/>
      <c r="AC304" s="475"/>
      <c r="AD304" s="475"/>
      <c r="AE304" s="475"/>
      <c r="AF304" s="475"/>
      <c r="AG304" s="475"/>
      <c r="AH304" s="475"/>
      <c r="AI304" s="459"/>
      <c r="AJ304" s="475"/>
      <c r="AK304" s="475"/>
      <c r="AL304" s="475"/>
      <c r="AM304" s="475"/>
      <c r="AN304" s="475"/>
      <c r="AO304" s="475"/>
      <c r="AP304" s="475"/>
      <c r="AQ304" s="475"/>
      <c r="AR304" s="475"/>
      <c r="AS304" s="475"/>
      <c r="AT304" s="475"/>
      <c r="AU304" s="475"/>
      <c r="AV304" s="475"/>
      <c r="AW304" s="475"/>
      <c r="AX304" s="475"/>
      <c r="AY304" s="475"/>
      <c r="AZ304" s="459"/>
      <c r="BA304" s="459"/>
      <c r="BB304" s="459"/>
      <c r="BC304" s="459"/>
      <c r="BD304" s="459"/>
      <c r="BE304" s="459"/>
      <c r="BF304" s="459"/>
      <c r="BG304" s="459"/>
      <c r="BH304" s="459"/>
      <c r="BI304" s="459"/>
      <c r="BJ304" s="459"/>
      <c r="BK304" s="459"/>
      <c r="BL304" s="459"/>
      <c r="BM304" s="474"/>
      <c r="BN304" s="474"/>
      <c r="BO304" s="474"/>
      <c r="BP304" s="474"/>
      <c r="BQ304" s="475"/>
      <c r="BR304" s="475"/>
    </row>
    <row r="305" ht="15.75" customHeight="1">
      <c r="A305" s="475"/>
      <c r="B305" s="475"/>
      <c r="C305" s="475"/>
      <c r="D305" s="475"/>
      <c r="E305" s="475"/>
      <c r="F305" s="99"/>
      <c r="G305" s="475"/>
      <c r="H305" s="475"/>
      <c r="I305" s="475"/>
      <c r="J305" s="475"/>
      <c r="K305" s="475"/>
      <c r="L305" s="475"/>
      <c r="M305" s="475"/>
      <c r="N305" s="475"/>
      <c r="O305" s="475"/>
      <c r="P305" s="475"/>
      <c r="Q305" s="475"/>
      <c r="R305" s="475"/>
      <c r="S305" s="475"/>
      <c r="T305" s="475"/>
      <c r="U305" s="475"/>
      <c r="V305" s="475"/>
      <c r="W305" s="475"/>
      <c r="X305" s="475"/>
      <c r="Y305" s="475"/>
      <c r="Z305" s="475"/>
      <c r="AA305" s="475"/>
      <c r="AB305" s="475"/>
      <c r="AC305" s="475"/>
      <c r="AD305" s="475"/>
      <c r="AE305" s="475"/>
      <c r="AF305" s="475"/>
      <c r="AG305" s="475"/>
      <c r="AH305" s="475"/>
      <c r="AI305" s="459"/>
      <c r="AJ305" s="475"/>
      <c r="AK305" s="475"/>
      <c r="AL305" s="475"/>
      <c r="AM305" s="475"/>
      <c r="AN305" s="475"/>
      <c r="AO305" s="475"/>
      <c r="AP305" s="475"/>
      <c r="AQ305" s="475"/>
      <c r="AR305" s="475"/>
      <c r="AS305" s="475"/>
      <c r="AT305" s="475"/>
      <c r="AU305" s="475"/>
      <c r="AV305" s="475"/>
      <c r="AW305" s="475"/>
      <c r="AX305" s="475"/>
      <c r="AY305" s="475"/>
      <c r="AZ305" s="459"/>
      <c r="BA305" s="459"/>
      <c r="BB305" s="459"/>
      <c r="BC305" s="459"/>
      <c r="BD305" s="459"/>
      <c r="BE305" s="459"/>
      <c r="BF305" s="459"/>
      <c r="BG305" s="459"/>
      <c r="BH305" s="459"/>
      <c r="BI305" s="459"/>
      <c r="BJ305" s="459"/>
      <c r="BK305" s="459"/>
      <c r="BL305" s="459"/>
      <c r="BM305" s="474"/>
      <c r="BN305" s="474"/>
      <c r="BO305" s="474"/>
      <c r="BP305" s="474"/>
      <c r="BQ305" s="475"/>
      <c r="BR305" s="475"/>
    </row>
    <row r="306" ht="15.75" customHeight="1">
      <c r="A306" s="475"/>
      <c r="B306" s="475"/>
      <c r="C306" s="475"/>
      <c r="D306" s="475"/>
      <c r="E306" s="475"/>
      <c r="F306" s="99"/>
      <c r="G306" s="475"/>
      <c r="H306" s="475"/>
      <c r="I306" s="475"/>
      <c r="J306" s="475"/>
      <c r="K306" s="475"/>
      <c r="L306" s="475"/>
      <c r="M306" s="475"/>
      <c r="N306" s="475"/>
      <c r="O306" s="475"/>
      <c r="P306" s="475"/>
      <c r="Q306" s="475"/>
      <c r="R306" s="475"/>
      <c r="S306" s="475"/>
      <c r="T306" s="475"/>
      <c r="U306" s="475"/>
      <c r="V306" s="475"/>
      <c r="W306" s="475"/>
      <c r="X306" s="475"/>
      <c r="Y306" s="475"/>
      <c r="Z306" s="475"/>
      <c r="AA306" s="475"/>
      <c r="AB306" s="475"/>
      <c r="AC306" s="475"/>
      <c r="AD306" s="475"/>
      <c r="AE306" s="475"/>
      <c r="AF306" s="475"/>
      <c r="AG306" s="475"/>
      <c r="AH306" s="475"/>
      <c r="AI306" s="459"/>
      <c r="AJ306" s="475"/>
      <c r="AK306" s="475"/>
      <c r="AL306" s="475"/>
      <c r="AM306" s="475"/>
      <c r="AN306" s="475"/>
      <c r="AO306" s="475"/>
      <c r="AP306" s="475"/>
      <c r="AQ306" s="475"/>
      <c r="AR306" s="475"/>
      <c r="AS306" s="475"/>
      <c r="AT306" s="475"/>
      <c r="AU306" s="475"/>
      <c r="AV306" s="475"/>
      <c r="AW306" s="475"/>
      <c r="AX306" s="475"/>
      <c r="AY306" s="475"/>
      <c r="AZ306" s="459"/>
      <c r="BA306" s="459"/>
      <c r="BB306" s="459"/>
      <c r="BC306" s="459"/>
      <c r="BD306" s="459"/>
      <c r="BE306" s="459"/>
      <c r="BF306" s="459"/>
      <c r="BG306" s="459"/>
      <c r="BH306" s="459"/>
      <c r="BI306" s="459"/>
      <c r="BJ306" s="459"/>
      <c r="BK306" s="459"/>
      <c r="BL306" s="459"/>
      <c r="BM306" s="474"/>
      <c r="BN306" s="474"/>
      <c r="BO306" s="474"/>
      <c r="BP306" s="474"/>
      <c r="BQ306" s="475"/>
      <c r="BR306" s="475"/>
    </row>
    <row r="307" ht="15.75" customHeight="1">
      <c r="A307" s="475"/>
      <c r="B307" s="475"/>
      <c r="C307" s="475"/>
      <c r="D307" s="475"/>
      <c r="E307" s="475"/>
      <c r="F307" s="99"/>
      <c r="G307" s="475"/>
      <c r="H307" s="475"/>
      <c r="I307" s="475"/>
      <c r="J307" s="475"/>
      <c r="K307" s="475"/>
      <c r="L307" s="475"/>
      <c r="M307" s="475"/>
      <c r="N307" s="475"/>
      <c r="O307" s="475"/>
      <c r="P307" s="475"/>
      <c r="Q307" s="475"/>
      <c r="R307" s="475"/>
      <c r="S307" s="475"/>
      <c r="T307" s="475"/>
      <c r="U307" s="475"/>
      <c r="V307" s="475"/>
      <c r="W307" s="475"/>
      <c r="X307" s="475"/>
      <c r="Y307" s="475"/>
      <c r="Z307" s="475"/>
      <c r="AA307" s="475"/>
      <c r="AB307" s="475"/>
      <c r="AC307" s="475"/>
      <c r="AD307" s="475"/>
      <c r="AE307" s="475"/>
      <c r="AF307" s="475"/>
      <c r="AG307" s="475"/>
      <c r="AH307" s="475"/>
      <c r="AI307" s="459"/>
      <c r="AJ307" s="475"/>
      <c r="AK307" s="475"/>
      <c r="AL307" s="475"/>
      <c r="AM307" s="475"/>
      <c r="AN307" s="475"/>
      <c r="AO307" s="475"/>
      <c r="AP307" s="475"/>
      <c r="AQ307" s="475"/>
      <c r="AR307" s="475"/>
      <c r="AS307" s="475"/>
      <c r="AT307" s="475"/>
      <c r="AU307" s="475"/>
      <c r="AV307" s="475"/>
      <c r="AW307" s="475"/>
      <c r="AX307" s="475"/>
      <c r="AY307" s="475"/>
      <c r="AZ307" s="459"/>
      <c r="BA307" s="459"/>
      <c r="BB307" s="459"/>
      <c r="BC307" s="459"/>
      <c r="BD307" s="459"/>
      <c r="BE307" s="459"/>
      <c r="BF307" s="459"/>
      <c r="BG307" s="459"/>
      <c r="BH307" s="459"/>
      <c r="BI307" s="459"/>
      <c r="BJ307" s="459"/>
      <c r="BK307" s="459"/>
      <c r="BL307" s="459"/>
      <c r="BM307" s="474"/>
      <c r="BN307" s="474"/>
      <c r="BO307" s="474"/>
      <c r="BP307" s="474"/>
      <c r="BQ307" s="475"/>
      <c r="BR307" s="475"/>
    </row>
    <row r="308" ht="15.75" customHeight="1">
      <c r="A308" s="475"/>
      <c r="B308" s="475"/>
      <c r="C308" s="475"/>
      <c r="D308" s="475"/>
      <c r="E308" s="475"/>
      <c r="F308" s="99"/>
      <c r="G308" s="475"/>
      <c r="H308" s="475"/>
      <c r="I308" s="475"/>
      <c r="J308" s="475"/>
      <c r="K308" s="475"/>
      <c r="L308" s="475"/>
      <c r="M308" s="475"/>
      <c r="N308" s="475"/>
      <c r="O308" s="475"/>
      <c r="P308" s="475"/>
      <c r="Q308" s="475"/>
      <c r="R308" s="475"/>
      <c r="S308" s="475"/>
      <c r="T308" s="475"/>
      <c r="U308" s="475"/>
      <c r="V308" s="475"/>
      <c r="W308" s="475"/>
      <c r="X308" s="475"/>
      <c r="Y308" s="475"/>
      <c r="Z308" s="475"/>
      <c r="AA308" s="475"/>
      <c r="AB308" s="475"/>
      <c r="AC308" s="475"/>
      <c r="AD308" s="475"/>
      <c r="AE308" s="475"/>
      <c r="AF308" s="475"/>
      <c r="AG308" s="475"/>
      <c r="AH308" s="475"/>
      <c r="AI308" s="459"/>
      <c r="AJ308" s="475"/>
      <c r="AK308" s="475"/>
      <c r="AL308" s="475"/>
      <c r="AM308" s="475"/>
      <c r="AN308" s="475"/>
      <c r="AO308" s="475"/>
      <c r="AP308" s="475"/>
      <c r="AQ308" s="475"/>
      <c r="AR308" s="475"/>
      <c r="AS308" s="475"/>
      <c r="AT308" s="475"/>
      <c r="AU308" s="475"/>
      <c r="AV308" s="475"/>
      <c r="AW308" s="475"/>
      <c r="AX308" s="475"/>
      <c r="AY308" s="475"/>
      <c r="AZ308" s="459"/>
      <c r="BA308" s="459"/>
      <c r="BB308" s="459"/>
      <c r="BC308" s="459"/>
      <c r="BD308" s="459"/>
      <c r="BE308" s="459"/>
      <c r="BF308" s="459"/>
      <c r="BG308" s="459"/>
      <c r="BH308" s="459"/>
      <c r="BI308" s="459"/>
      <c r="BJ308" s="459"/>
      <c r="BK308" s="459"/>
      <c r="BL308" s="459"/>
      <c r="BM308" s="474"/>
      <c r="BN308" s="474"/>
      <c r="BO308" s="474"/>
      <c r="BP308" s="474"/>
      <c r="BQ308" s="475"/>
      <c r="BR308" s="475"/>
    </row>
    <row r="309" ht="15.75" customHeight="1">
      <c r="A309" s="475"/>
      <c r="B309" s="475"/>
      <c r="C309" s="475"/>
      <c r="D309" s="475"/>
      <c r="E309" s="475"/>
      <c r="F309" s="99"/>
      <c r="G309" s="475"/>
      <c r="H309" s="475"/>
      <c r="I309" s="475"/>
      <c r="J309" s="475"/>
      <c r="K309" s="475"/>
      <c r="L309" s="475"/>
      <c r="M309" s="475"/>
      <c r="N309" s="475"/>
      <c r="O309" s="475"/>
      <c r="P309" s="475"/>
      <c r="Q309" s="475"/>
      <c r="R309" s="475"/>
      <c r="S309" s="475"/>
      <c r="T309" s="475"/>
      <c r="U309" s="475"/>
      <c r="V309" s="475"/>
      <c r="W309" s="475"/>
      <c r="X309" s="475"/>
      <c r="Y309" s="475"/>
      <c r="Z309" s="475"/>
      <c r="AA309" s="475"/>
      <c r="AB309" s="475"/>
      <c r="AC309" s="475"/>
      <c r="AD309" s="475"/>
      <c r="AE309" s="475"/>
      <c r="AF309" s="475"/>
      <c r="AG309" s="475"/>
      <c r="AH309" s="475"/>
      <c r="AI309" s="459"/>
      <c r="AJ309" s="475"/>
      <c r="AK309" s="475"/>
      <c r="AL309" s="475"/>
      <c r="AM309" s="475"/>
      <c r="AN309" s="475"/>
      <c r="AO309" s="475"/>
      <c r="AP309" s="475"/>
      <c r="AQ309" s="475"/>
      <c r="AR309" s="475"/>
      <c r="AS309" s="475"/>
      <c r="AT309" s="475"/>
      <c r="AU309" s="475"/>
      <c r="AV309" s="475"/>
      <c r="AW309" s="475"/>
      <c r="AX309" s="475"/>
      <c r="AY309" s="475"/>
      <c r="AZ309" s="459"/>
      <c r="BA309" s="459"/>
      <c r="BB309" s="459"/>
      <c r="BC309" s="459"/>
      <c r="BD309" s="459"/>
      <c r="BE309" s="459"/>
      <c r="BF309" s="459"/>
      <c r="BG309" s="459"/>
      <c r="BH309" s="459"/>
      <c r="BI309" s="459"/>
      <c r="BJ309" s="459"/>
      <c r="BK309" s="459"/>
      <c r="BL309" s="459"/>
      <c r="BM309" s="474"/>
      <c r="BN309" s="474"/>
      <c r="BO309" s="474"/>
      <c r="BP309" s="474"/>
      <c r="BQ309" s="475"/>
      <c r="BR309" s="475"/>
    </row>
    <row r="310" ht="15.75" customHeight="1">
      <c r="A310" s="475"/>
      <c r="B310" s="475"/>
      <c r="C310" s="475"/>
      <c r="D310" s="475"/>
      <c r="E310" s="475"/>
      <c r="F310" s="99"/>
      <c r="G310" s="475"/>
      <c r="H310" s="475"/>
      <c r="I310" s="475"/>
      <c r="J310" s="475"/>
      <c r="K310" s="475"/>
      <c r="L310" s="475"/>
      <c r="M310" s="475"/>
      <c r="N310" s="475"/>
      <c r="O310" s="475"/>
      <c r="P310" s="475"/>
      <c r="Q310" s="475"/>
      <c r="R310" s="475"/>
      <c r="S310" s="475"/>
      <c r="T310" s="475"/>
      <c r="U310" s="475"/>
      <c r="V310" s="475"/>
      <c r="W310" s="475"/>
      <c r="X310" s="475"/>
      <c r="Y310" s="475"/>
      <c r="Z310" s="475"/>
      <c r="AA310" s="475"/>
      <c r="AB310" s="475"/>
      <c r="AC310" s="475"/>
      <c r="AD310" s="475"/>
      <c r="AE310" s="475"/>
      <c r="AF310" s="475"/>
      <c r="AG310" s="475"/>
      <c r="AH310" s="475"/>
      <c r="AI310" s="459"/>
      <c r="AJ310" s="475"/>
      <c r="AK310" s="475"/>
      <c r="AL310" s="475"/>
      <c r="AM310" s="475"/>
      <c r="AN310" s="475"/>
      <c r="AO310" s="475"/>
      <c r="AP310" s="475"/>
      <c r="AQ310" s="475"/>
      <c r="AR310" s="475"/>
      <c r="AS310" s="475"/>
      <c r="AT310" s="475"/>
      <c r="AU310" s="475"/>
      <c r="AV310" s="475"/>
      <c r="AW310" s="475"/>
      <c r="AX310" s="475"/>
      <c r="AY310" s="475"/>
      <c r="AZ310" s="459"/>
      <c r="BA310" s="459"/>
      <c r="BB310" s="459"/>
      <c r="BC310" s="459"/>
      <c r="BD310" s="459"/>
      <c r="BE310" s="459"/>
      <c r="BF310" s="459"/>
      <c r="BG310" s="459"/>
      <c r="BH310" s="459"/>
      <c r="BI310" s="459"/>
      <c r="BJ310" s="459"/>
      <c r="BK310" s="459"/>
      <c r="BL310" s="459"/>
      <c r="BM310" s="474"/>
      <c r="BN310" s="474"/>
      <c r="BO310" s="474"/>
      <c r="BP310" s="474"/>
      <c r="BQ310" s="475"/>
      <c r="BR310" s="475"/>
    </row>
    <row r="311" ht="15.75" customHeight="1">
      <c r="A311" s="475"/>
      <c r="B311" s="475"/>
      <c r="C311" s="475"/>
      <c r="D311" s="475"/>
      <c r="E311" s="475"/>
      <c r="F311" s="99"/>
      <c r="G311" s="475"/>
      <c r="H311" s="475"/>
      <c r="I311" s="475"/>
      <c r="J311" s="475"/>
      <c r="K311" s="475"/>
      <c r="L311" s="475"/>
      <c r="M311" s="475"/>
      <c r="N311" s="475"/>
      <c r="O311" s="475"/>
      <c r="P311" s="475"/>
      <c r="Q311" s="475"/>
      <c r="R311" s="475"/>
      <c r="S311" s="475"/>
      <c r="T311" s="475"/>
      <c r="U311" s="475"/>
      <c r="V311" s="475"/>
      <c r="W311" s="475"/>
      <c r="X311" s="475"/>
      <c r="Y311" s="475"/>
      <c r="Z311" s="475"/>
      <c r="AA311" s="475"/>
      <c r="AB311" s="475"/>
      <c r="AC311" s="475"/>
      <c r="AD311" s="475"/>
      <c r="AE311" s="475"/>
      <c r="AF311" s="475"/>
      <c r="AG311" s="475"/>
      <c r="AH311" s="475"/>
      <c r="AI311" s="459"/>
      <c r="AJ311" s="475"/>
      <c r="AK311" s="475"/>
      <c r="AL311" s="475"/>
      <c r="AM311" s="475"/>
      <c r="AN311" s="475"/>
      <c r="AO311" s="475"/>
      <c r="AP311" s="475"/>
      <c r="AQ311" s="475"/>
      <c r="AR311" s="475"/>
      <c r="AS311" s="475"/>
      <c r="AT311" s="475"/>
      <c r="AU311" s="475"/>
      <c r="AV311" s="475"/>
      <c r="AW311" s="475"/>
      <c r="AX311" s="475"/>
      <c r="AY311" s="475"/>
      <c r="AZ311" s="459"/>
      <c r="BA311" s="459"/>
      <c r="BB311" s="459"/>
      <c r="BC311" s="459"/>
      <c r="BD311" s="459"/>
      <c r="BE311" s="459"/>
      <c r="BF311" s="459"/>
      <c r="BG311" s="459"/>
      <c r="BH311" s="459"/>
      <c r="BI311" s="459"/>
      <c r="BJ311" s="459"/>
      <c r="BK311" s="459"/>
      <c r="BL311" s="459"/>
      <c r="BM311" s="474"/>
      <c r="BN311" s="474"/>
      <c r="BO311" s="474"/>
      <c r="BP311" s="474"/>
      <c r="BQ311" s="475"/>
      <c r="BR311" s="475"/>
    </row>
    <row r="312" ht="15.75" customHeight="1">
      <c r="A312" s="475"/>
      <c r="B312" s="475"/>
      <c r="C312" s="475"/>
      <c r="D312" s="475"/>
      <c r="E312" s="475"/>
      <c r="F312" s="99"/>
      <c r="G312" s="475"/>
      <c r="H312" s="475"/>
      <c r="I312" s="475"/>
      <c r="J312" s="475"/>
      <c r="K312" s="475"/>
      <c r="L312" s="475"/>
      <c r="M312" s="475"/>
      <c r="N312" s="475"/>
      <c r="O312" s="475"/>
      <c r="P312" s="475"/>
      <c r="Q312" s="475"/>
      <c r="R312" s="475"/>
      <c r="S312" s="475"/>
      <c r="T312" s="475"/>
      <c r="U312" s="475"/>
      <c r="V312" s="475"/>
      <c r="W312" s="475"/>
      <c r="X312" s="475"/>
      <c r="Y312" s="475"/>
      <c r="Z312" s="475"/>
      <c r="AA312" s="475"/>
      <c r="AB312" s="475"/>
      <c r="AC312" s="475"/>
      <c r="AD312" s="475"/>
      <c r="AE312" s="475"/>
      <c r="AF312" s="475"/>
      <c r="AG312" s="475"/>
      <c r="AH312" s="475"/>
      <c r="AI312" s="459"/>
      <c r="AJ312" s="475"/>
      <c r="AK312" s="475"/>
      <c r="AL312" s="475"/>
      <c r="AM312" s="475"/>
      <c r="AN312" s="475"/>
      <c r="AO312" s="475"/>
      <c r="AP312" s="475"/>
      <c r="AQ312" s="475"/>
      <c r="AR312" s="475"/>
      <c r="AS312" s="475"/>
      <c r="AT312" s="475"/>
      <c r="AU312" s="475"/>
      <c r="AV312" s="475"/>
      <c r="AW312" s="475"/>
      <c r="AX312" s="475"/>
      <c r="AY312" s="475"/>
      <c r="AZ312" s="459"/>
      <c r="BA312" s="459"/>
      <c r="BB312" s="459"/>
      <c r="BC312" s="459"/>
      <c r="BD312" s="459"/>
      <c r="BE312" s="459"/>
      <c r="BF312" s="459"/>
      <c r="BG312" s="459"/>
      <c r="BH312" s="459"/>
      <c r="BI312" s="459"/>
      <c r="BJ312" s="459"/>
      <c r="BK312" s="459"/>
      <c r="BL312" s="459"/>
      <c r="BM312" s="474"/>
      <c r="BN312" s="474"/>
      <c r="BO312" s="474"/>
      <c r="BP312" s="474"/>
      <c r="BQ312" s="475"/>
      <c r="BR312" s="475"/>
    </row>
    <row r="313" ht="15.75" customHeight="1">
      <c r="A313" s="475"/>
      <c r="B313" s="475"/>
      <c r="C313" s="475"/>
      <c r="D313" s="475"/>
      <c r="E313" s="475"/>
      <c r="F313" s="99"/>
      <c r="G313" s="475"/>
      <c r="H313" s="475"/>
      <c r="I313" s="475"/>
      <c r="J313" s="475"/>
      <c r="K313" s="475"/>
      <c r="L313" s="475"/>
      <c r="M313" s="475"/>
      <c r="N313" s="475"/>
      <c r="O313" s="475"/>
      <c r="P313" s="475"/>
      <c r="Q313" s="475"/>
      <c r="R313" s="475"/>
      <c r="S313" s="475"/>
      <c r="T313" s="475"/>
      <c r="U313" s="475"/>
      <c r="V313" s="475"/>
      <c r="W313" s="475"/>
      <c r="X313" s="475"/>
      <c r="Y313" s="475"/>
      <c r="Z313" s="475"/>
      <c r="AA313" s="475"/>
      <c r="AB313" s="475"/>
      <c r="AC313" s="475"/>
      <c r="AD313" s="475"/>
      <c r="AE313" s="475"/>
      <c r="AF313" s="475"/>
      <c r="AG313" s="475"/>
      <c r="AH313" s="475"/>
      <c r="AI313" s="459"/>
      <c r="AJ313" s="475"/>
      <c r="AK313" s="475"/>
      <c r="AL313" s="475"/>
      <c r="AM313" s="475"/>
      <c r="AN313" s="475"/>
      <c r="AO313" s="475"/>
      <c r="AP313" s="475"/>
      <c r="AQ313" s="475"/>
      <c r="AR313" s="475"/>
      <c r="AS313" s="475"/>
      <c r="AT313" s="475"/>
      <c r="AU313" s="475"/>
      <c r="AV313" s="475"/>
      <c r="AW313" s="475"/>
      <c r="AX313" s="475"/>
      <c r="AY313" s="475"/>
      <c r="AZ313" s="459"/>
      <c r="BA313" s="459"/>
      <c r="BB313" s="459"/>
      <c r="BC313" s="459"/>
      <c r="BD313" s="459"/>
      <c r="BE313" s="459"/>
      <c r="BF313" s="459"/>
      <c r="BG313" s="459"/>
      <c r="BH313" s="459"/>
      <c r="BI313" s="459"/>
      <c r="BJ313" s="459"/>
      <c r="BK313" s="459"/>
      <c r="BL313" s="459"/>
      <c r="BM313" s="474"/>
      <c r="BN313" s="474"/>
      <c r="BO313" s="474"/>
      <c r="BP313" s="474"/>
      <c r="BQ313" s="475"/>
      <c r="BR313" s="475"/>
    </row>
    <row r="314" ht="15.75" customHeight="1">
      <c r="A314" s="475"/>
      <c r="B314" s="475"/>
      <c r="C314" s="475"/>
      <c r="D314" s="475"/>
      <c r="E314" s="475"/>
      <c r="F314" s="99"/>
      <c r="G314" s="475"/>
      <c r="H314" s="475"/>
      <c r="I314" s="475"/>
      <c r="J314" s="475"/>
      <c r="K314" s="475"/>
      <c r="L314" s="475"/>
      <c r="M314" s="475"/>
      <c r="N314" s="475"/>
      <c r="O314" s="475"/>
      <c r="P314" s="475"/>
      <c r="Q314" s="475"/>
      <c r="R314" s="475"/>
      <c r="S314" s="475"/>
      <c r="T314" s="475"/>
      <c r="U314" s="475"/>
      <c r="V314" s="475"/>
      <c r="W314" s="475"/>
      <c r="X314" s="475"/>
      <c r="Y314" s="475"/>
      <c r="Z314" s="475"/>
      <c r="AA314" s="475"/>
      <c r="AB314" s="475"/>
      <c r="AC314" s="475"/>
      <c r="AD314" s="475"/>
      <c r="AE314" s="475"/>
      <c r="AF314" s="475"/>
      <c r="AG314" s="475"/>
      <c r="AH314" s="475"/>
      <c r="AI314" s="459"/>
      <c r="AJ314" s="475"/>
      <c r="AK314" s="475"/>
      <c r="AL314" s="475"/>
      <c r="AM314" s="475"/>
      <c r="AN314" s="475"/>
      <c r="AO314" s="475"/>
      <c r="AP314" s="475"/>
      <c r="AQ314" s="475"/>
      <c r="AR314" s="475"/>
      <c r="AS314" s="475"/>
      <c r="AT314" s="475"/>
      <c r="AU314" s="475"/>
      <c r="AV314" s="475"/>
      <c r="AW314" s="475"/>
      <c r="AX314" s="475"/>
      <c r="AY314" s="475"/>
      <c r="AZ314" s="459"/>
      <c r="BA314" s="459"/>
      <c r="BB314" s="459"/>
      <c r="BC314" s="459"/>
      <c r="BD314" s="459"/>
      <c r="BE314" s="459"/>
      <c r="BF314" s="459"/>
      <c r="BG314" s="459"/>
      <c r="BH314" s="459"/>
      <c r="BI314" s="459"/>
      <c r="BJ314" s="459"/>
      <c r="BK314" s="459"/>
      <c r="BL314" s="459"/>
      <c r="BM314" s="474"/>
      <c r="BN314" s="474"/>
      <c r="BO314" s="474"/>
      <c r="BP314" s="474"/>
      <c r="BQ314" s="475"/>
      <c r="BR314" s="475"/>
    </row>
    <row r="315" ht="15.75" customHeight="1">
      <c r="A315" s="475"/>
      <c r="B315" s="475"/>
      <c r="C315" s="475"/>
      <c r="D315" s="475"/>
      <c r="E315" s="475"/>
      <c r="F315" s="99"/>
      <c r="G315" s="475"/>
      <c r="H315" s="475"/>
      <c r="I315" s="475"/>
      <c r="J315" s="475"/>
      <c r="K315" s="475"/>
      <c r="L315" s="475"/>
      <c r="M315" s="475"/>
      <c r="N315" s="475"/>
      <c r="O315" s="475"/>
      <c r="P315" s="475"/>
      <c r="Q315" s="475"/>
      <c r="R315" s="475"/>
      <c r="S315" s="475"/>
      <c r="T315" s="475"/>
      <c r="U315" s="475"/>
      <c r="V315" s="475"/>
      <c r="W315" s="475"/>
      <c r="X315" s="475"/>
      <c r="Y315" s="475"/>
      <c r="Z315" s="475"/>
      <c r="AA315" s="475"/>
      <c r="AB315" s="475"/>
      <c r="AC315" s="475"/>
      <c r="AD315" s="475"/>
      <c r="AE315" s="475"/>
      <c r="AF315" s="475"/>
      <c r="AG315" s="475"/>
      <c r="AH315" s="475"/>
      <c r="AI315" s="459"/>
      <c r="AJ315" s="475"/>
      <c r="AK315" s="475"/>
      <c r="AL315" s="475"/>
      <c r="AM315" s="475"/>
      <c r="AN315" s="475"/>
      <c r="AO315" s="475"/>
      <c r="AP315" s="475"/>
      <c r="AQ315" s="475"/>
      <c r="AR315" s="475"/>
      <c r="AS315" s="475"/>
      <c r="AT315" s="475"/>
      <c r="AU315" s="475"/>
      <c r="AV315" s="475"/>
      <c r="AW315" s="475"/>
      <c r="AX315" s="475"/>
      <c r="AY315" s="475"/>
      <c r="AZ315" s="459"/>
      <c r="BA315" s="459"/>
      <c r="BB315" s="459"/>
      <c r="BC315" s="459"/>
      <c r="BD315" s="459"/>
      <c r="BE315" s="459"/>
      <c r="BF315" s="459"/>
      <c r="BG315" s="459"/>
      <c r="BH315" s="459"/>
      <c r="BI315" s="459"/>
      <c r="BJ315" s="459"/>
      <c r="BK315" s="459"/>
      <c r="BL315" s="459"/>
      <c r="BM315" s="474"/>
      <c r="BN315" s="474"/>
      <c r="BO315" s="474"/>
      <c r="BP315" s="474"/>
      <c r="BQ315" s="475"/>
      <c r="BR315" s="475"/>
    </row>
    <row r="316" ht="15.75" customHeight="1">
      <c r="A316" s="475"/>
      <c r="B316" s="475"/>
      <c r="C316" s="475"/>
      <c r="D316" s="475"/>
      <c r="E316" s="475"/>
      <c r="F316" s="99"/>
      <c r="G316" s="475"/>
      <c r="H316" s="475"/>
      <c r="I316" s="475"/>
      <c r="J316" s="475"/>
      <c r="K316" s="475"/>
      <c r="L316" s="475"/>
      <c r="M316" s="475"/>
      <c r="N316" s="475"/>
      <c r="O316" s="475"/>
      <c r="P316" s="475"/>
      <c r="Q316" s="475"/>
      <c r="R316" s="475"/>
      <c r="S316" s="475"/>
      <c r="T316" s="475"/>
      <c r="U316" s="475"/>
      <c r="V316" s="475"/>
      <c r="W316" s="475"/>
      <c r="X316" s="475"/>
      <c r="Y316" s="475"/>
      <c r="Z316" s="475"/>
      <c r="AA316" s="475"/>
      <c r="AB316" s="475"/>
      <c r="AC316" s="475"/>
      <c r="AD316" s="475"/>
      <c r="AE316" s="475"/>
      <c r="AF316" s="475"/>
      <c r="AG316" s="475"/>
      <c r="AH316" s="475"/>
      <c r="AI316" s="459"/>
      <c r="AJ316" s="475"/>
      <c r="AK316" s="475"/>
      <c r="AL316" s="475"/>
      <c r="AM316" s="475"/>
      <c r="AN316" s="475"/>
      <c r="AO316" s="475"/>
      <c r="AP316" s="475"/>
      <c r="AQ316" s="475"/>
      <c r="AR316" s="475"/>
      <c r="AS316" s="475"/>
      <c r="AT316" s="475"/>
      <c r="AU316" s="475"/>
      <c r="AV316" s="475"/>
      <c r="AW316" s="475"/>
      <c r="AX316" s="475"/>
      <c r="AY316" s="475"/>
      <c r="AZ316" s="459"/>
      <c r="BA316" s="459"/>
      <c r="BB316" s="459"/>
      <c r="BC316" s="459"/>
      <c r="BD316" s="459"/>
      <c r="BE316" s="459"/>
      <c r="BF316" s="459"/>
      <c r="BG316" s="459"/>
      <c r="BH316" s="459"/>
      <c r="BI316" s="459"/>
      <c r="BJ316" s="459"/>
      <c r="BK316" s="459"/>
      <c r="BL316" s="459"/>
      <c r="BM316" s="474"/>
      <c r="BN316" s="474"/>
      <c r="BO316" s="474"/>
      <c r="BP316" s="474"/>
      <c r="BQ316" s="475"/>
      <c r="BR316" s="475"/>
    </row>
    <row r="317" ht="15.75" customHeight="1">
      <c r="A317" s="475"/>
      <c r="B317" s="475"/>
      <c r="C317" s="475"/>
      <c r="D317" s="475"/>
      <c r="E317" s="475"/>
      <c r="F317" s="99"/>
      <c r="G317" s="475"/>
      <c r="H317" s="475"/>
      <c r="I317" s="475"/>
      <c r="J317" s="475"/>
      <c r="K317" s="475"/>
      <c r="L317" s="475"/>
      <c r="M317" s="475"/>
      <c r="N317" s="475"/>
      <c r="O317" s="475"/>
      <c r="P317" s="475"/>
      <c r="Q317" s="475"/>
      <c r="R317" s="475"/>
      <c r="S317" s="475"/>
      <c r="T317" s="475"/>
      <c r="U317" s="475"/>
      <c r="V317" s="475"/>
      <c r="W317" s="475"/>
      <c r="X317" s="475"/>
      <c r="Y317" s="475"/>
      <c r="Z317" s="475"/>
      <c r="AA317" s="475"/>
      <c r="AB317" s="475"/>
      <c r="AC317" s="475"/>
      <c r="AD317" s="475"/>
      <c r="AE317" s="475"/>
      <c r="AF317" s="475"/>
      <c r="AG317" s="475"/>
      <c r="AH317" s="475"/>
      <c r="AI317" s="459"/>
      <c r="AJ317" s="475"/>
      <c r="AK317" s="475"/>
      <c r="AL317" s="475"/>
      <c r="AM317" s="475"/>
      <c r="AN317" s="475"/>
      <c r="AO317" s="475"/>
      <c r="AP317" s="475"/>
      <c r="AQ317" s="475"/>
      <c r="AR317" s="475"/>
      <c r="AS317" s="475"/>
      <c r="AT317" s="475"/>
      <c r="AU317" s="475"/>
      <c r="AV317" s="475"/>
      <c r="AW317" s="475"/>
      <c r="AX317" s="475"/>
      <c r="AY317" s="475"/>
      <c r="AZ317" s="459"/>
      <c r="BA317" s="459"/>
      <c r="BB317" s="459"/>
      <c r="BC317" s="459"/>
      <c r="BD317" s="459"/>
      <c r="BE317" s="459"/>
      <c r="BF317" s="459"/>
      <c r="BG317" s="459"/>
      <c r="BH317" s="459"/>
      <c r="BI317" s="459"/>
      <c r="BJ317" s="459"/>
      <c r="BK317" s="459"/>
      <c r="BL317" s="459"/>
      <c r="BM317" s="474"/>
      <c r="BN317" s="474"/>
      <c r="BO317" s="474"/>
      <c r="BP317" s="474"/>
      <c r="BQ317" s="475"/>
      <c r="BR317" s="475"/>
    </row>
    <row r="318" ht="15.75" customHeight="1">
      <c r="A318" s="475"/>
      <c r="B318" s="475"/>
      <c r="C318" s="475"/>
      <c r="D318" s="475"/>
      <c r="E318" s="475"/>
      <c r="F318" s="99"/>
      <c r="G318" s="475"/>
      <c r="H318" s="475"/>
      <c r="I318" s="475"/>
      <c r="J318" s="475"/>
      <c r="K318" s="475"/>
      <c r="L318" s="475"/>
      <c r="M318" s="475"/>
      <c r="N318" s="475"/>
      <c r="O318" s="475"/>
      <c r="P318" s="475"/>
      <c r="Q318" s="475"/>
      <c r="R318" s="475"/>
      <c r="S318" s="475"/>
      <c r="T318" s="475"/>
      <c r="U318" s="475"/>
      <c r="V318" s="475"/>
      <c r="W318" s="475"/>
      <c r="X318" s="475"/>
      <c r="Y318" s="475"/>
      <c r="Z318" s="475"/>
      <c r="AA318" s="475"/>
      <c r="AB318" s="475"/>
      <c r="AC318" s="475"/>
      <c r="AD318" s="475"/>
      <c r="AE318" s="475"/>
      <c r="AF318" s="475"/>
      <c r="AG318" s="475"/>
      <c r="AH318" s="475"/>
      <c r="AI318" s="459"/>
      <c r="AJ318" s="475"/>
      <c r="AK318" s="475"/>
      <c r="AL318" s="475"/>
      <c r="AM318" s="475"/>
      <c r="AN318" s="475"/>
      <c r="AO318" s="475"/>
      <c r="AP318" s="475"/>
      <c r="AQ318" s="475"/>
      <c r="AR318" s="475"/>
      <c r="AS318" s="475"/>
      <c r="AT318" s="475"/>
      <c r="AU318" s="475"/>
      <c r="AV318" s="475"/>
      <c r="AW318" s="475"/>
      <c r="AX318" s="475"/>
      <c r="AY318" s="475"/>
      <c r="AZ318" s="459"/>
      <c r="BA318" s="459"/>
      <c r="BB318" s="459"/>
      <c r="BC318" s="459"/>
      <c r="BD318" s="459"/>
      <c r="BE318" s="459"/>
      <c r="BF318" s="459"/>
      <c r="BG318" s="459"/>
      <c r="BH318" s="459"/>
      <c r="BI318" s="459"/>
      <c r="BJ318" s="459"/>
      <c r="BK318" s="459"/>
      <c r="BL318" s="459"/>
      <c r="BM318" s="474"/>
      <c r="BN318" s="474"/>
      <c r="BO318" s="474"/>
      <c r="BP318" s="474"/>
      <c r="BQ318" s="475"/>
      <c r="BR318" s="475"/>
    </row>
    <row r="319" ht="15.75" customHeight="1">
      <c r="A319" s="475"/>
      <c r="B319" s="475"/>
      <c r="C319" s="475"/>
      <c r="D319" s="475"/>
      <c r="E319" s="475"/>
      <c r="F319" s="99"/>
      <c r="G319" s="475"/>
      <c r="H319" s="475"/>
      <c r="I319" s="475"/>
      <c r="J319" s="475"/>
      <c r="K319" s="475"/>
      <c r="L319" s="475"/>
      <c r="M319" s="475"/>
      <c r="N319" s="475"/>
      <c r="O319" s="475"/>
      <c r="P319" s="475"/>
      <c r="Q319" s="475"/>
      <c r="R319" s="475"/>
      <c r="S319" s="475"/>
      <c r="T319" s="475"/>
      <c r="U319" s="475"/>
      <c r="V319" s="475"/>
      <c r="W319" s="475"/>
      <c r="X319" s="475"/>
      <c r="Y319" s="475"/>
      <c r="Z319" s="475"/>
      <c r="AA319" s="475"/>
      <c r="AB319" s="475"/>
      <c r="AC319" s="475"/>
      <c r="AD319" s="475"/>
      <c r="AE319" s="475"/>
      <c r="AF319" s="475"/>
      <c r="AG319" s="475"/>
      <c r="AH319" s="475"/>
      <c r="AI319" s="459"/>
      <c r="AJ319" s="475"/>
      <c r="AK319" s="475"/>
      <c r="AL319" s="475"/>
      <c r="AM319" s="475"/>
      <c r="AN319" s="475"/>
      <c r="AO319" s="475"/>
      <c r="AP319" s="475"/>
      <c r="AQ319" s="475"/>
      <c r="AR319" s="475"/>
      <c r="AS319" s="475"/>
      <c r="AT319" s="475"/>
      <c r="AU319" s="475"/>
      <c r="AV319" s="475"/>
      <c r="AW319" s="475"/>
      <c r="AX319" s="475"/>
      <c r="AY319" s="475"/>
      <c r="AZ319" s="459"/>
      <c r="BA319" s="459"/>
      <c r="BB319" s="459"/>
      <c r="BC319" s="459"/>
      <c r="BD319" s="459"/>
      <c r="BE319" s="459"/>
      <c r="BF319" s="459"/>
      <c r="BG319" s="459"/>
      <c r="BH319" s="459"/>
      <c r="BI319" s="459"/>
      <c r="BJ319" s="459"/>
      <c r="BK319" s="459"/>
      <c r="BL319" s="459"/>
      <c r="BM319" s="474"/>
      <c r="BN319" s="474"/>
      <c r="BO319" s="474"/>
      <c r="BP319" s="474"/>
      <c r="BQ319" s="475"/>
      <c r="BR319" s="475"/>
    </row>
    <row r="320" ht="15.75" customHeight="1">
      <c r="A320" s="475"/>
      <c r="B320" s="475"/>
      <c r="C320" s="475"/>
      <c r="D320" s="475"/>
      <c r="E320" s="475"/>
      <c r="F320" s="99"/>
      <c r="G320" s="475"/>
      <c r="H320" s="475"/>
      <c r="I320" s="475"/>
      <c r="J320" s="475"/>
      <c r="K320" s="475"/>
      <c r="L320" s="475"/>
      <c r="M320" s="475"/>
      <c r="N320" s="475"/>
      <c r="O320" s="475"/>
      <c r="P320" s="475"/>
      <c r="Q320" s="475"/>
      <c r="R320" s="475"/>
      <c r="S320" s="475"/>
      <c r="T320" s="475"/>
      <c r="U320" s="475"/>
      <c r="V320" s="475"/>
      <c r="W320" s="475"/>
      <c r="X320" s="475"/>
      <c r="Y320" s="475"/>
      <c r="Z320" s="475"/>
      <c r="AA320" s="475"/>
      <c r="AB320" s="475"/>
      <c r="AC320" s="475"/>
      <c r="AD320" s="475"/>
      <c r="AE320" s="475"/>
      <c r="AF320" s="475"/>
      <c r="AG320" s="475"/>
      <c r="AH320" s="475"/>
      <c r="AI320" s="459"/>
      <c r="AJ320" s="475"/>
      <c r="AK320" s="475"/>
      <c r="AL320" s="475"/>
      <c r="AM320" s="475"/>
      <c r="AN320" s="475"/>
      <c r="AO320" s="475"/>
      <c r="AP320" s="475"/>
      <c r="AQ320" s="475"/>
      <c r="AR320" s="475"/>
      <c r="AS320" s="475"/>
      <c r="AT320" s="475"/>
      <c r="AU320" s="475"/>
      <c r="AV320" s="475"/>
      <c r="AW320" s="475"/>
      <c r="AX320" s="475"/>
      <c r="AY320" s="475"/>
      <c r="AZ320" s="459"/>
      <c r="BA320" s="459"/>
      <c r="BB320" s="459"/>
      <c r="BC320" s="459"/>
      <c r="BD320" s="459"/>
      <c r="BE320" s="459"/>
      <c r="BF320" s="459"/>
      <c r="BG320" s="459"/>
      <c r="BH320" s="459"/>
      <c r="BI320" s="459"/>
      <c r="BJ320" s="459"/>
      <c r="BK320" s="459"/>
      <c r="BL320" s="459"/>
      <c r="BM320" s="474"/>
      <c r="BN320" s="474"/>
      <c r="BO320" s="474"/>
      <c r="BP320" s="474"/>
      <c r="BQ320" s="475"/>
      <c r="BR320" s="475"/>
    </row>
    <row r="321" ht="15.75" customHeight="1">
      <c r="A321" s="475"/>
      <c r="B321" s="475"/>
      <c r="C321" s="475"/>
      <c r="D321" s="475"/>
      <c r="E321" s="475"/>
      <c r="F321" s="99"/>
      <c r="G321" s="475"/>
      <c r="H321" s="475"/>
      <c r="I321" s="475"/>
      <c r="J321" s="475"/>
      <c r="K321" s="475"/>
      <c r="L321" s="475"/>
      <c r="M321" s="475"/>
      <c r="N321" s="475"/>
      <c r="O321" s="475"/>
      <c r="P321" s="475"/>
      <c r="Q321" s="475"/>
      <c r="R321" s="475"/>
      <c r="S321" s="475"/>
      <c r="T321" s="475"/>
      <c r="U321" s="475"/>
      <c r="V321" s="475"/>
      <c r="W321" s="475"/>
      <c r="X321" s="475"/>
      <c r="Y321" s="475"/>
      <c r="Z321" s="475"/>
      <c r="AA321" s="475"/>
      <c r="AB321" s="475"/>
      <c r="AC321" s="475"/>
      <c r="AD321" s="475"/>
      <c r="AE321" s="475"/>
      <c r="AF321" s="475"/>
      <c r="AG321" s="475"/>
      <c r="AH321" s="475"/>
      <c r="AI321" s="459"/>
      <c r="AJ321" s="475"/>
      <c r="AK321" s="475"/>
      <c r="AL321" s="475"/>
      <c r="AM321" s="475"/>
      <c r="AN321" s="475"/>
      <c r="AO321" s="475"/>
      <c r="AP321" s="475"/>
      <c r="AQ321" s="475"/>
      <c r="AR321" s="475"/>
      <c r="AS321" s="475"/>
      <c r="AT321" s="475"/>
      <c r="AU321" s="475"/>
      <c r="AV321" s="475"/>
      <c r="AW321" s="475"/>
      <c r="AX321" s="475"/>
      <c r="AY321" s="475"/>
      <c r="AZ321" s="459"/>
      <c r="BA321" s="459"/>
      <c r="BB321" s="459"/>
      <c r="BC321" s="459"/>
      <c r="BD321" s="459"/>
      <c r="BE321" s="459"/>
      <c r="BF321" s="459"/>
      <c r="BG321" s="459"/>
      <c r="BH321" s="459"/>
      <c r="BI321" s="459"/>
      <c r="BJ321" s="459"/>
      <c r="BK321" s="459"/>
      <c r="BL321" s="459"/>
      <c r="BM321" s="474"/>
      <c r="BN321" s="474"/>
      <c r="BO321" s="474"/>
      <c r="BP321" s="474"/>
      <c r="BQ321" s="475"/>
      <c r="BR321" s="475"/>
    </row>
    <row r="322" ht="15.75" customHeight="1">
      <c r="A322" s="475"/>
      <c r="B322" s="475"/>
      <c r="C322" s="475"/>
      <c r="D322" s="475"/>
      <c r="E322" s="475"/>
      <c r="F322" s="99"/>
      <c r="G322" s="475"/>
      <c r="H322" s="475"/>
      <c r="I322" s="475"/>
      <c r="J322" s="475"/>
      <c r="K322" s="475"/>
      <c r="L322" s="475"/>
      <c r="M322" s="475"/>
      <c r="N322" s="475"/>
      <c r="O322" s="475"/>
      <c r="P322" s="475"/>
      <c r="Q322" s="475"/>
      <c r="R322" s="475"/>
      <c r="S322" s="475"/>
      <c r="T322" s="475"/>
      <c r="U322" s="475"/>
      <c r="V322" s="475"/>
      <c r="W322" s="475"/>
      <c r="X322" s="475"/>
      <c r="Y322" s="475"/>
      <c r="Z322" s="475"/>
      <c r="AA322" s="475"/>
      <c r="AB322" s="475"/>
      <c r="AC322" s="475"/>
      <c r="AD322" s="475"/>
      <c r="AE322" s="475"/>
      <c r="AF322" s="475"/>
      <c r="AG322" s="475"/>
      <c r="AH322" s="475"/>
      <c r="AI322" s="459"/>
      <c r="AJ322" s="475"/>
      <c r="AK322" s="475"/>
      <c r="AL322" s="475"/>
      <c r="AM322" s="475"/>
      <c r="AN322" s="475"/>
      <c r="AO322" s="475"/>
      <c r="AP322" s="475"/>
      <c r="AQ322" s="475"/>
      <c r="AR322" s="475"/>
      <c r="AS322" s="475"/>
      <c r="AT322" s="475"/>
      <c r="AU322" s="475"/>
      <c r="AV322" s="475"/>
      <c r="AW322" s="475"/>
      <c r="AX322" s="475"/>
      <c r="AY322" s="475"/>
      <c r="AZ322" s="459"/>
      <c r="BA322" s="459"/>
      <c r="BB322" s="459"/>
      <c r="BC322" s="459"/>
      <c r="BD322" s="459"/>
      <c r="BE322" s="459"/>
      <c r="BF322" s="459"/>
      <c r="BG322" s="459"/>
      <c r="BH322" s="459"/>
      <c r="BI322" s="459"/>
      <c r="BJ322" s="459"/>
      <c r="BK322" s="459"/>
      <c r="BL322" s="459"/>
      <c r="BM322" s="474"/>
      <c r="BN322" s="474"/>
      <c r="BO322" s="474"/>
      <c r="BP322" s="474"/>
      <c r="BQ322" s="475"/>
      <c r="BR322" s="475"/>
    </row>
    <row r="323" ht="15.75" customHeight="1">
      <c r="A323" s="475"/>
      <c r="B323" s="475"/>
      <c r="C323" s="475"/>
      <c r="D323" s="475"/>
      <c r="E323" s="475"/>
      <c r="F323" s="99"/>
      <c r="G323" s="475"/>
      <c r="H323" s="475"/>
      <c r="I323" s="475"/>
      <c r="J323" s="475"/>
      <c r="K323" s="475"/>
      <c r="L323" s="475"/>
      <c r="M323" s="475"/>
      <c r="N323" s="475"/>
      <c r="O323" s="475"/>
      <c r="P323" s="475"/>
      <c r="Q323" s="475"/>
      <c r="R323" s="475"/>
      <c r="S323" s="475"/>
      <c r="T323" s="475"/>
      <c r="U323" s="475"/>
      <c r="V323" s="475"/>
      <c r="W323" s="475"/>
      <c r="X323" s="475"/>
      <c r="Y323" s="475"/>
      <c r="Z323" s="475"/>
      <c r="AA323" s="475"/>
      <c r="AB323" s="475"/>
      <c r="AC323" s="475"/>
      <c r="AD323" s="475"/>
      <c r="AE323" s="475"/>
      <c r="AF323" s="475"/>
      <c r="AG323" s="475"/>
      <c r="AH323" s="475"/>
      <c r="AI323" s="459"/>
      <c r="AJ323" s="475"/>
      <c r="AK323" s="475"/>
      <c r="AL323" s="475"/>
      <c r="AM323" s="475"/>
      <c r="AN323" s="475"/>
      <c r="AO323" s="475"/>
      <c r="AP323" s="475"/>
      <c r="AQ323" s="475"/>
      <c r="AR323" s="475"/>
      <c r="AS323" s="475"/>
      <c r="AT323" s="475"/>
      <c r="AU323" s="475"/>
      <c r="AV323" s="475"/>
      <c r="AW323" s="475"/>
      <c r="AX323" s="475"/>
      <c r="AY323" s="475"/>
      <c r="AZ323" s="459"/>
      <c r="BA323" s="459"/>
      <c r="BB323" s="459"/>
      <c r="BC323" s="459"/>
      <c r="BD323" s="459"/>
      <c r="BE323" s="459"/>
      <c r="BF323" s="459"/>
      <c r="BG323" s="459"/>
      <c r="BH323" s="459"/>
      <c r="BI323" s="459"/>
      <c r="BJ323" s="459"/>
      <c r="BK323" s="459"/>
      <c r="BL323" s="459"/>
      <c r="BM323" s="474"/>
      <c r="BN323" s="474"/>
      <c r="BO323" s="474"/>
      <c r="BP323" s="474"/>
      <c r="BQ323" s="475"/>
      <c r="BR323" s="475"/>
    </row>
    <row r="324" ht="15.75" customHeight="1">
      <c r="A324" s="475"/>
      <c r="B324" s="475"/>
      <c r="C324" s="475"/>
      <c r="D324" s="475"/>
      <c r="E324" s="475"/>
      <c r="F324" s="99"/>
      <c r="G324" s="475"/>
      <c r="H324" s="475"/>
      <c r="I324" s="475"/>
      <c r="J324" s="475"/>
      <c r="K324" s="475"/>
      <c r="L324" s="475"/>
      <c r="M324" s="475"/>
      <c r="N324" s="475"/>
      <c r="O324" s="475"/>
      <c r="P324" s="475"/>
      <c r="Q324" s="475"/>
      <c r="R324" s="475"/>
      <c r="S324" s="475"/>
      <c r="T324" s="475"/>
      <c r="U324" s="475"/>
      <c r="V324" s="475"/>
      <c r="W324" s="475"/>
      <c r="X324" s="475"/>
      <c r="Y324" s="475"/>
      <c r="Z324" s="475"/>
      <c r="AA324" s="475"/>
      <c r="AB324" s="475"/>
      <c r="AC324" s="475"/>
      <c r="AD324" s="475"/>
      <c r="AE324" s="475"/>
      <c r="AF324" s="475"/>
      <c r="AG324" s="475"/>
      <c r="AH324" s="475"/>
      <c r="AI324" s="459"/>
      <c r="AJ324" s="475"/>
      <c r="AK324" s="475"/>
      <c r="AL324" s="475"/>
      <c r="AM324" s="475"/>
      <c r="AN324" s="475"/>
      <c r="AO324" s="475"/>
      <c r="AP324" s="475"/>
      <c r="AQ324" s="475"/>
      <c r="AR324" s="475"/>
      <c r="AS324" s="475"/>
      <c r="AT324" s="475"/>
      <c r="AU324" s="475"/>
      <c r="AV324" s="475"/>
      <c r="AW324" s="475"/>
      <c r="AX324" s="475"/>
      <c r="AY324" s="475"/>
      <c r="AZ324" s="459"/>
      <c r="BA324" s="459"/>
      <c r="BB324" s="459"/>
      <c r="BC324" s="459"/>
      <c r="BD324" s="459"/>
      <c r="BE324" s="459"/>
      <c r="BF324" s="459"/>
      <c r="BG324" s="459"/>
      <c r="BH324" s="459"/>
      <c r="BI324" s="459"/>
      <c r="BJ324" s="459"/>
      <c r="BK324" s="459"/>
      <c r="BL324" s="459"/>
      <c r="BM324" s="474"/>
      <c r="BN324" s="474"/>
      <c r="BO324" s="474"/>
      <c r="BP324" s="474"/>
      <c r="BQ324" s="475"/>
      <c r="BR324" s="475"/>
    </row>
    <row r="325" ht="15.75" customHeight="1">
      <c r="A325" s="475"/>
      <c r="B325" s="475"/>
      <c r="C325" s="475"/>
      <c r="D325" s="475"/>
      <c r="E325" s="475"/>
      <c r="F325" s="99"/>
      <c r="G325" s="475"/>
      <c r="H325" s="475"/>
      <c r="I325" s="475"/>
      <c r="J325" s="475"/>
      <c r="K325" s="475"/>
      <c r="L325" s="475"/>
      <c r="M325" s="475"/>
      <c r="N325" s="475"/>
      <c r="O325" s="475"/>
      <c r="P325" s="475"/>
      <c r="Q325" s="475"/>
      <c r="R325" s="475"/>
      <c r="S325" s="475"/>
      <c r="T325" s="475"/>
      <c r="U325" s="475"/>
      <c r="V325" s="475"/>
      <c r="W325" s="475"/>
      <c r="X325" s="475"/>
      <c r="Y325" s="475"/>
      <c r="Z325" s="475"/>
      <c r="AA325" s="475"/>
      <c r="AB325" s="475"/>
      <c r="AC325" s="475"/>
      <c r="AD325" s="475"/>
      <c r="AE325" s="475"/>
      <c r="AF325" s="475"/>
      <c r="AG325" s="475"/>
      <c r="AH325" s="475"/>
      <c r="AI325" s="459"/>
      <c r="AJ325" s="475"/>
      <c r="AK325" s="475"/>
      <c r="AL325" s="475"/>
      <c r="AM325" s="475"/>
      <c r="AN325" s="475"/>
      <c r="AO325" s="475"/>
      <c r="AP325" s="475"/>
      <c r="AQ325" s="475"/>
      <c r="AR325" s="475"/>
      <c r="AS325" s="475"/>
      <c r="AT325" s="475"/>
      <c r="AU325" s="475"/>
      <c r="AV325" s="475"/>
      <c r="AW325" s="475"/>
      <c r="AX325" s="475"/>
      <c r="AY325" s="475"/>
      <c r="AZ325" s="459"/>
      <c r="BA325" s="459"/>
      <c r="BB325" s="459"/>
      <c r="BC325" s="459"/>
      <c r="BD325" s="459"/>
      <c r="BE325" s="459"/>
      <c r="BF325" s="459"/>
      <c r="BG325" s="459"/>
      <c r="BH325" s="459"/>
      <c r="BI325" s="459"/>
      <c r="BJ325" s="459"/>
      <c r="BK325" s="459"/>
      <c r="BL325" s="459"/>
      <c r="BM325" s="474"/>
      <c r="BN325" s="474"/>
      <c r="BO325" s="474"/>
      <c r="BP325" s="474"/>
      <c r="BQ325" s="475"/>
      <c r="BR325" s="475"/>
    </row>
    <row r="326" ht="15.75" customHeight="1">
      <c r="A326" s="475"/>
      <c r="B326" s="475"/>
      <c r="C326" s="475"/>
      <c r="D326" s="475"/>
      <c r="E326" s="475"/>
      <c r="F326" s="99"/>
      <c r="G326" s="475"/>
      <c r="H326" s="475"/>
      <c r="I326" s="475"/>
      <c r="J326" s="475"/>
      <c r="K326" s="475"/>
      <c r="L326" s="475"/>
      <c r="M326" s="475"/>
      <c r="N326" s="475"/>
      <c r="O326" s="475"/>
      <c r="P326" s="475"/>
      <c r="Q326" s="475"/>
      <c r="R326" s="475"/>
      <c r="S326" s="475"/>
      <c r="T326" s="475"/>
      <c r="U326" s="475"/>
      <c r="V326" s="475"/>
      <c r="W326" s="475"/>
      <c r="X326" s="475"/>
      <c r="Y326" s="475"/>
      <c r="Z326" s="475"/>
      <c r="AA326" s="475"/>
      <c r="AB326" s="475"/>
      <c r="AC326" s="475"/>
      <c r="AD326" s="475"/>
      <c r="AE326" s="475"/>
      <c r="AF326" s="475"/>
      <c r="AG326" s="475"/>
      <c r="AH326" s="475"/>
      <c r="AI326" s="459"/>
      <c r="AJ326" s="475"/>
      <c r="AK326" s="475"/>
      <c r="AL326" s="475"/>
      <c r="AM326" s="475"/>
      <c r="AN326" s="475"/>
      <c r="AO326" s="475"/>
      <c r="AP326" s="475"/>
      <c r="AQ326" s="475"/>
      <c r="AR326" s="475"/>
      <c r="AS326" s="475"/>
      <c r="AT326" s="475"/>
      <c r="AU326" s="475"/>
      <c r="AV326" s="475"/>
      <c r="AW326" s="475"/>
      <c r="AX326" s="475"/>
      <c r="AY326" s="475"/>
      <c r="AZ326" s="459"/>
      <c r="BA326" s="459"/>
      <c r="BB326" s="459"/>
      <c r="BC326" s="459"/>
      <c r="BD326" s="459"/>
      <c r="BE326" s="459"/>
      <c r="BF326" s="459"/>
      <c r="BG326" s="459"/>
      <c r="BH326" s="459"/>
      <c r="BI326" s="459"/>
      <c r="BJ326" s="459"/>
      <c r="BK326" s="459"/>
      <c r="BL326" s="459"/>
      <c r="BM326" s="474"/>
      <c r="BN326" s="474"/>
      <c r="BO326" s="474"/>
      <c r="BP326" s="474"/>
      <c r="BQ326" s="475"/>
      <c r="BR326" s="475"/>
    </row>
    <row r="327" ht="15.75" customHeight="1">
      <c r="A327" s="475"/>
      <c r="B327" s="475"/>
      <c r="C327" s="475"/>
      <c r="D327" s="475"/>
      <c r="E327" s="475"/>
      <c r="F327" s="99"/>
      <c r="G327" s="475"/>
      <c r="H327" s="475"/>
      <c r="I327" s="475"/>
      <c r="J327" s="475"/>
      <c r="K327" s="475"/>
      <c r="L327" s="475"/>
      <c r="M327" s="475"/>
      <c r="N327" s="475"/>
      <c r="O327" s="475"/>
      <c r="P327" s="475"/>
      <c r="Q327" s="475"/>
      <c r="R327" s="475"/>
      <c r="S327" s="475"/>
      <c r="T327" s="475"/>
      <c r="U327" s="475"/>
      <c r="V327" s="475"/>
      <c r="W327" s="475"/>
      <c r="X327" s="475"/>
      <c r="Y327" s="475"/>
      <c r="Z327" s="475"/>
      <c r="AA327" s="475"/>
      <c r="AB327" s="475"/>
      <c r="AC327" s="475"/>
      <c r="AD327" s="475"/>
      <c r="AE327" s="475"/>
      <c r="AF327" s="475"/>
      <c r="AG327" s="475"/>
      <c r="AH327" s="475"/>
      <c r="AI327" s="459"/>
      <c r="AJ327" s="475"/>
      <c r="AK327" s="475"/>
      <c r="AL327" s="475"/>
      <c r="AM327" s="475"/>
      <c r="AN327" s="475"/>
      <c r="AO327" s="475"/>
      <c r="AP327" s="475"/>
      <c r="AQ327" s="475"/>
      <c r="AR327" s="475"/>
      <c r="AS327" s="475"/>
      <c r="AT327" s="475"/>
      <c r="AU327" s="475"/>
      <c r="AV327" s="475"/>
      <c r="AW327" s="475"/>
      <c r="AX327" s="475"/>
      <c r="AY327" s="475"/>
      <c r="AZ327" s="459"/>
      <c r="BA327" s="459"/>
      <c r="BB327" s="459"/>
      <c r="BC327" s="459"/>
      <c r="BD327" s="459"/>
      <c r="BE327" s="459"/>
      <c r="BF327" s="459"/>
      <c r="BG327" s="459"/>
      <c r="BH327" s="459"/>
      <c r="BI327" s="459"/>
      <c r="BJ327" s="459"/>
      <c r="BK327" s="459"/>
      <c r="BL327" s="459"/>
      <c r="BM327" s="474"/>
      <c r="BN327" s="474"/>
      <c r="BO327" s="474"/>
      <c r="BP327" s="474"/>
      <c r="BQ327" s="475"/>
      <c r="BR327" s="475"/>
    </row>
    <row r="328" ht="15.75" customHeight="1">
      <c r="A328" s="475"/>
      <c r="B328" s="475"/>
      <c r="C328" s="475"/>
      <c r="D328" s="475"/>
      <c r="E328" s="475"/>
      <c r="F328" s="99"/>
      <c r="G328" s="475"/>
      <c r="H328" s="475"/>
      <c r="I328" s="475"/>
      <c r="J328" s="475"/>
      <c r="K328" s="475"/>
      <c r="L328" s="475"/>
      <c r="M328" s="475"/>
      <c r="N328" s="475"/>
      <c r="O328" s="475"/>
      <c r="P328" s="475"/>
      <c r="Q328" s="475"/>
      <c r="R328" s="475"/>
      <c r="S328" s="475"/>
      <c r="T328" s="475"/>
      <c r="U328" s="475"/>
      <c r="V328" s="475"/>
      <c r="W328" s="475"/>
      <c r="X328" s="475"/>
      <c r="Y328" s="475"/>
      <c r="Z328" s="475"/>
      <c r="AA328" s="475"/>
      <c r="AB328" s="475"/>
      <c r="AC328" s="475"/>
      <c r="AD328" s="475"/>
      <c r="AE328" s="475"/>
      <c r="AF328" s="475"/>
      <c r="AG328" s="475"/>
      <c r="AH328" s="475"/>
      <c r="AI328" s="459"/>
      <c r="AJ328" s="475"/>
      <c r="AK328" s="475"/>
      <c r="AL328" s="475"/>
      <c r="AM328" s="475"/>
      <c r="AN328" s="475"/>
      <c r="AO328" s="475"/>
      <c r="AP328" s="475"/>
      <c r="AQ328" s="475"/>
      <c r="AR328" s="475"/>
      <c r="AS328" s="475"/>
      <c r="AT328" s="475"/>
      <c r="AU328" s="475"/>
      <c r="AV328" s="475"/>
      <c r="AW328" s="475"/>
      <c r="AX328" s="475"/>
      <c r="AY328" s="475"/>
      <c r="AZ328" s="459"/>
      <c r="BA328" s="459"/>
      <c r="BB328" s="459"/>
      <c r="BC328" s="459"/>
      <c r="BD328" s="459"/>
      <c r="BE328" s="459"/>
      <c r="BF328" s="459"/>
      <c r="BG328" s="459"/>
      <c r="BH328" s="459"/>
      <c r="BI328" s="459"/>
      <c r="BJ328" s="459"/>
      <c r="BK328" s="459"/>
      <c r="BL328" s="459"/>
      <c r="BM328" s="474"/>
      <c r="BN328" s="474"/>
      <c r="BO328" s="474"/>
      <c r="BP328" s="474"/>
      <c r="BQ328" s="475"/>
      <c r="BR328" s="475"/>
    </row>
    <row r="329" ht="15.75" customHeight="1">
      <c r="A329" s="475"/>
      <c r="B329" s="475"/>
      <c r="C329" s="475"/>
      <c r="D329" s="475"/>
      <c r="E329" s="475"/>
      <c r="F329" s="99"/>
      <c r="G329" s="475"/>
      <c r="H329" s="475"/>
      <c r="I329" s="475"/>
      <c r="J329" s="475"/>
      <c r="K329" s="475"/>
      <c r="L329" s="475"/>
      <c r="M329" s="475"/>
      <c r="N329" s="475"/>
      <c r="O329" s="475"/>
      <c r="P329" s="475"/>
      <c r="Q329" s="475"/>
      <c r="R329" s="475"/>
      <c r="S329" s="475"/>
      <c r="T329" s="475"/>
      <c r="U329" s="475"/>
      <c r="V329" s="475"/>
      <c r="W329" s="475"/>
      <c r="X329" s="475"/>
      <c r="Y329" s="475"/>
      <c r="Z329" s="475"/>
      <c r="AA329" s="475"/>
      <c r="AB329" s="475"/>
      <c r="AC329" s="475"/>
      <c r="AD329" s="475"/>
      <c r="AE329" s="475"/>
      <c r="AF329" s="475"/>
      <c r="AG329" s="475"/>
      <c r="AH329" s="475"/>
      <c r="AI329" s="459"/>
      <c r="AJ329" s="475"/>
      <c r="AK329" s="475"/>
      <c r="AL329" s="475"/>
      <c r="AM329" s="475"/>
      <c r="AN329" s="475"/>
      <c r="AO329" s="475"/>
      <c r="AP329" s="475"/>
      <c r="AQ329" s="475"/>
      <c r="AR329" s="475"/>
      <c r="AS329" s="475"/>
      <c r="AT329" s="475"/>
      <c r="AU329" s="475"/>
      <c r="AV329" s="475"/>
      <c r="AW329" s="475"/>
      <c r="AX329" s="475"/>
      <c r="AY329" s="475"/>
      <c r="AZ329" s="459"/>
      <c r="BA329" s="459"/>
      <c r="BB329" s="459"/>
      <c r="BC329" s="459"/>
      <c r="BD329" s="459"/>
      <c r="BE329" s="459"/>
      <c r="BF329" s="459"/>
      <c r="BG329" s="459"/>
      <c r="BH329" s="459"/>
      <c r="BI329" s="459"/>
      <c r="BJ329" s="459"/>
      <c r="BK329" s="459"/>
      <c r="BL329" s="459"/>
      <c r="BM329" s="474"/>
      <c r="BN329" s="474"/>
      <c r="BO329" s="474"/>
      <c r="BP329" s="474"/>
      <c r="BQ329" s="475"/>
      <c r="BR329" s="475"/>
    </row>
    <row r="330" ht="15.75" customHeight="1">
      <c r="A330" s="475"/>
      <c r="B330" s="475"/>
      <c r="C330" s="475"/>
      <c r="D330" s="475"/>
      <c r="E330" s="475"/>
      <c r="F330" s="99"/>
      <c r="G330" s="475"/>
      <c r="H330" s="475"/>
      <c r="I330" s="475"/>
      <c r="J330" s="475"/>
      <c r="K330" s="475"/>
      <c r="L330" s="475"/>
      <c r="M330" s="475"/>
      <c r="N330" s="475"/>
      <c r="O330" s="475"/>
      <c r="P330" s="475"/>
      <c r="Q330" s="475"/>
      <c r="R330" s="475"/>
      <c r="S330" s="475"/>
      <c r="T330" s="475"/>
      <c r="U330" s="475"/>
      <c r="V330" s="475"/>
      <c r="W330" s="475"/>
      <c r="X330" s="475"/>
      <c r="Y330" s="475"/>
      <c r="Z330" s="475"/>
      <c r="AA330" s="475"/>
      <c r="AB330" s="475"/>
      <c r="AC330" s="475"/>
      <c r="AD330" s="475"/>
      <c r="AE330" s="475"/>
      <c r="AF330" s="475"/>
      <c r="AG330" s="475"/>
      <c r="AH330" s="475"/>
      <c r="AI330" s="459"/>
      <c r="AJ330" s="475"/>
      <c r="AK330" s="475"/>
      <c r="AL330" s="475"/>
      <c r="AM330" s="475"/>
      <c r="AN330" s="475"/>
      <c r="AO330" s="475"/>
      <c r="AP330" s="475"/>
      <c r="AQ330" s="475"/>
      <c r="AR330" s="475"/>
      <c r="AS330" s="475"/>
      <c r="AT330" s="475"/>
      <c r="AU330" s="475"/>
      <c r="AV330" s="475"/>
      <c r="AW330" s="475"/>
      <c r="AX330" s="475"/>
      <c r="AY330" s="475"/>
      <c r="AZ330" s="459"/>
      <c r="BA330" s="459"/>
      <c r="BB330" s="459"/>
      <c r="BC330" s="459"/>
      <c r="BD330" s="459"/>
      <c r="BE330" s="459"/>
      <c r="BF330" s="459"/>
      <c r="BG330" s="459"/>
      <c r="BH330" s="459"/>
      <c r="BI330" s="459"/>
      <c r="BJ330" s="459"/>
      <c r="BK330" s="459"/>
      <c r="BL330" s="459"/>
      <c r="BM330" s="474"/>
      <c r="BN330" s="474"/>
      <c r="BO330" s="474"/>
      <c r="BP330" s="474"/>
      <c r="BQ330" s="475"/>
      <c r="BR330" s="475"/>
    </row>
    <row r="331" ht="15.75" customHeight="1">
      <c r="A331" s="475"/>
      <c r="B331" s="475"/>
      <c r="C331" s="475"/>
      <c r="D331" s="475"/>
      <c r="E331" s="475"/>
      <c r="F331" s="99"/>
      <c r="G331" s="475"/>
      <c r="H331" s="475"/>
      <c r="I331" s="475"/>
      <c r="J331" s="475"/>
      <c r="K331" s="475"/>
      <c r="L331" s="475"/>
      <c r="M331" s="475"/>
      <c r="N331" s="475"/>
      <c r="O331" s="475"/>
      <c r="P331" s="475"/>
      <c r="Q331" s="475"/>
      <c r="R331" s="475"/>
      <c r="S331" s="475"/>
      <c r="T331" s="475"/>
      <c r="U331" s="475"/>
      <c r="V331" s="475"/>
      <c r="W331" s="475"/>
      <c r="X331" s="475"/>
      <c r="Y331" s="475"/>
      <c r="Z331" s="475"/>
      <c r="AA331" s="475"/>
      <c r="AB331" s="475"/>
      <c r="AC331" s="475"/>
      <c r="AD331" s="475"/>
      <c r="AE331" s="475"/>
      <c r="AF331" s="475"/>
      <c r="AG331" s="475"/>
      <c r="AH331" s="475"/>
      <c r="AI331" s="459"/>
      <c r="AJ331" s="475"/>
      <c r="AK331" s="475"/>
      <c r="AL331" s="475"/>
      <c r="AM331" s="475"/>
      <c r="AN331" s="475"/>
      <c r="AO331" s="475"/>
      <c r="AP331" s="475"/>
      <c r="AQ331" s="475"/>
      <c r="AR331" s="475"/>
      <c r="AS331" s="475"/>
      <c r="AT331" s="475"/>
      <c r="AU331" s="475"/>
      <c r="AV331" s="475"/>
      <c r="AW331" s="475"/>
      <c r="AX331" s="475"/>
      <c r="AY331" s="475"/>
      <c r="AZ331" s="459"/>
      <c r="BA331" s="459"/>
      <c r="BB331" s="459"/>
      <c r="BC331" s="459"/>
      <c r="BD331" s="459"/>
      <c r="BE331" s="459"/>
      <c r="BF331" s="459"/>
      <c r="BG331" s="459"/>
      <c r="BH331" s="459"/>
      <c r="BI331" s="459"/>
      <c r="BJ331" s="459"/>
      <c r="BK331" s="459"/>
      <c r="BL331" s="459"/>
      <c r="BM331" s="474"/>
      <c r="BN331" s="474"/>
      <c r="BO331" s="474"/>
      <c r="BP331" s="474"/>
      <c r="BQ331" s="475"/>
      <c r="BR331" s="475"/>
    </row>
    <row r="332" ht="15.75" customHeight="1">
      <c r="A332" s="475"/>
      <c r="B332" s="475"/>
      <c r="C332" s="475"/>
      <c r="D332" s="475"/>
      <c r="E332" s="475"/>
      <c r="F332" s="99"/>
      <c r="G332" s="475"/>
      <c r="H332" s="475"/>
      <c r="I332" s="475"/>
      <c r="J332" s="475"/>
      <c r="K332" s="475"/>
      <c r="L332" s="475"/>
      <c r="M332" s="475"/>
      <c r="N332" s="475"/>
      <c r="O332" s="475"/>
      <c r="P332" s="475"/>
      <c r="Q332" s="475"/>
      <c r="R332" s="475"/>
      <c r="S332" s="475"/>
      <c r="T332" s="475"/>
      <c r="U332" s="475"/>
      <c r="V332" s="475"/>
      <c r="W332" s="475"/>
      <c r="X332" s="475"/>
      <c r="Y332" s="475"/>
      <c r="Z332" s="475"/>
      <c r="AA332" s="475"/>
      <c r="AB332" s="475"/>
      <c r="AC332" s="475"/>
      <c r="AD332" s="475"/>
      <c r="AE332" s="475"/>
      <c r="AF332" s="475"/>
      <c r="AG332" s="475"/>
      <c r="AH332" s="475"/>
      <c r="AI332" s="459"/>
      <c r="AJ332" s="475"/>
      <c r="AK332" s="475"/>
      <c r="AL332" s="475"/>
      <c r="AM332" s="475"/>
      <c r="AN332" s="475"/>
      <c r="AO332" s="475"/>
      <c r="AP332" s="475"/>
      <c r="AQ332" s="475"/>
      <c r="AR332" s="475"/>
      <c r="AS332" s="475"/>
      <c r="AT332" s="475"/>
      <c r="AU332" s="475"/>
      <c r="AV332" s="475"/>
      <c r="AW332" s="475"/>
      <c r="AX332" s="475"/>
      <c r="AY332" s="475"/>
      <c r="AZ332" s="459"/>
      <c r="BA332" s="459"/>
      <c r="BB332" s="459"/>
      <c r="BC332" s="459"/>
      <c r="BD332" s="459"/>
      <c r="BE332" s="459"/>
      <c r="BF332" s="459"/>
      <c r="BG332" s="459"/>
      <c r="BH332" s="459"/>
      <c r="BI332" s="459"/>
      <c r="BJ332" s="459"/>
      <c r="BK332" s="459"/>
      <c r="BL332" s="459"/>
      <c r="BM332" s="474"/>
      <c r="BN332" s="474"/>
      <c r="BO332" s="474"/>
      <c r="BP332" s="474"/>
      <c r="BQ332" s="475"/>
      <c r="BR332" s="475"/>
    </row>
    <row r="333" ht="15.75" customHeight="1">
      <c r="A333" s="475"/>
      <c r="B333" s="475"/>
      <c r="C333" s="475"/>
      <c r="D333" s="475"/>
      <c r="E333" s="475"/>
      <c r="F333" s="99"/>
      <c r="G333" s="475"/>
      <c r="H333" s="475"/>
      <c r="I333" s="475"/>
      <c r="J333" s="475"/>
      <c r="K333" s="475"/>
      <c r="L333" s="475"/>
      <c r="M333" s="475"/>
      <c r="N333" s="475"/>
      <c r="O333" s="475"/>
      <c r="P333" s="475"/>
      <c r="Q333" s="475"/>
      <c r="R333" s="475"/>
      <c r="S333" s="475"/>
      <c r="T333" s="475"/>
      <c r="U333" s="475"/>
      <c r="V333" s="475"/>
      <c r="W333" s="475"/>
      <c r="X333" s="475"/>
      <c r="Y333" s="475"/>
      <c r="Z333" s="475"/>
      <c r="AA333" s="475"/>
      <c r="AB333" s="475"/>
      <c r="AC333" s="475"/>
      <c r="AD333" s="475"/>
      <c r="AE333" s="475"/>
      <c r="AF333" s="475"/>
      <c r="AG333" s="475"/>
      <c r="AH333" s="475"/>
      <c r="AI333" s="459"/>
      <c r="AJ333" s="475"/>
      <c r="AK333" s="475"/>
      <c r="AL333" s="475"/>
      <c r="AM333" s="475"/>
      <c r="AN333" s="475"/>
      <c r="AO333" s="475"/>
      <c r="AP333" s="475"/>
      <c r="AQ333" s="475"/>
      <c r="AR333" s="475"/>
      <c r="AS333" s="475"/>
      <c r="AT333" s="475"/>
      <c r="AU333" s="475"/>
      <c r="AV333" s="475"/>
      <c r="AW333" s="475"/>
      <c r="AX333" s="475"/>
      <c r="AY333" s="475"/>
      <c r="AZ333" s="459"/>
      <c r="BA333" s="459"/>
      <c r="BB333" s="459"/>
      <c r="BC333" s="459"/>
      <c r="BD333" s="459"/>
      <c r="BE333" s="459"/>
      <c r="BF333" s="459"/>
      <c r="BG333" s="459"/>
      <c r="BH333" s="459"/>
      <c r="BI333" s="459"/>
      <c r="BJ333" s="459"/>
      <c r="BK333" s="459"/>
      <c r="BL333" s="459"/>
      <c r="BM333" s="474"/>
      <c r="BN333" s="474"/>
      <c r="BO333" s="474"/>
      <c r="BP333" s="474"/>
      <c r="BQ333" s="475"/>
      <c r="BR333" s="475"/>
    </row>
    <row r="334" ht="15.75" customHeight="1">
      <c r="A334" s="475"/>
      <c r="B334" s="475"/>
      <c r="C334" s="475"/>
      <c r="D334" s="475"/>
      <c r="E334" s="475"/>
      <c r="F334" s="99"/>
      <c r="G334" s="475"/>
      <c r="H334" s="475"/>
      <c r="I334" s="475"/>
      <c r="J334" s="475"/>
      <c r="K334" s="475"/>
      <c r="L334" s="475"/>
      <c r="M334" s="475"/>
      <c r="N334" s="475"/>
      <c r="O334" s="475"/>
      <c r="P334" s="475"/>
      <c r="Q334" s="475"/>
      <c r="R334" s="475"/>
      <c r="S334" s="475"/>
      <c r="T334" s="475"/>
      <c r="U334" s="475"/>
      <c r="V334" s="475"/>
      <c r="W334" s="475"/>
      <c r="X334" s="475"/>
      <c r="Y334" s="475"/>
      <c r="Z334" s="475"/>
      <c r="AA334" s="475"/>
      <c r="AB334" s="475"/>
      <c r="AC334" s="475"/>
      <c r="AD334" s="475"/>
      <c r="AE334" s="475"/>
      <c r="AF334" s="475"/>
      <c r="AG334" s="475"/>
      <c r="AH334" s="475"/>
      <c r="AI334" s="459"/>
      <c r="AJ334" s="475"/>
      <c r="AK334" s="475"/>
      <c r="AL334" s="475"/>
      <c r="AM334" s="475"/>
      <c r="AN334" s="475"/>
      <c r="AO334" s="475"/>
      <c r="AP334" s="475"/>
      <c r="AQ334" s="475"/>
      <c r="AR334" s="475"/>
      <c r="AS334" s="475"/>
      <c r="AT334" s="475"/>
      <c r="AU334" s="475"/>
      <c r="AV334" s="475"/>
      <c r="AW334" s="475"/>
      <c r="AX334" s="475"/>
      <c r="AY334" s="475"/>
      <c r="AZ334" s="459"/>
      <c r="BA334" s="459"/>
      <c r="BB334" s="459"/>
      <c r="BC334" s="459"/>
      <c r="BD334" s="459"/>
      <c r="BE334" s="459"/>
      <c r="BF334" s="459"/>
      <c r="BG334" s="459"/>
      <c r="BH334" s="459"/>
      <c r="BI334" s="459"/>
      <c r="BJ334" s="459"/>
      <c r="BK334" s="459"/>
      <c r="BL334" s="459"/>
      <c r="BM334" s="474"/>
      <c r="BN334" s="474"/>
      <c r="BO334" s="474"/>
      <c r="BP334" s="474"/>
      <c r="BQ334" s="475"/>
      <c r="BR334" s="475"/>
    </row>
    <row r="335" ht="15.75" customHeight="1">
      <c r="A335" s="475"/>
      <c r="B335" s="475"/>
      <c r="C335" s="475"/>
      <c r="D335" s="475"/>
      <c r="E335" s="475"/>
      <c r="F335" s="99"/>
      <c r="G335" s="475"/>
      <c r="H335" s="475"/>
      <c r="I335" s="475"/>
      <c r="J335" s="475"/>
      <c r="K335" s="475"/>
      <c r="L335" s="475"/>
      <c r="M335" s="475"/>
      <c r="N335" s="475"/>
      <c r="O335" s="475"/>
      <c r="P335" s="475"/>
      <c r="Q335" s="475"/>
      <c r="R335" s="475"/>
      <c r="S335" s="475"/>
      <c r="T335" s="475"/>
      <c r="U335" s="475"/>
      <c r="V335" s="475"/>
      <c r="W335" s="475"/>
      <c r="X335" s="475"/>
      <c r="Y335" s="475"/>
      <c r="Z335" s="475"/>
      <c r="AA335" s="475"/>
      <c r="AB335" s="475"/>
      <c r="AC335" s="475"/>
      <c r="AD335" s="475"/>
      <c r="AE335" s="475"/>
      <c r="AF335" s="475"/>
      <c r="AG335" s="475"/>
      <c r="AH335" s="475"/>
      <c r="AI335" s="459"/>
      <c r="AJ335" s="475"/>
      <c r="AK335" s="475"/>
      <c r="AL335" s="475"/>
      <c r="AM335" s="475"/>
      <c r="AN335" s="475"/>
      <c r="AO335" s="475"/>
      <c r="AP335" s="475"/>
      <c r="AQ335" s="475"/>
      <c r="AR335" s="475"/>
      <c r="AS335" s="475"/>
      <c r="AT335" s="475"/>
      <c r="AU335" s="475"/>
      <c r="AV335" s="475"/>
      <c r="AW335" s="475"/>
      <c r="AX335" s="475"/>
      <c r="AY335" s="475"/>
      <c r="AZ335" s="459"/>
      <c r="BA335" s="459"/>
      <c r="BB335" s="459"/>
      <c r="BC335" s="459"/>
      <c r="BD335" s="459"/>
      <c r="BE335" s="459"/>
      <c r="BF335" s="459"/>
      <c r="BG335" s="459"/>
      <c r="BH335" s="459"/>
      <c r="BI335" s="459"/>
      <c r="BJ335" s="459"/>
      <c r="BK335" s="459"/>
      <c r="BL335" s="459"/>
      <c r="BM335" s="474"/>
      <c r="BN335" s="474"/>
      <c r="BO335" s="474"/>
      <c r="BP335" s="474"/>
      <c r="BQ335" s="475"/>
      <c r="BR335" s="475"/>
    </row>
    <row r="336" ht="15.75" customHeight="1">
      <c r="A336" s="475"/>
      <c r="B336" s="475"/>
      <c r="C336" s="475"/>
      <c r="D336" s="475"/>
      <c r="E336" s="475"/>
      <c r="F336" s="99"/>
      <c r="G336" s="475"/>
      <c r="H336" s="475"/>
      <c r="I336" s="475"/>
      <c r="J336" s="475"/>
      <c r="K336" s="475"/>
      <c r="L336" s="475"/>
      <c r="M336" s="475"/>
      <c r="N336" s="475"/>
      <c r="O336" s="475"/>
      <c r="P336" s="475"/>
      <c r="Q336" s="475"/>
      <c r="R336" s="475"/>
      <c r="S336" s="475"/>
      <c r="T336" s="475"/>
      <c r="U336" s="475"/>
      <c r="V336" s="475"/>
      <c r="W336" s="475"/>
      <c r="X336" s="475"/>
      <c r="Y336" s="475"/>
      <c r="Z336" s="475"/>
      <c r="AA336" s="475"/>
      <c r="AB336" s="475"/>
      <c r="AC336" s="475"/>
      <c r="AD336" s="475"/>
      <c r="AE336" s="475"/>
      <c r="AF336" s="475"/>
      <c r="AG336" s="475"/>
      <c r="AH336" s="475"/>
      <c r="AI336" s="459"/>
      <c r="AJ336" s="475"/>
      <c r="AK336" s="475"/>
      <c r="AL336" s="475"/>
      <c r="AM336" s="475"/>
      <c r="AN336" s="475"/>
      <c r="AO336" s="475"/>
      <c r="AP336" s="475"/>
      <c r="AQ336" s="475"/>
      <c r="AR336" s="475"/>
      <c r="AS336" s="475"/>
      <c r="AT336" s="475"/>
      <c r="AU336" s="475"/>
      <c r="AV336" s="475"/>
      <c r="AW336" s="475"/>
      <c r="AX336" s="475"/>
      <c r="AY336" s="475"/>
      <c r="AZ336" s="459"/>
      <c r="BA336" s="459"/>
      <c r="BB336" s="459"/>
      <c r="BC336" s="459"/>
      <c r="BD336" s="459"/>
      <c r="BE336" s="459"/>
      <c r="BF336" s="459"/>
      <c r="BG336" s="459"/>
      <c r="BH336" s="459"/>
      <c r="BI336" s="459"/>
      <c r="BJ336" s="459"/>
      <c r="BK336" s="459"/>
      <c r="BL336" s="459"/>
      <c r="BM336" s="474"/>
      <c r="BN336" s="474"/>
      <c r="BO336" s="474"/>
      <c r="BP336" s="474"/>
      <c r="BQ336" s="475"/>
      <c r="BR336" s="475"/>
    </row>
    <row r="337" ht="15.75" customHeight="1">
      <c r="A337" s="475"/>
      <c r="B337" s="475"/>
      <c r="C337" s="475"/>
      <c r="D337" s="475"/>
      <c r="E337" s="475"/>
      <c r="F337" s="99"/>
      <c r="G337" s="475"/>
      <c r="H337" s="475"/>
      <c r="I337" s="475"/>
      <c r="J337" s="475"/>
      <c r="K337" s="475"/>
      <c r="L337" s="475"/>
      <c r="M337" s="475"/>
      <c r="N337" s="475"/>
      <c r="O337" s="475"/>
      <c r="P337" s="475"/>
      <c r="Q337" s="475"/>
      <c r="R337" s="475"/>
      <c r="S337" s="475"/>
      <c r="T337" s="475"/>
      <c r="U337" s="475"/>
      <c r="V337" s="475"/>
      <c r="W337" s="475"/>
      <c r="X337" s="475"/>
      <c r="Y337" s="475"/>
      <c r="Z337" s="475"/>
      <c r="AA337" s="475"/>
      <c r="AB337" s="475"/>
      <c r="AC337" s="475"/>
      <c r="AD337" s="475"/>
      <c r="AE337" s="475"/>
      <c r="AF337" s="475"/>
      <c r="AG337" s="475"/>
      <c r="AH337" s="475"/>
      <c r="AI337" s="459"/>
      <c r="AJ337" s="475"/>
      <c r="AK337" s="475"/>
      <c r="AL337" s="475"/>
      <c r="AM337" s="475"/>
      <c r="AN337" s="475"/>
      <c r="AO337" s="475"/>
      <c r="AP337" s="475"/>
      <c r="AQ337" s="475"/>
      <c r="AR337" s="475"/>
      <c r="AS337" s="475"/>
      <c r="AT337" s="475"/>
      <c r="AU337" s="475"/>
      <c r="AV337" s="475"/>
      <c r="AW337" s="475"/>
      <c r="AX337" s="475"/>
      <c r="AY337" s="475"/>
      <c r="AZ337" s="459"/>
      <c r="BA337" s="459"/>
      <c r="BB337" s="459"/>
      <c r="BC337" s="459"/>
      <c r="BD337" s="459"/>
      <c r="BE337" s="459"/>
      <c r="BF337" s="459"/>
      <c r="BG337" s="459"/>
      <c r="BH337" s="459"/>
      <c r="BI337" s="459"/>
      <c r="BJ337" s="459"/>
      <c r="BK337" s="459"/>
      <c r="BL337" s="459"/>
      <c r="BM337" s="474"/>
      <c r="BN337" s="474"/>
      <c r="BO337" s="474"/>
      <c r="BP337" s="474"/>
      <c r="BQ337" s="475"/>
      <c r="BR337" s="475"/>
    </row>
    <row r="338" ht="15.75" customHeight="1">
      <c r="A338" s="475"/>
      <c r="B338" s="475"/>
      <c r="C338" s="475"/>
      <c r="D338" s="475"/>
      <c r="E338" s="475"/>
      <c r="F338" s="99"/>
      <c r="G338" s="475"/>
      <c r="H338" s="475"/>
      <c r="I338" s="475"/>
      <c r="J338" s="475"/>
      <c r="K338" s="475"/>
      <c r="L338" s="475"/>
      <c r="M338" s="475"/>
      <c r="N338" s="475"/>
      <c r="O338" s="475"/>
      <c r="P338" s="475"/>
      <c r="Q338" s="475"/>
      <c r="R338" s="475"/>
      <c r="S338" s="475"/>
      <c r="T338" s="475"/>
      <c r="U338" s="475"/>
      <c r="V338" s="475"/>
      <c r="W338" s="475"/>
      <c r="X338" s="475"/>
      <c r="Y338" s="475"/>
      <c r="Z338" s="475"/>
      <c r="AA338" s="475"/>
      <c r="AB338" s="475"/>
      <c r="AC338" s="475"/>
      <c r="AD338" s="475"/>
      <c r="AE338" s="475"/>
      <c r="AF338" s="475"/>
      <c r="AG338" s="475"/>
      <c r="AH338" s="475"/>
      <c r="AI338" s="459"/>
      <c r="AJ338" s="475"/>
      <c r="AK338" s="475"/>
      <c r="AL338" s="475"/>
      <c r="AM338" s="475"/>
      <c r="AN338" s="475"/>
      <c r="AO338" s="475"/>
      <c r="AP338" s="475"/>
      <c r="AQ338" s="475"/>
      <c r="AR338" s="475"/>
      <c r="AS338" s="475"/>
      <c r="AT338" s="475"/>
      <c r="AU338" s="475"/>
      <c r="AV338" s="475"/>
      <c r="AW338" s="475"/>
      <c r="AX338" s="475"/>
      <c r="AY338" s="475"/>
      <c r="AZ338" s="459"/>
      <c r="BA338" s="459"/>
      <c r="BB338" s="459"/>
      <c r="BC338" s="459"/>
      <c r="BD338" s="459"/>
      <c r="BE338" s="459"/>
      <c r="BF338" s="459"/>
      <c r="BG338" s="459"/>
      <c r="BH338" s="459"/>
      <c r="BI338" s="459"/>
      <c r="BJ338" s="459"/>
      <c r="BK338" s="459"/>
      <c r="BL338" s="459"/>
      <c r="BM338" s="474"/>
      <c r="BN338" s="474"/>
      <c r="BO338" s="474"/>
      <c r="BP338" s="474"/>
      <c r="BQ338" s="475"/>
      <c r="BR338" s="475"/>
    </row>
    <row r="339" ht="15.75" customHeight="1">
      <c r="A339" s="475"/>
      <c r="B339" s="475"/>
      <c r="C339" s="475"/>
      <c r="D339" s="475"/>
      <c r="E339" s="475"/>
      <c r="F339" s="99"/>
      <c r="G339" s="475"/>
      <c r="H339" s="475"/>
      <c r="I339" s="475"/>
      <c r="J339" s="475"/>
      <c r="K339" s="475"/>
      <c r="L339" s="475"/>
      <c r="M339" s="475"/>
      <c r="N339" s="475"/>
      <c r="O339" s="475"/>
      <c r="P339" s="475"/>
      <c r="Q339" s="475"/>
      <c r="R339" s="475"/>
      <c r="S339" s="475"/>
      <c r="T339" s="475"/>
      <c r="U339" s="475"/>
      <c r="V339" s="475"/>
      <c r="W339" s="475"/>
      <c r="X339" s="475"/>
      <c r="Y339" s="475"/>
      <c r="Z339" s="475"/>
      <c r="AA339" s="475"/>
      <c r="AB339" s="475"/>
      <c r="AC339" s="475"/>
      <c r="AD339" s="475"/>
      <c r="AE339" s="475"/>
      <c r="AF339" s="475"/>
      <c r="AG339" s="475"/>
      <c r="AH339" s="475"/>
      <c r="AI339" s="459"/>
      <c r="AJ339" s="475"/>
      <c r="AK339" s="475"/>
      <c r="AL339" s="475"/>
      <c r="AM339" s="475"/>
      <c r="AN339" s="475"/>
      <c r="AO339" s="475"/>
      <c r="AP339" s="475"/>
      <c r="AQ339" s="475"/>
      <c r="AR339" s="475"/>
      <c r="AS339" s="475"/>
      <c r="AT339" s="475"/>
      <c r="AU339" s="475"/>
      <c r="AV339" s="475"/>
      <c r="AW339" s="475"/>
      <c r="AX339" s="475"/>
      <c r="AY339" s="475"/>
      <c r="AZ339" s="459"/>
      <c r="BA339" s="459"/>
      <c r="BB339" s="459"/>
      <c r="BC339" s="459"/>
      <c r="BD339" s="459"/>
      <c r="BE339" s="459"/>
      <c r="BF339" s="459"/>
      <c r="BG339" s="459"/>
      <c r="BH339" s="459"/>
      <c r="BI339" s="459"/>
      <c r="BJ339" s="459"/>
      <c r="BK339" s="459"/>
      <c r="BL339" s="459"/>
      <c r="BM339" s="474"/>
      <c r="BN339" s="474"/>
      <c r="BO339" s="474"/>
      <c r="BP339" s="474"/>
      <c r="BQ339" s="475"/>
      <c r="BR339" s="475"/>
    </row>
    <row r="340" ht="15.75" customHeight="1">
      <c r="A340" s="475"/>
      <c r="B340" s="475"/>
      <c r="C340" s="475"/>
      <c r="D340" s="475"/>
      <c r="E340" s="475"/>
      <c r="F340" s="99"/>
      <c r="G340" s="475"/>
      <c r="H340" s="475"/>
      <c r="I340" s="475"/>
      <c r="J340" s="475"/>
      <c r="K340" s="475"/>
      <c r="L340" s="475"/>
      <c r="M340" s="475"/>
      <c r="N340" s="475"/>
      <c r="O340" s="475"/>
      <c r="P340" s="475"/>
      <c r="Q340" s="475"/>
      <c r="R340" s="475"/>
      <c r="S340" s="475"/>
      <c r="T340" s="475"/>
      <c r="U340" s="475"/>
      <c r="V340" s="475"/>
      <c r="W340" s="475"/>
      <c r="X340" s="475"/>
      <c r="Y340" s="475"/>
      <c r="Z340" s="475"/>
      <c r="AA340" s="475"/>
      <c r="AB340" s="475"/>
      <c r="AC340" s="475"/>
      <c r="AD340" s="475"/>
      <c r="AE340" s="475"/>
      <c r="AF340" s="475"/>
      <c r="AG340" s="475"/>
      <c r="AH340" s="475"/>
      <c r="AI340" s="459"/>
      <c r="AJ340" s="475"/>
      <c r="AK340" s="475"/>
      <c r="AL340" s="475"/>
      <c r="AM340" s="475"/>
      <c r="AN340" s="475"/>
      <c r="AO340" s="475"/>
      <c r="AP340" s="475"/>
      <c r="AQ340" s="475"/>
      <c r="AR340" s="475"/>
      <c r="AS340" s="475"/>
      <c r="AT340" s="475"/>
      <c r="AU340" s="475"/>
      <c r="AV340" s="475"/>
      <c r="AW340" s="475"/>
      <c r="AX340" s="475"/>
      <c r="AY340" s="475"/>
      <c r="AZ340" s="459"/>
      <c r="BA340" s="459"/>
      <c r="BB340" s="459"/>
      <c r="BC340" s="459"/>
      <c r="BD340" s="459"/>
      <c r="BE340" s="459"/>
      <c r="BF340" s="459"/>
      <c r="BG340" s="459"/>
      <c r="BH340" s="459"/>
      <c r="BI340" s="459"/>
      <c r="BJ340" s="459"/>
      <c r="BK340" s="459"/>
      <c r="BL340" s="459"/>
      <c r="BM340" s="474"/>
      <c r="BN340" s="474"/>
      <c r="BO340" s="474"/>
      <c r="BP340" s="474"/>
      <c r="BQ340" s="475"/>
      <c r="BR340" s="475"/>
    </row>
    <row r="341" ht="15.75" customHeight="1">
      <c r="A341" s="475"/>
      <c r="B341" s="475"/>
      <c r="C341" s="475"/>
      <c r="D341" s="475"/>
      <c r="E341" s="475"/>
      <c r="F341" s="99"/>
      <c r="G341" s="475"/>
      <c r="H341" s="475"/>
      <c r="I341" s="475"/>
      <c r="J341" s="475"/>
      <c r="K341" s="475"/>
      <c r="L341" s="475"/>
      <c r="M341" s="475"/>
      <c r="N341" s="475"/>
      <c r="O341" s="475"/>
      <c r="P341" s="475"/>
      <c r="Q341" s="475"/>
      <c r="R341" s="475"/>
      <c r="S341" s="475"/>
      <c r="T341" s="475"/>
      <c r="U341" s="475"/>
      <c r="V341" s="475"/>
      <c r="W341" s="475"/>
      <c r="X341" s="475"/>
      <c r="Y341" s="475"/>
      <c r="Z341" s="475"/>
      <c r="AA341" s="475"/>
      <c r="AB341" s="475"/>
      <c r="AC341" s="475"/>
      <c r="AD341" s="475"/>
      <c r="AE341" s="475"/>
      <c r="AF341" s="475"/>
      <c r="AG341" s="475"/>
      <c r="AH341" s="475"/>
      <c r="AI341" s="459"/>
      <c r="AJ341" s="475"/>
      <c r="AK341" s="475"/>
      <c r="AL341" s="475"/>
      <c r="AM341" s="475"/>
      <c r="AN341" s="475"/>
      <c r="AO341" s="475"/>
      <c r="AP341" s="475"/>
      <c r="AQ341" s="475"/>
      <c r="AR341" s="475"/>
      <c r="AS341" s="475"/>
      <c r="AT341" s="475"/>
      <c r="AU341" s="475"/>
      <c r="AV341" s="475"/>
      <c r="AW341" s="475"/>
      <c r="AX341" s="475"/>
      <c r="AY341" s="475"/>
      <c r="AZ341" s="459"/>
      <c r="BA341" s="459"/>
      <c r="BB341" s="459"/>
      <c r="BC341" s="459"/>
      <c r="BD341" s="459"/>
      <c r="BE341" s="459"/>
      <c r="BF341" s="459"/>
      <c r="BG341" s="459"/>
      <c r="BH341" s="459"/>
      <c r="BI341" s="459"/>
      <c r="BJ341" s="459"/>
      <c r="BK341" s="459"/>
      <c r="BL341" s="459"/>
      <c r="BM341" s="474"/>
      <c r="BN341" s="474"/>
      <c r="BO341" s="474"/>
      <c r="BP341" s="474"/>
      <c r="BQ341" s="475"/>
      <c r="BR341" s="475"/>
    </row>
    <row r="342" ht="15.75" customHeight="1">
      <c r="A342" s="475"/>
      <c r="B342" s="475"/>
      <c r="C342" s="475"/>
      <c r="D342" s="475"/>
      <c r="E342" s="475"/>
      <c r="F342" s="99"/>
      <c r="G342" s="475"/>
      <c r="H342" s="475"/>
      <c r="I342" s="475"/>
      <c r="J342" s="475"/>
      <c r="K342" s="475"/>
      <c r="L342" s="475"/>
      <c r="M342" s="475"/>
      <c r="N342" s="475"/>
      <c r="O342" s="475"/>
      <c r="P342" s="475"/>
      <c r="Q342" s="475"/>
      <c r="R342" s="475"/>
      <c r="S342" s="475"/>
      <c r="T342" s="475"/>
      <c r="U342" s="475"/>
      <c r="V342" s="475"/>
      <c r="W342" s="475"/>
      <c r="X342" s="475"/>
      <c r="Y342" s="475"/>
      <c r="Z342" s="475"/>
      <c r="AA342" s="475"/>
      <c r="AB342" s="475"/>
      <c r="AC342" s="475"/>
      <c r="AD342" s="475"/>
      <c r="AE342" s="475"/>
      <c r="AF342" s="475"/>
      <c r="AG342" s="475"/>
      <c r="AH342" s="475"/>
      <c r="AI342" s="459"/>
      <c r="AJ342" s="475"/>
      <c r="AK342" s="475"/>
      <c r="AL342" s="475"/>
      <c r="AM342" s="475"/>
      <c r="AN342" s="475"/>
      <c r="AO342" s="475"/>
      <c r="AP342" s="475"/>
      <c r="AQ342" s="475"/>
      <c r="AR342" s="475"/>
      <c r="AS342" s="475"/>
      <c r="AT342" s="475"/>
      <c r="AU342" s="475"/>
      <c r="AV342" s="475"/>
      <c r="AW342" s="475"/>
      <c r="AX342" s="475"/>
      <c r="AY342" s="475"/>
      <c r="AZ342" s="459"/>
      <c r="BA342" s="459"/>
      <c r="BB342" s="459"/>
      <c r="BC342" s="459"/>
      <c r="BD342" s="459"/>
      <c r="BE342" s="459"/>
      <c r="BF342" s="459"/>
      <c r="BG342" s="459"/>
      <c r="BH342" s="459"/>
      <c r="BI342" s="459"/>
      <c r="BJ342" s="459"/>
      <c r="BK342" s="459"/>
      <c r="BL342" s="459"/>
      <c r="BM342" s="474"/>
      <c r="BN342" s="474"/>
      <c r="BO342" s="474"/>
      <c r="BP342" s="474"/>
      <c r="BQ342" s="475"/>
      <c r="BR342" s="475"/>
    </row>
    <row r="343" ht="15.75" customHeight="1">
      <c r="A343" s="475"/>
      <c r="B343" s="475"/>
      <c r="C343" s="475"/>
      <c r="D343" s="475"/>
      <c r="E343" s="475"/>
      <c r="F343" s="99"/>
      <c r="G343" s="475"/>
      <c r="H343" s="475"/>
      <c r="I343" s="475"/>
      <c r="J343" s="475"/>
      <c r="K343" s="475"/>
      <c r="L343" s="475"/>
      <c r="M343" s="475"/>
      <c r="N343" s="475"/>
      <c r="O343" s="475"/>
      <c r="P343" s="475"/>
      <c r="Q343" s="475"/>
      <c r="R343" s="475"/>
      <c r="S343" s="475"/>
      <c r="T343" s="475"/>
      <c r="U343" s="475"/>
      <c r="V343" s="475"/>
      <c r="W343" s="475"/>
      <c r="X343" s="475"/>
      <c r="Y343" s="475"/>
      <c r="Z343" s="475"/>
      <c r="AA343" s="475"/>
      <c r="AB343" s="475"/>
      <c r="AC343" s="475"/>
      <c r="AD343" s="475"/>
      <c r="AE343" s="475"/>
      <c r="AF343" s="475"/>
      <c r="AG343" s="475"/>
      <c r="AH343" s="475"/>
      <c r="AI343" s="459"/>
      <c r="AJ343" s="475"/>
      <c r="AK343" s="475"/>
      <c r="AL343" s="475"/>
      <c r="AM343" s="475"/>
      <c r="AN343" s="475"/>
      <c r="AO343" s="475"/>
      <c r="AP343" s="475"/>
      <c r="AQ343" s="475"/>
      <c r="AR343" s="475"/>
      <c r="AS343" s="475"/>
      <c r="AT343" s="475"/>
      <c r="AU343" s="475"/>
      <c r="AV343" s="475"/>
      <c r="AW343" s="475"/>
      <c r="AX343" s="475"/>
      <c r="AY343" s="475"/>
      <c r="AZ343" s="459"/>
      <c r="BA343" s="459"/>
      <c r="BB343" s="459"/>
      <c r="BC343" s="459"/>
      <c r="BD343" s="459"/>
      <c r="BE343" s="459"/>
      <c r="BF343" s="459"/>
      <c r="BG343" s="459"/>
      <c r="BH343" s="459"/>
      <c r="BI343" s="459"/>
      <c r="BJ343" s="459"/>
      <c r="BK343" s="459"/>
      <c r="BL343" s="459"/>
      <c r="BM343" s="474"/>
      <c r="BN343" s="474"/>
      <c r="BO343" s="474"/>
      <c r="BP343" s="474"/>
      <c r="BQ343" s="475"/>
      <c r="BR343" s="475"/>
    </row>
    <row r="344" ht="15.75" customHeight="1">
      <c r="A344" s="475"/>
      <c r="B344" s="475"/>
      <c r="C344" s="475"/>
      <c r="D344" s="475"/>
      <c r="E344" s="475"/>
      <c r="F344" s="99"/>
      <c r="G344" s="475"/>
      <c r="H344" s="475"/>
      <c r="I344" s="475"/>
      <c r="J344" s="475"/>
      <c r="K344" s="475"/>
      <c r="L344" s="475"/>
      <c r="M344" s="475"/>
      <c r="N344" s="475"/>
      <c r="O344" s="475"/>
      <c r="P344" s="475"/>
      <c r="Q344" s="475"/>
      <c r="R344" s="475"/>
      <c r="S344" s="475"/>
      <c r="T344" s="475"/>
      <c r="U344" s="475"/>
      <c r="V344" s="475"/>
      <c r="W344" s="475"/>
      <c r="X344" s="475"/>
      <c r="Y344" s="475"/>
      <c r="Z344" s="475"/>
      <c r="AA344" s="475"/>
      <c r="AB344" s="475"/>
      <c r="AC344" s="475"/>
      <c r="AD344" s="475"/>
      <c r="AE344" s="475"/>
      <c r="AF344" s="475"/>
      <c r="AG344" s="475"/>
      <c r="AH344" s="475"/>
      <c r="AI344" s="459"/>
      <c r="AJ344" s="475"/>
      <c r="AK344" s="475"/>
      <c r="AL344" s="475"/>
      <c r="AM344" s="475"/>
      <c r="AN344" s="475"/>
      <c r="AO344" s="475"/>
      <c r="AP344" s="475"/>
      <c r="AQ344" s="475"/>
      <c r="AR344" s="475"/>
      <c r="AS344" s="475"/>
      <c r="AT344" s="475"/>
      <c r="AU344" s="475"/>
      <c r="AV344" s="475"/>
      <c r="AW344" s="475"/>
      <c r="AX344" s="475"/>
      <c r="AY344" s="475"/>
      <c r="AZ344" s="459"/>
      <c r="BA344" s="459"/>
      <c r="BB344" s="459"/>
      <c r="BC344" s="459"/>
      <c r="BD344" s="459"/>
      <c r="BE344" s="459"/>
      <c r="BF344" s="459"/>
      <c r="BG344" s="459"/>
      <c r="BH344" s="459"/>
      <c r="BI344" s="459"/>
      <c r="BJ344" s="459"/>
      <c r="BK344" s="459"/>
      <c r="BL344" s="459"/>
      <c r="BM344" s="474"/>
      <c r="BN344" s="474"/>
      <c r="BO344" s="474"/>
      <c r="BP344" s="474"/>
      <c r="BQ344" s="475"/>
      <c r="BR344" s="475"/>
    </row>
    <row r="345" ht="15.75" customHeight="1">
      <c r="A345" s="475"/>
      <c r="B345" s="475"/>
      <c r="C345" s="475"/>
      <c r="D345" s="475"/>
      <c r="E345" s="475"/>
      <c r="F345" s="99"/>
      <c r="G345" s="475"/>
      <c r="H345" s="475"/>
      <c r="I345" s="475"/>
      <c r="J345" s="475"/>
      <c r="K345" s="475"/>
      <c r="L345" s="475"/>
      <c r="M345" s="475"/>
      <c r="N345" s="475"/>
      <c r="O345" s="475"/>
      <c r="P345" s="475"/>
      <c r="Q345" s="475"/>
      <c r="R345" s="475"/>
      <c r="S345" s="475"/>
      <c r="T345" s="475"/>
      <c r="U345" s="475"/>
      <c r="V345" s="475"/>
      <c r="W345" s="475"/>
      <c r="X345" s="475"/>
      <c r="Y345" s="475"/>
      <c r="Z345" s="475"/>
      <c r="AA345" s="475"/>
      <c r="AB345" s="475"/>
      <c r="AC345" s="475"/>
      <c r="AD345" s="475"/>
      <c r="AE345" s="475"/>
      <c r="AF345" s="475"/>
      <c r="AG345" s="475"/>
      <c r="AH345" s="475"/>
      <c r="AI345" s="459"/>
      <c r="AJ345" s="475"/>
      <c r="AK345" s="475"/>
      <c r="AL345" s="475"/>
      <c r="AM345" s="475"/>
      <c r="AN345" s="475"/>
      <c r="AO345" s="475"/>
      <c r="AP345" s="475"/>
      <c r="AQ345" s="475"/>
      <c r="AR345" s="475"/>
      <c r="AS345" s="475"/>
      <c r="AT345" s="475"/>
      <c r="AU345" s="475"/>
      <c r="AV345" s="475"/>
      <c r="AW345" s="475"/>
      <c r="AX345" s="475"/>
      <c r="AY345" s="475"/>
      <c r="AZ345" s="459"/>
      <c r="BA345" s="459"/>
      <c r="BB345" s="459"/>
      <c r="BC345" s="459"/>
      <c r="BD345" s="459"/>
      <c r="BE345" s="459"/>
      <c r="BF345" s="459"/>
      <c r="BG345" s="459"/>
      <c r="BH345" s="459"/>
      <c r="BI345" s="459"/>
      <c r="BJ345" s="459"/>
      <c r="BK345" s="459"/>
      <c r="BL345" s="459"/>
      <c r="BM345" s="474"/>
      <c r="BN345" s="474"/>
      <c r="BO345" s="474"/>
      <c r="BP345" s="474"/>
      <c r="BQ345" s="475"/>
      <c r="BR345" s="475"/>
    </row>
    <row r="346" ht="15.75" customHeight="1">
      <c r="A346" s="475"/>
      <c r="B346" s="475"/>
      <c r="C346" s="475"/>
      <c r="D346" s="475"/>
      <c r="E346" s="475"/>
      <c r="F346" s="99"/>
      <c r="G346" s="475"/>
      <c r="H346" s="475"/>
      <c r="I346" s="475"/>
      <c r="J346" s="475"/>
      <c r="K346" s="475"/>
      <c r="L346" s="475"/>
      <c r="M346" s="475"/>
      <c r="N346" s="475"/>
      <c r="O346" s="475"/>
      <c r="P346" s="475"/>
      <c r="Q346" s="475"/>
      <c r="R346" s="475"/>
      <c r="S346" s="475"/>
      <c r="T346" s="475"/>
      <c r="U346" s="475"/>
      <c r="V346" s="475"/>
      <c r="W346" s="475"/>
      <c r="X346" s="475"/>
      <c r="Y346" s="475"/>
      <c r="Z346" s="475"/>
      <c r="AA346" s="475"/>
      <c r="AB346" s="475"/>
      <c r="AC346" s="475"/>
      <c r="AD346" s="475"/>
      <c r="AE346" s="475"/>
      <c r="AF346" s="475"/>
      <c r="AG346" s="475"/>
      <c r="AH346" s="475"/>
      <c r="AI346" s="459"/>
      <c r="AJ346" s="475"/>
      <c r="AK346" s="475"/>
      <c r="AL346" s="475"/>
      <c r="AM346" s="475"/>
      <c r="AN346" s="475"/>
      <c r="AO346" s="475"/>
      <c r="AP346" s="475"/>
      <c r="AQ346" s="475"/>
      <c r="AR346" s="475"/>
      <c r="AS346" s="475"/>
      <c r="AT346" s="475"/>
      <c r="AU346" s="475"/>
      <c r="AV346" s="475"/>
      <c r="AW346" s="475"/>
      <c r="AX346" s="475"/>
      <c r="AY346" s="475"/>
      <c r="AZ346" s="459"/>
      <c r="BA346" s="459"/>
      <c r="BB346" s="459"/>
      <c r="BC346" s="459"/>
      <c r="BD346" s="459"/>
      <c r="BE346" s="459"/>
      <c r="BF346" s="459"/>
      <c r="BG346" s="459"/>
      <c r="BH346" s="459"/>
      <c r="BI346" s="459"/>
      <c r="BJ346" s="459"/>
      <c r="BK346" s="459"/>
      <c r="BL346" s="459"/>
      <c r="BM346" s="474"/>
      <c r="BN346" s="474"/>
      <c r="BO346" s="474"/>
      <c r="BP346" s="474"/>
      <c r="BQ346" s="475"/>
      <c r="BR346" s="475"/>
    </row>
    <row r="347" ht="15.75" customHeight="1">
      <c r="A347" s="475"/>
      <c r="B347" s="475"/>
      <c r="C347" s="475"/>
      <c r="D347" s="475"/>
      <c r="E347" s="475"/>
      <c r="F347" s="99"/>
      <c r="G347" s="475"/>
      <c r="H347" s="475"/>
      <c r="I347" s="475"/>
      <c r="J347" s="475"/>
      <c r="K347" s="475"/>
      <c r="L347" s="475"/>
      <c r="M347" s="475"/>
      <c r="N347" s="475"/>
      <c r="O347" s="475"/>
      <c r="P347" s="475"/>
      <c r="Q347" s="475"/>
      <c r="R347" s="475"/>
      <c r="S347" s="475"/>
      <c r="T347" s="475"/>
      <c r="U347" s="475"/>
      <c r="V347" s="475"/>
      <c r="W347" s="475"/>
      <c r="X347" s="475"/>
      <c r="Y347" s="475"/>
      <c r="Z347" s="475"/>
      <c r="AA347" s="475"/>
      <c r="AB347" s="475"/>
      <c r="AC347" s="475"/>
      <c r="AD347" s="475"/>
      <c r="AE347" s="475"/>
      <c r="AF347" s="475"/>
      <c r="AG347" s="475"/>
      <c r="AH347" s="475"/>
      <c r="AI347" s="459"/>
      <c r="AJ347" s="475"/>
      <c r="AK347" s="475"/>
      <c r="AL347" s="475"/>
      <c r="AM347" s="475"/>
      <c r="AN347" s="475"/>
      <c r="AO347" s="475"/>
      <c r="AP347" s="475"/>
      <c r="AQ347" s="475"/>
      <c r="AR347" s="475"/>
      <c r="AS347" s="475"/>
      <c r="AT347" s="475"/>
      <c r="AU347" s="475"/>
      <c r="AV347" s="475"/>
      <c r="AW347" s="475"/>
      <c r="AX347" s="475"/>
      <c r="AY347" s="475"/>
      <c r="AZ347" s="459"/>
      <c r="BA347" s="459"/>
      <c r="BB347" s="459"/>
      <c r="BC347" s="459"/>
      <c r="BD347" s="459"/>
      <c r="BE347" s="459"/>
      <c r="BF347" s="459"/>
      <c r="BG347" s="459"/>
      <c r="BH347" s="459"/>
      <c r="BI347" s="459"/>
      <c r="BJ347" s="459"/>
      <c r="BK347" s="459"/>
      <c r="BL347" s="459"/>
      <c r="BM347" s="474"/>
      <c r="BN347" s="474"/>
      <c r="BO347" s="474"/>
      <c r="BP347" s="474"/>
      <c r="BQ347" s="475"/>
      <c r="BR347" s="475"/>
    </row>
    <row r="348" ht="15.75" customHeight="1">
      <c r="A348" s="475"/>
      <c r="B348" s="475"/>
      <c r="C348" s="475"/>
      <c r="D348" s="475"/>
      <c r="E348" s="475"/>
      <c r="F348" s="99"/>
      <c r="G348" s="475"/>
      <c r="H348" s="475"/>
      <c r="I348" s="475"/>
      <c r="J348" s="475"/>
      <c r="K348" s="475"/>
      <c r="L348" s="475"/>
      <c r="M348" s="475"/>
      <c r="N348" s="475"/>
      <c r="O348" s="475"/>
      <c r="P348" s="475"/>
      <c r="Q348" s="475"/>
      <c r="R348" s="475"/>
      <c r="S348" s="475"/>
      <c r="T348" s="475"/>
      <c r="U348" s="475"/>
      <c r="V348" s="475"/>
      <c r="W348" s="475"/>
      <c r="X348" s="475"/>
      <c r="Y348" s="475"/>
      <c r="Z348" s="475"/>
      <c r="AA348" s="475"/>
      <c r="AB348" s="475"/>
      <c r="AC348" s="475"/>
      <c r="AD348" s="475"/>
      <c r="AE348" s="475"/>
      <c r="AF348" s="475"/>
      <c r="AG348" s="475"/>
      <c r="AH348" s="475"/>
      <c r="AI348" s="459"/>
      <c r="AJ348" s="475"/>
      <c r="AK348" s="475"/>
      <c r="AL348" s="475"/>
      <c r="AM348" s="475"/>
      <c r="AN348" s="475"/>
      <c r="AO348" s="475"/>
      <c r="AP348" s="475"/>
      <c r="AQ348" s="475"/>
      <c r="AR348" s="475"/>
      <c r="AS348" s="475"/>
      <c r="AT348" s="475"/>
      <c r="AU348" s="475"/>
      <c r="AV348" s="475"/>
      <c r="AW348" s="475"/>
      <c r="AX348" s="475"/>
      <c r="AY348" s="475"/>
      <c r="AZ348" s="459"/>
      <c r="BA348" s="459"/>
      <c r="BB348" s="459"/>
      <c r="BC348" s="459"/>
      <c r="BD348" s="459"/>
      <c r="BE348" s="459"/>
      <c r="BF348" s="459"/>
      <c r="BG348" s="459"/>
      <c r="BH348" s="459"/>
      <c r="BI348" s="459"/>
      <c r="BJ348" s="459"/>
      <c r="BK348" s="459"/>
      <c r="BL348" s="459"/>
      <c r="BM348" s="474"/>
      <c r="BN348" s="474"/>
      <c r="BO348" s="474"/>
      <c r="BP348" s="474"/>
      <c r="BQ348" s="475"/>
      <c r="BR348" s="475"/>
    </row>
    <row r="349" ht="15.75" customHeight="1">
      <c r="A349" s="475"/>
      <c r="B349" s="475"/>
      <c r="C349" s="475"/>
      <c r="D349" s="475"/>
      <c r="E349" s="475"/>
      <c r="F349" s="99"/>
      <c r="G349" s="475"/>
      <c r="H349" s="475"/>
      <c r="I349" s="475"/>
      <c r="J349" s="475"/>
      <c r="K349" s="475"/>
      <c r="L349" s="475"/>
      <c r="M349" s="475"/>
      <c r="N349" s="475"/>
      <c r="O349" s="475"/>
      <c r="P349" s="475"/>
      <c r="Q349" s="475"/>
      <c r="R349" s="475"/>
      <c r="S349" s="475"/>
      <c r="T349" s="475"/>
      <c r="U349" s="475"/>
      <c r="V349" s="475"/>
      <c r="W349" s="475"/>
      <c r="X349" s="475"/>
      <c r="Y349" s="475"/>
      <c r="Z349" s="475"/>
      <c r="AA349" s="475"/>
      <c r="AB349" s="475"/>
      <c r="AC349" s="475"/>
      <c r="AD349" s="475"/>
      <c r="AE349" s="475"/>
      <c r="AF349" s="475"/>
      <c r="AG349" s="475"/>
      <c r="AH349" s="475"/>
      <c r="AI349" s="459"/>
      <c r="AJ349" s="475"/>
      <c r="AK349" s="475"/>
      <c r="AL349" s="475"/>
      <c r="AM349" s="475"/>
      <c r="AN349" s="475"/>
      <c r="AO349" s="475"/>
      <c r="AP349" s="475"/>
      <c r="AQ349" s="475"/>
      <c r="AR349" s="475"/>
      <c r="AS349" s="475"/>
      <c r="AT349" s="475"/>
      <c r="AU349" s="475"/>
      <c r="AV349" s="475"/>
      <c r="AW349" s="475"/>
      <c r="AX349" s="475"/>
      <c r="AY349" s="475"/>
      <c r="AZ349" s="459"/>
      <c r="BA349" s="459"/>
      <c r="BB349" s="459"/>
      <c r="BC349" s="459"/>
      <c r="BD349" s="459"/>
      <c r="BE349" s="459"/>
      <c r="BF349" s="459"/>
      <c r="BG349" s="459"/>
      <c r="BH349" s="459"/>
      <c r="BI349" s="459"/>
      <c r="BJ349" s="459"/>
      <c r="BK349" s="459"/>
      <c r="BL349" s="459"/>
      <c r="BM349" s="474"/>
      <c r="BN349" s="474"/>
      <c r="BO349" s="474"/>
      <c r="BP349" s="474"/>
      <c r="BQ349" s="475"/>
      <c r="BR349" s="475"/>
    </row>
    <row r="350" ht="15.75" customHeight="1">
      <c r="A350" s="475"/>
      <c r="B350" s="475"/>
      <c r="C350" s="475"/>
      <c r="D350" s="475"/>
      <c r="E350" s="475"/>
      <c r="F350" s="99"/>
      <c r="G350" s="475"/>
      <c r="H350" s="475"/>
      <c r="I350" s="475"/>
      <c r="J350" s="475"/>
      <c r="K350" s="475"/>
      <c r="L350" s="475"/>
      <c r="M350" s="475"/>
      <c r="N350" s="475"/>
      <c r="O350" s="475"/>
      <c r="P350" s="475"/>
      <c r="Q350" s="475"/>
      <c r="R350" s="475"/>
      <c r="S350" s="475"/>
      <c r="T350" s="475"/>
      <c r="U350" s="475"/>
      <c r="V350" s="475"/>
      <c r="W350" s="475"/>
      <c r="X350" s="475"/>
      <c r="Y350" s="475"/>
      <c r="Z350" s="475"/>
      <c r="AA350" s="475"/>
      <c r="AB350" s="475"/>
      <c r="AC350" s="475"/>
      <c r="AD350" s="475"/>
      <c r="AE350" s="475"/>
      <c r="AF350" s="475"/>
      <c r="AG350" s="475"/>
      <c r="AH350" s="475"/>
      <c r="AI350" s="459"/>
      <c r="AJ350" s="475"/>
      <c r="AK350" s="475"/>
      <c r="AL350" s="475"/>
      <c r="AM350" s="475"/>
      <c r="AN350" s="475"/>
      <c r="AO350" s="475"/>
      <c r="AP350" s="475"/>
      <c r="AQ350" s="475"/>
      <c r="AR350" s="475"/>
      <c r="AS350" s="475"/>
      <c r="AT350" s="475"/>
      <c r="AU350" s="475"/>
      <c r="AV350" s="475"/>
      <c r="AW350" s="475"/>
      <c r="AX350" s="475"/>
      <c r="AY350" s="475"/>
      <c r="AZ350" s="459"/>
      <c r="BA350" s="459"/>
      <c r="BB350" s="459"/>
      <c r="BC350" s="459"/>
      <c r="BD350" s="459"/>
      <c r="BE350" s="459"/>
      <c r="BF350" s="459"/>
      <c r="BG350" s="459"/>
      <c r="BH350" s="459"/>
      <c r="BI350" s="459"/>
      <c r="BJ350" s="459"/>
      <c r="BK350" s="459"/>
      <c r="BL350" s="459"/>
      <c r="BM350" s="474"/>
      <c r="BN350" s="474"/>
      <c r="BO350" s="474"/>
      <c r="BP350" s="474"/>
      <c r="BQ350" s="475"/>
      <c r="BR350" s="475"/>
    </row>
    <row r="351" ht="15.75" customHeight="1">
      <c r="A351" s="475"/>
      <c r="B351" s="475"/>
      <c r="C351" s="475"/>
      <c r="D351" s="475"/>
      <c r="E351" s="475"/>
      <c r="F351" s="99"/>
      <c r="G351" s="475"/>
      <c r="H351" s="475"/>
      <c r="I351" s="475"/>
      <c r="J351" s="475"/>
      <c r="K351" s="475"/>
      <c r="L351" s="475"/>
      <c r="M351" s="475"/>
      <c r="N351" s="475"/>
      <c r="O351" s="475"/>
      <c r="P351" s="475"/>
      <c r="Q351" s="475"/>
      <c r="R351" s="475"/>
      <c r="S351" s="475"/>
      <c r="T351" s="475"/>
      <c r="U351" s="475"/>
      <c r="V351" s="475"/>
      <c r="W351" s="475"/>
      <c r="X351" s="475"/>
      <c r="Y351" s="475"/>
      <c r="Z351" s="475"/>
      <c r="AA351" s="475"/>
      <c r="AB351" s="475"/>
      <c r="AC351" s="475"/>
      <c r="AD351" s="475"/>
      <c r="AE351" s="475"/>
      <c r="AF351" s="475"/>
      <c r="AG351" s="475"/>
      <c r="AH351" s="475"/>
      <c r="AI351" s="459"/>
      <c r="AJ351" s="475"/>
      <c r="AK351" s="475"/>
      <c r="AL351" s="475"/>
      <c r="AM351" s="475"/>
      <c r="AN351" s="475"/>
      <c r="AO351" s="475"/>
      <c r="AP351" s="475"/>
      <c r="AQ351" s="475"/>
      <c r="AR351" s="475"/>
      <c r="AS351" s="475"/>
      <c r="AT351" s="475"/>
      <c r="AU351" s="475"/>
      <c r="AV351" s="475"/>
      <c r="AW351" s="475"/>
      <c r="AX351" s="475"/>
      <c r="AY351" s="475"/>
      <c r="AZ351" s="459"/>
      <c r="BA351" s="459"/>
      <c r="BB351" s="459"/>
      <c r="BC351" s="459"/>
      <c r="BD351" s="459"/>
      <c r="BE351" s="459"/>
      <c r="BF351" s="459"/>
      <c r="BG351" s="459"/>
      <c r="BH351" s="459"/>
      <c r="BI351" s="459"/>
      <c r="BJ351" s="459"/>
      <c r="BK351" s="459"/>
      <c r="BL351" s="459"/>
      <c r="BM351" s="474"/>
      <c r="BN351" s="474"/>
      <c r="BO351" s="474"/>
      <c r="BP351" s="474"/>
      <c r="BQ351" s="475"/>
      <c r="BR351" s="475"/>
    </row>
    <row r="352" ht="15.75" customHeight="1">
      <c r="A352" s="475"/>
      <c r="B352" s="475"/>
      <c r="C352" s="475"/>
      <c r="D352" s="475"/>
      <c r="E352" s="475"/>
      <c r="F352" s="99"/>
      <c r="G352" s="475"/>
      <c r="H352" s="475"/>
      <c r="I352" s="475"/>
      <c r="J352" s="475"/>
      <c r="K352" s="475"/>
      <c r="L352" s="475"/>
      <c r="M352" s="475"/>
      <c r="N352" s="475"/>
      <c r="O352" s="475"/>
      <c r="P352" s="475"/>
      <c r="Q352" s="475"/>
      <c r="R352" s="475"/>
      <c r="S352" s="475"/>
      <c r="T352" s="475"/>
      <c r="U352" s="475"/>
      <c r="V352" s="475"/>
      <c r="W352" s="475"/>
      <c r="X352" s="475"/>
      <c r="Y352" s="475"/>
      <c r="Z352" s="475"/>
      <c r="AA352" s="475"/>
      <c r="AB352" s="475"/>
      <c r="AC352" s="475"/>
      <c r="AD352" s="475"/>
      <c r="AE352" s="475"/>
      <c r="AF352" s="475"/>
      <c r="AG352" s="475"/>
      <c r="AH352" s="475"/>
      <c r="AI352" s="459"/>
      <c r="AJ352" s="475"/>
      <c r="AK352" s="475"/>
      <c r="AL352" s="475"/>
      <c r="AM352" s="475"/>
      <c r="AN352" s="475"/>
      <c r="AO352" s="475"/>
      <c r="AP352" s="475"/>
      <c r="AQ352" s="475"/>
      <c r="AR352" s="475"/>
      <c r="AS352" s="475"/>
      <c r="AT352" s="475"/>
      <c r="AU352" s="475"/>
      <c r="AV352" s="475"/>
      <c r="AW352" s="475"/>
      <c r="AX352" s="475"/>
      <c r="AY352" s="475"/>
      <c r="AZ352" s="459"/>
      <c r="BA352" s="459"/>
      <c r="BB352" s="459"/>
      <c r="BC352" s="459"/>
      <c r="BD352" s="459"/>
      <c r="BE352" s="459"/>
      <c r="BF352" s="459"/>
      <c r="BG352" s="459"/>
      <c r="BH352" s="459"/>
      <c r="BI352" s="459"/>
      <c r="BJ352" s="459"/>
      <c r="BK352" s="459"/>
      <c r="BL352" s="459"/>
      <c r="BM352" s="474"/>
      <c r="BN352" s="474"/>
      <c r="BO352" s="474"/>
      <c r="BP352" s="474"/>
      <c r="BQ352" s="475"/>
      <c r="BR352" s="475"/>
    </row>
    <row r="353" ht="15.75" customHeight="1">
      <c r="A353" s="475"/>
      <c r="B353" s="475"/>
      <c r="C353" s="475"/>
      <c r="D353" s="475"/>
      <c r="E353" s="475"/>
      <c r="F353" s="99"/>
      <c r="G353" s="475"/>
      <c r="H353" s="475"/>
      <c r="I353" s="475"/>
      <c r="J353" s="475"/>
      <c r="K353" s="475"/>
      <c r="L353" s="475"/>
      <c r="M353" s="475"/>
      <c r="N353" s="475"/>
      <c r="O353" s="475"/>
      <c r="P353" s="475"/>
      <c r="Q353" s="475"/>
      <c r="R353" s="475"/>
      <c r="S353" s="475"/>
      <c r="T353" s="475"/>
      <c r="U353" s="475"/>
      <c r="V353" s="475"/>
      <c r="W353" s="475"/>
      <c r="X353" s="475"/>
      <c r="Y353" s="475"/>
      <c r="Z353" s="475"/>
      <c r="AA353" s="475"/>
      <c r="AB353" s="475"/>
      <c r="AC353" s="475"/>
      <c r="AD353" s="475"/>
      <c r="AE353" s="475"/>
      <c r="AF353" s="475"/>
      <c r="AG353" s="475"/>
      <c r="AH353" s="475"/>
      <c r="AI353" s="459"/>
      <c r="AJ353" s="475"/>
      <c r="AK353" s="475"/>
      <c r="AL353" s="475"/>
      <c r="AM353" s="475"/>
      <c r="AN353" s="475"/>
      <c r="AO353" s="475"/>
      <c r="AP353" s="475"/>
      <c r="AQ353" s="475"/>
      <c r="AR353" s="475"/>
      <c r="AS353" s="475"/>
      <c r="AT353" s="475"/>
      <c r="AU353" s="475"/>
      <c r="AV353" s="475"/>
      <c r="AW353" s="475"/>
      <c r="AX353" s="475"/>
      <c r="AY353" s="475"/>
      <c r="AZ353" s="459"/>
      <c r="BA353" s="459"/>
      <c r="BB353" s="459"/>
      <c r="BC353" s="459"/>
      <c r="BD353" s="459"/>
      <c r="BE353" s="459"/>
      <c r="BF353" s="459"/>
      <c r="BG353" s="459"/>
      <c r="BH353" s="459"/>
      <c r="BI353" s="459"/>
      <c r="BJ353" s="459"/>
      <c r="BK353" s="459"/>
      <c r="BL353" s="459"/>
      <c r="BM353" s="474"/>
      <c r="BN353" s="474"/>
      <c r="BO353" s="474"/>
      <c r="BP353" s="474"/>
      <c r="BQ353" s="475"/>
      <c r="BR353" s="475"/>
    </row>
    <row r="354" ht="15.75" customHeight="1">
      <c r="A354" s="475"/>
      <c r="B354" s="475"/>
      <c r="C354" s="475"/>
      <c r="D354" s="475"/>
      <c r="E354" s="475"/>
      <c r="F354" s="99"/>
      <c r="G354" s="475"/>
      <c r="H354" s="475"/>
      <c r="I354" s="475"/>
      <c r="J354" s="475"/>
      <c r="K354" s="475"/>
      <c r="L354" s="475"/>
      <c r="M354" s="475"/>
      <c r="N354" s="475"/>
      <c r="O354" s="475"/>
      <c r="P354" s="475"/>
      <c r="Q354" s="475"/>
      <c r="R354" s="475"/>
      <c r="S354" s="475"/>
      <c r="T354" s="475"/>
      <c r="U354" s="475"/>
      <c r="V354" s="475"/>
      <c r="W354" s="475"/>
      <c r="X354" s="475"/>
      <c r="Y354" s="475"/>
      <c r="Z354" s="475"/>
      <c r="AA354" s="475"/>
      <c r="AB354" s="475"/>
      <c r="AC354" s="475"/>
      <c r="AD354" s="475"/>
      <c r="AE354" s="475"/>
      <c r="AF354" s="475"/>
      <c r="AG354" s="475"/>
      <c r="AH354" s="475"/>
      <c r="AI354" s="459"/>
      <c r="AJ354" s="475"/>
      <c r="AK354" s="475"/>
      <c r="AL354" s="475"/>
      <c r="AM354" s="475"/>
      <c r="AN354" s="475"/>
      <c r="AO354" s="475"/>
      <c r="AP354" s="475"/>
      <c r="AQ354" s="475"/>
      <c r="AR354" s="475"/>
      <c r="AS354" s="475"/>
      <c r="AT354" s="475"/>
      <c r="AU354" s="475"/>
      <c r="AV354" s="475"/>
      <c r="AW354" s="475"/>
      <c r="AX354" s="475"/>
      <c r="AY354" s="475"/>
      <c r="AZ354" s="459"/>
      <c r="BA354" s="459"/>
      <c r="BB354" s="459"/>
      <c r="BC354" s="459"/>
      <c r="BD354" s="459"/>
      <c r="BE354" s="459"/>
      <c r="BF354" s="459"/>
      <c r="BG354" s="459"/>
      <c r="BH354" s="459"/>
      <c r="BI354" s="459"/>
      <c r="BJ354" s="459"/>
      <c r="BK354" s="459"/>
      <c r="BL354" s="459"/>
      <c r="BM354" s="474"/>
      <c r="BN354" s="474"/>
      <c r="BO354" s="474"/>
      <c r="BP354" s="474"/>
      <c r="BQ354" s="475"/>
      <c r="BR354" s="475"/>
    </row>
    <row r="355" ht="15.75" customHeight="1">
      <c r="A355" s="475"/>
      <c r="B355" s="475"/>
      <c r="C355" s="475"/>
      <c r="D355" s="475"/>
      <c r="E355" s="475"/>
      <c r="F355" s="99"/>
      <c r="G355" s="475"/>
      <c r="H355" s="475"/>
      <c r="I355" s="475"/>
      <c r="J355" s="475"/>
      <c r="K355" s="475"/>
      <c r="L355" s="475"/>
      <c r="M355" s="475"/>
      <c r="N355" s="475"/>
      <c r="O355" s="475"/>
      <c r="P355" s="475"/>
      <c r="Q355" s="475"/>
      <c r="R355" s="475"/>
      <c r="S355" s="475"/>
      <c r="T355" s="475"/>
      <c r="U355" s="475"/>
      <c r="V355" s="475"/>
      <c r="W355" s="475"/>
      <c r="X355" s="475"/>
      <c r="Y355" s="475"/>
      <c r="Z355" s="475"/>
      <c r="AA355" s="475"/>
      <c r="AB355" s="475"/>
      <c r="AC355" s="475"/>
      <c r="AD355" s="475"/>
      <c r="AE355" s="475"/>
      <c r="AF355" s="475"/>
      <c r="AG355" s="475"/>
      <c r="AH355" s="475"/>
      <c r="AI355" s="459"/>
      <c r="AJ355" s="475"/>
      <c r="AK355" s="475"/>
      <c r="AL355" s="475"/>
      <c r="AM355" s="475"/>
      <c r="AN355" s="475"/>
      <c r="AO355" s="475"/>
      <c r="AP355" s="475"/>
      <c r="AQ355" s="475"/>
      <c r="AR355" s="475"/>
      <c r="AS355" s="475"/>
      <c r="AT355" s="475"/>
      <c r="AU355" s="475"/>
      <c r="AV355" s="475"/>
      <c r="AW355" s="475"/>
      <c r="AX355" s="475"/>
      <c r="AY355" s="475"/>
      <c r="AZ355" s="459"/>
      <c r="BA355" s="459"/>
      <c r="BB355" s="459"/>
      <c r="BC355" s="459"/>
      <c r="BD355" s="459"/>
      <c r="BE355" s="459"/>
      <c r="BF355" s="459"/>
      <c r="BG355" s="459"/>
      <c r="BH355" s="459"/>
      <c r="BI355" s="459"/>
      <c r="BJ355" s="459"/>
      <c r="BK355" s="459"/>
      <c r="BL355" s="459"/>
      <c r="BM355" s="474"/>
      <c r="BN355" s="474"/>
      <c r="BO355" s="474"/>
      <c r="BP355" s="474"/>
      <c r="BQ355" s="475"/>
      <c r="BR355" s="475"/>
    </row>
    <row r="356" ht="15.75" customHeight="1">
      <c r="A356" s="475"/>
      <c r="B356" s="475"/>
      <c r="C356" s="475"/>
      <c r="D356" s="475"/>
      <c r="E356" s="475"/>
      <c r="F356" s="99"/>
      <c r="G356" s="475"/>
      <c r="H356" s="475"/>
      <c r="I356" s="475"/>
      <c r="J356" s="475"/>
      <c r="K356" s="475"/>
      <c r="L356" s="475"/>
      <c r="M356" s="475"/>
      <c r="N356" s="475"/>
      <c r="O356" s="475"/>
      <c r="P356" s="475"/>
      <c r="Q356" s="475"/>
      <c r="R356" s="475"/>
      <c r="S356" s="475"/>
      <c r="T356" s="475"/>
      <c r="U356" s="475"/>
      <c r="V356" s="475"/>
      <c r="W356" s="475"/>
      <c r="X356" s="475"/>
      <c r="Y356" s="475"/>
      <c r="Z356" s="475"/>
      <c r="AA356" s="475"/>
      <c r="AB356" s="475"/>
      <c r="AC356" s="475"/>
      <c r="AD356" s="475"/>
      <c r="AE356" s="475"/>
      <c r="AF356" s="475"/>
      <c r="AG356" s="475"/>
      <c r="AH356" s="475"/>
      <c r="AI356" s="459"/>
      <c r="AJ356" s="475"/>
      <c r="AK356" s="475"/>
      <c r="AL356" s="475"/>
      <c r="AM356" s="475"/>
      <c r="AN356" s="475"/>
      <c r="AO356" s="475"/>
      <c r="AP356" s="475"/>
      <c r="AQ356" s="475"/>
      <c r="AR356" s="475"/>
      <c r="AS356" s="475"/>
      <c r="AT356" s="475"/>
      <c r="AU356" s="475"/>
      <c r="AV356" s="475"/>
      <c r="AW356" s="475"/>
      <c r="AX356" s="475"/>
      <c r="AY356" s="475"/>
      <c r="AZ356" s="459"/>
      <c r="BA356" s="459"/>
      <c r="BB356" s="459"/>
      <c r="BC356" s="459"/>
      <c r="BD356" s="459"/>
      <c r="BE356" s="459"/>
      <c r="BF356" s="459"/>
      <c r="BG356" s="459"/>
      <c r="BH356" s="459"/>
      <c r="BI356" s="459"/>
      <c r="BJ356" s="459"/>
      <c r="BK356" s="459"/>
      <c r="BL356" s="459"/>
      <c r="BM356" s="474"/>
      <c r="BN356" s="474"/>
      <c r="BO356" s="474"/>
      <c r="BP356" s="474"/>
      <c r="BQ356" s="475"/>
      <c r="BR356" s="475"/>
    </row>
    <row r="357" ht="15.75" customHeight="1">
      <c r="A357" s="475"/>
      <c r="B357" s="475"/>
      <c r="C357" s="475"/>
      <c r="D357" s="475"/>
      <c r="E357" s="475"/>
      <c r="F357" s="99"/>
      <c r="G357" s="475"/>
      <c r="H357" s="475"/>
      <c r="I357" s="475"/>
      <c r="J357" s="475"/>
      <c r="K357" s="475"/>
      <c r="L357" s="475"/>
      <c r="M357" s="475"/>
      <c r="N357" s="475"/>
      <c r="O357" s="475"/>
      <c r="P357" s="475"/>
      <c r="Q357" s="475"/>
      <c r="R357" s="475"/>
      <c r="S357" s="475"/>
      <c r="T357" s="475"/>
      <c r="U357" s="475"/>
      <c r="V357" s="475"/>
      <c r="W357" s="475"/>
      <c r="X357" s="475"/>
      <c r="Y357" s="475"/>
      <c r="Z357" s="475"/>
      <c r="AA357" s="475"/>
      <c r="AB357" s="475"/>
      <c r="AC357" s="475"/>
      <c r="AD357" s="475"/>
      <c r="AE357" s="475"/>
      <c r="AF357" s="475"/>
      <c r="AG357" s="475"/>
      <c r="AH357" s="475"/>
      <c r="AI357" s="459"/>
      <c r="AJ357" s="475"/>
      <c r="AK357" s="475"/>
      <c r="AL357" s="475"/>
      <c r="AM357" s="475"/>
      <c r="AN357" s="475"/>
      <c r="AO357" s="475"/>
      <c r="AP357" s="475"/>
      <c r="AQ357" s="475"/>
      <c r="AR357" s="475"/>
      <c r="AS357" s="475"/>
      <c r="AT357" s="475"/>
      <c r="AU357" s="475"/>
      <c r="AV357" s="475"/>
      <c r="AW357" s="475"/>
      <c r="AX357" s="475"/>
      <c r="AY357" s="475"/>
      <c r="AZ357" s="459"/>
      <c r="BA357" s="459"/>
      <c r="BB357" s="459"/>
      <c r="BC357" s="459"/>
      <c r="BD357" s="459"/>
      <c r="BE357" s="459"/>
      <c r="BF357" s="459"/>
      <c r="BG357" s="459"/>
      <c r="BH357" s="459"/>
      <c r="BI357" s="459"/>
      <c r="BJ357" s="459"/>
      <c r="BK357" s="459"/>
      <c r="BL357" s="459"/>
      <c r="BM357" s="474"/>
      <c r="BN357" s="474"/>
      <c r="BO357" s="474"/>
      <c r="BP357" s="474"/>
      <c r="BQ357" s="475"/>
      <c r="BR357" s="475"/>
    </row>
    <row r="358" ht="15.75" customHeight="1">
      <c r="A358" s="475"/>
      <c r="B358" s="475"/>
      <c r="C358" s="475"/>
      <c r="D358" s="475"/>
      <c r="E358" s="475"/>
      <c r="F358" s="99"/>
      <c r="G358" s="475"/>
      <c r="H358" s="475"/>
      <c r="I358" s="475"/>
      <c r="J358" s="475"/>
      <c r="K358" s="475"/>
      <c r="L358" s="475"/>
      <c r="M358" s="475"/>
      <c r="N358" s="475"/>
      <c r="O358" s="475"/>
      <c r="P358" s="475"/>
      <c r="Q358" s="475"/>
      <c r="R358" s="475"/>
      <c r="S358" s="475"/>
      <c r="T358" s="475"/>
      <c r="U358" s="475"/>
      <c r="V358" s="475"/>
      <c r="W358" s="475"/>
      <c r="X358" s="475"/>
      <c r="Y358" s="475"/>
      <c r="Z358" s="475"/>
      <c r="AA358" s="475"/>
      <c r="AB358" s="475"/>
      <c r="AC358" s="475"/>
      <c r="AD358" s="475"/>
      <c r="AE358" s="475"/>
      <c r="AF358" s="475"/>
      <c r="AG358" s="475"/>
      <c r="AH358" s="475"/>
      <c r="AI358" s="459"/>
      <c r="AJ358" s="475"/>
      <c r="AK358" s="475"/>
      <c r="AL358" s="475"/>
      <c r="AM358" s="475"/>
      <c r="AN358" s="475"/>
      <c r="AO358" s="475"/>
      <c r="AP358" s="475"/>
      <c r="AQ358" s="475"/>
      <c r="AR358" s="475"/>
      <c r="AS358" s="475"/>
      <c r="AT358" s="475"/>
      <c r="AU358" s="475"/>
      <c r="AV358" s="475"/>
      <c r="AW358" s="475"/>
      <c r="AX358" s="475"/>
      <c r="AY358" s="475"/>
      <c r="AZ358" s="459"/>
      <c r="BA358" s="459"/>
      <c r="BB358" s="459"/>
      <c r="BC358" s="459"/>
      <c r="BD358" s="459"/>
      <c r="BE358" s="459"/>
      <c r="BF358" s="459"/>
      <c r="BG358" s="459"/>
      <c r="BH358" s="459"/>
      <c r="BI358" s="459"/>
      <c r="BJ358" s="459"/>
      <c r="BK358" s="459"/>
      <c r="BL358" s="459"/>
      <c r="BM358" s="474"/>
      <c r="BN358" s="474"/>
      <c r="BO358" s="474"/>
      <c r="BP358" s="474"/>
      <c r="BQ358" s="475"/>
      <c r="BR358" s="475"/>
    </row>
    <row r="359" ht="15.75" customHeight="1">
      <c r="A359" s="475"/>
      <c r="B359" s="475"/>
      <c r="C359" s="475"/>
      <c r="D359" s="475"/>
      <c r="E359" s="475"/>
      <c r="F359" s="99"/>
      <c r="G359" s="475"/>
      <c r="H359" s="475"/>
      <c r="I359" s="475"/>
      <c r="J359" s="475"/>
      <c r="K359" s="475"/>
      <c r="L359" s="475"/>
      <c r="M359" s="475"/>
      <c r="N359" s="475"/>
      <c r="O359" s="475"/>
      <c r="P359" s="475"/>
      <c r="Q359" s="475"/>
      <c r="R359" s="475"/>
      <c r="S359" s="475"/>
      <c r="T359" s="475"/>
      <c r="U359" s="475"/>
      <c r="V359" s="475"/>
      <c r="W359" s="475"/>
      <c r="X359" s="475"/>
      <c r="Y359" s="475"/>
      <c r="Z359" s="475"/>
      <c r="AA359" s="475"/>
      <c r="AB359" s="475"/>
      <c r="AC359" s="475"/>
      <c r="AD359" s="475"/>
      <c r="AE359" s="475"/>
      <c r="AF359" s="475"/>
      <c r="AG359" s="475"/>
      <c r="AH359" s="475"/>
      <c r="AI359" s="459"/>
      <c r="AJ359" s="475"/>
      <c r="AK359" s="475"/>
      <c r="AL359" s="475"/>
      <c r="AM359" s="475"/>
      <c r="AN359" s="475"/>
      <c r="AO359" s="475"/>
      <c r="AP359" s="475"/>
      <c r="AQ359" s="475"/>
      <c r="AR359" s="475"/>
      <c r="AS359" s="475"/>
      <c r="AT359" s="475"/>
      <c r="AU359" s="475"/>
      <c r="AV359" s="475"/>
      <c r="AW359" s="475"/>
      <c r="AX359" s="475"/>
      <c r="AY359" s="475"/>
      <c r="AZ359" s="459"/>
      <c r="BA359" s="459"/>
      <c r="BB359" s="459"/>
      <c r="BC359" s="459"/>
      <c r="BD359" s="459"/>
      <c r="BE359" s="459"/>
      <c r="BF359" s="459"/>
      <c r="BG359" s="459"/>
      <c r="BH359" s="459"/>
      <c r="BI359" s="459"/>
      <c r="BJ359" s="459"/>
      <c r="BK359" s="459"/>
      <c r="BL359" s="459"/>
      <c r="BM359" s="474"/>
      <c r="BN359" s="474"/>
      <c r="BO359" s="474"/>
      <c r="BP359" s="474"/>
      <c r="BQ359" s="475"/>
      <c r="BR359" s="475"/>
    </row>
    <row r="360" ht="15.75" customHeight="1">
      <c r="A360" s="475"/>
      <c r="B360" s="475"/>
      <c r="C360" s="475"/>
      <c r="D360" s="475"/>
      <c r="E360" s="475"/>
      <c r="F360" s="99"/>
      <c r="G360" s="475"/>
      <c r="H360" s="475"/>
      <c r="I360" s="475"/>
      <c r="J360" s="475"/>
      <c r="K360" s="475"/>
      <c r="L360" s="475"/>
      <c r="M360" s="475"/>
      <c r="N360" s="475"/>
      <c r="O360" s="475"/>
      <c r="P360" s="475"/>
      <c r="Q360" s="475"/>
      <c r="R360" s="475"/>
      <c r="S360" s="475"/>
      <c r="T360" s="475"/>
      <c r="U360" s="475"/>
      <c r="V360" s="475"/>
      <c r="W360" s="475"/>
      <c r="X360" s="475"/>
      <c r="Y360" s="475"/>
      <c r="Z360" s="475"/>
      <c r="AA360" s="475"/>
      <c r="AB360" s="475"/>
      <c r="AC360" s="475"/>
      <c r="AD360" s="475"/>
      <c r="AE360" s="475"/>
      <c r="AF360" s="475"/>
      <c r="AG360" s="475"/>
      <c r="AH360" s="475"/>
      <c r="AI360" s="459"/>
      <c r="AJ360" s="475"/>
      <c r="AK360" s="475"/>
      <c r="AL360" s="475"/>
      <c r="AM360" s="475"/>
      <c r="AN360" s="475"/>
      <c r="AO360" s="475"/>
      <c r="AP360" s="475"/>
      <c r="AQ360" s="475"/>
      <c r="AR360" s="475"/>
      <c r="AS360" s="475"/>
      <c r="AT360" s="475"/>
      <c r="AU360" s="475"/>
      <c r="AV360" s="475"/>
      <c r="AW360" s="475"/>
      <c r="AX360" s="475"/>
      <c r="AY360" s="475"/>
      <c r="AZ360" s="459"/>
      <c r="BA360" s="459"/>
      <c r="BB360" s="459"/>
      <c r="BC360" s="459"/>
      <c r="BD360" s="459"/>
      <c r="BE360" s="459"/>
      <c r="BF360" s="459"/>
      <c r="BG360" s="459"/>
      <c r="BH360" s="459"/>
      <c r="BI360" s="459"/>
      <c r="BJ360" s="459"/>
      <c r="BK360" s="459"/>
      <c r="BL360" s="459"/>
      <c r="BM360" s="474"/>
      <c r="BN360" s="474"/>
      <c r="BO360" s="474"/>
      <c r="BP360" s="474"/>
      <c r="BQ360" s="475"/>
      <c r="BR360" s="475"/>
    </row>
    <row r="361" ht="15.75" customHeight="1">
      <c r="A361" s="475"/>
      <c r="B361" s="475"/>
      <c r="C361" s="475"/>
      <c r="D361" s="475"/>
      <c r="E361" s="475"/>
      <c r="F361" s="99"/>
      <c r="G361" s="475"/>
      <c r="H361" s="475"/>
      <c r="I361" s="475"/>
      <c r="J361" s="475"/>
      <c r="K361" s="475"/>
      <c r="L361" s="475"/>
      <c r="M361" s="475"/>
      <c r="N361" s="475"/>
      <c r="O361" s="475"/>
      <c r="P361" s="475"/>
      <c r="Q361" s="475"/>
      <c r="R361" s="475"/>
      <c r="S361" s="475"/>
      <c r="T361" s="475"/>
      <c r="U361" s="475"/>
      <c r="V361" s="475"/>
      <c r="W361" s="475"/>
      <c r="X361" s="475"/>
      <c r="Y361" s="475"/>
      <c r="Z361" s="475"/>
      <c r="AA361" s="475"/>
      <c r="AB361" s="475"/>
      <c r="AC361" s="475"/>
      <c r="AD361" s="475"/>
      <c r="AE361" s="475"/>
      <c r="AF361" s="475"/>
      <c r="AG361" s="475"/>
      <c r="AH361" s="475"/>
      <c r="AI361" s="459"/>
      <c r="AJ361" s="475"/>
      <c r="AK361" s="475"/>
      <c r="AL361" s="475"/>
      <c r="AM361" s="475"/>
      <c r="AN361" s="475"/>
      <c r="AO361" s="475"/>
      <c r="AP361" s="475"/>
      <c r="AQ361" s="475"/>
      <c r="AR361" s="475"/>
      <c r="AS361" s="475"/>
      <c r="AT361" s="475"/>
      <c r="AU361" s="475"/>
      <c r="AV361" s="475"/>
      <c r="AW361" s="475"/>
      <c r="AX361" s="475"/>
      <c r="AY361" s="475"/>
      <c r="AZ361" s="459"/>
      <c r="BA361" s="459"/>
      <c r="BB361" s="459"/>
      <c r="BC361" s="459"/>
      <c r="BD361" s="459"/>
      <c r="BE361" s="459"/>
      <c r="BF361" s="459"/>
      <c r="BG361" s="459"/>
      <c r="BH361" s="459"/>
      <c r="BI361" s="459"/>
      <c r="BJ361" s="459"/>
      <c r="BK361" s="459"/>
      <c r="BL361" s="459"/>
      <c r="BM361" s="474"/>
      <c r="BN361" s="474"/>
      <c r="BO361" s="474"/>
      <c r="BP361" s="474"/>
      <c r="BQ361" s="475"/>
      <c r="BR361" s="475"/>
    </row>
    <row r="362" ht="15.75" customHeight="1">
      <c r="A362" s="475"/>
      <c r="B362" s="475"/>
      <c r="C362" s="475"/>
      <c r="D362" s="475"/>
      <c r="E362" s="475"/>
      <c r="F362" s="99"/>
      <c r="G362" s="475"/>
      <c r="H362" s="475"/>
      <c r="I362" s="475"/>
      <c r="J362" s="475"/>
      <c r="K362" s="475"/>
      <c r="L362" s="475"/>
      <c r="M362" s="475"/>
      <c r="N362" s="475"/>
      <c r="O362" s="475"/>
      <c r="P362" s="475"/>
      <c r="Q362" s="475"/>
      <c r="R362" s="475"/>
      <c r="S362" s="475"/>
      <c r="T362" s="475"/>
      <c r="U362" s="475"/>
      <c r="V362" s="475"/>
      <c r="W362" s="475"/>
      <c r="X362" s="475"/>
      <c r="Y362" s="475"/>
      <c r="Z362" s="475"/>
      <c r="AA362" s="475"/>
      <c r="AB362" s="475"/>
      <c r="AC362" s="475"/>
      <c r="AD362" s="475"/>
      <c r="AE362" s="475"/>
      <c r="AF362" s="475"/>
      <c r="AG362" s="475"/>
      <c r="AH362" s="475"/>
      <c r="AI362" s="459"/>
      <c r="AJ362" s="475"/>
      <c r="AK362" s="475"/>
      <c r="AL362" s="475"/>
      <c r="AM362" s="475"/>
      <c r="AN362" s="475"/>
      <c r="AO362" s="475"/>
      <c r="AP362" s="475"/>
      <c r="AQ362" s="475"/>
      <c r="AR362" s="475"/>
      <c r="AS362" s="475"/>
      <c r="AT362" s="475"/>
      <c r="AU362" s="475"/>
      <c r="AV362" s="475"/>
      <c r="AW362" s="475"/>
      <c r="AX362" s="475"/>
      <c r="AY362" s="475"/>
      <c r="AZ362" s="459"/>
      <c r="BA362" s="459"/>
      <c r="BB362" s="459"/>
      <c r="BC362" s="459"/>
      <c r="BD362" s="459"/>
      <c r="BE362" s="459"/>
      <c r="BF362" s="459"/>
      <c r="BG362" s="459"/>
      <c r="BH362" s="459"/>
      <c r="BI362" s="459"/>
      <c r="BJ362" s="459"/>
      <c r="BK362" s="459"/>
      <c r="BL362" s="459"/>
      <c r="BM362" s="474"/>
      <c r="BN362" s="474"/>
      <c r="BO362" s="474"/>
      <c r="BP362" s="474"/>
      <c r="BQ362" s="475"/>
      <c r="BR362" s="475"/>
    </row>
    <row r="363" ht="15.75" customHeight="1">
      <c r="A363" s="475"/>
      <c r="B363" s="475"/>
      <c r="C363" s="475"/>
      <c r="D363" s="475"/>
      <c r="E363" s="475"/>
      <c r="F363" s="99"/>
      <c r="G363" s="475"/>
      <c r="H363" s="475"/>
      <c r="I363" s="475"/>
      <c r="J363" s="475"/>
      <c r="K363" s="475"/>
      <c r="L363" s="475"/>
      <c r="M363" s="475"/>
      <c r="N363" s="475"/>
      <c r="O363" s="475"/>
      <c r="P363" s="475"/>
      <c r="Q363" s="475"/>
      <c r="R363" s="475"/>
      <c r="S363" s="475"/>
      <c r="T363" s="475"/>
      <c r="U363" s="475"/>
      <c r="V363" s="475"/>
      <c r="W363" s="475"/>
      <c r="X363" s="475"/>
      <c r="Y363" s="475"/>
      <c r="Z363" s="475"/>
      <c r="AA363" s="475"/>
      <c r="AB363" s="475"/>
      <c r="AC363" s="475"/>
      <c r="AD363" s="475"/>
      <c r="AE363" s="475"/>
      <c r="AF363" s="475"/>
      <c r="AG363" s="475"/>
      <c r="AH363" s="475"/>
      <c r="AI363" s="459"/>
      <c r="AJ363" s="475"/>
      <c r="AK363" s="475"/>
      <c r="AL363" s="475"/>
      <c r="AM363" s="475"/>
      <c r="AN363" s="475"/>
      <c r="AO363" s="475"/>
      <c r="AP363" s="475"/>
      <c r="AQ363" s="475"/>
      <c r="AR363" s="475"/>
      <c r="AS363" s="475"/>
      <c r="AT363" s="475"/>
      <c r="AU363" s="475"/>
      <c r="AV363" s="475"/>
      <c r="AW363" s="475"/>
      <c r="AX363" s="475"/>
      <c r="AY363" s="475"/>
      <c r="AZ363" s="459"/>
      <c r="BA363" s="459"/>
      <c r="BB363" s="459"/>
      <c r="BC363" s="459"/>
      <c r="BD363" s="459"/>
      <c r="BE363" s="459"/>
      <c r="BF363" s="459"/>
      <c r="BG363" s="459"/>
      <c r="BH363" s="459"/>
      <c r="BI363" s="459"/>
      <c r="BJ363" s="459"/>
      <c r="BK363" s="459"/>
      <c r="BL363" s="459"/>
      <c r="BM363" s="474"/>
      <c r="BN363" s="474"/>
      <c r="BO363" s="474"/>
      <c r="BP363" s="474"/>
      <c r="BQ363" s="475"/>
      <c r="BR363" s="475"/>
    </row>
    <row r="364" ht="15.75" customHeight="1">
      <c r="A364" s="475"/>
      <c r="B364" s="475"/>
      <c r="C364" s="475"/>
      <c r="D364" s="475"/>
      <c r="E364" s="475"/>
      <c r="F364" s="99"/>
      <c r="G364" s="475"/>
      <c r="H364" s="475"/>
      <c r="I364" s="475"/>
      <c r="J364" s="475"/>
      <c r="K364" s="475"/>
      <c r="L364" s="475"/>
      <c r="M364" s="475"/>
      <c r="N364" s="475"/>
      <c r="O364" s="475"/>
      <c r="P364" s="475"/>
      <c r="Q364" s="475"/>
      <c r="R364" s="475"/>
      <c r="S364" s="475"/>
      <c r="T364" s="475"/>
      <c r="U364" s="475"/>
      <c r="V364" s="475"/>
      <c r="W364" s="475"/>
      <c r="X364" s="475"/>
      <c r="Y364" s="475"/>
      <c r="Z364" s="475"/>
      <c r="AA364" s="475"/>
      <c r="AB364" s="475"/>
      <c r="AC364" s="475"/>
      <c r="AD364" s="475"/>
      <c r="AE364" s="475"/>
      <c r="AF364" s="475"/>
      <c r="AG364" s="475"/>
      <c r="AH364" s="475"/>
      <c r="AI364" s="459"/>
      <c r="AJ364" s="475"/>
      <c r="AK364" s="475"/>
      <c r="AL364" s="475"/>
      <c r="AM364" s="475"/>
      <c r="AN364" s="475"/>
      <c r="AO364" s="475"/>
      <c r="AP364" s="475"/>
      <c r="AQ364" s="475"/>
      <c r="AR364" s="475"/>
      <c r="AS364" s="475"/>
      <c r="AT364" s="475"/>
      <c r="AU364" s="475"/>
      <c r="AV364" s="475"/>
      <c r="AW364" s="475"/>
      <c r="AX364" s="475"/>
      <c r="AY364" s="475"/>
      <c r="AZ364" s="459"/>
      <c r="BA364" s="459"/>
      <c r="BB364" s="459"/>
      <c r="BC364" s="459"/>
      <c r="BD364" s="459"/>
      <c r="BE364" s="459"/>
      <c r="BF364" s="459"/>
      <c r="BG364" s="459"/>
      <c r="BH364" s="459"/>
      <c r="BI364" s="459"/>
      <c r="BJ364" s="459"/>
      <c r="BK364" s="459"/>
      <c r="BL364" s="459"/>
      <c r="BM364" s="474"/>
      <c r="BN364" s="474"/>
      <c r="BO364" s="474"/>
      <c r="BP364" s="474"/>
      <c r="BQ364" s="475"/>
      <c r="BR364" s="475"/>
    </row>
    <row r="365" ht="15.75" customHeight="1">
      <c r="A365" s="475"/>
      <c r="B365" s="475"/>
      <c r="C365" s="475"/>
      <c r="D365" s="475"/>
      <c r="E365" s="475"/>
      <c r="F365" s="99"/>
      <c r="G365" s="475"/>
      <c r="H365" s="475"/>
      <c r="I365" s="475"/>
      <c r="J365" s="475"/>
      <c r="K365" s="475"/>
      <c r="L365" s="475"/>
      <c r="M365" s="475"/>
      <c r="N365" s="475"/>
      <c r="O365" s="475"/>
      <c r="P365" s="475"/>
      <c r="Q365" s="475"/>
      <c r="R365" s="475"/>
      <c r="S365" s="475"/>
      <c r="T365" s="475"/>
      <c r="U365" s="475"/>
      <c r="V365" s="475"/>
      <c r="W365" s="475"/>
      <c r="X365" s="475"/>
      <c r="Y365" s="475"/>
      <c r="Z365" s="475"/>
      <c r="AA365" s="475"/>
      <c r="AB365" s="475"/>
      <c r="AC365" s="475"/>
      <c r="AD365" s="475"/>
      <c r="AE365" s="475"/>
      <c r="AF365" s="475"/>
      <c r="AG365" s="475"/>
      <c r="AH365" s="475"/>
      <c r="AI365" s="459"/>
      <c r="AJ365" s="475"/>
      <c r="AK365" s="475"/>
      <c r="AL365" s="475"/>
      <c r="AM365" s="475"/>
      <c r="AN365" s="475"/>
      <c r="AO365" s="475"/>
      <c r="AP365" s="475"/>
      <c r="AQ365" s="475"/>
      <c r="AR365" s="475"/>
      <c r="AS365" s="475"/>
      <c r="AT365" s="475"/>
      <c r="AU365" s="475"/>
      <c r="AV365" s="475"/>
      <c r="AW365" s="475"/>
      <c r="AX365" s="475"/>
      <c r="AY365" s="475"/>
      <c r="AZ365" s="459"/>
      <c r="BA365" s="459"/>
      <c r="BB365" s="459"/>
      <c r="BC365" s="459"/>
      <c r="BD365" s="459"/>
      <c r="BE365" s="459"/>
      <c r="BF365" s="459"/>
      <c r="BG365" s="459"/>
      <c r="BH365" s="459"/>
      <c r="BI365" s="459"/>
      <c r="BJ365" s="459"/>
      <c r="BK365" s="459"/>
      <c r="BL365" s="459"/>
      <c r="BM365" s="474"/>
      <c r="BN365" s="474"/>
      <c r="BO365" s="474"/>
      <c r="BP365" s="474"/>
      <c r="BQ365" s="475"/>
      <c r="BR365" s="475"/>
    </row>
    <row r="366" ht="15.75" customHeight="1">
      <c r="A366" s="475"/>
      <c r="B366" s="475"/>
      <c r="C366" s="475"/>
      <c r="D366" s="475"/>
      <c r="E366" s="475"/>
      <c r="F366" s="99"/>
      <c r="G366" s="475"/>
      <c r="H366" s="475"/>
      <c r="I366" s="475"/>
      <c r="J366" s="475"/>
      <c r="K366" s="475"/>
      <c r="L366" s="475"/>
      <c r="M366" s="475"/>
      <c r="N366" s="475"/>
      <c r="O366" s="475"/>
      <c r="P366" s="475"/>
      <c r="Q366" s="475"/>
      <c r="R366" s="475"/>
      <c r="S366" s="475"/>
      <c r="T366" s="475"/>
      <c r="U366" s="475"/>
      <c r="V366" s="475"/>
      <c r="W366" s="475"/>
      <c r="X366" s="475"/>
      <c r="Y366" s="475"/>
      <c r="Z366" s="475"/>
      <c r="AA366" s="475"/>
      <c r="AB366" s="475"/>
      <c r="AC366" s="475"/>
      <c r="AD366" s="475"/>
      <c r="AE366" s="475"/>
      <c r="AF366" s="475"/>
      <c r="AG366" s="475"/>
      <c r="AH366" s="475"/>
      <c r="AI366" s="459"/>
      <c r="AJ366" s="475"/>
      <c r="AK366" s="475"/>
      <c r="AL366" s="475"/>
      <c r="AM366" s="475"/>
      <c r="AN366" s="475"/>
      <c r="AO366" s="475"/>
      <c r="AP366" s="475"/>
      <c r="AQ366" s="475"/>
      <c r="AR366" s="475"/>
      <c r="AS366" s="475"/>
      <c r="AT366" s="475"/>
      <c r="AU366" s="475"/>
      <c r="AV366" s="475"/>
      <c r="AW366" s="475"/>
      <c r="AX366" s="475"/>
      <c r="AY366" s="475"/>
      <c r="AZ366" s="459"/>
      <c r="BA366" s="459"/>
      <c r="BB366" s="459"/>
      <c r="BC366" s="459"/>
      <c r="BD366" s="459"/>
      <c r="BE366" s="459"/>
      <c r="BF366" s="459"/>
      <c r="BG366" s="459"/>
      <c r="BH366" s="459"/>
      <c r="BI366" s="459"/>
      <c r="BJ366" s="459"/>
      <c r="BK366" s="459"/>
      <c r="BL366" s="459"/>
      <c r="BM366" s="474"/>
      <c r="BN366" s="474"/>
      <c r="BO366" s="474"/>
      <c r="BP366" s="474"/>
      <c r="BQ366" s="475"/>
      <c r="BR366" s="475"/>
    </row>
    <row r="367" ht="15.75" customHeight="1">
      <c r="A367" s="475"/>
      <c r="B367" s="475"/>
      <c r="C367" s="475"/>
      <c r="D367" s="475"/>
      <c r="E367" s="475"/>
      <c r="F367" s="99"/>
      <c r="G367" s="475"/>
      <c r="H367" s="475"/>
      <c r="I367" s="475"/>
      <c r="J367" s="475"/>
      <c r="K367" s="475"/>
      <c r="L367" s="475"/>
      <c r="M367" s="475"/>
      <c r="N367" s="475"/>
      <c r="O367" s="475"/>
      <c r="P367" s="475"/>
      <c r="Q367" s="475"/>
      <c r="R367" s="475"/>
      <c r="S367" s="475"/>
      <c r="T367" s="475"/>
      <c r="U367" s="475"/>
      <c r="V367" s="475"/>
      <c r="W367" s="475"/>
      <c r="X367" s="475"/>
      <c r="Y367" s="475"/>
      <c r="Z367" s="475"/>
      <c r="AA367" s="475"/>
      <c r="AB367" s="475"/>
      <c r="AC367" s="475"/>
      <c r="AD367" s="475"/>
      <c r="AE367" s="475"/>
      <c r="AF367" s="475"/>
      <c r="AG367" s="475"/>
      <c r="AH367" s="475"/>
      <c r="AI367" s="459"/>
      <c r="AJ367" s="475"/>
      <c r="AK367" s="475"/>
      <c r="AL367" s="475"/>
      <c r="AM367" s="475"/>
      <c r="AN367" s="475"/>
      <c r="AO367" s="475"/>
      <c r="AP367" s="475"/>
      <c r="AQ367" s="475"/>
      <c r="AR367" s="475"/>
      <c r="AS367" s="475"/>
      <c r="AT367" s="475"/>
      <c r="AU367" s="475"/>
      <c r="AV367" s="475"/>
      <c r="AW367" s="475"/>
      <c r="AX367" s="475"/>
      <c r="AY367" s="475"/>
      <c r="AZ367" s="459"/>
      <c r="BA367" s="459"/>
      <c r="BB367" s="459"/>
      <c r="BC367" s="459"/>
      <c r="BD367" s="459"/>
      <c r="BE367" s="459"/>
      <c r="BF367" s="459"/>
      <c r="BG367" s="459"/>
      <c r="BH367" s="459"/>
      <c r="BI367" s="459"/>
      <c r="BJ367" s="459"/>
      <c r="BK367" s="459"/>
      <c r="BL367" s="459"/>
      <c r="BM367" s="474"/>
      <c r="BN367" s="474"/>
      <c r="BO367" s="474"/>
      <c r="BP367" s="474"/>
      <c r="BQ367" s="475"/>
      <c r="BR367" s="475"/>
    </row>
    <row r="368" ht="15.75" customHeight="1">
      <c r="A368" s="475"/>
      <c r="B368" s="475"/>
      <c r="C368" s="475"/>
      <c r="D368" s="475"/>
      <c r="E368" s="475"/>
      <c r="F368" s="99"/>
      <c r="G368" s="475"/>
      <c r="H368" s="475"/>
      <c r="I368" s="475"/>
      <c r="J368" s="475"/>
      <c r="K368" s="475"/>
      <c r="L368" s="475"/>
      <c r="M368" s="475"/>
      <c r="N368" s="475"/>
      <c r="O368" s="475"/>
      <c r="P368" s="475"/>
      <c r="Q368" s="475"/>
      <c r="R368" s="475"/>
      <c r="S368" s="475"/>
      <c r="T368" s="475"/>
      <c r="U368" s="475"/>
      <c r="V368" s="475"/>
      <c r="W368" s="475"/>
      <c r="X368" s="475"/>
      <c r="Y368" s="475"/>
      <c r="Z368" s="475"/>
      <c r="AA368" s="475"/>
      <c r="AB368" s="475"/>
      <c r="AC368" s="475"/>
      <c r="AD368" s="475"/>
      <c r="AE368" s="475"/>
      <c r="AF368" s="475"/>
      <c r="AG368" s="475"/>
      <c r="AH368" s="475"/>
      <c r="AI368" s="459"/>
      <c r="AJ368" s="475"/>
      <c r="AK368" s="475"/>
      <c r="AL368" s="475"/>
      <c r="AM368" s="475"/>
      <c r="AN368" s="475"/>
      <c r="AO368" s="475"/>
      <c r="AP368" s="475"/>
      <c r="AQ368" s="475"/>
      <c r="AR368" s="475"/>
      <c r="AS368" s="475"/>
      <c r="AT368" s="475"/>
      <c r="AU368" s="475"/>
      <c r="AV368" s="475"/>
      <c r="AW368" s="475"/>
      <c r="AX368" s="475"/>
      <c r="AY368" s="475"/>
      <c r="AZ368" s="459"/>
      <c r="BA368" s="459"/>
      <c r="BB368" s="459"/>
      <c r="BC368" s="459"/>
      <c r="BD368" s="459"/>
      <c r="BE368" s="459"/>
      <c r="BF368" s="459"/>
      <c r="BG368" s="459"/>
      <c r="BH368" s="459"/>
      <c r="BI368" s="459"/>
      <c r="BJ368" s="459"/>
      <c r="BK368" s="459"/>
      <c r="BL368" s="459"/>
      <c r="BM368" s="474"/>
      <c r="BN368" s="474"/>
      <c r="BO368" s="474"/>
      <c r="BP368" s="474"/>
      <c r="BQ368" s="475"/>
      <c r="BR368" s="475"/>
    </row>
    <row r="369" ht="15.75" customHeight="1">
      <c r="A369" s="475"/>
      <c r="B369" s="475"/>
      <c r="C369" s="475"/>
      <c r="D369" s="475"/>
      <c r="E369" s="475"/>
      <c r="F369" s="99"/>
      <c r="G369" s="475"/>
      <c r="H369" s="475"/>
      <c r="I369" s="475"/>
      <c r="J369" s="475"/>
      <c r="K369" s="475"/>
      <c r="L369" s="475"/>
      <c r="M369" s="475"/>
      <c r="N369" s="475"/>
      <c r="O369" s="475"/>
      <c r="P369" s="475"/>
      <c r="Q369" s="475"/>
      <c r="R369" s="475"/>
      <c r="S369" s="475"/>
      <c r="T369" s="475"/>
      <c r="U369" s="475"/>
      <c r="V369" s="475"/>
      <c r="W369" s="475"/>
      <c r="X369" s="475"/>
      <c r="Y369" s="475"/>
      <c r="Z369" s="475"/>
      <c r="AA369" s="475"/>
      <c r="AB369" s="475"/>
      <c r="AC369" s="475"/>
      <c r="AD369" s="475"/>
      <c r="AE369" s="475"/>
      <c r="AF369" s="475"/>
      <c r="AG369" s="475"/>
      <c r="AH369" s="475"/>
      <c r="AI369" s="459"/>
      <c r="AJ369" s="475"/>
      <c r="AK369" s="475"/>
      <c r="AL369" s="475"/>
      <c r="AM369" s="475"/>
      <c r="AN369" s="475"/>
      <c r="AO369" s="475"/>
      <c r="AP369" s="475"/>
      <c r="AQ369" s="475"/>
      <c r="AR369" s="475"/>
      <c r="AS369" s="475"/>
      <c r="AT369" s="475"/>
      <c r="AU369" s="475"/>
      <c r="AV369" s="475"/>
      <c r="AW369" s="475"/>
      <c r="AX369" s="475"/>
      <c r="AY369" s="475"/>
      <c r="AZ369" s="459"/>
      <c r="BA369" s="459"/>
      <c r="BB369" s="459"/>
      <c r="BC369" s="459"/>
      <c r="BD369" s="459"/>
      <c r="BE369" s="459"/>
      <c r="BF369" s="459"/>
      <c r="BG369" s="459"/>
      <c r="BH369" s="459"/>
      <c r="BI369" s="459"/>
      <c r="BJ369" s="459"/>
      <c r="BK369" s="459"/>
      <c r="BL369" s="459"/>
      <c r="BM369" s="474"/>
      <c r="BN369" s="474"/>
      <c r="BO369" s="474"/>
      <c r="BP369" s="474"/>
      <c r="BQ369" s="475"/>
      <c r="BR369" s="475"/>
    </row>
    <row r="370" ht="15.75" customHeight="1">
      <c r="A370" s="475"/>
      <c r="B370" s="475"/>
      <c r="C370" s="475"/>
      <c r="D370" s="475"/>
      <c r="E370" s="475"/>
      <c r="F370" s="99"/>
      <c r="G370" s="475"/>
      <c r="H370" s="475"/>
      <c r="I370" s="475"/>
      <c r="J370" s="475"/>
      <c r="K370" s="475"/>
      <c r="L370" s="475"/>
      <c r="M370" s="475"/>
      <c r="N370" s="475"/>
      <c r="O370" s="475"/>
      <c r="P370" s="475"/>
      <c r="Q370" s="475"/>
      <c r="R370" s="475"/>
      <c r="S370" s="475"/>
      <c r="T370" s="475"/>
      <c r="U370" s="475"/>
      <c r="V370" s="475"/>
      <c r="W370" s="475"/>
      <c r="X370" s="475"/>
      <c r="Y370" s="475"/>
      <c r="Z370" s="475"/>
      <c r="AA370" s="475"/>
      <c r="AB370" s="475"/>
      <c r="AC370" s="475"/>
      <c r="AD370" s="475"/>
      <c r="AE370" s="475"/>
      <c r="AF370" s="475"/>
      <c r="AG370" s="475"/>
      <c r="AH370" s="475"/>
      <c r="AI370" s="459"/>
      <c r="AJ370" s="475"/>
      <c r="AK370" s="475"/>
      <c r="AL370" s="475"/>
      <c r="AM370" s="475"/>
      <c r="AN370" s="475"/>
      <c r="AO370" s="475"/>
      <c r="AP370" s="475"/>
      <c r="AQ370" s="475"/>
      <c r="AR370" s="475"/>
      <c r="AS370" s="475"/>
      <c r="AT370" s="475"/>
      <c r="AU370" s="475"/>
      <c r="AV370" s="475"/>
      <c r="AW370" s="475"/>
      <c r="AX370" s="475"/>
      <c r="AY370" s="475"/>
      <c r="AZ370" s="459"/>
      <c r="BA370" s="459"/>
      <c r="BB370" s="459"/>
      <c r="BC370" s="459"/>
      <c r="BD370" s="459"/>
      <c r="BE370" s="459"/>
      <c r="BF370" s="459"/>
      <c r="BG370" s="459"/>
      <c r="BH370" s="459"/>
      <c r="BI370" s="459"/>
      <c r="BJ370" s="459"/>
      <c r="BK370" s="459"/>
      <c r="BL370" s="459"/>
      <c r="BM370" s="474"/>
      <c r="BN370" s="474"/>
      <c r="BO370" s="474"/>
      <c r="BP370" s="474"/>
      <c r="BQ370" s="475"/>
      <c r="BR370" s="475"/>
    </row>
    <row r="371" ht="15.75" customHeight="1">
      <c r="A371" s="475"/>
      <c r="B371" s="475"/>
      <c r="C371" s="475"/>
      <c r="D371" s="475"/>
      <c r="E371" s="475"/>
      <c r="F371" s="99"/>
      <c r="G371" s="475"/>
      <c r="H371" s="475"/>
      <c r="I371" s="475"/>
      <c r="J371" s="475"/>
      <c r="K371" s="475"/>
      <c r="L371" s="475"/>
      <c r="M371" s="475"/>
      <c r="N371" s="475"/>
      <c r="O371" s="475"/>
      <c r="P371" s="475"/>
      <c r="Q371" s="475"/>
      <c r="R371" s="475"/>
      <c r="S371" s="475"/>
      <c r="T371" s="475"/>
      <c r="U371" s="475"/>
      <c r="V371" s="475"/>
      <c r="W371" s="475"/>
      <c r="X371" s="475"/>
      <c r="Y371" s="475"/>
      <c r="Z371" s="475"/>
      <c r="AA371" s="475"/>
      <c r="AB371" s="475"/>
      <c r="AC371" s="475"/>
      <c r="AD371" s="475"/>
      <c r="AE371" s="475"/>
      <c r="AF371" s="475"/>
      <c r="AG371" s="475"/>
      <c r="AH371" s="475"/>
      <c r="AI371" s="459"/>
      <c r="AJ371" s="475"/>
      <c r="AK371" s="475"/>
      <c r="AL371" s="475"/>
      <c r="AM371" s="475"/>
      <c r="AN371" s="475"/>
      <c r="AO371" s="475"/>
      <c r="AP371" s="475"/>
      <c r="AQ371" s="475"/>
      <c r="AR371" s="475"/>
      <c r="AS371" s="475"/>
      <c r="AT371" s="475"/>
      <c r="AU371" s="475"/>
      <c r="AV371" s="475"/>
      <c r="AW371" s="475"/>
      <c r="AX371" s="475"/>
      <c r="AY371" s="475"/>
      <c r="AZ371" s="459"/>
      <c r="BA371" s="459"/>
      <c r="BB371" s="459"/>
      <c r="BC371" s="459"/>
      <c r="BD371" s="459"/>
      <c r="BE371" s="459"/>
      <c r="BF371" s="459"/>
      <c r="BG371" s="459"/>
      <c r="BH371" s="459"/>
      <c r="BI371" s="459"/>
      <c r="BJ371" s="459"/>
      <c r="BK371" s="459"/>
      <c r="BL371" s="459"/>
      <c r="BM371" s="474"/>
      <c r="BN371" s="474"/>
      <c r="BO371" s="474"/>
      <c r="BP371" s="474"/>
      <c r="BQ371" s="475"/>
      <c r="BR371" s="475"/>
    </row>
    <row r="372" ht="15.75" customHeight="1">
      <c r="A372" s="475"/>
      <c r="B372" s="475"/>
      <c r="C372" s="475"/>
      <c r="D372" s="475"/>
      <c r="E372" s="475"/>
      <c r="F372" s="99"/>
      <c r="G372" s="475"/>
      <c r="H372" s="475"/>
      <c r="I372" s="475"/>
      <c r="J372" s="475"/>
      <c r="K372" s="475"/>
      <c r="L372" s="475"/>
      <c r="M372" s="475"/>
      <c r="N372" s="475"/>
      <c r="O372" s="475"/>
      <c r="P372" s="475"/>
      <c r="Q372" s="475"/>
      <c r="R372" s="475"/>
      <c r="S372" s="475"/>
      <c r="T372" s="475"/>
      <c r="U372" s="475"/>
      <c r="V372" s="475"/>
      <c r="W372" s="475"/>
      <c r="X372" s="475"/>
      <c r="Y372" s="475"/>
      <c r="Z372" s="475"/>
      <c r="AA372" s="475"/>
      <c r="AB372" s="475"/>
      <c r="AC372" s="475"/>
      <c r="AD372" s="475"/>
      <c r="AE372" s="475"/>
      <c r="AF372" s="475"/>
      <c r="AG372" s="475"/>
      <c r="AH372" s="475"/>
      <c r="AI372" s="459"/>
      <c r="AJ372" s="475"/>
      <c r="AK372" s="475"/>
      <c r="AL372" s="475"/>
      <c r="AM372" s="475"/>
      <c r="AN372" s="475"/>
      <c r="AO372" s="475"/>
      <c r="AP372" s="475"/>
      <c r="AQ372" s="475"/>
      <c r="AR372" s="475"/>
      <c r="AS372" s="475"/>
      <c r="AT372" s="475"/>
      <c r="AU372" s="475"/>
      <c r="AV372" s="475"/>
      <c r="AW372" s="475"/>
      <c r="AX372" s="475"/>
      <c r="AY372" s="475"/>
      <c r="AZ372" s="459"/>
      <c r="BA372" s="459"/>
      <c r="BB372" s="459"/>
      <c r="BC372" s="459"/>
      <c r="BD372" s="459"/>
      <c r="BE372" s="459"/>
      <c r="BF372" s="459"/>
      <c r="BG372" s="459"/>
      <c r="BH372" s="459"/>
      <c r="BI372" s="459"/>
      <c r="BJ372" s="459"/>
      <c r="BK372" s="459"/>
      <c r="BL372" s="459"/>
      <c r="BM372" s="474"/>
      <c r="BN372" s="474"/>
      <c r="BO372" s="474"/>
      <c r="BP372" s="474"/>
      <c r="BQ372" s="475"/>
      <c r="BR372" s="475"/>
    </row>
    <row r="373" ht="15.75" customHeight="1">
      <c r="A373" s="475"/>
      <c r="B373" s="475"/>
      <c r="C373" s="475"/>
      <c r="D373" s="475"/>
      <c r="E373" s="475"/>
      <c r="F373" s="99"/>
      <c r="G373" s="475"/>
      <c r="H373" s="475"/>
      <c r="I373" s="475"/>
      <c r="J373" s="475"/>
      <c r="K373" s="475"/>
      <c r="L373" s="475"/>
      <c r="M373" s="475"/>
      <c r="N373" s="475"/>
      <c r="O373" s="475"/>
      <c r="P373" s="475"/>
      <c r="Q373" s="475"/>
      <c r="R373" s="475"/>
      <c r="S373" s="475"/>
      <c r="T373" s="475"/>
      <c r="U373" s="475"/>
      <c r="V373" s="475"/>
      <c r="W373" s="475"/>
      <c r="X373" s="475"/>
      <c r="Y373" s="475"/>
      <c r="Z373" s="475"/>
      <c r="AA373" s="475"/>
      <c r="AB373" s="475"/>
      <c r="AC373" s="475"/>
      <c r="AD373" s="475"/>
      <c r="AE373" s="475"/>
      <c r="AF373" s="475"/>
      <c r="AG373" s="475"/>
      <c r="AH373" s="475"/>
      <c r="AI373" s="459"/>
      <c r="AJ373" s="475"/>
      <c r="AK373" s="475"/>
      <c r="AL373" s="475"/>
      <c r="AM373" s="475"/>
      <c r="AN373" s="475"/>
      <c r="AO373" s="475"/>
      <c r="AP373" s="475"/>
      <c r="AQ373" s="475"/>
      <c r="AR373" s="475"/>
      <c r="AS373" s="475"/>
      <c r="AT373" s="475"/>
      <c r="AU373" s="475"/>
      <c r="AV373" s="475"/>
      <c r="AW373" s="475"/>
      <c r="AX373" s="475"/>
      <c r="AY373" s="475"/>
      <c r="AZ373" s="459"/>
      <c r="BA373" s="459"/>
      <c r="BB373" s="459"/>
      <c r="BC373" s="459"/>
      <c r="BD373" s="459"/>
      <c r="BE373" s="459"/>
      <c r="BF373" s="459"/>
      <c r="BG373" s="459"/>
      <c r="BH373" s="459"/>
      <c r="BI373" s="459"/>
      <c r="BJ373" s="459"/>
      <c r="BK373" s="459"/>
      <c r="BL373" s="459"/>
      <c r="BM373" s="474"/>
      <c r="BN373" s="474"/>
      <c r="BO373" s="474"/>
      <c r="BP373" s="474"/>
      <c r="BQ373" s="475"/>
      <c r="BR373" s="475"/>
    </row>
    <row r="374" ht="15.75" customHeight="1">
      <c r="A374" s="475"/>
      <c r="B374" s="475"/>
      <c r="C374" s="475"/>
      <c r="D374" s="475"/>
      <c r="E374" s="475"/>
      <c r="F374" s="99"/>
      <c r="G374" s="475"/>
      <c r="H374" s="475"/>
      <c r="I374" s="475"/>
      <c r="J374" s="475"/>
      <c r="K374" s="475"/>
      <c r="L374" s="475"/>
      <c r="M374" s="475"/>
      <c r="N374" s="475"/>
      <c r="O374" s="475"/>
      <c r="P374" s="475"/>
      <c r="Q374" s="475"/>
      <c r="R374" s="475"/>
      <c r="S374" s="475"/>
      <c r="T374" s="475"/>
      <c r="U374" s="475"/>
      <c r="V374" s="475"/>
      <c r="W374" s="475"/>
      <c r="X374" s="475"/>
      <c r="Y374" s="475"/>
      <c r="Z374" s="475"/>
      <c r="AA374" s="475"/>
      <c r="AB374" s="475"/>
      <c r="AC374" s="475"/>
      <c r="AD374" s="475"/>
      <c r="AE374" s="475"/>
      <c r="AF374" s="475"/>
      <c r="AG374" s="475"/>
      <c r="AH374" s="475"/>
      <c r="AI374" s="459"/>
      <c r="AJ374" s="475"/>
      <c r="AK374" s="475"/>
      <c r="AL374" s="475"/>
      <c r="AM374" s="475"/>
      <c r="AN374" s="475"/>
      <c r="AO374" s="475"/>
      <c r="AP374" s="475"/>
      <c r="AQ374" s="475"/>
      <c r="AR374" s="475"/>
      <c r="AS374" s="475"/>
      <c r="AT374" s="475"/>
      <c r="AU374" s="475"/>
      <c r="AV374" s="475"/>
      <c r="AW374" s="475"/>
      <c r="AX374" s="475"/>
      <c r="AY374" s="475"/>
      <c r="AZ374" s="459"/>
      <c r="BA374" s="459"/>
      <c r="BB374" s="459"/>
      <c r="BC374" s="459"/>
      <c r="BD374" s="459"/>
      <c r="BE374" s="459"/>
      <c r="BF374" s="459"/>
      <c r="BG374" s="459"/>
      <c r="BH374" s="459"/>
      <c r="BI374" s="459"/>
      <c r="BJ374" s="459"/>
      <c r="BK374" s="459"/>
      <c r="BL374" s="459"/>
      <c r="BM374" s="474"/>
      <c r="BN374" s="474"/>
      <c r="BO374" s="474"/>
      <c r="BP374" s="474"/>
      <c r="BQ374" s="475"/>
      <c r="BR374" s="475"/>
    </row>
    <row r="375" ht="15.75" customHeight="1">
      <c r="A375" s="475"/>
      <c r="B375" s="475"/>
      <c r="C375" s="475"/>
      <c r="D375" s="475"/>
      <c r="E375" s="475"/>
      <c r="F375" s="99"/>
      <c r="G375" s="475"/>
      <c r="H375" s="475"/>
      <c r="I375" s="475"/>
      <c r="J375" s="475"/>
      <c r="K375" s="475"/>
      <c r="L375" s="475"/>
      <c r="M375" s="475"/>
      <c r="N375" s="475"/>
      <c r="O375" s="475"/>
      <c r="P375" s="475"/>
      <c r="Q375" s="475"/>
      <c r="R375" s="475"/>
      <c r="S375" s="475"/>
      <c r="T375" s="475"/>
      <c r="U375" s="475"/>
      <c r="V375" s="475"/>
      <c r="W375" s="475"/>
      <c r="X375" s="475"/>
      <c r="Y375" s="475"/>
      <c r="Z375" s="475"/>
      <c r="AA375" s="475"/>
      <c r="AB375" s="475"/>
      <c r="AC375" s="475"/>
      <c r="AD375" s="475"/>
      <c r="AE375" s="475"/>
      <c r="AF375" s="475"/>
      <c r="AG375" s="475"/>
      <c r="AH375" s="475"/>
      <c r="AI375" s="459"/>
      <c r="AJ375" s="475"/>
      <c r="AK375" s="475"/>
      <c r="AL375" s="475"/>
      <c r="AM375" s="475"/>
      <c r="AN375" s="475"/>
      <c r="AO375" s="475"/>
      <c r="AP375" s="475"/>
      <c r="AQ375" s="475"/>
      <c r="AR375" s="475"/>
      <c r="AS375" s="475"/>
      <c r="AT375" s="475"/>
      <c r="AU375" s="475"/>
      <c r="AV375" s="475"/>
      <c r="AW375" s="475"/>
      <c r="AX375" s="475"/>
      <c r="AY375" s="475"/>
      <c r="AZ375" s="459"/>
      <c r="BA375" s="459"/>
      <c r="BB375" s="459"/>
      <c r="BC375" s="459"/>
      <c r="BD375" s="459"/>
      <c r="BE375" s="459"/>
      <c r="BF375" s="459"/>
      <c r="BG375" s="459"/>
      <c r="BH375" s="459"/>
      <c r="BI375" s="459"/>
      <c r="BJ375" s="459"/>
      <c r="BK375" s="459"/>
      <c r="BL375" s="459"/>
      <c r="BM375" s="474"/>
      <c r="BN375" s="474"/>
      <c r="BO375" s="474"/>
      <c r="BP375" s="474"/>
      <c r="BQ375" s="475"/>
      <c r="BR375" s="475"/>
    </row>
    <row r="376" ht="15.75" customHeight="1">
      <c r="A376" s="475"/>
      <c r="B376" s="475"/>
      <c r="C376" s="475"/>
      <c r="D376" s="475"/>
      <c r="E376" s="475"/>
      <c r="F376" s="99"/>
      <c r="G376" s="475"/>
      <c r="H376" s="475"/>
      <c r="I376" s="475"/>
      <c r="J376" s="475"/>
      <c r="K376" s="475"/>
      <c r="L376" s="475"/>
      <c r="M376" s="475"/>
      <c r="N376" s="475"/>
      <c r="O376" s="475"/>
      <c r="P376" s="475"/>
      <c r="Q376" s="475"/>
      <c r="R376" s="475"/>
      <c r="S376" s="475"/>
      <c r="T376" s="475"/>
      <c r="U376" s="475"/>
      <c r="V376" s="475"/>
      <c r="W376" s="475"/>
      <c r="X376" s="475"/>
      <c r="Y376" s="475"/>
      <c r="Z376" s="475"/>
      <c r="AA376" s="475"/>
      <c r="AB376" s="475"/>
      <c r="AC376" s="475"/>
      <c r="AD376" s="475"/>
      <c r="AE376" s="475"/>
      <c r="AF376" s="475"/>
      <c r="AG376" s="475"/>
      <c r="AH376" s="475"/>
      <c r="AI376" s="459"/>
      <c r="AJ376" s="475"/>
      <c r="AK376" s="475"/>
      <c r="AL376" s="475"/>
      <c r="AM376" s="475"/>
      <c r="AN376" s="475"/>
      <c r="AO376" s="475"/>
      <c r="AP376" s="475"/>
      <c r="AQ376" s="475"/>
      <c r="AR376" s="475"/>
      <c r="AS376" s="475"/>
      <c r="AT376" s="475"/>
      <c r="AU376" s="475"/>
      <c r="AV376" s="475"/>
      <c r="AW376" s="475"/>
      <c r="AX376" s="475"/>
      <c r="AY376" s="475"/>
      <c r="AZ376" s="459"/>
      <c r="BA376" s="459"/>
      <c r="BB376" s="459"/>
      <c r="BC376" s="459"/>
      <c r="BD376" s="459"/>
      <c r="BE376" s="459"/>
      <c r="BF376" s="459"/>
      <c r="BG376" s="459"/>
      <c r="BH376" s="459"/>
      <c r="BI376" s="459"/>
      <c r="BJ376" s="459"/>
      <c r="BK376" s="459"/>
      <c r="BL376" s="459"/>
      <c r="BM376" s="474"/>
      <c r="BN376" s="474"/>
      <c r="BO376" s="474"/>
      <c r="BP376" s="474"/>
      <c r="BQ376" s="475"/>
      <c r="BR376" s="475"/>
    </row>
    <row r="377" ht="15.75" customHeight="1">
      <c r="A377" s="475"/>
      <c r="B377" s="475"/>
      <c r="C377" s="475"/>
      <c r="D377" s="475"/>
      <c r="E377" s="475"/>
      <c r="F377" s="99"/>
      <c r="G377" s="475"/>
      <c r="H377" s="475"/>
      <c r="I377" s="475"/>
      <c r="J377" s="475"/>
      <c r="K377" s="475"/>
      <c r="L377" s="475"/>
      <c r="M377" s="475"/>
      <c r="N377" s="475"/>
      <c r="O377" s="475"/>
      <c r="P377" s="475"/>
      <c r="Q377" s="475"/>
      <c r="R377" s="475"/>
      <c r="S377" s="475"/>
      <c r="T377" s="475"/>
      <c r="U377" s="475"/>
      <c r="V377" s="475"/>
      <c r="W377" s="475"/>
      <c r="X377" s="475"/>
      <c r="Y377" s="475"/>
      <c r="Z377" s="475"/>
      <c r="AA377" s="475"/>
      <c r="AB377" s="475"/>
      <c r="AC377" s="475"/>
      <c r="AD377" s="475"/>
      <c r="AE377" s="475"/>
      <c r="AF377" s="475"/>
      <c r="AG377" s="475"/>
      <c r="AH377" s="475"/>
      <c r="AI377" s="459"/>
      <c r="AJ377" s="475"/>
      <c r="AK377" s="475"/>
      <c r="AL377" s="475"/>
      <c r="AM377" s="475"/>
      <c r="AN377" s="475"/>
      <c r="AO377" s="475"/>
      <c r="AP377" s="475"/>
      <c r="AQ377" s="475"/>
      <c r="AR377" s="475"/>
      <c r="AS377" s="475"/>
      <c r="AT377" s="475"/>
      <c r="AU377" s="475"/>
      <c r="AV377" s="475"/>
      <c r="AW377" s="475"/>
      <c r="AX377" s="475"/>
      <c r="AY377" s="475"/>
      <c r="AZ377" s="459"/>
      <c r="BA377" s="459"/>
      <c r="BB377" s="459"/>
      <c r="BC377" s="459"/>
      <c r="BD377" s="459"/>
      <c r="BE377" s="459"/>
      <c r="BF377" s="459"/>
      <c r="BG377" s="459"/>
      <c r="BH377" s="459"/>
      <c r="BI377" s="459"/>
      <c r="BJ377" s="459"/>
      <c r="BK377" s="459"/>
      <c r="BL377" s="459"/>
      <c r="BM377" s="474"/>
      <c r="BN377" s="474"/>
      <c r="BO377" s="474"/>
      <c r="BP377" s="474"/>
      <c r="BQ377" s="475"/>
      <c r="BR377" s="475"/>
    </row>
    <row r="378" ht="15.75" customHeight="1">
      <c r="A378" s="475"/>
      <c r="B378" s="475"/>
      <c r="C378" s="475"/>
      <c r="D378" s="475"/>
      <c r="E378" s="475"/>
      <c r="F378" s="99"/>
      <c r="G378" s="475"/>
      <c r="H378" s="475"/>
      <c r="I378" s="475"/>
      <c r="J378" s="475"/>
      <c r="K378" s="475"/>
      <c r="L378" s="475"/>
      <c r="M378" s="475"/>
      <c r="N378" s="475"/>
      <c r="O378" s="475"/>
      <c r="P378" s="475"/>
      <c r="Q378" s="475"/>
      <c r="R378" s="475"/>
      <c r="S378" s="475"/>
      <c r="T378" s="475"/>
      <c r="U378" s="475"/>
      <c r="V378" s="475"/>
      <c r="W378" s="475"/>
      <c r="X378" s="475"/>
      <c r="Y378" s="475"/>
      <c r="Z378" s="475"/>
      <c r="AA378" s="475"/>
      <c r="AB378" s="475"/>
      <c r="AC378" s="475"/>
      <c r="AD378" s="475"/>
      <c r="AE378" s="475"/>
      <c r="AF378" s="475"/>
      <c r="AG378" s="475"/>
      <c r="AH378" s="475"/>
      <c r="AI378" s="459"/>
      <c r="AJ378" s="475"/>
      <c r="AK378" s="475"/>
      <c r="AL378" s="475"/>
      <c r="AM378" s="475"/>
      <c r="AN378" s="475"/>
      <c r="AO378" s="475"/>
      <c r="AP378" s="475"/>
      <c r="AQ378" s="475"/>
      <c r="AR378" s="475"/>
      <c r="AS378" s="475"/>
      <c r="AT378" s="475"/>
      <c r="AU378" s="475"/>
      <c r="AV378" s="475"/>
      <c r="AW378" s="475"/>
      <c r="AX378" s="475"/>
      <c r="AY378" s="475"/>
      <c r="AZ378" s="459"/>
      <c r="BA378" s="459"/>
      <c r="BB378" s="459"/>
      <c r="BC378" s="459"/>
      <c r="BD378" s="459"/>
      <c r="BE378" s="459"/>
      <c r="BF378" s="459"/>
      <c r="BG378" s="459"/>
      <c r="BH378" s="459"/>
      <c r="BI378" s="459"/>
      <c r="BJ378" s="459"/>
      <c r="BK378" s="459"/>
      <c r="BL378" s="459"/>
      <c r="BM378" s="474"/>
      <c r="BN378" s="474"/>
      <c r="BO378" s="474"/>
      <c r="BP378" s="474"/>
      <c r="BQ378" s="475"/>
      <c r="BR378" s="475"/>
    </row>
    <row r="379" ht="15.75" customHeight="1">
      <c r="A379" s="475"/>
      <c r="B379" s="475"/>
      <c r="C379" s="475"/>
      <c r="D379" s="475"/>
      <c r="E379" s="475"/>
      <c r="F379" s="99"/>
      <c r="G379" s="475"/>
      <c r="H379" s="475"/>
      <c r="I379" s="475"/>
      <c r="J379" s="475"/>
      <c r="K379" s="475"/>
      <c r="L379" s="475"/>
      <c r="M379" s="475"/>
      <c r="N379" s="475"/>
      <c r="O379" s="475"/>
      <c r="P379" s="475"/>
      <c r="Q379" s="475"/>
      <c r="R379" s="475"/>
      <c r="S379" s="475"/>
      <c r="T379" s="475"/>
      <c r="U379" s="475"/>
      <c r="V379" s="475"/>
      <c r="W379" s="475"/>
      <c r="X379" s="475"/>
      <c r="Y379" s="475"/>
      <c r="Z379" s="475"/>
      <c r="AA379" s="475"/>
      <c r="AB379" s="475"/>
      <c r="AC379" s="475"/>
      <c r="AD379" s="475"/>
      <c r="AE379" s="475"/>
      <c r="AF379" s="475"/>
      <c r="AG379" s="475"/>
      <c r="AH379" s="475"/>
      <c r="AI379" s="459"/>
      <c r="AJ379" s="475"/>
      <c r="AK379" s="475"/>
      <c r="AL379" s="475"/>
      <c r="AM379" s="475"/>
      <c r="AN379" s="475"/>
      <c r="AO379" s="475"/>
      <c r="AP379" s="475"/>
      <c r="AQ379" s="475"/>
      <c r="AR379" s="475"/>
      <c r="AS379" s="475"/>
      <c r="AT379" s="475"/>
      <c r="AU379" s="475"/>
      <c r="AV379" s="475"/>
      <c r="AW379" s="475"/>
      <c r="AX379" s="475"/>
      <c r="AY379" s="475"/>
      <c r="AZ379" s="459"/>
      <c r="BA379" s="459"/>
      <c r="BB379" s="459"/>
      <c r="BC379" s="459"/>
      <c r="BD379" s="459"/>
      <c r="BE379" s="459"/>
      <c r="BF379" s="459"/>
      <c r="BG379" s="459"/>
      <c r="BH379" s="459"/>
      <c r="BI379" s="459"/>
      <c r="BJ379" s="459"/>
      <c r="BK379" s="459"/>
      <c r="BL379" s="459"/>
      <c r="BM379" s="474"/>
      <c r="BN379" s="474"/>
      <c r="BO379" s="474"/>
      <c r="BP379" s="474"/>
      <c r="BQ379" s="475"/>
      <c r="BR379" s="475"/>
    </row>
    <row r="380" ht="15.75" customHeight="1">
      <c r="A380" s="475"/>
      <c r="B380" s="475"/>
      <c r="C380" s="475"/>
      <c r="D380" s="475"/>
      <c r="E380" s="475"/>
      <c r="F380" s="99"/>
      <c r="G380" s="475"/>
      <c r="H380" s="475"/>
      <c r="I380" s="475"/>
      <c r="J380" s="475"/>
      <c r="K380" s="475"/>
      <c r="L380" s="475"/>
      <c r="M380" s="475"/>
      <c r="N380" s="475"/>
      <c r="O380" s="475"/>
      <c r="P380" s="475"/>
      <c r="Q380" s="475"/>
      <c r="R380" s="475"/>
      <c r="S380" s="475"/>
      <c r="T380" s="475"/>
      <c r="U380" s="475"/>
      <c r="V380" s="475"/>
      <c r="W380" s="475"/>
      <c r="X380" s="475"/>
      <c r="Y380" s="475"/>
      <c r="Z380" s="475"/>
      <c r="AA380" s="475"/>
      <c r="AB380" s="475"/>
      <c r="AC380" s="475"/>
      <c r="AD380" s="475"/>
      <c r="AE380" s="475"/>
      <c r="AF380" s="475"/>
      <c r="AG380" s="475"/>
      <c r="AH380" s="475"/>
      <c r="AI380" s="459"/>
      <c r="AJ380" s="475"/>
      <c r="AK380" s="475"/>
      <c r="AL380" s="475"/>
      <c r="AM380" s="475"/>
      <c r="AN380" s="475"/>
      <c r="AO380" s="475"/>
      <c r="AP380" s="475"/>
      <c r="AQ380" s="475"/>
      <c r="AR380" s="475"/>
      <c r="AS380" s="475"/>
      <c r="AT380" s="475"/>
      <c r="AU380" s="475"/>
      <c r="AV380" s="475"/>
      <c r="AW380" s="475"/>
      <c r="AX380" s="475"/>
      <c r="AY380" s="475"/>
      <c r="AZ380" s="459"/>
      <c r="BA380" s="459"/>
      <c r="BB380" s="459"/>
      <c r="BC380" s="459"/>
      <c r="BD380" s="459"/>
      <c r="BE380" s="459"/>
      <c r="BF380" s="459"/>
      <c r="BG380" s="459"/>
      <c r="BH380" s="459"/>
      <c r="BI380" s="459"/>
      <c r="BJ380" s="459"/>
      <c r="BK380" s="459"/>
      <c r="BL380" s="459"/>
      <c r="BM380" s="474"/>
      <c r="BN380" s="474"/>
      <c r="BO380" s="474"/>
      <c r="BP380" s="474"/>
      <c r="BQ380" s="475"/>
      <c r="BR380" s="475"/>
    </row>
    <row r="381" ht="15.75" customHeight="1">
      <c r="A381" s="475"/>
      <c r="B381" s="475"/>
      <c r="C381" s="475"/>
      <c r="D381" s="475"/>
      <c r="E381" s="475"/>
      <c r="F381" s="99"/>
      <c r="G381" s="475"/>
      <c r="H381" s="475"/>
      <c r="I381" s="475"/>
      <c r="J381" s="475"/>
      <c r="K381" s="475"/>
      <c r="L381" s="475"/>
      <c r="M381" s="475"/>
      <c r="N381" s="475"/>
      <c r="O381" s="475"/>
      <c r="P381" s="475"/>
      <c r="Q381" s="475"/>
      <c r="R381" s="475"/>
      <c r="S381" s="475"/>
      <c r="T381" s="475"/>
      <c r="U381" s="475"/>
      <c r="V381" s="475"/>
      <c r="W381" s="475"/>
      <c r="X381" s="475"/>
      <c r="Y381" s="475"/>
      <c r="Z381" s="475"/>
      <c r="AA381" s="475"/>
      <c r="AB381" s="475"/>
      <c r="AC381" s="475"/>
      <c r="AD381" s="475"/>
      <c r="AE381" s="475"/>
      <c r="AF381" s="475"/>
      <c r="AG381" s="475"/>
      <c r="AH381" s="475"/>
      <c r="AI381" s="459"/>
      <c r="AJ381" s="475"/>
      <c r="AK381" s="475"/>
      <c r="AL381" s="475"/>
      <c r="AM381" s="475"/>
      <c r="AN381" s="475"/>
      <c r="AO381" s="475"/>
      <c r="AP381" s="475"/>
      <c r="AQ381" s="475"/>
      <c r="AR381" s="475"/>
      <c r="AS381" s="475"/>
      <c r="AT381" s="475"/>
      <c r="AU381" s="475"/>
      <c r="AV381" s="475"/>
      <c r="AW381" s="475"/>
      <c r="AX381" s="475"/>
      <c r="AY381" s="475"/>
      <c r="AZ381" s="459"/>
      <c r="BA381" s="459"/>
      <c r="BB381" s="459"/>
      <c r="BC381" s="459"/>
      <c r="BD381" s="459"/>
      <c r="BE381" s="459"/>
      <c r="BF381" s="459"/>
      <c r="BG381" s="459"/>
      <c r="BH381" s="459"/>
      <c r="BI381" s="459"/>
      <c r="BJ381" s="459"/>
      <c r="BK381" s="459"/>
      <c r="BL381" s="459"/>
      <c r="BM381" s="474"/>
      <c r="BN381" s="474"/>
      <c r="BO381" s="474"/>
      <c r="BP381" s="474"/>
      <c r="BQ381" s="475"/>
      <c r="BR381" s="475"/>
    </row>
    <row r="382" ht="15.75" customHeight="1">
      <c r="A382" s="475"/>
      <c r="B382" s="475"/>
      <c r="C382" s="475"/>
      <c r="D382" s="475"/>
      <c r="E382" s="475"/>
      <c r="F382" s="99"/>
      <c r="G382" s="475"/>
      <c r="H382" s="475"/>
      <c r="I382" s="475"/>
      <c r="J382" s="475"/>
      <c r="K382" s="475"/>
      <c r="L382" s="475"/>
      <c r="M382" s="475"/>
      <c r="N382" s="475"/>
      <c r="O382" s="475"/>
      <c r="P382" s="475"/>
      <c r="Q382" s="475"/>
      <c r="R382" s="475"/>
      <c r="S382" s="475"/>
      <c r="T382" s="475"/>
      <c r="U382" s="475"/>
      <c r="V382" s="475"/>
      <c r="W382" s="475"/>
      <c r="X382" s="475"/>
      <c r="Y382" s="475"/>
      <c r="Z382" s="475"/>
      <c r="AA382" s="475"/>
      <c r="AB382" s="475"/>
      <c r="AC382" s="475"/>
      <c r="AD382" s="475"/>
      <c r="AE382" s="475"/>
      <c r="AF382" s="475"/>
      <c r="AG382" s="475"/>
      <c r="AH382" s="475"/>
      <c r="AI382" s="459"/>
      <c r="AJ382" s="475"/>
      <c r="AK382" s="475"/>
      <c r="AL382" s="475"/>
      <c r="AM382" s="475"/>
      <c r="AN382" s="475"/>
      <c r="AO382" s="475"/>
      <c r="AP382" s="475"/>
      <c r="AQ382" s="475"/>
      <c r="AR382" s="475"/>
      <c r="AS382" s="475"/>
      <c r="AT382" s="475"/>
      <c r="AU382" s="475"/>
      <c r="AV382" s="475"/>
      <c r="AW382" s="475"/>
      <c r="AX382" s="475"/>
      <c r="AY382" s="475"/>
      <c r="AZ382" s="459"/>
      <c r="BA382" s="459"/>
      <c r="BB382" s="459"/>
      <c r="BC382" s="459"/>
      <c r="BD382" s="459"/>
      <c r="BE382" s="459"/>
      <c r="BF382" s="459"/>
      <c r="BG382" s="459"/>
      <c r="BH382" s="459"/>
      <c r="BI382" s="459"/>
      <c r="BJ382" s="459"/>
      <c r="BK382" s="459"/>
      <c r="BL382" s="459"/>
      <c r="BM382" s="474"/>
      <c r="BN382" s="474"/>
      <c r="BO382" s="474"/>
      <c r="BP382" s="474"/>
      <c r="BQ382" s="475"/>
      <c r="BR382" s="475"/>
    </row>
    <row r="383" ht="15.75" customHeight="1">
      <c r="A383" s="475"/>
      <c r="B383" s="475"/>
      <c r="C383" s="475"/>
      <c r="D383" s="475"/>
      <c r="E383" s="475"/>
      <c r="F383" s="99"/>
      <c r="G383" s="475"/>
      <c r="H383" s="475"/>
      <c r="I383" s="475"/>
      <c r="J383" s="475"/>
      <c r="K383" s="475"/>
      <c r="L383" s="475"/>
      <c r="M383" s="475"/>
      <c r="N383" s="475"/>
      <c r="O383" s="475"/>
      <c r="P383" s="475"/>
      <c r="Q383" s="475"/>
      <c r="R383" s="475"/>
      <c r="S383" s="475"/>
      <c r="T383" s="475"/>
      <c r="U383" s="475"/>
      <c r="V383" s="475"/>
      <c r="W383" s="475"/>
      <c r="X383" s="475"/>
      <c r="Y383" s="475"/>
      <c r="Z383" s="475"/>
      <c r="AA383" s="475"/>
      <c r="AB383" s="475"/>
      <c r="AC383" s="475"/>
      <c r="AD383" s="475"/>
      <c r="AE383" s="475"/>
      <c r="AF383" s="475"/>
      <c r="AG383" s="475"/>
      <c r="AH383" s="475"/>
      <c r="AI383" s="459"/>
      <c r="AJ383" s="475"/>
      <c r="AK383" s="475"/>
      <c r="AL383" s="475"/>
      <c r="AM383" s="475"/>
      <c r="AN383" s="475"/>
      <c r="AO383" s="475"/>
      <c r="AP383" s="475"/>
      <c r="AQ383" s="475"/>
      <c r="AR383" s="475"/>
      <c r="AS383" s="475"/>
      <c r="AT383" s="475"/>
      <c r="AU383" s="475"/>
      <c r="AV383" s="475"/>
      <c r="AW383" s="475"/>
      <c r="AX383" s="475"/>
      <c r="AY383" s="475"/>
      <c r="AZ383" s="459"/>
      <c r="BA383" s="459"/>
      <c r="BB383" s="459"/>
      <c r="BC383" s="459"/>
      <c r="BD383" s="459"/>
      <c r="BE383" s="459"/>
      <c r="BF383" s="459"/>
      <c r="BG383" s="459"/>
      <c r="BH383" s="459"/>
      <c r="BI383" s="459"/>
      <c r="BJ383" s="459"/>
      <c r="BK383" s="459"/>
      <c r="BL383" s="459"/>
      <c r="BM383" s="474"/>
      <c r="BN383" s="474"/>
      <c r="BO383" s="474"/>
      <c r="BP383" s="474"/>
      <c r="BQ383" s="475"/>
      <c r="BR383" s="475"/>
    </row>
    <row r="384" ht="15.75" customHeight="1">
      <c r="A384" s="475"/>
      <c r="B384" s="475"/>
      <c r="C384" s="475"/>
      <c r="D384" s="475"/>
      <c r="E384" s="475"/>
      <c r="F384" s="99"/>
      <c r="G384" s="475"/>
      <c r="H384" s="475"/>
      <c r="I384" s="475"/>
      <c r="J384" s="475"/>
      <c r="K384" s="475"/>
      <c r="L384" s="475"/>
      <c r="M384" s="475"/>
      <c r="N384" s="475"/>
      <c r="O384" s="475"/>
      <c r="P384" s="475"/>
      <c r="Q384" s="475"/>
      <c r="R384" s="475"/>
      <c r="S384" s="475"/>
      <c r="T384" s="475"/>
      <c r="U384" s="475"/>
      <c r="V384" s="475"/>
      <c r="W384" s="475"/>
      <c r="X384" s="475"/>
      <c r="Y384" s="475"/>
      <c r="Z384" s="475"/>
      <c r="AA384" s="475"/>
      <c r="AB384" s="475"/>
      <c r="AC384" s="475"/>
      <c r="AD384" s="475"/>
      <c r="AE384" s="475"/>
      <c r="AF384" s="475"/>
      <c r="AG384" s="475"/>
      <c r="AH384" s="475"/>
      <c r="AI384" s="459"/>
      <c r="AJ384" s="475"/>
      <c r="AK384" s="475"/>
      <c r="AL384" s="475"/>
      <c r="AM384" s="475"/>
      <c r="AN384" s="475"/>
      <c r="AO384" s="475"/>
      <c r="AP384" s="475"/>
      <c r="AQ384" s="475"/>
      <c r="AR384" s="475"/>
      <c r="AS384" s="475"/>
      <c r="AT384" s="475"/>
      <c r="AU384" s="475"/>
      <c r="AV384" s="475"/>
      <c r="AW384" s="475"/>
      <c r="AX384" s="475"/>
      <c r="AY384" s="475"/>
      <c r="AZ384" s="459"/>
      <c r="BA384" s="459"/>
      <c r="BB384" s="459"/>
      <c r="BC384" s="459"/>
      <c r="BD384" s="459"/>
      <c r="BE384" s="459"/>
      <c r="BF384" s="459"/>
      <c r="BG384" s="459"/>
      <c r="BH384" s="459"/>
      <c r="BI384" s="459"/>
      <c r="BJ384" s="459"/>
      <c r="BK384" s="459"/>
      <c r="BL384" s="459"/>
      <c r="BM384" s="474"/>
      <c r="BN384" s="474"/>
      <c r="BO384" s="474"/>
      <c r="BP384" s="474"/>
      <c r="BQ384" s="475"/>
      <c r="BR384" s="475"/>
    </row>
    <row r="385" ht="15.75" customHeight="1">
      <c r="A385" s="475"/>
      <c r="B385" s="475"/>
      <c r="C385" s="475"/>
      <c r="D385" s="475"/>
      <c r="E385" s="475"/>
      <c r="F385" s="99"/>
      <c r="G385" s="475"/>
      <c r="H385" s="475"/>
      <c r="I385" s="475"/>
      <c r="J385" s="475"/>
      <c r="K385" s="475"/>
      <c r="L385" s="475"/>
      <c r="M385" s="475"/>
      <c r="N385" s="475"/>
      <c r="O385" s="475"/>
      <c r="P385" s="475"/>
      <c r="Q385" s="475"/>
      <c r="R385" s="475"/>
      <c r="S385" s="475"/>
      <c r="T385" s="475"/>
      <c r="U385" s="475"/>
      <c r="V385" s="475"/>
      <c r="W385" s="475"/>
      <c r="X385" s="475"/>
      <c r="Y385" s="475"/>
      <c r="Z385" s="475"/>
      <c r="AA385" s="475"/>
      <c r="AB385" s="475"/>
      <c r="AC385" s="475"/>
      <c r="AD385" s="475"/>
      <c r="AE385" s="475"/>
      <c r="AF385" s="475"/>
      <c r="AG385" s="475"/>
      <c r="AH385" s="475"/>
      <c r="AI385" s="459"/>
      <c r="AJ385" s="475"/>
      <c r="AK385" s="475"/>
      <c r="AL385" s="475"/>
      <c r="AM385" s="475"/>
      <c r="AN385" s="475"/>
      <c r="AO385" s="475"/>
      <c r="AP385" s="475"/>
      <c r="AQ385" s="475"/>
      <c r="AR385" s="475"/>
      <c r="AS385" s="475"/>
      <c r="AT385" s="475"/>
      <c r="AU385" s="475"/>
      <c r="AV385" s="475"/>
      <c r="AW385" s="475"/>
      <c r="AX385" s="475"/>
      <c r="AY385" s="475"/>
      <c r="AZ385" s="459"/>
      <c r="BA385" s="459"/>
      <c r="BB385" s="459"/>
      <c r="BC385" s="459"/>
      <c r="BD385" s="459"/>
      <c r="BE385" s="459"/>
      <c r="BF385" s="459"/>
      <c r="BG385" s="459"/>
      <c r="BH385" s="459"/>
      <c r="BI385" s="459"/>
      <c r="BJ385" s="459"/>
      <c r="BK385" s="459"/>
      <c r="BL385" s="459"/>
      <c r="BM385" s="474"/>
      <c r="BN385" s="474"/>
      <c r="BO385" s="474"/>
      <c r="BP385" s="474"/>
      <c r="BQ385" s="475"/>
      <c r="BR385" s="475"/>
    </row>
    <row r="386" ht="15.75" customHeight="1">
      <c r="A386" s="475"/>
      <c r="B386" s="475"/>
      <c r="C386" s="475"/>
      <c r="D386" s="475"/>
      <c r="E386" s="475"/>
      <c r="F386" s="99"/>
      <c r="G386" s="475"/>
      <c r="H386" s="475"/>
      <c r="I386" s="475"/>
      <c r="J386" s="475"/>
      <c r="K386" s="475"/>
      <c r="L386" s="475"/>
      <c r="M386" s="475"/>
      <c r="N386" s="475"/>
      <c r="O386" s="475"/>
      <c r="P386" s="475"/>
      <c r="Q386" s="475"/>
      <c r="R386" s="475"/>
      <c r="S386" s="475"/>
      <c r="T386" s="475"/>
      <c r="U386" s="475"/>
      <c r="V386" s="475"/>
      <c r="W386" s="475"/>
      <c r="X386" s="475"/>
      <c r="Y386" s="475"/>
      <c r="Z386" s="475"/>
      <c r="AA386" s="475"/>
      <c r="AB386" s="475"/>
      <c r="AC386" s="475"/>
      <c r="AD386" s="475"/>
      <c r="AE386" s="475"/>
      <c r="AF386" s="475"/>
      <c r="AG386" s="475"/>
      <c r="AH386" s="475"/>
      <c r="AI386" s="459"/>
      <c r="AJ386" s="475"/>
      <c r="AK386" s="475"/>
      <c r="AL386" s="475"/>
      <c r="AM386" s="475"/>
      <c r="AN386" s="475"/>
      <c r="AO386" s="475"/>
      <c r="AP386" s="475"/>
      <c r="AQ386" s="475"/>
      <c r="AR386" s="475"/>
      <c r="AS386" s="475"/>
      <c r="AT386" s="475"/>
      <c r="AU386" s="475"/>
      <c r="AV386" s="475"/>
      <c r="AW386" s="475"/>
      <c r="AX386" s="475"/>
      <c r="AY386" s="475"/>
      <c r="AZ386" s="459"/>
      <c r="BA386" s="459"/>
      <c r="BB386" s="459"/>
      <c r="BC386" s="459"/>
      <c r="BD386" s="459"/>
      <c r="BE386" s="459"/>
      <c r="BF386" s="459"/>
      <c r="BG386" s="459"/>
      <c r="BH386" s="459"/>
      <c r="BI386" s="459"/>
      <c r="BJ386" s="459"/>
      <c r="BK386" s="459"/>
      <c r="BL386" s="459"/>
      <c r="BM386" s="474"/>
      <c r="BN386" s="474"/>
      <c r="BO386" s="474"/>
      <c r="BP386" s="474"/>
      <c r="BQ386" s="475"/>
      <c r="BR386" s="475"/>
    </row>
    <row r="387" ht="15.75" customHeight="1">
      <c r="A387" s="475"/>
      <c r="B387" s="475"/>
      <c r="C387" s="475"/>
      <c r="D387" s="475"/>
      <c r="E387" s="475"/>
      <c r="F387" s="99"/>
      <c r="G387" s="475"/>
      <c r="H387" s="475"/>
      <c r="I387" s="475"/>
      <c r="J387" s="475"/>
      <c r="K387" s="475"/>
      <c r="L387" s="475"/>
      <c r="M387" s="475"/>
      <c r="N387" s="475"/>
      <c r="O387" s="475"/>
      <c r="P387" s="475"/>
      <c r="Q387" s="475"/>
      <c r="R387" s="475"/>
      <c r="S387" s="475"/>
      <c r="T387" s="475"/>
      <c r="U387" s="475"/>
      <c r="V387" s="475"/>
      <c r="W387" s="475"/>
      <c r="X387" s="475"/>
      <c r="Y387" s="475"/>
      <c r="Z387" s="475"/>
      <c r="AA387" s="475"/>
      <c r="AB387" s="475"/>
      <c r="AC387" s="475"/>
      <c r="AD387" s="475"/>
      <c r="AE387" s="475"/>
      <c r="AF387" s="475"/>
      <c r="AG387" s="475"/>
      <c r="AH387" s="475"/>
      <c r="AI387" s="459"/>
      <c r="AJ387" s="475"/>
      <c r="AK387" s="475"/>
      <c r="AL387" s="475"/>
      <c r="AM387" s="475"/>
      <c r="AN387" s="475"/>
      <c r="AO387" s="475"/>
      <c r="AP387" s="475"/>
      <c r="AQ387" s="475"/>
      <c r="AR387" s="475"/>
      <c r="AS387" s="475"/>
      <c r="AT387" s="475"/>
      <c r="AU387" s="475"/>
      <c r="AV387" s="475"/>
      <c r="AW387" s="475"/>
      <c r="AX387" s="475"/>
      <c r="AY387" s="475"/>
      <c r="AZ387" s="459"/>
      <c r="BA387" s="459"/>
      <c r="BB387" s="459"/>
      <c r="BC387" s="459"/>
      <c r="BD387" s="459"/>
      <c r="BE387" s="459"/>
      <c r="BF387" s="459"/>
      <c r="BG387" s="459"/>
      <c r="BH387" s="459"/>
      <c r="BI387" s="459"/>
      <c r="BJ387" s="459"/>
      <c r="BK387" s="459"/>
      <c r="BL387" s="459"/>
      <c r="BM387" s="474"/>
      <c r="BN387" s="474"/>
      <c r="BO387" s="474"/>
      <c r="BP387" s="474"/>
      <c r="BQ387" s="475"/>
      <c r="BR387" s="475"/>
    </row>
    <row r="388" ht="15.75" customHeight="1">
      <c r="A388" s="475"/>
      <c r="B388" s="475"/>
      <c r="C388" s="475"/>
      <c r="D388" s="475"/>
      <c r="E388" s="475"/>
      <c r="F388" s="99"/>
      <c r="G388" s="475"/>
      <c r="H388" s="475"/>
      <c r="I388" s="475"/>
      <c r="J388" s="475"/>
      <c r="K388" s="475"/>
      <c r="L388" s="475"/>
      <c r="M388" s="475"/>
      <c r="N388" s="475"/>
      <c r="O388" s="475"/>
      <c r="P388" s="475"/>
      <c r="Q388" s="475"/>
      <c r="R388" s="475"/>
      <c r="S388" s="475"/>
      <c r="T388" s="475"/>
      <c r="U388" s="475"/>
      <c r="V388" s="475"/>
      <c r="W388" s="475"/>
      <c r="X388" s="475"/>
      <c r="Y388" s="475"/>
      <c r="Z388" s="475"/>
      <c r="AA388" s="475"/>
      <c r="AB388" s="475"/>
      <c r="AC388" s="475"/>
      <c r="AD388" s="475"/>
      <c r="AE388" s="475"/>
      <c r="AF388" s="475"/>
      <c r="AG388" s="475"/>
      <c r="AH388" s="475"/>
      <c r="AI388" s="459"/>
      <c r="AJ388" s="475"/>
      <c r="AK388" s="475"/>
      <c r="AL388" s="475"/>
      <c r="AM388" s="475"/>
      <c r="AN388" s="475"/>
      <c r="AO388" s="475"/>
      <c r="AP388" s="475"/>
      <c r="AQ388" s="475"/>
      <c r="AR388" s="475"/>
      <c r="AS388" s="475"/>
      <c r="AT388" s="475"/>
      <c r="AU388" s="475"/>
      <c r="AV388" s="475"/>
      <c r="AW388" s="475"/>
      <c r="AX388" s="475"/>
      <c r="AY388" s="475"/>
      <c r="AZ388" s="459"/>
      <c r="BA388" s="459"/>
      <c r="BB388" s="459"/>
      <c r="BC388" s="459"/>
      <c r="BD388" s="459"/>
      <c r="BE388" s="459"/>
      <c r="BF388" s="459"/>
      <c r="BG388" s="459"/>
      <c r="BH388" s="459"/>
      <c r="BI388" s="459"/>
      <c r="BJ388" s="459"/>
      <c r="BK388" s="459"/>
      <c r="BL388" s="459"/>
      <c r="BM388" s="474"/>
      <c r="BN388" s="474"/>
      <c r="BO388" s="474"/>
      <c r="BP388" s="474"/>
      <c r="BQ388" s="475"/>
      <c r="BR388" s="475"/>
    </row>
    <row r="389" ht="15.75" customHeight="1">
      <c r="A389" s="475"/>
      <c r="B389" s="475"/>
      <c r="C389" s="475"/>
      <c r="D389" s="475"/>
      <c r="E389" s="475"/>
      <c r="F389" s="99"/>
      <c r="G389" s="475"/>
      <c r="H389" s="475"/>
      <c r="I389" s="475"/>
      <c r="J389" s="475"/>
      <c r="K389" s="475"/>
      <c r="L389" s="475"/>
      <c r="M389" s="475"/>
      <c r="N389" s="475"/>
      <c r="O389" s="475"/>
      <c r="P389" s="475"/>
      <c r="Q389" s="475"/>
      <c r="R389" s="475"/>
      <c r="S389" s="475"/>
      <c r="T389" s="475"/>
      <c r="U389" s="475"/>
      <c r="V389" s="475"/>
      <c r="W389" s="475"/>
      <c r="X389" s="475"/>
      <c r="Y389" s="475"/>
      <c r="Z389" s="475"/>
      <c r="AA389" s="475"/>
      <c r="AB389" s="475"/>
      <c r="AC389" s="475"/>
      <c r="AD389" s="475"/>
      <c r="AE389" s="475"/>
      <c r="AF389" s="475"/>
      <c r="AG389" s="475"/>
      <c r="AH389" s="475"/>
      <c r="AI389" s="459"/>
      <c r="AJ389" s="475"/>
      <c r="AK389" s="475"/>
      <c r="AL389" s="475"/>
      <c r="AM389" s="475"/>
      <c r="AN389" s="475"/>
      <c r="AO389" s="475"/>
      <c r="AP389" s="475"/>
      <c r="AQ389" s="475"/>
      <c r="AR389" s="475"/>
      <c r="AS389" s="475"/>
      <c r="AT389" s="475"/>
      <c r="AU389" s="475"/>
      <c r="AV389" s="475"/>
      <c r="AW389" s="475"/>
      <c r="AX389" s="475"/>
      <c r="AY389" s="475"/>
      <c r="AZ389" s="459"/>
      <c r="BA389" s="459"/>
      <c r="BB389" s="459"/>
      <c r="BC389" s="459"/>
      <c r="BD389" s="459"/>
      <c r="BE389" s="459"/>
      <c r="BF389" s="459"/>
      <c r="BG389" s="459"/>
      <c r="BH389" s="459"/>
      <c r="BI389" s="459"/>
      <c r="BJ389" s="459"/>
      <c r="BK389" s="459"/>
      <c r="BL389" s="459"/>
      <c r="BM389" s="474"/>
      <c r="BN389" s="474"/>
      <c r="BO389" s="474"/>
      <c r="BP389" s="474"/>
      <c r="BQ389" s="475"/>
      <c r="BR389" s="475"/>
    </row>
    <row r="390" ht="15.75" customHeight="1">
      <c r="A390" s="475"/>
      <c r="B390" s="475"/>
      <c r="C390" s="475"/>
      <c r="D390" s="475"/>
      <c r="E390" s="475"/>
      <c r="F390" s="99"/>
      <c r="G390" s="475"/>
      <c r="H390" s="475"/>
      <c r="I390" s="475"/>
      <c r="J390" s="475"/>
      <c r="K390" s="475"/>
      <c r="L390" s="475"/>
      <c r="M390" s="475"/>
      <c r="N390" s="475"/>
      <c r="O390" s="475"/>
      <c r="P390" s="475"/>
      <c r="Q390" s="475"/>
      <c r="R390" s="475"/>
      <c r="S390" s="475"/>
      <c r="T390" s="475"/>
      <c r="U390" s="475"/>
      <c r="V390" s="475"/>
      <c r="W390" s="475"/>
      <c r="X390" s="475"/>
      <c r="Y390" s="475"/>
      <c r="Z390" s="475"/>
      <c r="AA390" s="475"/>
      <c r="AB390" s="475"/>
      <c r="AC390" s="475"/>
      <c r="AD390" s="475"/>
      <c r="AE390" s="475"/>
      <c r="AF390" s="475"/>
      <c r="AG390" s="475"/>
      <c r="AH390" s="475"/>
      <c r="AI390" s="459"/>
      <c r="AJ390" s="475"/>
      <c r="AK390" s="475"/>
      <c r="AL390" s="475"/>
      <c r="AM390" s="475"/>
      <c r="AN390" s="475"/>
      <c r="AO390" s="475"/>
      <c r="AP390" s="475"/>
      <c r="AQ390" s="475"/>
      <c r="AR390" s="475"/>
      <c r="AS390" s="475"/>
      <c r="AT390" s="475"/>
      <c r="AU390" s="475"/>
      <c r="AV390" s="475"/>
      <c r="AW390" s="475"/>
      <c r="AX390" s="475"/>
      <c r="AY390" s="475"/>
      <c r="AZ390" s="459"/>
      <c r="BA390" s="459"/>
      <c r="BB390" s="459"/>
      <c r="BC390" s="459"/>
      <c r="BD390" s="459"/>
      <c r="BE390" s="459"/>
      <c r="BF390" s="459"/>
      <c r="BG390" s="459"/>
      <c r="BH390" s="459"/>
      <c r="BI390" s="459"/>
      <c r="BJ390" s="459"/>
      <c r="BK390" s="459"/>
      <c r="BL390" s="459"/>
      <c r="BM390" s="474"/>
      <c r="BN390" s="474"/>
      <c r="BO390" s="474"/>
      <c r="BP390" s="474"/>
      <c r="BQ390" s="475"/>
      <c r="BR390" s="475"/>
    </row>
    <row r="391" ht="15.75" customHeight="1">
      <c r="A391" s="475"/>
      <c r="B391" s="475"/>
      <c r="C391" s="475"/>
      <c r="D391" s="475"/>
      <c r="E391" s="475"/>
      <c r="F391" s="99"/>
      <c r="G391" s="475"/>
      <c r="H391" s="475"/>
      <c r="I391" s="475"/>
      <c r="J391" s="475"/>
      <c r="K391" s="475"/>
      <c r="L391" s="475"/>
      <c r="M391" s="475"/>
      <c r="N391" s="475"/>
      <c r="O391" s="475"/>
      <c r="P391" s="475"/>
      <c r="Q391" s="475"/>
      <c r="R391" s="475"/>
      <c r="S391" s="475"/>
      <c r="T391" s="475"/>
      <c r="U391" s="475"/>
      <c r="V391" s="475"/>
      <c r="W391" s="475"/>
      <c r="X391" s="475"/>
      <c r="Y391" s="475"/>
      <c r="Z391" s="475"/>
      <c r="AA391" s="475"/>
      <c r="AB391" s="475"/>
      <c r="AC391" s="475"/>
      <c r="AD391" s="475"/>
      <c r="AE391" s="475"/>
      <c r="AF391" s="475"/>
      <c r="AG391" s="475"/>
      <c r="AH391" s="475"/>
      <c r="AI391" s="459"/>
      <c r="AJ391" s="475"/>
      <c r="AK391" s="475"/>
      <c r="AL391" s="475"/>
      <c r="AM391" s="475"/>
      <c r="AN391" s="475"/>
      <c r="AO391" s="475"/>
      <c r="AP391" s="475"/>
      <c r="AQ391" s="475"/>
      <c r="AR391" s="475"/>
      <c r="AS391" s="475"/>
      <c r="AT391" s="475"/>
      <c r="AU391" s="475"/>
      <c r="AV391" s="475"/>
      <c r="AW391" s="475"/>
      <c r="AX391" s="475"/>
      <c r="AY391" s="475"/>
      <c r="AZ391" s="459"/>
      <c r="BA391" s="459"/>
      <c r="BB391" s="459"/>
      <c r="BC391" s="459"/>
      <c r="BD391" s="459"/>
      <c r="BE391" s="459"/>
      <c r="BF391" s="459"/>
      <c r="BG391" s="459"/>
      <c r="BH391" s="459"/>
      <c r="BI391" s="459"/>
      <c r="BJ391" s="459"/>
      <c r="BK391" s="459"/>
      <c r="BL391" s="459"/>
      <c r="BM391" s="474"/>
      <c r="BN391" s="474"/>
      <c r="BO391" s="474"/>
      <c r="BP391" s="474"/>
      <c r="BQ391" s="475"/>
      <c r="BR391" s="475"/>
    </row>
    <row r="392" ht="15.75" customHeight="1">
      <c r="A392" s="475"/>
      <c r="B392" s="475"/>
      <c r="C392" s="475"/>
      <c r="D392" s="475"/>
      <c r="E392" s="475"/>
      <c r="F392" s="99"/>
      <c r="G392" s="475"/>
      <c r="H392" s="475"/>
      <c r="I392" s="475"/>
      <c r="J392" s="475"/>
      <c r="K392" s="475"/>
      <c r="L392" s="475"/>
      <c r="M392" s="475"/>
      <c r="N392" s="475"/>
      <c r="O392" s="475"/>
      <c r="P392" s="475"/>
      <c r="Q392" s="475"/>
      <c r="R392" s="475"/>
      <c r="S392" s="475"/>
      <c r="T392" s="475"/>
      <c r="U392" s="475"/>
      <c r="V392" s="475"/>
      <c r="W392" s="475"/>
      <c r="X392" s="475"/>
      <c r="Y392" s="475"/>
      <c r="Z392" s="475"/>
      <c r="AA392" s="475"/>
      <c r="AB392" s="475"/>
      <c r="AC392" s="475"/>
      <c r="AD392" s="475"/>
      <c r="AE392" s="475"/>
      <c r="AF392" s="475"/>
      <c r="AG392" s="475"/>
      <c r="AH392" s="475"/>
      <c r="AI392" s="459"/>
      <c r="AJ392" s="475"/>
      <c r="AK392" s="475"/>
      <c r="AL392" s="475"/>
      <c r="AM392" s="475"/>
      <c r="AN392" s="475"/>
      <c r="AO392" s="475"/>
      <c r="AP392" s="475"/>
      <c r="AQ392" s="475"/>
      <c r="AR392" s="475"/>
      <c r="AS392" s="475"/>
      <c r="AT392" s="475"/>
      <c r="AU392" s="475"/>
      <c r="AV392" s="475"/>
      <c r="AW392" s="475"/>
      <c r="AX392" s="475"/>
      <c r="AY392" s="475"/>
      <c r="AZ392" s="459"/>
      <c r="BA392" s="459"/>
      <c r="BB392" s="459"/>
      <c r="BC392" s="459"/>
      <c r="BD392" s="459"/>
      <c r="BE392" s="459"/>
      <c r="BF392" s="459"/>
      <c r="BG392" s="459"/>
      <c r="BH392" s="459"/>
      <c r="BI392" s="459"/>
      <c r="BJ392" s="459"/>
      <c r="BK392" s="459"/>
      <c r="BL392" s="459"/>
      <c r="BM392" s="474"/>
      <c r="BN392" s="474"/>
      <c r="BO392" s="474"/>
      <c r="BP392" s="474"/>
      <c r="BQ392" s="475"/>
      <c r="BR392" s="475"/>
    </row>
    <row r="393" ht="15.75" customHeight="1">
      <c r="A393" s="475"/>
      <c r="B393" s="475"/>
      <c r="C393" s="475"/>
      <c r="D393" s="475"/>
      <c r="E393" s="475"/>
      <c r="F393" s="99"/>
      <c r="G393" s="475"/>
      <c r="H393" s="475"/>
      <c r="I393" s="475"/>
      <c r="J393" s="475"/>
      <c r="K393" s="475"/>
      <c r="L393" s="475"/>
      <c r="M393" s="475"/>
      <c r="N393" s="475"/>
      <c r="O393" s="475"/>
      <c r="P393" s="475"/>
      <c r="Q393" s="475"/>
      <c r="R393" s="475"/>
      <c r="S393" s="475"/>
      <c r="T393" s="475"/>
      <c r="U393" s="475"/>
      <c r="V393" s="475"/>
      <c r="W393" s="475"/>
      <c r="X393" s="475"/>
      <c r="Y393" s="475"/>
      <c r="Z393" s="475"/>
      <c r="AA393" s="475"/>
      <c r="AB393" s="475"/>
      <c r="AC393" s="475"/>
      <c r="AD393" s="475"/>
      <c r="AE393" s="475"/>
      <c r="AF393" s="475"/>
      <c r="AG393" s="475"/>
      <c r="AH393" s="475"/>
      <c r="AI393" s="459"/>
      <c r="AJ393" s="475"/>
      <c r="AK393" s="475"/>
      <c r="AL393" s="475"/>
      <c r="AM393" s="475"/>
      <c r="AN393" s="475"/>
      <c r="AO393" s="475"/>
      <c r="AP393" s="475"/>
      <c r="AQ393" s="475"/>
      <c r="AR393" s="475"/>
      <c r="AS393" s="475"/>
      <c r="AT393" s="475"/>
      <c r="AU393" s="475"/>
      <c r="AV393" s="475"/>
      <c r="AW393" s="475"/>
      <c r="AX393" s="475"/>
      <c r="AY393" s="475"/>
      <c r="AZ393" s="459"/>
      <c r="BA393" s="459"/>
      <c r="BB393" s="459"/>
      <c r="BC393" s="459"/>
      <c r="BD393" s="459"/>
      <c r="BE393" s="459"/>
      <c r="BF393" s="459"/>
      <c r="BG393" s="459"/>
      <c r="BH393" s="459"/>
      <c r="BI393" s="459"/>
      <c r="BJ393" s="459"/>
      <c r="BK393" s="459"/>
      <c r="BL393" s="459"/>
      <c r="BM393" s="474"/>
      <c r="BN393" s="474"/>
      <c r="BO393" s="474"/>
      <c r="BP393" s="474"/>
      <c r="BQ393" s="475"/>
      <c r="BR393" s="475"/>
    </row>
    <row r="394" ht="15.75" customHeight="1">
      <c r="A394" s="475"/>
      <c r="B394" s="475"/>
      <c r="C394" s="475"/>
      <c r="D394" s="475"/>
      <c r="E394" s="475"/>
      <c r="F394" s="99"/>
      <c r="G394" s="475"/>
      <c r="H394" s="475"/>
      <c r="I394" s="475"/>
      <c r="J394" s="475"/>
      <c r="K394" s="475"/>
      <c r="L394" s="475"/>
      <c r="M394" s="475"/>
      <c r="N394" s="475"/>
      <c r="O394" s="475"/>
      <c r="P394" s="475"/>
      <c r="Q394" s="475"/>
      <c r="R394" s="475"/>
      <c r="S394" s="475"/>
      <c r="T394" s="475"/>
      <c r="U394" s="475"/>
      <c r="V394" s="475"/>
      <c r="W394" s="475"/>
      <c r="X394" s="475"/>
      <c r="Y394" s="475"/>
      <c r="Z394" s="475"/>
      <c r="AA394" s="475"/>
      <c r="AB394" s="475"/>
      <c r="AC394" s="475"/>
      <c r="AD394" s="475"/>
      <c r="AE394" s="475"/>
      <c r="AF394" s="475"/>
      <c r="AG394" s="475"/>
      <c r="AH394" s="475"/>
      <c r="AI394" s="459"/>
      <c r="AJ394" s="475"/>
      <c r="AK394" s="475"/>
      <c r="AL394" s="475"/>
      <c r="AM394" s="475"/>
      <c r="AN394" s="475"/>
      <c r="AO394" s="475"/>
      <c r="AP394" s="475"/>
      <c r="AQ394" s="475"/>
      <c r="AR394" s="475"/>
      <c r="AS394" s="475"/>
      <c r="AT394" s="475"/>
      <c r="AU394" s="475"/>
      <c r="AV394" s="475"/>
      <c r="AW394" s="475"/>
      <c r="AX394" s="475"/>
      <c r="AY394" s="475"/>
      <c r="AZ394" s="459"/>
      <c r="BA394" s="459"/>
      <c r="BB394" s="459"/>
      <c r="BC394" s="459"/>
      <c r="BD394" s="459"/>
      <c r="BE394" s="459"/>
      <c r="BF394" s="459"/>
      <c r="BG394" s="459"/>
      <c r="BH394" s="459"/>
      <c r="BI394" s="459"/>
      <c r="BJ394" s="459"/>
      <c r="BK394" s="459"/>
      <c r="BL394" s="459"/>
      <c r="BM394" s="474"/>
      <c r="BN394" s="474"/>
      <c r="BO394" s="474"/>
      <c r="BP394" s="474"/>
      <c r="BQ394" s="475"/>
      <c r="BR394" s="475"/>
    </row>
    <row r="395" ht="15.75" customHeight="1">
      <c r="A395" s="475"/>
      <c r="B395" s="475"/>
      <c r="C395" s="475"/>
      <c r="D395" s="475"/>
      <c r="E395" s="475"/>
      <c r="F395" s="99"/>
      <c r="G395" s="475"/>
      <c r="H395" s="475"/>
      <c r="I395" s="475"/>
      <c r="J395" s="475"/>
      <c r="K395" s="475"/>
      <c r="L395" s="475"/>
      <c r="M395" s="475"/>
      <c r="N395" s="475"/>
      <c r="O395" s="475"/>
      <c r="P395" s="475"/>
      <c r="Q395" s="475"/>
      <c r="R395" s="475"/>
      <c r="S395" s="475"/>
      <c r="T395" s="475"/>
      <c r="U395" s="475"/>
      <c r="V395" s="475"/>
      <c r="W395" s="475"/>
      <c r="X395" s="475"/>
      <c r="Y395" s="475"/>
      <c r="Z395" s="475"/>
      <c r="AA395" s="475"/>
      <c r="AB395" s="475"/>
      <c r="AC395" s="475"/>
      <c r="AD395" s="475"/>
      <c r="AE395" s="475"/>
      <c r="AF395" s="475"/>
      <c r="AG395" s="475"/>
      <c r="AH395" s="475"/>
      <c r="AI395" s="459"/>
      <c r="AJ395" s="475"/>
      <c r="AK395" s="475"/>
      <c r="AL395" s="475"/>
      <c r="AM395" s="475"/>
      <c r="AN395" s="475"/>
      <c r="AO395" s="475"/>
      <c r="AP395" s="475"/>
      <c r="AQ395" s="475"/>
      <c r="AR395" s="475"/>
      <c r="AS395" s="475"/>
      <c r="AT395" s="475"/>
      <c r="AU395" s="475"/>
      <c r="AV395" s="475"/>
      <c r="AW395" s="475"/>
      <c r="AX395" s="475"/>
      <c r="AY395" s="475"/>
      <c r="AZ395" s="459"/>
      <c r="BA395" s="459"/>
      <c r="BB395" s="459"/>
      <c r="BC395" s="459"/>
      <c r="BD395" s="459"/>
      <c r="BE395" s="459"/>
      <c r="BF395" s="459"/>
      <c r="BG395" s="459"/>
      <c r="BH395" s="459"/>
      <c r="BI395" s="459"/>
      <c r="BJ395" s="459"/>
      <c r="BK395" s="459"/>
      <c r="BL395" s="459"/>
      <c r="BM395" s="474"/>
      <c r="BN395" s="474"/>
      <c r="BO395" s="474"/>
      <c r="BP395" s="474"/>
      <c r="BQ395" s="475"/>
      <c r="BR395" s="475"/>
    </row>
    <row r="396" ht="15.75" customHeight="1">
      <c r="A396" s="475"/>
      <c r="B396" s="475"/>
      <c r="C396" s="475"/>
      <c r="D396" s="475"/>
      <c r="E396" s="475"/>
      <c r="F396" s="99"/>
      <c r="G396" s="475"/>
      <c r="H396" s="475"/>
      <c r="I396" s="475"/>
      <c r="J396" s="475"/>
      <c r="K396" s="475"/>
      <c r="L396" s="475"/>
      <c r="M396" s="475"/>
      <c r="N396" s="475"/>
      <c r="O396" s="475"/>
      <c r="P396" s="475"/>
      <c r="Q396" s="475"/>
      <c r="R396" s="475"/>
      <c r="S396" s="475"/>
      <c r="T396" s="475"/>
      <c r="U396" s="475"/>
      <c r="V396" s="475"/>
      <c r="W396" s="475"/>
      <c r="X396" s="475"/>
      <c r="Y396" s="475"/>
      <c r="Z396" s="475"/>
      <c r="AA396" s="475"/>
      <c r="AB396" s="475"/>
      <c r="AC396" s="475"/>
      <c r="AD396" s="475"/>
      <c r="AE396" s="475"/>
      <c r="AF396" s="475"/>
      <c r="AG396" s="475"/>
      <c r="AH396" s="475"/>
      <c r="AI396" s="459"/>
      <c r="AJ396" s="475"/>
      <c r="AK396" s="475"/>
      <c r="AL396" s="475"/>
      <c r="AM396" s="475"/>
      <c r="AN396" s="475"/>
      <c r="AO396" s="475"/>
      <c r="AP396" s="475"/>
      <c r="AQ396" s="475"/>
      <c r="AR396" s="475"/>
      <c r="AS396" s="475"/>
      <c r="AT396" s="475"/>
      <c r="AU396" s="475"/>
      <c r="AV396" s="475"/>
      <c r="AW396" s="475"/>
      <c r="AX396" s="475"/>
      <c r="AY396" s="475"/>
      <c r="AZ396" s="459"/>
      <c r="BA396" s="459"/>
      <c r="BB396" s="459"/>
      <c r="BC396" s="459"/>
      <c r="BD396" s="459"/>
      <c r="BE396" s="459"/>
      <c r="BF396" s="459"/>
      <c r="BG396" s="459"/>
      <c r="BH396" s="459"/>
      <c r="BI396" s="459"/>
      <c r="BJ396" s="459"/>
      <c r="BK396" s="459"/>
      <c r="BL396" s="459"/>
      <c r="BM396" s="474"/>
      <c r="BN396" s="474"/>
      <c r="BO396" s="474"/>
      <c r="BP396" s="474"/>
      <c r="BQ396" s="475"/>
      <c r="BR396" s="475"/>
    </row>
    <row r="397" ht="15.75" customHeight="1">
      <c r="A397" s="475"/>
      <c r="B397" s="475"/>
      <c r="C397" s="475"/>
      <c r="D397" s="475"/>
      <c r="E397" s="475"/>
      <c r="F397" s="99"/>
      <c r="G397" s="475"/>
      <c r="H397" s="475"/>
      <c r="I397" s="475"/>
      <c r="J397" s="475"/>
      <c r="K397" s="475"/>
      <c r="L397" s="475"/>
      <c r="M397" s="475"/>
      <c r="N397" s="475"/>
      <c r="O397" s="475"/>
      <c r="P397" s="475"/>
      <c r="Q397" s="475"/>
      <c r="R397" s="475"/>
      <c r="S397" s="475"/>
      <c r="T397" s="475"/>
      <c r="U397" s="475"/>
      <c r="V397" s="475"/>
      <c r="W397" s="475"/>
      <c r="X397" s="475"/>
      <c r="Y397" s="475"/>
      <c r="Z397" s="475"/>
      <c r="AA397" s="475"/>
      <c r="AB397" s="475"/>
      <c r="AC397" s="475"/>
      <c r="AD397" s="475"/>
      <c r="AE397" s="475"/>
      <c r="AF397" s="475"/>
      <c r="AG397" s="475"/>
      <c r="AH397" s="475"/>
      <c r="AI397" s="459"/>
      <c r="AJ397" s="475"/>
      <c r="AK397" s="475"/>
      <c r="AL397" s="475"/>
      <c r="AM397" s="475"/>
      <c r="AN397" s="475"/>
      <c r="AO397" s="475"/>
      <c r="AP397" s="475"/>
      <c r="AQ397" s="475"/>
      <c r="AR397" s="475"/>
      <c r="AS397" s="475"/>
      <c r="AT397" s="475"/>
      <c r="AU397" s="475"/>
      <c r="AV397" s="475"/>
      <c r="AW397" s="475"/>
      <c r="AX397" s="475"/>
      <c r="AY397" s="475"/>
      <c r="AZ397" s="459"/>
      <c r="BA397" s="459"/>
      <c r="BB397" s="459"/>
      <c r="BC397" s="459"/>
      <c r="BD397" s="459"/>
      <c r="BE397" s="459"/>
      <c r="BF397" s="459"/>
      <c r="BG397" s="459"/>
      <c r="BH397" s="459"/>
      <c r="BI397" s="459"/>
      <c r="BJ397" s="459"/>
      <c r="BK397" s="459"/>
      <c r="BL397" s="459"/>
      <c r="BM397" s="474"/>
      <c r="BN397" s="474"/>
      <c r="BO397" s="474"/>
      <c r="BP397" s="474"/>
      <c r="BQ397" s="475"/>
      <c r="BR397" s="475"/>
    </row>
    <row r="398" ht="15.75" customHeight="1">
      <c r="A398" s="475"/>
      <c r="B398" s="475"/>
      <c r="C398" s="475"/>
      <c r="D398" s="475"/>
      <c r="E398" s="475"/>
      <c r="F398" s="99"/>
      <c r="G398" s="475"/>
      <c r="H398" s="475"/>
      <c r="I398" s="475"/>
      <c r="J398" s="475"/>
      <c r="K398" s="475"/>
      <c r="L398" s="475"/>
      <c r="M398" s="475"/>
      <c r="N398" s="475"/>
      <c r="O398" s="475"/>
      <c r="P398" s="475"/>
      <c r="Q398" s="475"/>
      <c r="R398" s="475"/>
      <c r="S398" s="475"/>
      <c r="T398" s="475"/>
      <c r="U398" s="475"/>
      <c r="V398" s="475"/>
      <c r="W398" s="475"/>
      <c r="X398" s="475"/>
      <c r="Y398" s="475"/>
      <c r="Z398" s="475"/>
      <c r="AA398" s="475"/>
      <c r="AB398" s="475"/>
      <c r="AC398" s="475"/>
      <c r="AD398" s="475"/>
      <c r="AE398" s="475"/>
      <c r="AF398" s="475"/>
      <c r="AG398" s="475"/>
      <c r="AH398" s="475"/>
      <c r="AI398" s="459"/>
      <c r="AJ398" s="475"/>
      <c r="AK398" s="475"/>
      <c r="AL398" s="475"/>
      <c r="AM398" s="475"/>
      <c r="AN398" s="475"/>
      <c r="AO398" s="475"/>
      <c r="AP398" s="475"/>
      <c r="AQ398" s="475"/>
      <c r="AR398" s="475"/>
      <c r="AS398" s="475"/>
      <c r="AT398" s="475"/>
      <c r="AU398" s="475"/>
      <c r="AV398" s="475"/>
      <c r="AW398" s="475"/>
      <c r="AX398" s="475"/>
      <c r="AY398" s="475"/>
      <c r="AZ398" s="459"/>
      <c r="BA398" s="459"/>
      <c r="BB398" s="459"/>
      <c r="BC398" s="459"/>
      <c r="BD398" s="459"/>
      <c r="BE398" s="459"/>
      <c r="BF398" s="459"/>
      <c r="BG398" s="459"/>
      <c r="BH398" s="459"/>
      <c r="BI398" s="459"/>
      <c r="BJ398" s="459"/>
      <c r="BK398" s="459"/>
      <c r="BL398" s="459"/>
      <c r="BM398" s="474"/>
      <c r="BN398" s="474"/>
      <c r="BO398" s="474"/>
      <c r="BP398" s="474"/>
      <c r="BQ398" s="475"/>
      <c r="BR398" s="475"/>
    </row>
    <row r="399" ht="15.75" customHeight="1">
      <c r="A399" s="475"/>
      <c r="B399" s="475"/>
      <c r="C399" s="475"/>
      <c r="D399" s="475"/>
      <c r="E399" s="475"/>
      <c r="F399" s="99"/>
      <c r="G399" s="475"/>
      <c r="H399" s="475"/>
      <c r="I399" s="475"/>
      <c r="J399" s="475"/>
      <c r="K399" s="475"/>
      <c r="L399" s="475"/>
      <c r="M399" s="475"/>
      <c r="N399" s="475"/>
      <c r="O399" s="475"/>
      <c r="P399" s="475"/>
      <c r="Q399" s="475"/>
      <c r="R399" s="475"/>
      <c r="S399" s="475"/>
      <c r="T399" s="475"/>
      <c r="U399" s="475"/>
      <c r="V399" s="475"/>
      <c r="W399" s="475"/>
      <c r="X399" s="475"/>
      <c r="Y399" s="475"/>
      <c r="Z399" s="475"/>
      <c r="AA399" s="475"/>
      <c r="AB399" s="475"/>
      <c r="AC399" s="475"/>
      <c r="AD399" s="475"/>
      <c r="AE399" s="475"/>
      <c r="AF399" s="475"/>
      <c r="AG399" s="475"/>
      <c r="AH399" s="475"/>
      <c r="AI399" s="459"/>
      <c r="AJ399" s="475"/>
      <c r="AK399" s="475"/>
      <c r="AL399" s="475"/>
      <c r="AM399" s="475"/>
      <c r="AN399" s="475"/>
      <c r="AO399" s="475"/>
      <c r="AP399" s="475"/>
      <c r="AQ399" s="475"/>
      <c r="AR399" s="475"/>
      <c r="AS399" s="475"/>
      <c r="AT399" s="475"/>
      <c r="AU399" s="475"/>
      <c r="AV399" s="475"/>
      <c r="AW399" s="475"/>
      <c r="AX399" s="475"/>
      <c r="AY399" s="475"/>
      <c r="AZ399" s="459"/>
      <c r="BA399" s="459"/>
      <c r="BB399" s="459"/>
      <c r="BC399" s="459"/>
      <c r="BD399" s="459"/>
      <c r="BE399" s="459"/>
      <c r="BF399" s="459"/>
      <c r="BG399" s="459"/>
      <c r="BH399" s="459"/>
      <c r="BI399" s="459"/>
      <c r="BJ399" s="459"/>
      <c r="BK399" s="459"/>
      <c r="BL399" s="459"/>
      <c r="BM399" s="474"/>
      <c r="BN399" s="474"/>
      <c r="BO399" s="474"/>
      <c r="BP399" s="474"/>
      <c r="BQ399" s="475"/>
      <c r="BR399" s="475"/>
    </row>
    <row r="400" ht="15.75" customHeight="1">
      <c r="A400" s="475"/>
      <c r="B400" s="475"/>
      <c r="C400" s="475"/>
      <c r="D400" s="475"/>
      <c r="E400" s="475"/>
      <c r="F400" s="99"/>
      <c r="G400" s="475"/>
      <c r="H400" s="475"/>
      <c r="I400" s="475"/>
      <c r="J400" s="475"/>
      <c r="K400" s="475"/>
      <c r="L400" s="475"/>
      <c r="M400" s="475"/>
      <c r="N400" s="475"/>
      <c r="O400" s="475"/>
      <c r="P400" s="475"/>
      <c r="Q400" s="475"/>
      <c r="R400" s="475"/>
      <c r="S400" s="475"/>
      <c r="T400" s="475"/>
      <c r="U400" s="475"/>
      <c r="V400" s="475"/>
      <c r="W400" s="475"/>
      <c r="X400" s="475"/>
      <c r="Y400" s="475"/>
      <c r="Z400" s="475"/>
      <c r="AA400" s="475"/>
      <c r="AB400" s="475"/>
      <c r="AC400" s="475"/>
      <c r="AD400" s="475"/>
      <c r="AE400" s="475"/>
      <c r="AF400" s="475"/>
      <c r="AG400" s="475"/>
      <c r="AH400" s="475"/>
      <c r="AI400" s="459"/>
      <c r="AJ400" s="475"/>
      <c r="AK400" s="475"/>
      <c r="AL400" s="475"/>
      <c r="AM400" s="475"/>
      <c r="AN400" s="475"/>
      <c r="AO400" s="475"/>
      <c r="AP400" s="475"/>
      <c r="AQ400" s="475"/>
      <c r="AR400" s="475"/>
      <c r="AS400" s="475"/>
      <c r="AT400" s="475"/>
      <c r="AU400" s="475"/>
      <c r="AV400" s="475"/>
      <c r="AW400" s="475"/>
      <c r="AX400" s="475"/>
      <c r="AY400" s="475"/>
      <c r="AZ400" s="459"/>
      <c r="BA400" s="459"/>
      <c r="BB400" s="459"/>
      <c r="BC400" s="459"/>
      <c r="BD400" s="459"/>
      <c r="BE400" s="459"/>
      <c r="BF400" s="459"/>
      <c r="BG400" s="459"/>
      <c r="BH400" s="459"/>
      <c r="BI400" s="459"/>
      <c r="BJ400" s="459"/>
      <c r="BK400" s="459"/>
      <c r="BL400" s="459"/>
      <c r="BM400" s="474"/>
      <c r="BN400" s="474"/>
      <c r="BO400" s="474"/>
      <c r="BP400" s="474"/>
      <c r="BQ400" s="475"/>
      <c r="BR400" s="475"/>
    </row>
    <row r="401" ht="15.75" customHeight="1">
      <c r="A401" s="475"/>
      <c r="B401" s="475"/>
      <c r="C401" s="475"/>
      <c r="D401" s="475"/>
      <c r="E401" s="475"/>
      <c r="F401" s="99"/>
      <c r="G401" s="475"/>
      <c r="H401" s="475"/>
      <c r="I401" s="475"/>
      <c r="J401" s="475"/>
      <c r="K401" s="475"/>
      <c r="L401" s="475"/>
      <c r="M401" s="475"/>
      <c r="N401" s="475"/>
      <c r="O401" s="475"/>
      <c r="P401" s="475"/>
      <c r="Q401" s="475"/>
      <c r="R401" s="475"/>
      <c r="S401" s="475"/>
      <c r="T401" s="475"/>
      <c r="U401" s="475"/>
      <c r="V401" s="475"/>
      <c r="W401" s="475"/>
      <c r="X401" s="475"/>
      <c r="Y401" s="475"/>
      <c r="Z401" s="475"/>
      <c r="AA401" s="475"/>
      <c r="AB401" s="475"/>
      <c r="AC401" s="475"/>
      <c r="AD401" s="475"/>
      <c r="AE401" s="475"/>
      <c r="AF401" s="475"/>
      <c r="AG401" s="475"/>
      <c r="AH401" s="475"/>
      <c r="AI401" s="459"/>
      <c r="AJ401" s="475"/>
      <c r="AK401" s="475"/>
      <c r="AL401" s="475"/>
      <c r="AM401" s="475"/>
      <c r="AN401" s="475"/>
      <c r="AO401" s="475"/>
      <c r="AP401" s="475"/>
      <c r="AQ401" s="475"/>
      <c r="AR401" s="475"/>
      <c r="AS401" s="475"/>
      <c r="AT401" s="475"/>
      <c r="AU401" s="475"/>
      <c r="AV401" s="475"/>
      <c r="AW401" s="475"/>
      <c r="AX401" s="475"/>
      <c r="AY401" s="475"/>
      <c r="AZ401" s="459"/>
      <c r="BA401" s="459"/>
      <c r="BB401" s="459"/>
      <c r="BC401" s="459"/>
      <c r="BD401" s="459"/>
      <c r="BE401" s="459"/>
      <c r="BF401" s="459"/>
      <c r="BG401" s="459"/>
      <c r="BH401" s="459"/>
      <c r="BI401" s="459"/>
      <c r="BJ401" s="459"/>
      <c r="BK401" s="459"/>
      <c r="BL401" s="459"/>
      <c r="BM401" s="474"/>
      <c r="BN401" s="474"/>
      <c r="BO401" s="474"/>
      <c r="BP401" s="474"/>
      <c r="BQ401" s="475"/>
      <c r="BR401" s="475"/>
    </row>
    <row r="402" ht="15.75" customHeight="1">
      <c r="A402" s="475"/>
      <c r="B402" s="475"/>
      <c r="C402" s="475"/>
      <c r="D402" s="475"/>
      <c r="E402" s="475"/>
      <c r="F402" s="99"/>
      <c r="G402" s="475"/>
      <c r="H402" s="475"/>
      <c r="I402" s="475"/>
      <c r="J402" s="475"/>
      <c r="K402" s="475"/>
      <c r="L402" s="475"/>
      <c r="M402" s="475"/>
      <c r="N402" s="475"/>
      <c r="O402" s="475"/>
      <c r="P402" s="475"/>
      <c r="Q402" s="475"/>
      <c r="R402" s="475"/>
      <c r="S402" s="475"/>
      <c r="T402" s="475"/>
      <c r="U402" s="475"/>
      <c r="V402" s="475"/>
      <c r="W402" s="475"/>
      <c r="X402" s="475"/>
      <c r="Y402" s="475"/>
      <c r="Z402" s="475"/>
      <c r="AA402" s="475"/>
      <c r="AB402" s="475"/>
      <c r="AC402" s="475"/>
      <c r="AD402" s="475"/>
      <c r="AE402" s="475"/>
      <c r="AF402" s="475"/>
      <c r="AG402" s="475"/>
      <c r="AH402" s="475"/>
      <c r="AI402" s="459"/>
      <c r="AJ402" s="475"/>
      <c r="AK402" s="475"/>
      <c r="AL402" s="475"/>
      <c r="AM402" s="475"/>
      <c r="AN402" s="475"/>
      <c r="AO402" s="475"/>
      <c r="AP402" s="475"/>
      <c r="AQ402" s="475"/>
      <c r="AR402" s="475"/>
      <c r="AS402" s="475"/>
      <c r="AT402" s="475"/>
      <c r="AU402" s="475"/>
      <c r="AV402" s="475"/>
      <c r="AW402" s="475"/>
      <c r="AX402" s="475"/>
      <c r="AY402" s="475"/>
      <c r="AZ402" s="459"/>
      <c r="BA402" s="459"/>
      <c r="BB402" s="459"/>
      <c r="BC402" s="459"/>
      <c r="BD402" s="459"/>
      <c r="BE402" s="459"/>
      <c r="BF402" s="459"/>
      <c r="BG402" s="459"/>
      <c r="BH402" s="459"/>
      <c r="BI402" s="459"/>
      <c r="BJ402" s="459"/>
      <c r="BK402" s="459"/>
      <c r="BL402" s="459"/>
      <c r="BM402" s="474"/>
      <c r="BN402" s="474"/>
      <c r="BO402" s="474"/>
      <c r="BP402" s="474"/>
      <c r="BQ402" s="475"/>
      <c r="BR402" s="475"/>
    </row>
    <row r="403" ht="15.75" customHeight="1">
      <c r="A403" s="475"/>
      <c r="B403" s="475"/>
      <c r="C403" s="475"/>
      <c r="D403" s="475"/>
      <c r="E403" s="475"/>
      <c r="F403" s="99"/>
      <c r="G403" s="475"/>
      <c r="H403" s="475"/>
      <c r="I403" s="475"/>
      <c r="J403" s="475"/>
      <c r="K403" s="475"/>
      <c r="L403" s="475"/>
      <c r="M403" s="475"/>
      <c r="N403" s="475"/>
      <c r="O403" s="475"/>
      <c r="P403" s="475"/>
      <c r="Q403" s="475"/>
      <c r="R403" s="475"/>
      <c r="S403" s="475"/>
      <c r="T403" s="475"/>
      <c r="U403" s="475"/>
      <c r="V403" s="475"/>
      <c r="W403" s="475"/>
      <c r="X403" s="475"/>
      <c r="Y403" s="475"/>
      <c r="Z403" s="475"/>
      <c r="AA403" s="475"/>
      <c r="AB403" s="475"/>
      <c r="AC403" s="475"/>
      <c r="AD403" s="475"/>
      <c r="AE403" s="475"/>
      <c r="AF403" s="475"/>
      <c r="AG403" s="475"/>
      <c r="AH403" s="475"/>
      <c r="AI403" s="459"/>
      <c r="AJ403" s="475"/>
      <c r="AK403" s="475"/>
      <c r="AL403" s="475"/>
      <c r="AM403" s="475"/>
      <c r="AN403" s="475"/>
      <c r="AO403" s="475"/>
      <c r="AP403" s="475"/>
      <c r="AQ403" s="475"/>
      <c r="AR403" s="475"/>
      <c r="AS403" s="475"/>
      <c r="AT403" s="475"/>
      <c r="AU403" s="475"/>
      <c r="AV403" s="475"/>
      <c r="AW403" s="475"/>
      <c r="AX403" s="475"/>
      <c r="AY403" s="475"/>
      <c r="AZ403" s="459"/>
      <c r="BA403" s="459"/>
      <c r="BB403" s="459"/>
      <c r="BC403" s="459"/>
      <c r="BD403" s="459"/>
      <c r="BE403" s="459"/>
      <c r="BF403" s="459"/>
      <c r="BG403" s="459"/>
      <c r="BH403" s="459"/>
      <c r="BI403" s="459"/>
      <c r="BJ403" s="459"/>
      <c r="BK403" s="459"/>
      <c r="BL403" s="459"/>
      <c r="BM403" s="474"/>
      <c r="BN403" s="474"/>
      <c r="BO403" s="474"/>
      <c r="BP403" s="474"/>
      <c r="BQ403" s="475"/>
      <c r="BR403" s="475"/>
    </row>
    <row r="404" ht="15.75" customHeight="1">
      <c r="A404" s="475"/>
      <c r="B404" s="475"/>
      <c r="C404" s="475"/>
      <c r="D404" s="475"/>
      <c r="E404" s="475"/>
      <c r="F404" s="99"/>
      <c r="G404" s="475"/>
      <c r="H404" s="475"/>
      <c r="I404" s="475"/>
      <c r="J404" s="475"/>
      <c r="K404" s="475"/>
      <c r="L404" s="475"/>
      <c r="M404" s="475"/>
      <c r="N404" s="475"/>
      <c r="O404" s="475"/>
      <c r="P404" s="475"/>
      <c r="Q404" s="475"/>
      <c r="R404" s="475"/>
      <c r="S404" s="475"/>
      <c r="T404" s="475"/>
      <c r="U404" s="475"/>
      <c r="V404" s="475"/>
      <c r="W404" s="475"/>
      <c r="X404" s="475"/>
      <c r="Y404" s="475"/>
      <c r="Z404" s="475"/>
      <c r="AA404" s="475"/>
      <c r="AB404" s="475"/>
      <c r="AC404" s="475"/>
      <c r="AD404" s="475"/>
      <c r="AE404" s="475"/>
      <c r="AF404" s="475"/>
      <c r="AG404" s="475"/>
      <c r="AH404" s="475"/>
      <c r="AI404" s="459"/>
      <c r="AJ404" s="475"/>
      <c r="AK404" s="475"/>
      <c r="AL404" s="475"/>
      <c r="AM404" s="475"/>
      <c r="AN404" s="475"/>
      <c r="AO404" s="475"/>
      <c r="AP404" s="475"/>
      <c r="AQ404" s="475"/>
      <c r="AR404" s="475"/>
      <c r="AS404" s="475"/>
      <c r="AT404" s="475"/>
      <c r="AU404" s="475"/>
      <c r="AV404" s="475"/>
      <c r="AW404" s="475"/>
      <c r="AX404" s="475"/>
      <c r="AY404" s="475"/>
      <c r="AZ404" s="459"/>
      <c r="BA404" s="459"/>
      <c r="BB404" s="459"/>
      <c r="BC404" s="459"/>
      <c r="BD404" s="459"/>
      <c r="BE404" s="459"/>
      <c r="BF404" s="459"/>
      <c r="BG404" s="459"/>
      <c r="BH404" s="459"/>
      <c r="BI404" s="459"/>
      <c r="BJ404" s="459"/>
      <c r="BK404" s="459"/>
      <c r="BL404" s="459"/>
      <c r="BM404" s="474"/>
      <c r="BN404" s="474"/>
      <c r="BO404" s="474"/>
      <c r="BP404" s="474"/>
      <c r="BQ404" s="475"/>
      <c r="BR404" s="475"/>
    </row>
    <row r="405" ht="15.75" customHeight="1">
      <c r="A405" s="475"/>
      <c r="B405" s="475"/>
      <c r="C405" s="475"/>
      <c r="D405" s="475"/>
      <c r="E405" s="475"/>
      <c r="F405" s="99"/>
      <c r="G405" s="475"/>
      <c r="H405" s="475"/>
      <c r="I405" s="475"/>
      <c r="J405" s="475"/>
      <c r="K405" s="475"/>
      <c r="L405" s="475"/>
      <c r="M405" s="475"/>
      <c r="N405" s="475"/>
      <c r="O405" s="475"/>
      <c r="P405" s="475"/>
      <c r="Q405" s="475"/>
      <c r="R405" s="475"/>
      <c r="S405" s="475"/>
      <c r="T405" s="475"/>
      <c r="U405" s="475"/>
      <c r="V405" s="475"/>
      <c r="W405" s="475"/>
      <c r="X405" s="475"/>
      <c r="Y405" s="475"/>
      <c r="Z405" s="475"/>
      <c r="AA405" s="475"/>
      <c r="AB405" s="475"/>
      <c r="AC405" s="475"/>
      <c r="AD405" s="475"/>
      <c r="AE405" s="475"/>
      <c r="AF405" s="475"/>
      <c r="AG405" s="475"/>
      <c r="AH405" s="475"/>
      <c r="AI405" s="459"/>
      <c r="AJ405" s="475"/>
      <c r="AK405" s="475"/>
      <c r="AL405" s="475"/>
      <c r="AM405" s="475"/>
      <c r="AN405" s="475"/>
      <c r="AO405" s="475"/>
      <c r="AP405" s="475"/>
      <c r="AQ405" s="475"/>
      <c r="AR405" s="475"/>
      <c r="AS405" s="475"/>
      <c r="AT405" s="475"/>
      <c r="AU405" s="475"/>
      <c r="AV405" s="475"/>
      <c r="AW405" s="475"/>
      <c r="AX405" s="475"/>
      <c r="AY405" s="475"/>
      <c r="AZ405" s="459"/>
      <c r="BA405" s="459"/>
      <c r="BB405" s="459"/>
      <c r="BC405" s="459"/>
      <c r="BD405" s="459"/>
      <c r="BE405" s="459"/>
      <c r="BF405" s="459"/>
      <c r="BG405" s="459"/>
      <c r="BH405" s="459"/>
      <c r="BI405" s="459"/>
      <c r="BJ405" s="459"/>
      <c r="BK405" s="459"/>
      <c r="BL405" s="459"/>
      <c r="BM405" s="474"/>
      <c r="BN405" s="474"/>
      <c r="BO405" s="474"/>
      <c r="BP405" s="474"/>
      <c r="BQ405" s="475"/>
      <c r="BR405" s="475"/>
    </row>
    <row r="406" ht="15.75" customHeight="1">
      <c r="A406" s="475"/>
      <c r="B406" s="475"/>
      <c r="C406" s="475"/>
      <c r="D406" s="475"/>
      <c r="E406" s="475"/>
      <c r="F406" s="99"/>
      <c r="G406" s="475"/>
      <c r="H406" s="475"/>
      <c r="I406" s="475"/>
      <c r="J406" s="475"/>
      <c r="K406" s="475"/>
      <c r="L406" s="475"/>
      <c r="M406" s="475"/>
      <c r="N406" s="475"/>
      <c r="O406" s="475"/>
      <c r="P406" s="475"/>
      <c r="Q406" s="475"/>
      <c r="R406" s="475"/>
      <c r="S406" s="475"/>
      <c r="T406" s="475"/>
      <c r="U406" s="475"/>
      <c r="V406" s="475"/>
      <c r="W406" s="475"/>
      <c r="X406" s="475"/>
      <c r="Y406" s="475"/>
      <c r="Z406" s="475"/>
      <c r="AA406" s="475"/>
      <c r="AB406" s="475"/>
      <c r="AC406" s="475"/>
      <c r="AD406" s="475"/>
      <c r="AE406" s="475"/>
      <c r="AF406" s="475"/>
      <c r="AG406" s="475"/>
      <c r="AH406" s="475"/>
      <c r="AI406" s="459"/>
      <c r="AJ406" s="475"/>
      <c r="AK406" s="475"/>
      <c r="AL406" s="475"/>
      <c r="AM406" s="475"/>
      <c r="AN406" s="475"/>
      <c r="AO406" s="475"/>
      <c r="AP406" s="475"/>
      <c r="AQ406" s="475"/>
      <c r="AR406" s="475"/>
      <c r="AS406" s="475"/>
      <c r="AT406" s="475"/>
      <c r="AU406" s="475"/>
      <c r="AV406" s="475"/>
      <c r="AW406" s="475"/>
      <c r="AX406" s="475"/>
      <c r="AY406" s="475"/>
      <c r="AZ406" s="459"/>
      <c r="BA406" s="459"/>
      <c r="BB406" s="459"/>
      <c r="BC406" s="459"/>
      <c r="BD406" s="459"/>
      <c r="BE406" s="459"/>
      <c r="BF406" s="459"/>
      <c r="BG406" s="459"/>
      <c r="BH406" s="459"/>
      <c r="BI406" s="459"/>
      <c r="BJ406" s="459"/>
      <c r="BK406" s="459"/>
      <c r="BL406" s="459"/>
      <c r="BM406" s="474"/>
      <c r="BN406" s="474"/>
      <c r="BO406" s="474"/>
      <c r="BP406" s="474"/>
      <c r="BQ406" s="475"/>
      <c r="BR406" s="475"/>
    </row>
    <row r="407" ht="15.75" customHeight="1">
      <c r="A407" s="475"/>
      <c r="B407" s="475"/>
      <c r="C407" s="475"/>
      <c r="D407" s="475"/>
      <c r="E407" s="475"/>
      <c r="F407" s="99"/>
      <c r="G407" s="475"/>
      <c r="H407" s="475"/>
      <c r="I407" s="475"/>
      <c r="J407" s="475"/>
      <c r="K407" s="475"/>
      <c r="L407" s="475"/>
      <c r="M407" s="475"/>
      <c r="N407" s="475"/>
      <c r="O407" s="475"/>
      <c r="P407" s="475"/>
      <c r="Q407" s="475"/>
      <c r="R407" s="475"/>
      <c r="S407" s="475"/>
      <c r="T407" s="475"/>
      <c r="U407" s="475"/>
      <c r="V407" s="475"/>
      <c r="W407" s="475"/>
      <c r="X407" s="475"/>
      <c r="Y407" s="475"/>
      <c r="Z407" s="475"/>
      <c r="AA407" s="475"/>
      <c r="AB407" s="475"/>
      <c r="AC407" s="475"/>
      <c r="AD407" s="475"/>
      <c r="AE407" s="475"/>
      <c r="AF407" s="475"/>
      <c r="AG407" s="475"/>
      <c r="AH407" s="475"/>
      <c r="AI407" s="459"/>
      <c r="AJ407" s="475"/>
      <c r="AK407" s="475"/>
      <c r="AL407" s="475"/>
      <c r="AM407" s="475"/>
      <c r="AN407" s="475"/>
      <c r="AO407" s="475"/>
      <c r="AP407" s="475"/>
      <c r="AQ407" s="475"/>
      <c r="AR407" s="475"/>
      <c r="AS407" s="475"/>
      <c r="AT407" s="475"/>
      <c r="AU407" s="475"/>
      <c r="AV407" s="475"/>
      <c r="AW407" s="475"/>
      <c r="AX407" s="475"/>
      <c r="AY407" s="475"/>
      <c r="AZ407" s="459"/>
      <c r="BA407" s="459"/>
      <c r="BB407" s="459"/>
      <c r="BC407" s="459"/>
      <c r="BD407" s="459"/>
      <c r="BE407" s="459"/>
      <c r="BF407" s="459"/>
      <c r="BG407" s="459"/>
      <c r="BH407" s="459"/>
      <c r="BI407" s="459"/>
      <c r="BJ407" s="459"/>
      <c r="BK407" s="459"/>
      <c r="BL407" s="459"/>
      <c r="BM407" s="474"/>
      <c r="BN407" s="474"/>
      <c r="BO407" s="474"/>
      <c r="BP407" s="474"/>
      <c r="BQ407" s="475"/>
      <c r="BR407" s="475"/>
    </row>
    <row r="408" ht="15.75" customHeight="1">
      <c r="A408" s="475"/>
      <c r="B408" s="475"/>
      <c r="C408" s="475"/>
      <c r="D408" s="475"/>
      <c r="E408" s="475"/>
      <c r="F408" s="99"/>
      <c r="G408" s="475"/>
      <c r="H408" s="475"/>
      <c r="I408" s="475"/>
      <c r="J408" s="475"/>
      <c r="K408" s="475"/>
      <c r="L408" s="475"/>
      <c r="M408" s="475"/>
      <c r="N408" s="475"/>
      <c r="O408" s="475"/>
      <c r="P408" s="475"/>
      <c r="Q408" s="475"/>
      <c r="R408" s="475"/>
      <c r="S408" s="475"/>
      <c r="T408" s="475"/>
      <c r="U408" s="475"/>
      <c r="V408" s="475"/>
      <c r="W408" s="475"/>
      <c r="X408" s="475"/>
      <c r="Y408" s="475"/>
      <c r="Z408" s="475"/>
      <c r="AA408" s="475"/>
      <c r="AB408" s="475"/>
      <c r="AC408" s="475"/>
      <c r="AD408" s="475"/>
      <c r="AE408" s="475"/>
      <c r="AF408" s="475"/>
      <c r="AG408" s="475"/>
      <c r="AH408" s="475"/>
      <c r="AI408" s="459"/>
      <c r="AJ408" s="475"/>
      <c r="AK408" s="475"/>
      <c r="AL408" s="475"/>
      <c r="AM408" s="475"/>
      <c r="AN408" s="475"/>
      <c r="AO408" s="475"/>
      <c r="AP408" s="475"/>
      <c r="AQ408" s="475"/>
      <c r="AR408" s="475"/>
      <c r="AS408" s="475"/>
      <c r="AT408" s="475"/>
      <c r="AU408" s="475"/>
      <c r="AV408" s="475"/>
      <c r="AW408" s="475"/>
      <c r="AX408" s="475"/>
      <c r="AY408" s="475"/>
      <c r="AZ408" s="459"/>
      <c r="BA408" s="459"/>
      <c r="BB408" s="459"/>
      <c r="BC408" s="459"/>
      <c r="BD408" s="459"/>
      <c r="BE408" s="459"/>
      <c r="BF408" s="459"/>
      <c r="BG408" s="459"/>
      <c r="BH408" s="459"/>
      <c r="BI408" s="459"/>
      <c r="BJ408" s="459"/>
      <c r="BK408" s="459"/>
      <c r="BL408" s="459"/>
      <c r="BM408" s="474"/>
      <c r="BN408" s="474"/>
      <c r="BO408" s="474"/>
      <c r="BP408" s="474"/>
      <c r="BQ408" s="475"/>
      <c r="BR408" s="475"/>
    </row>
    <row r="409" ht="15.75" customHeight="1">
      <c r="A409" s="475"/>
      <c r="B409" s="475"/>
      <c r="C409" s="475"/>
      <c r="D409" s="475"/>
      <c r="E409" s="475"/>
      <c r="F409" s="99"/>
      <c r="G409" s="475"/>
      <c r="H409" s="475"/>
      <c r="I409" s="475"/>
      <c r="J409" s="475"/>
      <c r="K409" s="475"/>
      <c r="L409" s="475"/>
      <c r="M409" s="475"/>
      <c r="N409" s="475"/>
      <c r="O409" s="475"/>
      <c r="P409" s="475"/>
      <c r="Q409" s="475"/>
      <c r="R409" s="475"/>
      <c r="S409" s="475"/>
      <c r="T409" s="475"/>
      <c r="U409" s="475"/>
      <c r="V409" s="475"/>
      <c r="W409" s="475"/>
      <c r="X409" s="475"/>
      <c r="Y409" s="475"/>
      <c r="Z409" s="475"/>
      <c r="AA409" s="475"/>
      <c r="AB409" s="475"/>
      <c r="AC409" s="475"/>
      <c r="AD409" s="475"/>
      <c r="AE409" s="475"/>
      <c r="AF409" s="475"/>
      <c r="AG409" s="475"/>
      <c r="AH409" s="475"/>
      <c r="AI409" s="459"/>
      <c r="AJ409" s="475"/>
      <c r="AK409" s="475"/>
      <c r="AL409" s="475"/>
      <c r="AM409" s="475"/>
      <c r="AN409" s="475"/>
      <c r="AO409" s="475"/>
      <c r="AP409" s="475"/>
      <c r="AQ409" s="475"/>
      <c r="AR409" s="475"/>
      <c r="AS409" s="475"/>
      <c r="AT409" s="475"/>
      <c r="AU409" s="475"/>
      <c r="AV409" s="475"/>
      <c r="AW409" s="475"/>
      <c r="AX409" s="475"/>
      <c r="AY409" s="475"/>
      <c r="AZ409" s="459"/>
      <c r="BA409" s="459"/>
      <c r="BB409" s="459"/>
      <c r="BC409" s="459"/>
      <c r="BD409" s="459"/>
      <c r="BE409" s="459"/>
      <c r="BF409" s="459"/>
      <c r="BG409" s="459"/>
      <c r="BH409" s="459"/>
      <c r="BI409" s="459"/>
      <c r="BJ409" s="459"/>
      <c r="BK409" s="459"/>
      <c r="BL409" s="459"/>
      <c r="BM409" s="474"/>
      <c r="BN409" s="474"/>
      <c r="BO409" s="474"/>
      <c r="BP409" s="474"/>
      <c r="BQ409" s="475"/>
      <c r="BR409" s="475"/>
    </row>
    <row r="410" ht="15.75" customHeight="1">
      <c r="A410" s="475"/>
      <c r="B410" s="475"/>
      <c r="C410" s="475"/>
      <c r="D410" s="475"/>
      <c r="E410" s="475"/>
      <c r="F410" s="99"/>
      <c r="G410" s="475"/>
      <c r="H410" s="475"/>
      <c r="I410" s="475"/>
      <c r="J410" s="475"/>
      <c r="K410" s="475"/>
      <c r="L410" s="475"/>
      <c r="M410" s="475"/>
      <c r="N410" s="475"/>
      <c r="O410" s="475"/>
      <c r="P410" s="475"/>
      <c r="Q410" s="475"/>
      <c r="R410" s="475"/>
      <c r="S410" s="475"/>
      <c r="T410" s="475"/>
      <c r="U410" s="475"/>
      <c r="V410" s="475"/>
      <c r="W410" s="475"/>
      <c r="X410" s="475"/>
      <c r="Y410" s="475"/>
      <c r="Z410" s="475"/>
      <c r="AA410" s="475"/>
      <c r="AB410" s="475"/>
      <c r="AC410" s="475"/>
      <c r="AD410" s="475"/>
      <c r="AE410" s="475"/>
      <c r="AF410" s="475"/>
      <c r="AG410" s="475"/>
      <c r="AH410" s="475"/>
      <c r="AI410" s="459"/>
      <c r="AJ410" s="475"/>
      <c r="AK410" s="475"/>
      <c r="AL410" s="475"/>
      <c r="AM410" s="475"/>
      <c r="AN410" s="475"/>
      <c r="AO410" s="475"/>
      <c r="AP410" s="475"/>
      <c r="AQ410" s="475"/>
      <c r="AR410" s="475"/>
      <c r="AS410" s="475"/>
      <c r="AT410" s="475"/>
      <c r="AU410" s="475"/>
      <c r="AV410" s="475"/>
      <c r="AW410" s="475"/>
      <c r="AX410" s="475"/>
      <c r="AY410" s="475"/>
      <c r="AZ410" s="459"/>
      <c r="BA410" s="459"/>
      <c r="BB410" s="459"/>
      <c r="BC410" s="459"/>
      <c r="BD410" s="459"/>
      <c r="BE410" s="459"/>
      <c r="BF410" s="459"/>
      <c r="BG410" s="459"/>
      <c r="BH410" s="459"/>
      <c r="BI410" s="459"/>
      <c r="BJ410" s="459"/>
      <c r="BK410" s="459"/>
      <c r="BL410" s="459"/>
      <c r="BM410" s="474"/>
      <c r="BN410" s="474"/>
      <c r="BO410" s="474"/>
      <c r="BP410" s="474"/>
      <c r="BQ410" s="475"/>
      <c r="BR410" s="475"/>
    </row>
    <row r="411" ht="15.75" customHeight="1">
      <c r="A411" s="475"/>
      <c r="B411" s="475"/>
      <c r="C411" s="475"/>
      <c r="D411" s="475"/>
      <c r="E411" s="475"/>
      <c r="F411" s="99"/>
      <c r="G411" s="475"/>
      <c r="H411" s="475"/>
      <c r="I411" s="475"/>
      <c r="J411" s="475"/>
      <c r="K411" s="475"/>
      <c r="L411" s="475"/>
      <c r="M411" s="475"/>
      <c r="N411" s="475"/>
      <c r="O411" s="475"/>
      <c r="P411" s="475"/>
      <c r="Q411" s="475"/>
      <c r="R411" s="475"/>
      <c r="S411" s="475"/>
      <c r="T411" s="475"/>
      <c r="U411" s="475"/>
      <c r="V411" s="475"/>
      <c r="W411" s="475"/>
      <c r="X411" s="475"/>
      <c r="Y411" s="475"/>
      <c r="Z411" s="475"/>
      <c r="AA411" s="475"/>
      <c r="AB411" s="475"/>
      <c r="AC411" s="475"/>
      <c r="AD411" s="475"/>
      <c r="AE411" s="475"/>
      <c r="AF411" s="475"/>
      <c r="AG411" s="475"/>
      <c r="AH411" s="475"/>
      <c r="AI411" s="459"/>
      <c r="AJ411" s="475"/>
      <c r="AK411" s="475"/>
      <c r="AL411" s="475"/>
      <c r="AM411" s="475"/>
      <c r="AN411" s="475"/>
      <c r="AO411" s="475"/>
      <c r="AP411" s="475"/>
      <c r="AQ411" s="475"/>
      <c r="AR411" s="475"/>
      <c r="AS411" s="475"/>
      <c r="AT411" s="475"/>
      <c r="AU411" s="475"/>
      <c r="AV411" s="475"/>
      <c r="AW411" s="475"/>
      <c r="AX411" s="475"/>
      <c r="AY411" s="475"/>
      <c r="AZ411" s="459"/>
      <c r="BA411" s="459"/>
      <c r="BB411" s="459"/>
      <c r="BC411" s="459"/>
      <c r="BD411" s="459"/>
      <c r="BE411" s="459"/>
      <c r="BF411" s="459"/>
      <c r="BG411" s="459"/>
      <c r="BH411" s="459"/>
      <c r="BI411" s="459"/>
      <c r="BJ411" s="459"/>
      <c r="BK411" s="459"/>
      <c r="BL411" s="459"/>
      <c r="BM411" s="474"/>
      <c r="BN411" s="474"/>
      <c r="BO411" s="474"/>
      <c r="BP411" s="474"/>
      <c r="BQ411" s="475"/>
      <c r="BR411" s="475"/>
    </row>
    <row r="412" ht="15.75" customHeight="1">
      <c r="A412" s="475"/>
      <c r="B412" s="475"/>
      <c r="C412" s="475"/>
      <c r="D412" s="475"/>
      <c r="E412" s="475"/>
      <c r="F412" s="99"/>
      <c r="G412" s="475"/>
      <c r="H412" s="475"/>
      <c r="I412" s="475"/>
      <c r="J412" s="475"/>
      <c r="K412" s="475"/>
      <c r="L412" s="475"/>
      <c r="M412" s="475"/>
      <c r="N412" s="475"/>
      <c r="O412" s="475"/>
      <c r="P412" s="475"/>
      <c r="Q412" s="475"/>
      <c r="R412" s="475"/>
      <c r="S412" s="475"/>
      <c r="T412" s="475"/>
      <c r="U412" s="475"/>
      <c r="V412" s="475"/>
      <c r="W412" s="475"/>
      <c r="X412" s="475"/>
      <c r="Y412" s="475"/>
      <c r="Z412" s="475"/>
      <c r="AA412" s="475"/>
      <c r="AB412" s="475"/>
      <c r="AC412" s="475"/>
      <c r="AD412" s="475"/>
      <c r="AE412" s="475"/>
      <c r="AF412" s="475"/>
      <c r="AG412" s="475"/>
      <c r="AH412" s="475"/>
      <c r="AI412" s="459"/>
      <c r="AJ412" s="475"/>
      <c r="AK412" s="475"/>
      <c r="AL412" s="475"/>
      <c r="AM412" s="475"/>
      <c r="AN412" s="475"/>
      <c r="AO412" s="475"/>
      <c r="AP412" s="475"/>
      <c r="AQ412" s="475"/>
      <c r="AR412" s="475"/>
      <c r="AS412" s="475"/>
      <c r="AT412" s="475"/>
      <c r="AU412" s="475"/>
      <c r="AV412" s="475"/>
      <c r="AW412" s="475"/>
      <c r="AX412" s="475"/>
      <c r="AY412" s="475"/>
      <c r="AZ412" s="459"/>
      <c r="BA412" s="459"/>
      <c r="BB412" s="459"/>
      <c r="BC412" s="459"/>
      <c r="BD412" s="459"/>
      <c r="BE412" s="459"/>
      <c r="BF412" s="459"/>
      <c r="BG412" s="459"/>
      <c r="BH412" s="459"/>
      <c r="BI412" s="459"/>
      <c r="BJ412" s="459"/>
      <c r="BK412" s="459"/>
      <c r="BL412" s="459"/>
      <c r="BM412" s="474"/>
      <c r="BN412" s="474"/>
      <c r="BO412" s="474"/>
      <c r="BP412" s="474"/>
      <c r="BQ412" s="475"/>
      <c r="BR412" s="475"/>
    </row>
    <row r="413" ht="15.75" customHeight="1">
      <c r="A413" s="475"/>
      <c r="B413" s="475"/>
      <c r="C413" s="475"/>
      <c r="D413" s="475"/>
      <c r="E413" s="475"/>
      <c r="F413" s="99"/>
      <c r="G413" s="475"/>
      <c r="H413" s="475"/>
      <c r="I413" s="475"/>
      <c r="J413" s="475"/>
      <c r="K413" s="475"/>
      <c r="L413" s="475"/>
      <c r="M413" s="475"/>
      <c r="N413" s="475"/>
      <c r="O413" s="475"/>
      <c r="P413" s="475"/>
      <c r="Q413" s="475"/>
      <c r="R413" s="475"/>
      <c r="S413" s="475"/>
      <c r="T413" s="475"/>
      <c r="U413" s="475"/>
      <c r="V413" s="475"/>
      <c r="W413" s="475"/>
      <c r="X413" s="475"/>
      <c r="Y413" s="475"/>
      <c r="Z413" s="475"/>
      <c r="AA413" s="475"/>
      <c r="AB413" s="475"/>
      <c r="AC413" s="475"/>
      <c r="AD413" s="475"/>
      <c r="AE413" s="475"/>
      <c r="AF413" s="475"/>
      <c r="AG413" s="475"/>
      <c r="AH413" s="475"/>
      <c r="AI413" s="459"/>
      <c r="AJ413" s="475"/>
      <c r="AK413" s="475"/>
      <c r="AL413" s="475"/>
      <c r="AM413" s="475"/>
      <c r="AN413" s="475"/>
      <c r="AO413" s="475"/>
      <c r="AP413" s="475"/>
      <c r="AQ413" s="475"/>
      <c r="AR413" s="475"/>
      <c r="AS413" s="475"/>
      <c r="AT413" s="475"/>
      <c r="AU413" s="475"/>
      <c r="AV413" s="475"/>
      <c r="AW413" s="475"/>
      <c r="AX413" s="475"/>
      <c r="AY413" s="475"/>
      <c r="AZ413" s="459"/>
      <c r="BA413" s="459"/>
      <c r="BB413" s="459"/>
      <c r="BC413" s="459"/>
      <c r="BD413" s="459"/>
      <c r="BE413" s="459"/>
      <c r="BF413" s="459"/>
      <c r="BG413" s="459"/>
      <c r="BH413" s="459"/>
      <c r="BI413" s="459"/>
      <c r="BJ413" s="459"/>
      <c r="BK413" s="459"/>
      <c r="BL413" s="459"/>
      <c r="BM413" s="474"/>
      <c r="BN413" s="474"/>
      <c r="BO413" s="474"/>
      <c r="BP413" s="474"/>
      <c r="BQ413" s="475"/>
      <c r="BR413" s="475"/>
    </row>
    <row r="414" ht="15.75" customHeight="1">
      <c r="A414" s="475"/>
      <c r="B414" s="475"/>
      <c r="C414" s="475"/>
      <c r="D414" s="475"/>
      <c r="E414" s="475"/>
      <c r="F414" s="99"/>
      <c r="G414" s="475"/>
      <c r="H414" s="475"/>
      <c r="I414" s="475"/>
      <c r="J414" s="475"/>
      <c r="K414" s="475"/>
      <c r="L414" s="475"/>
      <c r="M414" s="475"/>
      <c r="N414" s="475"/>
      <c r="O414" s="475"/>
      <c r="P414" s="475"/>
      <c r="Q414" s="475"/>
      <c r="R414" s="475"/>
      <c r="S414" s="475"/>
      <c r="T414" s="475"/>
      <c r="U414" s="475"/>
      <c r="V414" s="475"/>
      <c r="W414" s="475"/>
      <c r="X414" s="475"/>
      <c r="Y414" s="475"/>
      <c r="Z414" s="475"/>
      <c r="AA414" s="475"/>
      <c r="AB414" s="475"/>
      <c r="AC414" s="475"/>
      <c r="AD414" s="475"/>
      <c r="AE414" s="475"/>
      <c r="AF414" s="475"/>
      <c r="AG414" s="475"/>
      <c r="AH414" s="475"/>
      <c r="AI414" s="459"/>
      <c r="AJ414" s="475"/>
      <c r="AK414" s="475"/>
      <c r="AL414" s="475"/>
      <c r="AM414" s="475"/>
      <c r="AN414" s="475"/>
      <c r="AO414" s="475"/>
      <c r="AP414" s="475"/>
      <c r="AQ414" s="475"/>
      <c r="AR414" s="475"/>
      <c r="AS414" s="475"/>
      <c r="AT414" s="475"/>
      <c r="AU414" s="475"/>
      <c r="AV414" s="475"/>
      <c r="AW414" s="475"/>
      <c r="AX414" s="475"/>
      <c r="AY414" s="475"/>
      <c r="AZ414" s="459"/>
      <c r="BA414" s="459"/>
      <c r="BB414" s="459"/>
      <c r="BC414" s="459"/>
      <c r="BD414" s="459"/>
      <c r="BE414" s="459"/>
      <c r="BF414" s="459"/>
      <c r="BG414" s="459"/>
      <c r="BH414" s="459"/>
      <c r="BI414" s="459"/>
      <c r="BJ414" s="459"/>
      <c r="BK414" s="459"/>
      <c r="BL414" s="459"/>
      <c r="BM414" s="474"/>
      <c r="BN414" s="474"/>
      <c r="BO414" s="474"/>
      <c r="BP414" s="474"/>
      <c r="BQ414" s="475"/>
      <c r="BR414" s="475"/>
    </row>
    <row r="415" ht="15.75" customHeight="1">
      <c r="A415" s="475"/>
      <c r="B415" s="475"/>
      <c r="C415" s="475"/>
      <c r="D415" s="475"/>
      <c r="E415" s="475"/>
      <c r="F415" s="99"/>
      <c r="G415" s="475"/>
      <c r="H415" s="475"/>
      <c r="I415" s="475"/>
      <c r="J415" s="475"/>
      <c r="K415" s="475"/>
      <c r="L415" s="475"/>
      <c r="M415" s="475"/>
      <c r="N415" s="475"/>
      <c r="O415" s="475"/>
      <c r="P415" s="475"/>
      <c r="Q415" s="475"/>
      <c r="R415" s="475"/>
      <c r="S415" s="475"/>
      <c r="T415" s="475"/>
      <c r="U415" s="475"/>
      <c r="V415" s="475"/>
      <c r="W415" s="475"/>
      <c r="X415" s="475"/>
      <c r="Y415" s="475"/>
      <c r="Z415" s="475"/>
      <c r="AA415" s="475"/>
      <c r="AB415" s="475"/>
      <c r="AC415" s="475"/>
      <c r="AD415" s="475"/>
      <c r="AE415" s="475"/>
      <c r="AF415" s="475"/>
      <c r="AG415" s="475"/>
      <c r="AH415" s="475"/>
      <c r="AI415" s="459"/>
      <c r="AJ415" s="475"/>
      <c r="AK415" s="475"/>
      <c r="AL415" s="475"/>
      <c r="AM415" s="475"/>
      <c r="AN415" s="475"/>
      <c r="AO415" s="475"/>
      <c r="AP415" s="475"/>
      <c r="AQ415" s="475"/>
      <c r="AR415" s="475"/>
      <c r="AS415" s="475"/>
      <c r="AT415" s="475"/>
      <c r="AU415" s="475"/>
      <c r="AV415" s="475"/>
      <c r="AW415" s="475"/>
      <c r="AX415" s="475"/>
      <c r="AY415" s="475"/>
      <c r="AZ415" s="459"/>
      <c r="BA415" s="459"/>
      <c r="BB415" s="459"/>
      <c r="BC415" s="459"/>
      <c r="BD415" s="459"/>
      <c r="BE415" s="459"/>
      <c r="BF415" s="459"/>
      <c r="BG415" s="459"/>
      <c r="BH415" s="459"/>
      <c r="BI415" s="459"/>
      <c r="BJ415" s="459"/>
      <c r="BK415" s="459"/>
      <c r="BL415" s="459"/>
      <c r="BM415" s="474"/>
      <c r="BN415" s="474"/>
      <c r="BO415" s="474"/>
      <c r="BP415" s="474"/>
      <c r="BQ415" s="475"/>
      <c r="BR415" s="475"/>
    </row>
    <row r="416" ht="15.75" customHeight="1">
      <c r="A416" s="475"/>
      <c r="B416" s="475"/>
      <c r="C416" s="475"/>
      <c r="D416" s="475"/>
      <c r="E416" s="475"/>
      <c r="F416" s="99"/>
      <c r="G416" s="475"/>
      <c r="H416" s="475"/>
      <c r="I416" s="475"/>
      <c r="J416" s="475"/>
      <c r="K416" s="475"/>
      <c r="L416" s="475"/>
      <c r="M416" s="475"/>
      <c r="N416" s="475"/>
      <c r="O416" s="475"/>
      <c r="P416" s="475"/>
      <c r="Q416" s="475"/>
      <c r="R416" s="475"/>
      <c r="S416" s="475"/>
      <c r="T416" s="475"/>
      <c r="U416" s="475"/>
      <c r="V416" s="475"/>
      <c r="W416" s="475"/>
      <c r="X416" s="475"/>
      <c r="Y416" s="475"/>
      <c r="Z416" s="475"/>
      <c r="AA416" s="475"/>
      <c r="AB416" s="475"/>
      <c r="AC416" s="475"/>
      <c r="AD416" s="475"/>
      <c r="AE416" s="475"/>
      <c r="AF416" s="475"/>
      <c r="AG416" s="475"/>
      <c r="AH416" s="475"/>
      <c r="AI416" s="459"/>
      <c r="AJ416" s="475"/>
      <c r="AK416" s="475"/>
      <c r="AL416" s="475"/>
      <c r="AM416" s="475"/>
      <c r="AN416" s="475"/>
      <c r="AO416" s="475"/>
      <c r="AP416" s="475"/>
      <c r="AQ416" s="475"/>
      <c r="AR416" s="475"/>
      <c r="AS416" s="475"/>
      <c r="AT416" s="475"/>
      <c r="AU416" s="475"/>
      <c r="AV416" s="475"/>
      <c r="AW416" s="475"/>
      <c r="AX416" s="475"/>
      <c r="AY416" s="475"/>
      <c r="AZ416" s="459"/>
      <c r="BA416" s="459"/>
      <c r="BB416" s="459"/>
      <c r="BC416" s="459"/>
      <c r="BD416" s="459"/>
      <c r="BE416" s="459"/>
      <c r="BF416" s="459"/>
      <c r="BG416" s="459"/>
      <c r="BH416" s="459"/>
      <c r="BI416" s="459"/>
      <c r="BJ416" s="459"/>
      <c r="BK416" s="459"/>
      <c r="BL416" s="459"/>
      <c r="BM416" s="474"/>
      <c r="BN416" s="474"/>
      <c r="BO416" s="474"/>
      <c r="BP416" s="474"/>
      <c r="BQ416" s="475"/>
      <c r="BR416" s="475"/>
    </row>
    <row r="417" ht="15.75" customHeight="1">
      <c r="A417" s="475"/>
      <c r="B417" s="475"/>
      <c r="C417" s="475"/>
      <c r="D417" s="475"/>
      <c r="E417" s="475"/>
      <c r="F417" s="99"/>
      <c r="G417" s="475"/>
      <c r="H417" s="475"/>
      <c r="I417" s="475"/>
      <c r="J417" s="475"/>
      <c r="K417" s="475"/>
      <c r="L417" s="475"/>
      <c r="M417" s="475"/>
      <c r="N417" s="475"/>
      <c r="O417" s="475"/>
      <c r="P417" s="475"/>
      <c r="Q417" s="475"/>
      <c r="R417" s="475"/>
      <c r="S417" s="475"/>
      <c r="T417" s="475"/>
      <c r="U417" s="475"/>
      <c r="V417" s="475"/>
      <c r="W417" s="475"/>
      <c r="X417" s="475"/>
      <c r="Y417" s="475"/>
      <c r="Z417" s="475"/>
      <c r="AA417" s="475"/>
      <c r="AB417" s="475"/>
      <c r="AC417" s="475"/>
      <c r="AD417" s="475"/>
      <c r="AE417" s="475"/>
      <c r="AF417" s="475"/>
      <c r="AG417" s="475"/>
      <c r="AH417" s="475"/>
      <c r="AI417" s="459"/>
      <c r="AJ417" s="475"/>
      <c r="AK417" s="475"/>
      <c r="AL417" s="475"/>
      <c r="AM417" s="475"/>
      <c r="AN417" s="475"/>
      <c r="AO417" s="475"/>
      <c r="AP417" s="475"/>
      <c r="AQ417" s="475"/>
      <c r="AR417" s="475"/>
      <c r="AS417" s="475"/>
      <c r="AT417" s="475"/>
      <c r="AU417" s="475"/>
      <c r="AV417" s="475"/>
      <c r="AW417" s="475"/>
      <c r="AX417" s="475"/>
      <c r="AY417" s="475"/>
      <c r="AZ417" s="459"/>
      <c r="BA417" s="459"/>
      <c r="BB417" s="459"/>
      <c r="BC417" s="459"/>
      <c r="BD417" s="459"/>
      <c r="BE417" s="459"/>
      <c r="BF417" s="459"/>
      <c r="BG417" s="459"/>
      <c r="BH417" s="459"/>
      <c r="BI417" s="459"/>
      <c r="BJ417" s="459"/>
      <c r="BK417" s="459"/>
      <c r="BL417" s="459"/>
      <c r="BM417" s="474"/>
      <c r="BN417" s="474"/>
      <c r="BO417" s="474"/>
      <c r="BP417" s="474"/>
      <c r="BQ417" s="475"/>
      <c r="BR417" s="475"/>
    </row>
    <row r="418" ht="15.75" customHeight="1">
      <c r="A418" s="475"/>
      <c r="B418" s="475"/>
      <c r="C418" s="475"/>
      <c r="D418" s="475"/>
      <c r="E418" s="475"/>
      <c r="F418" s="99"/>
      <c r="G418" s="475"/>
      <c r="H418" s="475"/>
      <c r="I418" s="475"/>
      <c r="J418" s="475"/>
      <c r="K418" s="475"/>
      <c r="L418" s="475"/>
      <c r="M418" s="475"/>
      <c r="N418" s="475"/>
      <c r="O418" s="475"/>
      <c r="P418" s="475"/>
      <c r="Q418" s="475"/>
      <c r="R418" s="475"/>
      <c r="S418" s="475"/>
      <c r="T418" s="475"/>
      <c r="U418" s="475"/>
      <c r="V418" s="475"/>
      <c r="W418" s="475"/>
      <c r="X418" s="475"/>
      <c r="Y418" s="475"/>
      <c r="Z418" s="475"/>
      <c r="AA418" s="475"/>
      <c r="AB418" s="475"/>
      <c r="AC418" s="475"/>
      <c r="AD418" s="475"/>
      <c r="AE418" s="475"/>
      <c r="AF418" s="475"/>
      <c r="AG418" s="475"/>
      <c r="AH418" s="475"/>
      <c r="AI418" s="459"/>
      <c r="AJ418" s="475"/>
      <c r="AK418" s="475"/>
      <c r="AL418" s="475"/>
      <c r="AM418" s="475"/>
      <c r="AN418" s="475"/>
      <c r="AO418" s="475"/>
      <c r="AP418" s="475"/>
      <c r="AQ418" s="475"/>
      <c r="AR418" s="475"/>
      <c r="AS418" s="475"/>
      <c r="AT418" s="475"/>
      <c r="AU418" s="475"/>
      <c r="AV418" s="475"/>
      <c r="AW418" s="475"/>
      <c r="AX418" s="475"/>
      <c r="AY418" s="475"/>
      <c r="AZ418" s="459"/>
      <c r="BA418" s="459"/>
      <c r="BB418" s="459"/>
      <c r="BC418" s="459"/>
      <c r="BD418" s="459"/>
      <c r="BE418" s="459"/>
      <c r="BF418" s="459"/>
      <c r="BG418" s="459"/>
      <c r="BH418" s="459"/>
      <c r="BI418" s="459"/>
      <c r="BJ418" s="459"/>
      <c r="BK418" s="459"/>
      <c r="BL418" s="459"/>
      <c r="BM418" s="474"/>
      <c r="BN418" s="474"/>
      <c r="BO418" s="474"/>
      <c r="BP418" s="474"/>
      <c r="BQ418" s="475"/>
      <c r="BR418" s="475"/>
    </row>
    <row r="419" ht="15.75" customHeight="1">
      <c r="A419" s="475"/>
      <c r="B419" s="475"/>
      <c r="C419" s="475"/>
      <c r="D419" s="475"/>
      <c r="E419" s="475"/>
      <c r="F419" s="99"/>
      <c r="G419" s="475"/>
      <c r="H419" s="475"/>
      <c r="I419" s="475"/>
      <c r="J419" s="475"/>
      <c r="K419" s="475"/>
      <c r="L419" s="475"/>
      <c r="M419" s="475"/>
      <c r="N419" s="475"/>
      <c r="O419" s="475"/>
      <c r="P419" s="475"/>
      <c r="Q419" s="475"/>
      <c r="R419" s="475"/>
      <c r="S419" s="475"/>
      <c r="T419" s="475"/>
      <c r="U419" s="475"/>
      <c r="V419" s="475"/>
      <c r="W419" s="475"/>
      <c r="X419" s="475"/>
      <c r="Y419" s="475"/>
      <c r="Z419" s="475"/>
      <c r="AA419" s="475"/>
      <c r="AB419" s="475"/>
      <c r="AC419" s="475"/>
      <c r="AD419" s="475"/>
      <c r="AE419" s="475"/>
      <c r="AF419" s="475"/>
      <c r="AG419" s="475"/>
      <c r="AH419" s="475"/>
      <c r="AI419" s="459"/>
      <c r="AJ419" s="475"/>
      <c r="AK419" s="475"/>
      <c r="AL419" s="475"/>
      <c r="AM419" s="475"/>
      <c r="AN419" s="475"/>
      <c r="AO419" s="475"/>
      <c r="AP419" s="475"/>
      <c r="AQ419" s="475"/>
      <c r="AR419" s="475"/>
      <c r="AS419" s="475"/>
      <c r="AT419" s="475"/>
      <c r="AU419" s="475"/>
      <c r="AV419" s="475"/>
      <c r="AW419" s="475"/>
      <c r="AX419" s="475"/>
      <c r="AY419" s="475"/>
      <c r="AZ419" s="459"/>
      <c r="BA419" s="459"/>
      <c r="BB419" s="459"/>
      <c r="BC419" s="459"/>
      <c r="BD419" s="459"/>
      <c r="BE419" s="459"/>
      <c r="BF419" s="459"/>
      <c r="BG419" s="459"/>
      <c r="BH419" s="459"/>
      <c r="BI419" s="459"/>
      <c r="BJ419" s="459"/>
      <c r="BK419" s="459"/>
      <c r="BL419" s="459"/>
      <c r="BM419" s="474"/>
      <c r="BN419" s="474"/>
      <c r="BO419" s="474"/>
      <c r="BP419" s="474"/>
      <c r="BQ419" s="475"/>
      <c r="BR419" s="475"/>
    </row>
    <row r="420" ht="15.75" customHeight="1">
      <c r="A420" s="475"/>
      <c r="B420" s="475"/>
      <c r="C420" s="475"/>
      <c r="D420" s="475"/>
      <c r="E420" s="475"/>
      <c r="F420" s="99"/>
      <c r="G420" s="475"/>
      <c r="H420" s="475"/>
      <c r="I420" s="475"/>
      <c r="J420" s="475"/>
      <c r="K420" s="475"/>
      <c r="L420" s="475"/>
      <c r="M420" s="475"/>
      <c r="N420" s="475"/>
      <c r="O420" s="475"/>
      <c r="P420" s="475"/>
      <c r="Q420" s="475"/>
      <c r="R420" s="475"/>
      <c r="S420" s="475"/>
      <c r="T420" s="475"/>
      <c r="U420" s="475"/>
      <c r="V420" s="475"/>
      <c r="W420" s="475"/>
      <c r="X420" s="475"/>
      <c r="Y420" s="475"/>
      <c r="Z420" s="475"/>
      <c r="AA420" s="475"/>
      <c r="AB420" s="475"/>
      <c r="AC420" s="475"/>
      <c r="AD420" s="475"/>
      <c r="AE420" s="475"/>
      <c r="AF420" s="475"/>
      <c r="AG420" s="475"/>
      <c r="AH420" s="475"/>
      <c r="AI420" s="459"/>
      <c r="AJ420" s="475"/>
      <c r="AK420" s="475"/>
      <c r="AL420" s="475"/>
      <c r="AM420" s="475"/>
      <c r="AN420" s="475"/>
      <c r="AO420" s="475"/>
      <c r="AP420" s="475"/>
      <c r="AQ420" s="475"/>
      <c r="AR420" s="475"/>
      <c r="AS420" s="475"/>
      <c r="AT420" s="475"/>
      <c r="AU420" s="475"/>
      <c r="AV420" s="475"/>
      <c r="AW420" s="475"/>
      <c r="AX420" s="475"/>
      <c r="AY420" s="475"/>
      <c r="AZ420" s="459"/>
      <c r="BA420" s="459"/>
      <c r="BB420" s="459"/>
      <c r="BC420" s="459"/>
      <c r="BD420" s="459"/>
      <c r="BE420" s="459"/>
      <c r="BF420" s="459"/>
      <c r="BG420" s="459"/>
      <c r="BH420" s="459"/>
      <c r="BI420" s="459"/>
      <c r="BJ420" s="459"/>
      <c r="BK420" s="459"/>
      <c r="BL420" s="459"/>
      <c r="BM420" s="474"/>
      <c r="BN420" s="474"/>
      <c r="BO420" s="474"/>
      <c r="BP420" s="474"/>
      <c r="BQ420" s="475"/>
      <c r="BR420" s="475"/>
    </row>
    <row r="421" ht="15.75" customHeight="1">
      <c r="A421" s="475"/>
      <c r="B421" s="475"/>
      <c r="C421" s="475"/>
      <c r="D421" s="475"/>
      <c r="E421" s="475"/>
      <c r="F421" s="99"/>
      <c r="G421" s="475"/>
      <c r="H421" s="475"/>
      <c r="I421" s="475"/>
      <c r="J421" s="475"/>
      <c r="K421" s="475"/>
      <c r="L421" s="475"/>
      <c r="M421" s="475"/>
      <c r="N421" s="475"/>
      <c r="O421" s="475"/>
      <c r="P421" s="475"/>
      <c r="Q421" s="475"/>
      <c r="R421" s="475"/>
      <c r="S421" s="475"/>
      <c r="T421" s="475"/>
      <c r="U421" s="475"/>
      <c r="V421" s="475"/>
      <c r="W421" s="475"/>
      <c r="X421" s="475"/>
      <c r="Y421" s="475"/>
      <c r="Z421" s="475"/>
      <c r="AA421" s="475"/>
      <c r="AB421" s="475"/>
      <c r="AC421" s="475"/>
      <c r="AD421" s="475"/>
      <c r="AE421" s="475"/>
      <c r="AF421" s="475"/>
      <c r="AG421" s="475"/>
      <c r="AH421" s="475"/>
      <c r="AI421" s="459"/>
      <c r="AJ421" s="475"/>
      <c r="AK421" s="475"/>
      <c r="AL421" s="475"/>
      <c r="AM421" s="475"/>
      <c r="AN421" s="475"/>
      <c r="AO421" s="475"/>
      <c r="AP421" s="475"/>
      <c r="AQ421" s="475"/>
      <c r="AR421" s="475"/>
      <c r="AS421" s="475"/>
      <c r="AT421" s="475"/>
      <c r="AU421" s="475"/>
      <c r="AV421" s="475"/>
      <c r="AW421" s="475"/>
      <c r="AX421" s="475"/>
      <c r="AY421" s="475"/>
      <c r="AZ421" s="459"/>
      <c r="BA421" s="459"/>
      <c r="BB421" s="459"/>
      <c r="BC421" s="459"/>
      <c r="BD421" s="459"/>
      <c r="BE421" s="459"/>
      <c r="BF421" s="459"/>
      <c r="BG421" s="459"/>
      <c r="BH421" s="459"/>
      <c r="BI421" s="459"/>
      <c r="BJ421" s="459"/>
      <c r="BK421" s="459"/>
      <c r="BL421" s="459"/>
      <c r="BM421" s="474"/>
      <c r="BN421" s="474"/>
      <c r="BO421" s="474"/>
      <c r="BP421" s="474"/>
      <c r="BQ421" s="475"/>
      <c r="BR421" s="475"/>
    </row>
    <row r="422" ht="15.75" customHeight="1">
      <c r="A422" s="475"/>
      <c r="B422" s="475"/>
      <c r="C422" s="475"/>
      <c r="D422" s="475"/>
      <c r="E422" s="475"/>
      <c r="F422" s="99"/>
      <c r="G422" s="475"/>
      <c r="H422" s="475"/>
      <c r="I422" s="475"/>
      <c r="J422" s="475"/>
      <c r="K422" s="475"/>
      <c r="L422" s="475"/>
      <c r="M422" s="475"/>
      <c r="N422" s="475"/>
      <c r="O422" s="475"/>
      <c r="P422" s="475"/>
      <c r="Q422" s="475"/>
      <c r="R422" s="475"/>
      <c r="S422" s="475"/>
      <c r="T422" s="475"/>
      <c r="U422" s="475"/>
      <c r="V422" s="475"/>
      <c r="W422" s="475"/>
      <c r="X422" s="475"/>
      <c r="Y422" s="475"/>
      <c r="Z422" s="475"/>
      <c r="AA422" s="475"/>
      <c r="AB422" s="475"/>
      <c r="AC422" s="475"/>
      <c r="AD422" s="475"/>
      <c r="AE422" s="475"/>
      <c r="AF422" s="475"/>
      <c r="AG422" s="475"/>
      <c r="AH422" s="475"/>
      <c r="AI422" s="459"/>
      <c r="AJ422" s="475"/>
      <c r="AK422" s="475"/>
      <c r="AL422" s="475"/>
      <c r="AM422" s="475"/>
      <c r="AN422" s="475"/>
      <c r="AO422" s="475"/>
      <c r="AP422" s="475"/>
      <c r="AQ422" s="475"/>
      <c r="AR422" s="475"/>
      <c r="AS422" s="475"/>
      <c r="AT422" s="475"/>
      <c r="AU422" s="475"/>
      <c r="AV422" s="475"/>
      <c r="AW422" s="475"/>
      <c r="AX422" s="475"/>
      <c r="AY422" s="475"/>
      <c r="AZ422" s="459"/>
      <c r="BA422" s="459"/>
      <c r="BB422" s="459"/>
      <c r="BC422" s="459"/>
      <c r="BD422" s="459"/>
      <c r="BE422" s="459"/>
      <c r="BF422" s="459"/>
      <c r="BG422" s="459"/>
      <c r="BH422" s="459"/>
      <c r="BI422" s="459"/>
      <c r="BJ422" s="459"/>
      <c r="BK422" s="459"/>
      <c r="BL422" s="459"/>
      <c r="BM422" s="474"/>
      <c r="BN422" s="474"/>
      <c r="BO422" s="474"/>
      <c r="BP422" s="474"/>
      <c r="BQ422" s="475"/>
      <c r="BR422" s="475"/>
    </row>
    <row r="423" ht="15.75" customHeight="1">
      <c r="A423" s="475"/>
      <c r="B423" s="475"/>
      <c r="C423" s="475"/>
      <c r="D423" s="475"/>
      <c r="E423" s="475"/>
      <c r="F423" s="99"/>
      <c r="G423" s="475"/>
      <c r="H423" s="475"/>
      <c r="I423" s="475"/>
      <c r="J423" s="475"/>
      <c r="K423" s="475"/>
      <c r="L423" s="475"/>
      <c r="M423" s="475"/>
      <c r="N423" s="475"/>
      <c r="O423" s="475"/>
      <c r="P423" s="475"/>
      <c r="Q423" s="475"/>
      <c r="R423" s="475"/>
      <c r="S423" s="475"/>
      <c r="T423" s="475"/>
      <c r="U423" s="475"/>
      <c r="V423" s="475"/>
      <c r="W423" s="475"/>
      <c r="X423" s="475"/>
      <c r="Y423" s="475"/>
      <c r="Z423" s="475"/>
      <c r="AA423" s="475"/>
      <c r="AB423" s="475"/>
      <c r="AC423" s="475"/>
      <c r="AD423" s="475"/>
      <c r="AE423" s="475"/>
      <c r="AF423" s="475"/>
      <c r="AG423" s="475"/>
      <c r="AH423" s="475"/>
      <c r="AI423" s="459"/>
      <c r="AJ423" s="475"/>
      <c r="AK423" s="475"/>
      <c r="AL423" s="475"/>
      <c r="AM423" s="475"/>
      <c r="AN423" s="475"/>
      <c r="AO423" s="475"/>
      <c r="AP423" s="475"/>
      <c r="AQ423" s="475"/>
      <c r="AR423" s="475"/>
      <c r="AS423" s="475"/>
      <c r="AT423" s="475"/>
      <c r="AU423" s="475"/>
      <c r="AV423" s="475"/>
      <c r="AW423" s="475"/>
      <c r="AX423" s="475"/>
      <c r="AY423" s="475"/>
      <c r="AZ423" s="459"/>
      <c r="BA423" s="459"/>
      <c r="BB423" s="459"/>
      <c r="BC423" s="459"/>
      <c r="BD423" s="459"/>
      <c r="BE423" s="459"/>
      <c r="BF423" s="459"/>
      <c r="BG423" s="459"/>
      <c r="BH423" s="459"/>
      <c r="BI423" s="459"/>
      <c r="BJ423" s="459"/>
      <c r="BK423" s="459"/>
      <c r="BL423" s="459"/>
      <c r="BM423" s="474"/>
      <c r="BN423" s="474"/>
      <c r="BO423" s="474"/>
      <c r="BP423" s="474"/>
      <c r="BQ423" s="475"/>
      <c r="BR423" s="475"/>
    </row>
    <row r="424" ht="15.75" customHeight="1">
      <c r="A424" s="475"/>
      <c r="B424" s="475"/>
      <c r="C424" s="475"/>
      <c r="D424" s="475"/>
      <c r="E424" s="475"/>
      <c r="F424" s="99"/>
      <c r="G424" s="475"/>
      <c r="H424" s="475"/>
      <c r="I424" s="475"/>
      <c r="J424" s="475"/>
      <c r="K424" s="475"/>
      <c r="L424" s="475"/>
      <c r="M424" s="475"/>
      <c r="N424" s="475"/>
      <c r="O424" s="475"/>
      <c r="P424" s="475"/>
      <c r="Q424" s="475"/>
      <c r="R424" s="475"/>
      <c r="S424" s="475"/>
      <c r="T424" s="475"/>
      <c r="U424" s="475"/>
      <c r="V424" s="475"/>
      <c r="W424" s="475"/>
      <c r="X424" s="475"/>
      <c r="Y424" s="475"/>
      <c r="Z424" s="475"/>
      <c r="AA424" s="475"/>
      <c r="AB424" s="475"/>
      <c r="AC424" s="475"/>
      <c r="AD424" s="475"/>
      <c r="AE424" s="475"/>
      <c r="AF424" s="475"/>
      <c r="AG424" s="475"/>
      <c r="AH424" s="475"/>
      <c r="AI424" s="459"/>
      <c r="AJ424" s="475"/>
      <c r="AK424" s="475"/>
      <c r="AL424" s="475"/>
      <c r="AM424" s="475"/>
      <c r="AN424" s="475"/>
      <c r="AO424" s="475"/>
      <c r="AP424" s="475"/>
      <c r="AQ424" s="475"/>
      <c r="AR424" s="475"/>
      <c r="AS424" s="475"/>
      <c r="AT424" s="475"/>
      <c r="AU424" s="475"/>
      <c r="AV424" s="475"/>
      <c r="AW424" s="475"/>
      <c r="AX424" s="475"/>
      <c r="AY424" s="475"/>
      <c r="AZ424" s="459"/>
      <c r="BA424" s="459"/>
      <c r="BB424" s="459"/>
      <c r="BC424" s="459"/>
      <c r="BD424" s="459"/>
      <c r="BE424" s="459"/>
      <c r="BF424" s="459"/>
      <c r="BG424" s="459"/>
      <c r="BH424" s="459"/>
      <c r="BI424" s="459"/>
      <c r="BJ424" s="459"/>
      <c r="BK424" s="459"/>
      <c r="BL424" s="459"/>
      <c r="BM424" s="474"/>
      <c r="BN424" s="474"/>
      <c r="BO424" s="474"/>
      <c r="BP424" s="474"/>
      <c r="BQ424" s="475"/>
      <c r="BR424" s="475"/>
    </row>
    <row r="425" ht="15.75" customHeight="1">
      <c r="A425" s="475"/>
      <c r="B425" s="475"/>
      <c r="C425" s="475"/>
      <c r="D425" s="475"/>
      <c r="E425" s="475"/>
      <c r="F425" s="99"/>
      <c r="G425" s="475"/>
      <c r="H425" s="475"/>
      <c r="I425" s="475"/>
      <c r="J425" s="475"/>
      <c r="K425" s="475"/>
      <c r="L425" s="475"/>
      <c r="M425" s="475"/>
      <c r="N425" s="475"/>
      <c r="O425" s="475"/>
      <c r="P425" s="475"/>
      <c r="Q425" s="475"/>
      <c r="R425" s="475"/>
      <c r="S425" s="475"/>
      <c r="T425" s="475"/>
      <c r="U425" s="475"/>
      <c r="V425" s="475"/>
      <c r="W425" s="475"/>
      <c r="X425" s="475"/>
      <c r="Y425" s="475"/>
      <c r="Z425" s="475"/>
      <c r="AA425" s="475"/>
      <c r="AB425" s="475"/>
      <c r="AC425" s="475"/>
      <c r="AD425" s="475"/>
      <c r="AE425" s="475"/>
      <c r="AF425" s="475"/>
      <c r="AG425" s="475"/>
      <c r="AH425" s="475"/>
      <c r="AI425" s="459"/>
      <c r="AJ425" s="475"/>
      <c r="AK425" s="475"/>
      <c r="AL425" s="475"/>
      <c r="AM425" s="475"/>
      <c r="AN425" s="475"/>
      <c r="AO425" s="475"/>
      <c r="AP425" s="475"/>
      <c r="AQ425" s="475"/>
      <c r="AR425" s="475"/>
      <c r="AS425" s="475"/>
      <c r="AT425" s="475"/>
      <c r="AU425" s="475"/>
      <c r="AV425" s="475"/>
      <c r="AW425" s="475"/>
      <c r="AX425" s="475"/>
      <c r="AY425" s="475"/>
      <c r="AZ425" s="459"/>
      <c r="BA425" s="459"/>
      <c r="BB425" s="459"/>
      <c r="BC425" s="459"/>
      <c r="BD425" s="459"/>
      <c r="BE425" s="459"/>
      <c r="BF425" s="459"/>
      <c r="BG425" s="459"/>
      <c r="BH425" s="459"/>
      <c r="BI425" s="459"/>
      <c r="BJ425" s="459"/>
      <c r="BK425" s="459"/>
      <c r="BL425" s="459"/>
      <c r="BM425" s="474"/>
      <c r="BN425" s="474"/>
      <c r="BO425" s="474"/>
      <c r="BP425" s="474"/>
      <c r="BQ425" s="475"/>
      <c r="BR425" s="475"/>
    </row>
    <row r="426" ht="15.75" customHeight="1">
      <c r="A426" s="475"/>
      <c r="B426" s="475"/>
      <c r="C426" s="475"/>
      <c r="D426" s="475"/>
      <c r="E426" s="475"/>
      <c r="F426" s="99"/>
      <c r="G426" s="475"/>
      <c r="H426" s="475"/>
      <c r="I426" s="475"/>
      <c r="J426" s="475"/>
      <c r="K426" s="475"/>
      <c r="L426" s="475"/>
      <c r="M426" s="475"/>
      <c r="N426" s="475"/>
      <c r="O426" s="475"/>
      <c r="P426" s="475"/>
      <c r="Q426" s="475"/>
      <c r="R426" s="475"/>
      <c r="S426" s="475"/>
      <c r="T426" s="475"/>
      <c r="U426" s="475"/>
      <c r="V426" s="475"/>
      <c r="W426" s="475"/>
      <c r="X426" s="475"/>
      <c r="Y426" s="475"/>
      <c r="Z426" s="475"/>
      <c r="AA426" s="475"/>
      <c r="AB426" s="475"/>
      <c r="AC426" s="475"/>
      <c r="AD426" s="475"/>
      <c r="AE426" s="475"/>
      <c r="AF426" s="475"/>
      <c r="AG426" s="475"/>
      <c r="AH426" s="475"/>
      <c r="AI426" s="459"/>
      <c r="AJ426" s="475"/>
      <c r="AK426" s="475"/>
      <c r="AL426" s="475"/>
      <c r="AM426" s="475"/>
      <c r="AN426" s="475"/>
      <c r="AO426" s="475"/>
      <c r="AP426" s="475"/>
      <c r="AQ426" s="475"/>
      <c r="AR426" s="475"/>
      <c r="AS426" s="475"/>
      <c r="AT426" s="475"/>
      <c r="AU426" s="475"/>
      <c r="AV426" s="475"/>
      <c r="AW426" s="475"/>
      <c r="AX426" s="475"/>
      <c r="AY426" s="475"/>
      <c r="AZ426" s="459"/>
      <c r="BA426" s="459"/>
      <c r="BB426" s="459"/>
      <c r="BC426" s="459"/>
      <c r="BD426" s="459"/>
      <c r="BE426" s="459"/>
      <c r="BF426" s="459"/>
      <c r="BG426" s="459"/>
      <c r="BH426" s="459"/>
      <c r="BI426" s="459"/>
      <c r="BJ426" s="459"/>
      <c r="BK426" s="459"/>
      <c r="BL426" s="459"/>
      <c r="BM426" s="474"/>
      <c r="BN426" s="474"/>
      <c r="BO426" s="474"/>
      <c r="BP426" s="474"/>
      <c r="BQ426" s="475"/>
      <c r="BR426" s="475"/>
    </row>
    <row r="427" ht="15.75" customHeight="1">
      <c r="A427" s="475"/>
      <c r="B427" s="475"/>
      <c r="C427" s="475"/>
      <c r="D427" s="475"/>
      <c r="E427" s="475"/>
      <c r="F427" s="99"/>
      <c r="G427" s="475"/>
      <c r="H427" s="475"/>
      <c r="I427" s="475"/>
      <c r="J427" s="475"/>
      <c r="K427" s="475"/>
      <c r="L427" s="475"/>
      <c r="M427" s="475"/>
      <c r="N427" s="475"/>
      <c r="O427" s="475"/>
      <c r="P427" s="475"/>
      <c r="Q427" s="475"/>
      <c r="R427" s="475"/>
      <c r="S427" s="475"/>
      <c r="T427" s="475"/>
      <c r="U427" s="475"/>
      <c r="V427" s="475"/>
      <c r="W427" s="475"/>
      <c r="X427" s="475"/>
      <c r="Y427" s="475"/>
      <c r="Z427" s="475"/>
      <c r="AA427" s="475"/>
      <c r="AB427" s="475"/>
      <c r="AC427" s="475"/>
      <c r="AD427" s="475"/>
      <c r="AE427" s="475"/>
      <c r="AF427" s="475"/>
      <c r="AG427" s="475"/>
      <c r="AH427" s="475"/>
      <c r="AI427" s="459"/>
      <c r="AJ427" s="475"/>
      <c r="AK427" s="475"/>
      <c r="AL427" s="475"/>
      <c r="AM427" s="475"/>
      <c r="AN427" s="475"/>
      <c r="AO427" s="475"/>
      <c r="AP427" s="475"/>
      <c r="AQ427" s="475"/>
      <c r="AR427" s="475"/>
      <c r="AS427" s="475"/>
      <c r="AT427" s="475"/>
      <c r="AU427" s="475"/>
      <c r="AV427" s="475"/>
      <c r="AW427" s="475"/>
      <c r="AX427" s="475"/>
      <c r="AY427" s="475"/>
      <c r="AZ427" s="459"/>
      <c r="BA427" s="459"/>
      <c r="BB427" s="459"/>
      <c r="BC427" s="459"/>
      <c r="BD427" s="459"/>
      <c r="BE427" s="459"/>
      <c r="BF427" s="459"/>
      <c r="BG427" s="459"/>
      <c r="BH427" s="459"/>
      <c r="BI427" s="459"/>
      <c r="BJ427" s="459"/>
      <c r="BK427" s="459"/>
      <c r="BL427" s="459"/>
      <c r="BM427" s="474"/>
      <c r="BN427" s="474"/>
      <c r="BO427" s="474"/>
      <c r="BP427" s="474"/>
      <c r="BQ427" s="475"/>
      <c r="BR427" s="475"/>
    </row>
    <row r="428" ht="15.75" customHeight="1">
      <c r="A428" s="475"/>
      <c r="B428" s="475"/>
      <c r="C428" s="475"/>
      <c r="D428" s="475"/>
      <c r="E428" s="475"/>
      <c r="F428" s="99"/>
      <c r="G428" s="475"/>
      <c r="H428" s="475"/>
      <c r="I428" s="475"/>
      <c r="J428" s="475"/>
      <c r="K428" s="475"/>
      <c r="L428" s="475"/>
      <c r="M428" s="475"/>
      <c r="N428" s="475"/>
      <c r="O428" s="475"/>
      <c r="P428" s="475"/>
      <c r="Q428" s="475"/>
      <c r="R428" s="475"/>
      <c r="S428" s="475"/>
      <c r="T428" s="475"/>
      <c r="U428" s="475"/>
      <c r="V428" s="475"/>
      <c r="W428" s="475"/>
      <c r="X428" s="475"/>
      <c r="Y428" s="475"/>
      <c r="Z428" s="475"/>
      <c r="AA428" s="475"/>
      <c r="AB428" s="475"/>
      <c r="AC428" s="475"/>
      <c r="AD428" s="475"/>
      <c r="AE428" s="475"/>
      <c r="AF428" s="475"/>
      <c r="AG428" s="475"/>
      <c r="AH428" s="475"/>
      <c r="AI428" s="459"/>
      <c r="AJ428" s="475"/>
      <c r="AK428" s="475"/>
      <c r="AL428" s="475"/>
      <c r="AM428" s="475"/>
      <c r="AN428" s="475"/>
      <c r="AO428" s="475"/>
      <c r="AP428" s="475"/>
      <c r="AQ428" s="475"/>
      <c r="AR428" s="475"/>
      <c r="AS428" s="475"/>
      <c r="AT428" s="475"/>
      <c r="AU428" s="475"/>
      <c r="AV428" s="475"/>
      <c r="AW428" s="475"/>
      <c r="AX428" s="475"/>
      <c r="AY428" s="475"/>
      <c r="AZ428" s="459"/>
      <c r="BA428" s="459"/>
      <c r="BB428" s="459"/>
      <c r="BC428" s="459"/>
      <c r="BD428" s="459"/>
      <c r="BE428" s="459"/>
      <c r="BF428" s="459"/>
      <c r="BG428" s="459"/>
      <c r="BH428" s="459"/>
      <c r="BI428" s="459"/>
      <c r="BJ428" s="459"/>
      <c r="BK428" s="459"/>
      <c r="BL428" s="459"/>
      <c r="BM428" s="474"/>
      <c r="BN428" s="474"/>
      <c r="BO428" s="474"/>
      <c r="BP428" s="474"/>
      <c r="BQ428" s="475"/>
      <c r="BR428" s="475"/>
    </row>
    <row r="429" ht="15.75" customHeight="1">
      <c r="A429" s="475"/>
      <c r="B429" s="475"/>
      <c r="C429" s="475"/>
      <c r="D429" s="475"/>
      <c r="E429" s="475"/>
      <c r="F429" s="99"/>
      <c r="G429" s="475"/>
      <c r="H429" s="475"/>
      <c r="I429" s="475"/>
      <c r="J429" s="475"/>
      <c r="K429" s="475"/>
      <c r="L429" s="475"/>
      <c r="M429" s="475"/>
      <c r="N429" s="475"/>
      <c r="O429" s="475"/>
      <c r="P429" s="475"/>
      <c r="Q429" s="475"/>
      <c r="R429" s="475"/>
      <c r="S429" s="475"/>
      <c r="T429" s="475"/>
      <c r="U429" s="475"/>
      <c r="V429" s="475"/>
      <c r="W429" s="475"/>
      <c r="X429" s="475"/>
      <c r="Y429" s="475"/>
      <c r="Z429" s="475"/>
      <c r="AA429" s="475"/>
      <c r="AB429" s="475"/>
      <c r="AC429" s="475"/>
      <c r="AD429" s="475"/>
      <c r="AE429" s="475"/>
      <c r="AF429" s="475"/>
      <c r="AG429" s="475"/>
      <c r="AH429" s="475"/>
      <c r="AI429" s="459"/>
      <c r="AJ429" s="475"/>
      <c r="AK429" s="475"/>
      <c r="AL429" s="475"/>
      <c r="AM429" s="475"/>
      <c r="AN429" s="475"/>
      <c r="AO429" s="475"/>
      <c r="AP429" s="475"/>
      <c r="AQ429" s="475"/>
      <c r="AR429" s="475"/>
      <c r="AS429" s="475"/>
      <c r="AT429" s="475"/>
      <c r="AU429" s="475"/>
      <c r="AV429" s="475"/>
      <c r="AW429" s="475"/>
      <c r="AX429" s="475"/>
      <c r="AY429" s="475"/>
      <c r="AZ429" s="459"/>
      <c r="BA429" s="459"/>
      <c r="BB429" s="459"/>
      <c r="BC429" s="459"/>
      <c r="BD429" s="459"/>
      <c r="BE429" s="459"/>
      <c r="BF429" s="459"/>
      <c r="BG429" s="459"/>
      <c r="BH429" s="459"/>
      <c r="BI429" s="459"/>
      <c r="BJ429" s="459"/>
      <c r="BK429" s="459"/>
      <c r="BL429" s="459"/>
      <c r="BM429" s="474"/>
      <c r="BN429" s="474"/>
      <c r="BO429" s="474"/>
      <c r="BP429" s="474"/>
      <c r="BQ429" s="475"/>
      <c r="BR429" s="475"/>
    </row>
    <row r="430" ht="15.75" customHeight="1">
      <c r="A430" s="475"/>
      <c r="B430" s="475"/>
      <c r="C430" s="475"/>
      <c r="D430" s="475"/>
      <c r="E430" s="475"/>
      <c r="F430" s="99"/>
      <c r="G430" s="475"/>
      <c r="H430" s="475"/>
      <c r="I430" s="475"/>
      <c r="J430" s="475"/>
      <c r="K430" s="475"/>
      <c r="L430" s="475"/>
      <c r="M430" s="475"/>
      <c r="N430" s="475"/>
      <c r="O430" s="475"/>
      <c r="P430" s="475"/>
      <c r="Q430" s="475"/>
      <c r="R430" s="475"/>
      <c r="S430" s="475"/>
      <c r="T430" s="475"/>
      <c r="U430" s="475"/>
      <c r="V430" s="475"/>
      <c r="W430" s="475"/>
      <c r="X430" s="475"/>
      <c r="Y430" s="475"/>
      <c r="Z430" s="475"/>
      <c r="AA430" s="475"/>
      <c r="AB430" s="475"/>
      <c r="AC430" s="475"/>
      <c r="AD430" s="475"/>
      <c r="AE430" s="475"/>
      <c r="AF430" s="475"/>
      <c r="AG430" s="475"/>
      <c r="AH430" s="475"/>
      <c r="AI430" s="459"/>
      <c r="AJ430" s="475"/>
      <c r="AK430" s="475"/>
      <c r="AL430" s="475"/>
      <c r="AM430" s="475"/>
      <c r="AN430" s="475"/>
      <c r="AO430" s="475"/>
      <c r="AP430" s="475"/>
      <c r="AQ430" s="475"/>
      <c r="AR430" s="475"/>
      <c r="AS430" s="475"/>
      <c r="AT430" s="475"/>
      <c r="AU430" s="475"/>
      <c r="AV430" s="475"/>
      <c r="AW430" s="475"/>
      <c r="AX430" s="475"/>
      <c r="AY430" s="475"/>
      <c r="AZ430" s="459"/>
      <c r="BA430" s="459"/>
      <c r="BB430" s="459"/>
      <c r="BC430" s="459"/>
      <c r="BD430" s="459"/>
      <c r="BE430" s="459"/>
      <c r="BF430" s="459"/>
      <c r="BG430" s="459"/>
      <c r="BH430" s="459"/>
      <c r="BI430" s="459"/>
      <c r="BJ430" s="459"/>
      <c r="BK430" s="459"/>
      <c r="BL430" s="459"/>
      <c r="BM430" s="474"/>
      <c r="BN430" s="474"/>
      <c r="BO430" s="474"/>
      <c r="BP430" s="474"/>
      <c r="BQ430" s="475"/>
      <c r="BR430" s="475"/>
    </row>
    <row r="431" ht="15.75" customHeight="1">
      <c r="A431" s="475"/>
      <c r="B431" s="475"/>
      <c r="C431" s="475"/>
      <c r="D431" s="475"/>
      <c r="E431" s="475"/>
      <c r="F431" s="99"/>
      <c r="G431" s="475"/>
      <c r="H431" s="475"/>
      <c r="I431" s="475"/>
      <c r="J431" s="475"/>
      <c r="K431" s="475"/>
      <c r="L431" s="475"/>
      <c r="M431" s="475"/>
      <c r="N431" s="475"/>
      <c r="O431" s="475"/>
      <c r="P431" s="475"/>
      <c r="Q431" s="475"/>
      <c r="R431" s="475"/>
      <c r="S431" s="475"/>
      <c r="T431" s="475"/>
      <c r="U431" s="475"/>
      <c r="V431" s="475"/>
      <c r="W431" s="475"/>
      <c r="X431" s="475"/>
      <c r="Y431" s="475"/>
      <c r="Z431" s="475"/>
      <c r="AA431" s="475"/>
      <c r="AB431" s="475"/>
      <c r="AC431" s="475"/>
      <c r="AD431" s="475"/>
      <c r="AE431" s="475"/>
      <c r="AF431" s="475"/>
      <c r="AG431" s="475"/>
      <c r="AH431" s="475"/>
      <c r="AI431" s="459"/>
      <c r="AJ431" s="475"/>
      <c r="AK431" s="475"/>
      <c r="AL431" s="475"/>
      <c r="AM431" s="475"/>
      <c r="AN431" s="475"/>
      <c r="AO431" s="475"/>
      <c r="AP431" s="475"/>
      <c r="AQ431" s="475"/>
      <c r="AR431" s="475"/>
      <c r="AS431" s="475"/>
      <c r="AT431" s="475"/>
      <c r="AU431" s="475"/>
      <c r="AV431" s="475"/>
      <c r="AW431" s="475"/>
      <c r="AX431" s="475"/>
      <c r="AY431" s="475"/>
      <c r="AZ431" s="459"/>
      <c r="BA431" s="459"/>
      <c r="BB431" s="459"/>
      <c r="BC431" s="459"/>
      <c r="BD431" s="459"/>
      <c r="BE431" s="459"/>
      <c r="BF431" s="459"/>
      <c r="BG431" s="459"/>
      <c r="BH431" s="459"/>
      <c r="BI431" s="459"/>
      <c r="BJ431" s="459"/>
      <c r="BK431" s="459"/>
      <c r="BL431" s="459"/>
      <c r="BM431" s="474"/>
      <c r="BN431" s="474"/>
      <c r="BO431" s="474"/>
      <c r="BP431" s="474"/>
      <c r="BQ431" s="475"/>
      <c r="BR431" s="475"/>
    </row>
    <row r="432" ht="15.75" customHeight="1">
      <c r="A432" s="475"/>
      <c r="B432" s="475"/>
      <c r="C432" s="475"/>
      <c r="D432" s="475"/>
      <c r="E432" s="475"/>
      <c r="F432" s="99"/>
      <c r="G432" s="475"/>
      <c r="H432" s="475"/>
      <c r="I432" s="475"/>
      <c r="J432" s="475"/>
      <c r="K432" s="475"/>
      <c r="L432" s="475"/>
      <c r="M432" s="475"/>
      <c r="N432" s="475"/>
      <c r="O432" s="475"/>
      <c r="P432" s="475"/>
      <c r="Q432" s="475"/>
      <c r="R432" s="475"/>
      <c r="S432" s="475"/>
      <c r="T432" s="475"/>
      <c r="U432" s="475"/>
      <c r="V432" s="475"/>
      <c r="W432" s="475"/>
      <c r="X432" s="475"/>
      <c r="Y432" s="475"/>
      <c r="Z432" s="475"/>
      <c r="AA432" s="475"/>
      <c r="AB432" s="475"/>
      <c r="AC432" s="475"/>
      <c r="AD432" s="475"/>
      <c r="AE432" s="475"/>
      <c r="AF432" s="475"/>
      <c r="AG432" s="475"/>
      <c r="AH432" s="475"/>
      <c r="AI432" s="459"/>
      <c r="AJ432" s="475"/>
      <c r="AK432" s="475"/>
      <c r="AL432" s="475"/>
      <c r="AM432" s="475"/>
      <c r="AN432" s="475"/>
      <c r="AO432" s="475"/>
      <c r="AP432" s="475"/>
      <c r="AQ432" s="475"/>
      <c r="AR432" s="475"/>
      <c r="AS432" s="475"/>
      <c r="AT432" s="475"/>
      <c r="AU432" s="475"/>
      <c r="AV432" s="475"/>
      <c r="AW432" s="475"/>
      <c r="AX432" s="475"/>
      <c r="AY432" s="475"/>
      <c r="AZ432" s="459"/>
      <c r="BA432" s="459"/>
      <c r="BB432" s="459"/>
      <c r="BC432" s="459"/>
      <c r="BD432" s="459"/>
      <c r="BE432" s="459"/>
      <c r="BF432" s="459"/>
      <c r="BG432" s="459"/>
      <c r="BH432" s="459"/>
      <c r="BI432" s="459"/>
      <c r="BJ432" s="459"/>
      <c r="BK432" s="459"/>
      <c r="BL432" s="459"/>
      <c r="BM432" s="474"/>
      <c r="BN432" s="474"/>
      <c r="BO432" s="474"/>
      <c r="BP432" s="474"/>
      <c r="BQ432" s="475"/>
      <c r="BR432" s="475"/>
    </row>
    <row r="433" ht="15.75" customHeight="1">
      <c r="A433" s="475"/>
      <c r="B433" s="475"/>
      <c r="C433" s="475"/>
      <c r="D433" s="475"/>
      <c r="E433" s="475"/>
      <c r="F433" s="99"/>
      <c r="G433" s="475"/>
      <c r="H433" s="475"/>
      <c r="I433" s="475"/>
      <c r="J433" s="475"/>
      <c r="K433" s="475"/>
      <c r="L433" s="475"/>
      <c r="M433" s="475"/>
      <c r="N433" s="475"/>
      <c r="O433" s="475"/>
      <c r="P433" s="475"/>
      <c r="Q433" s="475"/>
      <c r="R433" s="475"/>
      <c r="S433" s="475"/>
      <c r="T433" s="475"/>
      <c r="U433" s="475"/>
      <c r="V433" s="475"/>
      <c r="W433" s="475"/>
      <c r="X433" s="475"/>
      <c r="Y433" s="475"/>
      <c r="Z433" s="475"/>
      <c r="AA433" s="475"/>
      <c r="AB433" s="475"/>
      <c r="AC433" s="475"/>
      <c r="AD433" s="475"/>
      <c r="AE433" s="475"/>
      <c r="AF433" s="475"/>
      <c r="AG433" s="475"/>
      <c r="AH433" s="475"/>
      <c r="AI433" s="459"/>
      <c r="AJ433" s="475"/>
      <c r="AK433" s="475"/>
      <c r="AL433" s="475"/>
      <c r="AM433" s="475"/>
      <c r="AN433" s="475"/>
      <c r="AO433" s="475"/>
      <c r="AP433" s="475"/>
      <c r="AQ433" s="475"/>
      <c r="AR433" s="475"/>
      <c r="AS433" s="475"/>
      <c r="AT433" s="475"/>
      <c r="AU433" s="475"/>
      <c r="AV433" s="475"/>
      <c r="AW433" s="475"/>
      <c r="AX433" s="475"/>
      <c r="AY433" s="475"/>
      <c r="AZ433" s="459"/>
      <c r="BA433" s="459"/>
      <c r="BB433" s="459"/>
      <c r="BC433" s="459"/>
      <c r="BD433" s="459"/>
      <c r="BE433" s="459"/>
      <c r="BF433" s="459"/>
      <c r="BG433" s="459"/>
      <c r="BH433" s="459"/>
      <c r="BI433" s="459"/>
      <c r="BJ433" s="459"/>
      <c r="BK433" s="459"/>
      <c r="BL433" s="459"/>
      <c r="BM433" s="474"/>
      <c r="BN433" s="474"/>
      <c r="BO433" s="474"/>
      <c r="BP433" s="474"/>
      <c r="BQ433" s="475"/>
      <c r="BR433" s="475"/>
    </row>
    <row r="434" ht="15.75" customHeight="1">
      <c r="A434" s="475"/>
      <c r="B434" s="475"/>
      <c r="C434" s="475"/>
      <c r="D434" s="475"/>
      <c r="E434" s="475"/>
      <c r="F434" s="99"/>
      <c r="G434" s="475"/>
      <c r="H434" s="475"/>
      <c r="I434" s="475"/>
      <c r="J434" s="475"/>
      <c r="K434" s="475"/>
      <c r="L434" s="475"/>
      <c r="M434" s="475"/>
      <c r="N434" s="475"/>
      <c r="O434" s="475"/>
      <c r="P434" s="475"/>
      <c r="Q434" s="475"/>
      <c r="R434" s="475"/>
      <c r="S434" s="475"/>
      <c r="T434" s="475"/>
      <c r="U434" s="475"/>
      <c r="V434" s="475"/>
      <c r="W434" s="475"/>
      <c r="X434" s="475"/>
      <c r="Y434" s="475"/>
      <c r="Z434" s="475"/>
      <c r="AA434" s="475"/>
      <c r="AB434" s="475"/>
      <c r="AC434" s="475"/>
      <c r="AD434" s="475"/>
      <c r="AE434" s="475"/>
      <c r="AF434" s="475"/>
      <c r="AG434" s="475"/>
      <c r="AH434" s="475"/>
      <c r="AI434" s="459"/>
      <c r="AJ434" s="475"/>
      <c r="AK434" s="475"/>
      <c r="AL434" s="475"/>
      <c r="AM434" s="475"/>
      <c r="AN434" s="475"/>
      <c r="AO434" s="475"/>
      <c r="AP434" s="475"/>
      <c r="AQ434" s="475"/>
      <c r="AR434" s="475"/>
      <c r="AS434" s="475"/>
      <c r="AT434" s="475"/>
      <c r="AU434" s="475"/>
      <c r="AV434" s="475"/>
      <c r="AW434" s="475"/>
      <c r="AX434" s="475"/>
      <c r="AY434" s="475"/>
      <c r="AZ434" s="459"/>
      <c r="BA434" s="459"/>
      <c r="BB434" s="459"/>
      <c r="BC434" s="459"/>
      <c r="BD434" s="459"/>
      <c r="BE434" s="459"/>
      <c r="BF434" s="459"/>
      <c r="BG434" s="459"/>
      <c r="BH434" s="459"/>
      <c r="BI434" s="459"/>
      <c r="BJ434" s="459"/>
      <c r="BK434" s="459"/>
      <c r="BL434" s="459"/>
      <c r="BM434" s="474"/>
      <c r="BN434" s="474"/>
      <c r="BO434" s="474"/>
      <c r="BP434" s="474"/>
      <c r="BQ434" s="475"/>
      <c r="BR434" s="475"/>
    </row>
    <row r="435" ht="15.75" customHeight="1">
      <c r="A435" s="475"/>
      <c r="B435" s="475"/>
      <c r="C435" s="475"/>
      <c r="D435" s="475"/>
      <c r="E435" s="475"/>
      <c r="F435" s="99"/>
      <c r="G435" s="475"/>
      <c r="H435" s="475"/>
      <c r="I435" s="475"/>
      <c r="J435" s="475"/>
      <c r="K435" s="475"/>
      <c r="L435" s="475"/>
      <c r="M435" s="475"/>
      <c r="N435" s="475"/>
      <c r="O435" s="475"/>
      <c r="P435" s="475"/>
      <c r="Q435" s="475"/>
      <c r="R435" s="475"/>
      <c r="S435" s="475"/>
      <c r="T435" s="475"/>
      <c r="U435" s="475"/>
      <c r="V435" s="475"/>
      <c r="W435" s="475"/>
      <c r="X435" s="475"/>
      <c r="Y435" s="475"/>
      <c r="Z435" s="475"/>
      <c r="AA435" s="475"/>
      <c r="AB435" s="475"/>
      <c r="AC435" s="475"/>
      <c r="AD435" s="475"/>
      <c r="AE435" s="475"/>
      <c r="AF435" s="475"/>
      <c r="AG435" s="475"/>
      <c r="AH435" s="475"/>
      <c r="AI435" s="459"/>
      <c r="AJ435" s="475"/>
      <c r="AK435" s="475"/>
      <c r="AL435" s="475"/>
      <c r="AM435" s="475"/>
      <c r="AN435" s="475"/>
      <c r="AO435" s="475"/>
      <c r="AP435" s="475"/>
      <c r="AQ435" s="475"/>
      <c r="AR435" s="475"/>
      <c r="AS435" s="475"/>
      <c r="AT435" s="475"/>
      <c r="AU435" s="475"/>
      <c r="AV435" s="475"/>
      <c r="AW435" s="475"/>
      <c r="AX435" s="475"/>
      <c r="AY435" s="475"/>
      <c r="AZ435" s="459"/>
      <c r="BA435" s="459"/>
      <c r="BB435" s="459"/>
      <c r="BC435" s="459"/>
      <c r="BD435" s="459"/>
      <c r="BE435" s="459"/>
      <c r="BF435" s="459"/>
      <c r="BG435" s="459"/>
      <c r="BH435" s="459"/>
      <c r="BI435" s="459"/>
      <c r="BJ435" s="459"/>
      <c r="BK435" s="459"/>
      <c r="BL435" s="459"/>
      <c r="BM435" s="474"/>
      <c r="BN435" s="474"/>
      <c r="BO435" s="474"/>
      <c r="BP435" s="474"/>
      <c r="BQ435" s="475"/>
      <c r="BR435" s="475"/>
    </row>
    <row r="436" ht="15.75" customHeight="1">
      <c r="A436" s="475"/>
      <c r="B436" s="475"/>
      <c r="C436" s="475"/>
      <c r="D436" s="475"/>
      <c r="E436" s="475"/>
      <c r="F436" s="99"/>
      <c r="G436" s="475"/>
      <c r="H436" s="475"/>
      <c r="I436" s="475"/>
      <c r="J436" s="475"/>
      <c r="K436" s="475"/>
      <c r="L436" s="475"/>
      <c r="M436" s="475"/>
      <c r="N436" s="475"/>
      <c r="O436" s="475"/>
      <c r="P436" s="475"/>
      <c r="Q436" s="475"/>
      <c r="R436" s="475"/>
      <c r="S436" s="475"/>
      <c r="T436" s="475"/>
      <c r="U436" s="475"/>
      <c r="V436" s="475"/>
      <c r="W436" s="475"/>
      <c r="X436" s="475"/>
      <c r="Y436" s="475"/>
      <c r="Z436" s="475"/>
      <c r="AA436" s="475"/>
      <c r="AB436" s="475"/>
      <c r="AC436" s="475"/>
      <c r="AD436" s="475"/>
      <c r="AE436" s="475"/>
      <c r="AF436" s="475"/>
      <c r="AG436" s="475"/>
      <c r="AH436" s="475"/>
      <c r="AI436" s="459"/>
      <c r="AJ436" s="475"/>
      <c r="AK436" s="475"/>
      <c r="AL436" s="475"/>
      <c r="AM436" s="475"/>
      <c r="AN436" s="475"/>
      <c r="AO436" s="475"/>
      <c r="AP436" s="475"/>
      <c r="AQ436" s="475"/>
      <c r="AR436" s="475"/>
      <c r="AS436" s="475"/>
      <c r="AT436" s="475"/>
      <c r="AU436" s="475"/>
      <c r="AV436" s="475"/>
      <c r="AW436" s="475"/>
      <c r="AX436" s="475"/>
      <c r="AY436" s="475"/>
      <c r="AZ436" s="459"/>
      <c r="BA436" s="459"/>
      <c r="BB436" s="459"/>
      <c r="BC436" s="459"/>
      <c r="BD436" s="459"/>
      <c r="BE436" s="459"/>
      <c r="BF436" s="459"/>
      <c r="BG436" s="459"/>
      <c r="BH436" s="459"/>
      <c r="BI436" s="459"/>
      <c r="BJ436" s="459"/>
      <c r="BK436" s="459"/>
      <c r="BL436" s="459"/>
      <c r="BM436" s="474"/>
      <c r="BN436" s="474"/>
      <c r="BO436" s="474"/>
      <c r="BP436" s="474"/>
      <c r="BQ436" s="475"/>
      <c r="BR436" s="475"/>
    </row>
    <row r="437" ht="15.75" customHeight="1">
      <c r="A437" s="475"/>
      <c r="B437" s="475"/>
      <c r="C437" s="475"/>
      <c r="D437" s="475"/>
      <c r="E437" s="475"/>
      <c r="F437" s="99"/>
      <c r="G437" s="475"/>
      <c r="H437" s="475"/>
      <c r="I437" s="475"/>
      <c r="J437" s="475"/>
      <c r="K437" s="475"/>
      <c r="L437" s="475"/>
      <c r="M437" s="475"/>
      <c r="N437" s="475"/>
      <c r="O437" s="475"/>
      <c r="P437" s="475"/>
      <c r="Q437" s="475"/>
      <c r="R437" s="475"/>
      <c r="S437" s="475"/>
      <c r="T437" s="475"/>
      <c r="U437" s="475"/>
      <c r="V437" s="475"/>
      <c r="W437" s="475"/>
      <c r="X437" s="475"/>
      <c r="Y437" s="475"/>
      <c r="Z437" s="475"/>
      <c r="AA437" s="475"/>
      <c r="AB437" s="475"/>
      <c r="AC437" s="475"/>
      <c r="AD437" s="475"/>
      <c r="AE437" s="475"/>
      <c r="AF437" s="475"/>
      <c r="AG437" s="475"/>
      <c r="AH437" s="475"/>
      <c r="AI437" s="459"/>
      <c r="AJ437" s="475"/>
      <c r="AK437" s="475"/>
      <c r="AL437" s="475"/>
      <c r="AM437" s="475"/>
      <c r="AN437" s="475"/>
      <c r="AO437" s="475"/>
      <c r="AP437" s="475"/>
      <c r="AQ437" s="475"/>
      <c r="AR437" s="475"/>
      <c r="AS437" s="475"/>
      <c r="AT437" s="475"/>
      <c r="AU437" s="475"/>
      <c r="AV437" s="475"/>
      <c r="AW437" s="475"/>
      <c r="AX437" s="475"/>
      <c r="AY437" s="475"/>
      <c r="AZ437" s="459"/>
      <c r="BA437" s="459"/>
      <c r="BB437" s="459"/>
      <c r="BC437" s="459"/>
      <c r="BD437" s="459"/>
      <c r="BE437" s="459"/>
      <c r="BF437" s="459"/>
      <c r="BG437" s="459"/>
      <c r="BH437" s="459"/>
      <c r="BI437" s="459"/>
      <c r="BJ437" s="459"/>
      <c r="BK437" s="459"/>
      <c r="BL437" s="459"/>
      <c r="BM437" s="474"/>
      <c r="BN437" s="474"/>
      <c r="BO437" s="474"/>
      <c r="BP437" s="474"/>
      <c r="BQ437" s="475"/>
      <c r="BR437" s="475"/>
    </row>
    <row r="438" ht="15.75" customHeight="1">
      <c r="A438" s="475"/>
      <c r="B438" s="475"/>
      <c r="C438" s="475"/>
      <c r="D438" s="475"/>
      <c r="E438" s="475"/>
      <c r="F438" s="99"/>
      <c r="G438" s="475"/>
      <c r="H438" s="475"/>
      <c r="I438" s="475"/>
      <c r="J438" s="475"/>
      <c r="K438" s="475"/>
      <c r="L438" s="475"/>
      <c r="M438" s="475"/>
      <c r="N438" s="475"/>
      <c r="O438" s="475"/>
      <c r="P438" s="475"/>
      <c r="Q438" s="475"/>
      <c r="R438" s="475"/>
      <c r="S438" s="475"/>
      <c r="T438" s="475"/>
      <c r="U438" s="475"/>
      <c r="V438" s="475"/>
      <c r="W438" s="475"/>
      <c r="X438" s="475"/>
      <c r="Y438" s="475"/>
      <c r="Z438" s="475"/>
      <c r="AA438" s="475"/>
      <c r="AB438" s="475"/>
      <c r="AC438" s="475"/>
      <c r="AD438" s="475"/>
      <c r="AE438" s="475"/>
      <c r="AF438" s="475"/>
      <c r="AG438" s="475"/>
      <c r="AH438" s="475"/>
      <c r="AI438" s="459"/>
      <c r="AJ438" s="475"/>
      <c r="AK438" s="475"/>
      <c r="AL438" s="475"/>
      <c r="AM438" s="475"/>
      <c r="AN438" s="475"/>
      <c r="AO438" s="475"/>
      <c r="AP438" s="475"/>
      <c r="AQ438" s="475"/>
      <c r="AR438" s="475"/>
      <c r="AS438" s="475"/>
      <c r="AT438" s="475"/>
      <c r="AU438" s="475"/>
      <c r="AV438" s="475"/>
      <c r="AW438" s="475"/>
      <c r="AX438" s="475"/>
      <c r="AY438" s="475"/>
      <c r="AZ438" s="459"/>
      <c r="BA438" s="459"/>
      <c r="BB438" s="459"/>
      <c r="BC438" s="459"/>
      <c r="BD438" s="459"/>
      <c r="BE438" s="459"/>
      <c r="BF438" s="459"/>
      <c r="BG438" s="459"/>
      <c r="BH438" s="459"/>
      <c r="BI438" s="459"/>
      <c r="BJ438" s="459"/>
      <c r="BK438" s="459"/>
      <c r="BL438" s="459"/>
      <c r="BM438" s="474"/>
      <c r="BN438" s="474"/>
      <c r="BO438" s="474"/>
      <c r="BP438" s="474"/>
      <c r="BQ438" s="475"/>
      <c r="BR438" s="475"/>
    </row>
    <row r="439" ht="15.75" customHeight="1">
      <c r="A439" s="475"/>
      <c r="B439" s="475"/>
      <c r="C439" s="475"/>
      <c r="D439" s="475"/>
      <c r="E439" s="475"/>
      <c r="F439" s="99"/>
      <c r="G439" s="475"/>
      <c r="H439" s="475"/>
      <c r="I439" s="475"/>
      <c r="J439" s="475"/>
      <c r="K439" s="475"/>
      <c r="L439" s="475"/>
      <c r="M439" s="475"/>
      <c r="N439" s="475"/>
      <c r="O439" s="475"/>
      <c r="P439" s="475"/>
      <c r="Q439" s="475"/>
      <c r="R439" s="475"/>
      <c r="S439" s="475"/>
      <c r="T439" s="475"/>
      <c r="U439" s="475"/>
      <c r="V439" s="475"/>
      <c r="W439" s="475"/>
      <c r="X439" s="475"/>
      <c r="Y439" s="475"/>
      <c r="Z439" s="475"/>
      <c r="AA439" s="475"/>
      <c r="AB439" s="475"/>
      <c r="AC439" s="475"/>
      <c r="AD439" s="475"/>
      <c r="AE439" s="475"/>
      <c r="AF439" s="475"/>
      <c r="AG439" s="475"/>
      <c r="AH439" s="475"/>
      <c r="AI439" s="459"/>
      <c r="AJ439" s="475"/>
      <c r="AK439" s="475"/>
      <c r="AL439" s="475"/>
      <c r="AM439" s="475"/>
      <c r="AN439" s="475"/>
      <c r="AO439" s="475"/>
      <c r="AP439" s="475"/>
      <c r="AQ439" s="475"/>
      <c r="AR439" s="475"/>
      <c r="AS439" s="475"/>
      <c r="AT439" s="475"/>
      <c r="AU439" s="475"/>
      <c r="AV439" s="475"/>
      <c r="AW439" s="475"/>
      <c r="AX439" s="475"/>
      <c r="AY439" s="475"/>
      <c r="AZ439" s="459"/>
      <c r="BA439" s="459"/>
      <c r="BB439" s="459"/>
      <c r="BC439" s="459"/>
      <c r="BD439" s="459"/>
      <c r="BE439" s="459"/>
      <c r="BF439" s="459"/>
      <c r="BG439" s="459"/>
      <c r="BH439" s="459"/>
      <c r="BI439" s="459"/>
      <c r="BJ439" s="459"/>
      <c r="BK439" s="459"/>
      <c r="BL439" s="459"/>
      <c r="BM439" s="474"/>
      <c r="BN439" s="474"/>
      <c r="BO439" s="474"/>
      <c r="BP439" s="474"/>
      <c r="BQ439" s="475"/>
      <c r="BR439" s="475"/>
    </row>
    <row r="440" ht="15.75" customHeight="1">
      <c r="A440" s="475"/>
      <c r="B440" s="475"/>
      <c r="C440" s="475"/>
      <c r="D440" s="475"/>
      <c r="E440" s="475"/>
      <c r="F440" s="99"/>
      <c r="G440" s="475"/>
      <c r="H440" s="475"/>
      <c r="I440" s="475"/>
      <c r="J440" s="475"/>
      <c r="K440" s="475"/>
      <c r="L440" s="475"/>
      <c r="M440" s="475"/>
      <c r="N440" s="475"/>
      <c r="O440" s="475"/>
      <c r="P440" s="475"/>
      <c r="Q440" s="475"/>
      <c r="R440" s="475"/>
      <c r="S440" s="475"/>
      <c r="T440" s="475"/>
      <c r="U440" s="475"/>
      <c r="V440" s="475"/>
      <c r="W440" s="475"/>
      <c r="X440" s="475"/>
      <c r="Y440" s="475"/>
      <c r="Z440" s="475"/>
      <c r="AA440" s="475"/>
      <c r="AB440" s="475"/>
      <c r="AC440" s="475"/>
      <c r="AD440" s="475"/>
      <c r="AE440" s="475"/>
      <c r="AF440" s="475"/>
      <c r="AG440" s="475"/>
      <c r="AH440" s="475"/>
      <c r="AI440" s="459"/>
      <c r="AJ440" s="475"/>
      <c r="AK440" s="475"/>
      <c r="AL440" s="475"/>
      <c r="AM440" s="475"/>
      <c r="AN440" s="475"/>
      <c r="AO440" s="475"/>
      <c r="AP440" s="475"/>
      <c r="AQ440" s="475"/>
      <c r="AR440" s="475"/>
      <c r="AS440" s="475"/>
      <c r="AT440" s="475"/>
      <c r="AU440" s="475"/>
      <c r="AV440" s="475"/>
      <c r="AW440" s="475"/>
      <c r="AX440" s="475"/>
      <c r="AY440" s="475"/>
      <c r="AZ440" s="459"/>
      <c r="BA440" s="459"/>
      <c r="BB440" s="459"/>
      <c r="BC440" s="459"/>
      <c r="BD440" s="459"/>
      <c r="BE440" s="459"/>
      <c r="BF440" s="459"/>
      <c r="BG440" s="459"/>
      <c r="BH440" s="459"/>
      <c r="BI440" s="459"/>
      <c r="BJ440" s="459"/>
      <c r="BK440" s="459"/>
      <c r="BL440" s="459"/>
      <c r="BM440" s="474"/>
      <c r="BN440" s="474"/>
      <c r="BO440" s="474"/>
      <c r="BP440" s="474"/>
      <c r="BQ440" s="475"/>
      <c r="BR440" s="475"/>
    </row>
    <row r="441" ht="15.75" customHeight="1">
      <c r="A441" s="475"/>
      <c r="B441" s="475"/>
      <c r="C441" s="475"/>
      <c r="D441" s="475"/>
      <c r="E441" s="475"/>
      <c r="F441" s="99"/>
      <c r="G441" s="475"/>
      <c r="H441" s="475"/>
      <c r="I441" s="475"/>
      <c r="J441" s="475"/>
      <c r="K441" s="475"/>
      <c r="L441" s="475"/>
      <c r="M441" s="475"/>
      <c r="N441" s="475"/>
      <c r="O441" s="475"/>
      <c r="P441" s="475"/>
      <c r="Q441" s="475"/>
      <c r="R441" s="475"/>
      <c r="S441" s="475"/>
      <c r="T441" s="475"/>
      <c r="U441" s="475"/>
      <c r="V441" s="475"/>
      <c r="W441" s="475"/>
      <c r="X441" s="475"/>
      <c r="Y441" s="475"/>
      <c r="Z441" s="475"/>
      <c r="AA441" s="475"/>
      <c r="AB441" s="475"/>
      <c r="AC441" s="475"/>
      <c r="AD441" s="475"/>
      <c r="AE441" s="475"/>
      <c r="AF441" s="475"/>
      <c r="AG441" s="475"/>
      <c r="AH441" s="475"/>
      <c r="AI441" s="459"/>
      <c r="AJ441" s="475"/>
      <c r="AK441" s="475"/>
      <c r="AL441" s="475"/>
      <c r="AM441" s="475"/>
      <c r="AN441" s="475"/>
      <c r="AO441" s="475"/>
      <c r="AP441" s="475"/>
      <c r="AQ441" s="475"/>
      <c r="AR441" s="475"/>
      <c r="AS441" s="475"/>
      <c r="AT441" s="475"/>
      <c r="AU441" s="475"/>
      <c r="AV441" s="475"/>
      <c r="AW441" s="475"/>
      <c r="AX441" s="475"/>
      <c r="AY441" s="475"/>
      <c r="AZ441" s="459"/>
      <c r="BA441" s="459"/>
      <c r="BB441" s="459"/>
      <c r="BC441" s="459"/>
      <c r="BD441" s="459"/>
      <c r="BE441" s="459"/>
      <c r="BF441" s="459"/>
      <c r="BG441" s="459"/>
      <c r="BH441" s="459"/>
      <c r="BI441" s="459"/>
      <c r="BJ441" s="459"/>
      <c r="BK441" s="459"/>
      <c r="BL441" s="459"/>
      <c r="BM441" s="474"/>
      <c r="BN441" s="474"/>
      <c r="BO441" s="474"/>
      <c r="BP441" s="474"/>
      <c r="BQ441" s="475"/>
      <c r="BR441" s="475"/>
    </row>
    <row r="442" ht="15.75" customHeight="1">
      <c r="A442" s="475"/>
      <c r="B442" s="475"/>
      <c r="C442" s="475"/>
      <c r="D442" s="475"/>
      <c r="E442" s="475"/>
      <c r="F442" s="99"/>
      <c r="G442" s="475"/>
      <c r="H442" s="475"/>
      <c r="I442" s="475"/>
      <c r="J442" s="475"/>
      <c r="K442" s="475"/>
      <c r="L442" s="475"/>
      <c r="M442" s="475"/>
      <c r="N442" s="475"/>
      <c r="O442" s="475"/>
      <c r="P442" s="475"/>
      <c r="Q442" s="475"/>
      <c r="R442" s="475"/>
      <c r="S442" s="475"/>
      <c r="T442" s="475"/>
      <c r="U442" s="475"/>
      <c r="V442" s="475"/>
      <c r="W442" s="475"/>
      <c r="X442" s="475"/>
      <c r="Y442" s="475"/>
      <c r="Z442" s="475"/>
      <c r="AA442" s="475"/>
      <c r="AB442" s="475"/>
      <c r="AC442" s="475"/>
      <c r="AD442" s="475"/>
      <c r="AE442" s="475"/>
      <c r="AF442" s="475"/>
      <c r="AG442" s="475"/>
      <c r="AH442" s="475"/>
      <c r="AI442" s="459"/>
      <c r="AJ442" s="475"/>
      <c r="AK442" s="475"/>
      <c r="AL442" s="475"/>
      <c r="AM442" s="475"/>
      <c r="AN442" s="475"/>
      <c r="AO442" s="475"/>
      <c r="AP442" s="475"/>
      <c r="AQ442" s="475"/>
      <c r="AR442" s="475"/>
      <c r="AS442" s="475"/>
      <c r="AT442" s="475"/>
      <c r="AU442" s="475"/>
      <c r="AV442" s="475"/>
      <c r="AW442" s="475"/>
      <c r="AX442" s="475"/>
      <c r="AY442" s="475"/>
      <c r="AZ442" s="459"/>
      <c r="BA442" s="459"/>
      <c r="BB442" s="459"/>
      <c r="BC442" s="459"/>
      <c r="BD442" s="459"/>
      <c r="BE442" s="459"/>
      <c r="BF442" s="459"/>
      <c r="BG442" s="459"/>
      <c r="BH442" s="459"/>
      <c r="BI442" s="459"/>
      <c r="BJ442" s="459"/>
      <c r="BK442" s="459"/>
      <c r="BL442" s="459"/>
      <c r="BM442" s="474"/>
      <c r="BN442" s="474"/>
      <c r="BO442" s="474"/>
      <c r="BP442" s="474"/>
      <c r="BQ442" s="475"/>
      <c r="BR442" s="475"/>
    </row>
    <row r="443" ht="15.75" customHeight="1">
      <c r="A443" s="475"/>
      <c r="B443" s="475"/>
      <c r="C443" s="475"/>
      <c r="D443" s="475"/>
      <c r="E443" s="475"/>
      <c r="F443" s="99"/>
      <c r="G443" s="475"/>
      <c r="H443" s="475"/>
      <c r="I443" s="475"/>
      <c r="J443" s="475"/>
      <c r="K443" s="475"/>
      <c r="L443" s="475"/>
      <c r="M443" s="475"/>
      <c r="N443" s="475"/>
      <c r="O443" s="475"/>
      <c r="P443" s="475"/>
      <c r="Q443" s="475"/>
      <c r="R443" s="475"/>
      <c r="S443" s="475"/>
      <c r="T443" s="475"/>
      <c r="U443" s="475"/>
      <c r="V443" s="475"/>
      <c r="W443" s="475"/>
      <c r="X443" s="475"/>
      <c r="Y443" s="475"/>
      <c r="Z443" s="475"/>
      <c r="AA443" s="475"/>
      <c r="AB443" s="475"/>
      <c r="AC443" s="475"/>
      <c r="AD443" s="475"/>
      <c r="AE443" s="475"/>
      <c r="AF443" s="475"/>
      <c r="AG443" s="475"/>
      <c r="AH443" s="475"/>
      <c r="AI443" s="459"/>
      <c r="AJ443" s="475"/>
      <c r="AK443" s="475"/>
      <c r="AL443" s="475"/>
      <c r="AM443" s="475"/>
      <c r="AN443" s="475"/>
      <c r="AO443" s="475"/>
      <c r="AP443" s="475"/>
      <c r="AQ443" s="475"/>
      <c r="AR443" s="475"/>
      <c r="AS443" s="475"/>
      <c r="AT443" s="475"/>
      <c r="AU443" s="475"/>
      <c r="AV443" s="475"/>
      <c r="AW443" s="475"/>
      <c r="AX443" s="475"/>
      <c r="AY443" s="475"/>
      <c r="AZ443" s="459"/>
      <c r="BA443" s="459"/>
      <c r="BB443" s="459"/>
      <c r="BC443" s="459"/>
      <c r="BD443" s="459"/>
      <c r="BE443" s="459"/>
      <c r="BF443" s="459"/>
      <c r="BG443" s="459"/>
      <c r="BH443" s="459"/>
      <c r="BI443" s="459"/>
      <c r="BJ443" s="459"/>
      <c r="BK443" s="459"/>
      <c r="BL443" s="459"/>
      <c r="BM443" s="474"/>
      <c r="BN443" s="474"/>
      <c r="BO443" s="474"/>
      <c r="BP443" s="474"/>
      <c r="BQ443" s="475"/>
      <c r="BR443" s="475"/>
    </row>
    <row r="444" ht="15.75" customHeight="1">
      <c r="A444" s="475"/>
      <c r="B444" s="475"/>
      <c r="C444" s="475"/>
      <c r="D444" s="475"/>
      <c r="E444" s="475"/>
      <c r="F444" s="99"/>
      <c r="G444" s="475"/>
      <c r="H444" s="475"/>
      <c r="I444" s="475"/>
      <c r="J444" s="475"/>
      <c r="K444" s="475"/>
      <c r="L444" s="475"/>
      <c r="M444" s="475"/>
      <c r="N444" s="475"/>
      <c r="O444" s="475"/>
      <c r="P444" s="475"/>
      <c r="Q444" s="475"/>
      <c r="R444" s="475"/>
      <c r="S444" s="475"/>
      <c r="T444" s="475"/>
      <c r="U444" s="475"/>
      <c r="V444" s="475"/>
      <c r="W444" s="475"/>
      <c r="X444" s="475"/>
      <c r="Y444" s="475"/>
      <c r="Z444" s="475"/>
      <c r="AA444" s="475"/>
      <c r="AB444" s="475"/>
      <c r="AC444" s="475"/>
      <c r="AD444" s="475"/>
      <c r="AE444" s="475"/>
      <c r="AF444" s="475"/>
      <c r="AG444" s="475"/>
      <c r="AH444" s="475"/>
      <c r="AI444" s="459"/>
      <c r="AJ444" s="475"/>
      <c r="AK444" s="475"/>
      <c r="AL444" s="475"/>
      <c r="AM444" s="475"/>
      <c r="AN444" s="475"/>
      <c r="AO444" s="475"/>
      <c r="AP444" s="475"/>
      <c r="AQ444" s="475"/>
      <c r="AR444" s="475"/>
      <c r="AS444" s="475"/>
      <c r="AT444" s="475"/>
      <c r="AU444" s="475"/>
      <c r="AV444" s="475"/>
      <c r="AW444" s="475"/>
      <c r="AX444" s="475"/>
      <c r="AY444" s="475"/>
      <c r="AZ444" s="459"/>
      <c r="BA444" s="459"/>
      <c r="BB444" s="459"/>
      <c r="BC444" s="459"/>
      <c r="BD444" s="459"/>
      <c r="BE444" s="459"/>
      <c r="BF444" s="459"/>
      <c r="BG444" s="459"/>
      <c r="BH444" s="459"/>
      <c r="BI444" s="459"/>
      <c r="BJ444" s="459"/>
      <c r="BK444" s="459"/>
      <c r="BL444" s="459"/>
      <c r="BM444" s="474"/>
      <c r="BN444" s="474"/>
      <c r="BO444" s="474"/>
      <c r="BP444" s="474"/>
      <c r="BQ444" s="475"/>
      <c r="BR444" s="475"/>
    </row>
    <row r="445" ht="15.75" customHeight="1">
      <c r="A445" s="475"/>
      <c r="B445" s="475"/>
      <c r="C445" s="475"/>
      <c r="D445" s="475"/>
      <c r="E445" s="475"/>
      <c r="F445" s="99"/>
      <c r="G445" s="475"/>
      <c r="H445" s="475"/>
      <c r="I445" s="475"/>
      <c r="J445" s="475"/>
      <c r="K445" s="475"/>
      <c r="L445" s="475"/>
      <c r="M445" s="475"/>
      <c r="N445" s="475"/>
      <c r="O445" s="475"/>
      <c r="P445" s="475"/>
      <c r="Q445" s="475"/>
      <c r="R445" s="475"/>
      <c r="S445" s="475"/>
      <c r="T445" s="475"/>
      <c r="U445" s="475"/>
      <c r="V445" s="475"/>
      <c r="W445" s="475"/>
      <c r="X445" s="475"/>
      <c r="Y445" s="475"/>
      <c r="Z445" s="475"/>
      <c r="AA445" s="475"/>
      <c r="AB445" s="475"/>
      <c r="AC445" s="475"/>
      <c r="AD445" s="475"/>
      <c r="AE445" s="475"/>
      <c r="AF445" s="475"/>
      <c r="AG445" s="475"/>
      <c r="AH445" s="475"/>
      <c r="AI445" s="459"/>
      <c r="AJ445" s="475"/>
      <c r="AK445" s="475"/>
      <c r="AL445" s="475"/>
      <c r="AM445" s="475"/>
      <c r="AN445" s="475"/>
      <c r="AO445" s="475"/>
      <c r="AP445" s="475"/>
      <c r="AQ445" s="475"/>
      <c r="AR445" s="475"/>
      <c r="AS445" s="475"/>
      <c r="AT445" s="475"/>
      <c r="AU445" s="475"/>
      <c r="AV445" s="475"/>
      <c r="AW445" s="475"/>
      <c r="AX445" s="475"/>
      <c r="AY445" s="475"/>
      <c r="AZ445" s="459"/>
      <c r="BA445" s="459"/>
      <c r="BB445" s="459"/>
      <c r="BC445" s="459"/>
      <c r="BD445" s="459"/>
      <c r="BE445" s="459"/>
      <c r="BF445" s="459"/>
      <c r="BG445" s="459"/>
      <c r="BH445" s="459"/>
      <c r="BI445" s="459"/>
      <c r="BJ445" s="459"/>
      <c r="BK445" s="459"/>
      <c r="BL445" s="459"/>
      <c r="BM445" s="474"/>
      <c r="BN445" s="474"/>
      <c r="BO445" s="474"/>
      <c r="BP445" s="474"/>
      <c r="BQ445" s="475"/>
      <c r="BR445" s="475"/>
    </row>
    <row r="446" ht="15.75" customHeight="1">
      <c r="A446" s="475"/>
      <c r="B446" s="475"/>
      <c r="C446" s="475"/>
      <c r="D446" s="475"/>
      <c r="E446" s="475"/>
      <c r="F446" s="99"/>
      <c r="G446" s="475"/>
      <c r="H446" s="475"/>
      <c r="I446" s="475"/>
      <c r="J446" s="475"/>
      <c r="K446" s="475"/>
      <c r="L446" s="475"/>
      <c r="M446" s="475"/>
      <c r="N446" s="475"/>
      <c r="O446" s="475"/>
      <c r="P446" s="475"/>
      <c r="Q446" s="475"/>
      <c r="R446" s="475"/>
      <c r="S446" s="475"/>
      <c r="T446" s="475"/>
      <c r="U446" s="475"/>
      <c r="V446" s="475"/>
      <c r="W446" s="475"/>
      <c r="X446" s="475"/>
      <c r="Y446" s="475"/>
      <c r="Z446" s="475"/>
      <c r="AA446" s="475"/>
      <c r="AB446" s="475"/>
      <c r="AC446" s="475"/>
      <c r="AD446" s="475"/>
      <c r="AE446" s="475"/>
      <c r="AF446" s="475"/>
      <c r="AG446" s="475"/>
      <c r="AH446" s="475"/>
      <c r="AI446" s="459"/>
      <c r="AJ446" s="475"/>
      <c r="AK446" s="475"/>
      <c r="AL446" s="475"/>
      <c r="AM446" s="475"/>
      <c r="AN446" s="475"/>
      <c r="AO446" s="475"/>
      <c r="AP446" s="475"/>
      <c r="AQ446" s="475"/>
      <c r="AR446" s="475"/>
      <c r="AS446" s="475"/>
      <c r="AT446" s="475"/>
      <c r="AU446" s="475"/>
      <c r="AV446" s="475"/>
      <c r="AW446" s="475"/>
      <c r="AX446" s="475"/>
      <c r="AY446" s="475"/>
      <c r="AZ446" s="459"/>
      <c r="BA446" s="459"/>
      <c r="BB446" s="459"/>
      <c r="BC446" s="459"/>
      <c r="BD446" s="459"/>
      <c r="BE446" s="459"/>
      <c r="BF446" s="459"/>
      <c r="BG446" s="459"/>
      <c r="BH446" s="459"/>
      <c r="BI446" s="459"/>
      <c r="BJ446" s="459"/>
      <c r="BK446" s="459"/>
      <c r="BL446" s="459"/>
      <c r="BM446" s="474"/>
      <c r="BN446" s="474"/>
      <c r="BO446" s="474"/>
      <c r="BP446" s="474"/>
      <c r="BQ446" s="475"/>
      <c r="BR446" s="475"/>
    </row>
  </sheetData>
  <customSheetViews>
    <customSheetView guid="{C6B3F11B-2522-4E94-9D39-1741B02ABB90}" filter="1" showAutoFilter="1">
      <autoFilter ref="$C$1:$BR$446">
        <filterColumn colId="24">
          <filters>
            <filter val="Não"/>
          </filters>
        </filterColumn>
      </autoFilter>
      <extLst>
        <ext uri="GoogleSheetsCustomDataVersion1">
          <go:sheetsCustomData xmlns:go="http://customooxmlschemas.google.com/" filterViewId="1281145354"/>
        </ext>
      </extLst>
    </customSheetView>
    <customSheetView guid="{3367D11E-D6B6-42A0-85D7-EE8FE1DD7D41}" filter="1" showAutoFilter="1">
      <autoFilter ref="$C$1:$BR$446">
        <filterColumn colId="30">
          <filters>
            <filter val="NIS"/>
            <filter val="s/i"/>
          </filters>
        </filterColumn>
      </autoFilter>
      <extLst>
        <ext uri="GoogleSheetsCustomDataVersion1">
          <go:sheetsCustomData xmlns:go="http://customooxmlschemas.google.com/" filterViewId="936029014"/>
        </ext>
      </extLst>
    </customSheetView>
  </customSheetViews>
  <dataValidations>
    <dataValidation type="list" allowBlank="1" showErrorMessage="1" sqref="R33:R38 R81 R95 R117:R122 R192:R196">
      <formula1>"Instituto/Fundação,Empresa,OSC,Setor Público,Doador individual"</formula1>
    </dataValidation>
    <dataValidation type="list" allowBlank="1" showErrorMessage="1" sqref="G2:H150 G152:H250">
      <formula1>"n/a,Redução de desperdício,Produção de alimento,Redução de perda,Segurança nutricional,Alívio da fome,Acesso à água/saneamento"</formula1>
    </dataValidation>
    <dataValidation type="list" allowBlank="1" showErrorMessage="1" sqref="E2:E150 E152:E246 E248:E250">
      <formula1>"Projeto,Programa,s/i,Campanha,Articulação multissetorial,NIS"</formula1>
    </dataValidation>
    <dataValidation type="list" allowBlank="1" showErrorMessage="1" sqref="R2:R32 R39:R80 R82:R94 R96:R116 R123:R150 R152:R191 R197:R250">
      <formula1>"Instituto/Fundação,Empresa,OSC,Setor público,Híbrido"</formula1>
    </dataValidation>
    <dataValidation type="list" allowBlank="1" showErrorMessage="1" sqref="P2:P150 P152:P250">
      <formula1>"2020,2021,2022,2023,2018,s/i,2019,2015,2014,2011,n/a,2002,2007,2005,2009"</formula1>
    </dataValidation>
    <dataValidation type="list" allowBlank="1" showErrorMessage="1" sqref="AG2:AG92 AG94:AG150 AG152:AG250">
      <formula1>"Setor público,OSC,NIS,Instituto/fundação,Empresa,n/a,s/i"</formula1>
    </dataValidation>
    <dataValidation type="list" allowBlank="1" showErrorMessage="1" sqref="I2:I150 I152:I250">
      <formula1>"Produção e/ou disseminação de conhecimento,Produção de alimentos,Doação de alimentos,Conexão entre atores,Doação de recursos"</formula1>
    </dataValidation>
    <dataValidation type="list" allowBlank="1" showErrorMessage="1" sqref="S2:AA55 S56:U56 W56:AA56 S57:AA57 S58:U58 W58:AA58 S59:AA60 W61:AA76 S61:U77 Y77:AA77 S78:AA78 W79:AA86 S79:U95 X87:AA95 S96:AA96 X97:AA97 Y98:AA115 S97:U132 Z116:Z132 J2:J150 S133:T150 AK2:AQ150 J152:J250 S152:AA250 AH2:AH250 AK152:AQ250">
      <formula1>"Sim,Não"</formula1>
    </dataValidation>
    <dataValidation type="list" allowBlank="1" showErrorMessage="1" sqref="Q2:Q150 Q152:Q250">
      <formula1>"Concluído,Em andamento,s/i"</formula1>
    </dataValidation>
    <dataValidation type="list" allowBlank="1" showErrorMessage="1" sqref="L2:O150 L152:O250">
      <formula1>"Não,Sim,s/i"</formula1>
    </dataValidation>
    <dataValidation type="list" allowBlank="1" showErrorMessage="1" sqref="AI2:AI150 AU2:AY150 BJ2:BL150 AI152:AI250 AU152:AY250 BJ152:BL250">
      <formula1>"Sim,Não,s/i"</formula1>
    </dataValidation>
    <dataValidation type="list" allowBlank="1" showErrorMessage="1" sqref="AE2:AE150 AZ2:BI150 AE152:AE250 AZ152:BI250">
      <formula1>"Não,Sim"</formula1>
    </dataValidation>
    <dataValidation type="list" allowBlank="1" showErrorMessage="1" sqref="AR2:AR150 AR152:AR250">
      <formula1>"Local,Nacional,Estadual,s/i"</formula1>
    </dataValidation>
  </dataValidations>
  <hyperlinks>
    <hyperlink r:id="rId2" ref="BM2"/>
    <hyperlink r:id="rId3" ref="BN2"/>
    <hyperlink r:id="rId4" ref="BM3"/>
    <hyperlink r:id="rId5" ref="BN3"/>
    <hyperlink r:id="rId6" ref="BO3"/>
    <hyperlink r:id="rId7" ref="BP3"/>
    <hyperlink r:id="rId8" ref="BM4"/>
    <hyperlink r:id="rId9" ref="BN4"/>
    <hyperlink r:id="rId10" ref="BM5"/>
    <hyperlink r:id="rId11" ref="BN5"/>
    <hyperlink r:id="rId12" ref="BO5"/>
    <hyperlink r:id="rId13" ref="BM6"/>
    <hyperlink r:id="rId14" ref="BN6"/>
    <hyperlink r:id="rId15" ref="BO6"/>
    <hyperlink r:id="rId16" ref="BP6"/>
    <hyperlink r:id="rId17" ref="BM7"/>
    <hyperlink r:id="rId18" ref="BN7"/>
    <hyperlink r:id="rId19" ref="BO7"/>
    <hyperlink r:id="rId20" ref="BM8"/>
    <hyperlink r:id="rId21" ref="BN8"/>
    <hyperlink r:id="rId22" ref="BO8"/>
    <hyperlink r:id="rId23" ref="BM9"/>
    <hyperlink r:id="rId24" ref="BM10"/>
    <hyperlink r:id="rId25" ref="BM11"/>
    <hyperlink r:id="rId26" ref="BM12"/>
    <hyperlink r:id="rId27" ref="BN12"/>
    <hyperlink r:id="rId28" ref="BO12"/>
    <hyperlink r:id="rId29" ref="BP12"/>
    <hyperlink r:id="rId30" ref="BQ12"/>
    <hyperlink r:id="rId31" ref="BM13"/>
    <hyperlink r:id="rId32" ref="BM14"/>
    <hyperlink r:id="rId33" ref="BN14"/>
    <hyperlink r:id="rId34" ref="BO14"/>
    <hyperlink r:id="rId35" ref="BM15"/>
    <hyperlink r:id="rId36" ref="BM16"/>
    <hyperlink r:id="rId37" ref="BN16"/>
    <hyperlink r:id="rId38" ref="BM17"/>
    <hyperlink r:id="rId39" ref="BM18"/>
    <hyperlink r:id="rId40" ref="BN18"/>
    <hyperlink r:id="rId41" ref="BO18"/>
    <hyperlink r:id="rId42" ref="BM19"/>
    <hyperlink r:id="rId43" ref="BN19"/>
    <hyperlink r:id="rId44" ref="BM20"/>
    <hyperlink r:id="rId45" ref="BN20"/>
    <hyperlink r:id="rId46" ref="BO20"/>
    <hyperlink r:id="rId47" ref="BM21"/>
    <hyperlink r:id="rId48" ref="BN21"/>
    <hyperlink r:id="rId49" ref="BM22"/>
    <hyperlink r:id="rId50" ref="BM23"/>
    <hyperlink r:id="rId51" ref="BM24"/>
    <hyperlink r:id="rId52" ref="BM25"/>
    <hyperlink r:id="rId53" ref="BM26"/>
    <hyperlink r:id="rId54" ref="BM27"/>
    <hyperlink r:id="rId55" ref="BM28"/>
    <hyperlink r:id="rId56" ref="BN28"/>
    <hyperlink r:id="rId57" ref="BO28"/>
    <hyperlink r:id="rId58" location=":~:text=Transporte%20foi%20realizado%20em%20parceria,companhias%20para%20adquirir%20as%20refei%C3%A7%C3%B5es&amp;text=A%20Latam%20transportou%20gratuitamente%20nesta,que%20atingem%20o%20litoral%20paulista." ref="BM29"/>
    <hyperlink r:id="rId59" ref="BM30"/>
    <hyperlink r:id="rId60" ref="BN30"/>
    <hyperlink r:id="rId61" ref="BM31"/>
    <hyperlink r:id="rId62" ref="BN31"/>
    <hyperlink r:id="rId63" ref="BM32"/>
    <hyperlink r:id="rId64" ref="BN32"/>
    <hyperlink r:id="rId65" ref="BM33"/>
    <hyperlink r:id="rId66" ref="BN33"/>
    <hyperlink r:id="rId67" ref="BM34"/>
    <hyperlink r:id="rId68" ref="BN34"/>
    <hyperlink r:id="rId69" ref="BM35"/>
    <hyperlink r:id="rId70" ref="BN35"/>
    <hyperlink r:id="rId71" ref="BM36"/>
    <hyperlink r:id="rId72" ref="BN36"/>
    <hyperlink r:id="rId73" location="ativa-juventude" ref="BM37"/>
    <hyperlink r:id="rId74" ref="BN37"/>
    <hyperlink r:id="rId75" ref="BO37"/>
    <hyperlink r:id="rId76" location="ativa-infancia" ref="BM38"/>
    <hyperlink r:id="rId77" ref="BN38"/>
    <hyperlink r:id="rId78" ref="BO38"/>
    <hyperlink r:id="rId79" ref="BM39"/>
    <hyperlink r:id="rId80" ref="BN39"/>
    <hyperlink r:id="rId81" ref="BM40"/>
    <hyperlink r:id="rId82" ref="BN40"/>
    <hyperlink r:id="rId83" ref="BO40"/>
    <hyperlink r:id="rId84" ref="BM41"/>
    <hyperlink r:id="rId85" ref="BN41"/>
    <hyperlink r:id="rId86" ref="BO41"/>
    <hyperlink r:id="rId87" ref="BM42"/>
    <hyperlink r:id="rId88" ref="BN42"/>
    <hyperlink r:id="rId89" ref="BM43"/>
    <hyperlink r:id="rId90" ref="BN43"/>
    <hyperlink r:id="rId91" ref="BO43"/>
    <hyperlink r:id="rId92" ref="BP43"/>
    <hyperlink r:id="rId93" ref="BM44"/>
    <hyperlink r:id="rId94" ref="BN44"/>
    <hyperlink r:id="rId95" ref="BO44"/>
    <hyperlink r:id="rId96" ref="BM45"/>
    <hyperlink r:id="rId97" ref="BN45"/>
    <hyperlink r:id="rId98" ref="BO45"/>
    <hyperlink r:id="rId99" ref="BP45"/>
    <hyperlink r:id="rId100" ref="BM46"/>
    <hyperlink r:id="rId101" ref="BN46"/>
    <hyperlink r:id="rId102" ref="BO46"/>
    <hyperlink r:id="rId103" ref="BM47"/>
    <hyperlink r:id="rId104" ref="BN47"/>
    <hyperlink r:id="rId105" ref="BO47"/>
    <hyperlink r:id="rId106" ref="BP47"/>
    <hyperlink r:id="rId107" ref="BQ47"/>
    <hyperlink r:id="rId108" ref="BM48"/>
    <hyperlink r:id="rId109" ref="BN48"/>
    <hyperlink r:id="rId110" ref="BO48"/>
    <hyperlink r:id="rId111" ref="BP48"/>
    <hyperlink r:id="rId112" ref="BM49"/>
    <hyperlink r:id="rId113" ref="BN49"/>
    <hyperlink r:id="rId114" ref="BO49"/>
    <hyperlink r:id="rId115" ref="BP49"/>
    <hyperlink r:id="rId116" ref="BM50"/>
    <hyperlink r:id="rId117" ref="BN50"/>
    <hyperlink r:id="rId118" location="inicio" ref="BO50"/>
    <hyperlink r:id="rId119" ref="BP50"/>
    <hyperlink r:id="rId120" ref="BM51"/>
    <hyperlink r:id="rId121" ref="BN51"/>
    <hyperlink r:id="rId122" ref="BO51"/>
    <hyperlink r:id="rId123" ref="BM52"/>
    <hyperlink r:id="rId124" ref="BN52"/>
    <hyperlink r:id="rId125" ref="BO52"/>
    <hyperlink r:id="rId126" ref="BP52"/>
    <hyperlink r:id="rId127" ref="BQ52"/>
    <hyperlink r:id="rId128" ref="BM53"/>
    <hyperlink r:id="rId129" ref="BN53"/>
    <hyperlink r:id="rId130" ref="BO53"/>
    <hyperlink r:id="rId131" ref="BP53"/>
    <hyperlink r:id="rId132" ref="BQ53"/>
    <hyperlink r:id="rId133" ref="BM54"/>
    <hyperlink r:id="rId134" ref="BN54"/>
    <hyperlink r:id="rId135" ref="BO54"/>
    <hyperlink r:id="rId136" ref="BP54"/>
    <hyperlink r:id="rId137" ref="BM55"/>
    <hyperlink r:id="rId138" ref="BN55"/>
    <hyperlink r:id="rId139" ref="BM56"/>
    <hyperlink r:id="rId140" ref="BN56"/>
    <hyperlink r:id="rId141" ref="BM57"/>
    <hyperlink r:id="rId142" ref="BN57"/>
    <hyperlink r:id="rId143" ref="BM58"/>
    <hyperlink r:id="rId144" ref="BN58"/>
    <hyperlink r:id="rId145" ref="BM59"/>
    <hyperlink r:id="rId146" ref="BN59"/>
    <hyperlink r:id="rId147" ref="BO59"/>
    <hyperlink r:id="rId148" ref="BP59"/>
    <hyperlink r:id="rId149" ref="BM60"/>
    <hyperlink r:id="rId150" ref="BM61"/>
    <hyperlink r:id="rId151" ref="BN61"/>
    <hyperlink r:id="rId152" ref="BM62"/>
    <hyperlink r:id="rId153" ref="BN62"/>
    <hyperlink r:id="rId154" ref="BM63"/>
    <hyperlink r:id="rId155" ref="BM64"/>
    <hyperlink r:id="rId156" ref="BN64"/>
    <hyperlink r:id="rId157" ref="BM65"/>
    <hyperlink r:id="rId158" ref="BN65"/>
    <hyperlink r:id="rId159" ref="BM66"/>
    <hyperlink r:id="rId160" ref="BN66"/>
    <hyperlink r:id="rId161" ref="BM67"/>
    <hyperlink r:id="rId162" ref="BN67"/>
    <hyperlink r:id="rId163" ref="BM68"/>
    <hyperlink r:id="rId164" ref="BN68"/>
    <hyperlink r:id="rId165" location="2" ref="BM69"/>
    <hyperlink r:id="rId166" ref="BN69"/>
    <hyperlink r:id="rId167" ref="BM70"/>
    <hyperlink r:id="rId168" ref="BN70"/>
    <hyperlink r:id="rId169" ref="BO70"/>
    <hyperlink r:id="rId170" ref="BP70"/>
    <hyperlink r:id="rId171" ref="B71"/>
    <hyperlink r:id="rId172" ref="BM71"/>
    <hyperlink r:id="rId173" ref="BM72"/>
    <hyperlink r:id="rId174" ref="BN72"/>
    <hyperlink r:id="rId175" ref="BO72"/>
    <hyperlink r:id="rId176" ref="BM73"/>
    <hyperlink r:id="rId177" ref="BM74"/>
    <hyperlink r:id="rId178" ref="BM75"/>
    <hyperlink r:id="rId179" ref="BN75"/>
    <hyperlink r:id="rId180" ref="BM76"/>
    <hyperlink r:id="rId181" ref="BM77"/>
    <hyperlink r:id="rId182" ref="BN77"/>
    <hyperlink r:id="rId183" ref="B78"/>
    <hyperlink r:id="rId184" ref="BM78"/>
    <hyperlink r:id="rId185" ref="BN78"/>
    <hyperlink r:id="rId186" ref="BO78"/>
    <hyperlink r:id="rId187" ref="BP78"/>
    <hyperlink r:id="rId188" ref="BM79"/>
    <hyperlink r:id="rId189" ref="BN79"/>
    <hyperlink r:id="rId190" ref="BO79"/>
    <hyperlink r:id="rId191" ref="BP79"/>
    <hyperlink r:id="rId192" ref="BM80"/>
    <hyperlink r:id="rId193" ref="BN80"/>
    <hyperlink r:id="rId194" ref="BM81"/>
    <hyperlink r:id="rId195" ref="BN81"/>
    <hyperlink r:id="rId196" ref="BO81"/>
    <hyperlink r:id="rId197" ref="BP81"/>
    <hyperlink r:id="rId198" ref="BM82"/>
    <hyperlink r:id="rId199" ref="BM83"/>
    <hyperlink r:id="rId200" ref="BN83"/>
    <hyperlink r:id="rId201" ref="BO83"/>
    <hyperlink r:id="rId202" ref="BM84"/>
    <hyperlink r:id="rId203" ref="BN84"/>
    <hyperlink r:id="rId204" ref="BM85"/>
    <hyperlink r:id="rId205" ref="BN85"/>
    <hyperlink r:id="rId206" ref="BO85"/>
    <hyperlink r:id="rId207" ref="BM86"/>
    <hyperlink r:id="rId208" ref="BN86"/>
    <hyperlink r:id="rId209" ref="BO86"/>
    <hyperlink r:id="rId210" ref="BP86"/>
    <hyperlink r:id="rId211" ref="BM87"/>
    <hyperlink r:id="rId212" location="publicacoes" ref="BN87"/>
    <hyperlink r:id="rId213" ref="BO87"/>
    <hyperlink r:id="rId214" ref="BP87"/>
    <hyperlink r:id="rId215" ref="BM88"/>
    <hyperlink r:id="rId216" ref="BN88"/>
    <hyperlink r:id="rId217" ref="BO88"/>
    <hyperlink r:id="rId218" ref="BM89"/>
    <hyperlink r:id="rId219" ref="BN89"/>
    <hyperlink r:id="rId220" ref="BM90"/>
    <hyperlink r:id="rId221" ref="BN90"/>
    <hyperlink r:id="rId222" ref="BM91"/>
    <hyperlink r:id="rId223" ref="BN91"/>
    <hyperlink r:id="rId224" ref="BM92"/>
    <hyperlink r:id="rId225" ref="BN92"/>
    <hyperlink r:id="rId226" ref="BO92"/>
    <hyperlink r:id="rId227" ref="BM93"/>
    <hyperlink r:id="rId228" ref="BN93"/>
    <hyperlink r:id="rId229" ref="BO93"/>
    <hyperlink r:id="rId230" ref="BP93"/>
    <hyperlink r:id="rId231" ref="BQ93"/>
    <hyperlink r:id="rId232" ref="BM94"/>
    <hyperlink r:id="rId233" ref="BN94"/>
    <hyperlink r:id="rId234" ref="BO94"/>
    <hyperlink r:id="rId235" ref="BP94"/>
    <hyperlink r:id="rId236" ref="BM95"/>
    <hyperlink r:id="rId237" ref="BN95"/>
    <hyperlink r:id="rId238" ref="BO95"/>
    <hyperlink r:id="rId239" ref="BP95"/>
    <hyperlink r:id="rId240" ref="BM96"/>
    <hyperlink r:id="rId241" ref="BN96"/>
    <hyperlink r:id="rId242" ref="BO96"/>
    <hyperlink r:id="rId243" ref="BP96"/>
    <hyperlink r:id="rId244" ref="BM97"/>
    <hyperlink r:id="rId245" ref="BN97"/>
    <hyperlink r:id="rId246" ref="BO97"/>
    <hyperlink r:id="rId247" ref="BM98"/>
    <hyperlink r:id="rId248" ref="BN98"/>
    <hyperlink r:id="rId249" ref="BO98"/>
    <hyperlink r:id="rId250" ref="BP98"/>
    <hyperlink r:id="rId251" ref="BM99"/>
    <hyperlink r:id="rId252" ref="BN99"/>
    <hyperlink r:id="rId253" ref="BO99"/>
    <hyperlink r:id="rId254" ref="BM100"/>
    <hyperlink r:id="rId255" ref="BN100"/>
    <hyperlink r:id="rId256" ref="BM101"/>
    <hyperlink r:id="rId257" ref="BN101"/>
    <hyperlink r:id="rId258" ref="BM102"/>
    <hyperlink r:id="rId259" ref="BN102"/>
    <hyperlink r:id="rId260" ref="B103"/>
    <hyperlink r:id="rId261" ref="BM103"/>
    <hyperlink r:id="rId262" location="prato-cheio-para-todos" ref="BN103"/>
    <hyperlink r:id="rId263" ref="BO103"/>
    <hyperlink r:id="rId264" ref="BP103"/>
    <hyperlink r:id="rId265" ref="BQ103"/>
    <hyperlink r:id="rId266" ref="BM104"/>
    <hyperlink r:id="rId267" ref="BN104"/>
    <hyperlink r:id="rId268" ref="BO104"/>
    <hyperlink r:id="rId269" ref="BP104"/>
    <hyperlink r:id="rId270" ref="BM105"/>
    <hyperlink r:id="rId271" ref="BN105"/>
    <hyperlink r:id="rId272" ref="BO105"/>
    <hyperlink r:id="rId273" ref="BM106"/>
    <hyperlink r:id="rId274" ref="BN106"/>
    <hyperlink r:id="rId275" ref="BM107"/>
    <hyperlink r:id="rId276" ref="BN107"/>
    <hyperlink r:id="rId277" ref="BM108"/>
    <hyperlink r:id="rId278" ref="BN108"/>
    <hyperlink r:id="rId279" ref="BM109"/>
    <hyperlink r:id="rId280" ref="BN109"/>
    <hyperlink r:id="rId281" ref="BO109"/>
    <hyperlink r:id="rId282" ref="BP109"/>
    <hyperlink r:id="rId283" ref="BM110"/>
    <hyperlink r:id="rId284" ref="BM111"/>
    <hyperlink r:id="rId285" ref="BM112"/>
    <hyperlink r:id="rId286" ref="BM113"/>
    <hyperlink r:id="rId287" ref="BN113"/>
    <hyperlink r:id="rId288" ref="BO113"/>
    <hyperlink r:id="rId289" ref="BM114"/>
    <hyperlink r:id="rId290" ref="BN114"/>
    <hyperlink r:id="rId291" ref="BO114"/>
    <hyperlink r:id="rId292" ref="BP114"/>
    <hyperlink r:id="rId293" ref="BM115"/>
    <hyperlink r:id="rId294" ref="BN115"/>
    <hyperlink r:id="rId295" ref="BM116"/>
    <hyperlink r:id="rId296" ref="BN116"/>
    <hyperlink r:id="rId297" ref="BO116"/>
    <hyperlink r:id="rId298" ref="BP116"/>
    <hyperlink r:id="rId299" ref="BM117"/>
    <hyperlink r:id="rId300" ref="BN117"/>
    <hyperlink r:id="rId301" ref="BO117"/>
    <hyperlink r:id="rId302" ref="BM118"/>
    <hyperlink r:id="rId303" ref="BN118"/>
    <hyperlink r:id="rId304" ref="BO118"/>
    <hyperlink r:id="rId305" ref="BP118"/>
    <hyperlink r:id="rId306" ref="BM119"/>
    <hyperlink r:id="rId307" ref="BN119"/>
    <hyperlink r:id="rId308" ref="BM120"/>
    <hyperlink r:id="rId309" ref="BN120"/>
    <hyperlink r:id="rId310" ref="BO120"/>
    <hyperlink r:id="rId311" ref="BM121"/>
    <hyperlink r:id="rId312" ref="BM122"/>
    <hyperlink r:id="rId313" location="sobre" ref="BN122"/>
    <hyperlink r:id="rId314" ref="BO122"/>
    <hyperlink r:id="rId315" ref="BM123"/>
    <hyperlink r:id="rId316" ref="BN123"/>
    <hyperlink r:id="rId317" ref="BO123"/>
    <hyperlink r:id="rId318" ref="BM124"/>
    <hyperlink r:id="rId319" ref="BN124"/>
    <hyperlink r:id="rId320" ref="BO124"/>
    <hyperlink r:id="rId321" ref="BM125"/>
    <hyperlink r:id="rId322" ref="BN125"/>
    <hyperlink r:id="rId323" ref="BO125"/>
    <hyperlink r:id="rId324" ref="BP125"/>
    <hyperlink r:id="rId325" ref="BQ125"/>
    <hyperlink r:id="rId326" ref="BM126"/>
    <hyperlink r:id="rId327" ref="BN126"/>
    <hyperlink r:id="rId328" ref="BM127"/>
    <hyperlink r:id="rId329" ref="BN127"/>
    <hyperlink r:id="rId330" ref="BO127"/>
    <hyperlink r:id="rId331" ref="BM128"/>
    <hyperlink r:id="rId332" ref="BN128"/>
    <hyperlink r:id="rId333" ref="BO128"/>
    <hyperlink r:id="rId334" ref="BP128"/>
    <hyperlink r:id="rId335" ref="BM129"/>
    <hyperlink r:id="rId336" ref="BM130"/>
    <hyperlink r:id="rId337" ref="BN130"/>
    <hyperlink r:id="rId338" ref="BM131"/>
    <hyperlink r:id="rId339" ref="BN131"/>
    <hyperlink r:id="rId340" ref="BM132"/>
    <hyperlink r:id="rId341" ref="BN132"/>
    <hyperlink r:id="rId342" ref="BO132"/>
    <hyperlink r:id="rId343" ref="BM133"/>
    <hyperlink r:id="rId344" ref="BN133"/>
    <hyperlink r:id="rId345" ref="BM134"/>
    <hyperlink r:id="rId346" ref="BM135"/>
    <hyperlink r:id="rId347" ref="BM136"/>
    <hyperlink r:id="rId348" ref="BN136"/>
    <hyperlink r:id="rId349" ref="BO136"/>
    <hyperlink r:id="rId350" ref="BM137"/>
    <hyperlink r:id="rId351" ref="BM138"/>
    <hyperlink r:id="rId352" ref="BM139"/>
    <hyperlink r:id="rId353" ref="BN139"/>
    <hyperlink r:id="rId354" ref="BM140"/>
    <hyperlink r:id="rId355" ref="BM141"/>
    <hyperlink r:id="rId356" ref="BM142"/>
    <hyperlink r:id="rId357" ref="BM143"/>
    <hyperlink r:id="rId358" ref="BN143"/>
    <hyperlink r:id="rId359" ref="BO143"/>
    <hyperlink r:id="rId360" ref="BM144"/>
    <hyperlink r:id="rId361" ref="BM145"/>
    <hyperlink r:id="rId362" ref="BM146"/>
    <hyperlink r:id="rId363" ref="BM147"/>
    <hyperlink r:id="rId364" ref="BM148"/>
    <hyperlink r:id="rId365" ref="BM149"/>
    <hyperlink r:id="rId366" ref="BM150"/>
    <hyperlink r:id="rId367" ref="BM152"/>
    <hyperlink r:id="rId368" ref="BN152"/>
    <hyperlink r:id="rId369" ref="BO152"/>
    <hyperlink r:id="rId370" ref="BP152"/>
    <hyperlink r:id="rId371" ref="BQ152"/>
    <hyperlink r:id="rId372" ref="BM153"/>
    <hyperlink r:id="rId373" ref="BN153"/>
    <hyperlink r:id="rId374" ref="BM154"/>
    <hyperlink r:id="rId375" location=":~:text=O%20PF%20do%20Bem%20n%C3%A3o,Salad%20e%20Veg%20e%20Lev." ref="BN154"/>
    <hyperlink r:id="rId376" ref="BO154"/>
    <hyperlink r:id="rId377" ref="BP154"/>
    <hyperlink r:id="rId378" ref="BM155"/>
    <hyperlink r:id="rId379" ref="BN155"/>
    <hyperlink r:id="rId380" ref="BO155"/>
    <hyperlink r:id="rId381" ref="BM156"/>
    <hyperlink r:id="rId382" ref="BM157"/>
    <hyperlink r:id="rId383" ref="BN157"/>
    <hyperlink r:id="rId384" location="nossosprojetos" ref="BM158"/>
    <hyperlink r:id="rId385" ref="BN158"/>
    <hyperlink r:id="rId386" ref="BM159"/>
    <hyperlink r:id="rId387" ref="BM160"/>
    <hyperlink r:id="rId388" location=":~:text=Parceria%20com%20Comida%20Invis%C3%ADvel%20para%20projeto%20contra%20fome&amp;text=A%20parceria%20com%20a%20Comida,est%C3%A1%20presente%20em%20todo%20Pa%C3%ADs." ref="BN160"/>
    <hyperlink r:id="rId389" ref="BM161"/>
    <hyperlink r:id="rId390" ref="BM162"/>
    <hyperlink r:id="rId391" ref="BM163"/>
    <hyperlink r:id="rId392" location="2" ref="BM164"/>
    <hyperlink r:id="rId393" ref="BN164"/>
    <hyperlink r:id="rId394" ref="BM165"/>
    <hyperlink r:id="rId395" ref="BM166"/>
    <hyperlink r:id="rId396" ref="BM167"/>
    <hyperlink r:id="rId397" ref="BM168"/>
    <hyperlink r:id="rId398" ref="BM169"/>
    <hyperlink r:id="rId399" ref="BN169"/>
    <hyperlink r:id="rId400" ref="BO169"/>
    <hyperlink r:id="rId401" ref="BP169"/>
    <hyperlink r:id="rId402" ref="BM170"/>
    <hyperlink r:id="rId403" ref="BM171"/>
    <hyperlink r:id="rId404" ref="BM172"/>
    <hyperlink r:id="rId405" ref="BN172"/>
    <hyperlink r:id="rId406" ref="BO172"/>
    <hyperlink r:id="rId407" ref="BP172"/>
    <hyperlink r:id="rId408" ref="BM173"/>
    <hyperlink r:id="rId409" ref="BN173"/>
    <hyperlink r:id="rId410" ref="BM174"/>
    <hyperlink r:id="rId411" ref="BN174"/>
    <hyperlink r:id="rId412" ref="BO174"/>
    <hyperlink r:id="rId413" ref="BP174"/>
    <hyperlink r:id="rId414" ref="BM175"/>
    <hyperlink r:id="rId415" ref="BN175"/>
    <hyperlink r:id="rId416" ref="BM176"/>
    <hyperlink r:id="rId417" ref="BM177"/>
    <hyperlink r:id="rId418" ref="BM178"/>
    <hyperlink r:id="rId419" ref="BN178"/>
    <hyperlink r:id="rId420" ref="BO178"/>
    <hyperlink r:id="rId421" ref="BM179"/>
    <hyperlink r:id="rId422" ref="BM180"/>
    <hyperlink r:id="rId423" ref="BM181"/>
    <hyperlink r:id="rId424" ref="BN181"/>
    <hyperlink r:id="rId425" ref="BM182"/>
    <hyperlink r:id="rId426" ref="BM183"/>
    <hyperlink r:id="rId427" ref="BM184"/>
    <hyperlink r:id="rId428" ref="BN184"/>
    <hyperlink r:id="rId429" ref="BO184"/>
    <hyperlink r:id="rId430" ref="BM185"/>
    <hyperlink r:id="rId431" ref="BM186"/>
    <hyperlink r:id="rId432" location="block-40814" ref="BN186"/>
    <hyperlink r:id="rId433" ref="BM187"/>
    <hyperlink r:id="rId434" ref="BM188"/>
    <hyperlink r:id="rId435" ref="BM189"/>
    <hyperlink r:id="rId436" ref="BM190"/>
    <hyperlink r:id="rId437" ref="BN190"/>
    <hyperlink r:id="rId438" ref="BO190"/>
    <hyperlink r:id="rId439" ref="BM191"/>
    <hyperlink r:id="rId440" location="ativa-juventude" ref="BM192"/>
    <hyperlink r:id="rId441" ref="BN192"/>
    <hyperlink r:id="rId442" ref="BO192"/>
    <hyperlink r:id="rId443" location="ativa-infancia" ref="BM193"/>
    <hyperlink r:id="rId444" ref="BN193"/>
    <hyperlink r:id="rId445" ref="BO193"/>
    <hyperlink r:id="rId446" ref="BM194"/>
    <hyperlink r:id="rId447" ref="BN194"/>
    <hyperlink r:id="rId448" ref="BM195"/>
    <hyperlink r:id="rId449" ref="BM196"/>
    <hyperlink r:id="rId450" ref="BN196"/>
    <hyperlink r:id="rId451" ref="BM197"/>
    <hyperlink r:id="rId452" ref="BN197"/>
    <hyperlink r:id="rId453" ref="BO197"/>
    <hyperlink r:id="rId454" ref="BP197"/>
    <hyperlink r:id="rId455" ref="BQ197"/>
    <hyperlink r:id="rId456" ref="BM198"/>
    <hyperlink r:id="rId457" ref="BM199"/>
    <hyperlink r:id="rId458" ref="BM200"/>
    <hyperlink r:id="rId459" ref="BN200"/>
    <hyperlink r:id="rId460" ref="BO200"/>
    <hyperlink r:id="rId461" ref="BM201"/>
    <hyperlink r:id="rId462" ref="BN201"/>
    <hyperlink r:id="rId463" ref="BO201"/>
    <hyperlink r:id="rId464" ref="BM202"/>
    <hyperlink r:id="rId465" ref="BN202"/>
    <hyperlink r:id="rId466" ref="BM203"/>
    <hyperlink r:id="rId467" ref="BN203"/>
    <hyperlink r:id="rId468" ref="BO203"/>
    <hyperlink r:id="rId469" ref="BM204"/>
    <hyperlink r:id="rId470" ref="BN204"/>
    <hyperlink r:id="rId471" ref="BO204"/>
    <hyperlink r:id="rId472" ref="BM205"/>
    <hyperlink r:id="rId473" ref="BN205"/>
    <hyperlink r:id="rId474" ref="BO205"/>
    <hyperlink r:id="rId475" ref="BM206"/>
    <hyperlink r:id="rId476" location="2" ref="BM207"/>
    <hyperlink r:id="rId477" ref="BN207"/>
    <hyperlink r:id="rId478" ref="BM208"/>
    <hyperlink r:id="rId479" ref="BM209"/>
    <hyperlink r:id="rId480" ref="BN209"/>
    <hyperlink r:id="rId481" ref="BO209"/>
    <hyperlink r:id="rId482" ref="BP209"/>
    <hyperlink r:id="rId483" ref="BM210"/>
    <hyperlink r:id="rId484" location="2" ref="BM211"/>
    <hyperlink r:id="rId485" ref="BN211"/>
    <hyperlink r:id="rId486" ref="BM212"/>
    <hyperlink r:id="rId487" ref="BM213"/>
    <hyperlink r:id="rId488" ref="BM214"/>
    <hyperlink r:id="rId489" ref="BN214"/>
    <hyperlink r:id="rId490" ref="BM215"/>
    <hyperlink r:id="rId491" ref="BM216"/>
    <hyperlink r:id="rId492" ref="BM217"/>
    <hyperlink r:id="rId493" ref="BN217"/>
    <hyperlink r:id="rId494" ref="BO217"/>
    <hyperlink r:id="rId495" ref="BM218"/>
    <hyperlink r:id="rId496" ref="BN218"/>
    <hyperlink r:id="rId497" ref="BM219"/>
    <hyperlink r:id="rId498" ref="BN219"/>
    <hyperlink r:id="rId499" ref="BM220"/>
    <hyperlink r:id="rId500" ref="BM221"/>
    <hyperlink r:id="rId501" ref="BN221"/>
    <hyperlink r:id="rId502" ref="BO221"/>
    <hyperlink r:id="rId503" ref="BP221"/>
    <hyperlink r:id="rId504" ref="BM222"/>
    <hyperlink r:id="rId505" ref="BM223"/>
    <hyperlink r:id="rId506" ref="BM224"/>
    <hyperlink r:id="rId507" ref="BN224"/>
    <hyperlink r:id="rId508" ref="BO224"/>
    <hyperlink r:id="rId509" ref="BP224"/>
    <hyperlink r:id="rId510" ref="BM225"/>
    <hyperlink r:id="rId511" ref="BM226"/>
    <hyperlink r:id="rId512" ref="BN226"/>
    <hyperlink r:id="rId513" ref="BO226"/>
    <hyperlink r:id="rId514" ref="BP226"/>
    <hyperlink r:id="rId515" ref="BM227"/>
    <hyperlink r:id="rId516" ref="BN227"/>
    <hyperlink r:id="rId517" ref="BO227"/>
    <hyperlink r:id="rId518" ref="BM228"/>
    <hyperlink r:id="rId519" ref="BN228"/>
    <hyperlink r:id="rId520" ref="BO228"/>
    <hyperlink r:id="rId521" ref="BP228"/>
    <hyperlink r:id="rId522" ref="BQ228"/>
    <hyperlink r:id="rId523" ref="BR228"/>
    <hyperlink r:id="rId524" ref="BM229"/>
    <hyperlink r:id="rId525" ref="BN229"/>
    <hyperlink r:id="rId526" ref="BO229"/>
    <hyperlink r:id="rId527" ref="BP229"/>
    <hyperlink r:id="rId528" ref="BQ229"/>
    <hyperlink r:id="rId529" ref="BM230"/>
    <hyperlink r:id="rId530" ref="BN230"/>
    <hyperlink r:id="rId531" ref="BO230"/>
    <hyperlink r:id="rId532" ref="BM231"/>
    <hyperlink r:id="rId533" ref="BM232"/>
    <hyperlink r:id="rId534" ref="BM233"/>
    <hyperlink r:id="rId535" ref="BM234"/>
    <hyperlink r:id="rId536" ref="BM235"/>
    <hyperlink r:id="rId537" ref="BM236"/>
    <hyperlink r:id="rId538" ref="BM237"/>
    <hyperlink r:id="rId539" ref="BN237"/>
    <hyperlink r:id="rId540" ref="BM238"/>
    <hyperlink r:id="rId541" ref="BN238"/>
    <hyperlink r:id="rId542" ref="BO238"/>
    <hyperlink r:id="rId543" ref="BM239"/>
    <hyperlink r:id="rId544" ref="BM240"/>
    <hyperlink r:id="rId545" ref="BN240"/>
    <hyperlink r:id="rId546" ref="BM241"/>
    <hyperlink r:id="rId547" ref="BM242"/>
    <hyperlink r:id="rId548" ref="BN242"/>
    <hyperlink r:id="rId549" ref="BO242"/>
    <hyperlink r:id="rId550" ref="BM243"/>
    <hyperlink r:id="rId551" ref="BM244"/>
    <hyperlink r:id="rId552" ref="BN244"/>
    <hyperlink r:id="rId553" ref="BO244"/>
    <hyperlink r:id="rId554" ref="BM245"/>
    <hyperlink r:id="rId555" ref="BM246"/>
  </hyperlinks>
  <drawing r:id="rId556"/>
  <legacyDrawing r:id="rId557"/>
</worksheet>
</file>